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codeName="ThisWorkbook" defaultThemeVersion="124226"/>
  <mc:AlternateContent xmlns:mc="http://schemas.openxmlformats.org/markup-compatibility/2006">
    <mc:Choice Requires="x15">
      <x15ac:absPath xmlns:x15ac="http://schemas.microsoft.com/office/spreadsheetml/2010/11/ac" url="C:\Users\ADM_ANARVAEZ\Downloads\"/>
    </mc:Choice>
  </mc:AlternateContent>
  <xr:revisionPtr revIDLastSave="0" documentId="13_ncr:1_{937242DF-DAE9-441E-B0C3-D939E6A5795B}" xr6:coauthVersionLast="47" xr6:coauthVersionMax="47" xr10:uidLastSave="{00000000-0000-0000-0000-000000000000}"/>
  <bookViews>
    <workbookView xWindow="28680" yWindow="-120" windowWidth="38640" windowHeight="21120" tabRatio="708" activeTab="2" xr2:uid="{00000000-000D-0000-FFFF-FFFF00000000}"/>
  </bookViews>
  <sheets>
    <sheet name="INSTRUCTIVO " sheetId="32" r:id="rId1"/>
    <sheet name="INDICADORES" sheetId="30" r:id="rId2"/>
    <sheet name="CPN 2023" sheetId="5" r:id="rId3"/>
    <sheet name="Pendientes Agosto." sheetId="34" r:id="rId4"/>
  </sheets>
  <externalReferences>
    <externalReference r:id="rId5"/>
  </externalReferences>
  <definedNames>
    <definedName name="_06_05_2011" localSheetId="0">'[1]CPN 2022'!#REF!</definedName>
    <definedName name="_06_05_2011">'CPN 2023'!#REF!</definedName>
    <definedName name="_29_11_1984" localSheetId="0">'[1]CPN 2022'!#REF!</definedName>
    <definedName name="_29_11_1984">'CPN 2023'!#REF!</definedName>
    <definedName name="_xlnm._FilterDatabase" localSheetId="2" hidden="1">'CPN 2023'!$NY$2:$RY$248</definedName>
    <definedName name="AIC" localSheetId="0">'[1]CPN 2022'!#REF!</definedName>
    <definedName name="AIC">'CPN 2023'!#REF!</definedName>
    <definedName name="AIDA" localSheetId="0">'[1]CPN 2022'!#REF!</definedName>
    <definedName name="AIDA">'CPN 2023'!#REF!</definedName>
    <definedName name="CC" localSheetId="0">'[1]CPN 2022'!#REF!</definedName>
    <definedName name="CC">'CPN 2023'!#REF!</definedName>
    <definedName name="CCC" localSheetId="0">'[1]CPN 2022'!#REF!</definedName>
    <definedName name="CCC">'CPN 2023'!#REF!</definedName>
    <definedName name="CHOCUE" localSheetId="0">'[1]CPN 2022'!#REF!</definedName>
    <definedName name="CHOCUE">'CPN 2023'!#REF!</definedName>
    <definedName name="EL_HOGAR" localSheetId="0">'[1]CPN 2022'!#REF!</definedName>
    <definedName name="EL_HOGAR">'CPN 2023'!#REF!</definedName>
    <definedName name="INDIGENA" localSheetId="0">'[1]CPN 2022'!#REF!</definedName>
    <definedName name="INDIGENA">'CPN 2023'!#REF!</definedName>
    <definedName name="LA_PLAYA_MIRASOLES" localSheetId="0">'[1]CPN 2022'!#REF!</definedName>
    <definedName name="LA_PLAYA_MIRASOLES">'CPN 2023'!#REF!</definedName>
    <definedName name="LORENA" localSheetId="0">'[1]CPN 2022'!#REF!</definedName>
    <definedName name="LORENA">'CPN 2023'!#REF!</definedName>
    <definedName name="MESTIZA" localSheetId="0">'[1]CPN 2022'!#REF!</definedName>
    <definedName name="MESTIZA">'CPN 2023'!#REF!</definedName>
    <definedName name="RIVERA" localSheetId="0">'[1]CPN 2022'!#REF!</definedName>
    <definedName name="RIVERA">'CPN 2023'!#REF!</definedName>
    <definedName name="RURAL" localSheetId="0">'[1]CPN 2022'!#REF!</definedName>
    <definedName name="RURAL">'CPN 2023'!#REF!</definedName>
    <definedName name="SIN_RIESGO_POR_EDAD" localSheetId="0">'[1]CPN 2022'!#REF!</definedName>
    <definedName name="SIN_RIESGO_POR_EDAD">'CPN 2023'!#REF!</definedName>
    <definedName name="SUB" localSheetId="0">'[1]CPN 2022'!#REF!</definedName>
    <definedName name="SUB">'CPN 2023'!#REF!</definedName>
    <definedName name="UNION_L" localSheetId="0">'[1]CPN 2022'!#REF!</definedName>
    <definedName name="UNION_L">'CPN 2023'!#REF!</definedName>
    <definedName name="Z_87C82D0B_BF3B_4D48_8D40_9A69123EBFA4_.wvu.Cols" localSheetId="2" hidden="1">'CPN 2023'!#REF!,'CPN 2023'!#REF!,'CPN 2023'!#REF!,'CPN 2023'!#REF!,'CPN 2023'!#REF!,'CPN 2023'!#REF!,'CPN 2023'!#REF!,'CPN 2023'!$DF:$DF,'CPN 2023'!#REF!,'CPN 2023'!#REF!,'CPN 2023'!#REF!,'CPN 2023'!#REF!,'CPN 2023'!#REF!,'CPN 2023'!#REF!,'CPN 2023'!#REF!,'CPN 2023'!#REF!,'CPN 2023'!#REF!,'CPN 2023'!#REF!,'CPN 2023'!#REF!,'CPN 2023'!#REF!,'CPN 2023'!#REF!,'CPN 2023'!#REF!,'CPN 2023'!#REF!,'CPN 2023'!#REF!,'CPN 2023'!#REF!,'CPN 2023'!#REF!,'CPN 2023'!#REF!,'CPN 2023'!#REF!,'CPN 2023'!#REF!,'CPN 2023'!#REF!,'CPN 2023'!#REF!,'CPN 2023'!#REF!,'CPN 2023'!$IN:$IO,'CPN 2023'!$JL:$JU,'CPN 2023'!#REF!,'CPN 2023'!#REF!,'CPN 2023'!#REF!</definedName>
    <definedName name="Z_87C82D0B_BF3B_4D48_8D40_9A69123EBFA4_.wvu.FilterData" localSheetId="2" hidden="1">'CPN 2023'!$D$2:$KE$248</definedName>
    <definedName name="Z_87C82D0B_BF3B_4D48_8D40_9A69123EBFA4_.wvu.Rows" localSheetId="2" hidden="1">'CPN 2023'!#REF!</definedName>
  </definedNames>
  <calcPr calcId="191029"/>
  <customWorkbookViews>
    <customWorkbookView name="electrom pc - Vista personalizada" guid="{87C82D0B-BF3B-4D48-8D40-9A69123EBFA4}" mergeInterval="0" personalView="1" maximized="1" xWindow="1" yWindow="1" windowWidth="1366" windowHeight="496" tabRatio="599" activeSheetId="5"/>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P246" i="5" l="1"/>
  <c r="N243" i="5"/>
  <c r="IP71" i="5"/>
  <c r="IP61" i="5"/>
  <c r="BS160" i="5"/>
  <c r="BR160" i="5"/>
  <c r="P212" i="5"/>
  <c r="GS138" i="5"/>
  <c r="GS207" i="5"/>
  <c r="HG207" i="5"/>
  <c r="HN207" i="5"/>
  <c r="EP207" i="5"/>
  <c r="EU207" i="5"/>
  <c r="EA207" i="5"/>
  <c r="DY207" i="5"/>
  <c r="DV207" i="5"/>
  <c r="DY208" i="5"/>
  <c r="CM207" i="5"/>
  <c r="CI207" i="5"/>
  <c r="EI64" i="5"/>
  <c r="EG64" i="5"/>
  <c r="EE64" i="5"/>
  <c r="CI231" i="5"/>
  <c r="P207" i="5" l="1"/>
  <c r="AK201" i="5"/>
  <c r="AK200" i="5"/>
  <c r="AK199" i="5"/>
  <c r="P199" i="5"/>
  <c r="AK198" i="5"/>
  <c r="AK197" i="5"/>
  <c r="IG141" i="5"/>
  <c r="HG4" i="5"/>
  <c r="HN4" i="5"/>
  <c r="HG5" i="5"/>
  <c r="HN5" i="5"/>
  <c r="HG6" i="5"/>
  <c r="HN6" i="5"/>
  <c r="HG7" i="5"/>
  <c r="HN7" i="5"/>
  <c r="HG8" i="5"/>
  <c r="HN8" i="5"/>
  <c r="HG9" i="5"/>
  <c r="HN9" i="5"/>
  <c r="HG10" i="5"/>
  <c r="HN10" i="5"/>
  <c r="HG11" i="5"/>
  <c r="HN11" i="5"/>
  <c r="HG12" i="5"/>
  <c r="HN12" i="5"/>
  <c r="HG13" i="5"/>
  <c r="HN13" i="5"/>
  <c r="HG14" i="5"/>
  <c r="HN14" i="5"/>
  <c r="HG15" i="5"/>
  <c r="HN15" i="5"/>
  <c r="HG16" i="5"/>
  <c r="HN16" i="5"/>
  <c r="HG17" i="5"/>
  <c r="HN17" i="5"/>
  <c r="HG18" i="5"/>
  <c r="HN18" i="5"/>
  <c r="HG19" i="5"/>
  <c r="HN19" i="5"/>
  <c r="HG20" i="5"/>
  <c r="HN20" i="5"/>
  <c r="HG21" i="5"/>
  <c r="HN21" i="5"/>
  <c r="HG22" i="5"/>
  <c r="HN22" i="5"/>
  <c r="HG23" i="5"/>
  <c r="HN23" i="5"/>
  <c r="HG24" i="5"/>
  <c r="HN24" i="5"/>
  <c r="HG25" i="5"/>
  <c r="HN25" i="5"/>
  <c r="HG26" i="5"/>
  <c r="HN26" i="5"/>
  <c r="HG27" i="5"/>
  <c r="HN27" i="5"/>
  <c r="HG28" i="5"/>
  <c r="HN28" i="5"/>
  <c r="HG29" i="5"/>
  <c r="HN29" i="5"/>
  <c r="HG30" i="5"/>
  <c r="HN30" i="5"/>
  <c r="HG31" i="5"/>
  <c r="HN31" i="5"/>
  <c r="HG32" i="5"/>
  <c r="HN32" i="5"/>
  <c r="HG33" i="5"/>
  <c r="HN33" i="5"/>
  <c r="HG34" i="5"/>
  <c r="HN34" i="5"/>
  <c r="HG35" i="5"/>
  <c r="HN35" i="5"/>
  <c r="HG36" i="5"/>
  <c r="HN36" i="5"/>
  <c r="HG37" i="5"/>
  <c r="HN37" i="5"/>
  <c r="HG38" i="5"/>
  <c r="HN38" i="5"/>
  <c r="HG39" i="5"/>
  <c r="HN39" i="5"/>
  <c r="HG40" i="5"/>
  <c r="HN40" i="5"/>
  <c r="HG41" i="5"/>
  <c r="HN41" i="5"/>
  <c r="HG42" i="5"/>
  <c r="HN42" i="5"/>
  <c r="HG43" i="5"/>
  <c r="HN43" i="5"/>
  <c r="HG44" i="5"/>
  <c r="HN44" i="5"/>
  <c r="HG45" i="5"/>
  <c r="HN45" i="5"/>
  <c r="HG46" i="5"/>
  <c r="HN46" i="5"/>
  <c r="HG47" i="5"/>
  <c r="HN47" i="5"/>
  <c r="HG48" i="5"/>
  <c r="HN48" i="5"/>
  <c r="HG49" i="5"/>
  <c r="HN49" i="5"/>
  <c r="HG50" i="5"/>
  <c r="HN50" i="5"/>
  <c r="HG51" i="5"/>
  <c r="HN51" i="5"/>
  <c r="HG52" i="5"/>
  <c r="HN52" i="5"/>
  <c r="HG53" i="5"/>
  <c r="HN53" i="5"/>
  <c r="HG54" i="5"/>
  <c r="HN54" i="5"/>
  <c r="HG55" i="5"/>
  <c r="HN55" i="5"/>
  <c r="HG56" i="5"/>
  <c r="HN56" i="5"/>
  <c r="HG57" i="5"/>
  <c r="HN57" i="5"/>
  <c r="HG58" i="5"/>
  <c r="HN58" i="5"/>
  <c r="HG59" i="5"/>
  <c r="HN59" i="5"/>
  <c r="HG60" i="5"/>
  <c r="HN60" i="5"/>
  <c r="HG61" i="5"/>
  <c r="HN61" i="5"/>
  <c r="HG62" i="5"/>
  <c r="HN62" i="5"/>
  <c r="HG63" i="5"/>
  <c r="HN63" i="5"/>
  <c r="HG64" i="5"/>
  <c r="HN64" i="5"/>
  <c r="HG65" i="5"/>
  <c r="HN65" i="5"/>
  <c r="HG66" i="5"/>
  <c r="HN66" i="5"/>
  <c r="HG67" i="5"/>
  <c r="HN67" i="5"/>
  <c r="HG68" i="5"/>
  <c r="HN68" i="5"/>
  <c r="HG69" i="5"/>
  <c r="HN69" i="5"/>
  <c r="HG70" i="5"/>
  <c r="HN70" i="5"/>
  <c r="HG71" i="5"/>
  <c r="HN71" i="5"/>
  <c r="HG72" i="5"/>
  <c r="HN72" i="5"/>
  <c r="HG73" i="5"/>
  <c r="HN73" i="5"/>
  <c r="HG74" i="5"/>
  <c r="HN74" i="5"/>
  <c r="HG75" i="5"/>
  <c r="HN75" i="5"/>
  <c r="HG76" i="5"/>
  <c r="HN76" i="5"/>
  <c r="HG77" i="5"/>
  <c r="HN77" i="5"/>
  <c r="HG78" i="5"/>
  <c r="HN78" i="5"/>
  <c r="HG79" i="5"/>
  <c r="HN79" i="5"/>
  <c r="HG80" i="5"/>
  <c r="HN80" i="5"/>
  <c r="HG81" i="5"/>
  <c r="HN81" i="5"/>
  <c r="HG82" i="5"/>
  <c r="HN82" i="5"/>
  <c r="HG83" i="5"/>
  <c r="HN83" i="5"/>
  <c r="HG84" i="5"/>
  <c r="HN84" i="5"/>
  <c r="HG85" i="5"/>
  <c r="HN85" i="5"/>
  <c r="HG86" i="5"/>
  <c r="HN86" i="5"/>
  <c r="HG87" i="5"/>
  <c r="HN87" i="5"/>
  <c r="HG88" i="5"/>
  <c r="HN88" i="5"/>
  <c r="HG89" i="5"/>
  <c r="HN89" i="5"/>
  <c r="HG90" i="5"/>
  <c r="HN90" i="5"/>
  <c r="HG91" i="5"/>
  <c r="HN91" i="5"/>
  <c r="HG92" i="5"/>
  <c r="HN92" i="5"/>
  <c r="HG93" i="5"/>
  <c r="HN93" i="5"/>
  <c r="HG94" i="5"/>
  <c r="HN94" i="5"/>
  <c r="HG95" i="5"/>
  <c r="HN95" i="5"/>
  <c r="HG96" i="5"/>
  <c r="HN96" i="5"/>
  <c r="HG97" i="5"/>
  <c r="HN97" i="5"/>
  <c r="HG98" i="5"/>
  <c r="HN98" i="5"/>
  <c r="HG99" i="5"/>
  <c r="HN99" i="5"/>
  <c r="HG100" i="5"/>
  <c r="HN100" i="5"/>
  <c r="HG101" i="5"/>
  <c r="HN101" i="5"/>
  <c r="HG102" i="5"/>
  <c r="HN102" i="5"/>
  <c r="HG103" i="5"/>
  <c r="HN103" i="5"/>
  <c r="HG104" i="5"/>
  <c r="HN104" i="5"/>
  <c r="HG105" i="5"/>
  <c r="HN105" i="5"/>
  <c r="HG106" i="5"/>
  <c r="HN106" i="5"/>
  <c r="HG107" i="5"/>
  <c r="HN107" i="5"/>
  <c r="HG108" i="5"/>
  <c r="HN108" i="5"/>
  <c r="HG109" i="5"/>
  <c r="HN109" i="5"/>
  <c r="HG110" i="5"/>
  <c r="HN110" i="5"/>
  <c r="HG111" i="5"/>
  <c r="HN111" i="5"/>
  <c r="HG112" i="5"/>
  <c r="HK112" i="5"/>
  <c r="HI112" i="5" s="1"/>
  <c r="HN112" i="5"/>
  <c r="HG113" i="5"/>
  <c r="HN113" i="5"/>
  <c r="HG114" i="5"/>
  <c r="HN114" i="5"/>
  <c r="HG115" i="5"/>
  <c r="HN115" i="5"/>
  <c r="HG116" i="5"/>
  <c r="HN116" i="5"/>
  <c r="HG117" i="5"/>
  <c r="HN117" i="5"/>
  <c r="HG118" i="5"/>
  <c r="HN118" i="5"/>
  <c r="HG119" i="5"/>
  <c r="HN119" i="5"/>
  <c r="HG120" i="5"/>
  <c r="HN120" i="5"/>
  <c r="HG121" i="5"/>
  <c r="HN121" i="5"/>
  <c r="HG122" i="5"/>
  <c r="HN122" i="5"/>
  <c r="HG123" i="5"/>
  <c r="HN123" i="5"/>
  <c r="HG124" i="5"/>
  <c r="HN124" i="5"/>
  <c r="HG125" i="5"/>
  <c r="HN125" i="5"/>
  <c r="HG126" i="5"/>
  <c r="HN126" i="5"/>
  <c r="HG127" i="5"/>
  <c r="HN127" i="5"/>
  <c r="HG128" i="5"/>
  <c r="HN128" i="5"/>
  <c r="HG129" i="5"/>
  <c r="HN129" i="5"/>
  <c r="HG130" i="5"/>
  <c r="HN130" i="5"/>
  <c r="HG131" i="5"/>
  <c r="HN131" i="5"/>
  <c r="HG132" i="5"/>
  <c r="HN132" i="5"/>
  <c r="HG133" i="5"/>
  <c r="HN133" i="5"/>
  <c r="HG134" i="5"/>
  <c r="HN134" i="5"/>
  <c r="HG135" i="5"/>
  <c r="HN135" i="5"/>
  <c r="HG136" i="5"/>
  <c r="HN136" i="5"/>
  <c r="HG137" i="5"/>
  <c r="HN137" i="5"/>
  <c r="HG138" i="5"/>
  <c r="HN138" i="5"/>
  <c r="HG139" i="5"/>
  <c r="HN139" i="5"/>
  <c r="HG140" i="5"/>
  <c r="HN140" i="5"/>
  <c r="HG141" i="5"/>
  <c r="HN141" i="5"/>
  <c r="HG142" i="5"/>
  <c r="HN142" i="5"/>
  <c r="HG143" i="5"/>
  <c r="HN143" i="5"/>
  <c r="HG144" i="5"/>
  <c r="HN144" i="5"/>
  <c r="HG145" i="5"/>
  <c r="HN145" i="5"/>
  <c r="HG146" i="5"/>
  <c r="HN146" i="5"/>
  <c r="HG147" i="5"/>
  <c r="HN147" i="5"/>
  <c r="HG148" i="5"/>
  <c r="HN148" i="5"/>
  <c r="HG149" i="5"/>
  <c r="HN149" i="5"/>
  <c r="HG150" i="5"/>
  <c r="HN150" i="5"/>
  <c r="HG151" i="5"/>
  <c r="HN151" i="5"/>
  <c r="HG152" i="5"/>
  <c r="HN152" i="5"/>
  <c r="HG153" i="5"/>
  <c r="HN153" i="5"/>
  <c r="HG154" i="5"/>
  <c r="HN154" i="5"/>
  <c r="HG155" i="5"/>
  <c r="HN155" i="5"/>
  <c r="HG156" i="5"/>
  <c r="HN156" i="5"/>
  <c r="HG157" i="5"/>
  <c r="HK157" i="5"/>
  <c r="HI157" i="5" s="1"/>
  <c r="HN157" i="5"/>
  <c r="HG158" i="5"/>
  <c r="HN158" i="5"/>
  <c r="HG159" i="5"/>
  <c r="HN159" i="5"/>
  <c r="HG160" i="5"/>
  <c r="HN160" i="5"/>
  <c r="HG161" i="5"/>
  <c r="HN161" i="5"/>
  <c r="HG162" i="5"/>
  <c r="HN162" i="5"/>
  <c r="HG163" i="5"/>
  <c r="HN163" i="5"/>
  <c r="HG164" i="5"/>
  <c r="HN164" i="5"/>
  <c r="HG165" i="5"/>
  <c r="HN165" i="5"/>
  <c r="HG166" i="5"/>
  <c r="HN166" i="5"/>
  <c r="HG167" i="5"/>
  <c r="HN167" i="5"/>
  <c r="HG168" i="5"/>
  <c r="HN168" i="5"/>
  <c r="HG169" i="5"/>
  <c r="HN169" i="5"/>
  <c r="HG170" i="5"/>
  <c r="HN170" i="5"/>
  <c r="HG171" i="5"/>
  <c r="HN171" i="5"/>
  <c r="HG172" i="5"/>
  <c r="HN172" i="5"/>
  <c r="HG173" i="5"/>
  <c r="HN173" i="5"/>
  <c r="HG174" i="5"/>
  <c r="HN174" i="5"/>
  <c r="HG175" i="5"/>
  <c r="HN175" i="5"/>
  <c r="HG176" i="5"/>
  <c r="HN176" i="5"/>
  <c r="HG177" i="5"/>
  <c r="HK177" i="5"/>
  <c r="HI177" i="5" s="1"/>
  <c r="HN177" i="5"/>
  <c r="HG178" i="5"/>
  <c r="HN178" i="5"/>
  <c r="HG179" i="5"/>
  <c r="HN179" i="5"/>
  <c r="HG180" i="5"/>
  <c r="HN180" i="5"/>
  <c r="HG181" i="5"/>
  <c r="HN181" i="5"/>
  <c r="HG182" i="5"/>
  <c r="HN182" i="5"/>
  <c r="HG183" i="5"/>
  <c r="HN183" i="5"/>
  <c r="HG184" i="5"/>
  <c r="HN184" i="5"/>
  <c r="HG185" i="5"/>
  <c r="HN185" i="5"/>
  <c r="HG186" i="5"/>
  <c r="HN186" i="5"/>
  <c r="HG187" i="5"/>
  <c r="HK187" i="5"/>
  <c r="HI187" i="5" s="1"/>
  <c r="HN187" i="5"/>
  <c r="HG188" i="5"/>
  <c r="HN188" i="5"/>
  <c r="HG189" i="5"/>
  <c r="HN189" i="5"/>
  <c r="HG190" i="5"/>
  <c r="HN190" i="5"/>
  <c r="HG191" i="5"/>
  <c r="HN191" i="5"/>
  <c r="HG192" i="5"/>
  <c r="HN192" i="5"/>
  <c r="HG193" i="5"/>
  <c r="HN193" i="5"/>
  <c r="HG194" i="5"/>
  <c r="HK194" i="5"/>
  <c r="HM194" i="5"/>
  <c r="HN194" i="5"/>
  <c r="HG195" i="5"/>
  <c r="HK195" i="5"/>
  <c r="HM195" i="5"/>
  <c r="HN195" i="5"/>
  <c r="HG196" i="5"/>
  <c r="HK196" i="5"/>
  <c r="HM196" i="5"/>
  <c r="HN196" i="5"/>
  <c r="HG197" i="5"/>
  <c r="HK197" i="5"/>
  <c r="HM197" i="5"/>
  <c r="HN197" i="5"/>
  <c r="HG198" i="5"/>
  <c r="HK198" i="5"/>
  <c r="HM198" i="5"/>
  <c r="HN198" i="5"/>
  <c r="HG199" i="5"/>
  <c r="HK199" i="5"/>
  <c r="HM199" i="5"/>
  <c r="HN199" i="5"/>
  <c r="HG200" i="5"/>
  <c r="HK200" i="5"/>
  <c r="HM200" i="5"/>
  <c r="HN200" i="5"/>
  <c r="HG201" i="5"/>
  <c r="HK201" i="5"/>
  <c r="HM201" i="5"/>
  <c r="HN201" i="5"/>
  <c r="HG202" i="5"/>
  <c r="HN202" i="5"/>
  <c r="HG203" i="5"/>
  <c r="HN203" i="5"/>
  <c r="HG204" i="5"/>
  <c r="HN204" i="5"/>
  <c r="HG205" i="5"/>
  <c r="HN205" i="5"/>
  <c r="HG206" i="5"/>
  <c r="HN206" i="5"/>
  <c r="HG208" i="5"/>
  <c r="HN208" i="5"/>
  <c r="HG209" i="5"/>
  <c r="HN209" i="5"/>
  <c r="HG210" i="5"/>
  <c r="HN210" i="5"/>
  <c r="HG211" i="5"/>
  <c r="HN211" i="5"/>
  <c r="HG212" i="5"/>
  <c r="HN212" i="5"/>
  <c r="HG213" i="5"/>
  <c r="HN213" i="5"/>
  <c r="HG214" i="5"/>
  <c r="HN214" i="5"/>
  <c r="HG215" i="5"/>
  <c r="HN215" i="5"/>
  <c r="HG216" i="5"/>
  <c r="HN216" i="5"/>
  <c r="HG217" i="5"/>
  <c r="HN217" i="5"/>
  <c r="HG218" i="5"/>
  <c r="HN218" i="5"/>
  <c r="HG219" i="5"/>
  <c r="HN219" i="5"/>
  <c r="HG220" i="5"/>
  <c r="HN220" i="5"/>
  <c r="HG221" i="5"/>
  <c r="HN221" i="5"/>
  <c r="HG222" i="5"/>
  <c r="HN222" i="5"/>
  <c r="HG223" i="5"/>
  <c r="HN223" i="5"/>
  <c r="HG224" i="5"/>
  <c r="HN224" i="5"/>
  <c r="HG225" i="5"/>
  <c r="HN225" i="5"/>
  <c r="HG226" i="5"/>
  <c r="HN226" i="5"/>
  <c r="HG227" i="5"/>
  <c r="HN227" i="5"/>
  <c r="HG228" i="5"/>
  <c r="HN228" i="5"/>
  <c r="HG229" i="5"/>
  <c r="HN229" i="5"/>
  <c r="HG230" i="5"/>
  <c r="HN230" i="5"/>
  <c r="HG231" i="5"/>
  <c r="HN231" i="5"/>
  <c r="HG232" i="5"/>
  <c r="HN232" i="5"/>
  <c r="HG233" i="5"/>
  <c r="HN233" i="5"/>
  <c r="HG234" i="5"/>
  <c r="HN234" i="5"/>
  <c r="HG235" i="5"/>
  <c r="HN235" i="5"/>
  <c r="HG236" i="5"/>
  <c r="HN236" i="5"/>
  <c r="HG237" i="5"/>
  <c r="HN237" i="5"/>
  <c r="HG238" i="5"/>
  <c r="HN238" i="5"/>
  <c r="HG239" i="5"/>
  <c r="HN239" i="5"/>
  <c r="HG240" i="5"/>
  <c r="HN240" i="5"/>
  <c r="HG241" i="5"/>
  <c r="HN241" i="5"/>
  <c r="HG242" i="5"/>
  <c r="HN242" i="5"/>
  <c r="HG243" i="5"/>
  <c r="HN243" i="5"/>
  <c r="HG244" i="5"/>
  <c r="HN244" i="5"/>
  <c r="HG245" i="5"/>
  <c r="HN245" i="5"/>
  <c r="HG246" i="5"/>
  <c r="HN246" i="5"/>
  <c r="HG247" i="5"/>
  <c r="HN247" i="5"/>
  <c r="HG248" i="5"/>
  <c r="HN248" i="5"/>
  <c r="GS4" i="5"/>
  <c r="GS5" i="5"/>
  <c r="GS6" i="5"/>
  <c r="GS7" i="5"/>
  <c r="GS8" i="5"/>
  <c r="GS9" i="5"/>
  <c r="GS10" i="5"/>
  <c r="GS11" i="5"/>
  <c r="GS12" i="5"/>
  <c r="GS13" i="5"/>
  <c r="GS14" i="5"/>
  <c r="GS15" i="5"/>
  <c r="GS16" i="5"/>
  <c r="GS17" i="5"/>
  <c r="GS18" i="5"/>
  <c r="GS19" i="5"/>
  <c r="GS20" i="5"/>
  <c r="GS21" i="5"/>
  <c r="GS22" i="5"/>
  <c r="GS23" i="5"/>
  <c r="GS24" i="5"/>
  <c r="GS25" i="5"/>
  <c r="GS26" i="5"/>
  <c r="GS27" i="5"/>
  <c r="GS28" i="5"/>
  <c r="GS29" i="5"/>
  <c r="GS30" i="5"/>
  <c r="GS31" i="5"/>
  <c r="GS32" i="5"/>
  <c r="GS33" i="5"/>
  <c r="GS34" i="5"/>
  <c r="GS35" i="5"/>
  <c r="GS36" i="5"/>
  <c r="GS37" i="5"/>
  <c r="GS38" i="5"/>
  <c r="GS39" i="5"/>
  <c r="GS40" i="5"/>
  <c r="GS41" i="5"/>
  <c r="GS42" i="5"/>
  <c r="GS43" i="5"/>
  <c r="GS44" i="5"/>
  <c r="GS45" i="5"/>
  <c r="GS46" i="5"/>
  <c r="GS47" i="5"/>
  <c r="GS48" i="5"/>
  <c r="GS49" i="5"/>
  <c r="GS50" i="5"/>
  <c r="GS51" i="5"/>
  <c r="GS52" i="5"/>
  <c r="GS53" i="5"/>
  <c r="GS54" i="5"/>
  <c r="GS55" i="5"/>
  <c r="GS56" i="5"/>
  <c r="GS57" i="5"/>
  <c r="GS58" i="5"/>
  <c r="GS59" i="5"/>
  <c r="GS60" i="5"/>
  <c r="GS61" i="5"/>
  <c r="GS62" i="5"/>
  <c r="GS63" i="5"/>
  <c r="GS64" i="5"/>
  <c r="GS65" i="5"/>
  <c r="GS66" i="5"/>
  <c r="GS67" i="5"/>
  <c r="GS68" i="5"/>
  <c r="GS69" i="5"/>
  <c r="GS70" i="5"/>
  <c r="GS71" i="5"/>
  <c r="GS72" i="5"/>
  <c r="GS73" i="5"/>
  <c r="GS74" i="5"/>
  <c r="GS75" i="5"/>
  <c r="GS76" i="5"/>
  <c r="GS77" i="5"/>
  <c r="GS78" i="5"/>
  <c r="GS79" i="5"/>
  <c r="GS80" i="5"/>
  <c r="GS81" i="5"/>
  <c r="GS82" i="5"/>
  <c r="GS83" i="5"/>
  <c r="GS84" i="5"/>
  <c r="GS85" i="5"/>
  <c r="GS86" i="5"/>
  <c r="GS87" i="5"/>
  <c r="GS88" i="5"/>
  <c r="GS89" i="5"/>
  <c r="GS90" i="5"/>
  <c r="GS91" i="5"/>
  <c r="GS92" i="5"/>
  <c r="GS93" i="5"/>
  <c r="GS94" i="5"/>
  <c r="GS95" i="5"/>
  <c r="GS96" i="5"/>
  <c r="GS97" i="5"/>
  <c r="GS98" i="5"/>
  <c r="GS99" i="5"/>
  <c r="GS100" i="5"/>
  <c r="GS101" i="5"/>
  <c r="GS102" i="5"/>
  <c r="GS103" i="5"/>
  <c r="GS104" i="5"/>
  <c r="GS105" i="5"/>
  <c r="GS106" i="5"/>
  <c r="GS107" i="5"/>
  <c r="GS108" i="5"/>
  <c r="GS109" i="5"/>
  <c r="GS110" i="5"/>
  <c r="GS111" i="5"/>
  <c r="GS112" i="5"/>
  <c r="GS113" i="5"/>
  <c r="GS114" i="5"/>
  <c r="GS115" i="5"/>
  <c r="GS116" i="5"/>
  <c r="GS117" i="5"/>
  <c r="GS118" i="5"/>
  <c r="GS119" i="5"/>
  <c r="GS120" i="5"/>
  <c r="GS121" i="5"/>
  <c r="GS122" i="5"/>
  <c r="GS123" i="5"/>
  <c r="GS124" i="5"/>
  <c r="GS125" i="5"/>
  <c r="GS126" i="5"/>
  <c r="GS127" i="5"/>
  <c r="GS128" i="5"/>
  <c r="GS129" i="5"/>
  <c r="GS130" i="5"/>
  <c r="GS131" i="5"/>
  <c r="GS132" i="5"/>
  <c r="GS133" i="5"/>
  <c r="GS134" i="5"/>
  <c r="GS135" i="5"/>
  <c r="GS136" i="5"/>
  <c r="GS137" i="5"/>
  <c r="GS139" i="5"/>
  <c r="GS140" i="5"/>
  <c r="GS141" i="5"/>
  <c r="GS142" i="5"/>
  <c r="GS143" i="5"/>
  <c r="GS144" i="5"/>
  <c r="GS145" i="5"/>
  <c r="GS146" i="5"/>
  <c r="GS147" i="5"/>
  <c r="GS148" i="5"/>
  <c r="GS149" i="5"/>
  <c r="GS150" i="5"/>
  <c r="GS151" i="5"/>
  <c r="GS152" i="5"/>
  <c r="GS153" i="5"/>
  <c r="GS154" i="5"/>
  <c r="GS155" i="5"/>
  <c r="GS156" i="5"/>
  <c r="GS157" i="5"/>
  <c r="GS158" i="5"/>
  <c r="GS159" i="5"/>
  <c r="GS160" i="5"/>
  <c r="GS161" i="5"/>
  <c r="GS162" i="5"/>
  <c r="GS163" i="5"/>
  <c r="GS164" i="5"/>
  <c r="GS166" i="5"/>
  <c r="GS167" i="5"/>
  <c r="GS168" i="5"/>
  <c r="GS169" i="5"/>
  <c r="GS170" i="5"/>
  <c r="GS171" i="5"/>
  <c r="GS172" i="5"/>
  <c r="GS173" i="5"/>
  <c r="GS174" i="5"/>
  <c r="GS175" i="5"/>
  <c r="GS176" i="5"/>
  <c r="GS177" i="5"/>
  <c r="GS178" i="5"/>
  <c r="GS179" i="5"/>
  <c r="GS180" i="5"/>
  <c r="GS181" i="5"/>
  <c r="GS182" i="5"/>
  <c r="GS183" i="5"/>
  <c r="GS184" i="5"/>
  <c r="GS185" i="5"/>
  <c r="GS186" i="5"/>
  <c r="GS187" i="5"/>
  <c r="GS188" i="5"/>
  <c r="GS189" i="5"/>
  <c r="GS190" i="5"/>
  <c r="GS191" i="5"/>
  <c r="GS192" i="5"/>
  <c r="GS193" i="5"/>
  <c r="GS194" i="5"/>
  <c r="GS195" i="5"/>
  <c r="GS196" i="5"/>
  <c r="GS197" i="5"/>
  <c r="GS198" i="5"/>
  <c r="GS199" i="5"/>
  <c r="GS200" i="5"/>
  <c r="GS201" i="5"/>
  <c r="GS202" i="5"/>
  <c r="GS203" i="5"/>
  <c r="GS204" i="5"/>
  <c r="GS205" i="5"/>
  <c r="GS206" i="5"/>
  <c r="GS208" i="5"/>
  <c r="GS209" i="5"/>
  <c r="GS210" i="5"/>
  <c r="GS211" i="5"/>
  <c r="GS212" i="5"/>
  <c r="GS213" i="5"/>
  <c r="GS214" i="5"/>
  <c r="GS215" i="5"/>
  <c r="GS216" i="5"/>
  <c r="GS217" i="5"/>
  <c r="GS218" i="5"/>
  <c r="GS219" i="5"/>
  <c r="GS220" i="5"/>
  <c r="GS221" i="5"/>
  <c r="GS222" i="5"/>
  <c r="GS223" i="5"/>
  <c r="GS224" i="5"/>
  <c r="GS225" i="5"/>
  <c r="GS226" i="5"/>
  <c r="GS227" i="5"/>
  <c r="GS228" i="5"/>
  <c r="GS229" i="5"/>
  <c r="GS230" i="5"/>
  <c r="GS231" i="5"/>
  <c r="GS232" i="5"/>
  <c r="GS233" i="5"/>
  <c r="GS234" i="5"/>
  <c r="GS235" i="5"/>
  <c r="GS236" i="5"/>
  <c r="GS237" i="5"/>
  <c r="GS238" i="5"/>
  <c r="GS239" i="5"/>
  <c r="GS240" i="5"/>
  <c r="GS241" i="5"/>
  <c r="GS242" i="5"/>
  <c r="GS243" i="5"/>
  <c r="GS244" i="5"/>
  <c r="GS245" i="5"/>
  <c r="GS246" i="5"/>
  <c r="GS247" i="5"/>
  <c r="GS248" i="5"/>
  <c r="FU4" i="5"/>
  <c r="FU5" i="5"/>
  <c r="FU6" i="5"/>
  <c r="FU7" i="5"/>
  <c r="FU8" i="5"/>
  <c r="FU9" i="5"/>
  <c r="FU10" i="5"/>
  <c r="FU11" i="5"/>
  <c r="FU12" i="5"/>
  <c r="FU13" i="5"/>
  <c r="FU14" i="5"/>
  <c r="FU15" i="5"/>
  <c r="FU16" i="5"/>
  <c r="FU17" i="5"/>
  <c r="FU18" i="5"/>
  <c r="FU19" i="5"/>
  <c r="FU20" i="5"/>
  <c r="FU21" i="5"/>
  <c r="FU22" i="5"/>
  <c r="FU23" i="5"/>
  <c r="FU24" i="5"/>
  <c r="FU25" i="5"/>
  <c r="FU26" i="5"/>
  <c r="FU27" i="5"/>
  <c r="FU28" i="5"/>
  <c r="FU29" i="5"/>
  <c r="FU30" i="5"/>
  <c r="FU31" i="5"/>
  <c r="FU32" i="5"/>
  <c r="FU33" i="5"/>
  <c r="FU34" i="5"/>
  <c r="FU35" i="5"/>
  <c r="FU36" i="5"/>
  <c r="FU37" i="5"/>
  <c r="FU38" i="5"/>
  <c r="FU39" i="5"/>
  <c r="FU40" i="5"/>
  <c r="FU41" i="5"/>
  <c r="FU42" i="5"/>
  <c r="FU43" i="5"/>
  <c r="FU44" i="5"/>
  <c r="FU45" i="5"/>
  <c r="FU46" i="5"/>
  <c r="FU47" i="5"/>
  <c r="FU48" i="5"/>
  <c r="FU49" i="5"/>
  <c r="FU50" i="5"/>
  <c r="FU51" i="5"/>
  <c r="FU52" i="5"/>
  <c r="FU53" i="5"/>
  <c r="FU54" i="5"/>
  <c r="FU55" i="5"/>
  <c r="FU56" i="5"/>
  <c r="FU57" i="5"/>
  <c r="FU58" i="5"/>
  <c r="FU59" i="5"/>
  <c r="FU60" i="5"/>
  <c r="FU61" i="5"/>
  <c r="FU62" i="5"/>
  <c r="FU63" i="5"/>
  <c r="FU64" i="5"/>
  <c r="FU65" i="5"/>
  <c r="FU66" i="5"/>
  <c r="FU67" i="5"/>
  <c r="FU68" i="5"/>
  <c r="FU69" i="5"/>
  <c r="FU70" i="5"/>
  <c r="FU71" i="5"/>
  <c r="FU72" i="5"/>
  <c r="FU73" i="5"/>
  <c r="FU74" i="5"/>
  <c r="FU75" i="5"/>
  <c r="FU76" i="5"/>
  <c r="FU77" i="5"/>
  <c r="FU78" i="5"/>
  <c r="FU79" i="5"/>
  <c r="FU80" i="5"/>
  <c r="FU81" i="5"/>
  <c r="FU82" i="5"/>
  <c r="FU83" i="5"/>
  <c r="FU84" i="5"/>
  <c r="FU85" i="5"/>
  <c r="FU86" i="5"/>
  <c r="FU87" i="5"/>
  <c r="FU88" i="5"/>
  <c r="FU89" i="5"/>
  <c r="FU90" i="5"/>
  <c r="FU91" i="5"/>
  <c r="FU92" i="5"/>
  <c r="FU93" i="5"/>
  <c r="FU94" i="5"/>
  <c r="FU95" i="5"/>
  <c r="FU96" i="5"/>
  <c r="FU97" i="5"/>
  <c r="FU98" i="5"/>
  <c r="FU99" i="5"/>
  <c r="FU100" i="5"/>
  <c r="FU101" i="5"/>
  <c r="FU102" i="5"/>
  <c r="FU103" i="5"/>
  <c r="FU104" i="5"/>
  <c r="FU105" i="5"/>
  <c r="FU106" i="5"/>
  <c r="FU107" i="5"/>
  <c r="FU108" i="5"/>
  <c r="FU109" i="5"/>
  <c r="FU110" i="5"/>
  <c r="FU111" i="5"/>
  <c r="FU112" i="5"/>
  <c r="FU113" i="5"/>
  <c r="FU114" i="5"/>
  <c r="FU115" i="5"/>
  <c r="FU116" i="5"/>
  <c r="FU117" i="5"/>
  <c r="FU118" i="5"/>
  <c r="FU119" i="5"/>
  <c r="FU120" i="5"/>
  <c r="FU121" i="5"/>
  <c r="FU122" i="5"/>
  <c r="FU123" i="5"/>
  <c r="FU124" i="5"/>
  <c r="FU125" i="5"/>
  <c r="FU126" i="5"/>
  <c r="FU127" i="5"/>
  <c r="FU128" i="5"/>
  <c r="FU129" i="5"/>
  <c r="FU130" i="5"/>
  <c r="FU131" i="5"/>
  <c r="FU132" i="5"/>
  <c r="FU133" i="5"/>
  <c r="FU134" i="5"/>
  <c r="FU135" i="5"/>
  <c r="FU136" i="5"/>
  <c r="FU137" i="5"/>
  <c r="FU138" i="5"/>
  <c r="FU139" i="5"/>
  <c r="FU140" i="5"/>
  <c r="FU141" i="5"/>
  <c r="FU142" i="5"/>
  <c r="FU143" i="5"/>
  <c r="FU144" i="5"/>
  <c r="FU145" i="5"/>
  <c r="FU146" i="5"/>
  <c r="FU147" i="5"/>
  <c r="FU148" i="5"/>
  <c r="FU149" i="5"/>
  <c r="FU150" i="5"/>
  <c r="FU151" i="5"/>
  <c r="FU152" i="5"/>
  <c r="FU153" i="5"/>
  <c r="FU154" i="5"/>
  <c r="FU155" i="5"/>
  <c r="FU156" i="5"/>
  <c r="FU157" i="5"/>
  <c r="FU158" i="5"/>
  <c r="FU159" i="5"/>
  <c r="FU160" i="5"/>
  <c r="FU161" i="5"/>
  <c r="FU162" i="5"/>
  <c r="FU163" i="5"/>
  <c r="FU164" i="5"/>
  <c r="FU165" i="5"/>
  <c r="FU166" i="5"/>
  <c r="FU167" i="5"/>
  <c r="FU168" i="5"/>
  <c r="FU169" i="5"/>
  <c r="FU170" i="5"/>
  <c r="FU171" i="5"/>
  <c r="FU172" i="5"/>
  <c r="FU173" i="5"/>
  <c r="FU174" i="5"/>
  <c r="FU175" i="5"/>
  <c r="FU176" i="5"/>
  <c r="FU177" i="5"/>
  <c r="FU178" i="5"/>
  <c r="FU179" i="5"/>
  <c r="FU180" i="5"/>
  <c r="FU181" i="5"/>
  <c r="FU182" i="5"/>
  <c r="FU183" i="5"/>
  <c r="FU184" i="5"/>
  <c r="FU185" i="5"/>
  <c r="FU186" i="5"/>
  <c r="FU187" i="5"/>
  <c r="FU188" i="5"/>
  <c r="FU189" i="5"/>
  <c r="FU190" i="5"/>
  <c r="FU191" i="5"/>
  <c r="FU192" i="5"/>
  <c r="FU193" i="5"/>
  <c r="FU194" i="5"/>
  <c r="FU195" i="5"/>
  <c r="FU196" i="5"/>
  <c r="FU197" i="5"/>
  <c r="FU198" i="5"/>
  <c r="FU199" i="5"/>
  <c r="FU200" i="5"/>
  <c r="FU201" i="5"/>
  <c r="FU202" i="5"/>
  <c r="FU203" i="5"/>
  <c r="FU204" i="5"/>
  <c r="FU205" i="5"/>
  <c r="FU206" i="5"/>
  <c r="FU207" i="5"/>
  <c r="FU208" i="5"/>
  <c r="FU209" i="5"/>
  <c r="FU210" i="5"/>
  <c r="FU211" i="5"/>
  <c r="FU212" i="5"/>
  <c r="FU213" i="5"/>
  <c r="FU214" i="5"/>
  <c r="FU215" i="5"/>
  <c r="FU216" i="5"/>
  <c r="FU217" i="5"/>
  <c r="FU218" i="5"/>
  <c r="FU219" i="5"/>
  <c r="FU220" i="5"/>
  <c r="FU221" i="5"/>
  <c r="FU222" i="5"/>
  <c r="FU223" i="5"/>
  <c r="FU224" i="5"/>
  <c r="FU225" i="5"/>
  <c r="FU226" i="5"/>
  <c r="FU227" i="5"/>
  <c r="FU228" i="5"/>
  <c r="FU229" i="5"/>
  <c r="FU230" i="5"/>
  <c r="FU231" i="5"/>
  <c r="FU232" i="5"/>
  <c r="FU233" i="5"/>
  <c r="FU234" i="5"/>
  <c r="FU235" i="5"/>
  <c r="FU236" i="5"/>
  <c r="FU237" i="5"/>
  <c r="FU238" i="5"/>
  <c r="FU239" i="5"/>
  <c r="FU240" i="5"/>
  <c r="FU241" i="5"/>
  <c r="FU242" i="5"/>
  <c r="FU243" i="5"/>
  <c r="FU244" i="5"/>
  <c r="FU245" i="5"/>
  <c r="FU246" i="5"/>
  <c r="FU247" i="5"/>
  <c r="FU248" i="5"/>
  <c r="EZ27" i="5"/>
  <c r="EZ36" i="5"/>
  <c r="EZ50" i="5"/>
  <c r="EZ57" i="5"/>
  <c r="EZ60" i="5"/>
  <c r="EZ70" i="5"/>
  <c r="EZ72" i="5"/>
  <c r="EZ78" i="5"/>
  <c r="EZ79" i="5"/>
  <c r="EZ82" i="5"/>
  <c r="EZ87" i="5"/>
  <c r="EZ89" i="5"/>
  <c r="EZ90" i="5"/>
  <c r="EZ95" i="5"/>
  <c r="EZ104" i="5"/>
  <c r="EZ114" i="5"/>
  <c r="EZ132" i="5"/>
  <c r="EZ136" i="5"/>
  <c r="EZ139" i="5"/>
  <c r="EZ142" i="5"/>
  <c r="EZ149" i="5"/>
  <c r="EZ151" i="5"/>
  <c r="EZ153" i="5"/>
  <c r="EZ163" i="5"/>
  <c r="EZ167" i="5"/>
  <c r="EZ171" i="5"/>
  <c r="EZ178" i="5"/>
  <c r="EZ180" i="5"/>
  <c r="EZ181" i="5"/>
  <c r="EZ188" i="5"/>
  <c r="EZ191" i="5"/>
  <c r="EZ194" i="5"/>
  <c r="EU4" i="5"/>
  <c r="EU5" i="5"/>
  <c r="EU6" i="5"/>
  <c r="EU7" i="5"/>
  <c r="EU8" i="5"/>
  <c r="EU9" i="5"/>
  <c r="EU10" i="5"/>
  <c r="EU11" i="5"/>
  <c r="EU12" i="5"/>
  <c r="EU13" i="5"/>
  <c r="EU14" i="5"/>
  <c r="EU15" i="5"/>
  <c r="EU16" i="5"/>
  <c r="EU17" i="5"/>
  <c r="EU18" i="5"/>
  <c r="EU19" i="5"/>
  <c r="EU20" i="5"/>
  <c r="EU21" i="5"/>
  <c r="EU22" i="5"/>
  <c r="EU23" i="5"/>
  <c r="EU24" i="5"/>
  <c r="EU25" i="5"/>
  <c r="EU26" i="5"/>
  <c r="EU27" i="5"/>
  <c r="EU28" i="5"/>
  <c r="EU29" i="5"/>
  <c r="EU30" i="5"/>
  <c r="EU31" i="5"/>
  <c r="EU32" i="5"/>
  <c r="EU33" i="5"/>
  <c r="EU34" i="5"/>
  <c r="EU35" i="5"/>
  <c r="EU36" i="5"/>
  <c r="EU37" i="5"/>
  <c r="EU38" i="5"/>
  <c r="EU39" i="5"/>
  <c r="EU40" i="5"/>
  <c r="EU41" i="5"/>
  <c r="EU42" i="5"/>
  <c r="EU43" i="5"/>
  <c r="EU44" i="5"/>
  <c r="EU45" i="5"/>
  <c r="EU46" i="5"/>
  <c r="EU47" i="5"/>
  <c r="EU48" i="5"/>
  <c r="EU49" i="5"/>
  <c r="EU50" i="5"/>
  <c r="EU51" i="5"/>
  <c r="EU52" i="5"/>
  <c r="EU53" i="5"/>
  <c r="EU54" i="5"/>
  <c r="EU55" i="5"/>
  <c r="EU56" i="5"/>
  <c r="EU57" i="5"/>
  <c r="EU58" i="5"/>
  <c r="EU59" i="5"/>
  <c r="EU60" i="5"/>
  <c r="EU61" i="5"/>
  <c r="EU62" i="5"/>
  <c r="EU63" i="5"/>
  <c r="EU64" i="5"/>
  <c r="EU65" i="5"/>
  <c r="EU66" i="5"/>
  <c r="EU67" i="5"/>
  <c r="EU68" i="5"/>
  <c r="EU69" i="5"/>
  <c r="EU70" i="5"/>
  <c r="EU71" i="5"/>
  <c r="EU72" i="5"/>
  <c r="EU73" i="5"/>
  <c r="EU74" i="5"/>
  <c r="EU75" i="5"/>
  <c r="EU76" i="5"/>
  <c r="EU77" i="5"/>
  <c r="EU78" i="5"/>
  <c r="EU79" i="5"/>
  <c r="EU80" i="5"/>
  <c r="EU81" i="5"/>
  <c r="EU82" i="5"/>
  <c r="EU83" i="5"/>
  <c r="EU84" i="5"/>
  <c r="EU85" i="5"/>
  <c r="EU86" i="5"/>
  <c r="EU87" i="5"/>
  <c r="EU88" i="5"/>
  <c r="EU89" i="5"/>
  <c r="EU90" i="5"/>
  <c r="EU91" i="5"/>
  <c r="EU92" i="5"/>
  <c r="EU93" i="5"/>
  <c r="EU94" i="5"/>
  <c r="EU95" i="5"/>
  <c r="EU96" i="5"/>
  <c r="EU97" i="5"/>
  <c r="EU98" i="5"/>
  <c r="EU99" i="5"/>
  <c r="EU100" i="5"/>
  <c r="EU101" i="5"/>
  <c r="EU102" i="5"/>
  <c r="EU103" i="5"/>
  <c r="EU104" i="5"/>
  <c r="EU105" i="5"/>
  <c r="EU106" i="5"/>
  <c r="EU107" i="5"/>
  <c r="EU108" i="5"/>
  <c r="EU109" i="5"/>
  <c r="EU110" i="5"/>
  <c r="EU111" i="5"/>
  <c r="EU112" i="5"/>
  <c r="EU113" i="5"/>
  <c r="EU114" i="5"/>
  <c r="EU115" i="5"/>
  <c r="EU116" i="5"/>
  <c r="EU117" i="5"/>
  <c r="EU118" i="5"/>
  <c r="EU119" i="5"/>
  <c r="EU120" i="5"/>
  <c r="EU121" i="5"/>
  <c r="EU122" i="5"/>
  <c r="EU123" i="5"/>
  <c r="EU124" i="5"/>
  <c r="EU125" i="5"/>
  <c r="EU126" i="5"/>
  <c r="EU127" i="5"/>
  <c r="EU128" i="5"/>
  <c r="EU129" i="5"/>
  <c r="EU130" i="5"/>
  <c r="EU131" i="5"/>
  <c r="EU132" i="5"/>
  <c r="EU133" i="5"/>
  <c r="EU134" i="5"/>
  <c r="EU135" i="5"/>
  <c r="EU136" i="5"/>
  <c r="EU137" i="5"/>
  <c r="EU138" i="5"/>
  <c r="EU139" i="5"/>
  <c r="EU140" i="5"/>
  <c r="EU141" i="5"/>
  <c r="EU142" i="5"/>
  <c r="EU143" i="5"/>
  <c r="EU144" i="5"/>
  <c r="EU145" i="5"/>
  <c r="EU146" i="5"/>
  <c r="EU147" i="5"/>
  <c r="EU148" i="5"/>
  <c r="EU149" i="5"/>
  <c r="EU150" i="5"/>
  <c r="EU151" i="5"/>
  <c r="EU152" i="5"/>
  <c r="EU153" i="5"/>
  <c r="EU154" i="5"/>
  <c r="EU155" i="5"/>
  <c r="EU156" i="5"/>
  <c r="EU157" i="5"/>
  <c r="EU158" i="5"/>
  <c r="EU159" i="5"/>
  <c r="EU160" i="5"/>
  <c r="EU161" i="5"/>
  <c r="EU162" i="5"/>
  <c r="EU163" i="5"/>
  <c r="EU164" i="5"/>
  <c r="EU165" i="5"/>
  <c r="EU166" i="5"/>
  <c r="EU167" i="5"/>
  <c r="EU168" i="5"/>
  <c r="EU169" i="5"/>
  <c r="EU170" i="5"/>
  <c r="EU171" i="5"/>
  <c r="EU172" i="5"/>
  <c r="EU173" i="5"/>
  <c r="EU174" i="5"/>
  <c r="EU175" i="5"/>
  <c r="EU176" i="5"/>
  <c r="EU177" i="5"/>
  <c r="EU178" i="5"/>
  <c r="EU179" i="5"/>
  <c r="EU180" i="5"/>
  <c r="EU181" i="5"/>
  <c r="EU182" i="5"/>
  <c r="EU183" i="5"/>
  <c r="EU184" i="5"/>
  <c r="EU185" i="5"/>
  <c r="EU186" i="5"/>
  <c r="EU187" i="5"/>
  <c r="EU188" i="5"/>
  <c r="EU189" i="5"/>
  <c r="EU190" i="5"/>
  <c r="EU191" i="5"/>
  <c r="EU192" i="5"/>
  <c r="EU193" i="5"/>
  <c r="EU194" i="5"/>
  <c r="EU195" i="5"/>
  <c r="EU196" i="5"/>
  <c r="EU197" i="5"/>
  <c r="EU198" i="5"/>
  <c r="EU199" i="5"/>
  <c r="EU200" i="5"/>
  <c r="EU201" i="5"/>
  <c r="EU202" i="5"/>
  <c r="EU203" i="5"/>
  <c r="EU204" i="5"/>
  <c r="EU205" i="5"/>
  <c r="EU206" i="5"/>
  <c r="EU208" i="5"/>
  <c r="EU209" i="5"/>
  <c r="EU210" i="5"/>
  <c r="EU211" i="5"/>
  <c r="EU212" i="5"/>
  <c r="EU213" i="5"/>
  <c r="EU214" i="5"/>
  <c r="EU215" i="5"/>
  <c r="EU216" i="5"/>
  <c r="EU217" i="5"/>
  <c r="EU218" i="5"/>
  <c r="EU219" i="5"/>
  <c r="EU220" i="5"/>
  <c r="EU221" i="5"/>
  <c r="EU222" i="5"/>
  <c r="EU223" i="5"/>
  <c r="EU224" i="5"/>
  <c r="EU225" i="5"/>
  <c r="EU226" i="5"/>
  <c r="EU227" i="5"/>
  <c r="EU228" i="5"/>
  <c r="EU229" i="5"/>
  <c r="EU230" i="5"/>
  <c r="EU231" i="5"/>
  <c r="EU232" i="5"/>
  <c r="EU233" i="5"/>
  <c r="EU234" i="5"/>
  <c r="EU235" i="5"/>
  <c r="EU236" i="5"/>
  <c r="EU237" i="5"/>
  <c r="EU238" i="5"/>
  <c r="EU239" i="5"/>
  <c r="EU240" i="5"/>
  <c r="EU241" i="5"/>
  <c r="EU242" i="5"/>
  <c r="EU243" i="5"/>
  <c r="EU244" i="5"/>
  <c r="EU245" i="5"/>
  <c r="EU246" i="5"/>
  <c r="EU247" i="5"/>
  <c r="EU248" i="5"/>
  <c r="EP4" i="5"/>
  <c r="EP5" i="5"/>
  <c r="EP6" i="5"/>
  <c r="EP7" i="5"/>
  <c r="EP8" i="5"/>
  <c r="EP9" i="5"/>
  <c r="EP10" i="5"/>
  <c r="EP11" i="5"/>
  <c r="EP12" i="5"/>
  <c r="EP13" i="5"/>
  <c r="EP14" i="5"/>
  <c r="EP15" i="5"/>
  <c r="EP16" i="5"/>
  <c r="EP17" i="5"/>
  <c r="EP18" i="5"/>
  <c r="EP19" i="5"/>
  <c r="EP20" i="5"/>
  <c r="EP21" i="5"/>
  <c r="EP22" i="5"/>
  <c r="EP23" i="5"/>
  <c r="EP24" i="5"/>
  <c r="EP25" i="5"/>
  <c r="EP26" i="5"/>
  <c r="EP27" i="5"/>
  <c r="EP28" i="5"/>
  <c r="EP29" i="5"/>
  <c r="EP30" i="5"/>
  <c r="EP31" i="5"/>
  <c r="EP32" i="5"/>
  <c r="EP33" i="5"/>
  <c r="EP34" i="5"/>
  <c r="EP35" i="5"/>
  <c r="EP36" i="5"/>
  <c r="EP37" i="5"/>
  <c r="EP38" i="5"/>
  <c r="EP39" i="5"/>
  <c r="EP40" i="5"/>
  <c r="EP41" i="5"/>
  <c r="EP42" i="5"/>
  <c r="EP43" i="5"/>
  <c r="EP44" i="5"/>
  <c r="EP45" i="5"/>
  <c r="EP46" i="5"/>
  <c r="EP47" i="5"/>
  <c r="EP48" i="5"/>
  <c r="EP49" i="5"/>
  <c r="EP50" i="5"/>
  <c r="EP51" i="5"/>
  <c r="EP52" i="5"/>
  <c r="EP53" i="5"/>
  <c r="EP54" i="5"/>
  <c r="EP55" i="5"/>
  <c r="EP56" i="5"/>
  <c r="EP57" i="5"/>
  <c r="EP58" i="5"/>
  <c r="EP59" i="5"/>
  <c r="EP60" i="5"/>
  <c r="EP61" i="5"/>
  <c r="EP62" i="5"/>
  <c r="EP63" i="5"/>
  <c r="EP64" i="5"/>
  <c r="EP65" i="5"/>
  <c r="EP66" i="5"/>
  <c r="EP67" i="5"/>
  <c r="EP68" i="5"/>
  <c r="EP69" i="5"/>
  <c r="EP70" i="5"/>
  <c r="EP71" i="5"/>
  <c r="EP72" i="5"/>
  <c r="EP73" i="5"/>
  <c r="EP74" i="5"/>
  <c r="EP75" i="5"/>
  <c r="EP76" i="5"/>
  <c r="EP77" i="5"/>
  <c r="EP78" i="5"/>
  <c r="EP79" i="5"/>
  <c r="EP80" i="5"/>
  <c r="EP81" i="5"/>
  <c r="EP82" i="5"/>
  <c r="EP83" i="5"/>
  <c r="EP84" i="5"/>
  <c r="EP85" i="5"/>
  <c r="EP86" i="5"/>
  <c r="EP87" i="5"/>
  <c r="EP88" i="5"/>
  <c r="EP89" i="5"/>
  <c r="EP90" i="5"/>
  <c r="EP91" i="5"/>
  <c r="EP92" i="5"/>
  <c r="EP93" i="5"/>
  <c r="EP94" i="5"/>
  <c r="EP95" i="5"/>
  <c r="EP96" i="5"/>
  <c r="EP97" i="5"/>
  <c r="EP98" i="5"/>
  <c r="EP99" i="5"/>
  <c r="EP100" i="5"/>
  <c r="EP101" i="5"/>
  <c r="EP102" i="5"/>
  <c r="EP103" i="5"/>
  <c r="EP104" i="5"/>
  <c r="EP105" i="5"/>
  <c r="EP106" i="5"/>
  <c r="EP107" i="5"/>
  <c r="EP108" i="5"/>
  <c r="EP109" i="5"/>
  <c r="EP110" i="5"/>
  <c r="EP111" i="5"/>
  <c r="EP112" i="5"/>
  <c r="EP113" i="5"/>
  <c r="EP114" i="5"/>
  <c r="EP115" i="5"/>
  <c r="EP116" i="5"/>
  <c r="EP117" i="5"/>
  <c r="EP118" i="5"/>
  <c r="EP119" i="5"/>
  <c r="EP120" i="5"/>
  <c r="EP121" i="5"/>
  <c r="EP122" i="5"/>
  <c r="EP123" i="5"/>
  <c r="EP124" i="5"/>
  <c r="EP125" i="5"/>
  <c r="EP126" i="5"/>
  <c r="EP127" i="5"/>
  <c r="EP128" i="5"/>
  <c r="EP129" i="5"/>
  <c r="EP130" i="5"/>
  <c r="EP131" i="5"/>
  <c r="EP132" i="5"/>
  <c r="EP133" i="5"/>
  <c r="EP134" i="5"/>
  <c r="EP135" i="5"/>
  <c r="EP136" i="5"/>
  <c r="EP137" i="5"/>
  <c r="EP138" i="5"/>
  <c r="EP139" i="5"/>
  <c r="EP140" i="5"/>
  <c r="EP141" i="5"/>
  <c r="EP142" i="5"/>
  <c r="EP143" i="5"/>
  <c r="EP144" i="5"/>
  <c r="EP145" i="5"/>
  <c r="EP146" i="5"/>
  <c r="EP147" i="5"/>
  <c r="EP148" i="5"/>
  <c r="EP149" i="5"/>
  <c r="EP150" i="5"/>
  <c r="EP151" i="5"/>
  <c r="EP152" i="5"/>
  <c r="EP153" i="5"/>
  <c r="EP154" i="5"/>
  <c r="EP155" i="5"/>
  <c r="EP156" i="5"/>
  <c r="EP157" i="5"/>
  <c r="EP158" i="5"/>
  <c r="EP159" i="5"/>
  <c r="EP160" i="5"/>
  <c r="EP161" i="5"/>
  <c r="EP162" i="5"/>
  <c r="EP163" i="5"/>
  <c r="EP164" i="5"/>
  <c r="EP165" i="5"/>
  <c r="EP166" i="5"/>
  <c r="EP167" i="5"/>
  <c r="EP168" i="5"/>
  <c r="EP169" i="5"/>
  <c r="EP170" i="5"/>
  <c r="EP171" i="5"/>
  <c r="EP172" i="5"/>
  <c r="EP173" i="5"/>
  <c r="EP174" i="5"/>
  <c r="EP175" i="5"/>
  <c r="EP176" i="5"/>
  <c r="EP177" i="5"/>
  <c r="EP178" i="5"/>
  <c r="EP179" i="5"/>
  <c r="EP180" i="5"/>
  <c r="EP181" i="5"/>
  <c r="EP182" i="5"/>
  <c r="EP183" i="5"/>
  <c r="EP184" i="5"/>
  <c r="EP185" i="5"/>
  <c r="EP186" i="5"/>
  <c r="EP187" i="5"/>
  <c r="EP188" i="5"/>
  <c r="EP189" i="5"/>
  <c r="EP190" i="5"/>
  <c r="EP191" i="5"/>
  <c r="EP192" i="5"/>
  <c r="EP193" i="5"/>
  <c r="EP194" i="5"/>
  <c r="EP195" i="5"/>
  <c r="EP196" i="5"/>
  <c r="EP197" i="5"/>
  <c r="EP198" i="5"/>
  <c r="EP199" i="5"/>
  <c r="EP200" i="5"/>
  <c r="EP201" i="5"/>
  <c r="EP202" i="5"/>
  <c r="EP203" i="5"/>
  <c r="EP204" i="5"/>
  <c r="EP205" i="5"/>
  <c r="EP206" i="5"/>
  <c r="EP208" i="5"/>
  <c r="EP209" i="5"/>
  <c r="EP210" i="5"/>
  <c r="EP211" i="5"/>
  <c r="EP212" i="5"/>
  <c r="EP213" i="5"/>
  <c r="EP214" i="5"/>
  <c r="EP215" i="5"/>
  <c r="EP216" i="5"/>
  <c r="EP217" i="5"/>
  <c r="EP218" i="5"/>
  <c r="EP219" i="5"/>
  <c r="EP220" i="5"/>
  <c r="EP221" i="5"/>
  <c r="EP222" i="5"/>
  <c r="EP223" i="5"/>
  <c r="EP224" i="5"/>
  <c r="EP225" i="5"/>
  <c r="EP226" i="5"/>
  <c r="EP227" i="5"/>
  <c r="EP228" i="5"/>
  <c r="EP229" i="5"/>
  <c r="EP230" i="5"/>
  <c r="EP231" i="5"/>
  <c r="EP232" i="5"/>
  <c r="EP233" i="5"/>
  <c r="EP234" i="5"/>
  <c r="EP235" i="5"/>
  <c r="EP236" i="5"/>
  <c r="EP237" i="5"/>
  <c r="EP238" i="5"/>
  <c r="EP239" i="5"/>
  <c r="EP240" i="5"/>
  <c r="EP241" i="5"/>
  <c r="EP242" i="5"/>
  <c r="EP243" i="5"/>
  <c r="EP244" i="5"/>
  <c r="EP245" i="5"/>
  <c r="EP246" i="5"/>
  <c r="EP247" i="5"/>
  <c r="EP248" i="5"/>
  <c r="DV4" i="5"/>
  <c r="DY4" i="5"/>
  <c r="EA4" i="5"/>
  <c r="EB4" i="5" s="1"/>
  <c r="DV5" i="5"/>
  <c r="DY5" i="5"/>
  <c r="CK5" i="5" s="1"/>
  <c r="EA5" i="5"/>
  <c r="EB5" i="5" s="1"/>
  <c r="DV6" i="5"/>
  <c r="DY6" i="5"/>
  <c r="CK6" i="5" s="1"/>
  <c r="EA6" i="5"/>
  <c r="EB6" i="5" s="1"/>
  <c r="DV7" i="5"/>
  <c r="DY7" i="5"/>
  <c r="CK7" i="5" s="1"/>
  <c r="EA7" i="5"/>
  <c r="EB7" i="5" s="1"/>
  <c r="DV8" i="5"/>
  <c r="DY8" i="5"/>
  <c r="CK8" i="5" s="1"/>
  <c r="EA8" i="5"/>
  <c r="EB8" i="5" s="1"/>
  <c r="DV9" i="5"/>
  <c r="DY9" i="5"/>
  <c r="CK9" i="5" s="1"/>
  <c r="EA9" i="5"/>
  <c r="EB9" i="5" s="1"/>
  <c r="DV10" i="5"/>
  <c r="DY10" i="5"/>
  <c r="CK10" i="5" s="1"/>
  <c r="EA10" i="5"/>
  <c r="EB10" i="5" s="1"/>
  <c r="DV11" i="5"/>
  <c r="DY11" i="5"/>
  <c r="CK11" i="5" s="1"/>
  <c r="EA11" i="5"/>
  <c r="EB11" i="5" s="1"/>
  <c r="DV12" i="5"/>
  <c r="DY12" i="5"/>
  <c r="EA12" i="5"/>
  <c r="EB12" i="5" s="1"/>
  <c r="DV13" i="5"/>
  <c r="DY13" i="5"/>
  <c r="CK13" i="5" s="1"/>
  <c r="EA13" i="5"/>
  <c r="EB13" i="5" s="1"/>
  <c r="DV14" i="5"/>
  <c r="DY14" i="5"/>
  <c r="CK14" i="5" s="1"/>
  <c r="EA14" i="5"/>
  <c r="EB14" i="5" s="1"/>
  <c r="DV15" i="5"/>
  <c r="DY15" i="5"/>
  <c r="EA15" i="5"/>
  <c r="EB15" i="5" s="1"/>
  <c r="DV16" i="5"/>
  <c r="DY16" i="5"/>
  <c r="EA16" i="5"/>
  <c r="EB16" i="5" s="1"/>
  <c r="DV17" i="5"/>
  <c r="DY17" i="5"/>
  <c r="CK17" i="5" s="1"/>
  <c r="EA17" i="5"/>
  <c r="EB17" i="5" s="1"/>
  <c r="DV18" i="5"/>
  <c r="DY18" i="5"/>
  <c r="CK18" i="5" s="1"/>
  <c r="EA18" i="5"/>
  <c r="EB18" i="5" s="1"/>
  <c r="DV19" i="5"/>
  <c r="DY19" i="5"/>
  <c r="CK19" i="5" s="1"/>
  <c r="EA19" i="5"/>
  <c r="EB19" i="5" s="1"/>
  <c r="DV20" i="5"/>
  <c r="DY20" i="5"/>
  <c r="EA20" i="5"/>
  <c r="EB20" i="5" s="1"/>
  <c r="DV21" i="5"/>
  <c r="DY21" i="5"/>
  <c r="CK21" i="5" s="1"/>
  <c r="EA21" i="5"/>
  <c r="EB21" i="5" s="1"/>
  <c r="DV22" i="5"/>
  <c r="DY22" i="5"/>
  <c r="CK22" i="5" s="1"/>
  <c r="EA22" i="5"/>
  <c r="EB22" i="5" s="1"/>
  <c r="DV23" i="5"/>
  <c r="DY23" i="5"/>
  <c r="CK23" i="5" s="1"/>
  <c r="EA23" i="5"/>
  <c r="EB23" i="5" s="1"/>
  <c r="DV24" i="5"/>
  <c r="DY24" i="5"/>
  <c r="CK24" i="5" s="1"/>
  <c r="EA24" i="5"/>
  <c r="EB24" i="5" s="1"/>
  <c r="DV25" i="5"/>
  <c r="DY25" i="5"/>
  <c r="CK25" i="5" s="1"/>
  <c r="EA25" i="5"/>
  <c r="EB25" i="5" s="1"/>
  <c r="DV26" i="5"/>
  <c r="DY26" i="5"/>
  <c r="CK26" i="5" s="1"/>
  <c r="EA26" i="5"/>
  <c r="EB26" i="5" s="1"/>
  <c r="DV27" i="5"/>
  <c r="DY27" i="5"/>
  <c r="CK27" i="5" s="1"/>
  <c r="EA27" i="5"/>
  <c r="EB27" i="5" s="1"/>
  <c r="DV28" i="5"/>
  <c r="DY28" i="5"/>
  <c r="EA28" i="5"/>
  <c r="EB28" i="5" s="1"/>
  <c r="DV29" i="5"/>
  <c r="DY29" i="5"/>
  <c r="CK29" i="5" s="1"/>
  <c r="EA29" i="5"/>
  <c r="EB29" i="5" s="1"/>
  <c r="DV30" i="5"/>
  <c r="DY30" i="5"/>
  <c r="CK30" i="5" s="1"/>
  <c r="EA30" i="5"/>
  <c r="EB30" i="5" s="1"/>
  <c r="DV31" i="5"/>
  <c r="DY31" i="5"/>
  <c r="EA31" i="5"/>
  <c r="EB31" i="5" s="1"/>
  <c r="DV32" i="5"/>
  <c r="DY32" i="5"/>
  <c r="EA32" i="5"/>
  <c r="EB32" i="5" s="1"/>
  <c r="DV33" i="5"/>
  <c r="DY33" i="5"/>
  <c r="CK33" i="5" s="1"/>
  <c r="EA33" i="5"/>
  <c r="EB33" i="5" s="1"/>
  <c r="DV34" i="5"/>
  <c r="DY34" i="5"/>
  <c r="CK34" i="5" s="1"/>
  <c r="EA34" i="5"/>
  <c r="EB34" i="5" s="1"/>
  <c r="DV35" i="5"/>
  <c r="DY35" i="5"/>
  <c r="CK35" i="5" s="1"/>
  <c r="EA35" i="5"/>
  <c r="EB35" i="5" s="1"/>
  <c r="DV36" i="5"/>
  <c r="DY36" i="5"/>
  <c r="EA36" i="5"/>
  <c r="EB36" i="5" s="1"/>
  <c r="DV37" i="5"/>
  <c r="DY37" i="5"/>
  <c r="CK37" i="5" s="1"/>
  <c r="EA37" i="5"/>
  <c r="EB37" i="5" s="1"/>
  <c r="DV38" i="5"/>
  <c r="DY38" i="5"/>
  <c r="CK38" i="5" s="1"/>
  <c r="EA38" i="5"/>
  <c r="EB38" i="5" s="1"/>
  <c r="DV39" i="5"/>
  <c r="DY39" i="5"/>
  <c r="CK39" i="5" s="1"/>
  <c r="EA39" i="5"/>
  <c r="EB39" i="5" s="1"/>
  <c r="DV40" i="5"/>
  <c r="DY40" i="5"/>
  <c r="CK40" i="5" s="1"/>
  <c r="EA40" i="5"/>
  <c r="EB40" i="5" s="1"/>
  <c r="DV41" i="5"/>
  <c r="DY41" i="5"/>
  <c r="CK41" i="5" s="1"/>
  <c r="EA41" i="5"/>
  <c r="EB41" i="5" s="1"/>
  <c r="DV42" i="5"/>
  <c r="DY42" i="5"/>
  <c r="CK42" i="5" s="1"/>
  <c r="EA42" i="5"/>
  <c r="EB42" i="5" s="1"/>
  <c r="DV43" i="5"/>
  <c r="DY43" i="5"/>
  <c r="CK43" i="5" s="1"/>
  <c r="EA43" i="5"/>
  <c r="EB43" i="5" s="1"/>
  <c r="DV44" i="5"/>
  <c r="DY44" i="5"/>
  <c r="EA44" i="5"/>
  <c r="EB44" i="5" s="1"/>
  <c r="DV45" i="5"/>
  <c r="DY45" i="5"/>
  <c r="CK45" i="5" s="1"/>
  <c r="EA45" i="5"/>
  <c r="EB45" i="5" s="1"/>
  <c r="DV46" i="5"/>
  <c r="DY46" i="5"/>
  <c r="CK46" i="5" s="1"/>
  <c r="EA46" i="5"/>
  <c r="EB46" i="5" s="1"/>
  <c r="DV47" i="5"/>
  <c r="DY47" i="5"/>
  <c r="EA47" i="5"/>
  <c r="EB47" i="5" s="1"/>
  <c r="DV48" i="5"/>
  <c r="DY48" i="5"/>
  <c r="EA48" i="5"/>
  <c r="EB48" i="5" s="1"/>
  <c r="DV49" i="5"/>
  <c r="DY49" i="5"/>
  <c r="CK49" i="5" s="1"/>
  <c r="EA49" i="5"/>
  <c r="EB49" i="5" s="1"/>
  <c r="DV50" i="5"/>
  <c r="DY50" i="5"/>
  <c r="CK50" i="5" s="1"/>
  <c r="EA50" i="5"/>
  <c r="EB50" i="5" s="1"/>
  <c r="DV51" i="5"/>
  <c r="DY51" i="5"/>
  <c r="CK51" i="5" s="1"/>
  <c r="EA51" i="5"/>
  <c r="EB51" i="5" s="1"/>
  <c r="DV52" i="5"/>
  <c r="DY52" i="5"/>
  <c r="EA52" i="5"/>
  <c r="EB52" i="5" s="1"/>
  <c r="DV53" i="5"/>
  <c r="DY53" i="5"/>
  <c r="CK53" i="5" s="1"/>
  <c r="EA53" i="5"/>
  <c r="EB53" i="5" s="1"/>
  <c r="DV54" i="5"/>
  <c r="DY54" i="5"/>
  <c r="CK54" i="5" s="1"/>
  <c r="EA54" i="5"/>
  <c r="EB54" i="5" s="1"/>
  <c r="DV55" i="5"/>
  <c r="DY55" i="5"/>
  <c r="CK55" i="5" s="1"/>
  <c r="EA55" i="5"/>
  <c r="EB55" i="5" s="1"/>
  <c r="DV56" i="5"/>
  <c r="DY56" i="5"/>
  <c r="CK56" i="5" s="1"/>
  <c r="EA56" i="5"/>
  <c r="EB56" i="5" s="1"/>
  <c r="DV57" i="5"/>
  <c r="DY57" i="5"/>
  <c r="CK57" i="5" s="1"/>
  <c r="EA57" i="5"/>
  <c r="EB57" i="5" s="1"/>
  <c r="DV58" i="5"/>
  <c r="DY58" i="5"/>
  <c r="CK58" i="5" s="1"/>
  <c r="EA58" i="5"/>
  <c r="EB58" i="5" s="1"/>
  <c r="DV59" i="5"/>
  <c r="DY59" i="5"/>
  <c r="CK59" i="5" s="1"/>
  <c r="EA59" i="5"/>
  <c r="EB59" i="5" s="1"/>
  <c r="DV60" i="5"/>
  <c r="DY60" i="5"/>
  <c r="EA60" i="5"/>
  <c r="EB60" i="5" s="1"/>
  <c r="DV61" i="5"/>
  <c r="DY61" i="5"/>
  <c r="CK61" i="5" s="1"/>
  <c r="EA61" i="5"/>
  <c r="EB61" i="5" s="1"/>
  <c r="DV62" i="5"/>
  <c r="DY62" i="5"/>
  <c r="CK62" i="5" s="1"/>
  <c r="EA62" i="5"/>
  <c r="EB62" i="5" s="1"/>
  <c r="DV63" i="5"/>
  <c r="DY63" i="5"/>
  <c r="EA63" i="5"/>
  <c r="EB63" i="5" s="1"/>
  <c r="DV64" i="5"/>
  <c r="DY64" i="5"/>
  <c r="CK64" i="5" s="1"/>
  <c r="EA64" i="5"/>
  <c r="EB64" i="5" s="1"/>
  <c r="DV65" i="5"/>
  <c r="DY65" i="5"/>
  <c r="CK65" i="5" s="1"/>
  <c r="EA65" i="5"/>
  <c r="EB65" i="5" s="1"/>
  <c r="DV66" i="5"/>
  <c r="DY66" i="5"/>
  <c r="CK66" i="5" s="1"/>
  <c r="EA66" i="5"/>
  <c r="EB66" i="5" s="1"/>
  <c r="DV67" i="5"/>
  <c r="DY67" i="5"/>
  <c r="CK67" i="5" s="1"/>
  <c r="EA67" i="5"/>
  <c r="EB67" i="5" s="1"/>
  <c r="DV68" i="5"/>
  <c r="DY68" i="5"/>
  <c r="EA68" i="5"/>
  <c r="EB68" i="5" s="1"/>
  <c r="DV69" i="5"/>
  <c r="DY69" i="5"/>
  <c r="CK69" i="5" s="1"/>
  <c r="EA69" i="5"/>
  <c r="EB69" i="5" s="1"/>
  <c r="DV70" i="5"/>
  <c r="DY70" i="5"/>
  <c r="CK70" i="5" s="1"/>
  <c r="EA70" i="5"/>
  <c r="EB70" i="5" s="1"/>
  <c r="DV71" i="5"/>
  <c r="DY71" i="5"/>
  <c r="CK71" i="5" s="1"/>
  <c r="EA71" i="5"/>
  <c r="EB71" i="5" s="1"/>
  <c r="DV72" i="5"/>
  <c r="DY72" i="5"/>
  <c r="CK72" i="5" s="1"/>
  <c r="EA72" i="5"/>
  <c r="EB72" i="5" s="1"/>
  <c r="DV73" i="5"/>
  <c r="DY73" i="5"/>
  <c r="CK73" i="5" s="1"/>
  <c r="EA73" i="5"/>
  <c r="EB73" i="5" s="1"/>
  <c r="DV74" i="5"/>
  <c r="DY74" i="5"/>
  <c r="CK74" i="5" s="1"/>
  <c r="EA74" i="5"/>
  <c r="EB74" i="5" s="1"/>
  <c r="DV75" i="5"/>
  <c r="DY75" i="5"/>
  <c r="CK75" i="5" s="1"/>
  <c r="EA75" i="5"/>
  <c r="EB75" i="5" s="1"/>
  <c r="DV76" i="5"/>
  <c r="DY76" i="5"/>
  <c r="CK76" i="5" s="1"/>
  <c r="EA76" i="5"/>
  <c r="EB76" i="5" s="1"/>
  <c r="DV77" i="5"/>
  <c r="DY77" i="5"/>
  <c r="CK77" i="5" s="1"/>
  <c r="EA77" i="5"/>
  <c r="EB77" i="5" s="1"/>
  <c r="DV78" i="5"/>
  <c r="DY78" i="5"/>
  <c r="CK78" i="5" s="1"/>
  <c r="EA78" i="5"/>
  <c r="EB78" i="5" s="1"/>
  <c r="DV79" i="5"/>
  <c r="DY79" i="5"/>
  <c r="EA79" i="5"/>
  <c r="EB79" i="5" s="1"/>
  <c r="DV80" i="5"/>
  <c r="DY80" i="5"/>
  <c r="CK80" i="5" s="1"/>
  <c r="EA80" i="5"/>
  <c r="EB80" i="5" s="1"/>
  <c r="DV81" i="5"/>
  <c r="DY81" i="5"/>
  <c r="CK81" i="5" s="1"/>
  <c r="EA81" i="5"/>
  <c r="EB81" i="5" s="1"/>
  <c r="DV82" i="5"/>
  <c r="DY82" i="5"/>
  <c r="CK82" i="5" s="1"/>
  <c r="EA82" i="5"/>
  <c r="EB82" i="5" s="1"/>
  <c r="DV83" i="5"/>
  <c r="DY83" i="5"/>
  <c r="CK83" i="5" s="1"/>
  <c r="EA83" i="5"/>
  <c r="EB83" i="5" s="1"/>
  <c r="DV84" i="5"/>
  <c r="DY84" i="5"/>
  <c r="EA84" i="5"/>
  <c r="EB84" i="5" s="1"/>
  <c r="DV85" i="5"/>
  <c r="DY85" i="5"/>
  <c r="CK85" i="5" s="1"/>
  <c r="EA85" i="5"/>
  <c r="EB85" i="5" s="1"/>
  <c r="DV86" i="5"/>
  <c r="DY86" i="5"/>
  <c r="CK86" i="5" s="1"/>
  <c r="EA86" i="5"/>
  <c r="EB86" i="5" s="1"/>
  <c r="DV87" i="5"/>
  <c r="DY87" i="5"/>
  <c r="CK87" i="5" s="1"/>
  <c r="EA87" i="5"/>
  <c r="EB87" i="5" s="1"/>
  <c r="DV88" i="5"/>
  <c r="DY88" i="5"/>
  <c r="CK88" i="5" s="1"/>
  <c r="EA88" i="5"/>
  <c r="EB88" i="5" s="1"/>
  <c r="DV89" i="5"/>
  <c r="DY89" i="5"/>
  <c r="CK89" i="5" s="1"/>
  <c r="EA89" i="5"/>
  <c r="EB89" i="5" s="1"/>
  <c r="DV90" i="5"/>
  <c r="DY90" i="5"/>
  <c r="CK90" i="5" s="1"/>
  <c r="EA90" i="5"/>
  <c r="EB90" i="5" s="1"/>
  <c r="DV91" i="5"/>
  <c r="DY91" i="5"/>
  <c r="CK91" i="5" s="1"/>
  <c r="EA91" i="5"/>
  <c r="EB91" i="5" s="1"/>
  <c r="DV92" i="5"/>
  <c r="DY92" i="5"/>
  <c r="CK92" i="5" s="1"/>
  <c r="EA92" i="5"/>
  <c r="EB92" i="5" s="1"/>
  <c r="DV93" i="5"/>
  <c r="DY93" i="5"/>
  <c r="CK93" i="5" s="1"/>
  <c r="EA93" i="5"/>
  <c r="EB93" i="5" s="1"/>
  <c r="DV94" i="5"/>
  <c r="DY94" i="5"/>
  <c r="CK94" i="5" s="1"/>
  <c r="EA94" i="5"/>
  <c r="EB94" i="5" s="1"/>
  <c r="DV95" i="5"/>
  <c r="DY95" i="5"/>
  <c r="EA95" i="5"/>
  <c r="EB95" i="5" s="1"/>
  <c r="DV96" i="5"/>
  <c r="DY96" i="5"/>
  <c r="CK96" i="5" s="1"/>
  <c r="EA96" i="5"/>
  <c r="EB96" i="5" s="1"/>
  <c r="DV97" i="5"/>
  <c r="DY97" i="5"/>
  <c r="CK97" i="5" s="1"/>
  <c r="EA97" i="5"/>
  <c r="EB97" i="5" s="1"/>
  <c r="DV98" i="5"/>
  <c r="DY98" i="5"/>
  <c r="CK98" i="5" s="1"/>
  <c r="EA98" i="5"/>
  <c r="EB98" i="5" s="1"/>
  <c r="DV99" i="5"/>
  <c r="DY99" i="5"/>
  <c r="CK99" i="5" s="1"/>
  <c r="EA99" i="5"/>
  <c r="EB99" i="5" s="1"/>
  <c r="DV100" i="5"/>
  <c r="DY100" i="5"/>
  <c r="EA100" i="5"/>
  <c r="EB100" i="5" s="1"/>
  <c r="DV101" i="5"/>
  <c r="DY101" i="5"/>
  <c r="CK101" i="5" s="1"/>
  <c r="EA101" i="5"/>
  <c r="EB101" i="5" s="1"/>
  <c r="DV102" i="5"/>
  <c r="DY102" i="5"/>
  <c r="CK102" i="5" s="1"/>
  <c r="EA102" i="5"/>
  <c r="EB102" i="5" s="1"/>
  <c r="DV103" i="5"/>
  <c r="DY103" i="5"/>
  <c r="CK103" i="5" s="1"/>
  <c r="EA103" i="5"/>
  <c r="EB103" i="5" s="1"/>
  <c r="DV104" i="5"/>
  <c r="DY104" i="5"/>
  <c r="CK104" i="5" s="1"/>
  <c r="EA104" i="5"/>
  <c r="EB104" i="5" s="1"/>
  <c r="DV105" i="5"/>
  <c r="DY105" i="5"/>
  <c r="CK105" i="5" s="1"/>
  <c r="EA105" i="5"/>
  <c r="EB105" i="5" s="1"/>
  <c r="DV106" i="5"/>
  <c r="DY106" i="5"/>
  <c r="CK106" i="5" s="1"/>
  <c r="EA106" i="5"/>
  <c r="EB106" i="5" s="1"/>
  <c r="DV107" i="5"/>
  <c r="DY107" i="5"/>
  <c r="CK107" i="5" s="1"/>
  <c r="EA107" i="5"/>
  <c r="EB107" i="5" s="1"/>
  <c r="DV108" i="5"/>
  <c r="DY108" i="5"/>
  <c r="CK108" i="5" s="1"/>
  <c r="EA108" i="5"/>
  <c r="EB108" i="5" s="1"/>
  <c r="DV109" i="5"/>
  <c r="DY109" i="5"/>
  <c r="CK109" i="5" s="1"/>
  <c r="EA109" i="5"/>
  <c r="EB109" i="5" s="1"/>
  <c r="DV110" i="5"/>
  <c r="DY110" i="5"/>
  <c r="CK110" i="5" s="1"/>
  <c r="EA110" i="5"/>
  <c r="EB110" i="5" s="1"/>
  <c r="DV111" i="5"/>
  <c r="DY111" i="5"/>
  <c r="CK111" i="5" s="1"/>
  <c r="EA111" i="5"/>
  <c r="EB111" i="5" s="1"/>
  <c r="DV112" i="5"/>
  <c r="DY112" i="5"/>
  <c r="CK112" i="5" s="1"/>
  <c r="EA112" i="5"/>
  <c r="EB112" i="5" s="1"/>
  <c r="DV113" i="5"/>
  <c r="DY113" i="5"/>
  <c r="CK113" i="5" s="1"/>
  <c r="EA113" i="5"/>
  <c r="EB113" i="5" s="1"/>
  <c r="DV114" i="5"/>
  <c r="DY114" i="5"/>
  <c r="CK114" i="5" s="1"/>
  <c r="EA114" i="5"/>
  <c r="EB114" i="5" s="1"/>
  <c r="DV115" i="5"/>
  <c r="DY115" i="5"/>
  <c r="CK115" i="5" s="1"/>
  <c r="EA115" i="5"/>
  <c r="EB115" i="5" s="1"/>
  <c r="DV116" i="5"/>
  <c r="DY116" i="5"/>
  <c r="CK116" i="5" s="1"/>
  <c r="EA116" i="5"/>
  <c r="EB116" i="5" s="1"/>
  <c r="DV117" i="5"/>
  <c r="DY117" i="5"/>
  <c r="CK117" i="5" s="1"/>
  <c r="EA117" i="5"/>
  <c r="EB117" i="5" s="1"/>
  <c r="DV118" i="5"/>
  <c r="DY118" i="5"/>
  <c r="CK118" i="5" s="1"/>
  <c r="EA118" i="5"/>
  <c r="EB118" i="5" s="1"/>
  <c r="DV119" i="5"/>
  <c r="DY119" i="5"/>
  <c r="CK119" i="5" s="1"/>
  <c r="EA119" i="5"/>
  <c r="EB119" i="5" s="1"/>
  <c r="DV120" i="5"/>
  <c r="DY120" i="5"/>
  <c r="CK120" i="5" s="1"/>
  <c r="EA120" i="5"/>
  <c r="EB120" i="5" s="1"/>
  <c r="DV121" i="5"/>
  <c r="DY121" i="5"/>
  <c r="CK121" i="5" s="1"/>
  <c r="EA121" i="5"/>
  <c r="EB121" i="5" s="1"/>
  <c r="DV122" i="5"/>
  <c r="DY122" i="5"/>
  <c r="CK122" i="5" s="1"/>
  <c r="EA122" i="5"/>
  <c r="EB122" i="5" s="1"/>
  <c r="DV123" i="5"/>
  <c r="DY123" i="5"/>
  <c r="CK123" i="5" s="1"/>
  <c r="EA123" i="5"/>
  <c r="EB123" i="5" s="1"/>
  <c r="DV124" i="5"/>
  <c r="DY124" i="5"/>
  <c r="CK124" i="5" s="1"/>
  <c r="EA124" i="5"/>
  <c r="EB124" i="5" s="1"/>
  <c r="DV125" i="5"/>
  <c r="DY125" i="5"/>
  <c r="CK125" i="5" s="1"/>
  <c r="EA125" i="5"/>
  <c r="EB125" i="5" s="1"/>
  <c r="DV126" i="5"/>
  <c r="DY126" i="5"/>
  <c r="CK126" i="5" s="1"/>
  <c r="EA126" i="5"/>
  <c r="EB126" i="5" s="1"/>
  <c r="DV127" i="5"/>
  <c r="DY127" i="5"/>
  <c r="CK127" i="5" s="1"/>
  <c r="EA127" i="5"/>
  <c r="EB127" i="5" s="1"/>
  <c r="DV128" i="5"/>
  <c r="DY128" i="5"/>
  <c r="CK128" i="5" s="1"/>
  <c r="EA128" i="5"/>
  <c r="EB128" i="5" s="1"/>
  <c r="DV129" i="5"/>
  <c r="DY129" i="5"/>
  <c r="CK129" i="5" s="1"/>
  <c r="EA129" i="5"/>
  <c r="EB129" i="5" s="1"/>
  <c r="DV130" i="5"/>
  <c r="DY130" i="5"/>
  <c r="CK130" i="5" s="1"/>
  <c r="EA130" i="5"/>
  <c r="EB130" i="5" s="1"/>
  <c r="DV131" i="5"/>
  <c r="DY131" i="5"/>
  <c r="CK131" i="5" s="1"/>
  <c r="EA131" i="5"/>
  <c r="EB131" i="5" s="1"/>
  <c r="DV132" i="5"/>
  <c r="DY132" i="5"/>
  <c r="CK132" i="5" s="1"/>
  <c r="EA132" i="5"/>
  <c r="DV133" i="5"/>
  <c r="DY133" i="5"/>
  <c r="CK133" i="5" s="1"/>
  <c r="EA133" i="5"/>
  <c r="EB133" i="5" s="1"/>
  <c r="DV134" i="5"/>
  <c r="DY134" i="5"/>
  <c r="CK134" i="5" s="1"/>
  <c r="EA134" i="5"/>
  <c r="EB134" i="5" s="1"/>
  <c r="DV135" i="5"/>
  <c r="DY135" i="5"/>
  <c r="CK135" i="5" s="1"/>
  <c r="EA135" i="5"/>
  <c r="EB135" i="5" s="1"/>
  <c r="DV136" i="5"/>
  <c r="DY136" i="5"/>
  <c r="CK136" i="5" s="1"/>
  <c r="EA136" i="5"/>
  <c r="EB136" i="5" s="1"/>
  <c r="DV137" i="5"/>
  <c r="DY137" i="5"/>
  <c r="CK137" i="5" s="1"/>
  <c r="EA137" i="5"/>
  <c r="EB137" i="5" s="1"/>
  <c r="DV138" i="5"/>
  <c r="DY138" i="5"/>
  <c r="CK138" i="5" s="1"/>
  <c r="EA138" i="5"/>
  <c r="EB138" i="5" s="1"/>
  <c r="DV139" i="5"/>
  <c r="DY139" i="5"/>
  <c r="CK139" i="5" s="1"/>
  <c r="EA139" i="5"/>
  <c r="EB139" i="5" s="1"/>
  <c r="DV140" i="5"/>
  <c r="DY140" i="5"/>
  <c r="CK140" i="5" s="1"/>
  <c r="EA140" i="5"/>
  <c r="EB140" i="5" s="1"/>
  <c r="DV141" i="5"/>
  <c r="DY141" i="5"/>
  <c r="CK141" i="5" s="1"/>
  <c r="EA141" i="5"/>
  <c r="EB141" i="5" s="1"/>
  <c r="DV142" i="5"/>
  <c r="DY142" i="5"/>
  <c r="CK142" i="5" s="1"/>
  <c r="EA142" i="5"/>
  <c r="EB142" i="5" s="1"/>
  <c r="DV143" i="5"/>
  <c r="DY143" i="5"/>
  <c r="CK143" i="5" s="1"/>
  <c r="EA143" i="5"/>
  <c r="EB143" i="5" s="1"/>
  <c r="DV144" i="5"/>
  <c r="DY144" i="5"/>
  <c r="CK144" i="5" s="1"/>
  <c r="EA144" i="5"/>
  <c r="EB144" i="5" s="1"/>
  <c r="DV145" i="5"/>
  <c r="DY145" i="5"/>
  <c r="CK145" i="5" s="1"/>
  <c r="EA145" i="5"/>
  <c r="EB145" i="5" s="1"/>
  <c r="DV146" i="5"/>
  <c r="DY146" i="5"/>
  <c r="CK146" i="5" s="1"/>
  <c r="EA146" i="5"/>
  <c r="DV147" i="5"/>
  <c r="DY147" i="5"/>
  <c r="CK147" i="5" s="1"/>
  <c r="EA147" i="5"/>
  <c r="EB147" i="5" s="1"/>
  <c r="DV148" i="5"/>
  <c r="DY148" i="5"/>
  <c r="CK148" i="5" s="1"/>
  <c r="EA148" i="5"/>
  <c r="EB148" i="5" s="1"/>
  <c r="DV149" i="5"/>
  <c r="DY149" i="5"/>
  <c r="CK149" i="5" s="1"/>
  <c r="EA149" i="5"/>
  <c r="EB149" i="5" s="1"/>
  <c r="DV150" i="5"/>
  <c r="DY150" i="5"/>
  <c r="CK150" i="5" s="1"/>
  <c r="EA150" i="5"/>
  <c r="EB150" i="5" s="1"/>
  <c r="DV151" i="5"/>
  <c r="DY151" i="5"/>
  <c r="CK151" i="5" s="1"/>
  <c r="EA151" i="5"/>
  <c r="EB151" i="5" s="1"/>
  <c r="DV152" i="5"/>
  <c r="DY152" i="5"/>
  <c r="CK152" i="5" s="1"/>
  <c r="EA152" i="5"/>
  <c r="EB152" i="5" s="1"/>
  <c r="DV153" i="5"/>
  <c r="DY153" i="5"/>
  <c r="CK153" i="5" s="1"/>
  <c r="EA153" i="5"/>
  <c r="EB153" i="5" s="1"/>
  <c r="DV154" i="5"/>
  <c r="DY154" i="5"/>
  <c r="CK154" i="5" s="1"/>
  <c r="EA154" i="5"/>
  <c r="EB154" i="5" s="1"/>
  <c r="DV155" i="5"/>
  <c r="DY155" i="5"/>
  <c r="CK155" i="5" s="1"/>
  <c r="EA155" i="5"/>
  <c r="EB155" i="5" s="1"/>
  <c r="DV156" i="5"/>
  <c r="DY156" i="5"/>
  <c r="CK156" i="5" s="1"/>
  <c r="EA156" i="5"/>
  <c r="EB156" i="5" s="1"/>
  <c r="DV157" i="5"/>
  <c r="DY157" i="5"/>
  <c r="CK157" i="5" s="1"/>
  <c r="EA157" i="5"/>
  <c r="EB157" i="5" s="1"/>
  <c r="DV158" i="5"/>
  <c r="DY158" i="5"/>
  <c r="CK158" i="5" s="1"/>
  <c r="EA158" i="5"/>
  <c r="EB158" i="5" s="1"/>
  <c r="DV159" i="5"/>
  <c r="DY159" i="5"/>
  <c r="CK159" i="5" s="1"/>
  <c r="EA159" i="5"/>
  <c r="EB159" i="5" s="1"/>
  <c r="DV160" i="5"/>
  <c r="DY160" i="5"/>
  <c r="CK160" i="5" s="1"/>
  <c r="EA160" i="5"/>
  <c r="EB160" i="5" s="1"/>
  <c r="DV161" i="5"/>
  <c r="DY161" i="5"/>
  <c r="CK161" i="5" s="1"/>
  <c r="EA161" i="5"/>
  <c r="EB161" i="5" s="1"/>
  <c r="DV162" i="5"/>
  <c r="DY162" i="5"/>
  <c r="CK162" i="5" s="1"/>
  <c r="EA162" i="5"/>
  <c r="EB162" i="5" s="1"/>
  <c r="DV163" i="5"/>
  <c r="DY163" i="5"/>
  <c r="CK163" i="5" s="1"/>
  <c r="EA163" i="5"/>
  <c r="EB163" i="5" s="1"/>
  <c r="DV164" i="5"/>
  <c r="DY164" i="5"/>
  <c r="CK164" i="5" s="1"/>
  <c r="EA164" i="5"/>
  <c r="EB164" i="5" s="1"/>
  <c r="DV165" i="5"/>
  <c r="DY165" i="5"/>
  <c r="CK165" i="5" s="1"/>
  <c r="EA165" i="5"/>
  <c r="EB165" i="5" s="1"/>
  <c r="DV166" i="5"/>
  <c r="DY166" i="5"/>
  <c r="CK166" i="5" s="1"/>
  <c r="EA166" i="5"/>
  <c r="EB166" i="5" s="1"/>
  <c r="DV167" i="5"/>
  <c r="DY167" i="5"/>
  <c r="CK167" i="5" s="1"/>
  <c r="EA167" i="5"/>
  <c r="EB167" i="5" s="1"/>
  <c r="DV168" i="5"/>
  <c r="DY168" i="5"/>
  <c r="CK168" i="5" s="1"/>
  <c r="EA168" i="5"/>
  <c r="EB168" i="5" s="1"/>
  <c r="DV169" i="5"/>
  <c r="DY169" i="5"/>
  <c r="CK169" i="5" s="1"/>
  <c r="EA169" i="5"/>
  <c r="EB169" i="5" s="1"/>
  <c r="DV170" i="5"/>
  <c r="DY170" i="5"/>
  <c r="CK170" i="5" s="1"/>
  <c r="EA170" i="5"/>
  <c r="EB170" i="5" s="1"/>
  <c r="DV171" i="5"/>
  <c r="DY171" i="5"/>
  <c r="CK171" i="5" s="1"/>
  <c r="EA171" i="5"/>
  <c r="EB171" i="5" s="1"/>
  <c r="DV172" i="5"/>
  <c r="DY172" i="5"/>
  <c r="CK172" i="5" s="1"/>
  <c r="EA172" i="5"/>
  <c r="EB172" i="5" s="1"/>
  <c r="DV173" i="5"/>
  <c r="DY173" i="5"/>
  <c r="CK173" i="5" s="1"/>
  <c r="EA173" i="5"/>
  <c r="EB173" i="5" s="1"/>
  <c r="DV174" i="5"/>
  <c r="DY174" i="5"/>
  <c r="CK174" i="5" s="1"/>
  <c r="EA174" i="5"/>
  <c r="EB174" i="5" s="1"/>
  <c r="DV175" i="5"/>
  <c r="DY175" i="5"/>
  <c r="CK175" i="5" s="1"/>
  <c r="EA175" i="5"/>
  <c r="EB175" i="5" s="1"/>
  <c r="DV176" i="5"/>
  <c r="DY176" i="5"/>
  <c r="CK176" i="5" s="1"/>
  <c r="EA176" i="5"/>
  <c r="EB176" i="5" s="1"/>
  <c r="DV177" i="5"/>
  <c r="DY177" i="5"/>
  <c r="CK177" i="5" s="1"/>
  <c r="EA177" i="5"/>
  <c r="EB177" i="5" s="1"/>
  <c r="DV178" i="5"/>
  <c r="DY178" i="5"/>
  <c r="CK178" i="5" s="1"/>
  <c r="EA178" i="5"/>
  <c r="EB178" i="5" s="1"/>
  <c r="DV179" i="5"/>
  <c r="DY179" i="5"/>
  <c r="CK179" i="5" s="1"/>
  <c r="EA179" i="5"/>
  <c r="EB179" i="5" s="1"/>
  <c r="DV180" i="5"/>
  <c r="DY180" i="5"/>
  <c r="CK180" i="5" s="1"/>
  <c r="EA180" i="5"/>
  <c r="EB180" i="5" s="1"/>
  <c r="DV181" i="5"/>
  <c r="DY181" i="5"/>
  <c r="CK181" i="5" s="1"/>
  <c r="EA181" i="5"/>
  <c r="EB181" i="5" s="1"/>
  <c r="DV182" i="5"/>
  <c r="DY182" i="5"/>
  <c r="CK182" i="5" s="1"/>
  <c r="EA182" i="5"/>
  <c r="EB182" i="5" s="1"/>
  <c r="DV183" i="5"/>
  <c r="DY183" i="5"/>
  <c r="CK183" i="5" s="1"/>
  <c r="EA183" i="5"/>
  <c r="EB183" i="5" s="1"/>
  <c r="DV184" i="5"/>
  <c r="DY184" i="5"/>
  <c r="CK184" i="5" s="1"/>
  <c r="EA184" i="5"/>
  <c r="EB184" i="5" s="1"/>
  <c r="DV185" i="5"/>
  <c r="DY185" i="5"/>
  <c r="CK185" i="5" s="1"/>
  <c r="EA185" i="5"/>
  <c r="EB185" i="5" s="1"/>
  <c r="DV186" i="5"/>
  <c r="DY186" i="5"/>
  <c r="CK186" i="5" s="1"/>
  <c r="EA186" i="5"/>
  <c r="EB186" i="5" s="1"/>
  <c r="DV187" i="5"/>
  <c r="DY187" i="5"/>
  <c r="CK187" i="5" s="1"/>
  <c r="EA187" i="5"/>
  <c r="EB187" i="5" s="1"/>
  <c r="DV188" i="5"/>
  <c r="DY188" i="5"/>
  <c r="CK188" i="5" s="1"/>
  <c r="EA188" i="5"/>
  <c r="EB188" i="5" s="1"/>
  <c r="DV189" i="5"/>
  <c r="DY189" i="5"/>
  <c r="CK189" i="5" s="1"/>
  <c r="EA189" i="5"/>
  <c r="EB189" i="5" s="1"/>
  <c r="DV190" i="5"/>
  <c r="DY190" i="5"/>
  <c r="CK190" i="5" s="1"/>
  <c r="EA190" i="5"/>
  <c r="EB190" i="5" s="1"/>
  <c r="DV191" i="5"/>
  <c r="DY191" i="5"/>
  <c r="CK191" i="5" s="1"/>
  <c r="EA191" i="5"/>
  <c r="EB191" i="5" s="1"/>
  <c r="DV192" i="5"/>
  <c r="DY192" i="5"/>
  <c r="CK192" i="5" s="1"/>
  <c r="EA192" i="5"/>
  <c r="EB192" i="5" s="1"/>
  <c r="DV193" i="5"/>
  <c r="DY193" i="5"/>
  <c r="CK193" i="5" s="1"/>
  <c r="EA193" i="5"/>
  <c r="EB193" i="5" s="1"/>
  <c r="DV194" i="5"/>
  <c r="DX194" i="5"/>
  <c r="DY194" i="5"/>
  <c r="EA194" i="5"/>
  <c r="EB194" i="5" s="1"/>
  <c r="DV195" i="5"/>
  <c r="DX195" i="5"/>
  <c r="DY195" i="5"/>
  <c r="EA195" i="5"/>
  <c r="EB195" i="5" s="1"/>
  <c r="DV196" i="5"/>
  <c r="DX196" i="5"/>
  <c r="DY196" i="5"/>
  <c r="EA196" i="5"/>
  <c r="EB196" i="5" s="1"/>
  <c r="DV197" i="5"/>
  <c r="DX197" i="5"/>
  <c r="DY197" i="5"/>
  <c r="EA197" i="5"/>
  <c r="EB197" i="5" s="1"/>
  <c r="DV198" i="5"/>
  <c r="DX198" i="5"/>
  <c r="DY198" i="5"/>
  <c r="EA198" i="5"/>
  <c r="EB198" i="5" s="1"/>
  <c r="DV199" i="5"/>
  <c r="DX199" i="5"/>
  <c r="DY199" i="5"/>
  <c r="EA199" i="5"/>
  <c r="EB199" i="5" s="1"/>
  <c r="DV200" i="5"/>
  <c r="DX200" i="5"/>
  <c r="DY200" i="5"/>
  <c r="EA200" i="5"/>
  <c r="EB200" i="5" s="1"/>
  <c r="DV201" i="5"/>
  <c r="DX201" i="5"/>
  <c r="DY201" i="5"/>
  <c r="EA201" i="5"/>
  <c r="EB201" i="5" s="1"/>
  <c r="DV202" i="5"/>
  <c r="DY202" i="5"/>
  <c r="CK202" i="5" s="1"/>
  <c r="EA202" i="5"/>
  <c r="EB202" i="5" s="1"/>
  <c r="DV203" i="5"/>
  <c r="DY203" i="5"/>
  <c r="CK203" i="5" s="1"/>
  <c r="EA203" i="5"/>
  <c r="EB203" i="5" s="1"/>
  <c r="DV204" i="5"/>
  <c r="DY204" i="5"/>
  <c r="CK204" i="5" s="1"/>
  <c r="EA204" i="5"/>
  <c r="EB204" i="5" s="1"/>
  <c r="DV205" i="5"/>
  <c r="DY205" i="5"/>
  <c r="CK205" i="5" s="1"/>
  <c r="EA205" i="5"/>
  <c r="EB205" i="5" s="1"/>
  <c r="DV206" i="5"/>
  <c r="DY206" i="5"/>
  <c r="EA206" i="5"/>
  <c r="EB206" i="5" s="1"/>
  <c r="CK207" i="5"/>
  <c r="EB207" i="5"/>
  <c r="DV208" i="5"/>
  <c r="CK208" i="5"/>
  <c r="EA208" i="5"/>
  <c r="EB208" i="5" s="1"/>
  <c r="DV209" i="5"/>
  <c r="DY209" i="5"/>
  <c r="EA209" i="5"/>
  <c r="EB209" i="5" s="1"/>
  <c r="DV210" i="5"/>
  <c r="DY210" i="5"/>
  <c r="CK210" i="5" s="1"/>
  <c r="EA210" i="5"/>
  <c r="EB210" i="5" s="1"/>
  <c r="DV211" i="5"/>
  <c r="DY211" i="5"/>
  <c r="CK211" i="5" s="1"/>
  <c r="EA211" i="5"/>
  <c r="EB211" i="5" s="1"/>
  <c r="DV212" i="5"/>
  <c r="DY212" i="5"/>
  <c r="CK212" i="5" s="1"/>
  <c r="EA212" i="5"/>
  <c r="EB212" i="5" s="1"/>
  <c r="DV213" i="5"/>
  <c r="DY213" i="5"/>
  <c r="CK213" i="5" s="1"/>
  <c r="EA213" i="5"/>
  <c r="EB213" i="5" s="1"/>
  <c r="DV214" i="5"/>
  <c r="DY214" i="5"/>
  <c r="CK214" i="5" s="1"/>
  <c r="EA214" i="5"/>
  <c r="EB214" i="5" s="1"/>
  <c r="DV215" i="5"/>
  <c r="DY215" i="5"/>
  <c r="EA215" i="5"/>
  <c r="EB215" i="5" s="1"/>
  <c r="DV216" i="5"/>
  <c r="DY216" i="5"/>
  <c r="CK216" i="5" s="1"/>
  <c r="EA216" i="5"/>
  <c r="EB216" i="5" s="1"/>
  <c r="DV217" i="5"/>
  <c r="DY217" i="5"/>
  <c r="CK217" i="5" s="1"/>
  <c r="EA217" i="5"/>
  <c r="EB217" i="5" s="1"/>
  <c r="DV218" i="5"/>
  <c r="DY218" i="5"/>
  <c r="CK218" i="5" s="1"/>
  <c r="EA218" i="5"/>
  <c r="EB218" i="5" s="1"/>
  <c r="DV219" i="5"/>
  <c r="DY219" i="5"/>
  <c r="CK219" i="5" s="1"/>
  <c r="EA219" i="5"/>
  <c r="EB219" i="5" s="1"/>
  <c r="DV220" i="5"/>
  <c r="DY220" i="5"/>
  <c r="CK220" i="5" s="1"/>
  <c r="EA220" i="5"/>
  <c r="EB220" i="5" s="1"/>
  <c r="DV221" i="5"/>
  <c r="DY221" i="5"/>
  <c r="CK221" i="5" s="1"/>
  <c r="EA221" i="5"/>
  <c r="EB221" i="5" s="1"/>
  <c r="DV222" i="5"/>
  <c r="DY222" i="5"/>
  <c r="CK222" i="5" s="1"/>
  <c r="EA222" i="5"/>
  <c r="EB222" i="5" s="1"/>
  <c r="DV223" i="5"/>
  <c r="DY223" i="5"/>
  <c r="CK223" i="5" s="1"/>
  <c r="EA223" i="5"/>
  <c r="EB223" i="5" s="1"/>
  <c r="DV224" i="5"/>
  <c r="DY224" i="5"/>
  <c r="CK224" i="5" s="1"/>
  <c r="EA224" i="5"/>
  <c r="EB224" i="5" s="1"/>
  <c r="DV225" i="5"/>
  <c r="DY225" i="5"/>
  <c r="CK225" i="5" s="1"/>
  <c r="EA225" i="5"/>
  <c r="EB225" i="5" s="1"/>
  <c r="DV226" i="5"/>
  <c r="DY226" i="5"/>
  <c r="CK226" i="5" s="1"/>
  <c r="EA226" i="5"/>
  <c r="EB226" i="5" s="1"/>
  <c r="DV227" i="5"/>
  <c r="DY227" i="5"/>
  <c r="CK227" i="5" s="1"/>
  <c r="EA227" i="5"/>
  <c r="EB227" i="5" s="1"/>
  <c r="DV228" i="5"/>
  <c r="DY228" i="5"/>
  <c r="CK228" i="5" s="1"/>
  <c r="EA228" i="5"/>
  <c r="EB228" i="5" s="1"/>
  <c r="DV229" i="5"/>
  <c r="DY229" i="5"/>
  <c r="CK229" i="5" s="1"/>
  <c r="EA229" i="5"/>
  <c r="EB229" i="5" s="1"/>
  <c r="DV230" i="5"/>
  <c r="DY230" i="5"/>
  <c r="CK230" i="5" s="1"/>
  <c r="EA230" i="5"/>
  <c r="EB230" i="5" s="1"/>
  <c r="DV231" i="5"/>
  <c r="DY231" i="5"/>
  <c r="CK231" i="5" s="1"/>
  <c r="EA231" i="5"/>
  <c r="EB231" i="5" s="1"/>
  <c r="DV232" i="5"/>
  <c r="DY232" i="5"/>
  <c r="CK232" i="5" s="1"/>
  <c r="EA232" i="5"/>
  <c r="EB232" i="5" s="1"/>
  <c r="DV233" i="5"/>
  <c r="DY233" i="5"/>
  <c r="CK233" i="5" s="1"/>
  <c r="EA233" i="5"/>
  <c r="EB233" i="5" s="1"/>
  <c r="DV234" i="5"/>
  <c r="DY234" i="5"/>
  <c r="CK234" i="5" s="1"/>
  <c r="EA234" i="5"/>
  <c r="EB234" i="5" s="1"/>
  <c r="DV235" i="5"/>
  <c r="DY235" i="5"/>
  <c r="CK235" i="5" s="1"/>
  <c r="EA235" i="5"/>
  <c r="EB235" i="5" s="1"/>
  <c r="DV236" i="5"/>
  <c r="DY236" i="5"/>
  <c r="CK236" i="5" s="1"/>
  <c r="EA236" i="5"/>
  <c r="EB236" i="5" s="1"/>
  <c r="DV237" i="5"/>
  <c r="DY237" i="5"/>
  <c r="CK237" i="5" s="1"/>
  <c r="EA237" i="5"/>
  <c r="EB237" i="5" s="1"/>
  <c r="DV238" i="5"/>
  <c r="DY238" i="5"/>
  <c r="CK238" i="5" s="1"/>
  <c r="EA238" i="5"/>
  <c r="EB238" i="5" s="1"/>
  <c r="DV239" i="5"/>
  <c r="DY239" i="5"/>
  <c r="EA239" i="5"/>
  <c r="EB239" i="5" s="1"/>
  <c r="DV240" i="5"/>
  <c r="DY240" i="5"/>
  <c r="CK240" i="5" s="1"/>
  <c r="EA240" i="5"/>
  <c r="EB240" i="5" s="1"/>
  <c r="DV241" i="5"/>
  <c r="DY241" i="5"/>
  <c r="CK241" i="5" s="1"/>
  <c r="EA241" i="5"/>
  <c r="EB241" i="5" s="1"/>
  <c r="DV242" i="5"/>
  <c r="DY242" i="5"/>
  <c r="CK242" i="5" s="1"/>
  <c r="EA242" i="5"/>
  <c r="EB242" i="5" s="1"/>
  <c r="DV243" i="5"/>
  <c r="DY243" i="5"/>
  <c r="CK243" i="5" s="1"/>
  <c r="EA243" i="5"/>
  <c r="EB243" i="5" s="1"/>
  <c r="DV244" i="5"/>
  <c r="DY244" i="5"/>
  <c r="CK244" i="5" s="1"/>
  <c r="EA244" i="5"/>
  <c r="EB244" i="5" s="1"/>
  <c r="DV245" i="5"/>
  <c r="DY245" i="5"/>
  <c r="CK245" i="5" s="1"/>
  <c r="EA245" i="5"/>
  <c r="EB245" i="5" s="1"/>
  <c r="DV246" i="5"/>
  <c r="DY246" i="5"/>
  <c r="EA246" i="5"/>
  <c r="EB246" i="5" s="1"/>
  <c r="DV247" i="5"/>
  <c r="DY247" i="5"/>
  <c r="CK247" i="5" s="1"/>
  <c r="EA247" i="5"/>
  <c r="EB247" i="5" s="1"/>
  <c r="DV248" i="5"/>
  <c r="DY248" i="5"/>
  <c r="CK248" i="5" s="1"/>
  <c r="EA248" i="5"/>
  <c r="EB248" i="5" s="1"/>
  <c r="DC5" i="5"/>
  <c r="HL5" i="5" s="1"/>
  <c r="DC6" i="5"/>
  <c r="HL6" i="5" s="1"/>
  <c r="DC7" i="5"/>
  <c r="HL7" i="5" s="1"/>
  <c r="DC8" i="5"/>
  <c r="HL8" i="5" s="1"/>
  <c r="DC9" i="5"/>
  <c r="HL9" i="5" s="1"/>
  <c r="DC10" i="5"/>
  <c r="HL10" i="5" s="1"/>
  <c r="DC11" i="5"/>
  <c r="HL11" i="5" s="1"/>
  <c r="DC12" i="5"/>
  <c r="HL12" i="5" s="1"/>
  <c r="DC13" i="5"/>
  <c r="HL13" i="5" s="1"/>
  <c r="DC14" i="5"/>
  <c r="HL14" i="5" s="1"/>
  <c r="DC15" i="5"/>
  <c r="HL15" i="5" s="1"/>
  <c r="DC16" i="5"/>
  <c r="HL16" i="5" s="1"/>
  <c r="DC17" i="5"/>
  <c r="HL17" i="5" s="1"/>
  <c r="DC18" i="5"/>
  <c r="HL18" i="5" s="1"/>
  <c r="DC19" i="5"/>
  <c r="HL19" i="5" s="1"/>
  <c r="DC20" i="5"/>
  <c r="HL20" i="5" s="1"/>
  <c r="DC21" i="5"/>
  <c r="HL21" i="5" s="1"/>
  <c r="DC22" i="5"/>
  <c r="HL22" i="5" s="1"/>
  <c r="DC24" i="5"/>
  <c r="HL24" i="5" s="1"/>
  <c r="DC25" i="5"/>
  <c r="HL25" i="5" s="1"/>
  <c r="DC28" i="5"/>
  <c r="HL28" i="5" s="1"/>
  <c r="DC30" i="5"/>
  <c r="HL30" i="5" s="1"/>
  <c r="DC31" i="5"/>
  <c r="HL31" i="5" s="1"/>
  <c r="DC33" i="5"/>
  <c r="HL33" i="5" s="1"/>
  <c r="DC34" i="5"/>
  <c r="HL34" i="5" s="1"/>
  <c r="DC35" i="5"/>
  <c r="HL35" i="5" s="1"/>
  <c r="DC37" i="5"/>
  <c r="HL37" i="5" s="1"/>
  <c r="DC39" i="5"/>
  <c r="HL39" i="5" s="1"/>
  <c r="DC40" i="5"/>
  <c r="HL40" i="5" s="1"/>
  <c r="DC41" i="5"/>
  <c r="HL41" i="5" s="1"/>
  <c r="DC42" i="5"/>
  <c r="HL42" i="5" s="1"/>
  <c r="DC43" i="5"/>
  <c r="HL43" i="5" s="1"/>
  <c r="DC44" i="5"/>
  <c r="HL44" i="5" s="1"/>
  <c r="DC45" i="5"/>
  <c r="HL45" i="5" s="1"/>
  <c r="DC46" i="5"/>
  <c r="HL46" i="5" s="1"/>
  <c r="DC47" i="5"/>
  <c r="HL47" i="5" s="1"/>
  <c r="DC48" i="5"/>
  <c r="HL48" i="5" s="1"/>
  <c r="DC49" i="5"/>
  <c r="HL49" i="5" s="1"/>
  <c r="DC52" i="5"/>
  <c r="HL52" i="5" s="1"/>
  <c r="DC53" i="5"/>
  <c r="HL53" i="5" s="1"/>
  <c r="DC54" i="5"/>
  <c r="HL54" i="5" s="1"/>
  <c r="DC56" i="5"/>
  <c r="HL56" i="5" s="1"/>
  <c r="DC58" i="5"/>
  <c r="HL58" i="5" s="1"/>
  <c r="DC61" i="5"/>
  <c r="HL61" i="5" s="1"/>
  <c r="DC62" i="5"/>
  <c r="HL62" i="5" s="1"/>
  <c r="DC65" i="5"/>
  <c r="HL65" i="5" s="1"/>
  <c r="DC71" i="5"/>
  <c r="HL71" i="5" s="1"/>
  <c r="DC72" i="5"/>
  <c r="HL72" i="5" s="1"/>
  <c r="DC73" i="5"/>
  <c r="HL73" i="5" s="1"/>
  <c r="DC74" i="5"/>
  <c r="HL74" i="5" s="1"/>
  <c r="DC76" i="5"/>
  <c r="HL76" i="5" s="1"/>
  <c r="DC77" i="5"/>
  <c r="HL77" i="5" s="1"/>
  <c r="DC85" i="5"/>
  <c r="HL85" i="5" s="1"/>
  <c r="DC86" i="5"/>
  <c r="HL86" i="5" s="1"/>
  <c r="DC88" i="5"/>
  <c r="HL88" i="5" s="1"/>
  <c r="DC92" i="5"/>
  <c r="HL92" i="5" s="1"/>
  <c r="DC93" i="5"/>
  <c r="HL93" i="5" s="1"/>
  <c r="DC98" i="5"/>
  <c r="HL98" i="5" s="1"/>
  <c r="DC105" i="5"/>
  <c r="HL105" i="5" s="1"/>
  <c r="DC109" i="5"/>
  <c r="HL109" i="5" s="1"/>
  <c r="DC110" i="5"/>
  <c r="HL110" i="5" s="1"/>
  <c r="DC111" i="5"/>
  <c r="HL111" i="5" s="1"/>
  <c r="DC117" i="5"/>
  <c r="HL117" i="5" s="1"/>
  <c r="DC118" i="5"/>
  <c r="HL118" i="5" s="1"/>
  <c r="DC119" i="5"/>
  <c r="HL119" i="5" s="1"/>
  <c r="DC121" i="5"/>
  <c r="HL121" i="5" s="1"/>
  <c r="DC124" i="5"/>
  <c r="HL124" i="5" s="1"/>
  <c r="DC127" i="5"/>
  <c r="HL127" i="5" s="1"/>
  <c r="DC131" i="5"/>
  <c r="HL131" i="5" s="1"/>
  <c r="DC141" i="5"/>
  <c r="HL141" i="5" s="1"/>
  <c r="DC166" i="5"/>
  <c r="HL166" i="5" s="1"/>
  <c r="CM4" i="5"/>
  <c r="CM5" i="5"/>
  <c r="CM6" i="5"/>
  <c r="CM7" i="5"/>
  <c r="CM8" i="5"/>
  <c r="CM9" i="5"/>
  <c r="CM10" i="5"/>
  <c r="CM11" i="5"/>
  <c r="CM12" i="5"/>
  <c r="CM13" i="5"/>
  <c r="CM14" i="5"/>
  <c r="CM15" i="5"/>
  <c r="CM16" i="5"/>
  <c r="CM17" i="5"/>
  <c r="CM18" i="5"/>
  <c r="CM19" i="5"/>
  <c r="CM20" i="5"/>
  <c r="CM21" i="5"/>
  <c r="CM22" i="5"/>
  <c r="CM23" i="5"/>
  <c r="CM24" i="5"/>
  <c r="CM25" i="5"/>
  <c r="CM26" i="5"/>
  <c r="CM27" i="5"/>
  <c r="CM28" i="5"/>
  <c r="CM29" i="5"/>
  <c r="CM30" i="5"/>
  <c r="CM31" i="5"/>
  <c r="CM32" i="5"/>
  <c r="CM33" i="5"/>
  <c r="CM34" i="5"/>
  <c r="CM35" i="5"/>
  <c r="CM36" i="5"/>
  <c r="CM37" i="5"/>
  <c r="CM38" i="5"/>
  <c r="CM39" i="5"/>
  <c r="CM40" i="5"/>
  <c r="CM41" i="5"/>
  <c r="CM42" i="5"/>
  <c r="CM43" i="5"/>
  <c r="CM44" i="5"/>
  <c r="CM45" i="5"/>
  <c r="CM46" i="5"/>
  <c r="CM47" i="5"/>
  <c r="CM48" i="5"/>
  <c r="CM49" i="5"/>
  <c r="CM50" i="5"/>
  <c r="CM51" i="5"/>
  <c r="CM52" i="5"/>
  <c r="CM53" i="5"/>
  <c r="CM54" i="5"/>
  <c r="CM55" i="5"/>
  <c r="CM56" i="5"/>
  <c r="CM57" i="5"/>
  <c r="CM58" i="5"/>
  <c r="CM59" i="5"/>
  <c r="CM60" i="5"/>
  <c r="CM61" i="5"/>
  <c r="CM62" i="5"/>
  <c r="CM63" i="5"/>
  <c r="CM64" i="5"/>
  <c r="CM65" i="5"/>
  <c r="CM66" i="5"/>
  <c r="CM67" i="5"/>
  <c r="CM68" i="5"/>
  <c r="CM69" i="5"/>
  <c r="CM70" i="5"/>
  <c r="CM71" i="5"/>
  <c r="CM72" i="5"/>
  <c r="CM73" i="5"/>
  <c r="CM74" i="5"/>
  <c r="CM75" i="5"/>
  <c r="CM76" i="5"/>
  <c r="CM77" i="5"/>
  <c r="CM78" i="5"/>
  <c r="CM79" i="5"/>
  <c r="CM80" i="5"/>
  <c r="CM81" i="5"/>
  <c r="CM82" i="5"/>
  <c r="CM83" i="5"/>
  <c r="CM84" i="5"/>
  <c r="CM85" i="5"/>
  <c r="CM86" i="5"/>
  <c r="CM87" i="5"/>
  <c r="CM88" i="5"/>
  <c r="CM89" i="5"/>
  <c r="CM90" i="5"/>
  <c r="CM91" i="5"/>
  <c r="CM92" i="5"/>
  <c r="CM93" i="5"/>
  <c r="CM94" i="5"/>
  <c r="CM95" i="5"/>
  <c r="CM96" i="5"/>
  <c r="CM97" i="5"/>
  <c r="CM98" i="5"/>
  <c r="CM99" i="5"/>
  <c r="CM100" i="5"/>
  <c r="CM101" i="5"/>
  <c r="CM102" i="5"/>
  <c r="CM103" i="5"/>
  <c r="CM104" i="5"/>
  <c r="CM105" i="5"/>
  <c r="CM106" i="5"/>
  <c r="CM107" i="5"/>
  <c r="CM108" i="5"/>
  <c r="CM109" i="5"/>
  <c r="CM110" i="5"/>
  <c r="CM111" i="5"/>
  <c r="CM112" i="5"/>
  <c r="CM113" i="5"/>
  <c r="CM114" i="5"/>
  <c r="CM115" i="5"/>
  <c r="CM116" i="5"/>
  <c r="CM117" i="5"/>
  <c r="CM118" i="5"/>
  <c r="CM119" i="5"/>
  <c r="CM120" i="5"/>
  <c r="CM121" i="5"/>
  <c r="CM122" i="5"/>
  <c r="CM123" i="5"/>
  <c r="CM124" i="5"/>
  <c r="CM125" i="5"/>
  <c r="CM126" i="5"/>
  <c r="CM127" i="5"/>
  <c r="CM128" i="5"/>
  <c r="CM129" i="5"/>
  <c r="CM130" i="5"/>
  <c r="CM131" i="5"/>
  <c r="CM132" i="5"/>
  <c r="CM133" i="5"/>
  <c r="CM134" i="5"/>
  <c r="CM135" i="5"/>
  <c r="CM136" i="5"/>
  <c r="CM137" i="5"/>
  <c r="CM138" i="5"/>
  <c r="CM139" i="5"/>
  <c r="CM140" i="5"/>
  <c r="CM141" i="5"/>
  <c r="CM142" i="5"/>
  <c r="CM143" i="5"/>
  <c r="CM144" i="5"/>
  <c r="CM145" i="5"/>
  <c r="CM146" i="5"/>
  <c r="CM147" i="5"/>
  <c r="CM148" i="5"/>
  <c r="CM149" i="5"/>
  <c r="CM150" i="5"/>
  <c r="CM151" i="5"/>
  <c r="CM152" i="5"/>
  <c r="CM153" i="5"/>
  <c r="CM154" i="5"/>
  <c r="CM155" i="5"/>
  <c r="CM156" i="5"/>
  <c r="CM157" i="5"/>
  <c r="CM158" i="5"/>
  <c r="CM159" i="5"/>
  <c r="CM160" i="5"/>
  <c r="CM161" i="5"/>
  <c r="CM162" i="5"/>
  <c r="CM163" i="5"/>
  <c r="CM164" i="5"/>
  <c r="CM165" i="5"/>
  <c r="CM166" i="5"/>
  <c r="CM167" i="5"/>
  <c r="CM168" i="5"/>
  <c r="CM169" i="5"/>
  <c r="CM170" i="5"/>
  <c r="CM171" i="5"/>
  <c r="CM172" i="5"/>
  <c r="CM173" i="5"/>
  <c r="CM174" i="5"/>
  <c r="CM175" i="5"/>
  <c r="CM176" i="5"/>
  <c r="CM177" i="5"/>
  <c r="CM178" i="5"/>
  <c r="CM179" i="5"/>
  <c r="CM180" i="5"/>
  <c r="CM181" i="5"/>
  <c r="CM182" i="5"/>
  <c r="CM183" i="5"/>
  <c r="CM184" i="5"/>
  <c r="CM185" i="5"/>
  <c r="CM186" i="5"/>
  <c r="CM187" i="5"/>
  <c r="CM188" i="5"/>
  <c r="CM189" i="5"/>
  <c r="CM190" i="5"/>
  <c r="CM191" i="5"/>
  <c r="CM192" i="5"/>
  <c r="CM193" i="5"/>
  <c r="CM194" i="5"/>
  <c r="CM195" i="5"/>
  <c r="CM196" i="5"/>
  <c r="CM197" i="5"/>
  <c r="CM198" i="5"/>
  <c r="CM199" i="5"/>
  <c r="CM200" i="5"/>
  <c r="CM201" i="5"/>
  <c r="CM202" i="5"/>
  <c r="CM203" i="5"/>
  <c r="CM204" i="5"/>
  <c r="CM205" i="5"/>
  <c r="CM206" i="5"/>
  <c r="CM208" i="5"/>
  <c r="CM209" i="5"/>
  <c r="CM210" i="5"/>
  <c r="CM211" i="5"/>
  <c r="CM212" i="5"/>
  <c r="CM213" i="5"/>
  <c r="CM214" i="5"/>
  <c r="CM215" i="5"/>
  <c r="CM216" i="5"/>
  <c r="CM217" i="5"/>
  <c r="CM218" i="5"/>
  <c r="CM219" i="5"/>
  <c r="CM220" i="5"/>
  <c r="CM221" i="5"/>
  <c r="CM222" i="5"/>
  <c r="CM223" i="5"/>
  <c r="CM224" i="5"/>
  <c r="CM225" i="5"/>
  <c r="CM226" i="5"/>
  <c r="CM227" i="5"/>
  <c r="CM228" i="5"/>
  <c r="CM229" i="5"/>
  <c r="CM230" i="5"/>
  <c r="CM231" i="5"/>
  <c r="CM232" i="5"/>
  <c r="CM233" i="5"/>
  <c r="CM234" i="5"/>
  <c r="CM235" i="5"/>
  <c r="CM236" i="5"/>
  <c r="CM237" i="5"/>
  <c r="CM238" i="5"/>
  <c r="CM239" i="5"/>
  <c r="CM240" i="5"/>
  <c r="CM241" i="5"/>
  <c r="CM242" i="5"/>
  <c r="CM243" i="5"/>
  <c r="CM244" i="5"/>
  <c r="CM245" i="5"/>
  <c r="CM246" i="5"/>
  <c r="CM247" i="5"/>
  <c r="CM248" i="5"/>
  <c r="CI4" i="5"/>
  <c r="CI5" i="5"/>
  <c r="CI6" i="5"/>
  <c r="CI7" i="5"/>
  <c r="CI8" i="5"/>
  <c r="CI9" i="5"/>
  <c r="CI10" i="5"/>
  <c r="CI11" i="5"/>
  <c r="CI12" i="5"/>
  <c r="CI13" i="5"/>
  <c r="CI14" i="5"/>
  <c r="CI15" i="5"/>
  <c r="CI16" i="5"/>
  <c r="CI17" i="5"/>
  <c r="CI18" i="5"/>
  <c r="CI19" i="5"/>
  <c r="CI20" i="5"/>
  <c r="CI21" i="5"/>
  <c r="CI22" i="5"/>
  <c r="CI23" i="5"/>
  <c r="CI24" i="5"/>
  <c r="CI25" i="5"/>
  <c r="CI26" i="5"/>
  <c r="CI27" i="5"/>
  <c r="CI28" i="5"/>
  <c r="CI29" i="5"/>
  <c r="CI30" i="5"/>
  <c r="CI31" i="5"/>
  <c r="CI32" i="5"/>
  <c r="CI33" i="5"/>
  <c r="CI34" i="5"/>
  <c r="CI35" i="5"/>
  <c r="CI36" i="5"/>
  <c r="CI37" i="5"/>
  <c r="CI38" i="5"/>
  <c r="CI39" i="5"/>
  <c r="CI40" i="5"/>
  <c r="CI41" i="5"/>
  <c r="CI42" i="5"/>
  <c r="CI43" i="5"/>
  <c r="CI44" i="5"/>
  <c r="CI45" i="5"/>
  <c r="CI46" i="5"/>
  <c r="CI47" i="5"/>
  <c r="CI48" i="5"/>
  <c r="CI49" i="5"/>
  <c r="CI50" i="5"/>
  <c r="CI51" i="5"/>
  <c r="CI52" i="5"/>
  <c r="CI53" i="5"/>
  <c r="CI54" i="5"/>
  <c r="CI55" i="5"/>
  <c r="CI56" i="5"/>
  <c r="CI57" i="5"/>
  <c r="CI58" i="5"/>
  <c r="CI59" i="5"/>
  <c r="CI60" i="5"/>
  <c r="CI61" i="5"/>
  <c r="CI62" i="5"/>
  <c r="CI63" i="5"/>
  <c r="CI64" i="5"/>
  <c r="CI65" i="5"/>
  <c r="CI66" i="5"/>
  <c r="CI67" i="5"/>
  <c r="CI68" i="5"/>
  <c r="CI69" i="5"/>
  <c r="CI70" i="5"/>
  <c r="CI71" i="5"/>
  <c r="CI72" i="5"/>
  <c r="CI73" i="5"/>
  <c r="CI74" i="5"/>
  <c r="CI75" i="5"/>
  <c r="CI76" i="5"/>
  <c r="CI77" i="5"/>
  <c r="CJ77" i="5" s="1"/>
  <c r="CI78" i="5"/>
  <c r="CI79" i="5"/>
  <c r="CI80" i="5"/>
  <c r="CI81" i="5"/>
  <c r="CI82" i="5"/>
  <c r="CI83" i="5"/>
  <c r="CI84" i="5"/>
  <c r="CI85" i="5"/>
  <c r="CI86" i="5"/>
  <c r="CI87" i="5"/>
  <c r="CI88" i="5"/>
  <c r="CI89" i="5"/>
  <c r="CI90" i="5"/>
  <c r="CI91" i="5"/>
  <c r="CI92" i="5"/>
  <c r="CI93" i="5"/>
  <c r="CI94" i="5"/>
  <c r="CI95" i="5"/>
  <c r="CI96" i="5"/>
  <c r="CI97" i="5"/>
  <c r="CI98" i="5"/>
  <c r="CI99" i="5"/>
  <c r="CJ99" i="5" s="1"/>
  <c r="CI100" i="5"/>
  <c r="CI101" i="5"/>
  <c r="CI102" i="5"/>
  <c r="CI103" i="5"/>
  <c r="CI104" i="5"/>
  <c r="CI105" i="5"/>
  <c r="CJ105" i="5" s="1"/>
  <c r="CI106" i="5"/>
  <c r="CI107" i="5"/>
  <c r="CI108" i="5"/>
  <c r="CI109" i="5"/>
  <c r="CJ109" i="5" s="1"/>
  <c r="CI110" i="5"/>
  <c r="CI111" i="5"/>
  <c r="CI112" i="5"/>
  <c r="CI113" i="5"/>
  <c r="CI114" i="5"/>
  <c r="CI115" i="5"/>
  <c r="CI116" i="5"/>
  <c r="CI117" i="5"/>
  <c r="CI118" i="5"/>
  <c r="CI119" i="5"/>
  <c r="CI120" i="5"/>
  <c r="CI121" i="5"/>
  <c r="CI122" i="5"/>
  <c r="CI123" i="5"/>
  <c r="CI124" i="5"/>
  <c r="CI125" i="5"/>
  <c r="CI126" i="5"/>
  <c r="CI127" i="5"/>
  <c r="CI128" i="5"/>
  <c r="CI129" i="5"/>
  <c r="CI130" i="5"/>
  <c r="CI131" i="5"/>
  <c r="CJ131" i="5" s="1"/>
  <c r="CI132" i="5"/>
  <c r="CI133" i="5"/>
  <c r="CI134" i="5"/>
  <c r="CI135" i="5"/>
  <c r="CI136" i="5"/>
  <c r="CJ136" i="5" s="1"/>
  <c r="CI137" i="5"/>
  <c r="CI138" i="5"/>
  <c r="CI139" i="5"/>
  <c r="CI140" i="5"/>
  <c r="CJ140" i="5" s="1"/>
  <c r="CI141" i="5"/>
  <c r="CI142" i="5"/>
  <c r="CI143" i="5"/>
  <c r="CI144" i="5"/>
  <c r="CI145" i="5"/>
  <c r="CI146" i="5"/>
  <c r="CI147" i="5"/>
  <c r="CI148" i="5"/>
  <c r="CI149" i="5"/>
  <c r="CI150" i="5"/>
  <c r="CI151" i="5"/>
  <c r="CI152" i="5"/>
  <c r="CI153" i="5"/>
  <c r="CI154" i="5"/>
  <c r="CI155" i="5"/>
  <c r="CI156" i="5"/>
  <c r="CI157" i="5"/>
  <c r="CI158" i="5"/>
  <c r="CI159" i="5"/>
  <c r="CI160" i="5"/>
  <c r="CI161" i="5"/>
  <c r="CI162" i="5"/>
  <c r="CI163" i="5"/>
  <c r="CI164" i="5"/>
  <c r="CI165" i="5"/>
  <c r="CI166" i="5"/>
  <c r="CI167" i="5"/>
  <c r="CI168" i="5"/>
  <c r="CI169" i="5"/>
  <c r="CI170" i="5"/>
  <c r="CI171" i="5"/>
  <c r="CI172" i="5"/>
  <c r="CI173" i="5"/>
  <c r="CI174" i="5"/>
  <c r="CI175" i="5"/>
  <c r="CI176" i="5"/>
  <c r="CI177" i="5"/>
  <c r="CI178" i="5"/>
  <c r="CI179" i="5"/>
  <c r="CI180" i="5"/>
  <c r="CI181" i="5"/>
  <c r="CI182" i="5"/>
  <c r="CI183" i="5"/>
  <c r="CI184" i="5"/>
  <c r="CI185" i="5"/>
  <c r="CI186" i="5"/>
  <c r="CI187" i="5"/>
  <c r="CI188" i="5"/>
  <c r="CI189" i="5"/>
  <c r="CI190" i="5"/>
  <c r="CI191" i="5"/>
  <c r="CI192" i="5"/>
  <c r="CI193" i="5"/>
  <c r="CI194" i="5"/>
  <c r="CI195" i="5"/>
  <c r="CI196" i="5"/>
  <c r="CI197" i="5"/>
  <c r="CI198" i="5"/>
  <c r="CI199" i="5"/>
  <c r="CI200" i="5"/>
  <c r="CI201" i="5"/>
  <c r="CI202" i="5"/>
  <c r="CI203" i="5"/>
  <c r="CI204" i="5"/>
  <c r="CI205" i="5"/>
  <c r="CI206" i="5"/>
  <c r="CI208" i="5"/>
  <c r="CI209" i="5"/>
  <c r="CI210" i="5"/>
  <c r="CI211" i="5"/>
  <c r="CI212" i="5"/>
  <c r="CI213" i="5"/>
  <c r="CI214" i="5"/>
  <c r="CI215" i="5"/>
  <c r="CI216" i="5"/>
  <c r="CI217" i="5"/>
  <c r="CI218" i="5"/>
  <c r="CI219" i="5"/>
  <c r="CI220" i="5"/>
  <c r="CI221" i="5"/>
  <c r="CI222" i="5"/>
  <c r="CI223" i="5"/>
  <c r="CI224" i="5"/>
  <c r="CI225" i="5"/>
  <c r="CI226" i="5"/>
  <c r="CI227" i="5"/>
  <c r="CI228" i="5"/>
  <c r="CI229" i="5"/>
  <c r="CI230" i="5"/>
  <c r="CI232" i="5"/>
  <c r="CI233" i="5"/>
  <c r="CI234" i="5"/>
  <c r="CI235" i="5"/>
  <c r="CI236" i="5"/>
  <c r="CI237" i="5"/>
  <c r="CI238" i="5"/>
  <c r="CI239" i="5"/>
  <c r="CI240" i="5"/>
  <c r="CI241" i="5"/>
  <c r="CI242" i="5"/>
  <c r="CI243" i="5"/>
  <c r="CI244" i="5"/>
  <c r="CI245" i="5"/>
  <c r="CI246" i="5"/>
  <c r="CI247" i="5"/>
  <c r="CI248" i="5"/>
  <c r="BS4" i="5"/>
  <c r="EC4" i="5" s="1"/>
  <c r="BS5" i="5"/>
  <c r="CT5" i="5" s="1"/>
  <c r="BS6" i="5"/>
  <c r="BS7" i="5"/>
  <c r="CT7" i="5" s="1"/>
  <c r="BS8" i="5"/>
  <c r="EC8" i="5" s="1"/>
  <c r="BS10" i="5"/>
  <c r="EC10" i="5" s="1"/>
  <c r="BS11" i="5"/>
  <c r="BS13" i="5"/>
  <c r="EC13" i="5" s="1"/>
  <c r="BR14" i="5"/>
  <c r="BS14" i="5"/>
  <c r="BS15" i="5"/>
  <c r="EC15" i="5" s="1"/>
  <c r="BS16" i="5"/>
  <c r="EC16" i="5" s="1"/>
  <c r="BS18" i="5"/>
  <c r="EC18" i="5" s="1"/>
  <c r="BS19" i="5"/>
  <c r="BS20" i="5"/>
  <c r="EC20" i="5" s="1"/>
  <c r="BR21" i="5"/>
  <c r="BS21" i="5"/>
  <c r="EC21" i="5" s="1"/>
  <c r="BS22" i="5"/>
  <c r="BS23" i="5"/>
  <c r="EC23" i="5" s="1"/>
  <c r="BS24" i="5"/>
  <c r="EC24" i="5" s="1"/>
  <c r="BS25" i="5"/>
  <c r="EC25" i="5" s="1"/>
  <c r="BS26" i="5"/>
  <c r="BS27" i="5"/>
  <c r="BS28" i="5"/>
  <c r="EC28" i="5" s="1"/>
  <c r="BS29" i="5"/>
  <c r="EC29" i="5" s="1"/>
  <c r="BS30" i="5"/>
  <c r="BS31" i="5"/>
  <c r="EC31" i="5" s="1"/>
  <c r="BS32" i="5"/>
  <c r="EC32" i="5" s="1"/>
  <c r="BS33" i="5"/>
  <c r="EC33" i="5" s="1"/>
  <c r="BS34" i="5"/>
  <c r="EC34" i="5" s="1"/>
  <c r="BS35" i="5"/>
  <c r="BS36" i="5"/>
  <c r="EC36" i="5" s="1"/>
  <c r="BS37" i="5"/>
  <c r="EC37" i="5" s="1"/>
  <c r="BS38" i="5"/>
  <c r="BS39" i="5"/>
  <c r="EC39" i="5" s="1"/>
  <c r="BR40" i="5"/>
  <c r="BS40" i="5"/>
  <c r="EC40" i="5" s="1"/>
  <c r="BS41" i="5"/>
  <c r="EC41" i="5" s="1"/>
  <c r="BS42" i="5"/>
  <c r="EC42" i="5" s="1"/>
  <c r="BR43" i="5"/>
  <c r="BS43" i="5"/>
  <c r="BS44" i="5"/>
  <c r="EC44" i="5" s="1"/>
  <c r="BS45" i="5"/>
  <c r="EC45" i="5" s="1"/>
  <c r="BS46" i="5"/>
  <c r="BS47" i="5"/>
  <c r="EC47" i="5" s="1"/>
  <c r="BS48" i="5"/>
  <c r="CT48" i="5" s="1"/>
  <c r="BS49" i="5"/>
  <c r="EC49" i="5" s="1"/>
  <c r="BS50" i="5"/>
  <c r="BS51" i="5"/>
  <c r="BS52" i="5"/>
  <c r="EC52" i="5" s="1"/>
  <c r="BS53" i="5"/>
  <c r="EC53" i="5" s="1"/>
  <c r="BS54" i="5"/>
  <c r="BS55" i="5"/>
  <c r="BS56" i="5"/>
  <c r="EC56" i="5" s="1"/>
  <c r="BS57" i="5"/>
  <c r="EC57" i="5" s="1"/>
  <c r="BS58" i="5"/>
  <c r="BS59" i="5"/>
  <c r="BR61" i="5"/>
  <c r="BS61" i="5"/>
  <c r="EC61" i="5" s="1"/>
  <c r="BS62" i="5"/>
  <c r="BS63" i="5"/>
  <c r="EC63" i="5" s="1"/>
  <c r="BS64" i="5"/>
  <c r="EC64" i="5" s="1"/>
  <c r="BS65" i="5"/>
  <c r="EC65" i="5" s="1"/>
  <c r="BS66" i="5"/>
  <c r="EC66" i="5" s="1"/>
  <c r="BS67" i="5"/>
  <c r="BS68" i="5"/>
  <c r="EC68" i="5" s="1"/>
  <c r="BS69" i="5"/>
  <c r="EC69" i="5" s="1"/>
  <c r="BS70" i="5"/>
  <c r="BS71" i="5"/>
  <c r="EC71" i="5" s="1"/>
  <c r="BS72" i="5"/>
  <c r="EC72" i="5" s="1"/>
  <c r="BR73" i="5"/>
  <c r="BS73" i="5"/>
  <c r="EC73" i="5" s="1"/>
  <c r="BS74" i="5"/>
  <c r="EC74" i="5" s="1"/>
  <c r="BS75" i="5"/>
  <c r="BS76" i="5"/>
  <c r="EC76" i="5" s="1"/>
  <c r="BS77" i="5"/>
  <c r="CT77" i="5" s="1"/>
  <c r="BS78" i="5"/>
  <c r="BS79" i="5"/>
  <c r="EC79" i="5" s="1"/>
  <c r="BS80" i="5"/>
  <c r="EC80" i="5" s="1"/>
  <c r="BS81" i="5"/>
  <c r="EC81" i="5" s="1"/>
  <c r="BS82" i="5"/>
  <c r="BS83" i="5"/>
  <c r="BS84" i="5"/>
  <c r="EC84" i="5" s="1"/>
  <c r="BS85" i="5"/>
  <c r="EC85" i="5" s="1"/>
  <c r="BS86" i="5"/>
  <c r="BS87" i="5"/>
  <c r="BS89" i="5"/>
  <c r="EC89" i="5" s="1"/>
  <c r="BS92" i="5"/>
  <c r="EC92" i="5" s="1"/>
  <c r="BS93" i="5"/>
  <c r="CT93" i="5" s="1"/>
  <c r="BS95" i="5"/>
  <c r="EC95" i="5" s="1"/>
  <c r="BS97" i="5"/>
  <c r="EC97" i="5" s="1"/>
  <c r="BS98" i="5"/>
  <c r="CT98" i="5" s="1"/>
  <c r="BS100" i="5"/>
  <c r="EC100" i="5" s="1"/>
  <c r="BS102" i="5"/>
  <c r="BS103" i="5"/>
  <c r="BR104" i="5"/>
  <c r="BS104" i="5"/>
  <c r="EC104" i="5" s="1"/>
  <c r="BS105" i="5"/>
  <c r="EC105" i="5" s="1"/>
  <c r="BS106" i="5"/>
  <c r="EC106" i="5" s="1"/>
  <c r="BS107" i="5"/>
  <c r="BS109" i="5"/>
  <c r="EC109" i="5" s="1"/>
  <c r="BS110" i="5"/>
  <c r="BR111" i="5"/>
  <c r="BS111" i="5"/>
  <c r="EC111" i="5" s="1"/>
  <c r="BS112" i="5"/>
  <c r="EC112" i="5" s="1"/>
  <c r="BS113" i="5"/>
  <c r="BS114" i="5"/>
  <c r="EC114" i="5" s="1"/>
  <c r="BS115" i="5"/>
  <c r="BS116" i="5"/>
  <c r="BR117" i="5"/>
  <c r="BS117" i="5"/>
  <c r="BR118" i="5"/>
  <c r="BS118" i="5"/>
  <c r="BR119" i="5"/>
  <c r="BS119" i="5"/>
  <c r="EC119" i="5" s="1"/>
  <c r="BS120" i="5"/>
  <c r="BR122" i="5"/>
  <c r="BS122" i="5"/>
  <c r="EC122" i="5" s="1"/>
  <c r="BR123" i="5"/>
  <c r="BS123" i="5"/>
  <c r="BS125" i="5"/>
  <c r="BS126" i="5"/>
  <c r="EC126" i="5" s="1"/>
  <c r="BS127" i="5"/>
  <c r="BS128" i="5"/>
  <c r="BS132" i="5"/>
  <c r="BS134" i="5"/>
  <c r="EC134" i="5" s="1"/>
  <c r="BS135" i="5"/>
  <c r="BS136" i="5"/>
  <c r="EC136" i="5" s="1"/>
  <c r="BS137" i="5"/>
  <c r="BS138" i="5"/>
  <c r="EC138" i="5" s="1"/>
  <c r="BS140" i="5"/>
  <c r="BR141" i="5"/>
  <c r="BU141" i="5" s="1"/>
  <c r="EZ141" i="5" s="1"/>
  <c r="BS141" i="5"/>
  <c r="BS142" i="5"/>
  <c r="BS145" i="5"/>
  <c r="EC145" i="5" s="1"/>
  <c r="BR147" i="5"/>
  <c r="BS147" i="5"/>
  <c r="BS148" i="5"/>
  <c r="EC148" i="5" s="1"/>
  <c r="BS150" i="5"/>
  <c r="BR151" i="5"/>
  <c r="BS151" i="5"/>
  <c r="EC151" i="5" s="1"/>
  <c r="BS152" i="5"/>
  <c r="BS153" i="5"/>
  <c r="BS154" i="5"/>
  <c r="BS157" i="5"/>
  <c r="BS158" i="5"/>
  <c r="EC158" i="5" s="1"/>
  <c r="BS159" i="5"/>
  <c r="BR161" i="5"/>
  <c r="BS161" i="5"/>
  <c r="EC161" i="5" s="1"/>
  <c r="BS162" i="5"/>
  <c r="BR163" i="5"/>
  <c r="BS163" i="5"/>
  <c r="BR166" i="5"/>
  <c r="BS166" i="5"/>
  <c r="BR167" i="5"/>
  <c r="BS167" i="5"/>
  <c r="EC167" i="5" s="1"/>
  <c r="BS171" i="5"/>
  <c r="EC171" i="5" s="1"/>
  <c r="BS174" i="5"/>
  <c r="BS175" i="5"/>
  <c r="BS176" i="5"/>
  <c r="EC176" i="5" s="1"/>
  <c r="BR178" i="5"/>
  <c r="BS178" i="5"/>
  <c r="BS179" i="5"/>
  <c r="EC179" i="5" s="1"/>
  <c r="BS180" i="5"/>
  <c r="BS181" i="5"/>
  <c r="BR182" i="5"/>
  <c r="BS182" i="5"/>
  <c r="EC182" i="5" s="1"/>
  <c r="BR183" i="5"/>
  <c r="BS183" i="5"/>
  <c r="CT183" i="5" s="1"/>
  <c r="BR184" i="5"/>
  <c r="BS184" i="5"/>
  <c r="EC184" i="5" s="1"/>
  <c r="BR186" i="5"/>
  <c r="BS186" i="5"/>
  <c r="BR187" i="5"/>
  <c r="BS187" i="5"/>
  <c r="EC187" i="5" s="1"/>
  <c r="BS188" i="5"/>
  <c r="BS189" i="5"/>
  <c r="BS190" i="5"/>
  <c r="BR191" i="5"/>
  <c r="BS191" i="5"/>
  <c r="BR192" i="5"/>
  <c r="BS192" i="5"/>
  <c r="BR194" i="5"/>
  <c r="BS194" i="5"/>
  <c r="CT194" i="5" s="1"/>
  <c r="BR195" i="5"/>
  <c r="BS195" i="5"/>
  <c r="EC195" i="5" s="1"/>
  <c r="BR196" i="5"/>
  <c r="BS196" i="5" s="1"/>
  <c r="EC196" i="5" s="1"/>
  <c r="BR197" i="5"/>
  <c r="BS197" i="5"/>
  <c r="EC197" i="5" s="1"/>
  <c r="BR198" i="5"/>
  <c r="BS198" i="5"/>
  <c r="EC198" i="5" s="1"/>
  <c r="BR199" i="5"/>
  <c r="BS199" i="5" s="1"/>
  <c r="CT199" i="5" s="1"/>
  <c r="BR200" i="5"/>
  <c r="BS200" i="5" s="1"/>
  <c r="EC200" i="5" s="1"/>
  <c r="BR201" i="5"/>
  <c r="BS201" i="5"/>
  <c r="CT201" i="5" s="1"/>
  <c r="BR202" i="5"/>
  <c r="BS202" i="5"/>
  <c r="EC202" i="5" s="1"/>
  <c r="BS204" i="5"/>
  <c r="EC204" i="5" s="1"/>
  <c r="BS206" i="5"/>
  <c r="CT206" i="5" s="1"/>
  <c r="BS208" i="5"/>
  <c r="EC208" i="5" s="1"/>
  <c r="BS212" i="5"/>
  <c r="EC212" i="5" s="1"/>
  <c r="BR214" i="5"/>
  <c r="BS214" i="5"/>
  <c r="EC214" i="5" s="1"/>
  <c r="BR215" i="5"/>
  <c r="BS215" i="5"/>
  <c r="EC215" i="5" s="1"/>
  <c r="BR216" i="5"/>
  <c r="BS216" i="5"/>
  <c r="CT216" i="5" s="1"/>
  <c r="BR217" i="5"/>
  <c r="BS217" i="5"/>
  <c r="EC217" i="5" s="1"/>
  <c r="BR218" i="5"/>
  <c r="BS218" i="5"/>
  <c r="CT218" i="5" s="1"/>
  <c r="BS219" i="5"/>
  <c r="CT219" i="5" s="1"/>
  <c r="BR220" i="5"/>
  <c r="BS220" i="5"/>
  <c r="CT220" i="5" s="1"/>
  <c r="BR221" i="5"/>
  <c r="BS221" i="5"/>
  <c r="CT221" i="5" s="1"/>
  <c r="BS222" i="5"/>
  <c r="CT222" i="5" s="1"/>
  <c r="BS223" i="5"/>
  <c r="CT223" i="5" s="1"/>
  <c r="BS224" i="5"/>
  <c r="EC224" i="5" s="1"/>
  <c r="BS225" i="5"/>
  <c r="CT225" i="5" s="1"/>
  <c r="BS226" i="5"/>
  <c r="EC226" i="5" s="1"/>
  <c r="BS227" i="5"/>
  <c r="EC227" i="5" s="1"/>
  <c r="BS228" i="5"/>
  <c r="EC228" i="5" s="1"/>
  <c r="BS229" i="5"/>
  <c r="CT229" i="5" s="1"/>
  <c r="BS230" i="5"/>
  <c r="CT230" i="5" s="1"/>
  <c r="BS231" i="5"/>
  <c r="CT231" i="5" s="1"/>
  <c r="BS234" i="5"/>
  <c r="EC234" i="5" s="1"/>
  <c r="BR235" i="5"/>
  <c r="BS235" i="5"/>
  <c r="EC235" i="5" s="1"/>
  <c r="BR236" i="5"/>
  <c r="BS236" i="5"/>
  <c r="EC236" i="5" s="1"/>
  <c r="BR237" i="5"/>
  <c r="BS237" i="5"/>
  <c r="CT237" i="5" s="1"/>
  <c r="BR238" i="5"/>
  <c r="BS238" i="5"/>
  <c r="CT238" i="5" s="1"/>
  <c r="BR239" i="5"/>
  <c r="BS239" i="5"/>
  <c r="CT239" i="5" s="1"/>
  <c r="BR240" i="5"/>
  <c r="BS240" i="5"/>
  <c r="CT240" i="5" s="1"/>
  <c r="BR241" i="5"/>
  <c r="BS241" i="5"/>
  <c r="CT241" i="5" s="1"/>
  <c r="BS242" i="5"/>
  <c r="EC242" i="5" s="1"/>
  <c r="BR243" i="5"/>
  <c r="BS243" i="5"/>
  <c r="EC243" i="5" s="1"/>
  <c r="BR244" i="5"/>
  <c r="BS244" i="5"/>
  <c r="EC244" i="5" s="1"/>
  <c r="BR245" i="5"/>
  <c r="BS245" i="5"/>
  <c r="CT245" i="5" s="1"/>
  <c r="BR246" i="5"/>
  <c r="BS246" i="5"/>
  <c r="CT246" i="5" s="1"/>
  <c r="BR247" i="5"/>
  <c r="BS247" i="5"/>
  <c r="BR248" i="5"/>
  <c r="BS248" i="5"/>
  <c r="CT248" i="5" s="1"/>
  <c r="AK72" i="5"/>
  <c r="AK184" i="5"/>
  <c r="AK186" i="5"/>
  <c r="AK194" i="5"/>
  <c r="AK195" i="5"/>
  <c r="AK196" i="5"/>
  <c r="P4" i="5"/>
  <c r="P5" i="5"/>
  <c r="P6" i="5"/>
  <c r="P7" i="5"/>
  <c r="P8" i="5"/>
  <c r="P9" i="5"/>
  <c r="P10" i="5"/>
  <c r="P11" i="5"/>
  <c r="P12" i="5"/>
  <c r="P13" i="5"/>
  <c r="P14" i="5"/>
  <c r="P15" i="5"/>
  <c r="P16" i="5"/>
  <c r="P17" i="5"/>
  <c r="P18" i="5"/>
  <c r="P19" i="5"/>
  <c r="P20" i="5"/>
  <c r="P21" i="5"/>
  <c r="P22" i="5"/>
  <c r="P23" i="5"/>
  <c r="P24" i="5"/>
  <c r="P25" i="5"/>
  <c r="P26" i="5"/>
  <c r="P27" i="5"/>
  <c r="P28" i="5"/>
  <c r="P29" i="5"/>
  <c r="P30" i="5"/>
  <c r="P31" i="5"/>
  <c r="P32" i="5"/>
  <c r="P33" i="5"/>
  <c r="P34" i="5"/>
  <c r="P35" i="5"/>
  <c r="P36" i="5"/>
  <c r="P37" i="5"/>
  <c r="P38" i="5"/>
  <c r="P39" i="5"/>
  <c r="P40" i="5"/>
  <c r="P41" i="5"/>
  <c r="P42" i="5"/>
  <c r="P43" i="5"/>
  <c r="P44" i="5"/>
  <c r="P45" i="5"/>
  <c r="P46" i="5"/>
  <c r="P47" i="5"/>
  <c r="P48" i="5"/>
  <c r="P49" i="5"/>
  <c r="P50" i="5"/>
  <c r="P51" i="5"/>
  <c r="P52" i="5"/>
  <c r="P53" i="5"/>
  <c r="P54" i="5"/>
  <c r="P55" i="5"/>
  <c r="P56" i="5"/>
  <c r="P57" i="5"/>
  <c r="P58" i="5"/>
  <c r="P59" i="5"/>
  <c r="P60" i="5"/>
  <c r="P61" i="5"/>
  <c r="P62" i="5"/>
  <c r="P63" i="5"/>
  <c r="P64" i="5"/>
  <c r="P65" i="5"/>
  <c r="P66" i="5"/>
  <c r="P67" i="5"/>
  <c r="P68" i="5"/>
  <c r="P69" i="5"/>
  <c r="P70" i="5"/>
  <c r="P71" i="5"/>
  <c r="P72" i="5"/>
  <c r="P73" i="5"/>
  <c r="P74" i="5"/>
  <c r="P75" i="5"/>
  <c r="P76" i="5"/>
  <c r="P77" i="5"/>
  <c r="P78" i="5"/>
  <c r="P79" i="5"/>
  <c r="P80" i="5"/>
  <c r="P81" i="5"/>
  <c r="P82" i="5"/>
  <c r="P83" i="5"/>
  <c r="P84" i="5"/>
  <c r="P85" i="5"/>
  <c r="P86" i="5"/>
  <c r="P87" i="5"/>
  <c r="P88" i="5"/>
  <c r="P89" i="5"/>
  <c r="P90" i="5"/>
  <c r="P91" i="5"/>
  <c r="P92" i="5"/>
  <c r="P93" i="5"/>
  <c r="P94" i="5"/>
  <c r="P95" i="5"/>
  <c r="P96" i="5"/>
  <c r="P97" i="5"/>
  <c r="P98" i="5"/>
  <c r="P99" i="5"/>
  <c r="P100" i="5"/>
  <c r="P101" i="5"/>
  <c r="P102" i="5"/>
  <c r="P103" i="5"/>
  <c r="P104" i="5"/>
  <c r="P105" i="5"/>
  <c r="P106" i="5"/>
  <c r="P107" i="5"/>
  <c r="P108" i="5"/>
  <c r="P109" i="5"/>
  <c r="P110" i="5"/>
  <c r="P111" i="5"/>
  <c r="P112" i="5"/>
  <c r="P113" i="5"/>
  <c r="P114" i="5"/>
  <c r="P115" i="5"/>
  <c r="P116" i="5"/>
  <c r="P117" i="5"/>
  <c r="P118" i="5"/>
  <c r="P119" i="5"/>
  <c r="P120" i="5"/>
  <c r="P121" i="5"/>
  <c r="P122" i="5"/>
  <c r="P123" i="5"/>
  <c r="P124" i="5"/>
  <c r="P125" i="5"/>
  <c r="P126" i="5"/>
  <c r="P127" i="5"/>
  <c r="P128" i="5"/>
  <c r="P129" i="5"/>
  <c r="P130" i="5"/>
  <c r="P131" i="5"/>
  <c r="P132" i="5"/>
  <c r="P133" i="5"/>
  <c r="P134" i="5"/>
  <c r="P135" i="5"/>
  <c r="P136" i="5"/>
  <c r="P137" i="5"/>
  <c r="P138" i="5"/>
  <c r="P139" i="5"/>
  <c r="P140" i="5"/>
  <c r="P141" i="5"/>
  <c r="P142" i="5"/>
  <c r="P143" i="5"/>
  <c r="P144" i="5"/>
  <c r="P145" i="5"/>
  <c r="P146" i="5"/>
  <c r="P147" i="5"/>
  <c r="P148" i="5"/>
  <c r="P149" i="5"/>
  <c r="P150" i="5"/>
  <c r="P151" i="5"/>
  <c r="P152" i="5"/>
  <c r="P153" i="5"/>
  <c r="P154" i="5"/>
  <c r="P155" i="5"/>
  <c r="P156" i="5"/>
  <c r="P157" i="5"/>
  <c r="P158" i="5"/>
  <c r="P159" i="5"/>
  <c r="P160" i="5"/>
  <c r="P161" i="5"/>
  <c r="P162" i="5"/>
  <c r="P163" i="5"/>
  <c r="P164" i="5"/>
  <c r="P165" i="5"/>
  <c r="P166" i="5"/>
  <c r="P167" i="5"/>
  <c r="P168" i="5"/>
  <c r="P169" i="5"/>
  <c r="P170" i="5"/>
  <c r="P171" i="5"/>
  <c r="P172" i="5"/>
  <c r="P173" i="5"/>
  <c r="P174" i="5"/>
  <c r="P175" i="5"/>
  <c r="P176" i="5"/>
  <c r="P177" i="5"/>
  <c r="P178" i="5"/>
  <c r="P179" i="5"/>
  <c r="P180" i="5"/>
  <c r="P181" i="5"/>
  <c r="P182" i="5"/>
  <c r="P183" i="5"/>
  <c r="P184" i="5"/>
  <c r="P185" i="5"/>
  <c r="P186" i="5"/>
  <c r="P187" i="5"/>
  <c r="P188" i="5"/>
  <c r="P189" i="5"/>
  <c r="P190" i="5"/>
  <c r="P191" i="5"/>
  <c r="P192" i="5"/>
  <c r="P193" i="5"/>
  <c r="P194" i="5"/>
  <c r="P195" i="5"/>
  <c r="P196" i="5"/>
  <c r="P197" i="5"/>
  <c r="P198" i="5"/>
  <c r="P200" i="5"/>
  <c r="P201" i="5"/>
  <c r="P202" i="5"/>
  <c r="P203" i="5"/>
  <c r="P204" i="5"/>
  <c r="P205" i="5"/>
  <c r="P206" i="5"/>
  <c r="P208" i="5"/>
  <c r="P209" i="5"/>
  <c r="P210" i="5"/>
  <c r="P211" i="5"/>
  <c r="P213" i="5"/>
  <c r="P214" i="5"/>
  <c r="P215" i="5"/>
  <c r="P216" i="5"/>
  <c r="P217" i="5"/>
  <c r="P218" i="5"/>
  <c r="P219" i="5"/>
  <c r="P220" i="5"/>
  <c r="P221" i="5"/>
  <c r="P222" i="5"/>
  <c r="P223" i="5"/>
  <c r="P224" i="5"/>
  <c r="P225" i="5"/>
  <c r="P226" i="5"/>
  <c r="P227" i="5"/>
  <c r="P228" i="5"/>
  <c r="P229" i="5"/>
  <c r="P230" i="5"/>
  <c r="P231" i="5"/>
  <c r="P232" i="5"/>
  <c r="P233" i="5"/>
  <c r="P234" i="5"/>
  <c r="P235" i="5"/>
  <c r="P236" i="5"/>
  <c r="P237" i="5"/>
  <c r="P238" i="5"/>
  <c r="P239" i="5"/>
  <c r="P240" i="5"/>
  <c r="P241" i="5"/>
  <c r="P242" i="5"/>
  <c r="P243" i="5"/>
  <c r="P244" i="5"/>
  <c r="P245" i="5"/>
  <c r="P247" i="5"/>
  <c r="P248" i="5"/>
  <c r="N4" i="5"/>
  <c r="N5" i="5"/>
  <c r="N6" i="5"/>
  <c r="N7" i="5"/>
  <c r="N8" i="5"/>
  <c r="N9" i="5"/>
  <c r="N10" i="5"/>
  <c r="N11" i="5"/>
  <c r="N12" i="5"/>
  <c r="N13" i="5"/>
  <c r="N14" i="5"/>
  <c r="N15" i="5"/>
  <c r="N16" i="5"/>
  <c r="N17" i="5"/>
  <c r="N18" i="5"/>
  <c r="N19" i="5"/>
  <c r="N20" i="5"/>
  <c r="N21" i="5"/>
  <c r="N22" i="5"/>
  <c r="N23" i="5"/>
  <c r="N24" i="5"/>
  <c r="N25" i="5"/>
  <c r="N26" i="5"/>
  <c r="N27" i="5"/>
  <c r="N28" i="5"/>
  <c r="N29" i="5"/>
  <c r="N30" i="5"/>
  <c r="N31" i="5"/>
  <c r="N32" i="5"/>
  <c r="N33" i="5"/>
  <c r="N34" i="5"/>
  <c r="N35" i="5"/>
  <c r="N36" i="5"/>
  <c r="N37" i="5"/>
  <c r="N38" i="5"/>
  <c r="N39" i="5"/>
  <c r="N40" i="5"/>
  <c r="N41" i="5"/>
  <c r="N42" i="5"/>
  <c r="N43" i="5"/>
  <c r="N44" i="5"/>
  <c r="N45" i="5"/>
  <c r="N46" i="5"/>
  <c r="N47" i="5"/>
  <c r="N48" i="5"/>
  <c r="N49" i="5"/>
  <c r="N50" i="5"/>
  <c r="N51" i="5"/>
  <c r="N52" i="5"/>
  <c r="N53" i="5"/>
  <c r="N54" i="5"/>
  <c r="N55" i="5"/>
  <c r="N56" i="5"/>
  <c r="N57" i="5"/>
  <c r="N58" i="5"/>
  <c r="N59" i="5"/>
  <c r="N60" i="5"/>
  <c r="N61" i="5"/>
  <c r="N62" i="5"/>
  <c r="N63" i="5"/>
  <c r="N64" i="5"/>
  <c r="N65" i="5"/>
  <c r="N66" i="5"/>
  <c r="N67" i="5"/>
  <c r="N68" i="5"/>
  <c r="N69" i="5"/>
  <c r="N70" i="5"/>
  <c r="N71" i="5"/>
  <c r="N72" i="5"/>
  <c r="N73" i="5"/>
  <c r="N74" i="5"/>
  <c r="N75" i="5"/>
  <c r="N76" i="5"/>
  <c r="N77" i="5"/>
  <c r="N78" i="5"/>
  <c r="N79" i="5"/>
  <c r="N80" i="5"/>
  <c r="N81" i="5"/>
  <c r="N82" i="5"/>
  <c r="N83" i="5"/>
  <c r="N84" i="5"/>
  <c r="N85" i="5"/>
  <c r="N86" i="5"/>
  <c r="N87" i="5"/>
  <c r="N88" i="5"/>
  <c r="N89" i="5"/>
  <c r="N90" i="5"/>
  <c r="N91" i="5"/>
  <c r="N92" i="5"/>
  <c r="N93" i="5"/>
  <c r="N94" i="5"/>
  <c r="N95" i="5"/>
  <c r="N96" i="5"/>
  <c r="N97" i="5"/>
  <c r="N98" i="5"/>
  <c r="N99" i="5"/>
  <c r="N100" i="5"/>
  <c r="N101" i="5"/>
  <c r="N102" i="5"/>
  <c r="N103" i="5"/>
  <c r="N104" i="5"/>
  <c r="N105" i="5"/>
  <c r="N106" i="5"/>
  <c r="N107" i="5"/>
  <c r="N108" i="5"/>
  <c r="N109" i="5"/>
  <c r="N110" i="5"/>
  <c r="N111" i="5"/>
  <c r="N112" i="5"/>
  <c r="N113" i="5"/>
  <c r="N114" i="5"/>
  <c r="N115" i="5"/>
  <c r="N116" i="5"/>
  <c r="N117" i="5"/>
  <c r="N118" i="5"/>
  <c r="N119" i="5"/>
  <c r="N120" i="5"/>
  <c r="N121" i="5"/>
  <c r="N122" i="5"/>
  <c r="N123" i="5"/>
  <c r="N124" i="5"/>
  <c r="N125" i="5"/>
  <c r="N126" i="5"/>
  <c r="N127" i="5"/>
  <c r="N128" i="5"/>
  <c r="N129" i="5"/>
  <c r="N130" i="5"/>
  <c r="N131" i="5"/>
  <c r="N132" i="5"/>
  <c r="N133" i="5"/>
  <c r="N134" i="5"/>
  <c r="N135" i="5"/>
  <c r="N136" i="5"/>
  <c r="N137" i="5"/>
  <c r="N138" i="5"/>
  <c r="N139" i="5"/>
  <c r="N140" i="5"/>
  <c r="N141" i="5"/>
  <c r="N142" i="5"/>
  <c r="N143" i="5"/>
  <c r="N144" i="5"/>
  <c r="N145" i="5"/>
  <c r="N146" i="5"/>
  <c r="N147" i="5"/>
  <c r="N148" i="5"/>
  <c r="N149" i="5"/>
  <c r="N150" i="5"/>
  <c r="N151" i="5"/>
  <c r="N152" i="5"/>
  <c r="N153" i="5"/>
  <c r="N154" i="5"/>
  <c r="N155" i="5"/>
  <c r="N156" i="5"/>
  <c r="N157" i="5"/>
  <c r="N158" i="5"/>
  <c r="N159" i="5"/>
  <c r="N160" i="5"/>
  <c r="N161" i="5"/>
  <c r="N162" i="5"/>
  <c r="N163" i="5"/>
  <c r="N164" i="5"/>
  <c r="N165" i="5"/>
  <c r="N166" i="5"/>
  <c r="N167" i="5"/>
  <c r="N168" i="5"/>
  <c r="N169" i="5"/>
  <c r="N170" i="5"/>
  <c r="N171" i="5"/>
  <c r="N172" i="5"/>
  <c r="N173" i="5"/>
  <c r="N174" i="5"/>
  <c r="N175" i="5"/>
  <c r="N176" i="5"/>
  <c r="N177" i="5"/>
  <c r="N178" i="5"/>
  <c r="N179" i="5"/>
  <c r="N180" i="5"/>
  <c r="N181" i="5"/>
  <c r="N182" i="5"/>
  <c r="N183" i="5"/>
  <c r="N184" i="5"/>
  <c r="N185" i="5"/>
  <c r="N186" i="5"/>
  <c r="N187" i="5"/>
  <c r="N188" i="5"/>
  <c r="N189" i="5"/>
  <c r="N190" i="5"/>
  <c r="N191" i="5"/>
  <c r="N192" i="5"/>
  <c r="N193" i="5"/>
  <c r="N194" i="5"/>
  <c r="N196" i="5"/>
  <c r="N197" i="5"/>
  <c r="N198" i="5"/>
  <c r="N199" i="5"/>
  <c r="N200" i="5"/>
  <c r="N201" i="5"/>
  <c r="N202" i="5"/>
  <c r="N203" i="5"/>
  <c r="N204" i="5"/>
  <c r="N205" i="5"/>
  <c r="N206" i="5"/>
  <c r="N207" i="5"/>
  <c r="N208" i="5"/>
  <c r="N209" i="5"/>
  <c r="N210" i="5"/>
  <c r="N211" i="5"/>
  <c r="N212" i="5"/>
  <c r="N213" i="5"/>
  <c r="N214" i="5"/>
  <c r="N215" i="5"/>
  <c r="N216" i="5"/>
  <c r="N217" i="5"/>
  <c r="N218" i="5"/>
  <c r="N219" i="5"/>
  <c r="N220" i="5"/>
  <c r="N221" i="5"/>
  <c r="N222" i="5"/>
  <c r="N223" i="5"/>
  <c r="N224" i="5"/>
  <c r="N225" i="5"/>
  <c r="N226" i="5"/>
  <c r="N227" i="5"/>
  <c r="N228" i="5"/>
  <c r="N229" i="5"/>
  <c r="N230" i="5"/>
  <c r="N231" i="5"/>
  <c r="N232" i="5"/>
  <c r="N233" i="5"/>
  <c r="N234" i="5"/>
  <c r="N235" i="5"/>
  <c r="N236" i="5"/>
  <c r="N237" i="5"/>
  <c r="N238" i="5"/>
  <c r="N239" i="5"/>
  <c r="N240" i="5"/>
  <c r="N241" i="5"/>
  <c r="N242" i="5"/>
  <c r="N244" i="5"/>
  <c r="N245" i="5"/>
  <c r="N246" i="5"/>
  <c r="N247" i="5"/>
  <c r="N248" i="5"/>
  <c r="JZ4" i="5"/>
  <c r="JZ5" i="5"/>
  <c r="JZ6" i="5"/>
  <c r="JZ7" i="5"/>
  <c r="JZ8" i="5"/>
  <c r="JZ9" i="5"/>
  <c r="JZ10" i="5"/>
  <c r="JZ11" i="5"/>
  <c r="JZ12" i="5"/>
  <c r="JZ13" i="5"/>
  <c r="JZ14" i="5"/>
  <c r="JZ15" i="5"/>
  <c r="JZ16" i="5"/>
  <c r="JZ17" i="5"/>
  <c r="JZ18" i="5"/>
  <c r="JZ19" i="5"/>
  <c r="JZ20" i="5"/>
  <c r="JZ21" i="5"/>
  <c r="JZ22" i="5"/>
  <c r="JZ23" i="5"/>
  <c r="JZ24" i="5"/>
  <c r="JZ25" i="5"/>
  <c r="JZ26" i="5"/>
  <c r="JZ27" i="5"/>
  <c r="JZ28" i="5"/>
  <c r="JZ29" i="5"/>
  <c r="JZ30" i="5"/>
  <c r="JZ31" i="5"/>
  <c r="JZ32" i="5"/>
  <c r="JZ33" i="5"/>
  <c r="JZ34" i="5"/>
  <c r="JZ35" i="5"/>
  <c r="JZ36" i="5"/>
  <c r="JZ37" i="5"/>
  <c r="JZ38" i="5"/>
  <c r="JZ39" i="5"/>
  <c r="JZ40" i="5"/>
  <c r="JZ41" i="5"/>
  <c r="JZ42" i="5"/>
  <c r="JZ43" i="5"/>
  <c r="JZ44" i="5"/>
  <c r="JZ45" i="5"/>
  <c r="JZ46" i="5"/>
  <c r="JZ47" i="5"/>
  <c r="JZ48" i="5"/>
  <c r="JZ49" i="5"/>
  <c r="JZ50" i="5"/>
  <c r="JZ51" i="5"/>
  <c r="JZ52" i="5"/>
  <c r="JZ53" i="5"/>
  <c r="JZ54" i="5"/>
  <c r="JZ55" i="5"/>
  <c r="JZ56" i="5"/>
  <c r="JZ57" i="5"/>
  <c r="JZ58" i="5"/>
  <c r="JZ59" i="5"/>
  <c r="JZ60" i="5"/>
  <c r="JZ61" i="5"/>
  <c r="JZ62" i="5"/>
  <c r="JZ63" i="5"/>
  <c r="JZ64" i="5"/>
  <c r="JZ65" i="5"/>
  <c r="JZ66" i="5"/>
  <c r="JZ67" i="5"/>
  <c r="JZ68" i="5"/>
  <c r="JZ69" i="5"/>
  <c r="JZ70" i="5"/>
  <c r="JZ71" i="5"/>
  <c r="JZ72" i="5"/>
  <c r="JZ73" i="5"/>
  <c r="JZ74" i="5"/>
  <c r="JZ75" i="5"/>
  <c r="JZ76" i="5"/>
  <c r="JZ77" i="5"/>
  <c r="JZ78" i="5"/>
  <c r="JZ79" i="5"/>
  <c r="JZ80" i="5"/>
  <c r="JZ81" i="5"/>
  <c r="JZ82" i="5"/>
  <c r="JZ83" i="5"/>
  <c r="JZ84" i="5"/>
  <c r="JZ85" i="5"/>
  <c r="JZ86" i="5"/>
  <c r="JZ87" i="5"/>
  <c r="JZ88" i="5"/>
  <c r="JZ89" i="5"/>
  <c r="JZ90" i="5"/>
  <c r="JZ91" i="5"/>
  <c r="JZ92" i="5"/>
  <c r="JZ93" i="5"/>
  <c r="JZ94" i="5"/>
  <c r="JZ95" i="5"/>
  <c r="JZ96" i="5"/>
  <c r="JZ97" i="5"/>
  <c r="JZ98" i="5"/>
  <c r="JZ99" i="5"/>
  <c r="JZ100" i="5"/>
  <c r="JZ101" i="5"/>
  <c r="JZ102" i="5"/>
  <c r="JZ103" i="5"/>
  <c r="JZ104" i="5"/>
  <c r="JZ105" i="5"/>
  <c r="JZ106" i="5"/>
  <c r="JZ107" i="5"/>
  <c r="JZ108" i="5"/>
  <c r="JZ109" i="5"/>
  <c r="JZ110" i="5"/>
  <c r="JZ111" i="5"/>
  <c r="JZ112" i="5"/>
  <c r="JZ113" i="5"/>
  <c r="JZ114" i="5"/>
  <c r="JZ115" i="5"/>
  <c r="JZ116" i="5"/>
  <c r="JZ117" i="5"/>
  <c r="JZ118" i="5"/>
  <c r="JZ119" i="5"/>
  <c r="JZ120" i="5"/>
  <c r="JZ121" i="5"/>
  <c r="JZ122" i="5"/>
  <c r="JZ123" i="5"/>
  <c r="JZ124" i="5"/>
  <c r="JZ125" i="5"/>
  <c r="JZ126" i="5"/>
  <c r="JZ127" i="5"/>
  <c r="JZ128" i="5"/>
  <c r="JZ129" i="5"/>
  <c r="JZ130" i="5"/>
  <c r="JZ131" i="5"/>
  <c r="JZ132" i="5"/>
  <c r="JZ133" i="5"/>
  <c r="JZ134" i="5"/>
  <c r="JZ135" i="5"/>
  <c r="JZ136" i="5"/>
  <c r="JZ137" i="5"/>
  <c r="JZ138" i="5"/>
  <c r="JZ139" i="5"/>
  <c r="JZ140" i="5"/>
  <c r="JZ141" i="5"/>
  <c r="JZ142" i="5"/>
  <c r="JZ143" i="5"/>
  <c r="JZ144" i="5"/>
  <c r="JZ145" i="5"/>
  <c r="JZ146" i="5"/>
  <c r="JZ147" i="5"/>
  <c r="JZ148" i="5"/>
  <c r="JZ149" i="5"/>
  <c r="JZ150" i="5"/>
  <c r="JZ151" i="5"/>
  <c r="JZ152" i="5"/>
  <c r="JZ153" i="5"/>
  <c r="JZ154" i="5"/>
  <c r="JZ155" i="5"/>
  <c r="JZ156" i="5"/>
  <c r="JZ157" i="5"/>
  <c r="JZ158" i="5"/>
  <c r="JZ159" i="5"/>
  <c r="JZ160" i="5"/>
  <c r="JZ161" i="5"/>
  <c r="JZ162" i="5"/>
  <c r="JZ163" i="5"/>
  <c r="JZ164" i="5"/>
  <c r="JZ165" i="5"/>
  <c r="JZ166" i="5"/>
  <c r="JZ167" i="5"/>
  <c r="JZ168" i="5"/>
  <c r="JZ169" i="5"/>
  <c r="JZ170" i="5"/>
  <c r="JZ171" i="5"/>
  <c r="JZ172" i="5"/>
  <c r="JZ173" i="5"/>
  <c r="JZ174" i="5"/>
  <c r="JZ175" i="5"/>
  <c r="JZ176" i="5"/>
  <c r="JZ177" i="5"/>
  <c r="JZ178" i="5"/>
  <c r="JZ179" i="5"/>
  <c r="JZ180" i="5"/>
  <c r="JZ181" i="5"/>
  <c r="JZ182" i="5"/>
  <c r="JZ183" i="5"/>
  <c r="JZ184" i="5"/>
  <c r="JZ185" i="5"/>
  <c r="JZ186" i="5"/>
  <c r="JZ187" i="5"/>
  <c r="JZ188" i="5"/>
  <c r="JZ189" i="5"/>
  <c r="JZ190" i="5"/>
  <c r="JZ191" i="5"/>
  <c r="JZ192" i="5"/>
  <c r="JZ193" i="5"/>
  <c r="JZ202" i="5"/>
  <c r="JZ203" i="5"/>
  <c r="JZ204" i="5"/>
  <c r="JZ205" i="5"/>
  <c r="JZ206" i="5"/>
  <c r="JZ207" i="5"/>
  <c r="JZ208" i="5"/>
  <c r="JZ209" i="5"/>
  <c r="JZ210" i="5"/>
  <c r="JZ211" i="5"/>
  <c r="JZ212" i="5"/>
  <c r="JZ213" i="5"/>
  <c r="JZ214" i="5"/>
  <c r="JZ215" i="5"/>
  <c r="JZ216" i="5"/>
  <c r="JZ217" i="5"/>
  <c r="JZ218" i="5"/>
  <c r="JZ219" i="5"/>
  <c r="JZ220" i="5"/>
  <c r="JZ221" i="5"/>
  <c r="JZ222" i="5"/>
  <c r="JZ223" i="5"/>
  <c r="JZ224" i="5"/>
  <c r="JZ225" i="5"/>
  <c r="JZ226" i="5"/>
  <c r="JZ227" i="5"/>
  <c r="JZ228" i="5"/>
  <c r="JZ229" i="5"/>
  <c r="JZ230" i="5"/>
  <c r="JZ231" i="5"/>
  <c r="JZ232" i="5"/>
  <c r="JZ233" i="5"/>
  <c r="JZ234" i="5"/>
  <c r="JZ235" i="5"/>
  <c r="JZ236" i="5"/>
  <c r="JZ237" i="5"/>
  <c r="JZ238" i="5"/>
  <c r="JZ239" i="5"/>
  <c r="JZ240" i="5"/>
  <c r="JZ241" i="5"/>
  <c r="JZ242" i="5"/>
  <c r="JZ243" i="5"/>
  <c r="JZ244" i="5"/>
  <c r="JZ245" i="5"/>
  <c r="JZ246" i="5"/>
  <c r="JZ247" i="5"/>
  <c r="JZ248" i="5"/>
  <c r="JX4" i="5"/>
  <c r="JX5" i="5"/>
  <c r="JX6" i="5"/>
  <c r="JX7" i="5"/>
  <c r="JX8" i="5"/>
  <c r="JX9" i="5"/>
  <c r="JX10" i="5"/>
  <c r="JX11" i="5"/>
  <c r="JX12" i="5"/>
  <c r="JX13" i="5"/>
  <c r="JX14" i="5"/>
  <c r="JX15" i="5"/>
  <c r="JX16" i="5"/>
  <c r="JX17" i="5"/>
  <c r="JX18" i="5"/>
  <c r="JX19" i="5"/>
  <c r="JX20" i="5"/>
  <c r="JX21" i="5"/>
  <c r="JX22" i="5"/>
  <c r="JX23" i="5"/>
  <c r="JX24" i="5"/>
  <c r="JX25" i="5"/>
  <c r="JX26" i="5"/>
  <c r="JX27" i="5"/>
  <c r="JX28" i="5"/>
  <c r="JX29" i="5"/>
  <c r="JX30" i="5"/>
  <c r="JX31" i="5"/>
  <c r="JX32" i="5"/>
  <c r="JX33" i="5"/>
  <c r="JX34" i="5"/>
  <c r="JX35" i="5"/>
  <c r="JX36" i="5"/>
  <c r="JX37" i="5"/>
  <c r="JX38" i="5"/>
  <c r="JX39" i="5"/>
  <c r="JX40" i="5"/>
  <c r="JX41" i="5"/>
  <c r="JX42" i="5"/>
  <c r="JX43" i="5"/>
  <c r="JX44" i="5"/>
  <c r="JX45" i="5"/>
  <c r="JX46" i="5"/>
  <c r="JX47" i="5"/>
  <c r="JX48" i="5"/>
  <c r="JX49" i="5"/>
  <c r="JX50" i="5"/>
  <c r="JX51" i="5"/>
  <c r="JX52" i="5"/>
  <c r="JX53" i="5"/>
  <c r="JX54" i="5"/>
  <c r="JX55" i="5"/>
  <c r="JX56" i="5"/>
  <c r="JX57" i="5"/>
  <c r="JX58" i="5"/>
  <c r="JX59" i="5"/>
  <c r="JX60" i="5"/>
  <c r="JX61" i="5"/>
  <c r="JX62" i="5"/>
  <c r="JX63" i="5"/>
  <c r="JX64" i="5"/>
  <c r="JX65" i="5"/>
  <c r="JX66" i="5"/>
  <c r="JX67" i="5"/>
  <c r="JX68" i="5"/>
  <c r="JX69" i="5"/>
  <c r="JX70" i="5"/>
  <c r="JX71" i="5"/>
  <c r="JX72" i="5"/>
  <c r="JX73" i="5"/>
  <c r="JX74" i="5"/>
  <c r="JX75" i="5"/>
  <c r="JX76" i="5"/>
  <c r="JX77" i="5"/>
  <c r="JX78" i="5"/>
  <c r="JX79" i="5"/>
  <c r="JX80" i="5"/>
  <c r="JX81" i="5"/>
  <c r="JX82" i="5"/>
  <c r="JX83" i="5"/>
  <c r="JX84" i="5"/>
  <c r="JX85" i="5"/>
  <c r="JX86" i="5"/>
  <c r="JX87" i="5"/>
  <c r="JX88" i="5"/>
  <c r="JX89" i="5"/>
  <c r="JX90" i="5"/>
  <c r="JX91" i="5"/>
  <c r="JX92" i="5"/>
  <c r="JX93" i="5"/>
  <c r="JX94" i="5"/>
  <c r="JX95" i="5"/>
  <c r="JX96" i="5"/>
  <c r="JX97" i="5"/>
  <c r="JX98" i="5"/>
  <c r="JX99" i="5"/>
  <c r="JX100" i="5"/>
  <c r="JX101" i="5"/>
  <c r="JX102" i="5"/>
  <c r="JX103" i="5"/>
  <c r="JX104" i="5"/>
  <c r="JX105" i="5"/>
  <c r="JX106" i="5"/>
  <c r="JX107" i="5"/>
  <c r="JX108" i="5"/>
  <c r="JX109" i="5"/>
  <c r="JX110" i="5"/>
  <c r="JX111" i="5"/>
  <c r="JX112" i="5"/>
  <c r="JX113" i="5"/>
  <c r="JX114" i="5"/>
  <c r="JX115" i="5"/>
  <c r="JX116" i="5"/>
  <c r="JX117" i="5"/>
  <c r="JX118" i="5"/>
  <c r="JX119" i="5"/>
  <c r="JX120" i="5"/>
  <c r="JX121" i="5"/>
  <c r="JX122" i="5"/>
  <c r="JX123" i="5"/>
  <c r="JX124" i="5"/>
  <c r="JX125" i="5"/>
  <c r="JX126" i="5"/>
  <c r="JX127" i="5"/>
  <c r="JX128" i="5"/>
  <c r="JX129" i="5"/>
  <c r="JX130" i="5"/>
  <c r="JX131" i="5"/>
  <c r="JX132" i="5"/>
  <c r="JX133" i="5"/>
  <c r="JX134" i="5"/>
  <c r="JX135" i="5"/>
  <c r="JX136" i="5"/>
  <c r="JX137" i="5"/>
  <c r="JX138" i="5"/>
  <c r="JX139" i="5"/>
  <c r="JX140" i="5"/>
  <c r="JX141" i="5"/>
  <c r="JX142" i="5"/>
  <c r="JX143" i="5"/>
  <c r="JX144" i="5"/>
  <c r="JX145" i="5"/>
  <c r="JX146" i="5"/>
  <c r="JX147" i="5"/>
  <c r="JX148" i="5"/>
  <c r="JX149" i="5"/>
  <c r="JX150" i="5"/>
  <c r="JX151" i="5"/>
  <c r="JX152" i="5"/>
  <c r="JX153" i="5"/>
  <c r="JX154" i="5"/>
  <c r="JX155" i="5"/>
  <c r="JX156" i="5"/>
  <c r="JX157" i="5"/>
  <c r="JX158" i="5"/>
  <c r="JX159" i="5"/>
  <c r="JX160" i="5"/>
  <c r="JX161" i="5"/>
  <c r="JX162" i="5"/>
  <c r="JX163" i="5"/>
  <c r="JX164" i="5"/>
  <c r="JX165" i="5"/>
  <c r="JX166" i="5"/>
  <c r="JX167" i="5"/>
  <c r="JX168" i="5"/>
  <c r="JX169" i="5"/>
  <c r="JX170" i="5"/>
  <c r="JX171" i="5"/>
  <c r="JX172" i="5"/>
  <c r="JX173" i="5"/>
  <c r="JX174" i="5"/>
  <c r="JX175" i="5"/>
  <c r="JX176" i="5"/>
  <c r="JX177" i="5"/>
  <c r="JX178" i="5"/>
  <c r="JX179" i="5"/>
  <c r="JX180" i="5"/>
  <c r="JX181" i="5"/>
  <c r="JX182" i="5"/>
  <c r="JX183" i="5"/>
  <c r="JX184" i="5"/>
  <c r="JX185" i="5"/>
  <c r="JX186" i="5"/>
  <c r="JX187" i="5"/>
  <c r="JX188" i="5"/>
  <c r="JX189" i="5"/>
  <c r="JX190" i="5"/>
  <c r="JX191" i="5"/>
  <c r="JX192" i="5"/>
  <c r="JX193" i="5"/>
  <c r="JX202" i="5"/>
  <c r="JX203" i="5"/>
  <c r="JX204" i="5"/>
  <c r="JX205" i="5"/>
  <c r="JX206" i="5"/>
  <c r="JX207" i="5"/>
  <c r="JX208" i="5"/>
  <c r="JX209" i="5"/>
  <c r="JX210" i="5"/>
  <c r="JX211" i="5"/>
  <c r="JX212" i="5"/>
  <c r="JX213" i="5"/>
  <c r="JX214" i="5"/>
  <c r="JX215" i="5"/>
  <c r="JX216" i="5"/>
  <c r="JX217" i="5"/>
  <c r="JX218" i="5"/>
  <c r="JX219" i="5"/>
  <c r="JX220" i="5"/>
  <c r="JX221" i="5"/>
  <c r="JX222" i="5"/>
  <c r="JX223" i="5"/>
  <c r="JX224" i="5"/>
  <c r="JX225" i="5"/>
  <c r="JX226" i="5"/>
  <c r="JX227" i="5"/>
  <c r="JX228" i="5"/>
  <c r="JX229" i="5"/>
  <c r="JX230" i="5"/>
  <c r="JX231" i="5"/>
  <c r="JX232" i="5"/>
  <c r="JX233" i="5"/>
  <c r="JX234" i="5"/>
  <c r="JX235" i="5"/>
  <c r="JX236" i="5"/>
  <c r="JX237" i="5"/>
  <c r="JX238" i="5"/>
  <c r="JX239" i="5"/>
  <c r="JX240" i="5"/>
  <c r="JX241" i="5"/>
  <c r="JX242" i="5"/>
  <c r="JX243" i="5"/>
  <c r="JX244" i="5"/>
  <c r="JX245" i="5"/>
  <c r="JX246" i="5"/>
  <c r="JX247" i="5"/>
  <c r="JX248" i="5"/>
  <c r="IP14" i="5"/>
  <c r="JO14" i="5" s="1"/>
  <c r="IP16" i="5"/>
  <c r="IP17" i="5"/>
  <c r="IP18" i="5"/>
  <c r="IP28" i="5"/>
  <c r="IP41" i="5"/>
  <c r="IP46" i="5"/>
  <c r="IP47" i="5"/>
  <c r="IP57" i="5"/>
  <c r="JO71" i="5"/>
  <c r="IP78" i="5"/>
  <c r="IP85" i="5"/>
  <c r="IP88" i="5"/>
  <c r="JO88" i="5" s="1"/>
  <c r="IP91" i="5"/>
  <c r="IP94" i="5"/>
  <c r="IP95" i="5"/>
  <c r="IP96" i="5"/>
  <c r="JO96" i="5" s="1"/>
  <c r="IP99" i="5"/>
  <c r="IP100" i="5"/>
  <c r="IP101" i="5"/>
  <c r="IP103" i="5"/>
  <c r="IP106" i="5"/>
  <c r="JO106" i="5" s="1"/>
  <c r="IP107" i="5"/>
  <c r="JO107" i="5" s="1"/>
  <c r="IP108" i="5"/>
  <c r="IP111" i="5"/>
  <c r="IP112" i="5"/>
  <c r="IP114" i="5"/>
  <c r="JO114" i="5" s="1"/>
  <c r="IP115" i="5"/>
  <c r="IP116" i="5"/>
  <c r="IP117" i="5"/>
  <c r="IP118" i="5"/>
  <c r="IP121" i="5"/>
  <c r="IP122" i="5"/>
  <c r="IP123" i="5"/>
  <c r="IP124" i="5"/>
  <c r="JO124" i="5" s="1"/>
  <c r="IP125" i="5"/>
  <c r="JO125" i="5" s="1"/>
  <c r="IP126" i="5"/>
  <c r="IP128" i="5"/>
  <c r="IP129" i="5"/>
  <c r="IP130" i="5"/>
  <c r="IP132" i="5"/>
  <c r="IP133" i="5"/>
  <c r="IP134" i="5"/>
  <c r="IP135" i="5"/>
  <c r="IP136" i="5"/>
  <c r="IP137" i="5"/>
  <c r="IP138" i="5"/>
  <c r="IP139" i="5"/>
  <c r="IP142" i="5"/>
  <c r="JO142" i="5" s="1"/>
  <c r="IP143" i="5"/>
  <c r="IP144" i="5"/>
  <c r="IP145" i="5"/>
  <c r="IP147" i="5"/>
  <c r="JO147" i="5" s="1"/>
  <c r="IP148" i="5"/>
  <c r="IP149" i="5"/>
  <c r="IP150" i="5"/>
  <c r="IP151" i="5"/>
  <c r="IP152" i="5"/>
  <c r="IP153" i="5"/>
  <c r="IP154" i="5"/>
  <c r="IP156" i="5"/>
  <c r="IP157" i="5"/>
  <c r="JO157" i="5" s="1"/>
  <c r="IP159" i="5"/>
  <c r="IP160" i="5"/>
  <c r="IP161" i="5"/>
  <c r="IP162" i="5"/>
  <c r="IP163" i="5"/>
  <c r="IP164" i="5"/>
  <c r="IP165" i="5"/>
  <c r="JO165" i="5" s="1"/>
  <c r="IP168" i="5"/>
  <c r="IP169" i="5"/>
  <c r="IP170" i="5"/>
  <c r="IP171" i="5"/>
  <c r="IP172" i="5"/>
  <c r="IP173" i="5"/>
  <c r="IP174" i="5"/>
  <c r="JO174" i="5" s="1"/>
  <c r="IP175" i="5"/>
  <c r="JO175" i="5" s="1"/>
  <c r="IP176" i="5"/>
  <c r="IP177" i="5"/>
  <c r="IP178" i="5"/>
  <c r="IP179" i="5"/>
  <c r="IP180" i="5"/>
  <c r="IP181" i="5"/>
  <c r="IP182" i="5"/>
  <c r="JO182" i="5" s="1"/>
  <c r="IP183" i="5"/>
  <c r="IP184" i="5"/>
  <c r="JE184" i="5" s="1"/>
  <c r="IP185" i="5"/>
  <c r="IP187" i="5"/>
  <c r="IP188" i="5"/>
  <c r="IP189" i="5"/>
  <c r="IP190" i="5"/>
  <c r="IP191" i="5"/>
  <c r="IP192" i="5"/>
  <c r="JO192" i="5" s="1"/>
  <c r="IP193" i="5"/>
  <c r="IP202" i="5"/>
  <c r="IP203" i="5"/>
  <c r="IP204" i="5"/>
  <c r="IP205" i="5"/>
  <c r="IP206" i="5"/>
  <c r="IP207" i="5"/>
  <c r="JO207" i="5" s="1"/>
  <c r="IP208" i="5"/>
  <c r="IP209" i="5"/>
  <c r="IP210" i="5"/>
  <c r="IP211" i="5"/>
  <c r="IP212" i="5"/>
  <c r="IP213" i="5"/>
  <c r="IP214" i="5"/>
  <c r="IP215" i="5"/>
  <c r="IP216" i="5"/>
  <c r="IP217" i="5"/>
  <c r="IP218" i="5"/>
  <c r="IP219" i="5"/>
  <c r="IP220" i="5"/>
  <c r="IP221" i="5"/>
  <c r="JO221" i="5" s="1"/>
  <c r="IP222" i="5"/>
  <c r="IP223" i="5"/>
  <c r="IP224" i="5"/>
  <c r="IP225" i="5"/>
  <c r="IP226" i="5"/>
  <c r="IP227" i="5"/>
  <c r="JO227" i="5" s="1"/>
  <c r="IP228" i="5"/>
  <c r="JO228" i="5" s="1"/>
  <c r="IP229" i="5"/>
  <c r="IP230" i="5"/>
  <c r="IP231" i="5"/>
  <c r="IP232" i="5"/>
  <c r="IP233" i="5"/>
  <c r="IP234" i="5"/>
  <c r="IP235" i="5"/>
  <c r="JO235" i="5" s="1"/>
  <c r="IP236" i="5"/>
  <c r="IP237" i="5"/>
  <c r="IP238" i="5"/>
  <c r="IP239" i="5"/>
  <c r="IP240" i="5"/>
  <c r="IP241" i="5"/>
  <c r="IP242" i="5"/>
  <c r="IP243" i="5"/>
  <c r="IP244" i="5"/>
  <c r="IP245" i="5"/>
  <c r="JO245" i="5" s="1"/>
  <c r="IP246" i="5"/>
  <c r="JO246" i="5" s="1"/>
  <c r="IP247" i="5"/>
  <c r="IP248" i="5"/>
  <c r="CK4" i="5"/>
  <c r="CK12" i="5"/>
  <c r="CK15" i="5"/>
  <c r="CK16" i="5"/>
  <c r="CK20" i="5"/>
  <c r="CK28" i="5"/>
  <c r="CK31" i="5"/>
  <c r="CK32" i="5"/>
  <c r="CK36" i="5"/>
  <c r="CK44" i="5"/>
  <c r="CK47" i="5"/>
  <c r="CK48" i="5"/>
  <c r="CK52" i="5"/>
  <c r="CK60" i="5"/>
  <c r="CK63" i="5"/>
  <c r="CK68" i="5"/>
  <c r="CK79" i="5"/>
  <c r="CK84" i="5"/>
  <c r="CK95" i="5"/>
  <c r="CK100" i="5"/>
  <c r="CT247" i="5" l="1"/>
  <c r="ED244" i="5"/>
  <c r="CT244" i="5"/>
  <c r="ED243" i="5"/>
  <c r="ED242" i="5"/>
  <c r="CT243" i="5"/>
  <c r="CT242" i="5"/>
  <c r="ED234" i="5"/>
  <c r="JO78" i="5"/>
  <c r="JE77" i="5"/>
  <c r="ED236" i="5"/>
  <c r="ED176" i="5"/>
  <c r="CT236" i="5"/>
  <c r="ED212" i="5"/>
  <c r="CT212" i="5"/>
  <c r="ED235" i="5"/>
  <c r="ED227" i="5"/>
  <c r="CT235" i="5"/>
  <c r="CT234" i="5"/>
  <c r="ED204" i="5"/>
  <c r="CT204" i="5"/>
  <c r="ED228" i="5"/>
  <c r="ED224" i="5"/>
  <c r="ED214" i="5"/>
  <c r="ED226" i="5"/>
  <c r="CT228" i="5"/>
  <c r="ED215" i="5"/>
  <c r="CT227" i="5"/>
  <c r="CT226" i="5"/>
  <c r="CT224" i="5"/>
  <c r="ED217" i="5"/>
  <c r="CT217" i="5"/>
  <c r="CT215" i="5"/>
  <c r="CT214" i="5"/>
  <c r="ED200" i="5"/>
  <c r="ED208" i="5"/>
  <c r="CT208" i="5"/>
  <c r="ED42" i="5"/>
  <c r="ED202" i="5"/>
  <c r="BT141" i="5"/>
  <c r="GU141" i="5" s="1"/>
  <c r="GV141" i="5" s="1"/>
  <c r="ED80" i="5"/>
  <c r="CT202" i="5"/>
  <c r="ED198" i="5"/>
  <c r="CT200" i="5"/>
  <c r="ED100" i="5"/>
  <c r="ED197" i="5"/>
  <c r="ED184" i="5"/>
  <c r="ED92" i="5"/>
  <c r="ED84" i="5"/>
  <c r="ED76" i="5"/>
  <c r="ED68" i="5"/>
  <c r="ED52" i="5"/>
  <c r="ED44" i="5"/>
  <c r="ED161" i="5"/>
  <c r="ED36" i="5"/>
  <c r="ED28" i="5"/>
  <c r="ED4" i="5"/>
  <c r="ED66" i="5"/>
  <c r="ED34" i="5"/>
  <c r="ED114" i="5"/>
  <c r="ED18" i="5"/>
  <c r="ED10" i="5"/>
  <c r="ED196" i="5"/>
  <c r="ED37" i="5"/>
  <c r="ED21" i="5"/>
  <c r="CT198" i="5"/>
  <c r="CT197" i="5"/>
  <c r="CT196" i="5"/>
  <c r="ED195" i="5"/>
  <c r="ED111" i="5"/>
  <c r="ED97" i="5"/>
  <c r="ED15" i="5"/>
  <c r="ED89" i="5"/>
  <c r="ED95" i="5"/>
  <c r="ED79" i="5"/>
  <c r="ED71" i="5"/>
  <c r="ED119" i="5"/>
  <c r="ED47" i="5"/>
  <c r="ED31" i="5"/>
  <c r="ED23" i="5"/>
  <c r="CT195" i="5"/>
  <c r="ED72" i="5"/>
  <c r="ED13" i="5"/>
  <c r="ED138" i="5"/>
  <c r="CT41" i="5"/>
  <c r="ED109" i="5"/>
  <c r="ED167" i="5"/>
  <c r="ED106" i="5"/>
  <c r="ED61" i="5"/>
  <c r="ED32" i="5"/>
  <c r="ED24" i="5"/>
  <c r="ED8" i="5"/>
  <c r="EC5" i="5"/>
  <c r="ED5" i="5" s="1"/>
  <c r="ED16" i="5"/>
  <c r="ED122" i="5"/>
  <c r="CT68" i="5"/>
  <c r="CT47" i="5"/>
  <c r="EC7" i="5"/>
  <c r="ED7" i="5" s="1"/>
  <c r="ED126" i="5"/>
  <c r="ED20" i="5"/>
  <c r="CT33" i="5"/>
  <c r="ED158" i="5"/>
  <c r="ED136" i="5"/>
  <c r="ED63" i="5"/>
  <c r="ED56" i="5"/>
  <c r="CT4" i="5"/>
  <c r="ED40" i="5"/>
  <c r="ED25" i="5"/>
  <c r="CT100" i="5"/>
  <c r="CT95" i="5"/>
  <c r="ED182" i="5"/>
  <c r="ED105" i="5"/>
  <c r="ED45" i="5"/>
  <c r="CT89" i="5"/>
  <c r="ED39" i="5"/>
  <c r="CT134" i="5"/>
  <c r="CT92" i="5"/>
  <c r="CT65" i="5"/>
  <c r="CT36" i="5"/>
  <c r="ED74" i="5"/>
  <c r="EC48" i="5"/>
  <c r="ED48" i="5" s="1"/>
  <c r="ED29" i="5"/>
  <c r="CT111" i="5"/>
  <c r="CT84" i="5"/>
  <c r="CT57" i="5"/>
  <c r="CT28" i="5"/>
  <c r="EC221" i="5"/>
  <c r="ED221" i="5" s="1"/>
  <c r="EC93" i="5"/>
  <c r="ED93" i="5" s="1"/>
  <c r="CT81" i="5"/>
  <c r="CT52" i="5"/>
  <c r="CT25" i="5"/>
  <c r="ED64" i="5"/>
  <c r="CT105" i="5"/>
  <c r="CT79" i="5"/>
  <c r="CT49" i="5"/>
  <c r="CT20" i="5"/>
  <c r="EC231" i="5"/>
  <c r="ED231" i="5" s="1"/>
  <c r="ED151" i="5"/>
  <c r="CT151" i="5"/>
  <c r="CT76" i="5"/>
  <c r="CT97" i="5"/>
  <c r="CT73" i="5"/>
  <c r="CT44" i="5"/>
  <c r="CT15" i="5"/>
  <c r="EC247" i="5"/>
  <c r="ED247" i="5" s="1"/>
  <c r="EC225" i="5"/>
  <c r="ED225" i="5" s="1"/>
  <c r="EC190" i="5"/>
  <c r="ED190" i="5" s="1"/>
  <c r="CT190" i="5"/>
  <c r="EC181" i="5"/>
  <c r="ED181" i="5" s="1"/>
  <c r="CT181" i="5"/>
  <c r="EC116" i="5"/>
  <c r="ED116" i="5" s="1"/>
  <c r="CT116" i="5"/>
  <c r="CT27" i="5"/>
  <c r="EC27" i="5"/>
  <c r="ED27" i="5" s="1"/>
  <c r="EC220" i="5"/>
  <c r="ED220" i="5" s="1"/>
  <c r="EC137" i="5"/>
  <c r="ED137" i="5" s="1"/>
  <c r="CT137" i="5"/>
  <c r="EC120" i="5"/>
  <c r="ED120" i="5" s="1"/>
  <c r="CT120" i="5"/>
  <c r="EC55" i="5"/>
  <c r="ED55" i="5" s="1"/>
  <c r="CT55" i="5"/>
  <c r="EC26" i="5"/>
  <c r="ED26" i="5" s="1"/>
  <c r="CT26" i="5"/>
  <c r="EC14" i="5"/>
  <c r="ED14" i="5" s="1"/>
  <c r="CT14" i="5"/>
  <c r="CT63" i="5"/>
  <c r="EC246" i="5"/>
  <c r="ED246" i="5" s="1"/>
  <c r="EC240" i="5"/>
  <c r="ED240" i="5" s="1"/>
  <c r="EC237" i="5"/>
  <c r="ED237" i="5" s="1"/>
  <c r="EC192" i="5"/>
  <c r="ED192" i="5" s="1"/>
  <c r="CT192" i="5"/>
  <c r="EC189" i="5"/>
  <c r="ED189" i="5" s="1"/>
  <c r="CT189" i="5"/>
  <c r="EC150" i="5"/>
  <c r="ED150" i="5" s="1"/>
  <c r="CT150" i="5"/>
  <c r="EC128" i="5"/>
  <c r="ED128" i="5" s="1"/>
  <c r="CT128" i="5"/>
  <c r="EC103" i="5"/>
  <c r="ED103" i="5" s="1"/>
  <c r="CT103" i="5"/>
  <c r="EC67" i="5"/>
  <c r="ED67" i="5" s="1"/>
  <c r="CT67" i="5"/>
  <c r="EC98" i="5"/>
  <c r="ED98" i="5" s="1"/>
  <c r="EC142" i="5"/>
  <c r="ED142" i="5" s="1"/>
  <c r="CT142" i="5"/>
  <c r="EC113" i="5"/>
  <c r="ED113" i="5" s="1"/>
  <c r="CT113" i="5"/>
  <c r="EC19" i="5"/>
  <c r="ED19" i="5" s="1"/>
  <c r="CT19" i="5"/>
  <c r="CT182" i="5"/>
  <c r="CT31" i="5"/>
  <c r="EC230" i="5"/>
  <c r="ED230" i="5" s="1"/>
  <c r="EC219" i="5"/>
  <c r="ED219" i="5" s="1"/>
  <c r="CT154" i="5"/>
  <c r="EC154" i="5"/>
  <c r="ED154" i="5" s="1"/>
  <c r="CT141" i="5"/>
  <c r="EC141" i="5"/>
  <c r="ED141" i="5" s="1"/>
  <c r="EC82" i="5"/>
  <c r="ED82" i="5" s="1"/>
  <c r="CT82" i="5"/>
  <c r="CT167" i="5"/>
  <c r="EC248" i="5"/>
  <c r="ED248" i="5" s="1"/>
  <c r="EC245" i="5"/>
  <c r="ED245" i="5" s="1"/>
  <c r="EC239" i="5"/>
  <c r="ED239" i="5" s="1"/>
  <c r="EC223" i="5"/>
  <c r="ED223" i="5" s="1"/>
  <c r="EC218" i="5"/>
  <c r="ED218" i="5" s="1"/>
  <c r="EC199" i="5"/>
  <c r="ED199" i="5" s="1"/>
  <c r="EC163" i="5"/>
  <c r="ED163" i="5" s="1"/>
  <c r="CT163" i="5"/>
  <c r="EC159" i="5"/>
  <c r="ED159" i="5" s="1"/>
  <c r="CT159" i="5"/>
  <c r="EC153" i="5"/>
  <c r="ED153" i="5" s="1"/>
  <c r="CT153" i="5"/>
  <c r="EC58" i="5"/>
  <c r="ED58" i="5" s="1"/>
  <c r="CT58" i="5"/>
  <c r="EC178" i="5"/>
  <c r="ED178" i="5" s="1"/>
  <c r="CT178" i="5"/>
  <c r="EC174" i="5"/>
  <c r="ED174" i="5" s="1"/>
  <c r="CT174" i="5"/>
  <c r="EC87" i="5"/>
  <c r="ED87" i="5" s="1"/>
  <c r="CT87" i="5"/>
  <c r="EC22" i="5"/>
  <c r="ED22" i="5" s="1"/>
  <c r="CT22" i="5"/>
  <c r="EC241" i="5"/>
  <c r="ED241" i="5" s="1"/>
  <c r="EC238" i="5"/>
  <c r="ED238" i="5" s="1"/>
  <c r="EC229" i="5"/>
  <c r="ED229" i="5" s="1"/>
  <c r="EC222" i="5"/>
  <c r="ED222" i="5" s="1"/>
  <c r="EC186" i="5"/>
  <c r="ED186" i="5" s="1"/>
  <c r="CT186" i="5"/>
  <c r="EC166" i="5"/>
  <c r="ED166" i="5" s="1"/>
  <c r="CT166" i="5"/>
  <c r="EC162" i="5"/>
  <c r="ED162" i="5" s="1"/>
  <c r="CT162" i="5"/>
  <c r="EC62" i="5"/>
  <c r="ED62" i="5" s="1"/>
  <c r="CT62" i="5"/>
  <c r="EC50" i="5"/>
  <c r="ED50" i="5" s="1"/>
  <c r="CT50" i="5"/>
  <c r="EC140" i="5"/>
  <c r="ED140" i="5" s="1"/>
  <c r="CT140" i="5"/>
  <c r="EC132" i="5"/>
  <c r="ED132" i="5" s="1"/>
  <c r="CT132" i="5"/>
  <c r="EC127" i="5"/>
  <c r="ED127" i="5" s="1"/>
  <c r="CT127" i="5"/>
  <c r="EC107" i="5"/>
  <c r="ED107" i="5" s="1"/>
  <c r="CT107" i="5"/>
  <c r="EC102" i="5"/>
  <c r="ED102" i="5" s="1"/>
  <c r="CT102" i="5"/>
  <c r="EC35" i="5"/>
  <c r="ED35" i="5" s="1"/>
  <c r="CT35" i="5"/>
  <c r="EC30" i="5"/>
  <c r="ED30" i="5" s="1"/>
  <c r="CT30" i="5"/>
  <c r="EC6" i="5"/>
  <c r="ED6" i="5" s="1"/>
  <c r="CT6" i="5"/>
  <c r="CT10" i="5"/>
  <c r="EC123" i="5"/>
  <c r="ED123" i="5" s="1"/>
  <c r="CT123" i="5"/>
  <c r="EC115" i="5"/>
  <c r="ED115" i="5" s="1"/>
  <c r="CT115" i="5"/>
  <c r="EC75" i="5"/>
  <c r="ED75" i="5" s="1"/>
  <c r="CT75" i="5"/>
  <c r="EC70" i="5"/>
  <c r="ED70" i="5" s="1"/>
  <c r="CT70" i="5"/>
  <c r="CT43" i="5"/>
  <c r="EC43" i="5"/>
  <c r="ED43" i="5" s="1"/>
  <c r="CT11" i="5"/>
  <c r="EC11" i="5"/>
  <c r="ED11" i="5" s="1"/>
  <c r="CT179" i="5"/>
  <c r="CT148" i="5"/>
  <c r="CT136" i="5"/>
  <c r="CT122" i="5"/>
  <c r="CT106" i="5"/>
  <c r="CT74" i="5"/>
  <c r="CT42" i="5"/>
  <c r="EC216" i="5"/>
  <c r="ED216" i="5" s="1"/>
  <c r="EC206" i="5"/>
  <c r="ED206" i="5" s="1"/>
  <c r="EC201" i="5"/>
  <c r="ED201" i="5" s="1"/>
  <c r="EC157" i="5"/>
  <c r="ED157" i="5" s="1"/>
  <c r="CT157" i="5"/>
  <c r="EC135" i="5"/>
  <c r="ED135" i="5" s="1"/>
  <c r="CT135" i="5"/>
  <c r="EC110" i="5"/>
  <c r="ED110" i="5" s="1"/>
  <c r="CT110" i="5"/>
  <c r="EC38" i="5"/>
  <c r="ED38" i="5" s="1"/>
  <c r="CT38" i="5"/>
  <c r="CT176" i="5"/>
  <c r="CT161" i="5"/>
  <c r="CT145" i="5"/>
  <c r="EC188" i="5"/>
  <c r="ED188" i="5" s="1"/>
  <c r="CT188" i="5"/>
  <c r="EC180" i="5"/>
  <c r="ED180" i="5" s="1"/>
  <c r="CT180" i="5"/>
  <c r="EC152" i="5"/>
  <c r="ED152" i="5" s="1"/>
  <c r="CT152" i="5"/>
  <c r="EC118" i="5"/>
  <c r="ED118" i="5" s="1"/>
  <c r="CT118" i="5"/>
  <c r="EC83" i="5"/>
  <c r="ED83" i="5" s="1"/>
  <c r="CT83" i="5"/>
  <c r="EC78" i="5"/>
  <c r="ED78" i="5" s="1"/>
  <c r="CT78" i="5"/>
  <c r="EC51" i="5"/>
  <c r="ED51" i="5" s="1"/>
  <c r="CT51" i="5"/>
  <c r="EC46" i="5"/>
  <c r="ED46" i="5" s="1"/>
  <c r="CT46" i="5"/>
  <c r="CT119" i="5"/>
  <c r="CT71" i="5"/>
  <c r="CT39" i="5"/>
  <c r="CT23" i="5"/>
  <c r="CT158" i="5"/>
  <c r="EC183" i="5"/>
  <c r="ED183" i="5" s="1"/>
  <c r="EC194" i="5"/>
  <c r="ED194" i="5" s="1"/>
  <c r="EC191" i="5"/>
  <c r="ED191" i="5" s="1"/>
  <c r="CT191" i="5"/>
  <c r="CT175" i="5"/>
  <c r="EC175" i="5"/>
  <c r="ED175" i="5" s="1"/>
  <c r="EC160" i="5"/>
  <c r="ED160" i="5" s="1"/>
  <c r="CT160" i="5"/>
  <c r="EC147" i="5"/>
  <c r="ED147" i="5" s="1"/>
  <c r="CT147" i="5"/>
  <c r="EC125" i="5"/>
  <c r="ED125" i="5" s="1"/>
  <c r="CT125" i="5"/>
  <c r="EC117" i="5"/>
  <c r="ED117" i="5" s="1"/>
  <c r="CT117" i="5"/>
  <c r="EC86" i="5"/>
  <c r="ED86" i="5" s="1"/>
  <c r="CT86" i="5"/>
  <c r="EC59" i="5"/>
  <c r="ED59" i="5" s="1"/>
  <c r="CT59" i="5"/>
  <c r="EC54" i="5"/>
  <c r="ED54" i="5" s="1"/>
  <c r="CT54" i="5"/>
  <c r="CT187" i="5"/>
  <c r="CT171" i="5"/>
  <c r="CT114" i="5"/>
  <c r="CT66" i="5"/>
  <c r="CT34" i="5"/>
  <c r="CT18" i="5"/>
  <c r="CT184" i="5"/>
  <c r="CT126" i="5"/>
  <c r="ED85" i="5"/>
  <c r="ED33" i="5"/>
  <c r="CT112" i="5"/>
  <c r="CT104" i="5"/>
  <c r="CT80" i="5"/>
  <c r="CT72" i="5"/>
  <c r="CT64" i="5"/>
  <c r="CT56" i="5"/>
  <c r="CT40" i="5"/>
  <c r="CT32" i="5"/>
  <c r="CT24" i="5"/>
  <c r="CT16" i="5"/>
  <c r="CT8" i="5"/>
  <c r="EC77" i="5"/>
  <c r="ED77" i="5" s="1"/>
  <c r="CT109" i="5"/>
  <c r="CT85" i="5"/>
  <c r="CT69" i="5"/>
  <c r="CT61" i="5"/>
  <c r="CT53" i="5"/>
  <c r="CT45" i="5"/>
  <c r="CT37" i="5"/>
  <c r="CT29" i="5"/>
  <c r="CT21" i="5"/>
  <c r="CT13" i="5"/>
  <c r="CT138" i="5"/>
  <c r="CK206" i="5"/>
  <c r="CK239" i="5"/>
  <c r="CK246" i="5"/>
  <c r="CK215" i="5"/>
  <c r="CK209" i="5"/>
  <c r="CK201" i="5"/>
  <c r="CK197" i="5"/>
  <c r="CK194" i="5"/>
  <c r="CK196" i="5"/>
  <c r="CK200" i="5"/>
  <c r="CK198" i="5"/>
  <c r="CK199" i="5"/>
  <c r="CK195" i="5"/>
  <c r="EB146" i="5"/>
  <c r="EB132" i="5"/>
  <c r="ED145" i="5"/>
  <c r="ED148" i="5"/>
  <c r="ED134" i="5"/>
  <c r="ED112" i="5"/>
  <c r="ED187" i="5"/>
  <c r="ED179" i="5"/>
  <c r="ED171" i="5"/>
  <c r="ED104" i="5"/>
  <c r="ED57" i="5"/>
  <c r="ED41" i="5"/>
  <c r="ED53" i="5"/>
  <c r="ED49" i="5"/>
  <c r="ED81" i="5"/>
  <c r="ED73" i="5"/>
  <c r="ED69" i="5"/>
  <c r="ED65" i="5"/>
  <c r="JE235" i="5"/>
  <c r="JE165" i="5"/>
  <c r="JE147" i="5"/>
  <c r="JE182" i="5"/>
  <c r="JE114" i="5"/>
  <c r="JE96" i="5"/>
  <c r="JE78" i="5"/>
  <c r="JE245" i="5"/>
  <c r="JE88" i="5"/>
  <c r="JE14" i="5"/>
  <c r="JE125" i="5"/>
  <c r="JE124" i="5"/>
  <c r="JE221" i="5"/>
  <c r="JE157" i="5"/>
  <c r="JE246" i="5"/>
  <c r="JE192" i="5"/>
  <c r="JO184" i="5"/>
  <c r="JO244" i="5"/>
  <c r="JE244" i="5"/>
  <c r="JO238" i="5"/>
  <c r="JE238" i="5"/>
  <c r="JO232" i="5"/>
  <c r="JE232" i="5"/>
  <c r="JO226" i="5"/>
  <c r="JE226" i="5"/>
  <c r="JO220" i="5"/>
  <c r="JE220" i="5"/>
  <c r="JO216" i="5"/>
  <c r="JE216" i="5"/>
  <c r="JO210" i="5"/>
  <c r="JE210" i="5"/>
  <c r="JO206" i="5"/>
  <c r="JE206" i="5"/>
  <c r="JO191" i="5"/>
  <c r="JE191" i="5"/>
  <c r="JO185" i="5"/>
  <c r="JE185" i="5"/>
  <c r="JO179" i="5"/>
  <c r="JE179" i="5"/>
  <c r="JO173" i="5"/>
  <c r="JE173" i="5"/>
  <c r="JO168" i="5"/>
  <c r="JE168" i="5"/>
  <c r="JO162" i="5"/>
  <c r="JE162" i="5"/>
  <c r="JO156" i="5"/>
  <c r="JE156" i="5"/>
  <c r="JO150" i="5"/>
  <c r="JE150" i="5"/>
  <c r="JO144" i="5"/>
  <c r="JE144" i="5"/>
  <c r="JO134" i="5"/>
  <c r="JE134" i="5"/>
  <c r="JO128" i="5"/>
  <c r="JE128" i="5"/>
  <c r="JO123" i="5"/>
  <c r="JE123" i="5"/>
  <c r="JO117" i="5"/>
  <c r="JE117" i="5"/>
  <c r="JO111" i="5"/>
  <c r="JE111" i="5"/>
  <c r="JO99" i="5"/>
  <c r="JE99" i="5"/>
  <c r="JE239" i="5"/>
  <c r="JO239" i="5"/>
  <c r="JO233" i="5"/>
  <c r="JE233" i="5"/>
  <c r="JO217" i="5"/>
  <c r="JE217" i="5"/>
  <c r="JO211" i="5"/>
  <c r="JE211" i="5"/>
  <c r="JO180" i="5"/>
  <c r="JE180" i="5"/>
  <c r="JO169" i="5"/>
  <c r="JE169" i="5"/>
  <c r="JO163" i="5"/>
  <c r="JE163" i="5"/>
  <c r="JO151" i="5"/>
  <c r="JE151" i="5"/>
  <c r="JO145" i="5"/>
  <c r="JE145" i="5"/>
  <c r="JO135" i="5"/>
  <c r="JE135" i="5"/>
  <c r="JO129" i="5"/>
  <c r="JE129" i="5"/>
  <c r="JO118" i="5"/>
  <c r="JE118" i="5"/>
  <c r="JO112" i="5"/>
  <c r="JE112" i="5"/>
  <c r="JO100" i="5"/>
  <c r="JE100" i="5"/>
  <c r="JO94" i="5"/>
  <c r="JE94" i="5"/>
  <c r="JO57" i="5"/>
  <c r="JE57" i="5"/>
  <c r="JE228" i="5"/>
  <c r="JE207" i="5"/>
  <c r="JE175" i="5"/>
  <c r="JE142" i="5"/>
  <c r="JE107" i="5"/>
  <c r="JE71" i="5"/>
  <c r="JO47" i="5"/>
  <c r="JE47" i="5"/>
  <c r="JO41" i="5"/>
  <c r="JE41" i="5"/>
  <c r="JO17" i="5"/>
  <c r="JE17" i="5"/>
  <c r="JE227" i="5"/>
  <c r="JE174" i="5"/>
  <c r="JE106" i="5"/>
  <c r="JO240" i="5"/>
  <c r="JE240" i="5"/>
  <c r="JO234" i="5"/>
  <c r="JE234" i="5"/>
  <c r="JO222" i="5"/>
  <c r="JE222" i="5"/>
  <c r="JO218" i="5"/>
  <c r="JE218" i="5"/>
  <c r="JO214" i="5"/>
  <c r="JE214" i="5"/>
  <c r="JO212" i="5"/>
  <c r="JE212" i="5"/>
  <c r="JO202" i="5"/>
  <c r="JE202" i="5"/>
  <c r="JO187" i="5"/>
  <c r="JE187" i="5"/>
  <c r="JO181" i="5"/>
  <c r="JE181" i="5"/>
  <c r="JO170" i="5"/>
  <c r="JE170" i="5"/>
  <c r="JO164" i="5"/>
  <c r="JE164" i="5"/>
  <c r="JO152" i="5"/>
  <c r="JE152" i="5"/>
  <c r="JO136" i="5"/>
  <c r="JE136" i="5"/>
  <c r="JO130" i="5"/>
  <c r="JE130" i="5"/>
  <c r="JO101" i="5"/>
  <c r="JE101" i="5"/>
  <c r="JO95" i="5"/>
  <c r="JE95" i="5"/>
  <c r="JO46" i="5"/>
  <c r="JE46" i="5"/>
  <c r="JO28" i="5"/>
  <c r="JE28" i="5"/>
  <c r="JO16" i="5"/>
  <c r="JE16" i="5"/>
  <c r="JO243" i="5"/>
  <c r="JE243" i="5"/>
  <c r="JO237" i="5"/>
  <c r="JE237" i="5"/>
  <c r="JO231" i="5"/>
  <c r="JE231" i="5"/>
  <c r="JO225" i="5"/>
  <c r="JE225" i="5"/>
  <c r="JO219" i="5"/>
  <c r="JE219" i="5"/>
  <c r="JO213" i="5"/>
  <c r="JE213" i="5"/>
  <c r="JO205" i="5"/>
  <c r="JE205" i="5"/>
  <c r="JE190" i="5"/>
  <c r="JO190" i="5"/>
  <c r="JO178" i="5"/>
  <c r="JE178" i="5"/>
  <c r="JO172" i="5"/>
  <c r="JE172" i="5"/>
  <c r="JE161" i="5"/>
  <c r="JO161" i="5"/>
  <c r="JO149" i="5"/>
  <c r="JE149" i="5"/>
  <c r="JO139" i="5"/>
  <c r="JE139" i="5"/>
  <c r="JO133" i="5"/>
  <c r="JE133" i="5"/>
  <c r="JO122" i="5"/>
  <c r="JE122" i="5"/>
  <c r="JE116" i="5"/>
  <c r="JO116" i="5"/>
  <c r="JO248" i="5"/>
  <c r="JE248" i="5"/>
  <c r="JO242" i="5"/>
  <c r="JE242" i="5"/>
  <c r="JO236" i="5"/>
  <c r="JE236" i="5"/>
  <c r="JO230" i="5"/>
  <c r="JE230" i="5"/>
  <c r="JO224" i="5"/>
  <c r="JE224" i="5"/>
  <c r="JO215" i="5"/>
  <c r="JE215" i="5"/>
  <c r="JO209" i="5"/>
  <c r="JE209" i="5"/>
  <c r="JO204" i="5"/>
  <c r="JE204" i="5"/>
  <c r="JO189" i="5"/>
  <c r="JE189" i="5"/>
  <c r="JO183" i="5"/>
  <c r="JE183" i="5"/>
  <c r="JO177" i="5"/>
  <c r="JE177" i="5"/>
  <c r="JO171" i="5"/>
  <c r="JE171" i="5"/>
  <c r="JE160" i="5"/>
  <c r="JO160" i="5"/>
  <c r="JO154" i="5"/>
  <c r="JE154" i="5"/>
  <c r="JO148" i="5"/>
  <c r="JE148" i="5"/>
  <c r="JO143" i="5"/>
  <c r="JE143" i="5"/>
  <c r="JO138" i="5"/>
  <c r="JE138" i="5"/>
  <c r="JO132" i="5"/>
  <c r="JE132" i="5"/>
  <c r="JE126" i="5"/>
  <c r="JO126" i="5"/>
  <c r="JO121" i="5"/>
  <c r="JE121" i="5"/>
  <c r="JO115" i="5"/>
  <c r="JE115" i="5"/>
  <c r="JO103" i="5"/>
  <c r="JE103" i="5"/>
  <c r="JE91" i="5"/>
  <c r="JO91" i="5"/>
  <c r="JE85" i="5"/>
  <c r="JO85" i="5"/>
  <c r="JO61" i="5"/>
  <c r="JE61" i="5"/>
  <c r="JO247" i="5"/>
  <c r="JE247" i="5"/>
  <c r="JO241" i="5"/>
  <c r="JE241" i="5"/>
  <c r="JO229" i="5"/>
  <c r="JE229" i="5"/>
  <c r="JO223" i="5"/>
  <c r="JE223" i="5"/>
  <c r="JO208" i="5"/>
  <c r="JE208" i="5"/>
  <c r="JO203" i="5"/>
  <c r="JE203" i="5"/>
  <c r="JO193" i="5"/>
  <c r="JE193" i="5"/>
  <c r="JO188" i="5"/>
  <c r="JE188" i="5"/>
  <c r="JO176" i="5"/>
  <c r="JE176" i="5"/>
  <c r="JO159" i="5"/>
  <c r="JE159" i="5"/>
  <c r="JO153" i="5"/>
  <c r="JE153" i="5"/>
  <c r="JO137" i="5"/>
  <c r="JE137" i="5"/>
  <c r="JO108" i="5"/>
  <c r="JE108" i="5"/>
  <c r="JO18" i="5"/>
  <c r="JE18" i="5"/>
  <c r="IH141" i="5" l="1"/>
  <c r="II141" i="5" s="1"/>
  <c r="DV3" i="5"/>
  <c r="CZ3" i="5" l="1"/>
  <c r="DC3" i="5"/>
  <c r="IP3" i="5" l="1"/>
  <c r="JE3" i="5" s="1"/>
  <c r="HN3" i="5"/>
  <c r="HG3" i="5"/>
  <c r="GS3" i="5"/>
  <c r="FU3" i="5"/>
  <c r="EU3" i="5" l="1"/>
  <c r="RV207" i="5" l="1"/>
  <c r="RW4" i="5"/>
  <c r="IP4" i="5" s="1"/>
  <c r="RW5" i="5"/>
  <c r="IP5" i="5" s="1"/>
  <c r="RW7" i="5"/>
  <c r="IP7" i="5" s="1"/>
  <c r="RW8" i="5"/>
  <c r="IP8" i="5" s="1"/>
  <c r="RW10" i="5"/>
  <c r="IP10" i="5" s="1"/>
  <c r="RW11" i="5"/>
  <c r="IP11" i="5" s="1"/>
  <c r="RW13" i="5"/>
  <c r="IP13" i="5" s="1"/>
  <c r="RW18" i="5"/>
  <c r="RW19" i="5"/>
  <c r="IP19" i="5" s="1"/>
  <c r="RW21" i="5"/>
  <c r="IP21" i="5" s="1"/>
  <c r="RW24" i="5"/>
  <c r="IP24" i="5" s="1"/>
  <c r="RW26" i="5"/>
  <c r="IP26" i="5" s="1"/>
  <c r="RW27" i="5"/>
  <c r="IP27" i="5" s="1"/>
  <c r="RW28" i="5"/>
  <c r="RW29" i="5"/>
  <c r="IP29" i="5" s="1"/>
  <c r="RW32" i="5"/>
  <c r="IP32" i="5" s="1"/>
  <c r="RW33" i="5"/>
  <c r="IP33" i="5" s="1"/>
  <c r="RW35" i="5"/>
  <c r="IP35" i="5" s="1"/>
  <c r="RW36" i="5"/>
  <c r="IP36" i="5" s="1"/>
  <c r="RW37" i="5"/>
  <c r="IP37" i="5" s="1"/>
  <c r="RW38" i="5"/>
  <c r="IP38" i="5" s="1"/>
  <c r="RW40" i="5"/>
  <c r="IP40" i="5" s="1"/>
  <c r="RW41" i="5"/>
  <c r="RW43" i="5"/>
  <c r="IP43" i="5" s="1"/>
  <c r="RW46" i="5"/>
  <c r="RW47" i="5"/>
  <c r="RW48" i="5"/>
  <c r="IP48" i="5" s="1"/>
  <c r="RW49" i="5"/>
  <c r="IP49" i="5" s="1"/>
  <c r="RW50" i="5"/>
  <c r="IP50" i="5" s="1"/>
  <c r="RW51" i="5"/>
  <c r="IP51" i="5" s="1"/>
  <c r="RW53" i="5"/>
  <c r="IP53" i="5" s="1"/>
  <c r="RW55" i="5"/>
  <c r="IP55" i="5" s="1"/>
  <c r="RW56" i="5"/>
  <c r="IP56" i="5" s="1"/>
  <c r="RW58" i="5"/>
  <c r="IP58" i="5" s="1"/>
  <c r="RW59" i="5"/>
  <c r="IP59" i="5" s="1"/>
  <c r="RW61" i="5"/>
  <c r="RW63" i="5"/>
  <c r="IP63" i="5" s="1"/>
  <c r="RW64" i="5"/>
  <c r="IP64" i="5" s="1"/>
  <c r="RW65" i="5"/>
  <c r="IP65" i="5" s="1"/>
  <c r="RW66" i="5"/>
  <c r="IP66" i="5" s="1"/>
  <c r="RW67" i="5"/>
  <c r="IP67" i="5" s="1"/>
  <c r="RW68" i="5"/>
  <c r="IP68" i="5" s="1"/>
  <c r="RW69" i="5"/>
  <c r="IP69" i="5" s="1"/>
  <c r="RW70" i="5"/>
  <c r="IP70" i="5" s="1"/>
  <c r="RW71" i="5"/>
  <c r="RW72" i="5"/>
  <c r="IP72" i="5" s="1"/>
  <c r="RW73" i="5"/>
  <c r="RW74" i="5"/>
  <c r="RW76" i="5"/>
  <c r="IP76" i="5" s="1"/>
  <c r="JE75" i="5" s="1"/>
  <c r="RW77" i="5"/>
  <c r="IP77" i="5" s="1"/>
  <c r="RW78" i="5"/>
  <c r="RW79" i="5"/>
  <c r="IP79" i="5" s="1"/>
  <c r="RW81" i="5"/>
  <c r="IP81" i="5" s="1"/>
  <c r="RW82" i="5"/>
  <c r="IP82" i="5" s="1"/>
  <c r="RW83" i="5"/>
  <c r="IP83" i="5" s="1"/>
  <c r="RW85" i="5"/>
  <c r="RW87" i="5"/>
  <c r="IP87" i="5" s="1"/>
  <c r="RW89" i="5"/>
  <c r="IP89" i="5" s="1"/>
  <c r="RW92" i="5"/>
  <c r="IP92" i="5" s="1"/>
  <c r="RW97" i="5"/>
  <c r="IP97" i="5" s="1"/>
  <c r="RW98" i="5"/>
  <c r="IP98" i="5" s="1"/>
  <c r="RW100" i="5"/>
  <c r="RW102" i="5"/>
  <c r="IP102" i="5" s="1"/>
  <c r="RW103" i="5"/>
  <c r="RW105" i="5"/>
  <c r="IP105" i="5" s="1"/>
  <c r="RW106" i="5"/>
  <c r="RW109" i="5"/>
  <c r="IP109" i="5" s="1"/>
  <c r="RW110" i="5"/>
  <c r="IP110" i="5" s="1"/>
  <c r="RW111" i="5"/>
  <c r="RW112" i="5"/>
  <c r="RW113" i="5"/>
  <c r="IP113" i="5" s="1"/>
  <c r="RW114" i="5"/>
  <c r="RW115" i="5"/>
  <c r="RW116" i="5"/>
  <c r="RW117" i="5"/>
  <c r="RW118" i="5"/>
  <c r="RW119" i="5"/>
  <c r="IP119" i="5" s="1"/>
  <c r="RW120" i="5"/>
  <c r="IP120" i="5" s="1"/>
  <c r="RW122" i="5"/>
  <c r="RW123" i="5"/>
  <c r="IG123" i="5" s="1"/>
  <c r="BT123" i="5" s="1"/>
  <c r="RW125" i="5"/>
  <c r="RW126" i="5"/>
  <c r="RW127" i="5"/>
  <c r="IP127" i="5" s="1"/>
  <c r="RW128" i="5"/>
  <c r="RW132" i="5"/>
  <c r="NF132" i="5" s="1"/>
  <c r="RW134" i="5"/>
  <c r="RW135" i="5"/>
  <c r="RW136" i="5"/>
  <c r="RW137" i="5"/>
  <c r="RW138" i="5"/>
  <c r="RW140" i="5"/>
  <c r="IP140" i="5" s="1"/>
  <c r="RW141" i="5"/>
  <c r="RW142" i="5"/>
  <c r="NF142" i="5" s="1"/>
  <c r="RW145" i="5"/>
  <c r="RW147" i="5"/>
  <c r="RW148" i="5"/>
  <c r="NF148" i="5" s="1"/>
  <c r="RW150" i="5"/>
  <c r="RW151" i="5"/>
  <c r="RW152" i="5"/>
  <c r="RW153" i="5"/>
  <c r="NF153" i="5" s="1"/>
  <c r="RW154" i="5"/>
  <c r="RW157" i="5"/>
  <c r="NF157" i="5" s="1"/>
  <c r="RW158" i="5"/>
  <c r="IP158" i="5" s="1"/>
  <c r="RW159" i="5"/>
  <c r="RW160" i="5"/>
  <c r="RW161" i="5"/>
  <c r="RW162" i="5"/>
  <c r="RW163" i="5"/>
  <c r="RW166" i="5"/>
  <c r="RW167" i="5"/>
  <c r="IP167" i="5" s="1"/>
  <c r="RW171" i="5"/>
  <c r="NF171" i="5" s="1"/>
  <c r="RW174" i="5"/>
  <c r="RW175" i="5"/>
  <c r="RW176" i="5"/>
  <c r="RW178" i="5"/>
  <c r="NF178" i="5" s="1"/>
  <c r="RW179" i="5"/>
  <c r="RW180" i="5"/>
  <c r="NF180" i="5" s="1"/>
  <c r="RW181" i="5"/>
  <c r="RW182" i="5"/>
  <c r="RW183" i="5"/>
  <c r="RW184" i="5"/>
  <c r="RW186" i="5"/>
  <c r="RW187" i="5"/>
  <c r="RW188" i="5"/>
  <c r="NF188" i="5" s="1"/>
  <c r="RW189" i="5"/>
  <c r="RW190" i="5"/>
  <c r="RW191" i="5"/>
  <c r="NF191" i="5" s="1"/>
  <c r="RW192" i="5"/>
  <c r="RW194" i="5"/>
  <c r="RW195" i="5"/>
  <c r="IG195" i="5" s="1"/>
  <c r="RW196" i="5"/>
  <c r="IG196" i="5" s="1"/>
  <c r="RW197" i="5"/>
  <c r="IG197" i="5" s="1"/>
  <c r="RW198" i="5"/>
  <c r="IG198" i="5" s="1"/>
  <c r="RW199" i="5"/>
  <c r="IG199" i="5" s="1"/>
  <c r="RW200" i="5"/>
  <c r="IG200" i="5" s="1"/>
  <c r="RW201" i="5"/>
  <c r="IG201" i="5" s="1"/>
  <c r="RW202" i="5"/>
  <c r="RW204" i="5"/>
  <c r="IG204" i="5" s="1"/>
  <c r="BT204" i="5" s="1"/>
  <c r="RW206" i="5"/>
  <c r="NF206" i="5" s="1"/>
  <c r="RW208" i="5"/>
  <c r="IG208" i="5" s="1"/>
  <c r="RW212" i="5"/>
  <c r="IG212" i="5" s="1"/>
  <c r="RW214" i="5"/>
  <c r="NF214" i="5" s="1"/>
  <c r="RW215" i="5"/>
  <c r="NF215" i="5" s="1"/>
  <c r="RW216" i="5"/>
  <c r="NF216" i="5" s="1"/>
  <c r="RW217" i="5"/>
  <c r="NF217" i="5" s="1"/>
  <c r="RW218" i="5"/>
  <c r="IG218" i="5" s="1"/>
  <c r="RW219" i="5"/>
  <c r="IG219" i="5" s="1"/>
  <c r="RW220" i="5"/>
  <c r="NF220" i="5" s="1"/>
  <c r="RW221" i="5"/>
  <c r="RW222" i="5"/>
  <c r="NF222" i="5" s="1"/>
  <c r="RW223" i="5"/>
  <c r="IG223" i="5" s="1"/>
  <c r="RW224" i="5"/>
  <c r="IG224" i="5" s="1"/>
  <c r="RW225" i="5"/>
  <c r="NF225" i="5" s="1"/>
  <c r="RW226" i="5"/>
  <c r="NF226" i="5" s="1"/>
  <c r="RW227" i="5"/>
  <c r="RW228" i="5"/>
  <c r="IG228" i="5" s="1"/>
  <c r="RW229" i="5"/>
  <c r="IG229" i="5" s="1"/>
  <c r="RW230" i="5"/>
  <c r="NF230" i="5" s="1"/>
  <c r="RW231" i="5"/>
  <c r="IG231" i="5" s="1"/>
  <c r="RW234" i="5"/>
  <c r="RW235" i="5"/>
  <c r="NF235" i="5" s="1"/>
  <c r="RW236" i="5"/>
  <c r="IG236" i="5" s="1"/>
  <c r="RW237" i="5"/>
  <c r="IG237" i="5" s="1"/>
  <c r="RW238" i="5"/>
  <c r="IG238" i="5" s="1"/>
  <c r="RW239" i="5"/>
  <c r="NF239" i="5" s="1"/>
  <c r="RW240" i="5"/>
  <c r="IG240" i="5" s="1"/>
  <c r="RW241" i="5"/>
  <c r="IG241" i="5" s="1"/>
  <c r="RW242" i="5"/>
  <c r="IG242" i="5" s="1"/>
  <c r="BT242" i="5" s="1"/>
  <c r="RW243" i="5"/>
  <c r="IG243" i="5" s="1"/>
  <c r="RW244" i="5"/>
  <c r="IG244" i="5" s="1"/>
  <c r="RW245" i="5"/>
  <c r="IG245" i="5" s="1"/>
  <c r="RW246" i="5"/>
  <c r="IG246" i="5" s="1"/>
  <c r="RW247" i="5"/>
  <c r="IG247" i="5" s="1"/>
  <c r="RW248" i="5"/>
  <c r="IG248" i="5" s="1"/>
  <c r="NF207" i="5"/>
  <c r="NF243" i="5"/>
  <c r="MI3" i="5"/>
  <c r="MI4" i="5"/>
  <c r="MI5" i="5"/>
  <c r="MI6" i="5"/>
  <c r="MI7" i="5"/>
  <c r="MI8" i="5"/>
  <c r="MI9" i="5"/>
  <c r="MI10" i="5"/>
  <c r="MI11" i="5"/>
  <c r="MI12" i="5"/>
  <c r="MI13" i="5"/>
  <c r="MI14" i="5"/>
  <c r="MI15" i="5"/>
  <c r="MI16" i="5"/>
  <c r="MI17" i="5"/>
  <c r="MI18" i="5"/>
  <c r="MI19" i="5"/>
  <c r="MI20" i="5"/>
  <c r="MI21" i="5"/>
  <c r="MI22" i="5"/>
  <c r="MI23" i="5"/>
  <c r="MI24" i="5"/>
  <c r="MI25" i="5"/>
  <c r="MI26" i="5"/>
  <c r="MI27" i="5"/>
  <c r="MI28" i="5"/>
  <c r="MI29" i="5"/>
  <c r="MI30" i="5"/>
  <c r="MI31" i="5"/>
  <c r="MI32" i="5"/>
  <c r="MI33" i="5"/>
  <c r="MI34" i="5"/>
  <c r="MI35" i="5"/>
  <c r="MI36" i="5"/>
  <c r="MI37" i="5"/>
  <c r="MI38" i="5"/>
  <c r="MI39" i="5"/>
  <c r="MI40" i="5"/>
  <c r="MI41" i="5"/>
  <c r="MI42" i="5"/>
  <c r="MI43" i="5"/>
  <c r="MI44" i="5"/>
  <c r="MI45" i="5"/>
  <c r="MI46" i="5"/>
  <c r="MI47" i="5"/>
  <c r="MI48" i="5"/>
  <c r="MI49" i="5"/>
  <c r="MI50" i="5"/>
  <c r="MI51" i="5"/>
  <c r="MI52" i="5"/>
  <c r="MI53" i="5"/>
  <c r="MI54" i="5"/>
  <c r="MI55" i="5"/>
  <c r="MI56" i="5"/>
  <c r="MI57" i="5"/>
  <c r="MI58" i="5"/>
  <c r="MI59" i="5"/>
  <c r="MI60" i="5"/>
  <c r="MI61" i="5"/>
  <c r="MI62" i="5"/>
  <c r="MI63" i="5"/>
  <c r="MI64" i="5"/>
  <c r="MI65" i="5"/>
  <c r="MI66" i="5"/>
  <c r="MI67" i="5"/>
  <c r="MI68" i="5"/>
  <c r="MI69" i="5"/>
  <c r="MI70" i="5"/>
  <c r="MI71" i="5"/>
  <c r="MI72" i="5"/>
  <c r="MI73" i="5"/>
  <c r="MI74" i="5"/>
  <c r="MI75" i="5"/>
  <c r="MI76" i="5"/>
  <c r="MI77" i="5"/>
  <c r="MI78" i="5"/>
  <c r="MI79" i="5"/>
  <c r="MI80" i="5"/>
  <c r="MI81" i="5"/>
  <c r="MI82" i="5"/>
  <c r="MI83" i="5"/>
  <c r="MI84" i="5"/>
  <c r="MI85" i="5"/>
  <c r="MI86" i="5"/>
  <c r="MI87" i="5"/>
  <c r="MI88" i="5"/>
  <c r="MI89" i="5"/>
  <c r="MI90" i="5"/>
  <c r="MI91" i="5"/>
  <c r="MI92" i="5"/>
  <c r="MI93" i="5"/>
  <c r="MI94" i="5"/>
  <c r="MI95" i="5"/>
  <c r="MI96" i="5"/>
  <c r="MI97" i="5"/>
  <c r="MI98" i="5"/>
  <c r="MI99" i="5"/>
  <c r="MI100" i="5"/>
  <c r="MI101" i="5"/>
  <c r="MI102" i="5"/>
  <c r="MI103" i="5"/>
  <c r="MI104" i="5"/>
  <c r="MI105" i="5"/>
  <c r="MI106" i="5"/>
  <c r="MI107" i="5"/>
  <c r="MI108" i="5"/>
  <c r="MI109" i="5"/>
  <c r="MI110" i="5"/>
  <c r="MI111" i="5"/>
  <c r="MI112" i="5"/>
  <c r="MI113" i="5"/>
  <c r="MI114" i="5"/>
  <c r="MI115" i="5"/>
  <c r="MI116" i="5"/>
  <c r="MI117" i="5"/>
  <c r="MI118" i="5"/>
  <c r="MI119" i="5"/>
  <c r="MI120" i="5"/>
  <c r="MI121" i="5"/>
  <c r="MI122" i="5"/>
  <c r="MI123" i="5"/>
  <c r="MI124" i="5"/>
  <c r="MI125" i="5"/>
  <c r="MI126" i="5"/>
  <c r="MI127" i="5"/>
  <c r="MI128" i="5"/>
  <c r="MI129" i="5"/>
  <c r="MI130" i="5"/>
  <c r="MI131" i="5"/>
  <c r="MI132" i="5"/>
  <c r="MI133" i="5"/>
  <c r="MI134" i="5"/>
  <c r="MI135" i="5"/>
  <c r="MI136" i="5"/>
  <c r="MI137" i="5"/>
  <c r="MI138" i="5"/>
  <c r="MI139" i="5"/>
  <c r="MI140" i="5"/>
  <c r="MI141" i="5"/>
  <c r="MI142" i="5"/>
  <c r="MI143" i="5"/>
  <c r="MI144" i="5"/>
  <c r="MI145" i="5"/>
  <c r="MI146" i="5"/>
  <c r="MI147" i="5"/>
  <c r="MI148" i="5"/>
  <c r="MI149" i="5"/>
  <c r="MI150" i="5"/>
  <c r="MI151" i="5"/>
  <c r="MI152" i="5"/>
  <c r="MI153" i="5"/>
  <c r="MI154" i="5"/>
  <c r="MI155" i="5"/>
  <c r="MI156" i="5"/>
  <c r="MI157" i="5"/>
  <c r="MI158" i="5"/>
  <c r="MI159" i="5"/>
  <c r="MI160" i="5"/>
  <c r="MI161" i="5"/>
  <c r="MI162" i="5"/>
  <c r="MI163" i="5"/>
  <c r="MI164" i="5"/>
  <c r="MI165" i="5"/>
  <c r="MI166" i="5"/>
  <c r="MI167" i="5"/>
  <c r="MI168" i="5"/>
  <c r="MI169" i="5"/>
  <c r="MI170" i="5"/>
  <c r="MI171" i="5"/>
  <c r="MI172" i="5"/>
  <c r="MI173" i="5"/>
  <c r="MI174" i="5"/>
  <c r="MI175" i="5"/>
  <c r="MI176" i="5"/>
  <c r="MI177" i="5"/>
  <c r="MI178" i="5"/>
  <c r="MI179" i="5"/>
  <c r="MI180" i="5"/>
  <c r="MI181" i="5"/>
  <c r="MI182" i="5"/>
  <c r="MI183" i="5"/>
  <c r="MI184" i="5"/>
  <c r="MI185" i="5"/>
  <c r="MI186" i="5"/>
  <c r="MI187" i="5"/>
  <c r="MI188" i="5"/>
  <c r="MI189" i="5"/>
  <c r="MI190" i="5"/>
  <c r="MI191" i="5"/>
  <c r="MI192" i="5"/>
  <c r="MI193" i="5"/>
  <c r="MI202" i="5"/>
  <c r="MI203" i="5"/>
  <c r="MI204" i="5"/>
  <c r="MI205" i="5"/>
  <c r="MI206" i="5"/>
  <c r="MI207" i="5"/>
  <c r="MI208" i="5"/>
  <c r="MI209" i="5"/>
  <c r="MI210" i="5"/>
  <c r="MI211" i="5"/>
  <c r="MI212" i="5"/>
  <c r="MI213" i="5"/>
  <c r="MI214" i="5"/>
  <c r="MI215" i="5"/>
  <c r="MI216" i="5"/>
  <c r="MI217" i="5"/>
  <c r="MI218" i="5"/>
  <c r="MI219" i="5"/>
  <c r="MI220" i="5"/>
  <c r="MI221" i="5"/>
  <c r="MI222" i="5"/>
  <c r="MI223" i="5"/>
  <c r="MI224" i="5"/>
  <c r="MI225" i="5"/>
  <c r="MI226" i="5"/>
  <c r="MI227" i="5"/>
  <c r="MI228" i="5"/>
  <c r="MI229" i="5"/>
  <c r="MI230" i="5"/>
  <c r="MI231" i="5"/>
  <c r="MI232" i="5"/>
  <c r="MI233" i="5"/>
  <c r="MI234" i="5"/>
  <c r="MI235" i="5"/>
  <c r="MI236" i="5"/>
  <c r="MI237" i="5"/>
  <c r="MI238" i="5"/>
  <c r="MI239" i="5"/>
  <c r="MI240" i="5"/>
  <c r="MI241" i="5"/>
  <c r="MI242" i="5"/>
  <c r="MI243" i="5"/>
  <c r="MI244" i="5"/>
  <c r="MI245" i="5"/>
  <c r="MI246" i="5"/>
  <c r="MI247" i="5"/>
  <c r="MI248" i="5"/>
  <c r="NF242" i="5" l="1"/>
  <c r="NF248" i="5"/>
  <c r="NF241" i="5"/>
  <c r="NF240" i="5"/>
  <c r="NF245" i="5"/>
  <c r="NF237" i="5"/>
  <c r="NF247" i="5"/>
  <c r="NF246" i="5"/>
  <c r="BT248" i="5"/>
  <c r="GU248" i="5" s="1"/>
  <c r="GV248" i="5" s="1"/>
  <c r="BU248" i="5"/>
  <c r="EZ248" i="5" s="1"/>
  <c r="RV248" i="5"/>
  <c r="BT247" i="5"/>
  <c r="GU247" i="5" s="1"/>
  <c r="GV247" i="5" s="1"/>
  <c r="BU247" i="5"/>
  <c r="RV247" i="5"/>
  <c r="BT246" i="5"/>
  <c r="GU246" i="5" s="1"/>
  <c r="GV246" i="5" s="1"/>
  <c r="BU246" i="5"/>
  <c r="EZ246" i="5" s="1"/>
  <c r="RV246" i="5"/>
  <c r="NF244" i="5"/>
  <c r="BT245" i="5"/>
  <c r="GU245" i="5" s="1"/>
  <c r="GV245" i="5" s="1"/>
  <c r="BU245" i="5"/>
  <c r="RV245" i="5"/>
  <c r="BT244" i="5"/>
  <c r="GU244" i="5" s="1"/>
  <c r="GV244" i="5" s="1"/>
  <c r="BU244" i="5"/>
  <c r="EZ244" i="5" s="1"/>
  <c r="RV244" i="5"/>
  <c r="NF238" i="5"/>
  <c r="BT243" i="5"/>
  <c r="GU243" i="5" s="1"/>
  <c r="GV243" i="5" s="1"/>
  <c r="BU243" i="5"/>
  <c r="RV243" i="5"/>
  <c r="IH242" i="5"/>
  <c r="II242" i="5" s="1"/>
  <c r="GU242" i="5"/>
  <c r="GV242" i="5" s="1"/>
  <c r="HZ242" i="5"/>
  <c r="FC242" i="5"/>
  <c r="FI242" i="5"/>
  <c r="FX242" i="5"/>
  <c r="EY242" i="5"/>
  <c r="GP242" i="5"/>
  <c r="EO242" i="5"/>
  <c r="EQ242" i="5" s="1"/>
  <c r="RV242" i="5"/>
  <c r="BT241" i="5"/>
  <c r="GU241" i="5" s="1"/>
  <c r="GV241" i="5" s="1"/>
  <c r="BU241" i="5"/>
  <c r="EZ241" i="5" s="1"/>
  <c r="RV241" i="5"/>
  <c r="BT240" i="5"/>
  <c r="GU240" i="5" s="1"/>
  <c r="GV240" i="5" s="1"/>
  <c r="BU240" i="5"/>
  <c r="EZ240" i="5" s="1"/>
  <c r="RV240" i="5"/>
  <c r="IG239" i="5"/>
  <c r="BU239" i="5"/>
  <c r="RV239" i="5"/>
  <c r="BT238" i="5"/>
  <c r="GU238" i="5" s="1"/>
  <c r="GV238" i="5" s="1"/>
  <c r="BU238" i="5"/>
  <c r="EZ238" i="5" s="1"/>
  <c r="RV238" i="5"/>
  <c r="BT237" i="5"/>
  <c r="GU237" i="5" s="1"/>
  <c r="GV237" i="5" s="1"/>
  <c r="BU237" i="5"/>
  <c r="EZ237" i="5" s="1"/>
  <c r="RV237" i="5"/>
  <c r="NF221" i="5"/>
  <c r="NF163" i="5"/>
  <c r="NF227" i="5"/>
  <c r="NF147" i="5"/>
  <c r="IG202" i="5"/>
  <c r="BT202" i="5" s="1"/>
  <c r="GU202" i="5" s="1"/>
  <c r="GV202" i="5" s="1"/>
  <c r="RV234" i="5"/>
  <c r="IG234" i="5"/>
  <c r="IH123" i="5"/>
  <c r="II123" i="5" s="1"/>
  <c r="GU123" i="5"/>
  <c r="GV123" i="5" s="1"/>
  <c r="JO158" i="5"/>
  <c r="JE158" i="5"/>
  <c r="JO167" i="5"/>
  <c r="JE167" i="5"/>
  <c r="NF166" i="5"/>
  <c r="IP166" i="5"/>
  <c r="JO127" i="5"/>
  <c r="JE127" i="5"/>
  <c r="JO79" i="5"/>
  <c r="JE79" i="5"/>
  <c r="JO109" i="5"/>
  <c r="JE109" i="5"/>
  <c r="JO89" i="5"/>
  <c r="JE89" i="5"/>
  <c r="JE83" i="5"/>
  <c r="JO83" i="5"/>
  <c r="IP74" i="5"/>
  <c r="JE73" i="5" s="1"/>
  <c r="IP73" i="5"/>
  <c r="JO72" i="5" s="1"/>
  <c r="JO120" i="5"/>
  <c r="JE120" i="5"/>
  <c r="JO82" i="5"/>
  <c r="JE82" i="5"/>
  <c r="JE76" i="5"/>
  <c r="JO76" i="5"/>
  <c r="JE87" i="5"/>
  <c r="JO87" i="5"/>
  <c r="JO69" i="5"/>
  <c r="JE69" i="5"/>
  <c r="JE65" i="5"/>
  <c r="JO65" i="5"/>
  <c r="JE59" i="5"/>
  <c r="JO59" i="5"/>
  <c r="JO53" i="5"/>
  <c r="JE53" i="5"/>
  <c r="JO48" i="5"/>
  <c r="JE48" i="5"/>
  <c r="JO36" i="5"/>
  <c r="JE36" i="5"/>
  <c r="JO29" i="5"/>
  <c r="JE29" i="5"/>
  <c r="JO24" i="5"/>
  <c r="JE24" i="5"/>
  <c r="JE8" i="5"/>
  <c r="JO8" i="5"/>
  <c r="JO68" i="5"/>
  <c r="JE68" i="5"/>
  <c r="JO58" i="5"/>
  <c r="JE58" i="5"/>
  <c r="JO51" i="5"/>
  <c r="JE51" i="5"/>
  <c r="JO40" i="5"/>
  <c r="JE40" i="5"/>
  <c r="JO35" i="5"/>
  <c r="JE35" i="5"/>
  <c r="JE21" i="5"/>
  <c r="JO21" i="5"/>
  <c r="JO13" i="5"/>
  <c r="JE13" i="5"/>
  <c r="JO7" i="5"/>
  <c r="JE7" i="5"/>
  <c r="JO67" i="5"/>
  <c r="JE67" i="5"/>
  <c r="JO63" i="5"/>
  <c r="JE63" i="5"/>
  <c r="JO56" i="5"/>
  <c r="JE56" i="5"/>
  <c r="JO50" i="5"/>
  <c r="JE50" i="5"/>
  <c r="JO38" i="5"/>
  <c r="JE38" i="5"/>
  <c r="JE33" i="5"/>
  <c r="JO33" i="5"/>
  <c r="JO27" i="5"/>
  <c r="JE27" i="5"/>
  <c r="JO19" i="5"/>
  <c r="JE19" i="5"/>
  <c r="JE11" i="5"/>
  <c r="JO11" i="5"/>
  <c r="JE5" i="5"/>
  <c r="JO5" i="5"/>
  <c r="JO70" i="5"/>
  <c r="JE70" i="5"/>
  <c r="JO66" i="5"/>
  <c r="JE66" i="5"/>
  <c r="JO55" i="5"/>
  <c r="JE55" i="5"/>
  <c r="JE49" i="5"/>
  <c r="JO49" i="5"/>
  <c r="JO43" i="5"/>
  <c r="JE43" i="5"/>
  <c r="JO37" i="5"/>
  <c r="JE37" i="5"/>
  <c r="JO32" i="5"/>
  <c r="JE32" i="5"/>
  <c r="JO26" i="5"/>
  <c r="JE26" i="5"/>
  <c r="JE10" i="5"/>
  <c r="JO10" i="5"/>
  <c r="JE4" i="5"/>
  <c r="JO4" i="5"/>
  <c r="JO119" i="5"/>
  <c r="JE119" i="5"/>
  <c r="JO92" i="5"/>
  <c r="JE92" i="5"/>
  <c r="JO77" i="5"/>
  <c r="JO105" i="5"/>
  <c r="JE105" i="5"/>
  <c r="JE110" i="5"/>
  <c r="JO110" i="5"/>
  <c r="JO140" i="5"/>
  <c r="JE140" i="5"/>
  <c r="NF141" i="5"/>
  <c r="IE141" i="5" s="1"/>
  <c r="IP141" i="5"/>
  <c r="FR141" i="5" s="1"/>
  <c r="JE97" i="5"/>
  <c r="JO97" i="5"/>
  <c r="NF219" i="5"/>
  <c r="NF236" i="5"/>
  <c r="NF186" i="5"/>
  <c r="IP186" i="5"/>
  <c r="JO98" i="5"/>
  <c r="JE98" i="5"/>
  <c r="JO81" i="5"/>
  <c r="JE81" i="5"/>
  <c r="JE113" i="5"/>
  <c r="JO113" i="5"/>
  <c r="JE102" i="5"/>
  <c r="JO102" i="5"/>
  <c r="BQ160" i="5"/>
  <c r="BU160" i="5"/>
  <c r="IG160" i="5"/>
  <c r="NF234" i="5"/>
  <c r="NF231" i="5"/>
  <c r="NF223" i="5"/>
  <c r="NF212" i="5"/>
  <c r="BT236" i="5"/>
  <c r="GU236" i="5" s="1"/>
  <c r="GV236" i="5" s="1"/>
  <c r="BU236" i="5"/>
  <c r="EZ236" i="5" s="1"/>
  <c r="RV236" i="5"/>
  <c r="NF176" i="5"/>
  <c r="IG176" i="5"/>
  <c r="BT176" i="5" s="1"/>
  <c r="HZ176" i="5" s="1"/>
  <c r="NF218" i="5"/>
  <c r="RV212" i="5"/>
  <c r="BT212" i="5"/>
  <c r="IH212" i="5" s="1"/>
  <c r="II212" i="5" s="1"/>
  <c r="NF192" i="5"/>
  <c r="IG192" i="5"/>
  <c r="NF228" i="5"/>
  <c r="NF208" i="5"/>
  <c r="NF204" i="5"/>
  <c r="RV235" i="5"/>
  <c r="IG235" i="5"/>
  <c r="BU235" i="5"/>
  <c r="EZ235" i="5" s="1"/>
  <c r="NF229" i="5"/>
  <c r="RV204" i="5"/>
  <c r="IG230" i="5"/>
  <c r="BT231" i="5"/>
  <c r="IH231" i="5" s="1"/>
  <c r="II231" i="5" s="1"/>
  <c r="RV231" i="5"/>
  <c r="NF224" i="5"/>
  <c r="RV230" i="5"/>
  <c r="BT229" i="5"/>
  <c r="GU229" i="5" s="1"/>
  <c r="GV229" i="5" s="1"/>
  <c r="RV229" i="5"/>
  <c r="BT228" i="5"/>
  <c r="GU228" i="5" s="1"/>
  <c r="GV228" i="5" s="1"/>
  <c r="RV228" i="5"/>
  <c r="RV227" i="5"/>
  <c r="IG227" i="5"/>
  <c r="BT227" i="5" s="1"/>
  <c r="FI227" i="5" s="1"/>
  <c r="RV226" i="5"/>
  <c r="IG226" i="5"/>
  <c r="BT223" i="5"/>
  <c r="GU223" i="5" s="1"/>
  <c r="GV223" i="5" s="1"/>
  <c r="RV223" i="5"/>
  <c r="BT224" i="5"/>
  <c r="GU224" i="5" s="1"/>
  <c r="GV224" i="5" s="1"/>
  <c r="RV224" i="5"/>
  <c r="RV225" i="5"/>
  <c r="IG225" i="5"/>
  <c r="RV222" i="5"/>
  <c r="IG222" i="5"/>
  <c r="RV221" i="5"/>
  <c r="IG221" i="5"/>
  <c r="BU221" i="5"/>
  <c r="EZ221" i="5" s="1"/>
  <c r="RV220" i="5"/>
  <c r="IG220" i="5"/>
  <c r="BU220" i="5"/>
  <c r="EZ220" i="5" s="1"/>
  <c r="RV219" i="5"/>
  <c r="BT219" i="5"/>
  <c r="GU219" i="5" s="1"/>
  <c r="GV219" i="5" s="1"/>
  <c r="BT218" i="5"/>
  <c r="GU218" i="5" s="1"/>
  <c r="GV218" i="5" s="1"/>
  <c r="RV218" i="5"/>
  <c r="BU218" i="5"/>
  <c r="EZ218" i="5" s="1"/>
  <c r="RV217" i="5"/>
  <c r="IG217" i="5"/>
  <c r="BU217" i="5"/>
  <c r="EZ217" i="5" s="1"/>
  <c r="RV216" i="5"/>
  <c r="IG216" i="5"/>
  <c r="BU216" i="5"/>
  <c r="EZ216" i="5" s="1"/>
  <c r="RV215" i="5"/>
  <c r="IG215" i="5"/>
  <c r="BU215" i="5"/>
  <c r="EZ215" i="5" s="1"/>
  <c r="RV214" i="5"/>
  <c r="IG214" i="5"/>
  <c r="BU214" i="5"/>
  <c r="EZ214" i="5" s="1"/>
  <c r="BT208" i="5"/>
  <c r="GU208" i="5" s="1"/>
  <c r="GV208" i="5" s="1"/>
  <c r="RV208" i="5"/>
  <c r="JO64" i="5"/>
  <c r="JE64" i="5"/>
  <c r="RV206" i="5"/>
  <c r="IG206" i="5"/>
  <c r="BT200" i="5"/>
  <c r="GU200" i="5" s="1"/>
  <c r="GV200" i="5" s="1"/>
  <c r="NF202" i="5"/>
  <c r="IH204" i="5"/>
  <c r="II204" i="5" s="1"/>
  <c r="BU202" i="5"/>
  <c r="EZ202" i="5" s="1"/>
  <c r="RV202" i="5"/>
  <c r="BT201" i="5"/>
  <c r="IH201" i="5" s="1"/>
  <c r="II201" i="5" s="1"/>
  <c r="BU201" i="5"/>
  <c r="RV201" i="5"/>
  <c r="BU200" i="5"/>
  <c r="EZ200" i="5" s="1"/>
  <c r="RV200" i="5"/>
  <c r="BT199" i="5"/>
  <c r="GU199" i="5" s="1"/>
  <c r="GV199" i="5" s="1"/>
  <c r="BU199" i="5"/>
  <c r="EZ199" i="5" s="1"/>
  <c r="RV199" i="5"/>
  <c r="BT198" i="5"/>
  <c r="GU198" i="5" s="1"/>
  <c r="GV198" i="5" s="1"/>
  <c r="BU198" i="5"/>
  <c r="IE198" i="5" s="1"/>
  <c r="RV198" i="5"/>
  <c r="BT197" i="5"/>
  <c r="GU197" i="5" s="1"/>
  <c r="GV197" i="5" s="1"/>
  <c r="BU197" i="5"/>
  <c r="EZ197" i="5" s="1"/>
  <c r="RV197" i="5"/>
  <c r="BT196" i="5"/>
  <c r="GU196" i="5" s="1"/>
  <c r="GV196" i="5" s="1"/>
  <c r="BU196" i="5"/>
  <c r="EZ196" i="5" s="1"/>
  <c r="RV196" i="5"/>
  <c r="BT195" i="5"/>
  <c r="GU195" i="5" s="1"/>
  <c r="GV195" i="5" s="1"/>
  <c r="BU195" i="5"/>
  <c r="EZ195" i="5" s="1"/>
  <c r="RV195" i="5"/>
  <c r="BQ247" i="5"/>
  <c r="DZ247" i="5"/>
  <c r="DW247" i="5" s="1"/>
  <c r="NI247" i="5" s="1"/>
  <c r="DX247" i="5" s="1"/>
  <c r="BQ231" i="5"/>
  <c r="DZ231" i="5"/>
  <c r="DW231" i="5" s="1"/>
  <c r="NI231" i="5" s="1"/>
  <c r="DX231" i="5" s="1"/>
  <c r="BQ223" i="5"/>
  <c r="DZ223" i="5"/>
  <c r="DW223" i="5" s="1"/>
  <c r="NI223" i="5" s="1"/>
  <c r="DX223" i="5" s="1"/>
  <c r="BQ219" i="5"/>
  <c r="DZ219" i="5"/>
  <c r="DW219" i="5" s="1"/>
  <c r="NI219" i="5" s="1"/>
  <c r="DX219" i="5" s="1"/>
  <c r="BQ197" i="5"/>
  <c r="DZ197" i="5"/>
  <c r="IG190" i="5"/>
  <c r="DZ190" i="5"/>
  <c r="DW190" i="5" s="1"/>
  <c r="IG182" i="5"/>
  <c r="DZ182" i="5"/>
  <c r="DW182" i="5" s="1"/>
  <c r="IG174" i="5"/>
  <c r="BT174" i="5" s="1"/>
  <c r="DZ174" i="5"/>
  <c r="DW174" i="5" s="1"/>
  <c r="IG167" i="5"/>
  <c r="BT167" i="5" s="1"/>
  <c r="DZ167" i="5"/>
  <c r="DW167" i="5" s="1"/>
  <c r="IG159" i="5"/>
  <c r="BT159" i="5" s="1"/>
  <c r="DZ159" i="5"/>
  <c r="DW159" i="5" s="1"/>
  <c r="IG151" i="5"/>
  <c r="DZ151" i="5"/>
  <c r="DW151" i="5" s="1"/>
  <c r="IG136" i="5"/>
  <c r="DZ136" i="5"/>
  <c r="DW136" i="5" s="1"/>
  <c r="IG118" i="5"/>
  <c r="DZ118" i="5"/>
  <c r="DW118" i="5" s="1"/>
  <c r="IG110" i="5"/>
  <c r="BT110" i="5" s="1"/>
  <c r="DZ110" i="5"/>
  <c r="DW110" i="5" s="1"/>
  <c r="IG100" i="5"/>
  <c r="DZ100" i="5"/>
  <c r="DW100" i="5" s="1"/>
  <c r="IG79" i="5"/>
  <c r="BT79" i="5" s="1"/>
  <c r="DZ79" i="5"/>
  <c r="DW79" i="5" s="1"/>
  <c r="IG70" i="5"/>
  <c r="BT70" i="5" s="1"/>
  <c r="DZ70" i="5"/>
  <c r="DW70" i="5" s="1"/>
  <c r="IG61" i="5"/>
  <c r="BT61" i="5" s="1"/>
  <c r="DZ61" i="5"/>
  <c r="DW61" i="5" s="1"/>
  <c r="IG49" i="5"/>
  <c r="DZ49" i="5"/>
  <c r="DW49" i="5" s="1"/>
  <c r="IG37" i="5"/>
  <c r="BT37" i="5" s="1"/>
  <c r="DZ37" i="5"/>
  <c r="DW37" i="5" s="1"/>
  <c r="IG26" i="5"/>
  <c r="BT26" i="5" s="1"/>
  <c r="DZ26" i="5"/>
  <c r="DW26" i="5" s="1"/>
  <c r="IG10" i="5"/>
  <c r="DZ10" i="5"/>
  <c r="DW10" i="5" s="1"/>
  <c r="BQ246" i="5"/>
  <c r="DZ246" i="5"/>
  <c r="DW246" i="5" s="1"/>
  <c r="NI246" i="5" s="1"/>
  <c r="DX246" i="5" s="1"/>
  <c r="BQ238" i="5"/>
  <c r="DZ238" i="5"/>
  <c r="DW238" i="5" s="1"/>
  <c r="NI238" i="5" s="1"/>
  <c r="DX238" i="5" s="1"/>
  <c r="BQ230" i="5"/>
  <c r="DZ230" i="5"/>
  <c r="DW230" i="5" s="1"/>
  <c r="NI230" i="5" s="1"/>
  <c r="DX230" i="5" s="1"/>
  <c r="BQ222" i="5"/>
  <c r="DZ222" i="5"/>
  <c r="DW222" i="5" s="1"/>
  <c r="NI222" i="5" s="1"/>
  <c r="HM222" i="5" s="1"/>
  <c r="BQ215" i="5"/>
  <c r="DZ215" i="5"/>
  <c r="DW215" i="5" s="1"/>
  <c r="NI215" i="5" s="1"/>
  <c r="DX215" i="5" s="1"/>
  <c r="BQ202" i="5"/>
  <c r="DZ202" i="5"/>
  <c r="DW202" i="5" s="1"/>
  <c r="NI202" i="5" s="1"/>
  <c r="DX202" i="5" s="1"/>
  <c r="BQ196" i="5"/>
  <c r="DZ196" i="5"/>
  <c r="IG189" i="5"/>
  <c r="BT189" i="5" s="1"/>
  <c r="DZ189" i="5"/>
  <c r="DW189" i="5" s="1"/>
  <c r="IG181" i="5"/>
  <c r="DZ181" i="5"/>
  <c r="DW181" i="5" s="1"/>
  <c r="IG166" i="5"/>
  <c r="BT166" i="5" s="1"/>
  <c r="DZ166" i="5"/>
  <c r="DW166" i="5" s="1"/>
  <c r="IG158" i="5"/>
  <c r="BT158" i="5" s="1"/>
  <c r="DZ158" i="5"/>
  <c r="DW158" i="5" s="1"/>
  <c r="IG150" i="5"/>
  <c r="BT150" i="5" s="1"/>
  <c r="DZ150" i="5"/>
  <c r="DW150" i="5" s="1"/>
  <c r="IG135" i="5"/>
  <c r="BT135" i="5" s="1"/>
  <c r="DZ135" i="5"/>
  <c r="DW135" i="5" s="1"/>
  <c r="IG125" i="5"/>
  <c r="DZ125" i="5"/>
  <c r="DW125" i="5" s="1"/>
  <c r="IG117" i="5"/>
  <c r="BT117" i="5" s="1"/>
  <c r="DZ117" i="5"/>
  <c r="DW117" i="5" s="1"/>
  <c r="IG109" i="5"/>
  <c r="BT109" i="5" s="1"/>
  <c r="DZ109" i="5"/>
  <c r="DW109" i="5" s="1"/>
  <c r="IG89" i="5"/>
  <c r="DZ89" i="5"/>
  <c r="DW89" i="5" s="1"/>
  <c r="IG78" i="5"/>
  <c r="BT78" i="5" s="1"/>
  <c r="DZ78" i="5"/>
  <c r="DW78" i="5" s="1"/>
  <c r="IG69" i="5"/>
  <c r="BT69" i="5" s="1"/>
  <c r="DZ69" i="5"/>
  <c r="DW69" i="5" s="1"/>
  <c r="IG59" i="5"/>
  <c r="BT59" i="5" s="1"/>
  <c r="DZ59" i="5"/>
  <c r="DW59" i="5" s="1"/>
  <c r="IG48" i="5"/>
  <c r="DZ48" i="5"/>
  <c r="DW48" i="5" s="1"/>
  <c r="IG36" i="5"/>
  <c r="BT36" i="5" s="1"/>
  <c r="DZ36" i="5"/>
  <c r="DW36" i="5" s="1"/>
  <c r="IG24" i="5"/>
  <c r="DZ24" i="5"/>
  <c r="DW24" i="5" s="1"/>
  <c r="IG8" i="5"/>
  <c r="BT8" i="5" s="1"/>
  <c r="DZ8" i="5"/>
  <c r="DW8" i="5" s="1"/>
  <c r="BQ245" i="5"/>
  <c r="DZ245" i="5"/>
  <c r="DW245" i="5" s="1"/>
  <c r="NI245" i="5" s="1"/>
  <c r="DX245" i="5" s="1"/>
  <c r="BQ237" i="5"/>
  <c r="DZ237" i="5"/>
  <c r="DW237" i="5" s="1"/>
  <c r="NI237" i="5" s="1"/>
  <c r="HM237" i="5" s="1"/>
  <c r="BQ229" i="5"/>
  <c r="DZ229" i="5"/>
  <c r="DW229" i="5" s="1"/>
  <c r="NI229" i="5" s="1"/>
  <c r="HM229" i="5" s="1"/>
  <c r="BQ208" i="5"/>
  <c r="DZ208" i="5"/>
  <c r="DW208" i="5" s="1"/>
  <c r="NI208" i="5" s="1"/>
  <c r="DX208" i="5" s="1"/>
  <c r="BQ195" i="5"/>
  <c r="DZ195" i="5"/>
  <c r="IG188" i="5"/>
  <c r="DZ188" i="5"/>
  <c r="DW188" i="5" s="1"/>
  <c r="IG180" i="5"/>
  <c r="DZ180" i="5"/>
  <c r="DW180" i="5" s="1"/>
  <c r="IG157" i="5"/>
  <c r="BT157" i="5" s="1"/>
  <c r="DZ157" i="5"/>
  <c r="DW157" i="5" s="1"/>
  <c r="IG148" i="5"/>
  <c r="DZ148" i="5"/>
  <c r="DW148" i="5" s="1"/>
  <c r="IG142" i="5"/>
  <c r="BT142" i="5" s="1"/>
  <c r="DZ142" i="5"/>
  <c r="DW142" i="5" s="1"/>
  <c r="IG134" i="5"/>
  <c r="BT134" i="5" s="1"/>
  <c r="DZ134" i="5"/>
  <c r="DW134" i="5" s="1"/>
  <c r="IG116" i="5"/>
  <c r="BT116" i="5" s="1"/>
  <c r="DZ116" i="5"/>
  <c r="DW116" i="5" s="1"/>
  <c r="IG98" i="5"/>
  <c r="DZ98" i="5"/>
  <c r="DW98" i="5" s="1"/>
  <c r="IG77" i="5"/>
  <c r="DZ77" i="5"/>
  <c r="DW77" i="5" s="1"/>
  <c r="IG68" i="5"/>
  <c r="DZ68" i="5"/>
  <c r="DW68" i="5" s="1"/>
  <c r="IG58" i="5"/>
  <c r="BT58" i="5" s="1"/>
  <c r="DZ58" i="5"/>
  <c r="DW58" i="5" s="1"/>
  <c r="IG47" i="5"/>
  <c r="BT47" i="5" s="1"/>
  <c r="DZ47" i="5"/>
  <c r="DW47" i="5" s="1"/>
  <c r="IG35" i="5"/>
  <c r="BT35" i="5" s="1"/>
  <c r="DZ35" i="5"/>
  <c r="DW35" i="5" s="1"/>
  <c r="IG21" i="5"/>
  <c r="BT21" i="5" s="1"/>
  <c r="DZ21" i="5"/>
  <c r="DW21" i="5" s="1"/>
  <c r="IG7" i="5"/>
  <c r="BT7" i="5" s="1"/>
  <c r="DZ7" i="5"/>
  <c r="DW7" i="5" s="1"/>
  <c r="BQ244" i="5"/>
  <c r="DZ244" i="5"/>
  <c r="DW244" i="5" s="1"/>
  <c r="NI244" i="5" s="1"/>
  <c r="HM244" i="5" s="1"/>
  <c r="BQ236" i="5"/>
  <c r="DZ236" i="5"/>
  <c r="DW236" i="5" s="1"/>
  <c r="NI236" i="5" s="1"/>
  <c r="DX236" i="5" s="1"/>
  <c r="BQ228" i="5"/>
  <c r="DZ228" i="5"/>
  <c r="DW228" i="5" s="1"/>
  <c r="NI228" i="5" s="1"/>
  <c r="HM228" i="5" s="1"/>
  <c r="BQ214" i="5"/>
  <c r="DZ214" i="5"/>
  <c r="DW214" i="5" s="1"/>
  <c r="NI214" i="5" s="1"/>
  <c r="DX214" i="5" s="1"/>
  <c r="BQ201" i="5"/>
  <c r="DZ201" i="5"/>
  <c r="IG194" i="5"/>
  <c r="DZ194" i="5"/>
  <c r="IG187" i="5"/>
  <c r="BT187" i="5" s="1"/>
  <c r="DZ187" i="5"/>
  <c r="DW187" i="5" s="1"/>
  <c r="IG179" i="5"/>
  <c r="DZ179" i="5"/>
  <c r="DW179" i="5" s="1"/>
  <c r="IG171" i="5"/>
  <c r="DZ171" i="5"/>
  <c r="DW171" i="5" s="1"/>
  <c r="IG147" i="5"/>
  <c r="DZ147" i="5"/>
  <c r="DW147" i="5" s="1"/>
  <c r="BQ141" i="5"/>
  <c r="DZ141" i="5"/>
  <c r="DW141" i="5" s="1"/>
  <c r="EO141" i="5"/>
  <c r="EQ141" i="5" s="1"/>
  <c r="FC141" i="5"/>
  <c r="HZ141" i="5"/>
  <c r="EY141" i="5"/>
  <c r="ET141" i="5"/>
  <c r="DU141" i="5"/>
  <c r="GP141" i="5"/>
  <c r="GA141" i="5"/>
  <c r="FX141" i="5"/>
  <c r="FL141" i="5"/>
  <c r="FI141" i="5"/>
  <c r="FG141" i="5" s="1"/>
  <c r="DZ123" i="5"/>
  <c r="DW123" i="5" s="1"/>
  <c r="HZ123" i="5"/>
  <c r="FC123" i="5"/>
  <c r="GP123" i="5"/>
  <c r="FX123" i="5"/>
  <c r="FI123" i="5"/>
  <c r="EO123" i="5"/>
  <c r="EQ123" i="5" s="1"/>
  <c r="EY123" i="5"/>
  <c r="IG115" i="5"/>
  <c r="BT115" i="5" s="1"/>
  <c r="DZ115" i="5"/>
  <c r="DW115" i="5" s="1"/>
  <c r="IG106" i="5"/>
  <c r="BT106" i="5" s="1"/>
  <c r="DZ106" i="5"/>
  <c r="DW106" i="5" s="1"/>
  <c r="IG97" i="5"/>
  <c r="DZ97" i="5"/>
  <c r="DW97" i="5" s="1"/>
  <c r="IG87" i="5"/>
  <c r="DZ87" i="5"/>
  <c r="DW87" i="5" s="1"/>
  <c r="IG76" i="5"/>
  <c r="DZ76" i="5"/>
  <c r="DW76" i="5" s="1"/>
  <c r="IG67" i="5"/>
  <c r="BT67" i="5" s="1"/>
  <c r="DZ67" i="5"/>
  <c r="DW67" i="5" s="1"/>
  <c r="IG56" i="5"/>
  <c r="DZ56" i="5"/>
  <c r="DW56" i="5" s="1"/>
  <c r="IG46" i="5"/>
  <c r="DZ46" i="5"/>
  <c r="DW46" i="5" s="1"/>
  <c r="IG33" i="5"/>
  <c r="BT33" i="5" s="1"/>
  <c r="DZ33" i="5"/>
  <c r="DW33" i="5" s="1"/>
  <c r="IG19" i="5"/>
  <c r="BT19" i="5" s="1"/>
  <c r="DZ19" i="5"/>
  <c r="DW19" i="5" s="1"/>
  <c r="IG5" i="5"/>
  <c r="DZ5" i="5"/>
  <c r="DW5" i="5" s="1"/>
  <c r="BQ243" i="5"/>
  <c r="DZ243" i="5"/>
  <c r="DW243" i="5" s="1"/>
  <c r="NI243" i="5" s="1"/>
  <c r="DX243" i="5" s="1"/>
  <c r="BQ235" i="5"/>
  <c r="DZ235" i="5"/>
  <c r="DW235" i="5" s="1"/>
  <c r="NI235" i="5" s="1"/>
  <c r="DX235" i="5" s="1"/>
  <c r="BQ227" i="5"/>
  <c r="DZ227" i="5"/>
  <c r="DW227" i="5" s="1"/>
  <c r="NI227" i="5" s="1"/>
  <c r="DX227" i="5" s="1"/>
  <c r="BQ200" i="5"/>
  <c r="DZ200" i="5"/>
  <c r="IG186" i="5"/>
  <c r="BT186" i="5" s="1"/>
  <c r="DZ186" i="5"/>
  <c r="DW186" i="5" s="1"/>
  <c r="IG178" i="5"/>
  <c r="BT178" i="5" s="1"/>
  <c r="DZ178" i="5"/>
  <c r="DW178" i="5" s="1"/>
  <c r="IG163" i="5"/>
  <c r="DZ163" i="5"/>
  <c r="DW163" i="5" s="1"/>
  <c r="IG140" i="5"/>
  <c r="DZ140" i="5"/>
  <c r="DW140" i="5" s="1"/>
  <c r="IG132" i="5"/>
  <c r="DZ132" i="5"/>
  <c r="DW132" i="5" s="1"/>
  <c r="IG122" i="5"/>
  <c r="BT122" i="5" s="1"/>
  <c r="DZ122" i="5"/>
  <c r="DW122" i="5" s="1"/>
  <c r="IG114" i="5"/>
  <c r="DZ114" i="5"/>
  <c r="DW114" i="5" s="1"/>
  <c r="IG105" i="5"/>
  <c r="BT105" i="5" s="1"/>
  <c r="DZ105" i="5"/>
  <c r="DW105" i="5" s="1"/>
  <c r="IG85" i="5"/>
  <c r="BT85" i="5" s="1"/>
  <c r="DZ85" i="5"/>
  <c r="DW85" i="5" s="1"/>
  <c r="IG74" i="5"/>
  <c r="BT74" i="5" s="1"/>
  <c r="DZ74" i="5"/>
  <c r="DW74" i="5" s="1"/>
  <c r="IG66" i="5"/>
  <c r="DZ66" i="5"/>
  <c r="DW66" i="5" s="1"/>
  <c r="IG55" i="5"/>
  <c r="DZ55" i="5"/>
  <c r="DW55" i="5" s="1"/>
  <c r="IG43" i="5"/>
  <c r="BT43" i="5" s="1"/>
  <c r="DZ43" i="5"/>
  <c r="DW43" i="5" s="1"/>
  <c r="IG32" i="5"/>
  <c r="DZ32" i="5"/>
  <c r="DW32" i="5" s="1"/>
  <c r="IG18" i="5"/>
  <c r="DZ18" i="5"/>
  <c r="DW18" i="5" s="1"/>
  <c r="IG4" i="5"/>
  <c r="BT4" i="5" s="1"/>
  <c r="DZ4" i="5"/>
  <c r="DW4" i="5" s="1"/>
  <c r="BQ242" i="5"/>
  <c r="DZ242" i="5"/>
  <c r="DW242" i="5" s="1"/>
  <c r="NI242" i="5" s="1"/>
  <c r="DX242" i="5" s="1"/>
  <c r="BQ234" i="5"/>
  <c r="DZ234" i="5"/>
  <c r="DW234" i="5" s="1"/>
  <c r="NI234" i="5" s="1"/>
  <c r="HM234" i="5" s="1"/>
  <c r="BQ226" i="5"/>
  <c r="DZ226" i="5"/>
  <c r="DW226" i="5" s="1"/>
  <c r="NI226" i="5" s="1"/>
  <c r="HM226" i="5" s="1"/>
  <c r="BQ218" i="5"/>
  <c r="DZ218" i="5"/>
  <c r="DW218" i="5" s="1"/>
  <c r="NI218" i="5" s="1"/>
  <c r="HM218" i="5" s="1"/>
  <c r="BQ212" i="5"/>
  <c r="DZ212" i="5"/>
  <c r="DW212" i="5" s="1"/>
  <c r="NI212" i="5" s="1"/>
  <c r="DX212" i="5" s="1"/>
  <c r="BQ206" i="5"/>
  <c r="DZ206" i="5"/>
  <c r="DW206" i="5" s="1"/>
  <c r="NI206" i="5" s="1"/>
  <c r="DX206" i="5" s="1"/>
  <c r="DZ192" i="5"/>
  <c r="DW192" i="5" s="1"/>
  <c r="IG162" i="5"/>
  <c r="BT162" i="5" s="1"/>
  <c r="DZ162" i="5"/>
  <c r="DW162" i="5" s="1"/>
  <c r="IG154" i="5"/>
  <c r="BT154" i="5" s="1"/>
  <c r="DZ154" i="5"/>
  <c r="DW154" i="5" s="1"/>
  <c r="IG145" i="5"/>
  <c r="BT145" i="5" s="1"/>
  <c r="DZ145" i="5"/>
  <c r="DW145" i="5" s="1"/>
  <c r="IG128" i="5"/>
  <c r="BT128" i="5" s="1"/>
  <c r="DZ128" i="5"/>
  <c r="DW128" i="5" s="1"/>
  <c r="IG113" i="5"/>
  <c r="DZ113" i="5"/>
  <c r="DW113" i="5" s="1"/>
  <c r="IG103" i="5"/>
  <c r="BT103" i="5" s="1"/>
  <c r="DZ103" i="5"/>
  <c r="DW103" i="5" s="1"/>
  <c r="IG83" i="5"/>
  <c r="BT83" i="5" s="1"/>
  <c r="DZ83" i="5"/>
  <c r="DW83" i="5" s="1"/>
  <c r="IG73" i="5"/>
  <c r="BT73" i="5" s="1"/>
  <c r="DZ73" i="5"/>
  <c r="DW73" i="5" s="1"/>
  <c r="IG65" i="5"/>
  <c r="BT65" i="5" s="1"/>
  <c r="DZ65" i="5"/>
  <c r="DW65" i="5" s="1"/>
  <c r="IG53" i="5"/>
  <c r="BT53" i="5" s="1"/>
  <c r="DZ53" i="5"/>
  <c r="DW53" i="5" s="1"/>
  <c r="IG41" i="5"/>
  <c r="BT41" i="5" s="1"/>
  <c r="DZ41" i="5"/>
  <c r="DW41" i="5" s="1"/>
  <c r="IG29" i="5"/>
  <c r="BT29" i="5" s="1"/>
  <c r="DZ29" i="5"/>
  <c r="DW29" i="5" s="1"/>
  <c r="BQ241" i="5"/>
  <c r="DZ241" i="5"/>
  <c r="DW241" i="5" s="1"/>
  <c r="NI241" i="5" s="1"/>
  <c r="DX241" i="5" s="1"/>
  <c r="BQ225" i="5"/>
  <c r="DZ225" i="5"/>
  <c r="DW225" i="5" s="1"/>
  <c r="NI225" i="5" s="1"/>
  <c r="DX225" i="5" s="1"/>
  <c r="BQ221" i="5"/>
  <c r="DZ221" i="5"/>
  <c r="DW221" i="5" s="1"/>
  <c r="NI221" i="5" s="1"/>
  <c r="DX221" i="5" s="1"/>
  <c r="BQ217" i="5"/>
  <c r="DZ217" i="5"/>
  <c r="DW217" i="5" s="1"/>
  <c r="NI217" i="5" s="1"/>
  <c r="DX217" i="5" s="1"/>
  <c r="BQ199" i="5"/>
  <c r="DZ199" i="5"/>
  <c r="IG184" i="5"/>
  <c r="DZ184" i="5"/>
  <c r="DW184" i="5" s="1"/>
  <c r="DZ176" i="5"/>
  <c r="DW176" i="5" s="1"/>
  <c r="IG161" i="5"/>
  <c r="BT161" i="5" s="1"/>
  <c r="DZ161" i="5"/>
  <c r="DW161" i="5" s="1"/>
  <c r="IG153" i="5"/>
  <c r="BT153" i="5" s="1"/>
  <c r="DZ153" i="5"/>
  <c r="DW153" i="5" s="1"/>
  <c r="IG138" i="5"/>
  <c r="DZ138" i="5"/>
  <c r="DW138" i="5" s="1"/>
  <c r="IG127" i="5"/>
  <c r="DZ127" i="5"/>
  <c r="DW127" i="5" s="1"/>
  <c r="IG120" i="5"/>
  <c r="DZ120" i="5"/>
  <c r="DW120" i="5" s="1"/>
  <c r="IG112" i="5"/>
  <c r="BT112" i="5" s="1"/>
  <c r="DZ112" i="5"/>
  <c r="DW112" i="5" s="1"/>
  <c r="IG102" i="5"/>
  <c r="BT102" i="5" s="1"/>
  <c r="DZ102" i="5"/>
  <c r="DW102" i="5" s="1"/>
  <c r="IG92" i="5"/>
  <c r="DZ92" i="5"/>
  <c r="DW92" i="5" s="1"/>
  <c r="IG82" i="5"/>
  <c r="BT82" i="5" s="1"/>
  <c r="DZ82" i="5"/>
  <c r="DW82" i="5" s="1"/>
  <c r="IG72" i="5"/>
  <c r="BT72" i="5" s="1"/>
  <c r="DZ72" i="5"/>
  <c r="DW72" i="5" s="1"/>
  <c r="IG64" i="5"/>
  <c r="DZ64" i="5"/>
  <c r="DW64" i="5" s="1"/>
  <c r="IG51" i="5"/>
  <c r="BT51" i="5" s="1"/>
  <c r="DZ51" i="5"/>
  <c r="DW51" i="5" s="1"/>
  <c r="IG40" i="5"/>
  <c r="DZ40" i="5"/>
  <c r="DW40" i="5" s="1"/>
  <c r="IG28" i="5"/>
  <c r="BT28" i="5" s="1"/>
  <c r="DZ28" i="5"/>
  <c r="DW28" i="5" s="1"/>
  <c r="IG13" i="5"/>
  <c r="BT13" i="5" s="1"/>
  <c r="DZ13" i="5"/>
  <c r="DW13" i="5" s="1"/>
  <c r="BQ248" i="5"/>
  <c r="DZ248" i="5"/>
  <c r="DW248" i="5" s="1"/>
  <c r="NI248" i="5" s="1"/>
  <c r="DX248" i="5" s="1"/>
  <c r="BQ240" i="5"/>
  <c r="DZ240" i="5"/>
  <c r="DW240" i="5" s="1"/>
  <c r="NI240" i="5" s="1"/>
  <c r="DX240" i="5" s="1"/>
  <c r="BQ224" i="5"/>
  <c r="DZ224" i="5"/>
  <c r="DW224" i="5" s="1"/>
  <c r="NI224" i="5" s="1"/>
  <c r="DX224" i="5" s="1"/>
  <c r="BQ220" i="5"/>
  <c r="DZ220" i="5"/>
  <c r="DW220" i="5" s="1"/>
  <c r="NI220" i="5" s="1"/>
  <c r="DX220" i="5" s="1"/>
  <c r="BQ216" i="5"/>
  <c r="DZ216" i="5"/>
  <c r="DW216" i="5" s="1"/>
  <c r="NI216" i="5" s="1"/>
  <c r="DX216" i="5" s="1"/>
  <c r="BQ204" i="5"/>
  <c r="DZ204" i="5"/>
  <c r="DW204" i="5" s="1"/>
  <c r="NI204" i="5" s="1"/>
  <c r="HM204" i="5" s="1"/>
  <c r="BQ198" i="5"/>
  <c r="DZ198" i="5"/>
  <c r="IG191" i="5"/>
  <c r="BT191" i="5" s="1"/>
  <c r="DZ191" i="5"/>
  <c r="DW191" i="5" s="1"/>
  <c r="IG183" i="5"/>
  <c r="DZ183" i="5"/>
  <c r="DW183" i="5" s="1"/>
  <c r="IG175" i="5"/>
  <c r="BT175" i="5" s="1"/>
  <c r="DZ175" i="5"/>
  <c r="DW175" i="5" s="1"/>
  <c r="DZ160" i="5"/>
  <c r="DW160" i="5" s="1"/>
  <c r="IG152" i="5"/>
  <c r="BT152" i="5" s="1"/>
  <c r="DZ152" i="5"/>
  <c r="DW152" i="5" s="1"/>
  <c r="IG137" i="5"/>
  <c r="BT137" i="5" s="1"/>
  <c r="DZ137" i="5"/>
  <c r="DW137" i="5" s="1"/>
  <c r="IG126" i="5"/>
  <c r="BT126" i="5" s="1"/>
  <c r="DZ126" i="5"/>
  <c r="DW126" i="5" s="1"/>
  <c r="IG119" i="5"/>
  <c r="BT119" i="5" s="1"/>
  <c r="DZ119" i="5"/>
  <c r="DW119" i="5" s="1"/>
  <c r="IG111" i="5"/>
  <c r="BT111" i="5" s="1"/>
  <c r="DZ111" i="5"/>
  <c r="DW111" i="5" s="1"/>
  <c r="IG81" i="5"/>
  <c r="BT81" i="5" s="1"/>
  <c r="DZ81" i="5"/>
  <c r="DW81" i="5" s="1"/>
  <c r="IG71" i="5"/>
  <c r="BT71" i="5" s="1"/>
  <c r="DZ71" i="5"/>
  <c r="DW71" i="5" s="1"/>
  <c r="IG63" i="5"/>
  <c r="BT63" i="5" s="1"/>
  <c r="DZ63" i="5"/>
  <c r="DW63" i="5" s="1"/>
  <c r="IG50" i="5"/>
  <c r="BT50" i="5" s="1"/>
  <c r="DZ50" i="5"/>
  <c r="DW50" i="5" s="1"/>
  <c r="IG38" i="5"/>
  <c r="BT38" i="5" s="1"/>
  <c r="DZ38" i="5"/>
  <c r="DW38" i="5" s="1"/>
  <c r="IG27" i="5"/>
  <c r="BT27" i="5" s="1"/>
  <c r="DZ27" i="5"/>
  <c r="DW27" i="5" s="1"/>
  <c r="IG11" i="5"/>
  <c r="BT11" i="5" s="1"/>
  <c r="DZ11" i="5"/>
  <c r="DW11" i="5" s="1"/>
  <c r="BQ190" i="5"/>
  <c r="NF182" i="5"/>
  <c r="BQ182" i="5"/>
  <c r="BU182" i="5"/>
  <c r="NF174" i="5"/>
  <c r="BQ174" i="5"/>
  <c r="NF167" i="5"/>
  <c r="BQ167" i="5"/>
  <c r="BU167" i="5"/>
  <c r="NF159" i="5"/>
  <c r="BQ159" i="5"/>
  <c r="NF151" i="5"/>
  <c r="BQ151" i="5"/>
  <c r="BU151" i="5"/>
  <c r="NF136" i="5"/>
  <c r="BQ136" i="5"/>
  <c r="BQ118" i="5"/>
  <c r="BU118" i="5"/>
  <c r="BQ110" i="5"/>
  <c r="BQ100" i="5"/>
  <c r="BQ79" i="5"/>
  <c r="BQ70" i="5"/>
  <c r="BU61" i="5"/>
  <c r="BQ61" i="5"/>
  <c r="BQ49" i="5"/>
  <c r="BQ37" i="5"/>
  <c r="BQ26" i="5"/>
  <c r="BQ10" i="5"/>
  <c r="NF189" i="5"/>
  <c r="BQ189" i="5"/>
  <c r="NF181" i="5"/>
  <c r="BQ181" i="5"/>
  <c r="BU166" i="5"/>
  <c r="BQ166" i="5"/>
  <c r="NF158" i="5"/>
  <c r="BQ158" i="5"/>
  <c r="BQ150" i="5"/>
  <c r="NF135" i="5"/>
  <c r="BQ135" i="5"/>
  <c r="NF125" i="5"/>
  <c r="BQ125" i="5"/>
  <c r="BU117" i="5"/>
  <c r="BQ117" i="5"/>
  <c r="BQ109" i="5"/>
  <c r="BQ89" i="5"/>
  <c r="BQ78" i="5"/>
  <c r="BQ69" i="5"/>
  <c r="BQ59" i="5"/>
  <c r="BQ48" i="5"/>
  <c r="BQ36" i="5"/>
  <c r="BQ24" i="5"/>
  <c r="BQ8" i="5"/>
  <c r="BQ188" i="5"/>
  <c r="BQ180" i="5"/>
  <c r="BQ157" i="5"/>
  <c r="BQ148" i="5"/>
  <c r="BQ142" i="5"/>
  <c r="BQ134" i="5"/>
  <c r="BQ116" i="5"/>
  <c r="BQ98" i="5"/>
  <c r="BQ77" i="5"/>
  <c r="BQ68" i="5"/>
  <c r="BQ58" i="5"/>
  <c r="BQ47" i="5"/>
  <c r="BQ35" i="5"/>
  <c r="BU21" i="5"/>
  <c r="BQ21" i="5"/>
  <c r="BQ7" i="5"/>
  <c r="RV194" i="5"/>
  <c r="BU194" i="5"/>
  <c r="IE194" i="5" s="1"/>
  <c r="BQ194" i="5"/>
  <c r="NF187" i="5"/>
  <c r="BU187" i="5"/>
  <c r="BQ187" i="5"/>
  <c r="BQ179" i="5"/>
  <c r="BQ171" i="5"/>
  <c r="BQ147" i="5"/>
  <c r="BU147" i="5"/>
  <c r="IE147" i="5" s="1"/>
  <c r="BQ123" i="5"/>
  <c r="BU123" i="5"/>
  <c r="GG123" i="5" s="1"/>
  <c r="BQ115" i="5"/>
  <c r="BQ106" i="5"/>
  <c r="BQ97" i="5"/>
  <c r="BQ87" i="5"/>
  <c r="BQ76" i="5"/>
  <c r="BQ67" i="5"/>
  <c r="BQ56" i="5"/>
  <c r="BQ46" i="5"/>
  <c r="BQ33" i="5"/>
  <c r="BQ19" i="5"/>
  <c r="BQ5" i="5"/>
  <c r="BQ186" i="5"/>
  <c r="BU186" i="5"/>
  <c r="BQ178" i="5"/>
  <c r="BU178" i="5"/>
  <c r="BQ163" i="5"/>
  <c r="BU163" i="5"/>
  <c r="BQ140" i="5"/>
  <c r="BQ132" i="5"/>
  <c r="BQ122" i="5"/>
  <c r="BU122" i="5"/>
  <c r="BQ114" i="5"/>
  <c r="BQ105" i="5"/>
  <c r="BQ85" i="5"/>
  <c r="BQ74" i="5"/>
  <c r="BQ66" i="5"/>
  <c r="BQ55" i="5"/>
  <c r="BQ43" i="5"/>
  <c r="BU43" i="5"/>
  <c r="BQ32" i="5"/>
  <c r="BQ18" i="5"/>
  <c r="BQ4" i="5"/>
  <c r="BQ192" i="5"/>
  <c r="BU192" i="5"/>
  <c r="BQ162" i="5"/>
  <c r="NF154" i="5"/>
  <c r="BQ154" i="5"/>
  <c r="NF145" i="5"/>
  <c r="BQ145" i="5"/>
  <c r="BQ128" i="5"/>
  <c r="BQ113" i="5"/>
  <c r="BQ103" i="5"/>
  <c r="BQ83" i="5"/>
  <c r="BQ73" i="5"/>
  <c r="BU73" i="5"/>
  <c r="BQ65" i="5"/>
  <c r="BQ53" i="5"/>
  <c r="BQ41" i="5"/>
  <c r="BQ29" i="5"/>
  <c r="NF184" i="5"/>
  <c r="BQ184" i="5"/>
  <c r="BU184" i="5"/>
  <c r="BQ176" i="5"/>
  <c r="NF161" i="5"/>
  <c r="BQ161" i="5"/>
  <c r="BU161" i="5"/>
  <c r="BQ153" i="5"/>
  <c r="NF138" i="5"/>
  <c r="BQ138" i="5"/>
  <c r="NF127" i="5"/>
  <c r="BQ127" i="5"/>
  <c r="BQ120" i="5"/>
  <c r="BQ112" i="5"/>
  <c r="BQ102" i="5"/>
  <c r="BQ92" i="5"/>
  <c r="BQ82" i="5"/>
  <c r="BQ72" i="5"/>
  <c r="BQ64" i="5"/>
  <c r="BQ51" i="5"/>
  <c r="BU40" i="5"/>
  <c r="BQ40" i="5"/>
  <c r="BQ28" i="5"/>
  <c r="BQ13" i="5"/>
  <c r="BQ191" i="5"/>
  <c r="BU191" i="5"/>
  <c r="IE191" i="5" s="1"/>
  <c r="NF183" i="5"/>
  <c r="BQ183" i="5"/>
  <c r="BU183" i="5"/>
  <c r="EZ183" i="5" s="1"/>
  <c r="NF175" i="5"/>
  <c r="BQ175" i="5"/>
  <c r="NF160" i="5"/>
  <c r="NF152" i="5"/>
  <c r="BQ152" i="5"/>
  <c r="NF137" i="5"/>
  <c r="BQ137" i="5"/>
  <c r="NF126" i="5"/>
  <c r="BQ126" i="5"/>
  <c r="BU119" i="5"/>
  <c r="BQ119" i="5"/>
  <c r="BU111" i="5"/>
  <c r="BQ111" i="5"/>
  <c r="BQ81" i="5"/>
  <c r="BQ71" i="5"/>
  <c r="BQ63" i="5"/>
  <c r="BQ50" i="5"/>
  <c r="BQ38" i="5"/>
  <c r="BQ27" i="5"/>
  <c r="BQ11" i="5"/>
  <c r="RV192" i="5"/>
  <c r="RV191" i="5"/>
  <c r="BT190" i="5"/>
  <c r="NF190" i="5"/>
  <c r="RV190" i="5"/>
  <c r="BT180" i="5"/>
  <c r="BT163" i="5"/>
  <c r="BT151" i="5"/>
  <c r="BT118" i="5"/>
  <c r="BT98" i="5"/>
  <c r="BT68" i="5"/>
  <c r="BT179" i="5"/>
  <c r="BT140" i="5"/>
  <c r="BT97" i="5"/>
  <c r="BT89" i="5"/>
  <c r="CN59" i="5"/>
  <c r="DC59" i="5" s="1"/>
  <c r="HL59" i="5" s="1"/>
  <c r="CN50" i="5"/>
  <c r="DC50" i="5" s="1"/>
  <c r="HL50" i="5" s="1"/>
  <c r="CN41" i="5"/>
  <c r="BT24" i="5"/>
  <c r="CN24" i="5"/>
  <c r="BT5" i="5"/>
  <c r="BT184" i="5"/>
  <c r="BT127" i="5"/>
  <c r="BT66" i="5"/>
  <c r="BT49" i="5"/>
  <c r="CN49" i="5"/>
  <c r="BT40" i="5"/>
  <c r="BT32" i="5"/>
  <c r="BT183" i="5"/>
  <c r="BT171" i="5"/>
  <c r="BT148" i="5"/>
  <c r="BT138" i="5"/>
  <c r="BT132" i="5"/>
  <c r="BT87" i="5"/>
  <c r="BT56" i="5"/>
  <c r="CN56" i="5"/>
  <c r="BT48" i="5"/>
  <c r="CN48" i="5"/>
  <c r="CN38" i="5"/>
  <c r="DC38" i="5" s="1"/>
  <c r="HL38" i="5" s="1"/>
  <c r="BT10" i="5"/>
  <c r="CN10" i="5"/>
  <c r="BT188" i="5"/>
  <c r="BT182" i="5"/>
  <c r="BT147" i="5"/>
  <c r="CN137" i="5"/>
  <c r="DC137" i="5" s="1"/>
  <c r="HL137" i="5" s="1"/>
  <c r="BT120" i="5"/>
  <c r="BT114" i="5"/>
  <c r="BT100" i="5"/>
  <c r="BT92" i="5"/>
  <c r="BT77" i="5"/>
  <c r="BT64" i="5"/>
  <c r="BT55" i="5"/>
  <c r="CN37" i="5"/>
  <c r="BT18" i="5"/>
  <c r="BT181" i="5"/>
  <c r="BT136" i="5"/>
  <c r="BT125" i="5"/>
  <c r="BT113" i="5"/>
  <c r="BT76" i="5"/>
  <c r="BT46" i="5"/>
  <c r="CN8" i="5"/>
  <c r="RV184" i="5"/>
  <c r="RV178" i="5"/>
  <c r="RV72" i="5"/>
  <c r="RV65" i="5"/>
  <c r="NF179" i="5"/>
  <c r="NF162" i="5"/>
  <c r="NF150" i="5"/>
  <c r="NF140" i="5"/>
  <c r="NF134" i="5"/>
  <c r="NF128" i="5"/>
  <c r="RV188" i="5"/>
  <c r="RV182" i="5"/>
  <c r="RV176" i="5"/>
  <c r="RV159" i="5"/>
  <c r="RV153" i="5"/>
  <c r="RV147" i="5"/>
  <c r="RV137" i="5"/>
  <c r="RV120" i="5"/>
  <c r="RV114" i="5"/>
  <c r="RV100" i="5"/>
  <c r="RV92" i="5"/>
  <c r="RV85" i="5"/>
  <c r="RV77" i="5"/>
  <c r="RV70" i="5"/>
  <c r="RV64" i="5"/>
  <c r="RV55" i="5"/>
  <c r="RV47" i="5"/>
  <c r="RV37" i="5"/>
  <c r="RV28" i="5"/>
  <c r="RV18" i="5"/>
  <c r="RV187" i="5"/>
  <c r="RV181" i="5"/>
  <c r="RV175" i="5"/>
  <c r="RV158" i="5"/>
  <c r="RV152" i="5"/>
  <c r="RV142" i="5"/>
  <c r="RV136" i="5"/>
  <c r="RV125" i="5"/>
  <c r="RV119" i="5"/>
  <c r="RV113" i="5"/>
  <c r="RV83" i="5"/>
  <c r="RV76" i="5"/>
  <c r="RV69" i="5"/>
  <c r="RV63" i="5"/>
  <c r="RV53" i="5"/>
  <c r="RV36" i="5"/>
  <c r="RV27" i="5"/>
  <c r="RV186" i="5"/>
  <c r="RV180" i="5"/>
  <c r="RV174" i="5"/>
  <c r="RV163" i="5"/>
  <c r="RV157" i="5"/>
  <c r="HR157" i="5" s="1"/>
  <c r="RV151" i="5"/>
  <c r="RV145" i="5"/>
  <c r="RV141" i="5"/>
  <c r="RV135" i="5"/>
  <c r="RV118" i="5"/>
  <c r="RV112" i="5"/>
  <c r="HR112" i="5" s="1"/>
  <c r="RV105" i="5"/>
  <c r="RV98" i="5"/>
  <c r="RV82" i="5"/>
  <c r="RV74" i="5"/>
  <c r="RV68" i="5"/>
  <c r="RV61" i="5"/>
  <c r="RV51" i="5"/>
  <c r="RV43" i="5"/>
  <c r="RV26" i="5"/>
  <c r="RV13" i="5"/>
  <c r="RV7" i="5"/>
  <c r="RV106" i="5"/>
  <c r="RV46" i="5"/>
  <c r="RV179" i="5"/>
  <c r="RV162" i="5"/>
  <c r="RV150" i="5"/>
  <c r="RV140" i="5"/>
  <c r="RV134" i="5"/>
  <c r="RV128" i="5"/>
  <c r="RV123" i="5"/>
  <c r="RV117" i="5"/>
  <c r="RV111" i="5"/>
  <c r="RV103" i="5"/>
  <c r="RV97" i="5"/>
  <c r="RV73" i="5"/>
  <c r="RV67" i="5"/>
  <c r="RV59" i="5"/>
  <c r="RV50" i="5"/>
  <c r="RV41" i="5"/>
  <c r="RV33" i="5"/>
  <c r="RV24" i="5"/>
  <c r="RV5" i="5"/>
  <c r="RV35" i="5"/>
  <c r="RV122" i="5"/>
  <c r="RV116" i="5"/>
  <c r="RV110" i="5"/>
  <c r="RV102" i="5"/>
  <c r="RV79" i="5"/>
  <c r="RV66" i="5"/>
  <c r="RV58" i="5"/>
  <c r="RV49" i="5"/>
  <c r="RV40" i="5"/>
  <c r="RV32" i="5"/>
  <c r="RV4" i="5"/>
  <c r="RV167" i="5"/>
  <c r="RV89" i="5"/>
  <c r="RV21" i="5"/>
  <c r="RV189" i="5"/>
  <c r="RV183" i="5"/>
  <c r="RV171" i="5"/>
  <c r="RV166" i="5"/>
  <c r="RV160" i="5"/>
  <c r="RV154" i="5"/>
  <c r="RV148" i="5"/>
  <c r="RV138" i="5"/>
  <c r="RV132" i="5"/>
  <c r="RV126" i="5"/>
  <c r="RV115" i="5"/>
  <c r="RV109" i="5"/>
  <c r="RV87" i="5"/>
  <c r="RV78" i="5"/>
  <c r="RV71" i="5"/>
  <c r="RV56" i="5"/>
  <c r="RV48" i="5"/>
  <c r="RV38" i="5"/>
  <c r="RV29" i="5"/>
  <c r="RV19" i="5"/>
  <c r="RV10" i="5"/>
  <c r="RV161" i="5"/>
  <c r="RV127" i="5"/>
  <c r="RV81" i="5"/>
  <c r="RV11" i="5"/>
  <c r="RV8" i="5"/>
  <c r="JO3" i="5"/>
  <c r="RW3" i="5"/>
  <c r="IG3" i="5" s="1"/>
  <c r="FO141" i="5" l="1"/>
  <c r="CN18" i="5"/>
  <c r="CN97" i="5"/>
  <c r="DC97" i="5" s="1"/>
  <c r="HL97" i="5" s="1"/>
  <c r="CN66" i="5"/>
  <c r="DC66" i="5" s="1"/>
  <c r="HL66" i="5" s="1"/>
  <c r="CN5" i="5"/>
  <c r="CN63" i="5"/>
  <c r="DC63" i="5" s="1"/>
  <c r="HL63" i="5" s="1"/>
  <c r="CN72" i="5"/>
  <c r="CN43" i="5"/>
  <c r="CN175" i="5"/>
  <c r="DC175" i="5" s="1"/>
  <c r="HL175" i="5" s="1"/>
  <c r="CN79" i="5"/>
  <c r="DC79" i="5" s="1"/>
  <c r="HL79" i="5" s="1"/>
  <c r="HM246" i="5"/>
  <c r="CN40" i="5"/>
  <c r="EZ247" i="5"/>
  <c r="GA247" i="5"/>
  <c r="EZ245" i="5"/>
  <c r="GA245" i="5"/>
  <c r="EZ243" i="5"/>
  <c r="GA243" i="5"/>
  <c r="EZ239" i="5"/>
  <c r="CN70" i="5"/>
  <c r="DC70" i="5" s="1"/>
  <c r="HL70" i="5" s="1"/>
  <c r="FO201" i="5"/>
  <c r="EZ201" i="5"/>
  <c r="FL201" i="5"/>
  <c r="CN35" i="5"/>
  <c r="CN11" i="5"/>
  <c r="CZ11" i="5" s="1"/>
  <c r="DX244" i="5"/>
  <c r="CN85" i="5"/>
  <c r="CW85" i="5" s="1"/>
  <c r="CN69" i="5"/>
  <c r="DC69" i="5" s="1"/>
  <c r="HL69" i="5" s="1"/>
  <c r="CN28" i="5"/>
  <c r="CN53" i="5"/>
  <c r="CN21" i="5"/>
  <c r="CW21" i="5" s="1"/>
  <c r="CN61" i="5"/>
  <c r="CW61" i="5" s="1"/>
  <c r="FI176" i="5"/>
  <c r="EY247" i="5"/>
  <c r="IH247" i="5"/>
  <c r="II247" i="5" s="1"/>
  <c r="EO247" i="5"/>
  <c r="EQ247" i="5" s="1"/>
  <c r="FI246" i="5"/>
  <c r="FG246" i="5" s="1"/>
  <c r="IH248" i="5"/>
  <c r="II248" i="5" s="1"/>
  <c r="FI247" i="5"/>
  <c r="FG247" i="5" s="1"/>
  <c r="HZ247" i="5"/>
  <c r="FX247" i="5"/>
  <c r="EO248" i="5"/>
  <c r="EQ248" i="5" s="1"/>
  <c r="FC247" i="5"/>
  <c r="FX246" i="5"/>
  <c r="EY246" i="5"/>
  <c r="EO246" i="5"/>
  <c r="EQ246" i="5" s="1"/>
  <c r="FI248" i="5"/>
  <c r="FG248" i="5" s="1"/>
  <c r="IH246" i="5"/>
  <c r="II246" i="5" s="1"/>
  <c r="GP247" i="5"/>
  <c r="GP248" i="5"/>
  <c r="FC246" i="5"/>
  <c r="IE248" i="5"/>
  <c r="ET248" i="5"/>
  <c r="DU248" i="5"/>
  <c r="FL248" i="5"/>
  <c r="GD248" i="5"/>
  <c r="HZ248" i="5"/>
  <c r="FX248" i="5"/>
  <c r="GA248" i="5"/>
  <c r="EY248" i="5"/>
  <c r="FO248" i="5"/>
  <c r="FC248" i="5"/>
  <c r="FR248" i="5"/>
  <c r="GG248" i="5"/>
  <c r="HM248" i="5"/>
  <c r="IE247" i="5"/>
  <c r="ET247" i="5"/>
  <c r="GG247" i="5"/>
  <c r="FO247" i="5"/>
  <c r="GD247" i="5"/>
  <c r="DU247" i="5"/>
  <c r="FL247" i="5"/>
  <c r="FR247" i="5"/>
  <c r="HM247" i="5"/>
  <c r="GA246" i="5"/>
  <c r="IE246" i="5"/>
  <c r="FL246" i="5"/>
  <c r="ET246" i="5"/>
  <c r="FR246" i="5"/>
  <c r="GG246" i="5"/>
  <c r="DU246" i="5"/>
  <c r="HZ246" i="5"/>
  <c r="GP246" i="5"/>
  <c r="GD246" i="5"/>
  <c r="FO246" i="5"/>
  <c r="IE244" i="5"/>
  <c r="HM245" i="5"/>
  <c r="IH245" i="5"/>
  <c r="II245" i="5" s="1"/>
  <c r="CN161" i="5"/>
  <c r="DC161" i="5" s="1"/>
  <c r="HL161" i="5" s="1"/>
  <c r="CN136" i="5"/>
  <c r="DC136" i="5" s="1"/>
  <c r="HL136" i="5" s="1"/>
  <c r="FX244" i="5"/>
  <c r="EY244" i="5"/>
  <c r="IH244" i="5"/>
  <c r="II244" i="5" s="1"/>
  <c r="EY245" i="5"/>
  <c r="GP244" i="5"/>
  <c r="FC245" i="5"/>
  <c r="IE245" i="5"/>
  <c r="FO245" i="5"/>
  <c r="FL245" i="5"/>
  <c r="DU245" i="5"/>
  <c r="FX245" i="5"/>
  <c r="GP245" i="5"/>
  <c r="HZ245" i="5"/>
  <c r="FI245" i="5"/>
  <c r="FG245" i="5" s="1"/>
  <c r="ET245" i="5"/>
  <c r="EO245" i="5"/>
  <c r="EQ245" i="5" s="1"/>
  <c r="GG245" i="5"/>
  <c r="FR245" i="5"/>
  <c r="GD245" i="5"/>
  <c r="FL244" i="5"/>
  <c r="DU244" i="5"/>
  <c r="ET244" i="5"/>
  <c r="HZ244" i="5"/>
  <c r="FR244" i="5"/>
  <c r="FC244" i="5"/>
  <c r="FI244" i="5"/>
  <c r="FG244" i="5" s="1"/>
  <c r="GA244" i="5"/>
  <c r="EO244" i="5"/>
  <c r="EQ244" i="5" s="1"/>
  <c r="GG244" i="5"/>
  <c r="GD244" i="5"/>
  <c r="FO244" i="5"/>
  <c r="IE243" i="5"/>
  <c r="GD141" i="5"/>
  <c r="GG141" i="5"/>
  <c r="CN167" i="5"/>
  <c r="DC167" i="5" s="1"/>
  <c r="HL167" i="5" s="1"/>
  <c r="HM241" i="5"/>
  <c r="DU243" i="5"/>
  <c r="FC243" i="5"/>
  <c r="GP243" i="5"/>
  <c r="FL243" i="5"/>
  <c r="FX243" i="5"/>
  <c r="FI243" i="5"/>
  <c r="FG243" i="5" s="1"/>
  <c r="EY243" i="5"/>
  <c r="IH243" i="5"/>
  <c r="II243" i="5" s="1"/>
  <c r="GG243" i="5"/>
  <c r="EO243" i="5"/>
  <c r="EQ243" i="5" s="1"/>
  <c r="FR243" i="5"/>
  <c r="HZ243" i="5"/>
  <c r="FO243" i="5"/>
  <c r="ET243" i="5"/>
  <c r="GD243" i="5"/>
  <c r="HM243" i="5"/>
  <c r="IH241" i="5"/>
  <c r="II241" i="5" s="1"/>
  <c r="HM242" i="5"/>
  <c r="IE241" i="5"/>
  <c r="CN122" i="5"/>
  <c r="DC122" i="5" s="1"/>
  <c r="HL122" i="5" s="1"/>
  <c r="CN100" i="5"/>
  <c r="DC100" i="5" s="1"/>
  <c r="HL100" i="5" s="1"/>
  <c r="CN109" i="5"/>
  <c r="CZ109" i="5" s="1"/>
  <c r="CN178" i="5"/>
  <c r="DC178" i="5" s="1"/>
  <c r="HL178" i="5" s="1"/>
  <c r="FI241" i="5"/>
  <c r="FG241" i="5" s="1"/>
  <c r="EO241" i="5"/>
  <c r="EQ241" i="5" s="1"/>
  <c r="HZ241" i="5"/>
  <c r="GA241" i="5"/>
  <c r="FL241" i="5"/>
  <c r="GG241" i="5"/>
  <c r="FO241" i="5"/>
  <c r="ET241" i="5"/>
  <c r="GD241" i="5"/>
  <c r="FX241" i="5"/>
  <c r="FR241" i="5"/>
  <c r="EY241" i="5"/>
  <c r="FC241" i="5"/>
  <c r="GP241" i="5"/>
  <c r="DU241" i="5"/>
  <c r="HM238" i="5"/>
  <c r="HM240" i="5"/>
  <c r="EY237" i="5"/>
  <c r="FX237" i="5"/>
  <c r="GP238" i="5"/>
  <c r="FI238" i="5"/>
  <c r="FG238" i="5" s="1"/>
  <c r="IH240" i="5"/>
  <c r="II240" i="5" s="1"/>
  <c r="GP237" i="5"/>
  <c r="EO238" i="5"/>
  <c r="EQ238" i="5" s="1"/>
  <c r="FC237" i="5"/>
  <c r="EY238" i="5"/>
  <c r="FX240" i="5"/>
  <c r="EY240" i="5"/>
  <c r="IH237" i="5"/>
  <c r="II237" i="5" s="1"/>
  <c r="IH238" i="5"/>
  <c r="II238" i="5" s="1"/>
  <c r="HZ240" i="5"/>
  <c r="IE240" i="5"/>
  <c r="GD240" i="5"/>
  <c r="GA240" i="5"/>
  <c r="FI240" i="5"/>
  <c r="FG240" i="5" s="1"/>
  <c r="DU240" i="5"/>
  <c r="FL240" i="5"/>
  <c r="FC240" i="5"/>
  <c r="GP240" i="5"/>
  <c r="FO240" i="5"/>
  <c r="EO240" i="5"/>
  <c r="EQ240" i="5" s="1"/>
  <c r="ET240" i="5"/>
  <c r="GG240" i="5"/>
  <c r="FR240" i="5"/>
  <c r="BT239" i="5"/>
  <c r="IH239" i="5" s="1"/>
  <c r="II239" i="5" s="1"/>
  <c r="DX237" i="5"/>
  <c r="IE238" i="5"/>
  <c r="DU238" i="5"/>
  <c r="FL238" i="5"/>
  <c r="FO238" i="5"/>
  <c r="GA238" i="5"/>
  <c r="ET238" i="5"/>
  <c r="FC238" i="5"/>
  <c r="FX238" i="5"/>
  <c r="GG238" i="5"/>
  <c r="HZ238" i="5"/>
  <c r="GD238" i="5"/>
  <c r="FR238" i="5"/>
  <c r="FR237" i="5"/>
  <c r="GD237" i="5"/>
  <c r="IE237" i="5"/>
  <c r="FL237" i="5"/>
  <c r="EO237" i="5"/>
  <c r="EQ237" i="5" s="1"/>
  <c r="DU237" i="5"/>
  <c r="GA237" i="5"/>
  <c r="FO237" i="5"/>
  <c r="HZ237" i="5"/>
  <c r="ET237" i="5"/>
  <c r="FI237" i="5"/>
  <c r="FG237" i="5" s="1"/>
  <c r="GG237" i="5"/>
  <c r="CN123" i="5"/>
  <c r="DC123" i="5" s="1"/>
  <c r="HL123" i="5" s="1"/>
  <c r="CN153" i="5"/>
  <c r="DC153" i="5" s="1"/>
  <c r="HL153" i="5" s="1"/>
  <c r="BT234" i="5"/>
  <c r="IH234" i="5" s="1"/>
  <c r="II234" i="5" s="1"/>
  <c r="FG123" i="5"/>
  <c r="DU123" i="5"/>
  <c r="ET123" i="5"/>
  <c r="FL123" i="5"/>
  <c r="GA123" i="5"/>
  <c r="JE72" i="5"/>
  <c r="JO73" i="5"/>
  <c r="JO166" i="5"/>
  <c r="JE166" i="5"/>
  <c r="CN158" i="5"/>
  <c r="DC158" i="5" s="1"/>
  <c r="HL158" i="5" s="1"/>
  <c r="CN113" i="5"/>
  <c r="DC113" i="5" s="1"/>
  <c r="HL113" i="5" s="1"/>
  <c r="CN46" i="5"/>
  <c r="CZ46" i="5" s="1"/>
  <c r="CN58" i="5"/>
  <c r="CZ58" i="5" s="1"/>
  <c r="CN83" i="5"/>
  <c r="DC83" i="5" s="1"/>
  <c r="HL83" i="5" s="1"/>
  <c r="CN77" i="5"/>
  <c r="CZ77" i="5" s="1"/>
  <c r="CN87" i="5"/>
  <c r="DC87" i="5" s="1"/>
  <c r="HL87" i="5" s="1"/>
  <c r="CN189" i="5"/>
  <c r="DC189" i="5" s="1"/>
  <c r="HL189" i="5" s="1"/>
  <c r="CN65" i="5"/>
  <c r="CZ65" i="5" s="1"/>
  <c r="JO141" i="5"/>
  <c r="JE141" i="5"/>
  <c r="JE186" i="5"/>
  <c r="JO186" i="5"/>
  <c r="IE160" i="5"/>
  <c r="BT160" i="5"/>
  <c r="IH160" i="5" s="1"/>
  <c r="II160" i="5" s="1"/>
  <c r="CN132" i="5"/>
  <c r="DC132" i="5" s="1"/>
  <c r="HL132" i="5" s="1"/>
  <c r="CN36" i="5"/>
  <c r="DC36" i="5" s="1"/>
  <c r="HL36" i="5" s="1"/>
  <c r="CN92" i="5"/>
  <c r="CZ92" i="5" s="1"/>
  <c r="CN55" i="5"/>
  <c r="DC55" i="5" s="1"/>
  <c r="HL55" i="5" s="1"/>
  <c r="CN127" i="5"/>
  <c r="CZ127" i="5" s="1"/>
  <c r="CN4" i="5"/>
  <c r="DC4" i="5" s="1"/>
  <c r="HL4" i="5" s="1"/>
  <c r="CN26" i="5"/>
  <c r="DC26" i="5" s="1"/>
  <c r="HL26" i="5" s="1"/>
  <c r="GP176" i="5"/>
  <c r="EO176" i="5"/>
  <c r="EQ176" i="5" s="1"/>
  <c r="FC176" i="5"/>
  <c r="EY176" i="5"/>
  <c r="FX176" i="5"/>
  <c r="CN154" i="5"/>
  <c r="DC154" i="5" s="1"/>
  <c r="HL154" i="5" s="1"/>
  <c r="CN29" i="5"/>
  <c r="DC29" i="5" s="1"/>
  <c r="HL29" i="5" s="1"/>
  <c r="CN71" i="5"/>
  <c r="CZ71" i="5" s="1"/>
  <c r="CN47" i="5"/>
  <c r="CZ47" i="5" s="1"/>
  <c r="CN67" i="5"/>
  <c r="DC67" i="5" s="1"/>
  <c r="HL67" i="5" s="1"/>
  <c r="CN27" i="5"/>
  <c r="DC27" i="5" s="1"/>
  <c r="HL27" i="5" s="1"/>
  <c r="CN187" i="5"/>
  <c r="DC187" i="5" s="1"/>
  <c r="HL187" i="5" s="1"/>
  <c r="CN106" i="5"/>
  <c r="DC106" i="5" s="1"/>
  <c r="HL106" i="5" s="1"/>
  <c r="CN19" i="5"/>
  <c r="CZ19" i="5" s="1"/>
  <c r="CN110" i="5"/>
  <c r="CZ110" i="5" s="1"/>
  <c r="IE236" i="5"/>
  <c r="HM236" i="5"/>
  <c r="GP236" i="5"/>
  <c r="GA236" i="5"/>
  <c r="FO236" i="5"/>
  <c r="DU236" i="5"/>
  <c r="FI236" i="5"/>
  <c r="FG236" i="5" s="1"/>
  <c r="ET236" i="5"/>
  <c r="FL236" i="5"/>
  <c r="EY236" i="5"/>
  <c r="EO236" i="5"/>
  <c r="EQ236" i="5" s="1"/>
  <c r="FC236" i="5"/>
  <c r="FX236" i="5"/>
  <c r="GG236" i="5"/>
  <c r="HZ236" i="5"/>
  <c r="GD236" i="5"/>
  <c r="IH236" i="5"/>
  <c r="II236" i="5" s="1"/>
  <c r="FR236" i="5"/>
  <c r="HM212" i="5"/>
  <c r="IH176" i="5"/>
  <c r="II176" i="5" s="1"/>
  <c r="GU176" i="5"/>
  <c r="GV176" i="5" s="1"/>
  <c r="FX212" i="5"/>
  <c r="FC212" i="5"/>
  <c r="GP212" i="5"/>
  <c r="GU212" i="5"/>
  <c r="GV212" i="5" s="1"/>
  <c r="HZ212" i="5"/>
  <c r="FI212" i="5"/>
  <c r="EO212" i="5"/>
  <c r="EQ212" i="5" s="1"/>
  <c r="EY212" i="5"/>
  <c r="IE192" i="5"/>
  <c r="BT192" i="5"/>
  <c r="IH192" i="5" s="1"/>
  <c r="II192" i="5" s="1"/>
  <c r="CN7" i="5"/>
  <c r="CZ7" i="5" s="1"/>
  <c r="CN179" i="5"/>
  <c r="DC179" i="5" s="1"/>
  <c r="HL179" i="5" s="1"/>
  <c r="CN160" i="5"/>
  <c r="DC160" i="5" s="1"/>
  <c r="HL160" i="5" s="1"/>
  <c r="IE235" i="5"/>
  <c r="CN98" i="5"/>
  <c r="CZ98" i="5" s="1"/>
  <c r="DX234" i="5"/>
  <c r="DX204" i="5"/>
  <c r="HM235" i="5"/>
  <c r="BT235" i="5"/>
  <c r="IH235" i="5" s="1"/>
  <c r="II235" i="5" s="1"/>
  <c r="CN112" i="5"/>
  <c r="DC112" i="5" s="1"/>
  <c r="HL112" i="5" s="1"/>
  <c r="CN134" i="5"/>
  <c r="DC134" i="5" s="1"/>
  <c r="HL134" i="5" s="1"/>
  <c r="CN174" i="5"/>
  <c r="DC174" i="5" s="1"/>
  <c r="HL174" i="5" s="1"/>
  <c r="CN140" i="5"/>
  <c r="DC140" i="5" s="1"/>
  <c r="HL140" i="5" s="1"/>
  <c r="CN157" i="5"/>
  <c r="CN73" i="5"/>
  <c r="CW73" i="5" s="1"/>
  <c r="DX229" i="5"/>
  <c r="HM231" i="5"/>
  <c r="BT230" i="5"/>
  <c r="IH230" i="5" s="1"/>
  <c r="II230" i="5" s="1"/>
  <c r="FI231" i="5"/>
  <c r="HZ231" i="5"/>
  <c r="FX231" i="5"/>
  <c r="GP231" i="5"/>
  <c r="EY231" i="5"/>
  <c r="EO231" i="5"/>
  <c r="EQ231" i="5" s="1"/>
  <c r="GU231" i="5"/>
  <c r="GV231" i="5" s="1"/>
  <c r="FC231" i="5"/>
  <c r="CN135" i="5"/>
  <c r="DC135" i="5" s="1"/>
  <c r="HL135" i="5" s="1"/>
  <c r="CN68" i="5"/>
  <c r="DC68" i="5" s="1"/>
  <c r="HL68" i="5" s="1"/>
  <c r="CN105" i="5"/>
  <c r="CZ105" i="5" s="1"/>
  <c r="CN51" i="5"/>
  <c r="DC51" i="5" s="1"/>
  <c r="HL51" i="5" s="1"/>
  <c r="DX228" i="5"/>
  <c r="HM230" i="5"/>
  <c r="HM227" i="5"/>
  <c r="IH229" i="5"/>
  <c r="II229" i="5" s="1"/>
  <c r="FI228" i="5"/>
  <c r="IH228" i="5"/>
  <c r="II228" i="5" s="1"/>
  <c r="FI223" i="5"/>
  <c r="FI229" i="5"/>
  <c r="HZ229" i="5"/>
  <c r="EO229" i="5"/>
  <c r="EQ229" i="5" s="1"/>
  <c r="GP229" i="5"/>
  <c r="EY229" i="5"/>
  <c r="FC229" i="5"/>
  <c r="FX229" i="5"/>
  <c r="FC228" i="5"/>
  <c r="GP228" i="5"/>
  <c r="EY228" i="5"/>
  <c r="FX228" i="5"/>
  <c r="EO228" i="5"/>
  <c r="EQ228" i="5" s="1"/>
  <c r="HZ228" i="5"/>
  <c r="IH223" i="5"/>
  <c r="II223" i="5" s="1"/>
  <c r="HZ224" i="5"/>
  <c r="HM225" i="5"/>
  <c r="HZ223" i="5"/>
  <c r="GP227" i="5"/>
  <c r="EO227" i="5"/>
  <c r="EQ227" i="5" s="1"/>
  <c r="FX227" i="5"/>
  <c r="EY227" i="5"/>
  <c r="FC227" i="5"/>
  <c r="HZ227" i="5"/>
  <c r="IH227" i="5"/>
  <c r="II227" i="5" s="1"/>
  <c r="GU227" i="5"/>
  <c r="GV227" i="5" s="1"/>
  <c r="DX226" i="5"/>
  <c r="BT226" i="5"/>
  <c r="GP223" i="5"/>
  <c r="EY223" i="5"/>
  <c r="FX223" i="5"/>
  <c r="EO223" i="5"/>
  <c r="EQ223" i="5" s="1"/>
  <c r="FC223" i="5"/>
  <c r="FC224" i="5"/>
  <c r="EO224" i="5"/>
  <c r="EQ224" i="5" s="1"/>
  <c r="EY224" i="5"/>
  <c r="IH224" i="5"/>
  <c r="II224" i="5" s="1"/>
  <c r="FX224" i="5"/>
  <c r="GP224" i="5"/>
  <c r="FI224" i="5"/>
  <c r="BT225" i="5"/>
  <c r="IH225" i="5" s="1"/>
  <c r="II225" i="5" s="1"/>
  <c r="HM224" i="5"/>
  <c r="BT222" i="5"/>
  <c r="IH222" i="5" s="1"/>
  <c r="II222" i="5" s="1"/>
  <c r="HM223" i="5"/>
  <c r="DX222" i="5"/>
  <c r="EO218" i="5"/>
  <c r="EQ218" i="5" s="1"/>
  <c r="IE221" i="5"/>
  <c r="HM221" i="5"/>
  <c r="IE220" i="5"/>
  <c r="BT221" i="5"/>
  <c r="IH221" i="5" s="1"/>
  <c r="II221" i="5" s="1"/>
  <c r="BT220" i="5"/>
  <c r="HM220" i="5"/>
  <c r="HM219" i="5"/>
  <c r="FC219" i="5"/>
  <c r="FX219" i="5"/>
  <c r="EY219" i="5"/>
  <c r="FI219" i="5"/>
  <c r="GP219" i="5"/>
  <c r="EO219" i="5"/>
  <c r="EQ219" i="5" s="1"/>
  <c r="IH219" i="5"/>
  <c r="II219" i="5" s="1"/>
  <c r="HZ219" i="5"/>
  <c r="IE218" i="5"/>
  <c r="IE217" i="5"/>
  <c r="IE216" i="5"/>
  <c r="GD218" i="5"/>
  <c r="GA218" i="5"/>
  <c r="ET218" i="5"/>
  <c r="FC218" i="5"/>
  <c r="EY218" i="5"/>
  <c r="FR218" i="5"/>
  <c r="FX218" i="5"/>
  <c r="FL218" i="5"/>
  <c r="FO218" i="5"/>
  <c r="GP218" i="5"/>
  <c r="FI218" i="5"/>
  <c r="FG218" i="5" s="1"/>
  <c r="HZ218" i="5"/>
  <c r="DU218" i="5"/>
  <c r="IH218" i="5"/>
  <c r="II218" i="5" s="1"/>
  <c r="GG218" i="5"/>
  <c r="HM217" i="5"/>
  <c r="DX218" i="5"/>
  <c r="HM216" i="5"/>
  <c r="BT217" i="5"/>
  <c r="IH217" i="5" s="1"/>
  <c r="II217" i="5" s="1"/>
  <c r="BT216" i="5"/>
  <c r="IH216" i="5" s="1"/>
  <c r="II216" i="5" s="1"/>
  <c r="HM215" i="5"/>
  <c r="BT215" i="5"/>
  <c r="IH215" i="5" s="1"/>
  <c r="II215" i="5" s="1"/>
  <c r="IE215" i="5" s="1"/>
  <c r="HM214" i="5"/>
  <c r="BT214" i="5"/>
  <c r="IH214" i="5" s="1"/>
  <c r="II214" i="5" s="1"/>
  <c r="IE214" i="5" s="1"/>
  <c r="CN186" i="5"/>
  <c r="DC186" i="5" s="1"/>
  <c r="HL186" i="5" s="1"/>
  <c r="HM208" i="5"/>
  <c r="CN142" i="5"/>
  <c r="DC142" i="5" s="1"/>
  <c r="HL142" i="5" s="1"/>
  <c r="CN171" i="5"/>
  <c r="DC171" i="5" s="1"/>
  <c r="HL171" i="5" s="1"/>
  <c r="CN147" i="5"/>
  <c r="DC147" i="5" s="1"/>
  <c r="HL147" i="5" s="1"/>
  <c r="FX208" i="5"/>
  <c r="GP208" i="5"/>
  <c r="HZ208" i="5"/>
  <c r="IH208" i="5"/>
  <c r="II208" i="5" s="1"/>
  <c r="FI208" i="5"/>
  <c r="EO208" i="5"/>
  <c r="EQ208" i="5" s="1"/>
  <c r="FC208" i="5"/>
  <c r="EY208" i="5"/>
  <c r="CN166" i="5"/>
  <c r="CZ166" i="5" s="1"/>
  <c r="CN183" i="5"/>
  <c r="DC183" i="5" s="1"/>
  <c r="HL183" i="5" s="1"/>
  <c r="CN111" i="5"/>
  <c r="CW111" i="5" s="1"/>
  <c r="HM206" i="5"/>
  <c r="BT206" i="5"/>
  <c r="FL200" i="5"/>
  <c r="GP200" i="5"/>
  <c r="DU200" i="5"/>
  <c r="GA200" i="5"/>
  <c r="FI200" i="5"/>
  <c r="FG200" i="5" s="1"/>
  <c r="HJ200" i="5" s="1"/>
  <c r="ET200" i="5"/>
  <c r="EO200" i="5"/>
  <c r="EQ200" i="5" s="1"/>
  <c r="FX200" i="5"/>
  <c r="HZ200" i="5"/>
  <c r="FC200" i="5"/>
  <c r="EY200" i="5"/>
  <c r="IH200" i="5"/>
  <c r="II200" i="5" s="1"/>
  <c r="IE200" i="5" s="1"/>
  <c r="CN114" i="5"/>
  <c r="DC114" i="5" s="1"/>
  <c r="HL114" i="5" s="1"/>
  <c r="CN150" i="5"/>
  <c r="CN13" i="5"/>
  <c r="CZ13" i="5" s="1"/>
  <c r="CN64" i="5"/>
  <c r="DC64" i="5" s="1"/>
  <c r="HL64" i="5" s="1"/>
  <c r="CN138" i="5"/>
  <c r="CN76" i="5"/>
  <c r="CZ76" i="5" s="1"/>
  <c r="CN115" i="5"/>
  <c r="CN32" i="5"/>
  <c r="DC32" i="5" s="1"/>
  <c r="HL32" i="5" s="1"/>
  <c r="CN102" i="5"/>
  <c r="DC102" i="5" s="1"/>
  <c r="HL102" i="5" s="1"/>
  <c r="CN33" i="5"/>
  <c r="CZ33" i="5" s="1"/>
  <c r="CN74" i="5"/>
  <c r="CZ74" i="5" s="1"/>
  <c r="CN181" i="5"/>
  <c r="DC181" i="5" s="1"/>
  <c r="HL181" i="5" s="1"/>
  <c r="FC204" i="5"/>
  <c r="HZ204" i="5"/>
  <c r="GU204" i="5"/>
  <c r="GV204" i="5" s="1"/>
  <c r="EY204" i="5"/>
  <c r="EO204" i="5"/>
  <c r="EQ204" i="5" s="1"/>
  <c r="GP204" i="5"/>
  <c r="FI204" i="5"/>
  <c r="FX204" i="5"/>
  <c r="CN125" i="5"/>
  <c r="DC125" i="5" s="1"/>
  <c r="HL125" i="5" s="1"/>
  <c r="CN128" i="5"/>
  <c r="DC128" i="5" s="1"/>
  <c r="HL128" i="5" s="1"/>
  <c r="CN162" i="5"/>
  <c r="DC162" i="5" s="1"/>
  <c r="HL162" i="5" s="1"/>
  <c r="CN151" i="5"/>
  <c r="DC151" i="5" s="1"/>
  <c r="HL151" i="5" s="1"/>
  <c r="CN148" i="5"/>
  <c r="CN118" i="5"/>
  <c r="CW118" i="5" s="1"/>
  <c r="CN116" i="5"/>
  <c r="DC116" i="5" s="1"/>
  <c r="HL116" i="5" s="1"/>
  <c r="CN176" i="5"/>
  <c r="DC176" i="5" s="1"/>
  <c r="HL176" i="5" s="1"/>
  <c r="CN182" i="5"/>
  <c r="DC182" i="5" s="1"/>
  <c r="HL182" i="5" s="1"/>
  <c r="FC202" i="5"/>
  <c r="GP202" i="5"/>
  <c r="HM202" i="5"/>
  <c r="FI202" i="5"/>
  <c r="FG202" i="5" s="1"/>
  <c r="IE202" i="5"/>
  <c r="GA202" i="5"/>
  <c r="EO202" i="5"/>
  <c r="EQ202" i="5" s="1"/>
  <c r="DU202" i="5"/>
  <c r="ET202" i="5"/>
  <c r="FX202" i="5"/>
  <c r="GG202" i="5"/>
  <c r="HZ202" i="5"/>
  <c r="EY202" i="5"/>
  <c r="FL202" i="5"/>
  <c r="IH202" i="5"/>
  <c r="II202" i="5" s="1"/>
  <c r="FR202" i="5"/>
  <c r="FO202" i="5"/>
  <c r="GD202" i="5"/>
  <c r="FI201" i="5"/>
  <c r="FG201" i="5" s="1"/>
  <c r="HJ201" i="5" s="1"/>
  <c r="FX201" i="5"/>
  <c r="GV201" i="5"/>
  <c r="HZ201" i="5"/>
  <c r="IE201" i="5"/>
  <c r="EO201" i="5"/>
  <c r="EQ201" i="5" s="1"/>
  <c r="FR201" i="5"/>
  <c r="DU201" i="5"/>
  <c r="EY201" i="5"/>
  <c r="GD201" i="5"/>
  <c r="GA201" i="5"/>
  <c r="ET201" i="5"/>
  <c r="GP201" i="5"/>
  <c r="GG201" i="5"/>
  <c r="GG200" i="5"/>
  <c r="GD200" i="5"/>
  <c r="FO200" i="5"/>
  <c r="FR200" i="5"/>
  <c r="CN120" i="5"/>
  <c r="DC120" i="5" s="1"/>
  <c r="HL120" i="5" s="1"/>
  <c r="CN119" i="5"/>
  <c r="CW119" i="5" s="1"/>
  <c r="CN152" i="5"/>
  <c r="DC152" i="5" s="1"/>
  <c r="HL152" i="5" s="1"/>
  <c r="CN89" i="5"/>
  <c r="DC89" i="5" s="1"/>
  <c r="HL89" i="5" s="1"/>
  <c r="CN145" i="5"/>
  <c r="DC145" i="5" s="1"/>
  <c r="HL145" i="5" s="1"/>
  <c r="CN163" i="5"/>
  <c r="DC163" i="5" s="1"/>
  <c r="HL163" i="5" s="1"/>
  <c r="CN103" i="5"/>
  <c r="DC103" i="5" s="1"/>
  <c r="HL103" i="5" s="1"/>
  <c r="CN82" i="5"/>
  <c r="DC82" i="5" s="1"/>
  <c r="HL82" i="5" s="1"/>
  <c r="CN81" i="5"/>
  <c r="DC81" i="5" s="1"/>
  <c r="HL81" i="5" s="1"/>
  <c r="CN188" i="5"/>
  <c r="DC188" i="5" s="1"/>
  <c r="HL188" i="5" s="1"/>
  <c r="CN184" i="5"/>
  <c r="DC184" i="5" s="1"/>
  <c r="HL184" i="5" s="1"/>
  <c r="CN117" i="5"/>
  <c r="CZ117" i="5" s="1"/>
  <c r="CN78" i="5"/>
  <c r="DC78" i="5" s="1"/>
  <c r="HL78" i="5" s="1"/>
  <c r="FI198" i="5"/>
  <c r="FG198" i="5" s="1"/>
  <c r="FX197" i="5"/>
  <c r="GP199" i="5"/>
  <c r="IH199" i="5"/>
  <c r="II199" i="5" s="1"/>
  <c r="IE199" i="5" s="1"/>
  <c r="DU199" i="5"/>
  <c r="GA199" i="5"/>
  <c r="ET199" i="5"/>
  <c r="EY199" i="5"/>
  <c r="EO199" i="5"/>
  <c r="EQ199" i="5" s="1"/>
  <c r="FX199" i="5"/>
  <c r="FR199" i="5"/>
  <c r="FI199" i="5"/>
  <c r="FG199" i="5" s="1"/>
  <c r="HJ199" i="5" s="1"/>
  <c r="HZ199" i="5"/>
  <c r="GG199" i="5"/>
  <c r="FL199" i="5"/>
  <c r="FC199" i="5"/>
  <c r="FO199" i="5"/>
  <c r="GD199" i="5"/>
  <c r="EZ198" i="5"/>
  <c r="DU198" i="5"/>
  <c r="GA198" i="5"/>
  <c r="FX198" i="5"/>
  <c r="FC198" i="5"/>
  <c r="FO198" i="5"/>
  <c r="ET198" i="5"/>
  <c r="HZ198" i="5"/>
  <c r="GP198" i="5"/>
  <c r="FR198" i="5"/>
  <c r="EY198" i="5"/>
  <c r="FL198" i="5"/>
  <c r="EO198" i="5"/>
  <c r="EQ198" i="5" s="1"/>
  <c r="GD198" i="5"/>
  <c r="IH198" i="5"/>
  <c r="II198" i="5" s="1"/>
  <c r="GG198" i="5"/>
  <c r="IE197" i="5"/>
  <c r="EO196" i="5"/>
  <c r="EQ196" i="5" s="1"/>
  <c r="DU197" i="5"/>
  <c r="EO197" i="5"/>
  <c r="EQ197" i="5" s="1"/>
  <c r="FR197" i="5"/>
  <c r="EY197" i="5"/>
  <c r="GD197" i="5"/>
  <c r="GP197" i="5"/>
  <c r="FI197" i="5"/>
  <c r="FG197" i="5" s="1"/>
  <c r="HJ197" i="5" s="1"/>
  <c r="GA197" i="5"/>
  <c r="FL197" i="5"/>
  <c r="HZ197" i="5"/>
  <c r="FC197" i="5"/>
  <c r="ET197" i="5"/>
  <c r="IH197" i="5"/>
  <c r="II197" i="5" s="1"/>
  <c r="FO197" i="5"/>
  <c r="GG197" i="5"/>
  <c r="FC196" i="5"/>
  <c r="IE196" i="5"/>
  <c r="GP196" i="5"/>
  <c r="FL196" i="5"/>
  <c r="FX196" i="5"/>
  <c r="GD196" i="5"/>
  <c r="GA196" i="5"/>
  <c r="DU196" i="5"/>
  <c r="HZ196" i="5"/>
  <c r="FI196" i="5"/>
  <c r="FG196" i="5" s="1"/>
  <c r="HJ196" i="5" s="1"/>
  <c r="EY196" i="5"/>
  <c r="ET196" i="5"/>
  <c r="IH196" i="5"/>
  <c r="II196" i="5" s="1"/>
  <c r="FO196" i="5"/>
  <c r="FR196" i="5"/>
  <c r="GG196" i="5"/>
  <c r="CN180" i="5"/>
  <c r="DC180" i="5" s="1"/>
  <c r="HL180" i="5" s="1"/>
  <c r="CN126" i="5"/>
  <c r="CN141" i="5"/>
  <c r="CW141" i="5" s="1"/>
  <c r="CN159" i="5"/>
  <c r="DC159" i="5" s="1"/>
  <c r="HL159" i="5" s="1"/>
  <c r="EO195" i="5"/>
  <c r="EQ195" i="5" s="1"/>
  <c r="IE195" i="5"/>
  <c r="GA195" i="5"/>
  <c r="FI195" i="5"/>
  <c r="FG195" i="5" s="1"/>
  <c r="HJ195" i="5" s="1"/>
  <c r="ET195" i="5"/>
  <c r="FX195" i="5"/>
  <c r="FO195" i="5"/>
  <c r="FC195" i="5"/>
  <c r="DU195" i="5"/>
  <c r="GP195" i="5"/>
  <c r="HZ195" i="5"/>
  <c r="EY195" i="5"/>
  <c r="FL195" i="5"/>
  <c r="IH195" i="5"/>
  <c r="II195" i="5" s="1"/>
  <c r="GD195" i="5"/>
  <c r="FR195" i="5"/>
  <c r="GG195" i="5"/>
  <c r="IE167" i="5"/>
  <c r="IE161" i="5"/>
  <c r="IE182" i="5"/>
  <c r="DW194" i="5"/>
  <c r="CN194" i="5"/>
  <c r="CW194" i="5" s="1"/>
  <c r="DW199" i="5"/>
  <c r="CN199" i="5"/>
  <c r="DC199" i="5" s="1"/>
  <c r="HL199" i="5" s="1"/>
  <c r="DW200" i="5"/>
  <c r="CN200" i="5"/>
  <c r="DC200" i="5" s="1"/>
  <c r="HL200" i="5" s="1"/>
  <c r="BT194" i="5"/>
  <c r="GD194" i="5" s="1"/>
  <c r="DW196" i="5"/>
  <c r="CN196" i="5"/>
  <c r="DC196" i="5" s="1"/>
  <c r="HL196" i="5" s="1"/>
  <c r="DW201" i="5"/>
  <c r="CN201" i="5"/>
  <c r="DC201" i="5" s="1"/>
  <c r="HL201" i="5" s="1"/>
  <c r="DW198" i="5"/>
  <c r="CN198" i="5"/>
  <c r="DC198" i="5" s="1"/>
  <c r="HL198" i="5" s="1"/>
  <c r="DW197" i="5"/>
  <c r="CN197" i="5"/>
  <c r="DC197" i="5" s="1"/>
  <c r="HL197" i="5" s="1"/>
  <c r="IE187" i="5"/>
  <c r="CN195" i="5"/>
  <c r="DC195" i="5" s="1"/>
  <c r="HL195" i="5" s="1"/>
  <c r="DW195" i="5"/>
  <c r="HZ113" i="5"/>
  <c r="GP113" i="5"/>
  <c r="GU113" i="5"/>
  <c r="GV113" i="5" s="1"/>
  <c r="FX113" i="5"/>
  <c r="FC113" i="5"/>
  <c r="EY113" i="5"/>
  <c r="FI113" i="5"/>
  <c r="EO113" i="5"/>
  <c r="EQ113" i="5" s="1"/>
  <c r="IH113" i="5"/>
  <c r="II113" i="5" s="1"/>
  <c r="HZ182" i="5"/>
  <c r="GU182" i="5"/>
  <c r="GV182" i="5" s="1"/>
  <c r="GP182" i="5"/>
  <c r="FX182" i="5"/>
  <c r="FI182" i="5"/>
  <c r="FG182" i="5" s="1"/>
  <c r="FC182" i="5"/>
  <c r="EY182" i="5"/>
  <c r="EO182" i="5"/>
  <c r="EQ182" i="5" s="1"/>
  <c r="IH182" i="5"/>
  <c r="II182" i="5" s="1"/>
  <c r="HZ29" i="5"/>
  <c r="GU29" i="5"/>
  <c r="GV29" i="5" s="1"/>
  <c r="GP29" i="5"/>
  <c r="FX29" i="5"/>
  <c r="FI29" i="5"/>
  <c r="FC29" i="5"/>
  <c r="EO29" i="5"/>
  <c r="EQ29" i="5" s="1"/>
  <c r="EY29" i="5"/>
  <c r="IH29" i="5"/>
  <c r="II29" i="5" s="1"/>
  <c r="HZ65" i="5"/>
  <c r="GU65" i="5"/>
  <c r="GV65" i="5" s="1"/>
  <c r="GP65" i="5"/>
  <c r="FX65" i="5"/>
  <c r="FC65" i="5"/>
  <c r="FI65" i="5"/>
  <c r="EO65" i="5"/>
  <c r="EQ65" i="5" s="1"/>
  <c r="EY65" i="5"/>
  <c r="IH65" i="5"/>
  <c r="II65" i="5" s="1"/>
  <c r="HZ122" i="5"/>
  <c r="GU122" i="5"/>
  <c r="GV122" i="5" s="1"/>
  <c r="GP122" i="5"/>
  <c r="FX122" i="5"/>
  <c r="FC122" i="5"/>
  <c r="FI122" i="5"/>
  <c r="FG122" i="5" s="1"/>
  <c r="EY122" i="5"/>
  <c r="EO122" i="5"/>
  <c r="EQ122" i="5" s="1"/>
  <c r="IH122" i="5"/>
  <c r="II122" i="5" s="1"/>
  <c r="HZ41" i="5"/>
  <c r="GP41" i="5"/>
  <c r="GU41" i="5"/>
  <c r="GV41" i="5" s="1"/>
  <c r="FX41" i="5"/>
  <c r="FI41" i="5"/>
  <c r="FC41" i="5"/>
  <c r="EY41" i="5"/>
  <c r="EO41" i="5"/>
  <c r="EQ41" i="5" s="1"/>
  <c r="IH41" i="5"/>
  <c r="II41" i="5" s="1"/>
  <c r="HZ73" i="5"/>
  <c r="GU73" i="5"/>
  <c r="GV73" i="5" s="1"/>
  <c r="GP73" i="5"/>
  <c r="FX73" i="5"/>
  <c r="FC73" i="5"/>
  <c r="FI73" i="5"/>
  <c r="FG73" i="5" s="1"/>
  <c r="EY73" i="5"/>
  <c r="EO73" i="5"/>
  <c r="EQ73" i="5" s="1"/>
  <c r="IH73" i="5"/>
  <c r="II73" i="5" s="1"/>
  <c r="IH103" i="5"/>
  <c r="II103" i="5" s="1"/>
  <c r="HZ103" i="5"/>
  <c r="GU103" i="5"/>
  <c r="GV103" i="5" s="1"/>
  <c r="GP103" i="5"/>
  <c r="FX103" i="5"/>
  <c r="FI103" i="5"/>
  <c r="EY103" i="5"/>
  <c r="FC103" i="5"/>
  <c r="EO103" i="5"/>
  <c r="EQ103" i="5" s="1"/>
  <c r="HZ7" i="5"/>
  <c r="GU7" i="5"/>
  <c r="GV7" i="5" s="1"/>
  <c r="GP7" i="5"/>
  <c r="FX7" i="5"/>
  <c r="FI7" i="5"/>
  <c r="EY7" i="5"/>
  <c r="FC7" i="5"/>
  <c r="EO7" i="5"/>
  <c r="EQ7" i="5" s="1"/>
  <c r="IH7" i="5"/>
  <c r="II7" i="5" s="1"/>
  <c r="IH43" i="5"/>
  <c r="II43" i="5" s="1"/>
  <c r="HZ43" i="5"/>
  <c r="GU43" i="5"/>
  <c r="GV43" i="5" s="1"/>
  <c r="GP43" i="5"/>
  <c r="GA43" i="5"/>
  <c r="FX43" i="5"/>
  <c r="FI43" i="5"/>
  <c r="FG43" i="5" s="1"/>
  <c r="EY43" i="5"/>
  <c r="FC43" i="5"/>
  <c r="EO43" i="5"/>
  <c r="EQ43" i="5" s="1"/>
  <c r="HZ74" i="5"/>
  <c r="GU74" i="5"/>
  <c r="GV74" i="5" s="1"/>
  <c r="GP74" i="5"/>
  <c r="GA74" i="5"/>
  <c r="FX74" i="5"/>
  <c r="FC74" i="5"/>
  <c r="FI74" i="5"/>
  <c r="EY74" i="5"/>
  <c r="EO74" i="5"/>
  <c r="EQ74" i="5" s="1"/>
  <c r="IH74" i="5"/>
  <c r="II74" i="5" s="1"/>
  <c r="HZ105" i="5"/>
  <c r="GU105" i="5"/>
  <c r="GV105" i="5" s="1"/>
  <c r="GP105" i="5"/>
  <c r="GA105" i="5"/>
  <c r="FX105" i="5"/>
  <c r="FC105" i="5"/>
  <c r="FI105" i="5"/>
  <c r="EY105" i="5"/>
  <c r="EO105" i="5"/>
  <c r="EQ105" i="5" s="1"/>
  <c r="IH105" i="5"/>
  <c r="II105" i="5" s="1"/>
  <c r="IH135" i="5"/>
  <c r="II135" i="5" s="1"/>
  <c r="HZ135" i="5"/>
  <c r="GU135" i="5"/>
  <c r="GV135" i="5" s="1"/>
  <c r="GP135" i="5"/>
  <c r="FX135" i="5"/>
  <c r="FI135" i="5"/>
  <c r="EY135" i="5"/>
  <c r="FC135" i="5"/>
  <c r="EO135" i="5"/>
  <c r="EQ135" i="5" s="1"/>
  <c r="HZ53" i="5"/>
  <c r="GU53" i="5"/>
  <c r="GV53" i="5" s="1"/>
  <c r="GP53" i="5"/>
  <c r="FX53" i="5"/>
  <c r="FI53" i="5"/>
  <c r="FC53" i="5"/>
  <c r="EY53" i="5"/>
  <c r="EO53" i="5"/>
  <c r="EQ53" i="5" s="1"/>
  <c r="IH53" i="5"/>
  <c r="II53" i="5" s="1"/>
  <c r="HZ28" i="5"/>
  <c r="GU28" i="5"/>
  <c r="GV28" i="5" s="1"/>
  <c r="GP28" i="5"/>
  <c r="FX28" i="5"/>
  <c r="EY28" i="5"/>
  <c r="FC28" i="5"/>
  <c r="FI28" i="5"/>
  <c r="EO28" i="5"/>
  <c r="EQ28" i="5" s="1"/>
  <c r="IH28" i="5"/>
  <c r="II28" i="5" s="1"/>
  <c r="IH64" i="5"/>
  <c r="II64" i="5" s="1"/>
  <c r="HZ64" i="5"/>
  <c r="GP64" i="5"/>
  <c r="GU64" i="5"/>
  <c r="GV64" i="5" s="1"/>
  <c r="FX64" i="5"/>
  <c r="FI64" i="5"/>
  <c r="EY64" i="5"/>
  <c r="FC64" i="5"/>
  <c r="EO64" i="5"/>
  <c r="EQ64" i="5" s="1"/>
  <c r="HZ92" i="5"/>
  <c r="GU92" i="5"/>
  <c r="GV92" i="5" s="1"/>
  <c r="GP92" i="5"/>
  <c r="FX92" i="5"/>
  <c r="FC92" i="5"/>
  <c r="EY92" i="5"/>
  <c r="FI92" i="5"/>
  <c r="EO92" i="5"/>
  <c r="EQ92" i="5" s="1"/>
  <c r="IH92" i="5"/>
  <c r="II92" i="5" s="1"/>
  <c r="IH120" i="5"/>
  <c r="II120" i="5" s="1"/>
  <c r="HZ120" i="5"/>
  <c r="GP120" i="5"/>
  <c r="GU120" i="5"/>
  <c r="GV120" i="5" s="1"/>
  <c r="FX120" i="5"/>
  <c r="GA120" i="5"/>
  <c r="FI120" i="5"/>
  <c r="EY120" i="5"/>
  <c r="FC120" i="5"/>
  <c r="EO120" i="5"/>
  <c r="EQ120" i="5" s="1"/>
  <c r="HZ153" i="5"/>
  <c r="GU153" i="5"/>
  <c r="GV153" i="5" s="1"/>
  <c r="GP153" i="5"/>
  <c r="FX153" i="5"/>
  <c r="GA153" i="5"/>
  <c r="FI153" i="5"/>
  <c r="FG153" i="5" s="1"/>
  <c r="FC153" i="5"/>
  <c r="EY153" i="5"/>
  <c r="EO153" i="5"/>
  <c r="EQ153" i="5" s="1"/>
  <c r="IH153" i="5"/>
  <c r="II153" i="5" s="1"/>
  <c r="IH171" i="5"/>
  <c r="II171" i="5" s="1"/>
  <c r="HZ171" i="5"/>
  <c r="GP171" i="5"/>
  <c r="GU171" i="5"/>
  <c r="GV171" i="5" s="1"/>
  <c r="FX171" i="5"/>
  <c r="EY171" i="5"/>
  <c r="FC171" i="5"/>
  <c r="FI171" i="5"/>
  <c r="EO171" i="5"/>
  <c r="EQ171" i="5" s="1"/>
  <c r="IH32" i="5"/>
  <c r="II32" i="5" s="1"/>
  <c r="HZ32" i="5"/>
  <c r="GU32" i="5"/>
  <c r="GV32" i="5" s="1"/>
  <c r="GP32" i="5"/>
  <c r="FX32" i="5"/>
  <c r="FI32" i="5"/>
  <c r="EY32" i="5"/>
  <c r="FC32" i="5"/>
  <c r="EO32" i="5"/>
  <c r="EQ32" i="5" s="1"/>
  <c r="HZ66" i="5"/>
  <c r="GU66" i="5"/>
  <c r="GV66" i="5" s="1"/>
  <c r="GP66" i="5"/>
  <c r="GA66" i="5"/>
  <c r="FX66" i="5"/>
  <c r="FI66" i="5"/>
  <c r="FC66" i="5"/>
  <c r="EY66" i="5"/>
  <c r="EO66" i="5"/>
  <c r="EQ66" i="5" s="1"/>
  <c r="IH66" i="5"/>
  <c r="II66" i="5" s="1"/>
  <c r="HZ178" i="5"/>
  <c r="GU178" i="5"/>
  <c r="GV178" i="5" s="1"/>
  <c r="GP178" i="5"/>
  <c r="FI178" i="5"/>
  <c r="FG178" i="5" s="1"/>
  <c r="FX178" i="5"/>
  <c r="FC178" i="5"/>
  <c r="EY178" i="5"/>
  <c r="EO178" i="5"/>
  <c r="EQ178" i="5" s="1"/>
  <c r="IH178" i="5"/>
  <c r="II178" i="5" s="1"/>
  <c r="IH134" i="5"/>
  <c r="II134" i="5" s="1"/>
  <c r="HZ134" i="5"/>
  <c r="GP134" i="5"/>
  <c r="GU134" i="5"/>
  <c r="GV134" i="5" s="1"/>
  <c r="FX134" i="5"/>
  <c r="EY134" i="5"/>
  <c r="FI134" i="5"/>
  <c r="FC134" i="5"/>
  <c r="EO134" i="5"/>
  <c r="EQ134" i="5" s="1"/>
  <c r="HZ163" i="5"/>
  <c r="GU163" i="5"/>
  <c r="GV163" i="5" s="1"/>
  <c r="GP163" i="5"/>
  <c r="FI163" i="5"/>
  <c r="FG163" i="5" s="1"/>
  <c r="FX163" i="5"/>
  <c r="FC163" i="5"/>
  <c r="EY163" i="5"/>
  <c r="EO163" i="5"/>
  <c r="EQ163" i="5" s="1"/>
  <c r="IH163" i="5"/>
  <c r="II163" i="5" s="1"/>
  <c r="IH186" i="5"/>
  <c r="II186" i="5" s="1"/>
  <c r="IE186" i="5" s="1"/>
  <c r="HZ186" i="5"/>
  <c r="GU186" i="5"/>
  <c r="GV186" i="5" s="1"/>
  <c r="GP186" i="5"/>
  <c r="FX186" i="5"/>
  <c r="FI186" i="5"/>
  <c r="FG186" i="5" s="1"/>
  <c r="EY186" i="5"/>
  <c r="FC186" i="5"/>
  <c r="EO186" i="5"/>
  <c r="EQ186" i="5" s="1"/>
  <c r="IH191" i="5"/>
  <c r="II191" i="5" s="1"/>
  <c r="HZ191" i="5"/>
  <c r="GU191" i="5"/>
  <c r="GV191" i="5" s="1"/>
  <c r="GP191" i="5"/>
  <c r="FX191" i="5"/>
  <c r="FI191" i="5"/>
  <c r="FG191" i="5" s="1"/>
  <c r="EY191" i="5"/>
  <c r="EO191" i="5"/>
  <c r="EQ191" i="5" s="1"/>
  <c r="FC191" i="5"/>
  <c r="IH27" i="5"/>
  <c r="II27" i="5" s="1"/>
  <c r="HZ27" i="5"/>
  <c r="GP27" i="5"/>
  <c r="GU27" i="5"/>
  <c r="GV27" i="5" s="1"/>
  <c r="GA27" i="5"/>
  <c r="FI27" i="5"/>
  <c r="FX27" i="5"/>
  <c r="EY27" i="5"/>
  <c r="FC27" i="5"/>
  <c r="EO27" i="5"/>
  <c r="EQ27" i="5" s="1"/>
  <c r="IH63" i="5"/>
  <c r="II63" i="5" s="1"/>
  <c r="HZ63" i="5"/>
  <c r="GU63" i="5"/>
  <c r="GV63" i="5" s="1"/>
  <c r="GP63" i="5"/>
  <c r="FI63" i="5"/>
  <c r="FX63" i="5"/>
  <c r="EY63" i="5"/>
  <c r="FC63" i="5"/>
  <c r="EO63" i="5"/>
  <c r="EQ63" i="5" s="1"/>
  <c r="IH119" i="5"/>
  <c r="II119" i="5" s="1"/>
  <c r="HZ119" i="5"/>
  <c r="GP119" i="5"/>
  <c r="GU119" i="5"/>
  <c r="GV119" i="5" s="1"/>
  <c r="FX119" i="5"/>
  <c r="GA119" i="5"/>
  <c r="FI119" i="5"/>
  <c r="FG119" i="5" s="1"/>
  <c r="EY119" i="5"/>
  <c r="FC119" i="5"/>
  <c r="EO119" i="5"/>
  <c r="EQ119" i="5" s="1"/>
  <c r="IH188" i="5"/>
  <c r="II188" i="5" s="1"/>
  <c r="HZ188" i="5"/>
  <c r="GU188" i="5"/>
  <c r="GV188" i="5" s="1"/>
  <c r="GP188" i="5"/>
  <c r="FX188" i="5"/>
  <c r="EY188" i="5"/>
  <c r="FI188" i="5"/>
  <c r="FC188" i="5"/>
  <c r="EO188" i="5"/>
  <c r="EQ188" i="5" s="1"/>
  <c r="HZ38" i="5"/>
  <c r="GU38" i="5"/>
  <c r="GV38" i="5" s="1"/>
  <c r="GA38" i="5"/>
  <c r="GP38" i="5"/>
  <c r="FX38" i="5"/>
  <c r="EY38" i="5"/>
  <c r="FC38" i="5"/>
  <c r="FI38" i="5"/>
  <c r="EO38" i="5"/>
  <c r="EQ38" i="5" s="1"/>
  <c r="IH38" i="5"/>
  <c r="II38" i="5" s="1"/>
  <c r="IH71" i="5"/>
  <c r="II71" i="5" s="1"/>
  <c r="HZ71" i="5"/>
  <c r="GP71" i="5"/>
  <c r="GU71" i="5"/>
  <c r="GV71" i="5" s="1"/>
  <c r="FX71" i="5"/>
  <c r="FI71" i="5"/>
  <c r="EY71" i="5"/>
  <c r="FC71" i="5"/>
  <c r="EO71" i="5"/>
  <c r="EQ71" i="5" s="1"/>
  <c r="IH126" i="5"/>
  <c r="II126" i="5" s="1"/>
  <c r="HZ126" i="5"/>
  <c r="GP126" i="5"/>
  <c r="GU126" i="5"/>
  <c r="GV126" i="5" s="1"/>
  <c r="FX126" i="5"/>
  <c r="FI126" i="5"/>
  <c r="EY126" i="5"/>
  <c r="FC126" i="5"/>
  <c r="EO126" i="5"/>
  <c r="EQ126" i="5" s="1"/>
  <c r="IH148" i="5"/>
  <c r="II148" i="5" s="1"/>
  <c r="HZ148" i="5"/>
  <c r="GU148" i="5"/>
  <c r="GV148" i="5" s="1"/>
  <c r="GP148" i="5"/>
  <c r="FX148" i="5"/>
  <c r="EY148" i="5"/>
  <c r="FC148" i="5"/>
  <c r="FI148" i="5"/>
  <c r="EO148" i="5"/>
  <c r="EQ148" i="5" s="1"/>
  <c r="HZ102" i="5"/>
  <c r="GU102" i="5"/>
  <c r="GV102" i="5" s="1"/>
  <c r="GP102" i="5"/>
  <c r="FX102" i="5"/>
  <c r="FI102" i="5"/>
  <c r="FG102" i="5" s="1"/>
  <c r="EY102" i="5"/>
  <c r="FC102" i="5"/>
  <c r="EO102" i="5"/>
  <c r="EQ102" i="5" s="1"/>
  <c r="IH102" i="5"/>
  <c r="II102" i="5" s="1"/>
  <c r="IH127" i="5"/>
  <c r="II127" i="5" s="1"/>
  <c r="HZ127" i="5"/>
  <c r="GU127" i="5"/>
  <c r="GV127" i="5" s="1"/>
  <c r="GP127" i="5"/>
  <c r="FX127" i="5"/>
  <c r="FI127" i="5"/>
  <c r="EY127" i="5"/>
  <c r="FC127" i="5"/>
  <c r="EO127" i="5"/>
  <c r="EQ127" i="5" s="1"/>
  <c r="HZ5" i="5"/>
  <c r="GU5" i="5"/>
  <c r="GV5" i="5" s="1"/>
  <c r="GP5" i="5"/>
  <c r="GD5" i="5"/>
  <c r="GA5" i="5"/>
  <c r="FX5" i="5"/>
  <c r="FI5" i="5"/>
  <c r="EY5" i="5"/>
  <c r="FC5" i="5"/>
  <c r="EO5" i="5"/>
  <c r="EQ5" i="5" s="1"/>
  <c r="IH5" i="5"/>
  <c r="II5" i="5" s="1"/>
  <c r="HZ50" i="5"/>
  <c r="GU50" i="5"/>
  <c r="GV50" i="5" s="1"/>
  <c r="GP50" i="5"/>
  <c r="FX50" i="5"/>
  <c r="FI50" i="5"/>
  <c r="EY50" i="5"/>
  <c r="FC50" i="5"/>
  <c r="EO50" i="5"/>
  <c r="EQ50" i="5" s="1"/>
  <c r="IH50" i="5"/>
  <c r="II50" i="5" s="1"/>
  <c r="HZ81" i="5"/>
  <c r="GU81" i="5"/>
  <c r="GV81" i="5" s="1"/>
  <c r="GP81" i="5"/>
  <c r="GA81" i="5"/>
  <c r="FX81" i="5"/>
  <c r="FC81" i="5"/>
  <c r="FI81" i="5"/>
  <c r="EY81" i="5"/>
  <c r="EO81" i="5"/>
  <c r="EQ81" i="5" s="1"/>
  <c r="IH81" i="5"/>
  <c r="II81" i="5" s="1"/>
  <c r="IH111" i="5"/>
  <c r="II111" i="5" s="1"/>
  <c r="HZ111" i="5"/>
  <c r="GP111" i="5"/>
  <c r="GU111" i="5"/>
  <c r="GV111" i="5" s="1"/>
  <c r="FX111" i="5"/>
  <c r="FI111" i="5"/>
  <c r="FG111" i="5" s="1"/>
  <c r="FC111" i="5"/>
  <c r="EO111" i="5"/>
  <c r="EQ111" i="5" s="1"/>
  <c r="EY111" i="5"/>
  <c r="HZ162" i="5"/>
  <c r="GU162" i="5"/>
  <c r="GV162" i="5" s="1"/>
  <c r="GP162" i="5"/>
  <c r="FX162" i="5"/>
  <c r="FI162" i="5"/>
  <c r="EY162" i="5"/>
  <c r="FC162" i="5"/>
  <c r="EO162" i="5"/>
  <c r="EQ162" i="5" s="1"/>
  <c r="IH162" i="5"/>
  <c r="II162" i="5" s="1"/>
  <c r="HZ13" i="5"/>
  <c r="GU13" i="5"/>
  <c r="GV13" i="5" s="1"/>
  <c r="GP13" i="5"/>
  <c r="GA13" i="5"/>
  <c r="FX13" i="5"/>
  <c r="FI13" i="5"/>
  <c r="EY13" i="5"/>
  <c r="FC13" i="5"/>
  <c r="EO13" i="5"/>
  <c r="EQ13" i="5" s="1"/>
  <c r="IH13" i="5"/>
  <c r="II13" i="5" s="1"/>
  <c r="IH51" i="5"/>
  <c r="II51" i="5" s="1"/>
  <c r="HZ51" i="5"/>
  <c r="GU51" i="5"/>
  <c r="GV51" i="5" s="1"/>
  <c r="GP51" i="5"/>
  <c r="FX51" i="5"/>
  <c r="FI51" i="5"/>
  <c r="EY51" i="5"/>
  <c r="FC51" i="5"/>
  <c r="EO51" i="5"/>
  <c r="EQ51" i="5" s="1"/>
  <c r="HZ82" i="5"/>
  <c r="GP82" i="5"/>
  <c r="GU82" i="5"/>
  <c r="GV82" i="5" s="1"/>
  <c r="FX82" i="5"/>
  <c r="FI82" i="5"/>
  <c r="FC82" i="5"/>
  <c r="EY82" i="5"/>
  <c r="EO82" i="5"/>
  <c r="EQ82" i="5" s="1"/>
  <c r="IH82" i="5"/>
  <c r="II82" i="5" s="1"/>
  <c r="IH112" i="5"/>
  <c r="II112" i="5" s="1"/>
  <c r="HZ112" i="5"/>
  <c r="GU112" i="5"/>
  <c r="GV112" i="5" s="1"/>
  <c r="GP112" i="5"/>
  <c r="FX112" i="5"/>
  <c r="FI112" i="5"/>
  <c r="FG112" i="5" s="1"/>
  <c r="EY112" i="5"/>
  <c r="FC112" i="5"/>
  <c r="EO112" i="5"/>
  <c r="EQ112" i="5" s="1"/>
  <c r="IH175" i="5"/>
  <c r="II175" i="5" s="1"/>
  <c r="HZ175" i="5"/>
  <c r="GU175" i="5"/>
  <c r="GV175" i="5" s="1"/>
  <c r="GP175" i="5"/>
  <c r="FX175" i="5"/>
  <c r="FI175" i="5"/>
  <c r="EY175" i="5"/>
  <c r="FC175" i="5"/>
  <c r="EO175" i="5"/>
  <c r="EQ175" i="5" s="1"/>
  <c r="HZ37" i="5"/>
  <c r="GU37" i="5"/>
  <c r="GV37" i="5" s="1"/>
  <c r="GP37" i="5"/>
  <c r="FX37" i="5"/>
  <c r="EY37" i="5"/>
  <c r="FC37" i="5"/>
  <c r="FI37" i="5"/>
  <c r="EO37" i="5"/>
  <c r="EQ37" i="5" s="1"/>
  <c r="IH37" i="5"/>
  <c r="II37" i="5" s="1"/>
  <c r="HZ70" i="5"/>
  <c r="GU70" i="5"/>
  <c r="GV70" i="5" s="1"/>
  <c r="GP70" i="5"/>
  <c r="GA70" i="5"/>
  <c r="FI70" i="5"/>
  <c r="FX70" i="5"/>
  <c r="FC70" i="5"/>
  <c r="EY70" i="5"/>
  <c r="EO70" i="5"/>
  <c r="EQ70" i="5" s="1"/>
  <c r="IH70" i="5"/>
  <c r="II70" i="5" s="1"/>
  <c r="HZ100" i="5"/>
  <c r="GU100" i="5"/>
  <c r="GV100" i="5" s="1"/>
  <c r="GP100" i="5"/>
  <c r="FX100" i="5"/>
  <c r="FC100" i="5"/>
  <c r="EY100" i="5"/>
  <c r="EO100" i="5"/>
  <c r="EQ100" i="5" s="1"/>
  <c r="FI100" i="5"/>
  <c r="IH100" i="5"/>
  <c r="II100" i="5" s="1"/>
  <c r="HZ159" i="5"/>
  <c r="GU159" i="5"/>
  <c r="GV159" i="5" s="1"/>
  <c r="GP159" i="5"/>
  <c r="FX159" i="5"/>
  <c r="FC159" i="5"/>
  <c r="FI159" i="5"/>
  <c r="EY159" i="5"/>
  <c r="EO159" i="5"/>
  <c r="EQ159" i="5" s="1"/>
  <c r="IH159" i="5"/>
  <c r="II159" i="5" s="1"/>
  <c r="HZ4" i="5"/>
  <c r="GU4" i="5"/>
  <c r="GV4" i="5" s="1"/>
  <c r="GP4" i="5"/>
  <c r="GA4" i="5"/>
  <c r="FX4" i="5"/>
  <c r="FI4" i="5"/>
  <c r="EY4" i="5"/>
  <c r="FC4" i="5"/>
  <c r="EO4" i="5"/>
  <c r="EQ4" i="5" s="1"/>
  <c r="IH4" i="5"/>
  <c r="II4" i="5" s="1"/>
  <c r="IH40" i="5"/>
  <c r="II40" i="5" s="1"/>
  <c r="HZ40" i="5"/>
  <c r="GU40" i="5"/>
  <c r="GV40" i="5" s="1"/>
  <c r="GP40" i="5"/>
  <c r="FX40" i="5"/>
  <c r="GA40" i="5"/>
  <c r="FI40" i="5"/>
  <c r="FG40" i="5" s="1"/>
  <c r="FC40" i="5"/>
  <c r="EO40" i="5"/>
  <c r="EQ40" i="5" s="1"/>
  <c r="EY40" i="5"/>
  <c r="IH72" i="5"/>
  <c r="II72" i="5" s="1"/>
  <c r="HZ72" i="5"/>
  <c r="GU72" i="5"/>
  <c r="GV72" i="5" s="1"/>
  <c r="GP72" i="5"/>
  <c r="GA72" i="5"/>
  <c r="FX72" i="5"/>
  <c r="FI72" i="5"/>
  <c r="FC72" i="5"/>
  <c r="EO72" i="5"/>
  <c r="EQ72" i="5" s="1"/>
  <c r="EY72" i="5"/>
  <c r="HZ184" i="5"/>
  <c r="GU184" i="5"/>
  <c r="GV184" i="5" s="1"/>
  <c r="GP184" i="5"/>
  <c r="FX184" i="5"/>
  <c r="FC184" i="5"/>
  <c r="EY184" i="5"/>
  <c r="FI184" i="5"/>
  <c r="FG184" i="5" s="1"/>
  <c r="EO184" i="5"/>
  <c r="EQ184" i="5" s="1"/>
  <c r="IH184" i="5"/>
  <c r="II184" i="5" s="1"/>
  <c r="HZ140" i="5"/>
  <c r="GU140" i="5"/>
  <c r="GV140" i="5" s="1"/>
  <c r="GP140" i="5"/>
  <c r="GA140" i="5"/>
  <c r="FX140" i="5"/>
  <c r="FI140" i="5"/>
  <c r="FC140" i="5"/>
  <c r="EY140" i="5"/>
  <c r="EO140" i="5"/>
  <c r="EQ140" i="5" s="1"/>
  <c r="IH140" i="5"/>
  <c r="II140" i="5" s="1"/>
  <c r="HZ145" i="5"/>
  <c r="GU145" i="5"/>
  <c r="GV145" i="5" s="1"/>
  <c r="GP145" i="5"/>
  <c r="FX145" i="5"/>
  <c r="FC145" i="5"/>
  <c r="EY145" i="5"/>
  <c r="FI145" i="5"/>
  <c r="EO145" i="5"/>
  <c r="EQ145" i="5" s="1"/>
  <c r="IH145" i="5"/>
  <c r="II145" i="5" s="1"/>
  <c r="HZ36" i="5"/>
  <c r="GU36" i="5"/>
  <c r="GV36" i="5" s="1"/>
  <c r="GP36" i="5"/>
  <c r="FX36" i="5"/>
  <c r="FI36" i="5"/>
  <c r="FG36" i="5" s="1"/>
  <c r="EY36" i="5"/>
  <c r="FC36" i="5"/>
  <c r="EO36" i="5"/>
  <c r="EQ36" i="5" s="1"/>
  <c r="IH36" i="5"/>
  <c r="II36" i="5" s="1"/>
  <c r="HZ69" i="5"/>
  <c r="GU69" i="5"/>
  <c r="GV69" i="5" s="1"/>
  <c r="GP69" i="5"/>
  <c r="GA69" i="5"/>
  <c r="FX69" i="5"/>
  <c r="FI69" i="5"/>
  <c r="FL69" i="5"/>
  <c r="FC69" i="5"/>
  <c r="EO69" i="5"/>
  <c r="EQ69" i="5" s="1"/>
  <c r="EY69" i="5"/>
  <c r="IH69" i="5"/>
  <c r="II69" i="5" s="1"/>
  <c r="HZ125" i="5"/>
  <c r="GU125" i="5"/>
  <c r="GV125" i="5" s="1"/>
  <c r="GP125" i="5"/>
  <c r="FX125" i="5"/>
  <c r="FI125" i="5"/>
  <c r="EY125" i="5"/>
  <c r="FC125" i="5"/>
  <c r="EO125" i="5"/>
  <c r="EQ125" i="5" s="1"/>
  <c r="IH125" i="5"/>
  <c r="II125" i="5" s="1"/>
  <c r="IH152" i="5"/>
  <c r="II152" i="5" s="1"/>
  <c r="HZ152" i="5"/>
  <c r="GU152" i="5"/>
  <c r="GV152" i="5" s="1"/>
  <c r="GP152" i="5"/>
  <c r="FX152" i="5"/>
  <c r="FI152" i="5"/>
  <c r="FC152" i="5"/>
  <c r="EY152" i="5"/>
  <c r="EO152" i="5"/>
  <c r="EQ152" i="5" s="1"/>
  <c r="HZ10" i="5"/>
  <c r="GP10" i="5"/>
  <c r="GU10" i="5"/>
  <c r="GV10" i="5" s="1"/>
  <c r="FX10" i="5"/>
  <c r="FI10" i="5"/>
  <c r="FG10" i="5" s="1"/>
  <c r="FC10" i="5"/>
  <c r="EY10" i="5"/>
  <c r="EO10" i="5"/>
  <c r="EQ10" i="5" s="1"/>
  <c r="IH10" i="5"/>
  <c r="II10" i="5" s="1"/>
  <c r="IH48" i="5"/>
  <c r="II48" i="5" s="1"/>
  <c r="HZ48" i="5"/>
  <c r="GU48" i="5"/>
  <c r="GV48" i="5" s="1"/>
  <c r="GP48" i="5"/>
  <c r="FX48" i="5"/>
  <c r="GA48" i="5"/>
  <c r="FI48" i="5"/>
  <c r="FC48" i="5"/>
  <c r="EY48" i="5"/>
  <c r="EO48" i="5"/>
  <c r="EQ48" i="5" s="1"/>
  <c r="IH78" i="5"/>
  <c r="II78" i="5" s="1"/>
  <c r="HZ78" i="5"/>
  <c r="GU78" i="5"/>
  <c r="GV78" i="5" s="1"/>
  <c r="GP78" i="5"/>
  <c r="FX78" i="5"/>
  <c r="FI78" i="5"/>
  <c r="EY78" i="5"/>
  <c r="FC78" i="5"/>
  <c r="EO78" i="5"/>
  <c r="EQ78" i="5" s="1"/>
  <c r="HZ109" i="5"/>
  <c r="GU109" i="5"/>
  <c r="GV109" i="5" s="1"/>
  <c r="GP109" i="5"/>
  <c r="GA109" i="5"/>
  <c r="FX109" i="5"/>
  <c r="FI109" i="5"/>
  <c r="EY109" i="5"/>
  <c r="FC109" i="5"/>
  <c r="EO109" i="5"/>
  <c r="EQ109" i="5" s="1"/>
  <c r="IH109" i="5"/>
  <c r="II109" i="5" s="1"/>
  <c r="HZ132" i="5"/>
  <c r="GU132" i="5"/>
  <c r="GV132" i="5" s="1"/>
  <c r="GP132" i="5"/>
  <c r="FX132" i="5"/>
  <c r="FI132" i="5"/>
  <c r="EY132" i="5"/>
  <c r="FC132" i="5"/>
  <c r="EO132" i="5"/>
  <c r="EQ132" i="5" s="1"/>
  <c r="IH132" i="5"/>
  <c r="II132" i="5" s="1"/>
  <c r="HZ154" i="5"/>
  <c r="GU154" i="5"/>
  <c r="GV154" i="5" s="1"/>
  <c r="GP154" i="5"/>
  <c r="FX154" i="5"/>
  <c r="FI154" i="5"/>
  <c r="EY154" i="5"/>
  <c r="FC154" i="5"/>
  <c r="EO154" i="5"/>
  <c r="EQ154" i="5" s="1"/>
  <c r="IH154" i="5"/>
  <c r="II154" i="5" s="1"/>
  <c r="IH110" i="5"/>
  <c r="II110" i="5" s="1"/>
  <c r="HZ110" i="5"/>
  <c r="GU110" i="5"/>
  <c r="GV110" i="5" s="1"/>
  <c r="GP110" i="5"/>
  <c r="FX110" i="5"/>
  <c r="GA110" i="5"/>
  <c r="FI110" i="5"/>
  <c r="EY110" i="5"/>
  <c r="FC110" i="5"/>
  <c r="EO110" i="5"/>
  <c r="EQ110" i="5" s="1"/>
  <c r="HZ161" i="5"/>
  <c r="GU161" i="5"/>
  <c r="GV161" i="5" s="1"/>
  <c r="GP161" i="5"/>
  <c r="FX161" i="5"/>
  <c r="FI161" i="5"/>
  <c r="FG161" i="5" s="1"/>
  <c r="EY161" i="5"/>
  <c r="FC161" i="5"/>
  <c r="EO161" i="5"/>
  <c r="EQ161" i="5" s="1"/>
  <c r="IH161" i="5"/>
  <c r="II161" i="5" s="1"/>
  <c r="IH24" i="5"/>
  <c r="II24" i="5" s="1"/>
  <c r="HZ24" i="5"/>
  <c r="GU24" i="5"/>
  <c r="GV24" i="5" s="1"/>
  <c r="GP24" i="5"/>
  <c r="FX24" i="5"/>
  <c r="FI24" i="5"/>
  <c r="EY24" i="5"/>
  <c r="FC24" i="5"/>
  <c r="EO24" i="5"/>
  <c r="EQ24" i="5" s="1"/>
  <c r="IH59" i="5"/>
  <c r="II59" i="5" s="1"/>
  <c r="HZ59" i="5"/>
  <c r="GU59" i="5"/>
  <c r="GV59" i="5" s="1"/>
  <c r="GP59" i="5"/>
  <c r="FX59" i="5"/>
  <c r="EY59" i="5"/>
  <c r="FI59" i="5"/>
  <c r="EO59" i="5"/>
  <c r="EQ59" i="5" s="1"/>
  <c r="FC59" i="5"/>
  <c r="HZ89" i="5"/>
  <c r="GU89" i="5"/>
  <c r="GV89" i="5" s="1"/>
  <c r="GP89" i="5"/>
  <c r="GA89" i="5"/>
  <c r="FX89" i="5"/>
  <c r="FC89" i="5"/>
  <c r="EY89" i="5"/>
  <c r="FI89" i="5"/>
  <c r="EO89" i="5"/>
  <c r="EQ89" i="5" s="1"/>
  <c r="IH89" i="5"/>
  <c r="II89" i="5" s="1"/>
  <c r="HZ117" i="5"/>
  <c r="GU117" i="5"/>
  <c r="GV117" i="5" s="1"/>
  <c r="GP117" i="5"/>
  <c r="FX117" i="5"/>
  <c r="FI117" i="5"/>
  <c r="FG117" i="5" s="1"/>
  <c r="EY117" i="5"/>
  <c r="FC117" i="5"/>
  <c r="EO117" i="5"/>
  <c r="EQ117" i="5" s="1"/>
  <c r="IH117" i="5"/>
  <c r="II117" i="5" s="1"/>
  <c r="HZ26" i="5"/>
  <c r="GP26" i="5"/>
  <c r="GU26" i="5"/>
  <c r="GV26" i="5" s="1"/>
  <c r="FX26" i="5"/>
  <c r="FC26" i="5"/>
  <c r="FI26" i="5"/>
  <c r="FG26" i="5" s="1"/>
  <c r="EY26" i="5"/>
  <c r="EO26" i="5"/>
  <c r="EQ26" i="5" s="1"/>
  <c r="IH26" i="5"/>
  <c r="II26" i="5" s="1"/>
  <c r="HZ61" i="5"/>
  <c r="GU61" i="5"/>
  <c r="GV61" i="5" s="1"/>
  <c r="GP61" i="5"/>
  <c r="GA61" i="5"/>
  <c r="FX61" i="5"/>
  <c r="FI61" i="5"/>
  <c r="FG61" i="5" s="1"/>
  <c r="FC61" i="5"/>
  <c r="EY61" i="5"/>
  <c r="EO61" i="5"/>
  <c r="EQ61" i="5" s="1"/>
  <c r="IH61" i="5"/>
  <c r="II61" i="5" s="1"/>
  <c r="HZ118" i="5"/>
  <c r="GU118" i="5"/>
  <c r="GV118" i="5" s="1"/>
  <c r="GP118" i="5"/>
  <c r="FX118" i="5"/>
  <c r="FI118" i="5"/>
  <c r="FG118" i="5" s="1"/>
  <c r="FC118" i="5"/>
  <c r="EY118" i="5"/>
  <c r="EO118" i="5"/>
  <c r="EQ118" i="5" s="1"/>
  <c r="IH118" i="5"/>
  <c r="II118" i="5" s="1"/>
  <c r="HZ181" i="5"/>
  <c r="GU181" i="5"/>
  <c r="GV181" i="5" s="1"/>
  <c r="GP181" i="5"/>
  <c r="FX181" i="5"/>
  <c r="FC181" i="5"/>
  <c r="FI181" i="5"/>
  <c r="EO181" i="5"/>
  <c r="EQ181" i="5" s="1"/>
  <c r="EY181" i="5"/>
  <c r="IH181" i="5"/>
  <c r="II181" i="5" s="1"/>
  <c r="IH47" i="5"/>
  <c r="II47" i="5" s="1"/>
  <c r="HZ47" i="5"/>
  <c r="GU47" i="5"/>
  <c r="GV47" i="5" s="1"/>
  <c r="GP47" i="5"/>
  <c r="GA47" i="5"/>
  <c r="FX47" i="5"/>
  <c r="FI47" i="5"/>
  <c r="EY47" i="5"/>
  <c r="FC47" i="5"/>
  <c r="EO47" i="5"/>
  <c r="EQ47" i="5" s="1"/>
  <c r="HZ77" i="5"/>
  <c r="GU77" i="5"/>
  <c r="GV77" i="5" s="1"/>
  <c r="GP77" i="5"/>
  <c r="FX77" i="5"/>
  <c r="FI77" i="5"/>
  <c r="EY77" i="5"/>
  <c r="FC77" i="5"/>
  <c r="EO77" i="5"/>
  <c r="EQ77" i="5" s="1"/>
  <c r="IH77" i="5"/>
  <c r="II77" i="5" s="1"/>
  <c r="HZ137" i="5"/>
  <c r="GU137" i="5"/>
  <c r="GV137" i="5" s="1"/>
  <c r="GP137" i="5"/>
  <c r="FX137" i="5"/>
  <c r="EY137" i="5"/>
  <c r="FC137" i="5"/>
  <c r="FI137" i="5"/>
  <c r="EO137" i="5"/>
  <c r="EQ137" i="5" s="1"/>
  <c r="IH137" i="5"/>
  <c r="II137" i="5" s="1"/>
  <c r="IH183" i="5"/>
  <c r="II183" i="5" s="1"/>
  <c r="HZ183" i="5"/>
  <c r="GU183" i="5"/>
  <c r="GV183" i="5" s="1"/>
  <c r="GP183" i="5"/>
  <c r="FX183" i="5"/>
  <c r="FI183" i="5"/>
  <c r="FG183" i="5" s="1"/>
  <c r="EY183" i="5"/>
  <c r="EO183" i="5"/>
  <c r="EQ183" i="5" s="1"/>
  <c r="FC183" i="5"/>
  <c r="IH11" i="5"/>
  <c r="II11" i="5" s="1"/>
  <c r="HZ11" i="5"/>
  <c r="GP11" i="5"/>
  <c r="GU11" i="5"/>
  <c r="GV11" i="5" s="1"/>
  <c r="FX11" i="5"/>
  <c r="FI11" i="5"/>
  <c r="FG11" i="5" s="1"/>
  <c r="EY11" i="5"/>
  <c r="EO11" i="5"/>
  <c r="EQ11" i="5" s="1"/>
  <c r="FC11" i="5"/>
  <c r="HZ49" i="5"/>
  <c r="GU49" i="5"/>
  <c r="GV49" i="5" s="1"/>
  <c r="GP49" i="5"/>
  <c r="GA49" i="5"/>
  <c r="FX49" i="5"/>
  <c r="FC49" i="5"/>
  <c r="EY49" i="5"/>
  <c r="FI49" i="5"/>
  <c r="EO49" i="5"/>
  <c r="EQ49" i="5" s="1"/>
  <c r="IH49" i="5"/>
  <c r="II49" i="5" s="1"/>
  <c r="IH79" i="5"/>
  <c r="II79" i="5" s="1"/>
  <c r="HZ79" i="5"/>
  <c r="GU79" i="5"/>
  <c r="GV79" i="5" s="1"/>
  <c r="GP79" i="5"/>
  <c r="GA79" i="5"/>
  <c r="FX79" i="5"/>
  <c r="FI79" i="5"/>
  <c r="EY79" i="5"/>
  <c r="FC79" i="5"/>
  <c r="EO79" i="5"/>
  <c r="EQ79" i="5" s="1"/>
  <c r="HZ151" i="5"/>
  <c r="GP151" i="5"/>
  <c r="GU151" i="5"/>
  <c r="GV151" i="5" s="1"/>
  <c r="FX151" i="5"/>
  <c r="FI151" i="5"/>
  <c r="FG151" i="5" s="1"/>
  <c r="FC151" i="5"/>
  <c r="EY151" i="5"/>
  <c r="EO151" i="5"/>
  <c r="EQ151" i="5" s="1"/>
  <c r="IH151" i="5"/>
  <c r="II151" i="5" s="1"/>
  <c r="HZ174" i="5"/>
  <c r="GU174" i="5"/>
  <c r="GV174" i="5" s="1"/>
  <c r="GP174" i="5"/>
  <c r="FX174" i="5"/>
  <c r="FC174" i="5"/>
  <c r="EY174" i="5"/>
  <c r="FI174" i="5"/>
  <c r="EO174" i="5"/>
  <c r="EQ174" i="5" s="1"/>
  <c r="IH174" i="5"/>
  <c r="II174" i="5" s="1"/>
  <c r="IH83" i="5"/>
  <c r="II83" i="5" s="1"/>
  <c r="HZ83" i="5"/>
  <c r="GP83" i="5"/>
  <c r="GU83" i="5"/>
  <c r="GV83" i="5" s="1"/>
  <c r="FX83" i="5"/>
  <c r="GA83" i="5"/>
  <c r="FI83" i="5"/>
  <c r="EY83" i="5"/>
  <c r="FC83" i="5"/>
  <c r="EO83" i="5"/>
  <c r="EQ83" i="5" s="1"/>
  <c r="HZ8" i="5"/>
  <c r="GP8" i="5"/>
  <c r="GU8" i="5"/>
  <c r="GV8" i="5" s="1"/>
  <c r="GA8" i="5"/>
  <c r="FX8" i="5"/>
  <c r="FI8" i="5"/>
  <c r="EY8" i="5"/>
  <c r="FC8" i="5"/>
  <c r="EO8" i="5"/>
  <c r="EQ8" i="5" s="1"/>
  <c r="IH8" i="5"/>
  <c r="II8" i="5" s="1"/>
  <c r="IH46" i="5"/>
  <c r="II46" i="5" s="1"/>
  <c r="HZ46" i="5"/>
  <c r="GU46" i="5"/>
  <c r="GV46" i="5" s="1"/>
  <c r="GP46" i="5"/>
  <c r="FX46" i="5"/>
  <c r="FI46" i="5"/>
  <c r="EY46" i="5"/>
  <c r="FC46" i="5"/>
  <c r="EO46" i="5"/>
  <c r="EQ46" i="5" s="1"/>
  <c r="HZ76" i="5"/>
  <c r="GU76" i="5"/>
  <c r="GV76" i="5" s="1"/>
  <c r="GP76" i="5"/>
  <c r="FX76" i="5"/>
  <c r="FC76" i="5"/>
  <c r="FI76" i="5"/>
  <c r="EY76" i="5"/>
  <c r="EO76" i="5"/>
  <c r="EQ76" i="5" s="1"/>
  <c r="IH76" i="5"/>
  <c r="II76" i="5" s="1"/>
  <c r="HZ106" i="5"/>
  <c r="GU106" i="5"/>
  <c r="GV106" i="5" s="1"/>
  <c r="GP106" i="5"/>
  <c r="FX106" i="5"/>
  <c r="FC106" i="5"/>
  <c r="FI106" i="5"/>
  <c r="EY106" i="5"/>
  <c r="EO106" i="5"/>
  <c r="EQ106" i="5" s="1"/>
  <c r="IH106" i="5"/>
  <c r="II106" i="5" s="1"/>
  <c r="HZ136" i="5"/>
  <c r="GU136" i="5"/>
  <c r="GV136" i="5" s="1"/>
  <c r="GP136" i="5"/>
  <c r="GA136" i="5"/>
  <c r="FX136" i="5"/>
  <c r="FC136" i="5"/>
  <c r="FI136" i="5"/>
  <c r="EO136" i="5"/>
  <c r="EQ136" i="5" s="1"/>
  <c r="EY136" i="5"/>
  <c r="IH136" i="5"/>
  <c r="II136" i="5" s="1"/>
  <c r="HZ158" i="5"/>
  <c r="GU158" i="5"/>
  <c r="GV158" i="5" s="1"/>
  <c r="GP158" i="5"/>
  <c r="GA158" i="5"/>
  <c r="FX158" i="5"/>
  <c r="FC158" i="5"/>
  <c r="FI158" i="5"/>
  <c r="EY158" i="5"/>
  <c r="EO158" i="5"/>
  <c r="EQ158" i="5" s="1"/>
  <c r="IH158" i="5"/>
  <c r="II158" i="5" s="1"/>
  <c r="IH19" i="5"/>
  <c r="II19" i="5" s="1"/>
  <c r="HZ19" i="5"/>
  <c r="GU19" i="5"/>
  <c r="GV19" i="5" s="1"/>
  <c r="GP19" i="5"/>
  <c r="FX19" i="5"/>
  <c r="FI19" i="5"/>
  <c r="FG19" i="5" s="1"/>
  <c r="EY19" i="5"/>
  <c r="FC19" i="5"/>
  <c r="EO19" i="5"/>
  <c r="EQ19" i="5" s="1"/>
  <c r="IH56" i="5"/>
  <c r="II56" i="5" s="1"/>
  <c r="HZ56" i="5"/>
  <c r="GU56" i="5"/>
  <c r="GV56" i="5" s="1"/>
  <c r="GP56" i="5"/>
  <c r="FX56" i="5"/>
  <c r="FI56" i="5"/>
  <c r="FC56" i="5"/>
  <c r="EY56" i="5"/>
  <c r="EO56" i="5"/>
  <c r="EQ56" i="5" s="1"/>
  <c r="IH87" i="5"/>
  <c r="II87" i="5" s="1"/>
  <c r="HZ87" i="5"/>
  <c r="GU87" i="5"/>
  <c r="GV87" i="5" s="1"/>
  <c r="GP87" i="5"/>
  <c r="FX87" i="5"/>
  <c r="FI87" i="5"/>
  <c r="EY87" i="5"/>
  <c r="FC87" i="5"/>
  <c r="EO87" i="5"/>
  <c r="EQ87" i="5" s="1"/>
  <c r="IH115" i="5"/>
  <c r="II115" i="5" s="1"/>
  <c r="HZ115" i="5"/>
  <c r="GU115" i="5"/>
  <c r="GV115" i="5" s="1"/>
  <c r="GP115" i="5"/>
  <c r="FX115" i="5"/>
  <c r="FI115" i="5"/>
  <c r="EY115" i="5"/>
  <c r="FC115" i="5"/>
  <c r="EO115" i="5"/>
  <c r="EQ115" i="5" s="1"/>
  <c r="IH138" i="5"/>
  <c r="II138" i="5" s="1"/>
  <c r="HZ138" i="5"/>
  <c r="GP138" i="5"/>
  <c r="GU138" i="5"/>
  <c r="GV138" i="5" s="1"/>
  <c r="FX138" i="5"/>
  <c r="FI138" i="5"/>
  <c r="EY138" i="5"/>
  <c r="FC138" i="5"/>
  <c r="EO138" i="5"/>
  <c r="EQ138" i="5" s="1"/>
  <c r="HZ116" i="5"/>
  <c r="GU116" i="5"/>
  <c r="GV116" i="5" s="1"/>
  <c r="GP116" i="5"/>
  <c r="GA116" i="5"/>
  <c r="FX116" i="5"/>
  <c r="EY116" i="5"/>
  <c r="FC116" i="5"/>
  <c r="EO116" i="5"/>
  <c r="EQ116" i="5" s="1"/>
  <c r="FI116" i="5"/>
  <c r="IH116" i="5"/>
  <c r="II116" i="5" s="1"/>
  <c r="HZ167" i="5"/>
  <c r="GP167" i="5"/>
  <c r="GU167" i="5"/>
  <c r="GV167" i="5" s="1"/>
  <c r="GA167" i="5"/>
  <c r="FX167" i="5"/>
  <c r="FC167" i="5"/>
  <c r="FI167" i="5"/>
  <c r="FG167" i="5" s="1"/>
  <c r="EY167" i="5"/>
  <c r="EO167" i="5"/>
  <c r="EQ167" i="5" s="1"/>
  <c r="IH167" i="5"/>
  <c r="II167" i="5" s="1"/>
  <c r="HZ33" i="5"/>
  <c r="GU33" i="5"/>
  <c r="GV33" i="5" s="1"/>
  <c r="GP33" i="5"/>
  <c r="GA33" i="5"/>
  <c r="FX33" i="5"/>
  <c r="FI33" i="5"/>
  <c r="FC33" i="5"/>
  <c r="EO33" i="5"/>
  <c r="EQ33" i="5" s="1"/>
  <c r="EY33" i="5"/>
  <c r="IH33" i="5"/>
  <c r="II33" i="5" s="1"/>
  <c r="IH67" i="5"/>
  <c r="II67" i="5" s="1"/>
  <c r="HZ67" i="5"/>
  <c r="GU67" i="5"/>
  <c r="GV67" i="5" s="1"/>
  <c r="GP67" i="5"/>
  <c r="FX67" i="5"/>
  <c r="FI67" i="5"/>
  <c r="EY67" i="5"/>
  <c r="EO67" i="5"/>
  <c r="EQ67" i="5" s="1"/>
  <c r="FC67" i="5"/>
  <c r="HZ97" i="5"/>
  <c r="GP97" i="5"/>
  <c r="GU97" i="5"/>
  <c r="GV97" i="5" s="1"/>
  <c r="GA97" i="5"/>
  <c r="FX97" i="5"/>
  <c r="FL97" i="5"/>
  <c r="FC97" i="5"/>
  <c r="EY97" i="5"/>
  <c r="FI97" i="5"/>
  <c r="EO97" i="5"/>
  <c r="EQ97" i="5" s="1"/>
  <c r="IH97" i="5"/>
  <c r="II97" i="5" s="1"/>
  <c r="IH35" i="5"/>
  <c r="II35" i="5" s="1"/>
  <c r="HZ35" i="5"/>
  <c r="GU35" i="5"/>
  <c r="GV35" i="5" s="1"/>
  <c r="GP35" i="5"/>
  <c r="FX35" i="5"/>
  <c r="FI35" i="5"/>
  <c r="FG35" i="5" s="1"/>
  <c r="EY35" i="5"/>
  <c r="EO35" i="5"/>
  <c r="EQ35" i="5" s="1"/>
  <c r="FC35" i="5"/>
  <c r="HZ68" i="5"/>
  <c r="GU68" i="5"/>
  <c r="GV68" i="5" s="1"/>
  <c r="GP68" i="5"/>
  <c r="FX68" i="5"/>
  <c r="GA68" i="5"/>
  <c r="FC68" i="5"/>
  <c r="EY68" i="5"/>
  <c r="FI68" i="5"/>
  <c r="EO68" i="5"/>
  <c r="EQ68" i="5" s="1"/>
  <c r="IH68" i="5"/>
  <c r="II68" i="5" s="1"/>
  <c r="HZ98" i="5"/>
  <c r="GU98" i="5"/>
  <c r="GV98" i="5" s="1"/>
  <c r="GP98" i="5"/>
  <c r="FX98" i="5"/>
  <c r="FI98" i="5"/>
  <c r="FC98" i="5"/>
  <c r="EY98" i="5"/>
  <c r="EO98" i="5"/>
  <c r="EQ98" i="5" s="1"/>
  <c r="IH98" i="5"/>
  <c r="II98" i="5" s="1"/>
  <c r="IH142" i="5"/>
  <c r="II142" i="5" s="1"/>
  <c r="HZ142" i="5"/>
  <c r="GU142" i="5"/>
  <c r="GV142" i="5" s="1"/>
  <c r="GP142" i="5"/>
  <c r="FX142" i="5"/>
  <c r="FC142" i="5"/>
  <c r="FI142" i="5"/>
  <c r="EO142" i="5"/>
  <c r="EQ142" i="5" s="1"/>
  <c r="EY142" i="5"/>
  <c r="IH187" i="5"/>
  <c r="II187" i="5" s="1"/>
  <c r="HZ187" i="5"/>
  <c r="GP187" i="5"/>
  <c r="GU187" i="5"/>
  <c r="GV187" i="5" s="1"/>
  <c r="FX187" i="5"/>
  <c r="FI187" i="5"/>
  <c r="FG187" i="5" s="1"/>
  <c r="FC187" i="5"/>
  <c r="EY187" i="5"/>
  <c r="EO187" i="5"/>
  <c r="EQ187" i="5" s="1"/>
  <c r="HZ18" i="5"/>
  <c r="GU18" i="5"/>
  <c r="GV18" i="5" s="1"/>
  <c r="GP18" i="5"/>
  <c r="FX18" i="5"/>
  <c r="FI18" i="5"/>
  <c r="FC18" i="5"/>
  <c r="EY18" i="5"/>
  <c r="EO18" i="5"/>
  <c r="EQ18" i="5" s="1"/>
  <c r="IH18" i="5"/>
  <c r="II18" i="5" s="1"/>
  <c r="IH55" i="5"/>
  <c r="II55" i="5" s="1"/>
  <c r="HZ55" i="5"/>
  <c r="GP55" i="5"/>
  <c r="GU55" i="5"/>
  <c r="GV55" i="5" s="1"/>
  <c r="FI55" i="5"/>
  <c r="FX55" i="5"/>
  <c r="FC55" i="5"/>
  <c r="EO55" i="5"/>
  <c r="EQ55" i="5" s="1"/>
  <c r="EY55" i="5"/>
  <c r="HZ85" i="5"/>
  <c r="GU85" i="5"/>
  <c r="GV85" i="5" s="1"/>
  <c r="GP85" i="5"/>
  <c r="FX85" i="5"/>
  <c r="FI85" i="5"/>
  <c r="EY85" i="5"/>
  <c r="FC85" i="5"/>
  <c r="EO85" i="5"/>
  <c r="EQ85" i="5" s="1"/>
  <c r="IH85" i="5"/>
  <c r="II85" i="5" s="1"/>
  <c r="HZ114" i="5"/>
  <c r="GU114" i="5"/>
  <c r="GV114" i="5" s="1"/>
  <c r="GP114" i="5"/>
  <c r="FX114" i="5"/>
  <c r="FI114" i="5"/>
  <c r="FC114" i="5"/>
  <c r="EY114" i="5"/>
  <c r="EO114" i="5"/>
  <c r="EQ114" i="5" s="1"/>
  <c r="IH114" i="5"/>
  <c r="II114" i="5" s="1"/>
  <c r="HZ147" i="5"/>
  <c r="GU147" i="5"/>
  <c r="GV147" i="5" s="1"/>
  <c r="GP147" i="5"/>
  <c r="FX147" i="5"/>
  <c r="FI147" i="5"/>
  <c r="FG147" i="5" s="1"/>
  <c r="FC147" i="5"/>
  <c r="EY147" i="5"/>
  <c r="EO147" i="5"/>
  <c r="EQ147" i="5" s="1"/>
  <c r="IH147" i="5"/>
  <c r="II147" i="5" s="1"/>
  <c r="HZ166" i="5"/>
  <c r="GU166" i="5"/>
  <c r="GV166" i="5" s="1"/>
  <c r="GP166" i="5"/>
  <c r="FX166" i="5"/>
  <c r="FC166" i="5"/>
  <c r="FI166" i="5"/>
  <c r="FG166" i="5" s="1"/>
  <c r="EY166" i="5"/>
  <c r="EO166" i="5"/>
  <c r="EQ166" i="5" s="1"/>
  <c r="IH166" i="5"/>
  <c r="II166" i="5" s="1"/>
  <c r="IE166" i="5" s="1"/>
  <c r="HZ189" i="5"/>
  <c r="GU189" i="5"/>
  <c r="GV189" i="5" s="1"/>
  <c r="GP189" i="5"/>
  <c r="FX189" i="5"/>
  <c r="FC189" i="5"/>
  <c r="FI189" i="5"/>
  <c r="EY189" i="5"/>
  <c r="EO189" i="5"/>
  <c r="EQ189" i="5" s="1"/>
  <c r="IH189" i="5"/>
  <c r="II189" i="5" s="1"/>
  <c r="HZ21" i="5"/>
  <c r="GU21" i="5"/>
  <c r="GV21" i="5" s="1"/>
  <c r="GP21" i="5"/>
  <c r="FX21" i="5"/>
  <c r="FI21" i="5"/>
  <c r="FG21" i="5" s="1"/>
  <c r="EY21" i="5"/>
  <c r="FC21" i="5"/>
  <c r="EO21" i="5"/>
  <c r="EQ21" i="5" s="1"/>
  <c r="IH21" i="5"/>
  <c r="II21" i="5" s="1"/>
  <c r="HZ58" i="5"/>
  <c r="GU58" i="5"/>
  <c r="GV58" i="5" s="1"/>
  <c r="GP58" i="5"/>
  <c r="FX58" i="5"/>
  <c r="FC58" i="5"/>
  <c r="FI58" i="5"/>
  <c r="EY58" i="5"/>
  <c r="EO58" i="5"/>
  <c r="EQ58" i="5" s="1"/>
  <c r="IH58" i="5"/>
  <c r="II58" i="5" s="1"/>
  <c r="HZ128" i="5"/>
  <c r="GU128" i="5"/>
  <c r="GV128" i="5" s="1"/>
  <c r="GP128" i="5"/>
  <c r="GA128" i="5"/>
  <c r="FX128" i="5"/>
  <c r="FC128" i="5"/>
  <c r="FI128" i="5"/>
  <c r="EY128" i="5"/>
  <c r="EO128" i="5"/>
  <c r="EQ128" i="5" s="1"/>
  <c r="IH128" i="5"/>
  <c r="II128" i="5" s="1"/>
  <c r="HZ150" i="5"/>
  <c r="GP150" i="5"/>
  <c r="GU150" i="5"/>
  <c r="GV150" i="5" s="1"/>
  <c r="FX150" i="5"/>
  <c r="FI150" i="5"/>
  <c r="FC150" i="5"/>
  <c r="EY150" i="5"/>
  <c r="EO150" i="5"/>
  <c r="EQ150" i="5" s="1"/>
  <c r="IH150" i="5"/>
  <c r="II150" i="5" s="1"/>
  <c r="IH179" i="5"/>
  <c r="II179" i="5" s="1"/>
  <c r="HZ179" i="5"/>
  <c r="GU179" i="5"/>
  <c r="GV179" i="5" s="1"/>
  <c r="GP179" i="5"/>
  <c r="FX179" i="5"/>
  <c r="FI179" i="5"/>
  <c r="FC179" i="5"/>
  <c r="EY179" i="5"/>
  <c r="EO179" i="5"/>
  <c r="EQ179" i="5" s="1"/>
  <c r="IH157" i="5"/>
  <c r="II157" i="5" s="1"/>
  <c r="HZ157" i="5"/>
  <c r="GP157" i="5"/>
  <c r="GU157" i="5"/>
  <c r="GV157" i="5" s="1"/>
  <c r="FX157" i="5"/>
  <c r="FI157" i="5"/>
  <c r="EY157" i="5"/>
  <c r="FC157" i="5"/>
  <c r="EO157" i="5"/>
  <c r="EQ157" i="5" s="1"/>
  <c r="IH180" i="5"/>
  <c r="II180" i="5" s="1"/>
  <c r="HZ180" i="5"/>
  <c r="GU180" i="5"/>
  <c r="GV180" i="5" s="1"/>
  <c r="GP180" i="5"/>
  <c r="FX180" i="5"/>
  <c r="EY180" i="5"/>
  <c r="FI180" i="5"/>
  <c r="FC180" i="5"/>
  <c r="EO180" i="5"/>
  <c r="EQ180" i="5" s="1"/>
  <c r="HZ190" i="5"/>
  <c r="GU190" i="5"/>
  <c r="GV190" i="5" s="1"/>
  <c r="GP190" i="5"/>
  <c r="FX190" i="5"/>
  <c r="FC190" i="5"/>
  <c r="FI190" i="5"/>
  <c r="EO190" i="5"/>
  <c r="EQ190" i="5" s="1"/>
  <c r="EY190" i="5"/>
  <c r="IH190" i="5"/>
  <c r="II190" i="5" s="1"/>
  <c r="GG151" i="5"/>
  <c r="IE151" i="5"/>
  <c r="GG183" i="5"/>
  <c r="IE183" i="5"/>
  <c r="GG163" i="5"/>
  <c r="IE163" i="5"/>
  <c r="GG40" i="5"/>
  <c r="GG119" i="5"/>
  <c r="GG61" i="5"/>
  <c r="GG43" i="5"/>
  <c r="GG178" i="5"/>
  <c r="IE178" i="5"/>
  <c r="GD111" i="5"/>
  <c r="GG111" i="5"/>
  <c r="GD187" i="5"/>
  <c r="GG187" i="5"/>
  <c r="GD21" i="5"/>
  <c r="GG21" i="5"/>
  <c r="GD166" i="5"/>
  <c r="GG166" i="5"/>
  <c r="GD191" i="5"/>
  <c r="GG191" i="5"/>
  <c r="GD73" i="5"/>
  <c r="GG73" i="5"/>
  <c r="GD182" i="5"/>
  <c r="GG182" i="5"/>
  <c r="GD184" i="5"/>
  <c r="GG184" i="5"/>
  <c r="GD122" i="5"/>
  <c r="GG122" i="5"/>
  <c r="GD117" i="5"/>
  <c r="GG117" i="5"/>
  <c r="GD161" i="5"/>
  <c r="GG161" i="5"/>
  <c r="GD147" i="5"/>
  <c r="GG147" i="5"/>
  <c r="GD167" i="5"/>
  <c r="GG167" i="5"/>
  <c r="GD186" i="5"/>
  <c r="GG186" i="5"/>
  <c r="GD118" i="5"/>
  <c r="GG118" i="5"/>
  <c r="GA183" i="5"/>
  <c r="GD183" i="5"/>
  <c r="GA163" i="5"/>
  <c r="GD163" i="5"/>
  <c r="FR123" i="5"/>
  <c r="GD123" i="5"/>
  <c r="FR40" i="5"/>
  <c r="GD40" i="5"/>
  <c r="FR119" i="5"/>
  <c r="GD119" i="5"/>
  <c r="FR61" i="5"/>
  <c r="GD61" i="5"/>
  <c r="FR43" i="5"/>
  <c r="GD43" i="5"/>
  <c r="GA178" i="5"/>
  <c r="GD178" i="5"/>
  <c r="GA151" i="5"/>
  <c r="GD151" i="5"/>
  <c r="FR111" i="5"/>
  <c r="GA111" i="5"/>
  <c r="FR187" i="5"/>
  <c r="GA187" i="5"/>
  <c r="FR21" i="5"/>
  <c r="GA21" i="5"/>
  <c r="FR166" i="5"/>
  <c r="GA166" i="5"/>
  <c r="FR191" i="5"/>
  <c r="GA191" i="5"/>
  <c r="FR73" i="5"/>
  <c r="GA73" i="5"/>
  <c r="FR182" i="5"/>
  <c r="GA182" i="5"/>
  <c r="FR184" i="5"/>
  <c r="GA184" i="5"/>
  <c r="FR122" i="5"/>
  <c r="GA122" i="5"/>
  <c r="FR117" i="5"/>
  <c r="GA117" i="5"/>
  <c r="FR161" i="5"/>
  <c r="GA161" i="5"/>
  <c r="FR147" i="5"/>
  <c r="GA147" i="5"/>
  <c r="FR186" i="5"/>
  <c r="GA186" i="5"/>
  <c r="FR118" i="5"/>
  <c r="GA118" i="5"/>
  <c r="FO183" i="5"/>
  <c r="FR183" i="5"/>
  <c r="FO163" i="5"/>
  <c r="FR163" i="5"/>
  <c r="FO178" i="5"/>
  <c r="FR178" i="5"/>
  <c r="FO167" i="5"/>
  <c r="FR167" i="5"/>
  <c r="FO151" i="5"/>
  <c r="FR151" i="5"/>
  <c r="EZ160" i="5"/>
  <c r="EZ123" i="5"/>
  <c r="FO123" i="5"/>
  <c r="FL111" i="5"/>
  <c r="FO111" i="5"/>
  <c r="FL187" i="5"/>
  <c r="FO187" i="5"/>
  <c r="FL21" i="5"/>
  <c r="FO21" i="5"/>
  <c r="FL166" i="5"/>
  <c r="FO166" i="5"/>
  <c r="FL40" i="5"/>
  <c r="FO40" i="5"/>
  <c r="FL119" i="5"/>
  <c r="FO119" i="5"/>
  <c r="FL191" i="5"/>
  <c r="FO191" i="5"/>
  <c r="FL73" i="5"/>
  <c r="FO73" i="5"/>
  <c r="FL61" i="5"/>
  <c r="FO61" i="5"/>
  <c r="FL182" i="5"/>
  <c r="FO182" i="5"/>
  <c r="FL184" i="5"/>
  <c r="FO184" i="5"/>
  <c r="EZ192" i="5"/>
  <c r="FL43" i="5"/>
  <c r="FO43" i="5"/>
  <c r="FL122" i="5"/>
  <c r="FO122" i="5"/>
  <c r="FL117" i="5"/>
  <c r="FO117" i="5"/>
  <c r="FL161" i="5"/>
  <c r="FO161" i="5"/>
  <c r="FL147" i="5"/>
  <c r="FO147" i="5"/>
  <c r="FL186" i="5"/>
  <c r="FO186" i="5"/>
  <c r="FL118" i="5"/>
  <c r="FO118" i="5"/>
  <c r="FL183" i="5"/>
  <c r="FL163" i="5"/>
  <c r="FL178" i="5"/>
  <c r="FL167" i="5"/>
  <c r="FL151" i="5"/>
  <c r="EZ111" i="5"/>
  <c r="EZ187" i="5"/>
  <c r="EZ21" i="5"/>
  <c r="EZ166" i="5"/>
  <c r="EZ40" i="5"/>
  <c r="EZ119" i="5"/>
  <c r="ET191" i="5"/>
  <c r="EZ73" i="5"/>
  <c r="EZ61" i="5"/>
  <c r="EZ182" i="5"/>
  <c r="EZ184" i="5"/>
  <c r="EZ43" i="5"/>
  <c r="EZ122" i="5"/>
  <c r="EZ117" i="5"/>
  <c r="EZ161" i="5"/>
  <c r="EZ147" i="5"/>
  <c r="EZ186" i="5"/>
  <c r="EZ118" i="5"/>
  <c r="EZ179" i="5"/>
  <c r="DU183" i="5"/>
  <c r="ET183" i="5"/>
  <c r="DU163" i="5"/>
  <c r="ET163" i="5"/>
  <c r="DU111" i="5"/>
  <c r="ET111" i="5"/>
  <c r="DU187" i="5"/>
  <c r="ET187" i="5"/>
  <c r="DU21" i="5"/>
  <c r="ET21" i="5"/>
  <c r="DU166" i="5"/>
  <c r="ET166" i="5"/>
  <c r="DU40" i="5"/>
  <c r="ET40" i="5"/>
  <c r="DU119" i="5"/>
  <c r="ET119" i="5"/>
  <c r="DU73" i="5"/>
  <c r="ET73" i="5"/>
  <c r="DU61" i="5"/>
  <c r="ET61" i="5"/>
  <c r="DU182" i="5"/>
  <c r="ET182" i="5"/>
  <c r="DU184" i="5"/>
  <c r="ET184" i="5"/>
  <c r="DU43" i="5"/>
  <c r="ET43" i="5"/>
  <c r="DU122" i="5"/>
  <c r="ET122" i="5"/>
  <c r="DU178" i="5"/>
  <c r="ET178" i="5"/>
  <c r="DU117" i="5"/>
  <c r="ET117" i="5"/>
  <c r="DU161" i="5"/>
  <c r="ET161" i="5"/>
  <c r="DU147" i="5"/>
  <c r="ET147" i="5"/>
  <c r="DU167" i="5"/>
  <c r="ET167" i="5"/>
  <c r="DU186" i="5"/>
  <c r="ET186" i="5"/>
  <c r="DU118" i="5"/>
  <c r="ET118" i="5"/>
  <c r="DU151" i="5"/>
  <c r="ET151" i="5"/>
  <c r="DU191" i="5"/>
  <c r="CZ4" i="5"/>
  <c r="CW40" i="5"/>
  <c r="CZ40" i="5"/>
  <c r="CZ72" i="5"/>
  <c r="CW122" i="5"/>
  <c r="CZ122" i="5"/>
  <c r="CZ8" i="5"/>
  <c r="CZ37" i="5"/>
  <c r="CZ70" i="5"/>
  <c r="CZ41" i="5"/>
  <c r="CZ38" i="5"/>
  <c r="CZ49" i="5"/>
  <c r="CZ79" i="5"/>
  <c r="CZ53" i="5"/>
  <c r="CZ137" i="5"/>
  <c r="CZ5" i="5"/>
  <c r="CZ50" i="5"/>
  <c r="CZ35" i="5"/>
  <c r="CZ175" i="5"/>
  <c r="CZ10" i="5"/>
  <c r="CZ48" i="5"/>
  <c r="CZ63" i="5"/>
  <c r="CZ18" i="5"/>
  <c r="CZ24" i="5"/>
  <c r="CZ59" i="5"/>
  <c r="CW43" i="5"/>
  <c r="CZ43" i="5"/>
  <c r="CZ56" i="5"/>
  <c r="CZ32" i="5"/>
  <c r="CZ66" i="5"/>
  <c r="CZ167" i="5"/>
  <c r="CZ69" i="5"/>
  <c r="CZ28" i="5"/>
  <c r="CZ67" i="5"/>
  <c r="CZ97" i="5"/>
  <c r="CW123" i="5"/>
  <c r="NI192" i="5"/>
  <c r="HM192" i="5" s="1"/>
  <c r="CN192" i="5"/>
  <c r="DC192" i="5" s="1"/>
  <c r="HL192" i="5" s="1"/>
  <c r="CN240" i="5"/>
  <c r="DC240" i="5" s="1"/>
  <c r="HL240" i="5" s="1"/>
  <c r="CN223" i="5"/>
  <c r="DC223" i="5" s="1"/>
  <c r="HL223" i="5" s="1"/>
  <c r="CN247" i="5"/>
  <c r="DC247" i="5" s="1"/>
  <c r="HL247" i="5" s="1"/>
  <c r="CN206" i="5"/>
  <c r="CN226" i="5"/>
  <c r="DC226" i="5" s="1"/>
  <c r="HL226" i="5" s="1"/>
  <c r="CN236" i="5"/>
  <c r="DC236" i="5" s="1"/>
  <c r="HL236" i="5" s="1"/>
  <c r="CN237" i="5"/>
  <c r="DC237" i="5" s="1"/>
  <c r="HL237" i="5" s="1"/>
  <c r="CN227" i="5"/>
  <c r="DC227" i="5" s="1"/>
  <c r="HL227" i="5" s="1"/>
  <c r="CN202" i="5"/>
  <c r="DC202" i="5" s="1"/>
  <c r="HL202" i="5" s="1"/>
  <c r="CN222" i="5"/>
  <c r="DC222" i="5" s="1"/>
  <c r="HL222" i="5" s="1"/>
  <c r="CN246" i="5"/>
  <c r="DC246" i="5" s="1"/>
  <c r="HL246" i="5" s="1"/>
  <c r="CN208" i="5"/>
  <c r="DC208" i="5" s="1"/>
  <c r="HL208" i="5" s="1"/>
  <c r="CN229" i="5"/>
  <c r="DC229" i="5" s="1"/>
  <c r="HL229" i="5" s="1"/>
  <c r="CN216" i="5"/>
  <c r="DC216" i="5" s="1"/>
  <c r="HL216" i="5" s="1"/>
  <c r="CN220" i="5"/>
  <c r="DC220" i="5" s="1"/>
  <c r="HL220" i="5" s="1"/>
  <c r="CN242" i="5"/>
  <c r="DC242" i="5" s="1"/>
  <c r="HL242" i="5" s="1"/>
  <c r="NI190" i="5"/>
  <c r="CN190" i="5"/>
  <c r="DC190" i="5" s="1"/>
  <c r="HL190" i="5" s="1"/>
  <c r="CN243" i="5"/>
  <c r="DC243" i="5" s="1"/>
  <c r="HL243" i="5" s="1"/>
  <c r="CN217" i="5"/>
  <c r="DC217" i="5" s="1"/>
  <c r="HL217" i="5" s="1"/>
  <c r="CN221" i="5"/>
  <c r="DC221" i="5" s="1"/>
  <c r="HL221" i="5" s="1"/>
  <c r="CN214" i="5"/>
  <c r="DC214" i="5" s="1"/>
  <c r="HL214" i="5" s="1"/>
  <c r="CN228" i="5"/>
  <c r="DC228" i="5" s="1"/>
  <c r="HL228" i="5" s="1"/>
  <c r="CN235" i="5"/>
  <c r="DC235" i="5" s="1"/>
  <c r="HL235" i="5" s="1"/>
  <c r="CN238" i="5"/>
  <c r="DC238" i="5" s="1"/>
  <c r="HL238" i="5" s="1"/>
  <c r="CN204" i="5"/>
  <c r="DC204" i="5" s="1"/>
  <c r="HL204" i="5" s="1"/>
  <c r="CN224" i="5"/>
  <c r="DC224" i="5" s="1"/>
  <c r="HL224" i="5" s="1"/>
  <c r="CN248" i="5"/>
  <c r="DC248" i="5" s="1"/>
  <c r="HL248" i="5" s="1"/>
  <c r="CN225" i="5"/>
  <c r="DC225" i="5" s="1"/>
  <c r="HL225" i="5" s="1"/>
  <c r="CN212" i="5"/>
  <c r="DC212" i="5" s="1"/>
  <c r="HL212" i="5" s="1"/>
  <c r="CN218" i="5"/>
  <c r="DC218" i="5" s="1"/>
  <c r="HL218" i="5" s="1"/>
  <c r="CN234" i="5"/>
  <c r="DC234" i="5" s="1"/>
  <c r="HL234" i="5" s="1"/>
  <c r="CN241" i="5"/>
  <c r="DC241" i="5" s="1"/>
  <c r="HL241" i="5" s="1"/>
  <c r="CN244" i="5"/>
  <c r="DC244" i="5" s="1"/>
  <c r="HL244" i="5" s="1"/>
  <c r="CN215" i="5"/>
  <c r="DC215" i="5" s="1"/>
  <c r="HL215" i="5" s="1"/>
  <c r="CN230" i="5"/>
  <c r="DC230" i="5" s="1"/>
  <c r="HL230" i="5" s="1"/>
  <c r="CN219" i="5"/>
  <c r="DC219" i="5" s="1"/>
  <c r="HL219" i="5" s="1"/>
  <c r="CN231" i="5"/>
  <c r="DC231" i="5" s="1"/>
  <c r="HL231" i="5" s="1"/>
  <c r="NI191" i="5"/>
  <c r="CN191" i="5"/>
  <c r="DC191" i="5" s="1"/>
  <c r="HL191" i="5" s="1"/>
  <c r="CN245" i="5"/>
  <c r="DC245" i="5" s="1"/>
  <c r="HL245" i="5" s="1"/>
  <c r="NI176" i="5"/>
  <c r="NI188" i="5"/>
  <c r="NI132" i="5"/>
  <c r="NI148" i="5"/>
  <c r="NI127" i="5"/>
  <c r="NI161" i="5"/>
  <c r="NI134" i="5"/>
  <c r="NI150" i="5"/>
  <c r="NI141" i="5"/>
  <c r="NI145" i="5"/>
  <c r="NI163" i="5"/>
  <c r="NI180" i="5"/>
  <c r="NI187" i="5"/>
  <c r="NI147" i="5"/>
  <c r="NI171" i="5"/>
  <c r="NI189" i="5"/>
  <c r="NI178" i="5"/>
  <c r="NI136" i="5"/>
  <c r="NI152" i="5"/>
  <c r="NI138" i="5"/>
  <c r="NI154" i="5"/>
  <c r="NI160" i="5"/>
  <c r="NI167" i="5"/>
  <c r="NI140" i="5"/>
  <c r="NI151" i="5"/>
  <c r="NI186" i="5"/>
  <c r="NI175" i="5"/>
  <c r="NI137" i="5"/>
  <c r="NI153" i="5"/>
  <c r="NI184" i="5"/>
  <c r="NI162" i="5"/>
  <c r="NI125" i="5"/>
  <c r="NI142" i="5"/>
  <c r="NI158" i="5"/>
  <c r="NI182" i="5"/>
  <c r="NI126" i="5"/>
  <c r="NI128" i="5"/>
  <c r="NI179" i="5"/>
  <c r="NI135" i="5"/>
  <c r="NI157" i="5"/>
  <c r="NI174" i="5"/>
  <c r="NI181" i="5"/>
  <c r="NI159" i="5"/>
  <c r="NI166" i="5"/>
  <c r="NI183" i="5"/>
  <c r="HR187" i="5"/>
  <c r="RV3" i="5"/>
  <c r="NF3" i="5"/>
  <c r="MM248" i="5"/>
  <c r="MM242" i="5"/>
  <c r="MM236" i="5"/>
  <c r="MM230" i="5"/>
  <c r="MM224" i="5"/>
  <c r="MM215" i="5"/>
  <c r="MM204" i="5"/>
  <c r="MM189" i="5"/>
  <c r="MM183" i="5"/>
  <c r="MM171" i="5"/>
  <c r="MM166" i="5"/>
  <c r="MM160" i="5"/>
  <c r="MM154" i="5"/>
  <c r="MM148" i="5"/>
  <c r="MM138" i="5"/>
  <c r="MM132" i="5"/>
  <c r="MM126" i="5"/>
  <c r="NF115" i="5"/>
  <c r="MM115" i="5"/>
  <c r="NF109" i="5"/>
  <c r="MM109" i="5"/>
  <c r="NF103" i="5"/>
  <c r="MM103" i="5"/>
  <c r="NF97" i="5"/>
  <c r="MM97" i="5"/>
  <c r="NF85" i="5"/>
  <c r="MM85" i="5"/>
  <c r="NF79" i="5"/>
  <c r="MM79" i="5"/>
  <c r="NF73" i="5"/>
  <c r="MM73" i="5"/>
  <c r="NF67" i="5"/>
  <c r="MM67" i="5"/>
  <c r="NF61" i="5"/>
  <c r="MM61" i="5"/>
  <c r="NF55" i="5"/>
  <c r="MM55" i="5"/>
  <c r="NF49" i="5"/>
  <c r="MM49" i="5"/>
  <c r="NF43" i="5"/>
  <c r="MM43" i="5"/>
  <c r="NF37" i="5"/>
  <c r="MM37" i="5"/>
  <c r="NF19" i="5"/>
  <c r="MM19" i="5"/>
  <c r="NF13" i="5"/>
  <c r="MM13" i="5"/>
  <c r="NF7" i="5"/>
  <c r="MM7" i="5"/>
  <c r="MM247" i="5"/>
  <c r="MM241" i="5"/>
  <c r="MM235" i="5"/>
  <c r="MM229" i="5"/>
  <c r="MM223" i="5"/>
  <c r="MM208" i="5"/>
  <c r="MM188" i="5"/>
  <c r="MM182" i="5"/>
  <c r="MM176" i="5"/>
  <c r="MM159" i="5"/>
  <c r="MM153" i="5"/>
  <c r="MM147" i="5"/>
  <c r="MM137" i="5"/>
  <c r="NF120" i="5"/>
  <c r="MM120" i="5"/>
  <c r="NF114" i="5"/>
  <c r="MM114" i="5"/>
  <c r="NF102" i="5"/>
  <c r="MM102" i="5"/>
  <c r="NF78" i="5"/>
  <c r="MM78" i="5"/>
  <c r="NF72" i="5"/>
  <c r="MM72" i="5"/>
  <c r="NF66" i="5"/>
  <c r="MM66" i="5"/>
  <c r="NF48" i="5"/>
  <c r="MM48" i="5"/>
  <c r="NF36" i="5"/>
  <c r="MM36" i="5"/>
  <c r="NF24" i="5"/>
  <c r="MM24" i="5"/>
  <c r="NF18" i="5"/>
  <c r="MM18" i="5"/>
  <c r="MM246" i="5"/>
  <c r="MM240" i="5"/>
  <c r="MM234" i="5"/>
  <c r="MM228" i="5"/>
  <c r="MM222" i="5"/>
  <c r="MM218" i="5"/>
  <c r="MM214" i="5"/>
  <c r="MM212" i="5"/>
  <c r="MM202" i="5"/>
  <c r="MM192" i="5"/>
  <c r="MM187" i="5"/>
  <c r="MM181" i="5"/>
  <c r="MM175" i="5"/>
  <c r="MM158" i="5"/>
  <c r="MM152" i="5"/>
  <c r="MM142" i="5"/>
  <c r="MM136" i="5"/>
  <c r="MM125" i="5"/>
  <c r="NF119" i="5"/>
  <c r="MM119" i="5"/>
  <c r="NF113" i="5"/>
  <c r="MM113" i="5"/>
  <c r="NF89" i="5"/>
  <c r="MM89" i="5"/>
  <c r="NF83" i="5"/>
  <c r="MM83" i="5"/>
  <c r="NF77" i="5"/>
  <c r="MM77" i="5"/>
  <c r="NF71" i="5"/>
  <c r="MM71" i="5"/>
  <c r="NF65" i="5"/>
  <c r="MM65" i="5"/>
  <c r="NF59" i="5"/>
  <c r="MM59" i="5"/>
  <c r="NF53" i="5"/>
  <c r="MM53" i="5"/>
  <c r="NF47" i="5"/>
  <c r="MM47" i="5"/>
  <c r="NF41" i="5"/>
  <c r="MM41" i="5"/>
  <c r="NF35" i="5"/>
  <c r="MM35" i="5"/>
  <c r="NF29" i="5"/>
  <c r="MM29" i="5"/>
  <c r="NF11" i="5"/>
  <c r="MM11" i="5"/>
  <c r="BQ3" i="5"/>
  <c r="MM3" i="5"/>
  <c r="MM245" i="5"/>
  <c r="MM227" i="5"/>
  <c r="MM221" i="5"/>
  <c r="MM217" i="5"/>
  <c r="MM186" i="5"/>
  <c r="MM180" i="5"/>
  <c r="MM174" i="5"/>
  <c r="MM163" i="5"/>
  <c r="MM157" i="5"/>
  <c r="MM151" i="5"/>
  <c r="MM145" i="5"/>
  <c r="MM141" i="5"/>
  <c r="MM135" i="5"/>
  <c r="NF118" i="5"/>
  <c r="IE118" i="5" s="1"/>
  <c r="MM118" i="5"/>
  <c r="NF112" i="5"/>
  <c r="MM112" i="5"/>
  <c r="NF106" i="5"/>
  <c r="MM106" i="5"/>
  <c r="NF100" i="5"/>
  <c r="MM100" i="5"/>
  <c r="NF82" i="5"/>
  <c r="MM82" i="5"/>
  <c r="NF76" i="5"/>
  <c r="MM76" i="5"/>
  <c r="NF70" i="5"/>
  <c r="MM70" i="5"/>
  <c r="NF64" i="5"/>
  <c r="MM64" i="5"/>
  <c r="NF58" i="5"/>
  <c r="MM58" i="5"/>
  <c r="NF46" i="5"/>
  <c r="MM46" i="5"/>
  <c r="NF40" i="5"/>
  <c r="MM40" i="5"/>
  <c r="NF28" i="5"/>
  <c r="MM28" i="5"/>
  <c r="NF10" i="5"/>
  <c r="MM10" i="5"/>
  <c r="MM244" i="5"/>
  <c r="MM238" i="5"/>
  <c r="MM226" i="5"/>
  <c r="MM220" i="5"/>
  <c r="MM216" i="5"/>
  <c r="MM206" i="5"/>
  <c r="MM191" i="5"/>
  <c r="MM179" i="5"/>
  <c r="MM162" i="5"/>
  <c r="MM150" i="5"/>
  <c r="MM140" i="5"/>
  <c r="MM134" i="5"/>
  <c r="MM128" i="5"/>
  <c r="NF123" i="5"/>
  <c r="IE123" i="5" s="1"/>
  <c r="MM123" i="5"/>
  <c r="NF117" i="5"/>
  <c r="MM117" i="5"/>
  <c r="NF111" i="5"/>
  <c r="MM111" i="5"/>
  <c r="NF105" i="5"/>
  <c r="MM105" i="5"/>
  <c r="NF87" i="5"/>
  <c r="MM87" i="5"/>
  <c r="NF81" i="5"/>
  <c r="MM81" i="5"/>
  <c r="NF69" i="5"/>
  <c r="MM69" i="5"/>
  <c r="NF63" i="5"/>
  <c r="MM63" i="5"/>
  <c r="NF51" i="5"/>
  <c r="MM51" i="5"/>
  <c r="NF33" i="5"/>
  <c r="MM33" i="5"/>
  <c r="NF27" i="5"/>
  <c r="MM27" i="5"/>
  <c r="NF21" i="5"/>
  <c r="MM21" i="5"/>
  <c r="MM243" i="5"/>
  <c r="MM237" i="5"/>
  <c r="MM231" i="5"/>
  <c r="MM225" i="5"/>
  <c r="MM219" i="5"/>
  <c r="MM190" i="5"/>
  <c r="MM184" i="5"/>
  <c r="MM178" i="5"/>
  <c r="MM167" i="5"/>
  <c r="MM161" i="5"/>
  <c r="MM127" i="5"/>
  <c r="NF122" i="5"/>
  <c r="IE122" i="5" s="1"/>
  <c r="MM122" i="5"/>
  <c r="NF116" i="5"/>
  <c r="MM116" i="5"/>
  <c r="NF110" i="5"/>
  <c r="MM110" i="5"/>
  <c r="NF98" i="5"/>
  <c r="MM98" i="5"/>
  <c r="NF92" i="5"/>
  <c r="MM92" i="5"/>
  <c r="NF74" i="5"/>
  <c r="MM74" i="5"/>
  <c r="NF68" i="5"/>
  <c r="MM68" i="5"/>
  <c r="NF56" i="5"/>
  <c r="MM56" i="5"/>
  <c r="NF50" i="5"/>
  <c r="MM50" i="5"/>
  <c r="NF38" i="5"/>
  <c r="MM38" i="5"/>
  <c r="NF32" i="5"/>
  <c r="MM32" i="5"/>
  <c r="NF26" i="5"/>
  <c r="MM26" i="5"/>
  <c r="NF8" i="5"/>
  <c r="MM8" i="5"/>
  <c r="NF4" i="5"/>
  <c r="MM4" i="5"/>
  <c r="NF5" i="5"/>
  <c r="MM5" i="5"/>
  <c r="CZ87" i="5" l="1"/>
  <c r="CZ61" i="5"/>
  <c r="CZ21" i="5"/>
  <c r="IE111" i="5"/>
  <c r="IE117" i="5"/>
  <c r="CZ51" i="5"/>
  <c r="CZ161" i="5"/>
  <c r="CW161" i="5"/>
  <c r="CZ85" i="5"/>
  <c r="CZ55" i="5"/>
  <c r="GA239" i="5"/>
  <c r="FR192" i="5"/>
  <c r="CZ29" i="5"/>
  <c r="CZ112" i="5"/>
  <c r="FO160" i="5"/>
  <c r="GD160" i="5"/>
  <c r="FR160" i="5"/>
  <c r="CZ136" i="5"/>
  <c r="CW248" i="5"/>
  <c r="CZ248" i="5"/>
  <c r="CW247" i="5"/>
  <c r="CZ247" i="5"/>
  <c r="CZ246" i="5"/>
  <c r="CW246" i="5"/>
  <c r="CW167" i="5"/>
  <c r="CZ153" i="5"/>
  <c r="CW112" i="5"/>
  <c r="CZ245" i="5"/>
  <c r="CW245" i="5"/>
  <c r="CW244" i="5"/>
  <c r="CZ244" i="5"/>
  <c r="CZ150" i="5"/>
  <c r="DC150" i="5"/>
  <c r="HL150" i="5" s="1"/>
  <c r="CZ36" i="5"/>
  <c r="CZ27" i="5"/>
  <c r="CZ158" i="5"/>
  <c r="CZ100" i="5"/>
  <c r="CZ157" i="5"/>
  <c r="DC157" i="5"/>
  <c r="HL157" i="5" s="1"/>
  <c r="CZ243" i="5"/>
  <c r="CW243" i="5"/>
  <c r="CZ242" i="5"/>
  <c r="CW178" i="5"/>
  <c r="CZ123" i="5"/>
  <c r="CZ179" i="5"/>
  <c r="CZ178" i="5"/>
  <c r="CW241" i="5"/>
  <c r="CZ241" i="5"/>
  <c r="CZ240" i="5"/>
  <c r="CW240" i="5"/>
  <c r="EO239" i="5"/>
  <c r="EQ239" i="5" s="1"/>
  <c r="FR239" i="5"/>
  <c r="DU239" i="5"/>
  <c r="FO239" i="5"/>
  <c r="GP239" i="5"/>
  <c r="FI239" i="5"/>
  <c r="FG239" i="5" s="1"/>
  <c r="ET239" i="5"/>
  <c r="HZ239" i="5"/>
  <c r="GG239" i="5"/>
  <c r="FC239" i="5"/>
  <c r="FL239" i="5"/>
  <c r="GD239" i="5"/>
  <c r="EY239" i="5"/>
  <c r="FX239" i="5"/>
  <c r="GU239" i="5"/>
  <c r="GV239" i="5" s="1"/>
  <c r="CW238" i="5"/>
  <c r="CZ238" i="5"/>
  <c r="CZ237" i="5"/>
  <c r="CW237" i="5"/>
  <c r="GU234" i="5"/>
  <c r="GV234" i="5" s="1"/>
  <c r="EO234" i="5"/>
  <c r="EQ234" i="5" s="1"/>
  <c r="FX234" i="5"/>
  <c r="EY234" i="5"/>
  <c r="FC234" i="5"/>
  <c r="FI234" i="5"/>
  <c r="GP234" i="5"/>
  <c r="HZ234" i="5"/>
  <c r="CZ189" i="5"/>
  <c r="CZ113" i="5"/>
  <c r="CZ83" i="5"/>
  <c r="CZ118" i="5"/>
  <c r="CZ68" i="5"/>
  <c r="CZ132" i="5"/>
  <c r="CZ82" i="5"/>
  <c r="CZ154" i="5"/>
  <c r="GU160" i="5"/>
  <c r="GV160" i="5" s="1"/>
  <c r="ET160" i="5"/>
  <c r="FC160" i="5"/>
  <c r="GP160" i="5"/>
  <c r="FX160" i="5"/>
  <c r="DU160" i="5"/>
  <c r="FI160" i="5"/>
  <c r="FG160" i="5" s="1"/>
  <c r="EO160" i="5"/>
  <c r="EQ160" i="5" s="1"/>
  <c r="EY160" i="5"/>
  <c r="GA160" i="5"/>
  <c r="GG160" i="5"/>
  <c r="HZ160" i="5"/>
  <c r="FL160" i="5"/>
  <c r="CZ26" i="5"/>
  <c r="FO194" i="5"/>
  <c r="CZ81" i="5"/>
  <c r="FO192" i="5"/>
  <c r="GD192" i="5"/>
  <c r="CZ187" i="5"/>
  <c r="CW187" i="5"/>
  <c r="CZ64" i="5"/>
  <c r="CZ106" i="5"/>
  <c r="FO220" i="5"/>
  <c r="EO220" i="5"/>
  <c r="EQ220" i="5" s="1"/>
  <c r="CZ111" i="5"/>
  <c r="CZ160" i="5"/>
  <c r="CW160" i="5"/>
  <c r="CZ114" i="5"/>
  <c r="CZ236" i="5"/>
  <c r="CW236" i="5"/>
  <c r="CZ89" i="5"/>
  <c r="CZ212" i="5"/>
  <c r="CZ115" i="5"/>
  <c r="DC115" i="5"/>
  <c r="HL115" i="5" s="1"/>
  <c r="CZ126" i="5"/>
  <c r="DC126" i="5"/>
  <c r="HL126" i="5" s="1"/>
  <c r="GU192" i="5"/>
  <c r="GV192" i="5" s="1"/>
  <c r="GP192" i="5"/>
  <c r="HZ192" i="5"/>
  <c r="FX192" i="5"/>
  <c r="GA192" i="5"/>
  <c r="FI192" i="5"/>
  <c r="FG192" i="5" s="1"/>
  <c r="FL192" i="5"/>
  <c r="EO192" i="5"/>
  <c r="EQ192" i="5" s="1"/>
  <c r="EY192" i="5"/>
  <c r="FC192" i="5"/>
  <c r="ET192" i="5"/>
  <c r="DU192" i="5"/>
  <c r="GG192" i="5"/>
  <c r="CZ134" i="5"/>
  <c r="CZ148" i="5"/>
  <c r="DC148" i="5"/>
  <c r="HL148" i="5" s="1"/>
  <c r="CZ142" i="5"/>
  <c r="CZ119" i="5"/>
  <c r="CZ141" i="5"/>
  <c r="CW117" i="5"/>
  <c r="CZ135" i="5"/>
  <c r="CZ174" i="5"/>
  <c r="CZ162" i="5"/>
  <c r="CW183" i="5"/>
  <c r="CW147" i="5"/>
  <c r="CZ140" i="5"/>
  <c r="CW163" i="5"/>
  <c r="CZ138" i="5"/>
  <c r="DC138" i="5"/>
  <c r="HL138" i="5" s="1"/>
  <c r="CZ128" i="5"/>
  <c r="CZ120" i="5"/>
  <c r="CZ152" i="5"/>
  <c r="CZ151" i="5"/>
  <c r="CZ188" i="5"/>
  <c r="CW151" i="5"/>
  <c r="CW182" i="5"/>
  <c r="CZ183" i="5"/>
  <c r="CZ182" i="5"/>
  <c r="CZ159" i="5"/>
  <c r="CZ163" i="5"/>
  <c r="CZ184" i="5"/>
  <c r="CZ171" i="5"/>
  <c r="CZ102" i="5"/>
  <c r="CZ73" i="5"/>
  <c r="CZ78" i="5"/>
  <c r="IH206" i="5"/>
  <c r="II206" i="5" s="1"/>
  <c r="GP206" i="5"/>
  <c r="GD235" i="5"/>
  <c r="GG235" i="5"/>
  <c r="GU235" i="5"/>
  <c r="GV235" i="5" s="1"/>
  <c r="EY235" i="5"/>
  <c r="DU235" i="5"/>
  <c r="FR235" i="5"/>
  <c r="FI235" i="5"/>
  <c r="FG235" i="5" s="1"/>
  <c r="GP235" i="5"/>
  <c r="ET235" i="5"/>
  <c r="FO235" i="5"/>
  <c r="EO235" i="5"/>
  <c r="EQ235" i="5" s="1"/>
  <c r="HZ235" i="5"/>
  <c r="GA235" i="5"/>
  <c r="FL235" i="5"/>
  <c r="FX235" i="5"/>
  <c r="FC235" i="5"/>
  <c r="CZ235" i="5"/>
  <c r="CW235" i="5"/>
  <c r="CZ234" i="5"/>
  <c r="DC206" i="5"/>
  <c r="HL206" i="5" s="1"/>
  <c r="CZ186" i="5"/>
  <c r="CW186" i="5"/>
  <c r="CZ125" i="5"/>
  <c r="CZ176" i="5"/>
  <c r="CZ204" i="5"/>
  <c r="GU230" i="5"/>
  <c r="GV230" i="5" s="1"/>
  <c r="EO230" i="5"/>
  <c r="EQ230" i="5" s="1"/>
  <c r="HZ230" i="5"/>
  <c r="FI230" i="5"/>
  <c r="FC230" i="5"/>
  <c r="FX230" i="5"/>
  <c r="EY230" i="5"/>
  <c r="GP230" i="5"/>
  <c r="CZ231" i="5"/>
  <c r="CZ230" i="5"/>
  <c r="CZ229" i="5"/>
  <c r="CZ228" i="5"/>
  <c r="CZ227" i="5"/>
  <c r="GU226" i="5"/>
  <c r="GV226" i="5" s="1"/>
  <c r="HZ226" i="5"/>
  <c r="FX226" i="5"/>
  <c r="FI226" i="5"/>
  <c r="EO226" i="5"/>
  <c r="EQ226" i="5" s="1"/>
  <c r="GP226" i="5"/>
  <c r="EY226" i="5"/>
  <c r="FC226" i="5"/>
  <c r="IH226" i="5"/>
  <c r="II226" i="5" s="1"/>
  <c r="CZ226" i="5"/>
  <c r="GU225" i="5"/>
  <c r="GV225" i="5" s="1"/>
  <c r="FC225" i="5"/>
  <c r="EO225" i="5"/>
  <c r="EQ225" i="5" s="1"/>
  <c r="HZ225" i="5"/>
  <c r="FX225" i="5"/>
  <c r="GP225" i="5"/>
  <c r="EY225" i="5"/>
  <c r="FI225" i="5"/>
  <c r="CZ225" i="5"/>
  <c r="CZ224" i="5"/>
  <c r="GU222" i="5"/>
  <c r="GV222" i="5" s="1"/>
  <c r="FI222" i="5"/>
  <c r="EY222" i="5"/>
  <c r="FX222" i="5"/>
  <c r="GP222" i="5"/>
  <c r="EO222" i="5"/>
  <c r="EQ222" i="5" s="1"/>
  <c r="FC222" i="5"/>
  <c r="HZ222" i="5"/>
  <c r="CZ223" i="5"/>
  <c r="CZ222" i="5"/>
  <c r="IH220" i="5"/>
  <c r="II220" i="5" s="1"/>
  <c r="CZ147" i="5"/>
  <c r="FR216" i="5"/>
  <c r="GG221" i="5"/>
  <c r="FO221" i="5"/>
  <c r="GD221" i="5"/>
  <c r="GU221" i="5"/>
  <c r="GV221" i="5" s="1"/>
  <c r="HZ221" i="5"/>
  <c r="FR221" i="5"/>
  <c r="ET221" i="5"/>
  <c r="FX221" i="5"/>
  <c r="GP221" i="5"/>
  <c r="EO221" i="5"/>
  <c r="EQ221" i="5" s="1"/>
  <c r="FC221" i="5"/>
  <c r="EY221" i="5"/>
  <c r="FI221" i="5"/>
  <c r="FG221" i="5" s="1"/>
  <c r="GA221" i="5"/>
  <c r="DU221" i="5"/>
  <c r="FL221" i="5"/>
  <c r="CZ221" i="5"/>
  <c r="CW221" i="5"/>
  <c r="FR220" i="5"/>
  <c r="GU220" i="5"/>
  <c r="GV220" i="5" s="1"/>
  <c r="GG220" i="5"/>
  <c r="EY220" i="5"/>
  <c r="GP220" i="5"/>
  <c r="ET220" i="5"/>
  <c r="FL220" i="5"/>
  <c r="GD220" i="5"/>
  <c r="FX220" i="5"/>
  <c r="FI220" i="5"/>
  <c r="FG220" i="5" s="1"/>
  <c r="FC220" i="5"/>
  <c r="GA220" i="5"/>
  <c r="HZ220" i="5"/>
  <c r="DU220" i="5"/>
  <c r="CZ220" i="5"/>
  <c r="CW220" i="5"/>
  <c r="CZ219" i="5"/>
  <c r="CW218" i="5"/>
  <c r="CZ218" i="5"/>
  <c r="GU217" i="5"/>
  <c r="GV217" i="5" s="1"/>
  <c r="GG217" i="5"/>
  <c r="FX217" i="5"/>
  <c r="HZ217" i="5"/>
  <c r="FL217" i="5"/>
  <c r="DU217" i="5"/>
  <c r="GP217" i="5"/>
  <c r="FC217" i="5"/>
  <c r="FI217" i="5"/>
  <c r="FG217" i="5" s="1"/>
  <c r="GD217" i="5"/>
  <c r="EO217" i="5"/>
  <c r="EQ217" i="5" s="1"/>
  <c r="GA217" i="5"/>
  <c r="FO217" i="5"/>
  <c r="EY217" i="5"/>
  <c r="FR217" i="5"/>
  <c r="ET217" i="5"/>
  <c r="CZ217" i="5"/>
  <c r="CW217" i="5"/>
  <c r="FO216" i="5"/>
  <c r="GU216" i="5"/>
  <c r="GV216" i="5" s="1"/>
  <c r="GG216" i="5"/>
  <c r="HZ216" i="5"/>
  <c r="GD216" i="5"/>
  <c r="EO216" i="5"/>
  <c r="EQ216" i="5" s="1"/>
  <c r="FC216" i="5"/>
  <c r="FI216" i="5"/>
  <c r="FG216" i="5" s="1"/>
  <c r="FX216" i="5"/>
  <c r="EY216" i="5"/>
  <c r="DU216" i="5"/>
  <c r="GP216" i="5"/>
  <c r="FL216" i="5"/>
  <c r="ET216" i="5"/>
  <c r="GA216" i="5"/>
  <c r="CW216" i="5"/>
  <c r="CZ216" i="5"/>
  <c r="GG215" i="5"/>
  <c r="FO215" i="5"/>
  <c r="GU215" i="5"/>
  <c r="GV215" i="5" s="1"/>
  <c r="FL215" i="5"/>
  <c r="FX215" i="5"/>
  <c r="FI215" i="5"/>
  <c r="FG215" i="5" s="1"/>
  <c r="GP215" i="5"/>
  <c r="HZ215" i="5"/>
  <c r="EY215" i="5"/>
  <c r="FR215" i="5"/>
  <c r="EO215" i="5"/>
  <c r="EQ215" i="5" s="1"/>
  <c r="GD215" i="5"/>
  <c r="GA215" i="5"/>
  <c r="FC215" i="5"/>
  <c r="DU215" i="5"/>
  <c r="ET215" i="5"/>
  <c r="CW215" i="5"/>
  <c r="CZ215" i="5"/>
  <c r="GU214" i="5"/>
  <c r="GV214" i="5" s="1"/>
  <c r="GD214" i="5"/>
  <c r="FL214" i="5"/>
  <c r="FO214" i="5"/>
  <c r="DU214" i="5"/>
  <c r="FR214" i="5"/>
  <c r="HZ214" i="5"/>
  <c r="EO214" i="5"/>
  <c r="EQ214" i="5" s="1"/>
  <c r="GA214" i="5"/>
  <c r="FC214" i="5"/>
  <c r="ET214" i="5"/>
  <c r="FX214" i="5"/>
  <c r="EY214" i="5"/>
  <c r="FI214" i="5"/>
  <c r="FG214" i="5" s="1"/>
  <c r="GP214" i="5"/>
  <c r="GG214" i="5"/>
  <c r="CZ214" i="5"/>
  <c r="CW214" i="5"/>
  <c r="CW166" i="5"/>
  <c r="IE73" i="5"/>
  <c r="CZ181" i="5"/>
  <c r="CZ208" i="5"/>
  <c r="FL194" i="5"/>
  <c r="DU194" i="5"/>
  <c r="ET194" i="5"/>
  <c r="GA194" i="5"/>
  <c r="FR194" i="5"/>
  <c r="GG194" i="5"/>
  <c r="CW184" i="5"/>
  <c r="CZ180" i="5"/>
  <c r="GU206" i="5"/>
  <c r="GV206" i="5" s="1"/>
  <c r="FX206" i="5"/>
  <c r="FI206" i="5"/>
  <c r="HZ206" i="5"/>
  <c r="EO206" i="5"/>
  <c r="EQ206" i="5" s="1"/>
  <c r="FC206" i="5"/>
  <c r="EY206" i="5"/>
  <c r="CZ206" i="5"/>
  <c r="CZ116" i="5"/>
  <c r="CZ145" i="5"/>
  <c r="CZ103" i="5"/>
  <c r="CZ202" i="5"/>
  <c r="CW202" i="5"/>
  <c r="CW201" i="5"/>
  <c r="CZ201" i="5"/>
  <c r="CW200" i="5"/>
  <c r="CZ200" i="5"/>
  <c r="CZ199" i="5"/>
  <c r="CW199" i="5"/>
  <c r="HJ198" i="5"/>
  <c r="CZ198" i="5"/>
  <c r="CW198" i="5"/>
  <c r="CW197" i="5"/>
  <c r="CZ197" i="5"/>
  <c r="CW196" i="5"/>
  <c r="CZ196" i="5"/>
  <c r="CZ195" i="5"/>
  <c r="CW195" i="5"/>
  <c r="HZ194" i="5"/>
  <c r="GU194" i="5"/>
  <c r="GV194" i="5" s="1"/>
  <c r="GP194" i="5"/>
  <c r="FX194" i="5"/>
  <c r="EO194" i="5"/>
  <c r="EQ194" i="5" s="1"/>
  <c r="FI194" i="5"/>
  <c r="FG194" i="5" s="1"/>
  <c r="HJ194" i="5" s="1"/>
  <c r="EY194" i="5"/>
  <c r="FC194" i="5"/>
  <c r="IE61" i="5"/>
  <c r="IH194" i="5"/>
  <c r="II194" i="5" s="1"/>
  <c r="DC194" i="5"/>
  <c r="HL194" i="5" s="1"/>
  <c r="CZ194" i="5"/>
  <c r="DX179" i="5"/>
  <c r="HM179" i="5"/>
  <c r="DX158" i="5"/>
  <c r="HM158" i="5"/>
  <c r="DX153" i="5"/>
  <c r="HM153" i="5"/>
  <c r="DX140" i="5"/>
  <c r="HM140" i="5"/>
  <c r="DX189" i="5"/>
  <c r="HM189" i="5"/>
  <c r="DX190" i="5"/>
  <c r="HM190" i="5"/>
  <c r="DX134" i="5"/>
  <c r="HM134" i="5"/>
  <c r="DX183" i="5"/>
  <c r="HM183" i="5"/>
  <c r="DX142" i="5"/>
  <c r="HM142" i="5"/>
  <c r="DX137" i="5"/>
  <c r="HM137" i="5"/>
  <c r="DX167" i="5"/>
  <c r="HM167" i="5"/>
  <c r="DX171" i="5"/>
  <c r="HM171" i="5"/>
  <c r="DX180" i="5"/>
  <c r="HM180" i="5"/>
  <c r="DX166" i="5"/>
  <c r="HM166" i="5"/>
  <c r="DX128" i="5"/>
  <c r="HM128" i="5"/>
  <c r="DX125" i="5"/>
  <c r="HM125" i="5"/>
  <c r="DX147" i="5"/>
  <c r="HM147" i="5"/>
  <c r="DX163" i="5"/>
  <c r="HM163" i="5"/>
  <c r="DX159" i="5"/>
  <c r="HM159" i="5"/>
  <c r="DX175" i="5"/>
  <c r="HM175" i="5"/>
  <c r="DX162" i="5"/>
  <c r="HM162" i="5"/>
  <c r="DX160" i="5"/>
  <c r="HM160" i="5"/>
  <c r="DX187" i="5"/>
  <c r="HM187" i="5"/>
  <c r="DX145" i="5"/>
  <c r="HM145" i="5"/>
  <c r="DX148" i="5"/>
  <c r="HM148" i="5"/>
  <c r="DX184" i="5"/>
  <c r="HM184" i="5"/>
  <c r="DX154" i="5"/>
  <c r="HM154" i="5"/>
  <c r="DX178" i="5"/>
  <c r="HM178" i="5"/>
  <c r="DX141" i="5"/>
  <c r="HM141" i="5"/>
  <c r="DX161" i="5"/>
  <c r="HM161" i="5"/>
  <c r="DX132" i="5"/>
  <c r="HM132" i="5"/>
  <c r="DX181" i="5"/>
  <c r="HM181" i="5"/>
  <c r="DX186" i="5"/>
  <c r="HM186" i="5"/>
  <c r="DX174" i="5"/>
  <c r="HM174" i="5"/>
  <c r="DX138" i="5"/>
  <c r="HM138" i="5"/>
  <c r="DX188" i="5"/>
  <c r="HM188" i="5"/>
  <c r="DX157" i="5"/>
  <c r="HM157" i="5"/>
  <c r="DX126" i="5"/>
  <c r="HM126" i="5"/>
  <c r="DX151" i="5"/>
  <c r="HM151" i="5"/>
  <c r="DX152" i="5"/>
  <c r="HM152" i="5"/>
  <c r="DX127" i="5"/>
  <c r="HM127" i="5"/>
  <c r="DX176" i="5"/>
  <c r="HM176" i="5"/>
  <c r="DX191" i="5"/>
  <c r="HM191" i="5"/>
  <c r="DX135" i="5"/>
  <c r="HM135" i="5"/>
  <c r="DX182" i="5"/>
  <c r="HM182" i="5"/>
  <c r="DX136" i="5"/>
  <c r="HM136" i="5"/>
  <c r="DX150" i="5"/>
  <c r="HM150" i="5"/>
  <c r="DX192" i="5"/>
  <c r="CZ190" i="5"/>
  <c r="CW192" i="5"/>
  <c r="CZ192" i="5"/>
  <c r="CW191" i="5"/>
  <c r="CZ191" i="5"/>
  <c r="IE184" i="5"/>
  <c r="IE119" i="5"/>
  <c r="IE21" i="5"/>
  <c r="IE43" i="5"/>
  <c r="IE40" i="5"/>
  <c r="NG3" i="5"/>
  <c r="AK3" i="5" s="1"/>
  <c r="NG4" i="5"/>
  <c r="AK4" i="5" s="1"/>
  <c r="NG5" i="5"/>
  <c r="AK5" i="5" s="1"/>
  <c r="NG6" i="5"/>
  <c r="AK6" i="5" s="1"/>
  <c r="NG7" i="5"/>
  <c r="AK7" i="5" s="1"/>
  <c r="NG8" i="5"/>
  <c r="AK8" i="5" s="1"/>
  <c r="NG9" i="5"/>
  <c r="AK9" i="5" s="1"/>
  <c r="NG10" i="5"/>
  <c r="AK10" i="5" s="1"/>
  <c r="NG11" i="5"/>
  <c r="AK11" i="5" s="1"/>
  <c r="NG12" i="5"/>
  <c r="AK12" i="5" s="1"/>
  <c r="NG13" i="5"/>
  <c r="AK13" i="5" s="1"/>
  <c r="NG14" i="5"/>
  <c r="AK14" i="5" s="1"/>
  <c r="NG15" i="5"/>
  <c r="AK15" i="5" s="1"/>
  <c r="NG16" i="5"/>
  <c r="AK16" i="5" s="1"/>
  <c r="NG17" i="5"/>
  <c r="AK17" i="5" s="1"/>
  <c r="NG18" i="5"/>
  <c r="AK18" i="5" s="1"/>
  <c r="NG19" i="5"/>
  <c r="AK19" i="5" s="1"/>
  <c r="NG20" i="5"/>
  <c r="AK20" i="5" s="1"/>
  <c r="NG21" i="5"/>
  <c r="AK21" i="5" s="1"/>
  <c r="NG22" i="5"/>
  <c r="AK22" i="5" s="1"/>
  <c r="NG23" i="5"/>
  <c r="AK23" i="5" s="1"/>
  <c r="NG24" i="5"/>
  <c r="AK24" i="5" s="1"/>
  <c r="NG25" i="5"/>
  <c r="AK25" i="5" s="1"/>
  <c r="NG26" i="5"/>
  <c r="AK26" i="5" s="1"/>
  <c r="NG27" i="5"/>
  <c r="AK27" i="5" s="1"/>
  <c r="NG28" i="5"/>
  <c r="AK28" i="5" s="1"/>
  <c r="NG29" i="5"/>
  <c r="AK29" i="5" s="1"/>
  <c r="NG30" i="5"/>
  <c r="AK30" i="5" s="1"/>
  <c r="NG31" i="5"/>
  <c r="AK31" i="5" s="1"/>
  <c r="NG32" i="5"/>
  <c r="AK32" i="5" s="1"/>
  <c r="NG33" i="5"/>
  <c r="AK33" i="5" s="1"/>
  <c r="NG34" i="5"/>
  <c r="AK34" i="5" s="1"/>
  <c r="NG35" i="5"/>
  <c r="AK35" i="5" s="1"/>
  <c r="NG36" i="5"/>
  <c r="AK36" i="5" s="1"/>
  <c r="NG37" i="5"/>
  <c r="AK37" i="5" s="1"/>
  <c r="NG38" i="5"/>
  <c r="AK38" i="5" s="1"/>
  <c r="NG39" i="5"/>
  <c r="AK39" i="5" s="1"/>
  <c r="NG40" i="5"/>
  <c r="AK40" i="5" s="1"/>
  <c r="NG41" i="5"/>
  <c r="AK41" i="5" s="1"/>
  <c r="NG42" i="5"/>
  <c r="AK42" i="5" s="1"/>
  <c r="NG43" i="5"/>
  <c r="AK43" i="5" s="1"/>
  <c r="NG44" i="5"/>
  <c r="AK44" i="5" s="1"/>
  <c r="NG45" i="5"/>
  <c r="AK45" i="5" s="1"/>
  <c r="NG46" i="5"/>
  <c r="AK46" i="5" s="1"/>
  <c r="NG47" i="5"/>
  <c r="AK47" i="5" s="1"/>
  <c r="NG48" i="5"/>
  <c r="AK48" i="5" s="1"/>
  <c r="NG49" i="5"/>
  <c r="AK49" i="5" s="1"/>
  <c r="NG50" i="5"/>
  <c r="AK50" i="5" s="1"/>
  <c r="NG51" i="5"/>
  <c r="AK51" i="5" s="1"/>
  <c r="NG52" i="5"/>
  <c r="AK52" i="5" s="1"/>
  <c r="NG53" i="5"/>
  <c r="AK53" i="5" s="1"/>
  <c r="NG54" i="5"/>
  <c r="AK54" i="5" s="1"/>
  <c r="NG55" i="5"/>
  <c r="AK55" i="5" s="1"/>
  <c r="NG56" i="5"/>
  <c r="AK56" i="5" s="1"/>
  <c r="NG57" i="5"/>
  <c r="AK57" i="5" s="1"/>
  <c r="NG58" i="5"/>
  <c r="AK58" i="5" s="1"/>
  <c r="NG59" i="5"/>
  <c r="AK59" i="5" s="1"/>
  <c r="NG60" i="5"/>
  <c r="AK60" i="5" s="1"/>
  <c r="NG61" i="5"/>
  <c r="AK61" i="5" s="1"/>
  <c r="NG62" i="5"/>
  <c r="AK62" i="5" s="1"/>
  <c r="NG63" i="5"/>
  <c r="AK63" i="5" s="1"/>
  <c r="NG64" i="5"/>
  <c r="AK64" i="5" s="1"/>
  <c r="NG65" i="5"/>
  <c r="AK65" i="5" s="1"/>
  <c r="NG66" i="5"/>
  <c r="AK66" i="5" s="1"/>
  <c r="NG67" i="5"/>
  <c r="AK67" i="5" s="1"/>
  <c r="NG68" i="5"/>
  <c r="AK68" i="5" s="1"/>
  <c r="NG69" i="5"/>
  <c r="AK69" i="5" s="1"/>
  <c r="NG70" i="5"/>
  <c r="AK70" i="5" s="1"/>
  <c r="NG71" i="5"/>
  <c r="AK71" i="5" s="1"/>
  <c r="NG72" i="5"/>
  <c r="NG73" i="5"/>
  <c r="AK73" i="5" s="1"/>
  <c r="NG74" i="5"/>
  <c r="AK74" i="5" s="1"/>
  <c r="NG75" i="5"/>
  <c r="AK75" i="5" s="1"/>
  <c r="NG76" i="5"/>
  <c r="AK76" i="5" s="1"/>
  <c r="NG77" i="5"/>
  <c r="AK77" i="5" s="1"/>
  <c r="NG78" i="5"/>
  <c r="AK78" i="5" s="1"/>
  <c r="NG79" i="5"/>
  <c r="AK79" i="5" s="1"/>
  <c r="NG80" i="5"/>
  <c r="AK80" i="5" s="1"/>
  <c r="NG81" i="5"/>
  <c r="AK81" i="5" s="1"/>
  <c r="NG82" i="5"/>
  <c r="AK82" i="5" s="1"/>
  <c r="NG83" i="5"/>
  <c r="AK83" i="5" s="1"/>
  <c r="NG84" i="5"/>
  <c r="AK84" i="5" s="1"/>
  <c r="NG85" i="5"/>
  <c r="AK85" i="5" s="1"/>
  <c r="NG86" i="5"/>
  <c r="AK86" i="5" s="1"/>
  <c r="NG87" i="5"/>
  <c r="AK87" i="5" s="1"/>
  <c r="NG88" i="5"/>
  <c r="AK88" i="5" s="1"/>
  <c r="NG89" i="5"/>
  <c r="AK89" i="5" s="1"/>
  <c r="NG90" i="5"/>
  <c r="AK90" i="5" s="1"/>
  <c r="NG91" i="5"/>
  <c r="AK91" i="5" s="1"/>
  <c r="NG92" i="5"/>
  <c r="AK92" i="5" s="1"/>
  <c r="NG93" i="5"/>
  <c r="AK93" i="5" s="1"/>
  <c r="NG94" i="5"/>
  <c r="AK94" i="5" s="1"/>
  <c r="NG95" i="5"/>
  <c r="AK95" i="5" s="1"/>
  <c r="NG96" i="5"/>
  <c r="AK96" i="5" s="1"/>
  <c r="NG97" i="5"/>
  <c r="AK97" i="5" s="1"/>
  <c r="NG98" i="5"/>
  <c r="AK98" i="5" s="1"/>
  <c r="NG99" i="5"/>
  <c r="AK99" i="5" s="1"/>
  <c r="NG100" i="5"/>
  <c r="AK100" i="5" s="1"/>
  <c r="NG101" i="5"/>
  <c r="AK101" i="5" s="1"/>
  <c r="NG102" i="5"/>
  <c r="AK102" i="5" s="1"/>
  <c r="NG103" i="5"/>
  <c r="AK103" i="5" s="1"/>
  <c r="NG104" i="5"/>
  <c r="AK104" i="5" s="1"/>
  <c r="NG105" i="5"/>
  <c r="AK105" i="5" s="1"/>
  <c r="NG106" i="5"/>
  <c r="AK106" i="5" s="1"/>
  <c r="NG107" i="5"/>
  <c r="AK107" i="5" s="1"/>
  <c r="NG108" i="5"/>
  <c r="AK108" i="5" s="1"/>
  <c r="NG109" i="5"/>
  <c r="AK109" i="5" s="1"/>
  <c r="NG110" i="5"/>
  <c r="AK110" i="5" s="1"/>
  <c r="NG111" i="5"/>
  <c r="AK111" i="5" s="1"/>
  <c r="NG112" i="5"/>
  <c r="AK112" i="5" s="1"/>
  <c r="NG113" i="5"/>
  <c r="AK113" i="5" s="1"/>
  <c r="NG114" i="5"/>
  <c r="AK114" i="5" s="1"/>
  <c r="NG115" i="5"/>
  <c r="AK115" i="5" s="1"/>
  <c r="NG116" i="5"/>
  <c r="AK116" i="5" s="1"/>
  <c r="NG117" i="5"/>
  <c r="AK117" i="5" s="1"/>
  <c r="NG118" i="5"/>
  <c r="AK118" i="5" s="1"/>
  <c r="NG119" i="5"/>
  <c r="AK119" i="5" s="1"/>
  <c r="NG120" i="5"/>
  <c r="AK120" i="5" s="1"/>
  <c r="NG121" i="5"/>
  <c r="AK121" i="5" s="1"/>
  <c r="NG122" i="5"/>
  <c r="AK122" i="5" s="1"/>
  <c r="NG123" i="5"/>
  <c r="AK123" i="5" s="1"/>
  <c r="NG124" i="5"/>
  <c r="AK124" i="5" s="1"/>
  <c r="NG125" i="5"/>
  <c r="AK125" i="5" s="1"/>
  <c r="NG126" i="5"/>
  <c r="AK126" i="5" s="1"/>
  <c r="NG127" i="5"/>
  <c r="AK127" i="5" s="1"/>
  <c r="NG128" i="5"/>
  <c r="AK128" i="5" s="1"/>
  <c r="NG129" i="5"/>
  <c r="AK129" i="5" s="1"/>
  <c r="NG130" i="5"/>
  <c r="AK130" i="5" s="1"/>
  <c r="NG131" i="5"/>
  <c r="AK131" i="5" s="1"/>
  <c r="NG132" i="5"/>
  <c r="AK132" i="5" s="1"/>
  <c r="NG133" i="5"/>
  <c r="AK133" i="5" s="1"/>
  <c r="NG134" i="5"/>
  <c r="AK134" i="5" s="1"/>
  <c r="NG135" i="5"/>
  <c r="AK135" i="5" s="1"/>
  <c r="NG136" i="5"/>
  <c r="AK136" i="5" s="1"/>
  <c r="NG137" i="5"/>
  <c r="AK137" i="5" s="1"/>
  <c r="NG138" i="5"/>
  <c r="AK138" i="5" s="1"/>
  <c r="NG139" i="5"/>
  <c r="AK139" i="5" s="1"/>
  <c r="NG140" i="5"/>
  <c r="AK140" i="5" s="1"/>
  <c r="NG141" i="5"/>
  <c r="AK141" i="5" s="1"/>
  <c r="NG142" i="5"/>
  <c r="AK142" i="5" s="1"/>
  <c r="NG143" i="5"/>
  <c r="AK143" i="5" s="1"/>
  <c r="NG144" i="5"/>
  <c r="AK144" i="5" s="1"/>
  <c r="NG145" i="5"/>
  <c r="AK145" i="5" s="1"/>
  <c r="NG146" i="5"/>
  <c r="AK146" i="5" s="1"/>
  <c r="NG147" i="5"/>
  <c r="AK147" i="5" s="1"/>
  <c r="NG148" i="5"/>
  <c r="AK148" i="5" s="1"/>
  <c r="NG149" i="5"/>
  <c r="AK149" i="5" s="1"/>
  <c r="NG150" i="5"/>
  <c r="AK150" i="5" s="1"/>
  <c r="NG151" i="5"/>
  <c r="AK151" i="5" s="1"/>
  <c r="NG152" i="5"/>
  <c r="AK152" i="5" s="1"/>
  <c r="NG153" i="5"/>
  <c r="AK153" i="5" s="1"/>
  <c r="NG154" i="5"/>
  <c r="AK154" i="5" s="1"/>
  <c r="NG155" i="5"/>
  <c r="AK155" i="5" s="1"/>
  <c r="NG156" i="5"/>
  <c r="AK156" i="5" s="1"/>
  <c r="NG157" i="5"/>
  <c r="AK157" i="5" s="1"/>
  <c r="NG158" i="5"/>
  <c r="AK158" i="5" s="1"/>
  <c r="NG159" i="5"/>
  <c r="AK159" i="5" s="1"/>
  <c r="NG160" i="5"/>
  <c r="AK160" i="5" s="1"/>
  <c r="NG161" i="5"/>
  <c r="AK161" i="5" s="1"/>
  <c r="NG162" i="5"/>
  <c r="AK162" i="5" s="1"/>
  <c r="NG163" i="5"/>
  <c r="AK163" i="5" s="1"/>
  <c r="NG164" i="5"/>
  <c r="AK164" i="5" s="1"/>
  <c r="NG165" i="5"/>
  <c r="AK165" i="5" s="1"/>
  <c r="NG166" i="5"/>
  <c r="AK166" i="5" s="1"/>
  <c r="NG167" i="5"/>
  <c r="AK167" i="5" s="1"/>
  <c r="NG168" i="5"/>
  <c r="AK168" i="5" s="1"/>
  <c r="NG169" i="5"/>
  <c r="AK169" i="5" s="1"/>
  <c r="NG170" i="5"/>
  <c r="AK170" i="5" s="1"/>
  <c r="NG171" i="5"/>
  <c r="AK171" i="5" s="1"/>
  <c r="NG172" i="5"/>
  <c r="AK172" i="5" s="1"/>
  <c r="NG173" i="5"/>
  <c r="AK173" i="5" s="1"/>
  <c r="NG174" i="5"/>
  <c r="AK174" i="5" s="1"/>
  <c r="NG175" i="5"/>
  <c r="AK175" i="5" s="1"/>
  <c r="NG176" i="5"/>
  <c r="AK176" i="5" s="1"/>
  <c r="NG177" i="5"/>
  <c r="AK177" i="5" s="1"/>
  <c r="NG178" i="5"/>
  <c r="AK178" i="5" s="1"/>
  <c r="NG179" i="5"/>
  <c r="AK179" i="5" s="1"/>
  <c r="NG180" i="5"/>
  <c r="AK180" i="5" s="1"/>
  <c r="NG181" i="5"/>
  <c r="AK181" i="5" s="1"/>
  <c r="NG182" i="5"/>
  <c r="AK182" i="5" s="1"/>
  <c r="NG183" i="5"/>
  <c r="AK183" i="5" s="1"/>
  <c r="NG184" i="5"/>
  <c r="NG185" i="5"/>
  <c r="AK185" i="5" s="1"/>
  <c r="NG186" i="5"/>
  <c r="NG187" i="5"/>
  <c r="AK187" i="5" s="1"/>
  <c r="NG188" i="5"/>
  <c r="AK188" i="5" s="1"/>
  <c r="NG189" i="5"/>
  <c r="AK189" i="5" s="1"/>
  <c r="NG190" i="5"/>
  <c r="AK190" i="5" s="1"/>
  <c r="NG191" i="5"/>
  <c r="AK191" i="5" s="1"/>
  <c r="NG192" i="5"/>
  <c r="AK192" i="5" s="1"/>
  <c r="NG193" i="5"/>
  <c r="AK193" i="5" s="1"/>
  <c r="NG202" i="5"/>
  <c r="AK202" i="5" s="1"/>
  <c r="NG203" i="5"/>
  <c r="AK203" i="5" s="1"/>
  <c r="NG204" i="5"/>
  <c r="AK204" i="5" s="1"/>
  <c r="NG205" i="5"/>
  <c r="AK205" i="5" s="1"/>
  <c r="NG206" i="5"/>
  <c r="AK206" i="5" s="1"/>
  <c r="NG207" i="5"/>
  <c r="AK207" i="5" s="1"/>
  <c r="NG208" i="5"/>
  <c r="AK208" i="5" s="1"/>
  <c r="NG209" i="5"/>
  <c r="AK209" i="5" s="1"/>
  <c r="NG210" i="5"/>
  <c r="AK210" i="5" s="1"/>
  <c r="NG211" i="5"/>
  <c r="AK211" i="5" s="1"/>
  <c r="NG212" i="5"/>
  <c r="AK212" i="5" s="1"/>
  <c r="NG213" i="5"/>
  <c r="AK213" i="5" s="1"/>
  <c r="NG214" i="5"/>
  <c r="AK214" i="5" s="1"/>
  <c r="NG215" i="5"/>
  <c r="AK215" i="5" s="1"/>
  <c r="NG216" i="5"/>
  <c r="AK216" i="5" s="1"/>
  <c r="NG217" i="5"/>
  <c r="AK217" i="5" s="1"/>
  <c r="NG218" i="5"/>
  <c r="AK218" i="5" s="1"/>
  <c r="NG219" i="5"/>
  <c r="AK219" i="5" s="1"/>
  <c r="NG220" i="5"/>
  <c r="AK220" i="5" s="1"/>
  <c r="NG221" i="5"/>
  <c r="AK221" i="5" s="1"/>
  <c r="NG222" i="5"/>
  <c r="AK222" i="5" s="1"/>
  <c r="NG223" i="5"/>
  <c r="AK223" i="5" s="1"/>
  <c r="NG224" i="5"/>
  <c r="AK224" i="5" s="1"/>
  <c r="NG225" i="5"/>
  <c r="AK225" i="5" s="1"/>
  <c r="NG226" i="5"/>
  <c r="AK226" i="5" s="1"/>
  <c r="NG227" i="5"/>
  <c r="AK227" i="5" s="1"/>
  <c r="NG228" i="5"/>
  <c r="AK228" i="5" s="1"/>
  <c r="NG229" i="5"/>
  <c r="AK229" i="5" s="1"/>
  <c r="NG230" i="5"/>
  <c r="AK230" i="5" s="1"/>
  <c r="NG231" i="5"/>
  <c r="AK231" i="5" s="1"/>
  <c r="NG232" i="5"/>
  <c r="AK232" i="5" s="1"/>
  <c r="NG233" i="5"/>
  <c r="AK233" i="5" s="1"/>
  <c r="NG234" i="5"/>
  <c r="AK234" i="5" s="1"/>
  <c r="NG235" i="5"/>
  <c r="AK235" i="5" s="1"/>
  <c r="NG236" i="5"/>
  <c r="AK236" i="5" s="1"/>
  <c r="NG237" i="5"/>
  <c r="AK237" i="5" s="1"/>
  <c r="NG238" i="5"/>
  <c r="AK238" i="5" s="1"/>
  <c r="NG239" i="5"/>
  <c r="AK239" i="5" s="1"/>
  <c r="NG240" i="5"/>
  <c r="AK240" i="5" s="1"/>
  <c r="NG241" i="5"/>
  <c r="AK241" i="5" s="1"/>
  <c r="NG242" i="5"/>
  <c r="AK242" i="5" s="1"/>
  <c r="NG243" i="5"/>
  <c r="AK243" i="5" s="1"/>
  <c r="NG244" i="5"/>
  <c r="AK244" i="5" s="1"/>
  <c r="NG245" i="5"/>
  <c r="AK245" i="5" s="1"/>
  <c r="NG246" i="5"/>
  <c r="AK246" i="5" s="1"/>
  <c r="NG247" i="5"/>
  <c r="AK247" i="5" s="1"/>
  <c r="NG248" i="5"/>
  <c r="AK248" i="5" s="1"/>
  <c r="NY4" i="5" l="1"/>
  <c r="NY5" i="5"/>
  <c r="NY6" i="5"/>
  <c r="NY7" i="5"/>
  <c r="NY8" i="5"/>
  <c r="NY9" i="5"/>
  <c r="NY10" i="5"/>
  <c r="NY11" i="5"/>
  <c r="NY12" i="5"/>
  <c r="NY13" i="5"/>
  <c r="NY14" i="5"/>
  <c r="NY15" i="5"/>
  <c r="NY16" i="5"/>
  <c r="NY17" i="5"/>
  <c r="NY18" i="5"/>
  <c r="NY19" i="5"/>
  <c r="NY20" i="5"/>
  <c r="NY21" i="5"/>
  <c r="NY22" i="5"/>
  <c r="NY23" i="5"/>
  <c r="NY24" i="5"/>
  <c r="NY25" i="5"/>
  <c r="NY26" i="5"/>
  <c r="NY27" i="5"/>
  <c r="NY28" i="5"/>
  <c r="NY29" i="5"/>
  <c r="NY30" i="5"/>
  <c r="NY31" i="5"/>
  <c r="NY32" i="5"/>
  <c r="NY33" i="5"/>
  <c r="NY34" i="5"/>
  <c r="NY35" i="5"/>
  <c r="NY36" i="5"/>
  <c r="NY37" i="5"/>
  <c r="NY38" i="5"/>
  <c r="NY39" i="5"/>
  <c r="NY40" i="5"/>
  <c r="NY41" i="5"/>
  <c r="NY42" i="5"/>
  <c r="NY43" i="5"/>
  <c r="NY44" i="5"/>
  <c r="NY45" i="5"/>
  <c r="NY46" i="5"/>
  <c r="NY47" i="5"/>
  <c r="NY48" i="5"/>
  <c r="NY49" i="5"/>
  <c r="NY50" i="5"/>
  <c r="NY51" i="5"/>
  <c r="NY52" i="5"/>
  <c r="NY53" i="5"/>
  <c r="NY54" i="5"/>
  <c r="NY55" i="5"/>
  <c r="NY56" i="5"/>
  <c r="NY57" i="5"/>
  <c r="NY58" i="5"/>
  <c r="NY59" i="5"/>
  <c r="NY60" i="5"/>
  <c r="NY61" i="5"/>
  <c r="NY62" i="5"/>
  <c r="NY63" i="5"/>
  <c r="NY64" i="5"/>
  <c r="NY65" i="5"/>
  <c r="NY66" i="5"/>
  <c r="NY67" i="5"/>
  <c r="NY68" i="5"/>
  <c r="NY69" i="5"/>
  <c r="NY70" i="5"/>
  <c r="NY71" i="5"/>
  <c r="NY72" i="5"/>
  <c r="NY73" i="5"/>
  <c r="NY74" i="5"/>
  <c r="NY75" i="5"/>
  <c r="NY76" i="5"/>
  <c r="NY77" i="5"/>
  <c r="NY78" i="5"/>
  <c r="NY79" i="5"/>
  <c r="NY80" i="5"/>
  <c r="NY81" i="5"/>
  <c r="NY82" i="5"/>
  <c r="NY83" i="5"/>
  <c r="NY84" i="5"/>
  <c r="NY85" i="5"/>
  <c r="NY86" i="5"/>
  <c r="NY87" i="5"/>
  <c r="NY88" i="5"/>
  <c r="NY89" i="5"/>
  <c r="NY90" i="5"/>
  <c r="NY91" i="5"/>
  <c r="NY92" i="5"/>
  <c r="NY93" i="5"/>
  <c r="NY94" i="5"/>
  <c r="NY95" i="5"/>
  <c r="NY96" i="5"/>
  <c r="NY97" i="5"/>
  <c r="NY98" i="5"/>
  <c r="NY99" i="5"/>
  <c r="NY100" i="5"/>
  <c r="NY101" i="5"/>
  <c r="NY102" i="5"/>
  <c r="NY103" i="5"/>
  <c r="NY104" i="5"/>
  <c r="NY105" i="5"/>
  <c r="NY106" i="5"/>
  <c r="NY107" i="5"/>
  <c r="NY108" i="5"/>
  <c r="NY109" i="5"/>
  <c r="NY110" i="5"/>
  <c r="NY111" i="5"/>
  <c r="NY112" i="5"/>
  <c r="NY113" i="5"/>
  <c r="NY114" i="5"/>
  <c r="NY115" i="5"/>
  <c r="NY116" i="5"/>
  <c r="NY117" i="5"/>
  <c r="NY118" i="5"/>
  <c r="NY119" i="5"/>
  <c r="NY120" i="5"/>
  <c r="NY121" i="5"/>
  <c r="NY122" i="5"/>
  <c r="NY123" i="5"/>
  <c r="NY124" i="5"/>
  <c r="NY125" i="5"/>
  <c r="NY126" i="5"/>
  <c r="NY127" i="5"/>
  <c r="NY128" i="5"/>
  <c r="NY129" i="5"/>
  <c r="NY130" i="5"/>
  <c r="NY131" i="5"/>
  <c r="NY132" i="5"/>
  <c r="NY133" i="5"/>
  <c r="NY134" i="5"/>
  <c r="NY135" i="5"/>
  <c r="NY136" i="5"/>
  <c r="NY137" i="5"/>
  <c r="NY138" i="5"/>
  <c r="NY139" i="5"/>
  <c r="NY140" i="5"/>
  <c r="NY141" i="5"/>
  <c r="NY142" i="5"/>
  <c r="NY143" i="5"/>
  <c r="NY144" i="5"/>
  <c r="NY145" i="5"/>
  <c r="NY146" i="5"/>
  <c r="NY147" i="5"/>
  <c r="NY148" i="5"/>
  <c r="NY149" i="5"/>
  <c r="NY150" i="5"/>
  <c r="NY151" i="5"/>
  <c r="NY152" i="5"/>
  <c r="NY153" i="5"/>
  <c r="NY154" i="5"/>
  <c r="NY155" i="5"/>
  <c r="NY156" i="5"/>
  <c r="NY157" i="5"/>
  <c r="NY158" i="5"/>
  <c r="NY159" i="5"/>
  <c r="NY160" i="5"/>
  <c r="NY161" i="5"/>
  <c r="NY162" i="5"/>
  <c r="NY163" i="5"/>
  <c r="NY164" i="5"/>
  <c r="NY165" i="5"/>
  <c r="NY166" i="5"/>
  <c r="NY167" i="5"/>
  <c r="NY168" i="5"/>
  <c r="NY169" i="5"/>
  <c r="NY170" i="5"/>
  <c r="NY171" i="5"/>
  <c r="NY172" i="5"/>
  <c r="NY173" i="5"/>
  <c r="NY174" i="5"/>
  <c r="NY175" i="5"/>
  <c r="NY176" i="5"/>
  <c r="NY177" i="5"/>
  <c r="NY178" i="5"/>
  <c r="NY179" i="5"/>
  <c r="NY180" i="5"/>
  <c r="NY181" i="5"/>
  <c r="NY182" i="5"/>
  <c r="NY183" i="5"/>
  <c r="NY184" i="5"/>
  <c r="NY185" i="5"/>
  <c r="NY186" i="5"/>
  <c r="NY187" i="5"/>
  <c r="NY188" i="5"/>
  <c r="NY189" i="5"/>
  <c r="NY190" i="5"/>
  <c r="NY191" i="5"/>
  <c r="NY192" i="5"/>
  <c r="NY193" i="5"/>
  <c r="NY194" i="5"/>
  <c r="NY195" i="5"/>
  <c r="NY196" i="5"/>
  <c r="NY197" i="5"/>
  <c r="NY198" i="5"/>
  <c r="NY199" i="5"/>
  <c r="NY200" i="5"/>
  <c r="NY201" i="5"/>
  <c r="NY202" i="5"/>
  <c r="NY203" i="5"/>
  <c r="NY204" i="5"/>
  <c r="NY205" i="5"/>
  <c r="NY206" i="5"/>
  <c r="NY207" i="5"/>
  <c r="NY208" i="5"/>
  <c r="NY209" i="5"/>
  <c r="NY210" i="5"/>
  <c r="NY211" i="5"/>
  <c r="NY212" i="5"/>
  <c r="NY213" i="5"/>
  <c r="NY214" i="5"/>
  <c r="NY215" i="5"/>
  <c r="NY216" i="5"/>
  <c r="NY217" i="5"/>
  <c r="NY218" i="5"/>
  <c r="NY219" i="5"/>
  <c r="NY220" i="5"/>
  <c r="NY221" i="5"/>
  <c r="NY222" i="5"/>
  <c r="NY223" i="5"/>
  <c r="NY224" i="5"/>
  <c r="NY225" i="5"/>
  <c r="NY226" i="5"/>
  <c r="NY227" i="5"/>
  <c r="NY228" i="5"/>
  <c r="NY229" i="5"/>
  <c r="NY230" i="5"/>
  <c r="NY231" i="5"/>
  <c r="NY232" i="5"/>
  <c r="NY233" i="5"/>
  <c r="NY234" i="5"/>
  <c r="NY235" i="5"/>
  <c r="NY236" i="5"/>
  <c r="NY237" i="5"/>
  <c r="NY238" i="5"/>
  <c r="NY239" i="5"/>
  <c r="NY240" i="5"/>
  <c r="NY241" i="5"/>
  <c r="NY242" i="5"/>
  <c r="NY243" i="5"/>
  <c r="NY244" i="5"/>
  <c r="NY245" i="5"/>
  <c r="NY246" i="5"/>
  <c r="NY247" i="5"/>
  <c r="NY248" i="5"/>
  <c r="NY3" i="5"/>
  <c r="BS3" i="5" l="1"/>
  <c r="NZ3" i="5" l="1"/>
  <c r="CT3" i="5"/>
  <c r="MZ3" i="5"/>
  <c r="ND207" i="5"/>
  <c r="MT3" i="5"/>
  <c r="MT4" i="5"/>
  <c r="MT5" i="5"/>
  <c r="MT6" i="5"/>
  <c r="MT7" i="5"/>
  <c r="MT8" i="5"/>
  <c r="MT9" i="5"/>
  <c r="MT10" i="5"/>
  <c r="MT11" i="5"/>
  <c r="MT12" i="5"/>
  <c r="MT13" i="5"/>
  <c r="MT14" i="5"/>
  <c r="MT15" i="5"/>
  <c r="MT16" i="5"/>
  <c r="MT17" i="5"/>
  <c r="MT18" i="5"/>
  <c r="MT19" i="5"/>
  <c r="MT20" i="5"/>
  <c r="MT21" i="5"/>
  <c r="MT22" i="5"/>
  <c r="MT23" i="5"/>
  <c r="MT24" i="5"/>
  <c r="MT25" i="5"/>
  <c r="MT26" i="5"/>
  <c r="MT27" i="5"/>
  <c r="MT28" i="5"/>
  <c r="MT29" i="5"/>
  <c r="MT30" i="5"/>
  <c r="MT31" i="5"/>
  <c r="MT32" i="5"/>
  <c r="MT33" i="5"/>
  <c r="MT34" i="5"/>
  <c r="MT35" i="5"/>
  <c r="MT36" i="5"/>
  <c r="MT37" i="5"/>
  <c r="MT38" i="5"/>
  <c r="MT39" i="5"/>
  <c r="MT40" i="5"/>
  <c r="MT41" i="5"/>
  <c r="MT42" i="5"/>
  <c r="MT43" i="5"/>
  <c r="MT44" i="5"/>
  <c r="MT45" i="5"/>
  <c r="MT46" i="5"/>
  <c r="MT47" i="5"/>
  <c r="MT48" i="5"/>
  <c r="MT49" i="5"/>
  <c r="MT50" i="5"/>
  <c r="MT51" i="5"/>
  <c r="MT52" i="5"/>
  <c r="MT53" i="5"/>
  <c r="MT54" i="5"/>
  <c r="MT55" i="5"/>
  <c r="MT56" i="5"/>
  <c r="MT57" i="5"/>
  <c r="MT58" i="5"/>
  <c r="MT59" i="5"/>
  <c r="MT60" i="5"/>
  <c r="MT61" i="5"/>
  <c r="MT62" i="5"/>
  <c r="MT63" i="5"/>
  <c r="MT64" i="5"/>
  <c r="MT65" i="5"/>
  <c r="MT66" i="5"/>
  <c r="MT67" i="5"/>
  <c r="MT68" i="5"/>
  <c r="MT69" i="5"/>
  <c r="MT70" i="5"/>
  <c r="MT71" i="5"/>
  <c r="MT72" i="5"/>
  <c r="MT73" i="5"/>
  <c r="MT74" i="5"/>
  <c r="MT75" i="5"/>
  <c r="MT76" i="5"/>
  <c r="MT77" i="5"/>
  <c r="MT78" i="5"/>
  <c r="MT79" i="5"/>
  <c r="MT80" i="5"/>
  <c r="MT81" i="5"/>
  <c r="MT82" i="5"/>
  <c r="MT83" i="5"/>
  <c r="MT84" i="5"/>
  <c r="MT85" i="5"/>
  <c r="MT86" i="5"/>
  <c r="MT87" i="5"/>
  <c r="MT88" i="5"/>
  <c r="MT89" i="5"/>
  <c r="MT90" i="5"/>
  <c r="MT91" i="5"/>
  <c r="MT92" i="5"/>
  <c r="MT93" i="5"/>
  <c r="MT94" i="5"/>
  <c r="MT95" i="5"/>
  <c r="MT96" i="5"/>
  <c r="MT97" i="5"/>
  <c r="MT98" i="5"/>
  <c r="MT99" i="5"/>
  <c r="MT100" i="5"/>
  <c r="MT101" i="5"/>
  <c r="MT102" i="5"/>
  <c r="MT103" i="5"/>
  <c r="MT104" i="5"/>
  <c r="MT105" i="5"/>
  <c r="MT106" i="5"/>
  <c r="MT107" i="5"/>
  <c r="MT108" i="5"/>
  <c r="MT109" i="5"/>
  <c r="MT110" i="5"/>
  <c r="MT111" i="5"/>
  <c r="MT112" i="5"/>
  <c r="MT113" i="5"/>
  <c r="MT114" i="5"/>
  <c r="MT115" i="5"/>
  <c r="MT116" i="5"/>
  <c r="MT117" i="5"/>
  <c r="MT118" i="5"/>
  <c r="MT119" i="5"/>
  <c r="MT120" i="5"/>
  <c r="MT121" i="5"/>
  <c r="MT122" i="5"/>
  <c r="MT123" i="5"/>
  <c r="MT124" i="5"/>
  <c r="MT125" i="5"/>
  <c r="MT126" i="5"/>
  <c r="MT127" i="5"/>
  <c r="MT128" i="5"/>
  <c r="MT129" i="5"/>
  <c r="MT130" i="5"/>
  <c r="MT131" i="5"/>
  <c r="MT132" i="5"/>
  <c r="MT133" i="5"/>
  <c r="MT134" i="5"/>
  <c r="MT135" i="5"/>
  <c r="MT136" i="5"/>
  <c r="MT137" i="5"/>
  <c r="MT138" i="5"/>
  <c r="MT139" i="5"/>
  <c r="MT140" i="5"/>
  <c r="MT141" i="5"/>
  <c r="MT142" i="5"/>
  <c r="MT143" i="5"/>
  <c r="MT144" i="5"/>
  <c r="MT145" i="5"/>
  <c r="MT146" i="5"/>
  <c r="MT147" i="5"/>
  <c r="MT148" i="5"/>
  <c r="MT149" i="5"/>
  <c r="MT150" i="5"/>
  <c r="MT151" i="5"/>
  <c r="MT152" i="5"/>
  <c r="MT153" i="5"/>
  <c r="MT154" i="5"/>
  <c r="MT155" i="5"/>
  <c r="MT156" i="5"/>
  <c r="MT157" i="5"/>
  <c r="MT158" i="5"/>
  <c r="MT159" i="5"/>
  <c r="MT160" i="5"/>
  <c r="MT161" i="5"/>
  <c r="MT162" i="5"/>
  <c r="MT163" i="5"/>
  <c r="MT164" i="5"/>
  <c r="MT165" i="5"/>
  <c r="MT166" i="5"/>
  <c r="MT167" i="5"/>
  <c r="MT168" i="5"/>
  <c r="MT169" i="5"/>
  <c r="MT170" i="5"/>
  <c r="MT171" i="5"/>
  <c r="MT172" i="5"/>
  <c r="MT173" i="5"/>
  <c r="MT174" i="5"/>
  <c r="MT175" i="5"/>
  <c r="MT176" i="5"/>
  <c r="MT177" i="5"/>
  <c r="MT178" i="5"/>
  <c r="MT179" i="5"/>
  <c r="MT180" i="5"/>
  <c r="MT181" i="5"/>
  <c r="MT182" i="5"/>
  <c r="MT183" i="5"/>
  <c r="MT184" i="5"/>
  <c r="MT185" i="5"/>
  <c r="MT186" i="5"/>
  <c r="MT187" i="5"/>
  <c r="MT188" i="5"/>
  <c r="MT189" i="5"/>
  <c r="MT190" i="5"/>
  <c r="MT191" i="5"/>
  <c r="MT192" i="5"/>
  <c r="MT193" i="5"/>
  <c r="MT202" i="5"/>
  <c r="MT203" i="5"/>
  <c r="MT204" i="5"/>
  <c r="MT205" i="5"/>
  <c r="MT206" i="5"/>
  <c r="MT207" i="5"/>
  <c r="MT208" i="5"/>
  <c r="MT209" i="5"/>
  <c r="MT210" i="5"/>
  <c r="MT211" i="5"/>
  <c r="MT212" i="5"/>
  <c r="MT213" i="5"/>
  <c r="MT214" i="5"/>
  <c r="MT215" i="5"/>
  <c r="MT216" i="5"/>
  <c r="MT217" i="5"/>
  <c r="MT218" i="5"/>
  <c r="MT219" i="5"/>
  <c r="MT220" i="5"/>
  <c r="MT221" i="5"/>
  <c r="MT222" i="5"/>
  <c r="MT223" i="5"/>
  <c r="MT224" i="5"/>
  <c r="MT225" i="5"/>
  <c r="MT226" i="5"/>
  <c r="MT227" i="5"/>
  <c r="MT228" i="5"/>
  <c r="MT229" i="5"/>
  <c r="MT230" i="5"/>
  <c r="MT231" i="5"/>
  <c r="MT232" i="5"/>
  <c r="MT233" i="5"/>
  <c r="MT234" i="5"/>
  <c r="MT235" i="5"/>
  <c r="MT236" i="5"/>
  <c r="MT237" i="5"/>
  <c r="MT238" i="5"/>
  <c r="MT239" i="5"/>
  <c r="MT240" i="5"/>
  <c r="MT241" i="5"/>
  <c r="MT242" i="5"/>
  <c r="MT243" i="5"/>
  <c r="MT244" i="5"/>
  <c r="MT245" i="5"/>
  <c r="MT246" i="5"/>
  <c r="MT247" i="5"/>
  <c r="MT248" i="5"/>
  <c r="MZ4" i="5"/>
  <c r="MZ5" i="5"/>
  <c r="MZ6" i="5"/>
  <c r="MZ7" i="5"/>
  <c r="MZ8" i="5"/>
  <c r="MZ9" i="5"/>
  <c r="MZ10" i="5"/>
  <c r="MZ11" i="5"/>
  <c r="MZ12" i="5"/>
  <c r="MZ13" i="5"/>
  <c r="MZ14" i="5"/>
  <c r="MZ15" i="5"/>
  <c r="MZ16" i="5"/>
  <c r="MZ17" i="5"/>
  <c r="MZ18" i="5"/>
  <c r="MZ19" i="5"/>
  <c r="MZ20" i="5"/>
  <c r="MZ21" i="5"/>
  <c r="MZ22" i="5"/>
  <c r="MZ23" i="5"/>
  <c r="MZ24" i="5"/>
  <c r="MZ25" i="5"/>
  <c r="MZ26" i="5"/>
  <c r="MZ27" i="5"/>
  <c r="MZ28" i="5"/>
  <c r="MZ29" i="5"/>
  <c r="MZ30" i="5"/>
  <c r="MZ31" i="5"/>
  <c r="MZ32" i="5"/>
  <c r="MZ33" i="5"/>
  <c r="MZ34" i="5"/>
  <c r="MZ35" i="5"/>
  <c r="MZ36" i="5"/>
  <c r="MZ37" i="5"/>
  <c r="MZ38" i="5"/>
  <c r="MZ39" i="5"/>
  <c r="MZ40" i="5"/>
  <c r="MZ41" i="5"/>
  <c r="MZ42" i="5"/>
  <c r="MZ43" i="5"/>
  <c r="MZ44" i="5"/>
  <c r="MZ45" i="5"/>
  <c r="MZ46" i="5"/>
  <c r="MZ47" i="5"/>
  <c r="MZ48" i="5"/>
  <c r="MZ49" i="5"/>
  <c r="MZ50" i="5"/>
  <c r="MZ51" i="5"/>
  <c r="MZ52" i="5"/>
  <c r="MZ53" i="5"/>
  <c r="MZ54" i="5"/>
  <c r="MZ55" i="5"/>
  <c r="MZ56" i="5"/>
  <c r="MZ57" i="5"/>
  <c r="MZ58" i="5"/>
  <c r="MZ59" i="5"/>
  <c r="MZ60" i="5"/>
  <c r="MZ61" i="5"/>
  <c r="MZ62" i="5"/>
  <c r="MZ63" i="5"/>
  <c r="MZ64" i="5"/>
  <c r="MZ65" i="5"/>
  <c r="MZ66" i="5"/>
  <c r="MZ67" i="5"/>
  <c r="MZ68" i="5"/>
  <c r="MZ69" i="5"/>
  <c r="MZ70" i="5"/>
  <c r="MZ71" i="5"/>
  <c r="MZ72" i="5"/>
  <c r="MZ73" i="5"/>
  <c r="MZ74" i="5"/>
  <c r="MZ75" i="5"/>
  <c r="MZ76" i="5"/>
  <c r="MZ77" i="5"/>
  <c r="MZ78" i="5"/>
  <c r="MZ79" i="5"/>
  <c r="MZ80" i="5"/>
  <c r="MZ81" i="5"/>
  <c r="MZ82" i="5"/>
  <c r="MZ83" i="5"/>
  <c r="MZ84" i="5"/>
  <c r="MZ85" i="5"/>
  <c r="MZ86" i="5"/>
  <c r="MZ87" i="5"/>
  <c r="MZ88" i="5"/>
  <c r="MZ89" i="5"/>
  <c r="MZ90" i="5"/>
  <c r="MZ91" i="5"/>
  <c r="MZ92" i="5"/>
  <c r="MZ93" i="5"/>
  <c r="MZ94" i="5"/>
  <c r="MZ95" i="5"/>
  <c r="MZ96" i="5"/>
  <c r="MZ97" i="5"/>
  <c r="MZ98" i="5"/>
  <c r="MZ99" i="5"/>
  <c r="MZ100" i="5"/>
  <c r="MZ101" i="5"/>
  <c r="MZ102" i="5"/>
  <c r="MZ103" i="5"/>
  <c r="MZ104" i="5"/>
  <c r="MZ105" i="5"/>
  <c r="MZ106" i="5"/>
  <c r="MZ107" i="5"/>
  <c r="MZ108" i="5"/>
  <c r="MZ109" i="5"/>
  <c r="MZ110" i="5"/>
  <c r="MZ111" i="5"/>
  <c r="MZ112" i="5"/>
  <c r="MZ113" i="5"/>
  <c r="MZ114" i="5"/>
  <c r="MZ115" i="5"/>
  <c r="MZ116" i="5"/>
  <c r="MZ117" i="5"/>
  <c r="MZ118" i="5"/>
  <c r="MZ119" i="5"/>
  <c r="MZ120" i="5"/>
  <c r="MZ121" i="5"/>
  <c r="MZ122" i="5"/>
  <c r="MZ123" i="5"/>
  <c r="MZ124" i="5"/>
  <c r="MZ125" i="5"/>
  <c r="MZ126" i="5"/>
  <c r="MZ127" i="5"/>
  <c r="MZ128" i="5"/>
  <c r="MZ129" i="5"/>
  <c r="MZ130" i="5"/>
  <c r="MZ131" i="5"/>
  <c r="MZ132" i="5"/>
  <c r="MZ133" i="5"/>
  <c r="MZ134" i="5"/>
  <c r="MZ135" i="5"/>
  <c r="MZ136" i="5"/>
  <c r="MZ137" i="5"/>
  <c r="MZ138" i="5"/>
  <c r="MZ139" i="5"/>
  <c r="MZ140" i="5"/>
  <c r="MZ141" i="5"/>
  <c r="MZ142" i="5"/>
  <c r="MZ143" i="5"/>
  <c r="MZ144" i="5"/>
  <c r="MZ145" i="5"/>
  <c r="MZ146" i="5"/>
  <c r="MZ147" i="5"/>
  <c r="MZ148" i="5"/>
  <c r="MZ149" i="5"/>
  <c r="MZ150" i="5"/>
  <c r="MZ151" i="5"/>
  <c r="MZ152" i="5"/>
  <c r="MZ153" i="5"/>
  <c r="MZ154" i="5"/>
  <c r="MZ155" i="5"/>
  <c r="MZ156" i="5"/>
  <c r="MZ157" i="5"/>
  <c r="MZ158" i="5"/>
  <c r="MZ159" i="5"/>
  <c r="MZ160" i="5"/>
  <c r="MZ161" i="5"/>
  <c r="MZ162" i="5"/>
  <c r="MZ163" i="5"/>
  <c r="MZ164" i="5"/>
  <c r="MZ165" i="5"/>
  <c r="MZ166" i="5"/>
  <c r="MZ167" i="5"/>
  <c r="MZ168" i="5"/>
  <c r="MZ169" i="5"/>
  <c r="MZ170" i="5"/>
  <c r="MZ171" i="5"/>
  <c r="MZ172" i="5"/>
  <c r="MZ173" i="5"/>
  <c r="MZ174" i="5"/>
  <c r="MZ175" i="5"/>
  <c r="MZ176" i="5"/>
  <c r="MZ177" i="5"/>
  <c r="MZ178" i="5"/>
  <c r="MZ179" i="5"/>
  <c r="MZ180" i="5"/>
  <c r="MZ181" i="5"/>
  <c r="MZ182" i="5"/>
  <c r="MZ183" i="5"/>
  <c r="MZ184" i="5"/>
  <c r="MZ185" i="5"/>
  <c r="MZ186" i="5"/>
  <c r="MZ187" i="5"/>
  <c r="MZ188" i="5"/>
  <c r="MZ189" i="5"/>
  <c r="MZ190" i="5"/>
  <c r="MZ191" i="5"/>
  <c r="MZ192" i="5"/>
  <c r="MZ193" i="5"/>
  <c r="MZ202" i="5"/>
  <c r="MZ203" i="5"/>
  <c r="MZ204" i="5"/>
  <c r="MZ205" i="5"/>
  <c r="MZ206" i="5"/>
  <c r="MZ207" i="5"/>
  <c r="MZ208" i="5"/>
  <c r="MZ209" i="5"/>
  <c r="MZ210" i="5"/>
  <c r="MZ211" i="5"/>
  <c r="MZ212" i="5"/>
  <c r="MZ213" i="5"/>
  <c r="MZ214" i="5"/>
  <c r="MZ215" i="5"/>
  <c r="MZ216" i="5"/>
  <c r="MZ217" i="5"/>
  <c r="MZ218" i="5"/>
  <c r="MZ219" i="5"/>
  <c r="MZ220" i="5"/>
  <c r="MZ221" i="5"/>
  <c r="MZ222" i="5"/>
  <c r="MZ223" i="5"/>
  <c r="MZ224" i="5"/>
  <c r="MZ225" i="5"/>
  <c r="MZ226" i="5"/>
  <c r="MZ227" i="5"/>
  <c r="MZ228" i="5"/>
  <c r="MZ229" i="5"/>
  <c r="MZ230" i="5"/>
  <c r="MZ231" i="5"/>
  <c r="MZ232" i="5"/>
  <c r="MZ233" i="5"/>
  <c r="MZ234" i="5"/>
  <c r="MZ235" i="5"/>
  <c r="MZ236" i="5"/>
  <c r="MZ237" i="5"/>
  <c r="MZ238" i="5"/>
  <c r="MZ239" i="5"/>
  <c r="MZ240" i="5"/>
  <c r="MZ241" i="5"/>
  <c r="MZ242" i="5"/>
  <c r="MZ243" i="5"/>
  <c r="MZ244" i="5"/>
  <c r="MZ245" i="5"/>
  <c r="MZ246" i="5"/>
  <c r="MZ247" i="5"/>
  <c r="MZ248" i="5"/>
  <c r="MV3" i="5" l="1"/>
  <c r="MV4" i="5"/>
  <c r="MV5" i="5"/>
  <c r="MV6" i="5"/>
  <c r="MV7" i="5"/>
  <c r="MV8" i="5"/>
  <c r="MV9" i="5"/>
  <c r="MV10" i="5"/>
  <c r="MV11" i="5"/>
  <c r="MV12" i="5"/>
  <c r="MV13" i="5"/>
  <c r="MV14" i="5"/>
  <c r="MV15" i="5"/>
  <c r="MV16" i="5"/>
  <c r="MV17" i="5"/>
  <c r="MV18" i="5"/>
  <c r="MV19" i="5"/>
  <c r="MV20" i="5"/>
  <c r="MV21" i="5"/>
  <c r="MV22" i="5"/>
  <c r="MV23" i="5"/>
  <c r="MV24" i="5"/>
  <c r="MV25" i="5"/>
  <c r="MV26" i="5"/>
  <c r="MV27" i="5"/>
  <c r="MV28" i="5"/>
  <c r="MV29" i="5"/>
  <c r="MV30" i="5"/>
  <c r="MV31" i="5"/>
  <c r="MV32" i="5"/>
  <c r="MV33" i="5"/>
  <c r="MV34" i="5"/>
  <c r="MV35" i="5"/>
  <c r="MV36" i="5"/>
  <c r="MV37" i="5"/>
  <c r="MV38" i="5"/>
  <c r="MV39" i="5"/>
  <c r="MV40" i="5"/>
  <c r="MV41" i="5"/>
  <c r="MV42" i="5"/>
  <c r="MV43" i="5"/>
  <c r="MV44" i="5"/>
  <c r="MV45" i="5"/>
  <c r="MV46" i="5"/>
  <c r="MV47" i="5"/>
  <c r="MV48" i="5"/>
  <c r="MV49" i="5"/>
  <c r="MV50" i="5"/>
  <c r="MV51" i="5"/>
  <c r="MV52" i="5"/>
  <c r="MV53" i="5"/>
  <c r="MV54" i="5"/>
  <c r="MV55" i="5"/>
  <c r="MV56" i="5"/>
  <c r="MV57" i="5"/>
  <c r="MV58" i="5"/>
  <c r="MV59" i="5"/>
  <c r="MV60" i="5"/>
  <c r="MV61" i="5"/>
  <c r="MV62" i="5"/>
  <c r="MV63" i="5"/>
  <c r="MV64" i="5"/>
  <c r="MV65" i="5"/>
  <c r="MV66" i="5"/>
  <c r="MV67" i="5"/>
  <c r="MV68" i="5"/>
  <c r="MV69" i="5"/>
  <c r="MV70" i="5"/>
  <c r="MV71" i="5"/>
  <c r="MV72" i="5"/>
  <c r="MV73" i="5"/>
  <c r="MV74" i="5"/>
  <c r="MV75" i="5"/>
  <c r="MV76" i="5"/>
  <c r="MV77" i="5"/>
  <c r="MV78" i="5"/>
  <c r="MV79" i="5"/>
  <c r="MV80" i="5"/>
  <c r="MV81" i="5"/>
  <c r="MV82" i="5"/>
  <c r="MV83" i="5"/>
  <c r="MV84" i="5"/>
  <c r="MV85" i="5"/>
  <c r="MV86" i="5"/>
  <c r="MV87" i="5"/>
  <c r="MV88" i="5"/>
  <c r="MV89" i="5"/>
  <c r="MV90" i="5"/>
  <c r="MV91" i="5"/>
  <c r="MV92" i="5"/>
  <c r="MV93" i="5"/>
  <c r="MV94" i="5"/>
  <c r="MV95" i="5"/>
  <c r="MV96" i="5"/>
  <c r="MV97" i="5"/>
  <c r="MV98" i="5"/>
  <c r="MV99" i="5"/>
  <c r="MV100" i="5"/>
  <c r="MV101" i="5"/>
  <c r="MV102" i="5"/>
  <c r="MV103" i="5"/>
  <c r="MV104" i="5"/>
  <c r="MV105" i="5"/>
  <c r="MV106" i="5"/>
  <c r="MV107" i="5"/>
  <c r="MV108" i="5"/>
  <c r="MV109" i="5"/>
  <c r="MV110" i="5"/>
  <c r="MV111" i="5"/>
  <c r="MV112" i="5"/>
  <c r="MV113" i="5"/>
  <c r="MV114" i="5"/>
  <c r="MV115" i="5"/>
  <c r="MV116" i="5"/>
  <c r="MV117" i="5"/>
  <c r="MV118" i="5"/>
  <c r="MV119" i="5"/>
  <c r="MV120" i="5"/>
  <c r="MV121" i="5"/>
  <c r="MV122" i="5"/>
  <c r="MV123" i="5"/>
  <c r="MV124" i="5"/>
  <c r="MV125" i="5"/>
  <c r="MV126" i="5"/>
  <c r="MV127" i="5"/>
  <c r="MV128" i="5"/>
  <c r="MV129" i="5"/>
  <c r="MV130" i="5"/>
  <c r="MV131" i="5"/>
  <c r="MV132" i="5"/>
  <c r="MV133" i="5"/>
  <c r="MV134" i="5"/>
  <c r="MV135" i="5"/>
  <c r="MV136" i="5"/>
  <c r="MV137" i="5"/>
  <c r="MV138" i="5"/>
  <c r="MV139" i="5"/>
  <c r="MV140" i="5"/>
  <c r="MV141" i="5"/>
  <c r="MV142" i="5"/>
  <c r="MV143" i="5"/>
  <c r="MV144" i="5"/>
  <c r="MV145" i="5"/>
  <c r="MV146" i="5"/>
  <c r="MV147" i="5"/>
  <c r="MV148" i="5"/>
  <c r="MV149" i="5"/>
  <c r="MV150" i="5"/>
  <c r="MV151" i="5"/>
  <c r="MV152" i="5"/>
  <c r="MV153" i="5"/>
  <c r="MV154" i="5"/>
  <c r="MV155" i="5"/>
  <c r="MV156" i="5"/>
  <c r="MV157" i="5"/>
  <c r="MV158" i="5"/>
  <c r="MV159" i="5"/>
  <c r="MV160" i="5"/>
  <c r="MV161" i="5"/>
  <c r="MV162" i="5"/>
  <c r="MV163" i="5"/>
  <c r="MV164" i="5"/>
  <c r="MV165" i="5"/>
  <c r="MV166" i="5"/>
  <c r="MV167" i="5"/>
  <c r="MV168" i="5"/>
  <c r="MV169" i="5"/>
  <c r="MV170" i="5"/>
  <c r="MV171" i="5"/>
  <c r="MV172" i="5"/>
  <c r="MV173" i="5"/>
  <c r="MV174" i="5"/>
  <c r="MV175" i="5"/>
  <c r="MV176" i="5"/>
  <c r="MV177" i="5"/>
  <c r="MV178" i="5"/>
  <c r="MV179" i="5"/>
  <c r="MV180" i="5"/>
  <c r="MV181" i="5"/>
  <c r="MV182" i="5"/>
  <c r="MV183" i="5"/>
  <c r="MV184" i="5"/>
  <c r="MV185" i="5"/>
  <c r="MV186" i="5"/>
  <c r="MV187" i="5"/>
  <c r="MV188" i="5"/>
  <c r="MV189" i="5"/>
  <c r="MV190" i="5"/>
  <c r="MV191" i="5"/>
  <c r="MV192" i="5"/>
  <c r="MV193" i="5"/>
  <c r="MV202" i="5"/>
  <c r="MV203" i="5"/>
  <c r="MV204" i="5"/>
  <c r="MV205" i="5"/>
  <c r="MV206" i="5"/>
  <c r="MV207" i="5"/>
  <c r="MV208" i="5"/>
  <c r="MV209" i="5"/>
  <c r="MV210" i="5"/>
  <c r="MV211" i="5"/>
  <c r="MV212" i="5"/>
  <c r="MV213" i="5"/>
  <c r="MV214" i="5"/>
  <c r="MV215" i="5"/>
  <c r="MV216" i="5"/>
  <c r="MV217" i="5"/>
  <c r="MV218" i="5"/>
  <c r="MV219" i="5"/>
  <c r="MV220" i="5"/>
  <c r="MV221" i="5"/>
  <c r="MV222" i="5"/>
  <c r="MV223" i="5"/>
  <c r="MV224" i="5"/>
  <c r="MV225" i="5"/>
  <c r="MV226" i="5"/>
  <c r="MV227" i="5"/>
  <c r="MV228" i="5"/>
  <c r="MV229" i="5"/>
  <c r="MV230" i="5"/>
  <c r="MV231" i="5"/>
  <c r="MV232" i="5"/>
  <c r="MV233" i="5"/>
  <c r="MV234" i="5"/>
  <c r="MV235" i="5"/>
  <c r="MV236" i="5"/>
  <c r="MV237" i="5"/>
  <c r="MV238" i="5"/>
  <c r="MV239" i="5"/>
  <c r="MV240" i="5"/>
  <c r="MV241" i="5"/>
  <c r="MV242" i="5"/>
  <c r="MV243" i="5"/>
  <c r="MV244" i="5"/>
  <c r="MV245" i="5"/>
  <c r="MV246" i="5"/>
  <c r="MV247" i="5"/>
  <c r="MV248" i="5"/>
  <c r="JX3" i="5"/>
  <c r="JZ3" i="5"/>
  <c r="NZ125" i="5"/>
  <c r="CJ125" i="5" s="1"/>
  <c r="NZ126" i="5"/>
  <c r="NZ127" i="5"/>
  <c r="NZ128" i="5"/>
  <c r="NZ132" i="5"/>
  <c r="CJ132" i="5" s="1"/>
  <c r="NZ134" i="5"/>
  <c r="NZ135" i="5"/>
  <c r="NZ136" i="5"/>
  <c r="NZ137" i="5"/>
  <c r="CJ137" i="5" s="1"/>
  <c r="NZ138" i="5"/>
  <c r="NZ140" i="5"/>
  <c r="NZ141" i="5"/>
  <c r="CJ141" i="5" s="1"/>
  <c r="NZ142" i="5"/>
  <c r="NZ145" i="5"/>
  <c r="CJ145" i="5" s="1"/>
  <c r="NZ147" i="5"/>
  <c r="CJ147" i="5" s="1"/>
  <c r="NZ148" i="5"/>
  <c r="NZ150" i="5"/>
  <c r="NZ151" i="5"/>
  <c r="CJ151" i="5" s="1"/>
  <c r="NZ152" i="5"/>
  <c r="CJ152" i="5" s="1"/>
  <c r="NZ153" i="5"/>
  <c r="NZ154" i="5"/>
  <c r="NZ157" i="5"/>
  <c r="CJ157" i="5" s="1"/>
  <c r="NZ158" i="5"/>
  <c r="NZ159" i="5"/>
  <c r="NZ160" i="5"/>
  <c r="NZ161" i="5"/>
  <c r="CJ161" i="5" s="1"/>
  <c r="NZ162" i="5"/>
  <c r="NZ163" i="5"/>
  <c r="NZ166" i="5"/>
  <c r="NZ167" i="5"/>
  <c r="NZ171" i="5"/>
  <c r="NZ174" i="5"/>
  <c r="NZ175" i="5"/>
  <c r="CJ175" i="5" s="1"/>
  <c r="NZ176" i="5"/>
  <c r="CJ176" i="5" s="1"/>
  <c r="NZ178" i="5"/>
  <c r="CJ178" i="5" s="1"/>
  <c r="NZ179" i="5"/>
  <c r="CJ179" i="5" s="1"/>
  <c r="NZ180" i="5"/>
  <c r="CJ180" i="5" s="1"/>
  <c r="NZ181" i="5"/>
  <c r="NZ182" i="5"/>
  <c r="NZ183" i="5"/>
  <c r="NZ184" i="5"/>
  <c r="NZ186" i="5"/>
  <c r="NZ187" i="5"/>
  <c r="CJ187" i="5" s="1"/>
  <c r="NZ188" i="5"/>
  <c r="NZ189" i="5"/>
  <c r="CJ189" i="5" s="1"/>
  <c r="NZ190" i="5"/>
  <c r="NZ191" i="5"/>
  <c r="NZ192" i="5"/>
  <c r="NZ194" i="5"/>
  <c r="NZ195" i="5"/>
  <c r="NZ196" i="5"/>
  <c r="NZ197" i="5"/>
  <c r="NZ198" i="5"/>
  <c r="CJ198" i="5" s="1"/>
  <c r="NZ199" i="5"/>
  <c r="NZ200" i="5"/>
  <c r="CJ200" i="5" s="1"/>
  <c r="NZ201" i="5"/>
  <c r="NZ202" i="5"/>
  <c r="NZ204" i="5"/>
  <c r="NZ206" i="5"/>
  <c r="CJ206" i="5" s="1"/>
  <c r="NZ208" i="5"/>
  <c r="CJ208" i="5" s="1"/>
  <c r="NZ212" i="5"/>
  <c r="NZ214" i="5"/>
  <c r="NZ215" i="5"/>
  <c r="NZ216" i="5"/>
  <c r="NZ217" i="5"/>
  <c r="NZ218" i="5"/>
  <c r="NZ219" i="5"/>
  <c r="CJ219" i="5" s="1"/>
  <c r="NZ220" i="5"/>
  <c r="CJ220" i="5" s="1"/>
  <c r="NZ221" i="5"/>
  <c r="NZ222" i="5"/>
  <c r="NZ223" i="5"/>
  <c r="CJ223" i="5" s="1"/>
  <c r="NZ224" i="5"/>
  <c r="NZ225" i="5"/>
  <c r="NZ226" i="5"/>
  <c r="NZ227" i="5"/>
  <c r="NZ228" i="5"/>
  <c r="NZ229" i="5"/>
  <c r="NZ230" i="5"/>
  <c r="NZ231" i="5"/>
  <c r="NZ234" i="5"/>
  <c r="NZ235" i="5"/>
  <c r="CJ235" i="5" s="1"/>
  <c r="NZ236" i="5"/>
  <c r="NZ237" i="5"/>
  <c r="NZ238" i="5"/>
  <c r="NZ239" i="5"/>
  <c r="NZ240" i="5"/>
  <c r="CJ240" i="5" s="1"/>
  <c r="NZ241" i="5"/>
  <c r="CJ241" i="5" s="1"/>
  <c r="NZ242" i="5"/>
  <c r="NZ243" i="5"/>
  <c r="NZ244" i="5"/>
  <c r="NZ245" i="5"/>
  <c r="NZ246" i="5"/>
  <c r="NZ247" i="5"/>
  <c r="CJ247" i="5" s="1"/>
  <c r="NZ248" i="5"/>
  <c r="RX247" i="5" l="1"/>
  <c r="RY247" i="5" s="1"/>
  <c r="RX244" i="5"/>
  <c r="RY244" i="5" s="1"/>
  <c r="RX241" i="5"/>
  <c r="RY241" i="5" s="1"/>
  <c r="RX238" i="5"/>
  <c r="RY238" i="5" s="1"/>
  <c r="RX235" i="5"/>
  <c r="RY235" i="5" s="1"/>
  <c r="RX220" i="5"/>
  <c r="RY220" i="5" s="1"/>
  <c r="RX216" i="5"/>
  <c r="RY216" i="5" s="1"/>
  <c r="RX201" i="5"/>
  <c r="RY201" i="5" s="1"/>
  <c r="RX199" i="5"/>
  <c r="RY199" i="5" s="1"/>
  <c r="RX196" i="5"/>
  <c r="RY196" i="5" s="1"/>
  <c r="RX191" i="5"/>
  <c r="RY191" i="5" s="1"/>
  <c r="RX182" i="5"/>
  <c r="RY182" i="5" s="1"/>
  <c r="RX147" i="5"/>
  <c r="RY147" i="5" s="1"/>
  <c r="RX123" i="5"/>
  <c r="RY123" i="5" s="1"/>
  <c r="RX117" i="5"/>
  <c r="RY117" i="5" s="1"/>
  <c r="RX40" i="5"/>
  <c r="RY40" i="5" s="1"/>
  <c r="RX246" i="5"/>
  <c r="RY246" i="5" s="1"/>
  <c r="RX243" i="5"/>
  <c r="RY243" i="5" s="1"/>
  <c r="RX240" i="5"/>
  <c r="RY240" i="5" s="1"/>
  <c r="RX237" i="5"/>
  <c r="RY237" i="5" s="1"/>
  <c r="RX218" i="5"/>
  <c r="RY218" i="5" s="1"/>
  <c r="RX214" i="5"/>
  <c r="RY214" i="5" s="1"/>
  <c r="RX202" i="5"/>
  <c r="RY202" i="5" s="1"/>
  <c r="RX200" i="5"/>
  <c r="RY200" i="5" s="1"/>
  <c r="RX198" i="5"/>
  <c r="RY198" i="5" s="1"/>
  <c r="RX195" i="5"/>
  <c r="RY195" i="5" s="1"/>
  <c r="RX192" i="5"/>
  <c r="RY192" i="5" s="1"/>
  <c r="RX187" i="5"/>
  <c r="RY187" i="5" s="1"/>
  <c r="RX184" i="5"/>
  <c r="RY184" i="5" s="1"/>
  <c r="RX178" i="5"/>
  <c r="RY178" i="5" s="1"/>
  <c r="RX167" i="5"/>
  <c r="RY167" i="5" s="1"/>
  <c r="RX161" i="5"/>
  <c r="RY161" i="5" s="1"/>
  <c r="RX122" i="5"/>
  <c r="RY122" i="5" s="1"/>
  <c r="RX119" i="5"/>
  <c r="RY119" i="5" s="1"/>
  <c r="RX61" i="5"/>
  <c r="RY61" i="5" s="1"/>
  <c r="RX111" i="5"/>
  <c r="RY111" i="5" s="1"/>
  <c r="RX43" i="5"/>
  <c r="RY43" i="5" s="1"/>
  <c r="RX248" i="5"/>
  <c r="RY248" i="5" s="1"/>
  <c r="RX245" i="5"/>
  <c r="RY245" i="5" s="1"/>
  <c r="RX239" i="5"/>
  <c r="RY239" i="5" s="1"/>
  <c r="RX236" i="5"/>
  <c r="RY236" i="5" s="1"/>
  <c r="RX221" i="5"/>
  <c r="RY221" i="5" s="1"/>
  <c r="RX217" i="5"/>
  <c r="RY217" i="5" s="1"/>
  <c r="RX215" i="5"/>
  <c r="RY215" i="5" s="1"/>
  <c r="RX197" i="5"/>
  <c r="RY197" i="5" s="1"/>
  <c r="RX194" i="5"/>
  <c r="RY194" i="5" s="1"/>
  <c r="RX186" i="5"/>
  <c r="RY186" i="5" s="1"/>
  <c r="RX183" i="5"/>
  <c r="RY183" i="5" s="1"/>
  <c r="RX166" i="5"/>
  <c r="RY166" i="5" s="1"/>
  <c r="RX163" i="5"/>
  <c r="RY163" i="5" s="1"/>
  <c r="RX160" i="5"/>
  <c r="RY160" i="5" s="1"/>
  <c r="RX151" i="5"/>
  <c r="RY151" i="5" s="1"/>
  <c r="RX141" i="5"/>
  <c r="RY141" i="5" s="1"/>
  <c r="RX118" i="5"/>
  <c r="RY118" i="5" s="1"/>
  <c r="NZ114" i="5"/>
  <c r="CJ114" i="5" s="1"/>
  <c r="NZ113" i="5"/>
  <c r="PB113" i="5" s="1"/>
  <c r="NZ112" i="5"/>
  <c r="NZ111" i="5"/>
  <c r="CJ111" i="5" s="1"/>
  <c r="NZ110" i="5"/>
  <c r="NZ109" i="5"/>
  <c r="NZ92" i="5"/>
  <c r="NZ89" i="5"/>
  <c r="NZ81" i="5"/>
  <c r="NZ78" i="5"/>
  <c r="CJ78" i="5" s="1"/>
  <c r="NZ77" i="5"/>
  <c r="OX77" i="5" s="1"/>
  <c r="NZ74" i="5"/>
  <c r="NZ68" i="5"/>
  <c r="NZ67" i="5"/>
  <c r="PD67" i="5" s="1"/>
  <c r="NZ51" i="5"/>
  <c r="NZ50" i="5"/>
  <c r="NZ49" i="5"/>
  <c r="NZ48" i="5"/>
  <c r="NZ41" i="5"/>
  <c r="NZ40" i="5"/>
  <c r="PA40" i="5" s="1"/>
  <c r="NZ35" i="5"/>
  <c r="CJ35" i="5" s="1"/>
  <c r="NZ28" i="5"/>
  <c r="CJ28" i="5" s="1"/>
  <c r="NZ27" i="5"/>
  <c r="NZ24" i="5"/>
  <c r="NZ19" i="5"/>
  <c r="CJ19" i="5" s="1"/>
  <c r="NZ8" i="5"/>
  <c r="CJ8" i="5" s="1"/>
  <c r="NZ7" i="5"/>
  <c r="CJ7" i="5" s="1"/>
  <c r="NZ4" i="5"/>
  <c r="CJ4" i="5" s="1"/>
  <c r="NZ123" i="5"/>
  <c r="NZ122" i="5"/>
  <c r="NZ120" i="5"/>
  <c r="NZ118" i="5"/>
  <c r="NZ116" i="5"/>
  <c r="NZ115" i="5"/>
  <c r="OV115" i="5" s="1"/>
  <c r="NZ106" i="5"/>
  <c r="CJ106" i="5" s="1"/>
  <c r="NZ97" i="5"/>
  <c r="OE97" i="5" s="1"/>
  <c r="NZ85" i="5"/>
  <c r="CJ85" i="5" s="1"/>
  <c r="NZ82" i="5"/>
  <c r="NZ70" i="5"/>
  <c r="NZ58" i="5"/>
  <c r="NZ36" i="5"/>
  <c r="CJ36" i="5" s="1"/>
  <c r="NZ32" i="5"/>
  <c r="CJ32" i="5" s="1"/>
  <c r="NZ119" i="5"/>
  <c r="NZ117" i="5"/>
  <c r="CJ117" i="5" s="1"/>
  <c r="NZ105" i="5"/>
  <c r="OT105" i="5" s="1"/>
  <c r="NZ79" i="5"/>
  <c r="NZ69" i="5"/>
  <c r="CJ69" i="5" s="1"/>
  <c r="NZ59" i="5"/>
  <c r="NZ55" i="5"/>
  <c r="NZ29" i="5"/>
  <c r="CJ29" i="5" s="1"/>
  <c r="NZ5" i="5"/>
  <c r="CJ5" i="5" s="1"/>
  <c r="NZ103" i="5"/>
  <c r="CJ103" i="5" s="1"/>
  <c r="NZ102" i="5"/>
  <c r="NZ100" i="5"/>
  <c r="CJ100" i="5" s="1"/>
  <c r="NZ98" i="5"/>
  <c r="NZ83" i="5"/>
  <c r="NZ72" i="5"/>
  <c r="NZ71" i="5"/>
  <c r="CJ71" i="5" s="1"/>
  <c r="NZ63" i="5"/>
  <c r="NZ56" i="5"/>
  <c r="CJ56" i="5" s="1"/>
  <c r="NZ46" i="5"/>
  <c r="OA46" i="5" s="1"/>
  <c r="NZ43" i="5"/>
  <c r="NZ38" i="5"/>
  <c r="NZ37" i="5"/>
  <c r="NZ33" i="5"/>
  <c r="NZ11" i="5"/>
  <c r="CJ11" i="5" s="1"/>
  <c r="NZ10" i="5"/>
  <c r="CJ10" i="5" s="1"/>
  <c r="NZ87" i="5"/>
  <c r="PH87" i="5" s="1"/>
  <c r="NZ76" i="5"/>
  <c r="NZ73" i="5"/>
  <c r="NZ66" i="5"/>
  <c r="NZ65" i="5"/>
  <c r="NZ64" i="5"/>
  <c r="CJ64" i="5" s="1"/>
  <c r="NZ61" i="5"/>
  <c r="OP61" i="5" s="1"/>
  <c r="NZ53" i="5"/>
  <c r="NZ47" i="5"/>
  <c r="NZ26" i="5"/>
  <c r="CJ26" i="5" s="1"/>
  <c r="NZ21" i="5"/>
  <c r="NZ18" i="5"/>
  <c r="CJ18" i="5" s="1"/>
  <c r="NZ13" i="5"/>
  <c r="CJ13" i="5" s="1"/>
  <c r="OT248" i="5"/>
  <c r="OX248" i="5"/>
  <c r="PB248" i="5"/>
  <c r="PF248" i="5"/>
  <c r="OU248" i="5"/>
  <c r="OY248" i="5"/>
  <c r="PC248" i="5"/>
  <c r="PG248" i="5"/>
  <c r="PA248" i="5"/>
  <c r="OV248" i="5"/>
  <c r="PD248" i="5"/>
  <c r="OW248" i="5"/>
  <c r="PE248" i="5"/>
  <c r="OZ248" i="5"/>
  <c r="PH248" i="5"/>
  <c r="OW247" i="5"/>
  <c r="PA247" i="5"/>
  <c r="PE247" i="5"/>
  <c r="OT247" i="5"/>
  <c r="OX247" i="5"/>
  <c r="PB247" i="5"/>
  <c r="PF247" i="5"/>
  <c r="OZ247" i="5"/>
  <c r="PH247" i="5"/>
  <c r="OU247" i="5"/>
  <c r="PC247" i="5"/>
  <c r="OV247" i="5"/>
  <c r="PD247" i="5"/>
  <c r="PG247" i="5"/>
  <c r="OY247" i="5"/>
  <c r="OV246" i="5"/>
  <c r="OZ246" i="5"/>
  <c r="PD246" i="5"/>
  <c r="PH246" i="5"/>
  <c r="OW246" i="5"/>
  <c r="PA246" i="5"/>
  <c r="PE246" i="5"/>
  <c r="OY246" i="5"/>
  <c r="PG246" i="5"/>
  <c r="OT246" i="5"/>
  <c r="CJ246" i="5" s="1"/>
  <c r="PB246" i="5"/>
  <c r="OU246" i="5"/>
  <c r="PC246" i="5"/>
  <c r="OX246" i="5"/>
  <c r="PF246" i="5"/>
  <c r="OU245" i="5"/>
  <c r="OY245" i="5"/>
  <c r="PC245" i="5"/>
  <c r="PG245" i="5"/>
  <c r="OV245" i="5"/>
  <c r="OZ245" i="5"/>
  <c r="PD245" i="5"/>
  <c r="PH245" i="5"/>
  <c r="OX245" i="5"/>
  <c r="PF245" i="5"/>
  <c r="PA245" i="5"/>
  <c r="OT245" i="5"/>
  <c r="PB245" i="5"/>
  <c r="PE245" i="5"/>
  <c r="OW245" i="5"/>
  <c r="OT244" i="5"/>
  <c r="OX244" i="5"/>
  <c r="PB244" i="5"/>
  <c r="PF244" i="5"/>
  <c r="OU244" i="5"/>
  <c r="OY244" i="5"/>
  <c r="PC244" i="5"/>
  <c r="PG244" i="5"/>
  <c r="OW244" i="5"/>
  <c r="PE244" i="5"/>
  <c r="OZ244" i="5"/>
  <c r="PH244" i="5"/>
  <c r="PA244" i="5"/>
  <c r="OV244" i="5"/>
  <c r="PD244" i="5"/>
  <c r="OW243" i="5"/>
  <c r="PA243" i="5"/>
  <c r="PE243" i="5"/>
  <c r="OT243" i="5"/>
  <c r="OX243" i="5"/>
  <c r="PB243" i="5"/>
  <c r="PF243" i="5"/>
  <c r="OV243" i="5"/>
  <c r="PD243" i="5"/>
  <c r="OY243" i="5"/>
  <c r="PG243" i="5"/>
  <c r="OZ243" i="5"/>
  <c r="PH243" i="5"/>
  <c r="PC243" i="5"/>
  <c r="OU243" i="5"/>
  <c r="OV242" i="5"/>
  <c r="OZ242" i="5"/>
  <c r="PD242" i="5"/>
  <c r="PH242" i="5"/>
  <c r="OW242" i="5"/>
  <c r="PA242" i="5"/>
  <c r="PE242" i="5"/>
  <c r="OU242" i="5"/>
  <c r="PC242" i="5"/>
  <c r="OX242" i="5"/>
  <c r="PF242" i="5"/>
  <c r="OY242" i="5"/>
  <c r="PG242" i="5"/>
  <c r="OT242" i="5"/>
  <c r="PB242" i="5"/>
  <c r="OU241" i="5"/>
  <c r="OY241" i="5"/>
  <c r="PC241" i="5"/>
  <c r="PG241" i="5"/>
  <c r="OV241" i="5"/>
  <c r="OZ241" i="5"/>
  <c r="PD241" i="5"/>
  <c r="PH241" i="5"/>
  <c r="OT241" i="5"/>
  <c r="PB241" i="5"/>
  <c r="OW241" i="5"/>
  <c r="PE241" i="5"/>
  <c r="OX241" i="5"/>
  <c r="PF241" i="5"/>
  <c r="PA241" i="5"/>
  <c r="OT240" i="5"/>
  <c r="OX240" i="5"/>
  <c r="PB240" i="5"/>
  <c r="PF240" i="5"/>
  <c r="OU240" i="5"/>
  <c r="OY240" i="5"/>
  <c r="PC240" i="5"/>
  <c r="PG240" i="5"/>
  <c r="PA240" i="5"/>
  <c r="OV240" i="5"/>
  <c r="PD240" i="5"/>
  <c r="OW240" i="5"/>
  <c r="PE240" i="5"/>
  <c r="OZ240" i="5"/>
  <c r="PH240" i="5"/>
  <c r="OW239" i="5"/>
  <c r="PA239" i="5"/>
  <c r="PE239" i="5"/>
  <c r="OT239" i="5"/>
  <c r="OX239" i="5"/>
  <c r="PB239" i="5"/>
  <c r="PF239" i="5"/>
  <c r="OZ239" i="5"/>
  <c r="PH239" i="5"/>
  <c r="OU239" i="5"/>
  <c r="PC239" i="5"/>
  <c r="OV239" i="5"/>
  <c r="PD239" i="5"/>
  <c r="OY239" i="5"/>
  <c r="PG239" i="5"/>
  <c r="OV238" i="5"/>
  <c r="OZ238" i="5"/>
  <c r="PD238" i="5"/>
  <c r="PH238" i="5"/>
  <c r="OW238" i="5"/>
  <c r="PA238" i="5"/>
  <c r="PE238" i="5"/>
  <c r="OY238" i="5"/>
  <c r="PG238" i="5"/>
  <c r="OT238" i="5"/>
  <c r="PB238" i="5"/>
  <c r="OU238" i="5"/>
  <c r="PC238" i="5"/>
  <c r="OX238" i="5"/>
  <c r="PF238" i="5"/>
  <c r="OU237" i="5"/>
  <c r="OY237" i="5"/>
  <c r="PC237" i="5"/>
  <c r="PG237" i="5"/>
  <c r="OV237" i="5"/>
  <c r="OZ237" i="5"/>
  <c r="PD237" i="5"/>
  <c r="PH237" i="5"/>
  <c r="OX237" i="5"/>
  <c r="PF237" i="5"/>
  <c r="PA237" i="5"/>
  <c r="OT237" i="5"/>
  <c r="PB237" i="5"/>
  <c r="OW237" i="5"/>
  <c r="PE237" i="5"/>
  <c r="OT236" i="5"/>
  <c r="OX236" i="5"/>
  <c r="PB236" i="5"/>
  <c r="PF236" i="5"/>
  <c r="OU236" i="5"/>
  <c r="OY236" i="5"/>
  <c r="PC236" i="5"/>
  <c r="PG236" i="5"/>
  <c r="OW236" i="5"/>
  <c r="PE236" i="5"/>
  <c r="OZ236" i="5"/>
  <c r="PH236" i="5"/>
  <c r="PA236" i="5"/>
  <c r="OV236" i="5"/>
  <c r="PD236" i="5"/>
  <c r="OW235" i="5"/>
  <c r="PA235" i="5"/>
  <c r="PE235" i="5"/>
  <c r="OT235" i="5"/>
  <c r="OX235" i="5"/>
  <c r="PB235" i="5"/>
  <c r="PF235" i="5"/>
  <c r="OV235" i="5"/>
  <c r="PD235" i="5"/>
  <c r="OY235" i="5"/>
  <c r="PG235" i="5"/>
  <c r="OZ235" i="5"/>
  <c r="PH235" i="5"/>
  <c r="OU235" i="5"/>
  <c r="PC235" i="5"/>
  <c r="OV234" i="5"/>
  <c r="OZ234" i="5"/>
  <c r="PD234" i="5"/>
  <c r="PH234" i="5"/>
  <c r="OW234" i="5"/>
  <c r="PA234" i="5"/>
  <c r="PE234" i="5"/>
  <c r="OU234" i="5"/>
  <c r="PC234" i="5"/>
  <c r="OX234" i="5"/>
  <c r="PF234" i="5"/>
  <c r="OY234" i="5"/>
  <c r="PG234" i="5"/>
  <c r="OT234" i="5"/>
  <c r="PB234" i="5"/>
  <c r="OW231" i="5"/>
  <c r="PA231" i="5"/>
  <c r="PE231" i="5"/>
  <c r="OT231" i="5"/>
  <c r="OX231" i="5"/>
  <c r="PB231" i="5"/>
  <c r="PF231" i="5"/>
  <c r="OZ231" i="5"/>
  <c r="PH231" i="5"/>
  <c r="OU231" i="5"/>
  <c r="PC231" i="5"/>
  <c r="OV231" i="5"/>
  <c r="PD231" i="5"/>
  <c r="OY231" i="5"/>
  <c r="PG231" i="5"/>
  <c r="OV230" i="5"/>
  <c r="OZ230" i="5"/>
  <c r="PD230" i="5"/>
  <c r="PH230" i="5"/>
  <c r="OW230" i="5"/>
  <c r="PA230" i="5"/>
  <c r="PE230" i="5"/>
  <c r="OY230" i="5"/>
  <c r="PG230" i="5"/>
  <c r="OT230" i="5"/>
  <c r="PB230" i="5"/>
  <c r="OU230" i="5"/>
  <c r="PC230" i="5"/>
  <c r="PF230" i="5"/>
  <c r="OX230" i="5"/>
  <c r="OU229" i="5"/>
  <c r="OY229" i="5"/>
  <c r="PC229" i="5"/>
  <c r="PG229" i="5"/>
  <c r="OV229" i="5"/>
  <c r="OZ229" i="5"/>
  <c r="PD229" i="5"/>
  <c r="PH229" i="5"/>
  <c r="OX229" i="5"/>
  <c r="PF229" i="5"/>
  <c r="PA229" i="5"/>
  <c r="OT229" i="5"/>
  <c r="CJ229" i="5" s="1"/>
  <c r="PB229" i="5"/>
  <c r="OW229" i="5"/>
  <c r="PE229" i="5"/>
  <c r="OT228" i="5"/>
  <c r="OX228" i="5"/>
  <c r="PB228" i="5"/>
  <c r="PF228" i="5"/>
  <c r="OU228" i="5"/>
  <c r="OY228" i="5"/>
  <c r="PC228" i="5"/>
  <c r="PG228" i="5"/>
  <c r="OW228" i="5"/>
  <c r="PE228" i="5"/>
  <c r="OZ228" i="5"/>
  <c r="PH228" i="5"/>
  <c r="PA228" i="5"/>
  <c r="PD228" i="5"/>
  <c r="OV228" i="5"/>
  <c r="OW227" i="5"/>
  <c r="PA227" i="5"/>
  <c r="PE227" i="5"/>
  <c r="OT227" i="5"/>
  <c r="OX227" i="5"/>
  <c r="PB227" i="5"/>
  <c r="PF227" i="5"/>
  <c r="OV227" i="5"/>
  <c r="PD227" i="5"/>
  <c r="OY227" i="5"/>
  <c r="PG227" i="5"/>
  <c r="OZ227" i="5"/>
  <c r="PH227" i="5"/>
  <c r="OU227" i="5"/>
  <c r="PC227" i="5"/>
  <c r="OV226" i="5"/>
  <c r="OZ226" i="5"/>
  <c r="PD226" i="5"/>
  <c r="PH226" i="5"/>
  <c r="OW226" i="5"/>
  <c r="PA226" i="5"/>
  <c r="PE226" i="5"/>
  <c r="OU226" i="5"/>
  <c r="PC226" i="5"/>
  <c r="OX226" i="5"/>
  <c r="PF226" i="5"/>
  <c r="OY226" i="5"/>
  <c r="PG226" i="5"/>
  <c r="PB226" i="5"/>
  <c r="OT226" i="5"/>
  <c r="OU225" i="5"/>
  <c r="OY225" i="5"/>
  <c r="PC225" i="5"/>
  <c r="PG225" i="5"/>
  <c r="OV225" i="5"/>
  <c r="OZ225" i="5"/>
  <c r="PD225" i="5"/>
  <c r="PH225" i="5"/>
  <c r="OT225" i="5"/>
  <c r="CJ225" i="5" s="1"/>
  <c r="PB225" i="5"/>
  <c r="OW225" i="5"/>
  <c r="PE225" i="5"/>
  <c r="OX225" i="5"/>
  <c r="PF225" i="5"/>
  <c r="PA225" i="5"/>
  <c r="OT224" i="5"/>
  <c r="OX224" i="5"/>
  <c r="PB224" i="5"/>
  <c r="PF224" i="5"/>
  <c r="OU224" i="5"/>
  <c r="OY224" i="5"/>
  <c r="PC224" i="5"/>
  <c r="PG224" i="5"/>
  <c r="PA224" i="5"/>
  <c r="OV224" i="5"/>
  <c r="PD224" i="5"/>
  <c r="OW224" i="5"/>
  <c r="PE224" i="5"/>
  <c r="OZ224" i="5"/>
  <c r="PH224" i="5"/>
  <c r="OW223" i="5"/>
  <c r="PA223" i="5"/>
  <c r="PE223" i="5"/>
  <c r="OT223" i="5"/>
  <c r="OX223" i="5"/>
  <c r="PB223" i="5"/>
  <c r="PF223" i="5"/>
  <c r="OZ223" i="5"/>
  <c r="PH223" i="5"/>
  <c r="OU223" i="5"/>
  <c r="PC223" i="5"/>
  <c r="OV223" i="5"/>
  <c r="PD223" i="5"/>
  <c r="OY223" i="5"/>
  <c r="PG223" i="5"/>
  <c r="OV222" i="5"/>
  <c r="OZ222" i="5"/>
  <c r="PD222" i="5"/>
  <c r="PH222" i="5"/>
  <c r="OW222" i="5"/>
  <c r="PA222" i="5"/>
  <c r="PE222" i="5"/>
  <c r="OY222" i="5"/>
  <c r="PG222" i="5"/>
  <c r="OT222" i="5"/>
  <c r="PB222" i="5"/>
  <c r="OU222" i="5"/>
  <c r="PC222" i="5"/>
  <c r="OX222" i="5"/>
  <c r="PF222" i="5"/>
  <c r="OU221" i="5"/>
  <c r="OY221" i="5"/>
  <c r="PC221" i="5"/>
  <c r="PG221" i="5"/>
  <c r="OV221" i="5"/>
  <c r="OZ221" i="5"/>
  <c r="PD221" i="5"/>
  <c r="PH221" i="5"/>
  <c r="OT221" i="5"/>
  <c r="PB221" i="5"/>
  <c r="OW221" i="5"/>
  <c r="PE221" i="5"/>
  <c r="OX221" i="5"/>
  <c r="PF221" i="5"/>
  <c r="PA221" i="5"/>
  <c r="OT220" i="5"/>
  <c r="OX220" i="5"/>
  <c r="PB220" i="5"/>
  <c r="PF220" i="5"/>
  <c r="OU220" i="5"/>
  <c r="OY220" i="5"/>
  <c r="PC220" i="5"/>
  <c r="PG220" i="5"/>
  <c r="PA220" i="5"/>
  <c r="OV220" i="5"/>
  <c r="PD220" i="5"/>
  <c r="OW220" i="5"/>
  <c r="PE220" i="5"/>
  <c r="OZ220" i="5"/>
  <c r="PH220" i="5"/>
  <c r="OW219" i="5"/>
  <c r="PA219" i="5"/>
  <c r="PE219" i="5"/>
  <c r="OT219" i="5"/>
  <c r="OX219" i="5"/>
  <c r="PB219" i="5"/>
  <c r="PF219" i="5"/>
  <c r="OU219" i="5"/>
  <c r="OY219" i="5"/>
  <c r="OZ219" i="5"/>
  <c r="PH219" i="5"/>
  <c r="PC219" i="5"/>
  <c r="PD219" i="5"/>
  <c r="OV219" i="5"/>
  <c r="PG219" i="5"/>
  <c r="OV218" i="5"/>
  <c r="OZ218" i="5"/>
  <c r="PD218" i="5"/>
  <c r="PH218" i="5"/>
  <c r="OW218" i="5"/>
  <c r="PA218" i="5"/>
  <c r="PE218" i="5"/>
  <c r="OT218" i="5"/>
  <c r="OX218" i="5"/>
  <c r="PB218" i="5"/>
  <c r="PF218" i="5"/>
  <c r="OU218" i="5"/>
  <c r="OY218" i="5"/>
  <c r="PC218" i="5"/>
  <c r="PG218" i="5"/>
  <c r="OU217" i="5"/>
  <c r="OY217" i="5"/>
  <c r="PC217" i="5"/>
  <c r="PG217" i="5"/>
  <c r="OV217" i="5"/>
  <c r="OZ217" i="5"/>
  <c r="PD217" i="5"/>
  <c r="PH217" i="5"/>
  <c r="OW217" i="5"/>
  <c r="PA217" i="5"/>
  <c r="PE217" i="5"/>
  <c r="OT217" i="5"/>
  <c r="OX217" i="5"/>
  <c r="PB217" i="5"/>
  <c r="PF217" i="5"/>
  <c r="OT216" i="5"/>
  <c r="OX216" i="5"/>
  <c r="PB216" i="5"/>
  <c r="PF216" i="5"/>
  <c r="OU216" i="5"/>
  <c r="OY216" i="5"/>
  <c r="PC216" i="5"/>
  <c r="PG216" i="5"/>
  <c r="OV216" i="5"/>
  <c r="OZ216" i="5"/>
  <c r="PD216" i="5"/>
  <c r="PH216" i="5"/>
  <c r="OW216" i="5"/>
  <c r="PA216" i="5"/>
  <c r="PE216" i="5"/>
  <c r="OV215" i="5"/>
  <c r="OZ215" i="5"/>
  <c r="PD215" i="5"/>
  <c r="PH215" i="5"/>
  <c r="OW215" i="5"/>
  <c r="PA215" i="5"/>
  <c r="PE215" i="5"/>
  <c r="CJ215" i="5" s="1"/>
  <c r="OT215" i="5"/>
  <c r="OX215" i="5"/>
  <c r="PB215" i="5"/>
  <c r="PF215" i="5"/>
  <c r="PG215" i="5"/>
  <c r="OU215" i="5"/>
  <c r="OY215" i="5"/>
  <c r="PC215" i="5"/>
  <c r="OT214" i="5"/>
  <c r="OX214" i="5"/>
  <c r="PB214" i="5"/>
  <c r="PF214" i="5"/>
  <c r="OU214" i="5"/>
  <c r="OY214" i="5"/>
  <c r="PC214" i="5"/>
  <c r="PG214" i="5"/>
  <c r="OV214" i="5"/>
  <c r="OZ214" i="5"/>
  <c r="CJ214" i="5" s="1"/>
  <c r="PD214" i="5"/>
  <c r="PH214" i="5"/>
  <c r="PE214" i="5"/>
  <c r="OW214" i="5"/>
  <c r="PA214" i="5"/>
  <c r="OV212" i="5"/>
  <c r="OZ212" i="5"/>
  <c r="PD212" i="5"/>
  <c r="PH212" i="5"/>
  <c r="OW212" i="5"/>
  <c r="PA212" i="5"/>
  <c r="PE212" i="5"/>
  <c r="OT212" i="5"/>
  <c r="OX212" i="5"/>
  <c r="PB212" i="5"/>
  <c r="PF212" i="5"/>
  <c r="PC212" i="5"/>
  <c r="PG212" i="5"/>
  <c r="OU212" i="5"/>
  <c r="OY212" i="5"/>
  <c r="OU208" i="5"/>
  <c r="OY208" i="5"/>
  <c r="PC208" i="5"/>
  <c r="PG208" i="5"/>
  <c r="OV208" i="5"/>
  <c r="OZ208" i="5"/>
  <c r="PD208" i="5"/>
  <c r="PH208" i="5"/>
  <c r="OW208" i="5"/>
  <c r="PA208" i="5"/>
  <c r="PE208" i="5"/>
  <c r="OX208" i="5"/>
  <c r="PB208" i="5"/>
  <c r="PF208" i="5"/>
  <c r="OT208" i="5"/>
  <c r="OV206" i="5"/>
  <c r="OZ206" i="5"/>
  <c r="PD206" i="5"/>
  <c r="PH206" i="5"/>
  <c r="OW206" i="5"/>
  <c r="PA206" i="5"/>
  <c r="PE206" i="5"/>
  <c r="OT206" i="5"/>
  <c r="OX206" i="5"/>
  <c r="PB206" i="5"/>
  <c r="PF206" i="5"/>
  <c r="OU206" i="5"/>
  <c r="OY206" i="5"/>
  <c r="PC206" i="5"/>
  <c r="PG206" i="5"/>
  <c r="OT204" i="5"/>
  <c r="OX204" i="5"/>
  <c r="PB204" i="5"/>
  <c r="PF204" i="5"/>
  <c r="OU204" i="5"/>
  <c r="OY204" i="5"/>
  <c r="PC204" i="5"/>
  <c r="PG204" i="5"/>
  <c r="OV204" i="5"/>
  <c r="OZ204" i="5"/>
  <c r="PD204" i="5"/>
  <c r="PH204" i="5"/>
  <c r="OW204" i="5"/>
  <c r="PA204" i="5"/>
  <c r="PE204" i="5"/>
  <c r="OV202" i="5"/>
  <c r="OZ202" i="5"/>
  <c r="PD202" i="5"/>
  <c r="PH202" i="5"/>
  <c r="OW202" i="5"/>
  <c r="PA202" i="5"/>
  <c r="PE202" i="5"/>
  <c r="OT202" i="5"/>
  <c r="OX202" i="5"/>
  <c r="PB202" i="5"/>
  <c r="PF202" i="5"/>
  <c r="PG202" i="5"/>
  <c r="OU202" i="5"/>
  <c r="OY202" i="5"/>
  <c r="PC202" i="5"/>
  <c r="OT201" i="5"/>
  <c r="OX201" i="5"/>
  <c r="PB201" i="5"/>
  <c r="PF201" i="5"/>
  <c r="OU201" i="5"/>
  <c r="OY201" i="5"/>
  <c r="PC201" i="5"/>
  <c r="PG201" i="5"/>
  <c r="OV201" i="5"/>
  <c r="OZ201" i="5"/>
  <c r="PD201" i="5"/>
  <c r="PH201" i="5"/>
  <c r="PE201" i="5"/>
  <c r="OW201" i="5"/>
  <c r="PA201" i="5"/>
  <c r="OW200" i="5"/>
  <c r="PA200" i="5"/>
  <c r="PE200" i="5"/>
  <c r="OT200" i="5"/>
  <c r="OX200" i="5"/>
  <c r="PB200" i="5"/>
  <c r="PF200" i="5"/>
  <c r="OU200" i="5"/>
  <c r="OY200" i="5"/>
  <c r="PC200" i="5"/>
  <c r="PG200" i="5"/>
  <c r="PD200" i="5"/>
  <c r="PH200" i="5"/>
  <c r="OV200" i="5"/>
  <c r="OZ200" i="5"/>
  <c r="OU199" i="5"/>
  <c r="OY199" i="5"/>
  <c r="PC199" i="5"/>
  <c r="PG199" i="5"/>
  <c r="OV199" i="5"/>
  <c r="OZ199" i="5"/>
  <c r="PD199" i="5"/>
  <c r="PH199" i="5"/>
  <c r="OW199" i="5"/>
  <c r="PA199" i="5"/>
  <c r="PE199" i="5"/>
  <c r="PB199" i="5"/>
  <c r="PF199" i="5"/>
  <c r="OT199" i="5"/>
  <c r="OX199" i="5"/>
  <c r="OT198" i="5"/>
  <c r="OX198" i="5"/>
  <c r="PB198" i="5"/>
  <c r="PF198" i="5"/>
  <c r="OU198" i="5"/>
  <c r="OY198" i="5"/>
  <c r="PC198" i="5"/>
  <c r="PG198" i="5"/>
  <c r="OV198" i="5"/>
  <c r="OZ198" i="5"/>
  <c r="PD198" i="5"/>
  <c r="PH198" i="5"/>
  <c r="PA198" i="5"/>
  <c r="PE198" i="5"/>
  <c r="OW198" i="5"/>
  <c r="OW197" i="5"/>
  <c r="PA197" i="5"/>
  <c r="PE197" i="5"/>
  <c r="OT197" i="5"/>
  <c r="OX197" i="5"/>
  <c r="PB197" i="5"/>
  <c r="PF197" i="5"/>
  <c r="OU197" i="5"/>
  <c r="OY197" i="5"/>
  <c r="PC197" i="5"/>
  <c r="PG197" i="5"/>
  <c r="OZ197" i="5"/>
  <c r="PD197" i="5"/>
  <c r="PH197" i="5"/>
  <c r="OV197" i="5"/>
  <c r="OV196" i="5"/>
  <c r="OZ196" i="5"/>
  <c r="PD196" i="5"/>
  <c r="PH196" i="5"/>
  <c r="OW196" i="5"/>
  <c r="PA196" i="5"/>
  <c r="PE196" i="5"/>
  <c r="OT196" i="5"/>
  <c r="OX196" i="5"/>
  <c r="PB196" i="5"/>
  <c r="PF196" i="5"/>
  <c r="OY196" i="5"/>
  <c r="PC196" i="5"/>
  <c r="PG196" i="5"/>
  <c r="OU196" i="5"/>
  <c r="OU195" i="5"/>
  <c r="OY195" i="5"/>
  <c r="PC195" i="5"/>
  <c r="PG195" i="5"/>
  <c r="OV195" i="5"/>
  <c r="OZ195" i="5"/>
  <c r="PD195" i="5"/>
  <c r="PH195" i="5"/>
  <c r="OW195" i="5"/>
  <c r="PA195" i="5"/>
  <c r="PE195" i="5"/>
  <c r="OX195" i="5"/>
  <c r="PB195" i="5"/>
  <c r="PF195" i="5"/>
  <c r="OT195" i="5"/>
  <c r="OT194" i="5"/>
  <c r="OX194" i="5"/>
  <c r="PB194" i="5"/>
  <c r="PF194" i="5"/>
  <c r="OU194" i="5"/>
  <c r="OY194" i="5"/>
  <c r="PC194" i="5"/>
  <c r="PG194" i="5"/>
  <c r="OV194" i="5"/>
  <c r="OZ194" i="5"/>
  <c r="PD194" i="5"/>
  <c r="PH194" i="5"/>
  <c r="OW194" i="5"/>
  <c r="PA194" i="5"/>
  <c r="PE194" i="5"/>
  <c r="OV192" i="5"/>
  <c r="OZ192" i="5"/>
  <c r="PD192" i="5"/>
  <c r="PH192" i="5"/>
  <c r="OW192" i="5"/>
  <c r="PA192" i="5"/>
  <c r="PE192" i="5"/>
  <c r="OT192" i="5"/>
  <c r="OX192" i="5"/>
  <c r="PB192" i="5"/>
  <c r="PF192" i="5"/>
  <c r="OU192" i="5"/>
  <c r="OY192" i="5"/>
  <c r="PC192" i="5"/>
  <c r="PG192" i="5"/>
  <c r="OT191" i="5"/>
  <c r="OX191" i="5"/>
  <c r="PB191" i="5"/>
  <c r="PF191" i="5"/>
  <c r="OU191" i="5"/>
  <c r="OY191" i="5"/>
  <c r="PC191" i="5"/>
  <c r="PG191" i="5"/>
  <c r="OV191" i="5"/>
  <c r="OZ191" i="5"/>
  <c r="PD191" i="5"/>
  <c r="PH191" i="5"/>
  <c r="OW191" i="5"/>
  <c r="PA191" i="5"/>
  <c r="PE191" i="5"/>
  <c r="OW190" i="5"/>
  <c r="PA190" i="5"/>
  <c r="PE190" i="5"/>
  <c r="OT190" i="5"/>
  <c r="OX190" i="5"/>
  <c r="PB190" i="5"/>
  <c r="PF190" i="5"/>
  <c r="OU190" i="5"/>
  <c r="OY190" i="5"/>
  <c r="PC190" i="5"/>
  <c r="PG190" i="5"/>
  <c r="PH190" i="5"/>
  <c r="OV190" i="5"/>
  <c r="OZ190" i="5"/>
  <c r="PD190" i="5"/>
  <c r="OV189" i="5"/>
  <c r="OZ189" i="5"/>
  <c r="PD189" i="5"/>
  <c r="PH189" i="5"/>
  <c r="OW189" i="5"/>
  <c r="PA189" i="5"/>
  <c r="PE189" i="5"/>
  <c r="OT189" i="5"/>
  <c r="OX189" i="5"/>
  <c r="PB189" i="5"/>
  <c r="PF189" i="5"/>
  <c r="PG189" i="5"/>
  <c r="OU189" i="5"/>
  <c r="OY189" i="5"/>
  <c r="PC189" i="5"/>
  <c r="OU188" i="5"/>
  <c r="OY188" i="5"/>
  <c r="PC188" i="5"/>
  <c r="PG188" i="5"/>
  <c r="OV188" i="5"/>
  <c r="OZ188" i="5"/>
  <c r="PD188" i="5"/>
  <c r="PH188" i="5"/>
  <c r="OW188" i="5"/>
  <c r="PA188" i="5"/>
  <c r="PE188" i="5"/>
  <c r="PF188" i="5"/>
  <c r="OT188" i="5"/>
  <c r="OX188" i="5"/>
  <c r="PB188" i="5"/>
  <c r="OT187" i="5"/>
  <c r="OX187" i="5"/>
  <c r="PB187" i="5"/>
  <c r="PF187" i="5"/>
  <c r="OU187" i="5"/>
  <c r="OY187" i="5"/>
  <c r="PC187" i="5"/>
  <c r="PG187" i="5"/>
  <c r="OV187" i="5"/>
  <c r="OZ187" i="5"/>
  <c r="PD187" i="5"/>
  <c r="PH187" i="5"/>
  <c r="PE187" i="5"/>
  <c r="OW187" i="5"/>
  <c r="PA187" i="5"/>
  <c r="OW186" i="5"/>
  <c r="PA186" i="5"/>
  <c r="PE186" i="5"/>
  <c r="OT186" i="5"/>
  <c r="OX186" i="5"/>
  <c r="PB186" i="5"/>
  <c r="PF186" i="5"/>
  <c r="OU186" i="5"/>
  <c r="OY186" i="5"/>
  <c r="PC186" i="5"/>
  <c r="PG186" i="5"/>
  <c r="PD186" i="5"/>
  <c r="PH186" i="5"/>
  <c r="OV186" i="5"/>
  <c r="OZ186" i="5"/>
  <c r="OU184" i="5"/>
  <c r="OY184" i="5"/>
  <c r="PC184" i="5"/>
  <c r="PG184" i="5"/>
  <c r="OV184" i="5"/>
  <c r="OZ184" i="5"/>
  <c r="PD184" i="5"/>
  <c r="PH184" i="5"/>
  <c r="OW184" i="5"/>
  <c r="PA184" i="5"/>
  <c r="PE184" i="5"/>
  <c r="PB184" i="5"/>
  <c r="PF184" i="5"/>
  <c r="OT184" i="5"/>
  <c r="OX184" i="5"/>
  <c r="OT183" i="5"/>
  <c r="OX183" i="5"/>
  <c r="PB183" i="5"/>
  <c r="PF183" i="5"/>
  <c r="OU183" i="5"/>
  <c r="OY183" i="5"/>
  <c r="PC183" i="5"/>
  <c r="PG183" i="5"/>
  <c r="OV183" i="5"/>
  <c r="OZ183" i="5"/>
  <c r="PD183" i="5"/>
  <c r="PH183" i="5"/>
  <c r="PA183" i="5"/>
  <c r="PE183" i="5"/>
  <c r="OW183" i="5"/>
  <c r="OW182" i="5"/>
  <c r="PA182" i="5"/>
  <c r="PE182" i="5"/>
  <c r="OT182" i="5"/>
  <c r="OX182" i="5"/>
  <c r="PB182" i="5"/>
  <c r="PF182" i="5"/>
  <c r="OU182" i="5"/>
  <c r="OY182" i="5"/>
  <c r="PC182" i="5"/>
  <c r="PG182" i="5"/>
  <c r="OZ182" i="5"/>
  <c r="PD182" i="5"/>
  <c r="PH182" i="5"/>
  <c r="OV182" i="5"/>
  <c r="OV181" i="5"/>
  <c r="OZ181" i="5"/>
  <c r="PD181" i="5"/>
  <c r="PH181" i="5"/>
  <c r="OW181" i="5"/>
  <c r="PA181" i="5"/>
  <c r="PE181" i="5"/>
  <c r="OT181" i="5"/>
  <c r="OX181" i="5"/>
  <c r="PB181" i="5"/>
  <c r="PF181" i="5"/>
  <c r="OY181" i="5"/>
  <c r="PC181" i="5"/>
  <c r="PG181" i="5"/>
  <c r="OU181" i="5"/>
  <c r="OU180" i="5"/>
  <c r="OY180" i="5"/>
  <c r="PC180" i="5"/>
  <c r="PG180" i="5"/>
  <c r="OV180" i="5"/>
  <c r="OZ180" i="5"/>
  <c r="PD180" i="5"/>
  <c r="PH180" i="5"/>
  <c r="OW180" i="5"/>
  <c r="PA180" i="5"/>
  <c r="PE180" i="5"/>
  <c r="OX180" i="5"/>
  <c r="PB180" i="5"/>
  <c r="PF180" i="5"/>
  <c r="OT180" i="5"/>
  <c r="OT179" i="5"/>
  <c r="OX179" i="5"/>
  <c r="PB179" i="5"/>
  <c r="PF179" i="5"/>
  <c r="OU179" i="5"/>
  <c r="OY179" i="5"/>
  <c r="PC179" i="5"/>
  <c r="PG179" i="5"/>
  <c r="OV179" i="5"/>
  <c r="OZ179" i="5"/>
  <c r="PD179" i="5"/>
  <c r="PH179" i="5"/>
  <c r="OW179" i="5"/>
  <c r="PA179" i="5"/>
  <c r="PE179" i="5"/>
  <c r="OW178" i="5"/>
  <c r="PA178" i="5"/>
  <c r="PE178" i="5"/>
  <c r="OT178" i="5"/>
  <c r="OX178" i="5"/>
  <c r="PB178" i="5"/>
  <c r="PF178" i="5"/>
  <c r="OU178" i="5"/>
  <c r="OY178" i="5"/>
  <c r="PC178" i="5"/>
  <c r="PG178" i="5"/>
  <c r="OV178" i="5"/>
  <c r="OZ178" i="5"/>
  <c r="PD178" i="5"/>
  <c r="PH178" i="5"/>
  <c r="OU176" i="5"/>
  <c r="OY176" i="5"/>
  <c r="PC176" i="5"/>
  <c r="PG176" i="5"/>
  <c r="OV176" i="5"/>
  <c r="OZ176" i="5"/>
  <c r="PD176" i="5"/>
  <c r="PH176" i="5"/>
  <c r="OW176" i="5"/>
  <c r="PA176" i="5"/>
  <c r="PE176" i="5"/>
  <c r="OT176" i="5"/>
  <c r="OX176" i="5"/>
  <c r="PB176" i="5"/>
  <c r="PF176" i="5"/>
  <c r="OT175" i="5"/>
  <c r="OX175" i="5"/>
  <c r="PB175" i="5"/>
  <c r="PF175" i="5"/>
  <c r="OU175" i="5"/>
  <c r="OY175" i="5"/>
  <c r="PC175" i="5"/>
  <c r="PG175" i="5"/>
  <c r="OV175" i="5"/>
  <c r="OZ175" i="5"/>
  <c r="PD175" i="5"/>
  <c r="PH175" i="5"/>
  <c r="OW175" i="5"/>
  <c r="PA175" i="5"/>
  <c r="PE175" i="5"/>
  <c r="OW174" i="5"/>
  <c r="PA174" i="5"/>
  <c r="PE174" i="5"/>
  <c r="OT174" i="5"/>
  <c r="OX174" i="5"/>
  <c r="PB174" i="5"/>
  <c r="PF174" i="5"/>
  <c r="OU174" i="5"/>
  <c r="OY174" i="5"/>
  <c r="PC174" i="5"/>
  <c r="PG174" i="5"/>
  <c r="PH174" i="5"/>
  <c r="OV174" i="5"/>
  <c r="OZ174" i="5"/>
  <c r="PD174" i="5"/>
  <c r="OT171" i="5"/>
  <c r="OX171" i="5"/>
  <c r="PB171" i="5"/>
  <c r="PF171" i="5"/>
  <c r="OU171" i="5"/>
  <c r="OY171" i="5"/>
  <c r="PC171" i="5"/>
  <c r="PG171" i="5"/>
  <c r="OV171" i="5"/>
  <c r="OZ171" i="5"/>
  <c r="PD171" i="5"/>
  <c r="PH171" i="5"/>
  <c r="PE171" i="5"/>
  <c r="OW171" i="5"/>
  <c r="PA171" i="5"/>
  <c r="OW167" i="5"/>
  <c r="PA167" i="5"/>
  <c r="PE167" i="5"/>
  <c r="OT167" i="5"/>
  <c r="OX167" i="5"/>
  <c r="PB167" i="5"/>
  <c r="PF167" i="5"/>
  <c r="OU167" i="5"/>
  <c r="OY167" i="5"/>
  <c r="PC167" i="5"/>
  <c r="PG167" i="5"/>
  <c r="OZ167" i="5"/>
  <c r="PD167" i="5"/>
  <c r="PH167" i="5"/>
  <c r="OV167" i="5"/>
  <c r="OV166" i="5"/>
  <c r="OZ166" i="5"/>
  <c r="PD166" i="5"/>
  <c r="PH166" i="5"/>
  <c r="OW166" i="5"/>
  <c r="PA166" i="5"/>
  <c r="PE166" i="5"/>
  <c r="OT166" i="5"/>
  <c r="OX166" i="5"/>
  <c r="PB166" i="5"/>
  <c r="PF166" i="5"/>
  <c r="OY166" i="5"/>
  <c r="PC166" i="5"/>
  <c r="PG166" i="5"/>
  <c r="OU166" i="5"/>
  <c r="OW163" i="5"/>
  <c r="PA163" i="5"/>
  <c r="PE163" i="5"/>
  <c r="OT163" i="5"/>
  <c r="OX163" i="5"/>
  <c r="PB163" i="5"/>
  <c r="PF163" i="5"/>
  <c r="OU163" i="5"/>
  <c r="OY163" i="5"/>
  <c r="PC163" i="5"/>
  <c r="PG163" i="5"/>
  <c r="OV163" i="5"/>
  <c r="OZ163" i="5"/>
  <c r="PD163" i="5"/>
  <c r="PH163" i="5"/>
  <c r="OV162" i="5"/>
  <c r="OZ162" i="5"/>
  <c r="PD162" i="5"/>
  <c r="PH162" i="5"/>
  <c r="OW162" i="5"/>
  <c r="PA162" i="5"/>
  <c r="PE162" i="5"/>
  <c r="OT162" i="5"/>
  <c r="OX162" i="5"/>
  <c r="PB162" i="5"/>
  <c r="PF162" i="5"/>
  <c r="OU162" i="5"/>
  <c r="OY162" i="5"/>
  <c r="PC162" i="5"/>
  <c r="PG162" i="5"/>
  <c r="OU161" i="5"/>
  <c r="OY161" i="5"/>
  <c r="PC161" i="5"/>
  <c r="PG161" i="5"/>
  <c r="OV161" i="5"/>
  <c r="OZ161" i="5"/>
  <c r="PD161" i="5"/>
  <c r="PH161" i="5"/>
  <c r="OW161" i="5"/>
  <c r="PA161" i="5"/>
  <c r="PE161" i="5"/>
  <c r="OT161" i="5"/>
  <c r="OX161" i="5"/>
  <c r="PB161" i="5"/>
  <c r="PF161" i="5"/>
  <c r="OT160" i="5"/>
  <c r="OX160" i="5"/>
  <c r="PB160" i="5"/>
  <c r="PF160" i="5"/>
  <c r="OU160" i="5"/>
  <c r="OY160" i="5"/>
  <c r="PC160" i="5"/>
  <c r="PG160" i="5"/>
  <c r="OV160" i="5"/>
  <c r="OZ160" i="5"/>
  <c r="PD160" i="5"/>
  <c r="PH160" i="5"/>
  <c r="OW160" i="5"/>
  <c r="PA160" i="5"/>
  <c r="PE160" i="5"/>
  <c r="OW159" i="5"/>
  <c r="PA159" i="5"/>
  <c r="PE159" i="5"/>
  <c r="OT159" i="5"/>
  <c r="OX159" i="5"/>
  <c r="PB159" i="5"/>
  <c r="PF159" i="5"/>
  <c r="OU159" i="5"/>
  <c r="OY159" i="5"/>
  <c r="PC159" i="5"/>
  <c r="PG159" i="5"/>
  <c r="PH159" i="5"/>
  <c r="OV159" i="5"/>
  <c r="OZ159" i="5"/>
  <c r="PD159" i="5"/>
  <c r="OV158" i="5"/>
  <c r="OZ158" i="5"/>
  <c r="PD158" i="5"/>
  <c r="PH158" i="5"/>
  <c r="OW158" i="5"/>
  <c r="PA158" i="5"/>
  <c r="PE158" i="5"/>
  <c r="OT158" i="5"/>
  <c r="OX158" i="5"/>
  <c r="PB158" i="5"/>
  <c r="PF158" i="5"/>
  <c r="PG158" i="5"/>
  <c r="OU158" i="5"/>
  <c r="OY158" i="5"/>
  <c r="PC158" i="5"/>
  <c r="OU157" i="5"/>
  <c r="OY157" i="5"/>
  <c r="PC157" i="5"/>
  <c r="PG157" i="5"/>
  <c r="OV157" i="5"/>
  <c r="OZ157" i="5"/>
  <c r="PD157" i="5"/>
  <c r="PH157" i="5"/>
  <c r="OW157" i="5"/>
  <c r="PA157" i="5"/>
  <c r="PE157" i="5"/>
  <c r="PF157" i="5"/>
  <c r="OT157" i="5"/>
  <c r="OX157" i="5"/>
  <c r="PB157" i="5"/>
  <c r="OV154" i="5"/>
  <c r="OZ154" i="5"/>
  <c r="PD154" i="5"/>
  <c r="PH154" i="5"/>
  <c r="OW154" i="5"/>
  <c r="PA154" i="5"/>
  <c r="PE154" i="5"/>
  <c r="OT154" i="5"/>
  <c r="OX154" i="5"/>
  <c r="PB154" i="5"/>
  <c r="PF154" i="5"/>
  <c r="PC154" i="5"/>
  <c r="PG154" i="5"/>
  <c r="OU154" i="5"/>
  <c r="OY154" i="5"/>
  <c r="OU153" i="5"/>
  <c r="OY153" i="5"/>
  <c r="PC153" i="5"/>
  <c r="PG153" i="5"/>
  <c r="OV153" i="5"/>
  <c r="OZ153" i="5"/>
  <c r="PD153" i="5"/>
  <c r="PH153" i="5"/>
  <c r="OW153" i="5"/>
  <c r="PA153" i="5"/>
  <c r="PE153" i="5"/>
  <c r="PB153" i="5"/>
  <c r="PF153" i="5"/>
  <c r="OT153" i="5"/>
  <c r="OX153" i="5"/>
  <c r="OT152" i="5"/>
  <c r="OX152" i="5"/>
  <c r="PB152" i="5"/>
  <c r="PF152" i="5"/>
  <c r="OU152" i="5"/>
  <c r="OY152" i="5"/>
  <c r="PC152" i="5"/>
  <c r="PG152" i="5"/>
  <c r="OV152" i="5"/>
  <c r="OZ152" i="5"/>
  <c r="PD152" i="5"/>
  <c r="PH152" i="5"/>
  <c r="PA152" i="5"/>
  <c r="PE152" i="5"/>
  <c r="OW152" i="5"/>
  <c r="OW151" i="5"/>
  <c r="PA151" i="5"/>
  <c r="PE151" i="5"/>
  <c r="OT151" i="5"/>
  <c r="OX151" i="5"/>
  <c r="PB151" i="5"/>
  <c r="PF151" i="5"/>
  <c r="OU151" i="5"/>
  <c r="OY151" i="5"/>
  <c r="PC151" i="5"/>
  <c r="PG151" i="5"/>
  <c r="OZ151" i="5"/>
  <c r="PD151" i="5"/>
  <c r="PH151" i="5"/>
  <c r="OV151" i="5"/>
  <c r="OV150" i="5"/>
  <c r="OZ150" i="5"/>
  <c r="PD150" i="5"/>
  <c r="PH150" i="5"/>
  <c r="OW150" i="5"/>
  <c r="PA150" i="5"/>
  <c r="PE150" i="5"/>
  <c r="OT150" i="5"/>
  <c r="OX150" i="5"/>
  <c r="PB150" i="5"/>
  <c r="PF150" i="5"/>
  <c r="OY150" i="5"/>
  <c r="PC150" i="5"/>
  <c r="PG150" i="5"/>
  <c r="OU150" i="5"/>
  <c r="OT148" i="5"/>
  <c r="OX148" i="5"/>
  <c r="PB148" i="5"/>
  <c r="PF148" i="5"/>
  <c r="OU148" i="5"/>
  <c r="OY148" i="5"/>
  <c r="PC148" i="5"/>
  <c r="PG148" i="5"/>
  <c r="OV148" i="5"/>
  <c r="OZ148" i="5"/>
  <c r="PD148" i="5"/>
  <c r="PH148" i="5"/>
  <c r="OW148" i="5"/>
  <c r="PA148" i="5"/>
  <c r="PE148" i="5"/>
  <c r="OW147" i="5"/>
  <c r="PA147" i="5"/>
  <c r="PE147" i="5"/>
  <c r="OT147" i="5"/>
  <c r="OX147" i="5"/>
  <c r="PB147" i="5"/>
  <c r="PF147" i="5"/>
  <c r="OU147" i="5"/>
  <c r="OY147" i="5"/>
  <c r="PC147" i="5"/>
  <c r="PG147" i="5"/>
  <c r="OV147" i="5"/>
  <c r="OZ147" i="5"/>
  <c r="PD147" i="5"/>
  <c r="PH147" i="5"/>
  <c r="OU145" i="5"/>
  <c r="OY145" i="5"/>
  <c r="PC145" i="5"/>
  <c r="PG145" i="5"/>
  <c r="OV145" i="5"/>
  <c r="OZ145" i="5"/>
  <c r="PD145" i="5"/>
  <c r="PH145" i="5"/>
  <c r="OW145" i="5"/>
  <c r="PA145" i="5"/>
  <c r="PE145" i="5"/>
  <c r="OT145" i="5"/>
  <c r="OX145" i="5"/>
  <c r="PB145" i="5"/>
  <c r="PF145" i="5"/>
  <c r="OT142" i="5"/>
  <c r="OX142" i="5"/>
  <c r="PB142" i="5"/>
  <c r="PF142" i="5"/>
  <c r="OU142" i="5"/>
  <c r="OY142" i="5"/>
  <c r="PC142" i="5"/>
  <c r="PG142" i="5"/>
  <c r="OV142" i="5"/>
  <c r="OZ142" i="5"/>
  <c r="PD142" i="5"/>
  <c r="PH142" i="5"/>
  <c r="PE142" i="5"/>
  <c r="OW142" i="5"/>
  <c r="PA142" i="5"/>
  <c r="OW141" i="5"/>
  <c r="PA141" i="5"/>
  <c r="PE141" i="5"/>
  <c r="OT141" i="5"/>
  <c r="OX141" i="5"/>
  <c r="PB141" i="5"/>
  <c r="PF141" i="5"/>
  <c r="OU141" i="5"/>
  <c r="OY141" i="5"/>
  <c r="PC141" i="5"/>
  <c r="PG141" i="5"/>
  <c r="PD141" i="5"/>
  <c r="PH141" i="5"/>
  <c r="OV141" i="5"/>
  <c r="OZ141" i="5"/>
  <c r="OV140" i="5"/>
  <c r="OZ140" i="5"/>
  <c r="PD140" i="5"/>
  <c r="PH140" i="5"/>
  <c r="OW140" i="5"/>
  <c r="PA140" i="5"/>
  <c r="PE140" i="5"/>
  <c r="OT140" i="5"/>
  <c r="OX140" i="5"/>
  <c r="PB140" i="5"/>
  <c r="PF140" i="5"/>
  <c r="PC140" i="5"/>
  <c r="PG140" i="5"/>
  <c r="OU140" i="5"/>
  <c r="OY140" i="5"/>
  <c r="OT138" i="5"/>
  <c r="OX138" i="5"/>
  <c r="PB138" i="5"/>
  <c r="PF138" i="5"/>
  <c r="OU138" i="5"/>
  <c r="OY138" i="5"/>
  <c r="PC138" i="5"/>
  <c r="PG138" i="5"/>
  <c r="OV138" i="5"/>
  <c r="OZ138" i="5"/>
  <c r="PD138" i="5"/>
  <c r="PH138" i="5"/>
  <c r="PA138" i="5"/>
  <c r="PE138" i="5"/>
  <c r="OW138" i="5"/>
  <c r="OW137" i="5"/>
  <c r="PA137" i="5"/>
  <c r="PE137" i="5"/>
  <c r="OT137" i="5"/>
  <c r="OX137" i="5"/>
  <c r="PB137" i="5"/>
  <c r="PF137" i="5"/>
  <c r="OU137" i="5"/>
  <c r="OY137" i="5"/>
  <c r="PC137" i="5"/>
  <c r="PG137" i="5"/>
  <c r="OZ137" i="5"/>
  <c r="PD137" i="5"/>
  <c r="PH137" i="5"/>
  <c r="OV137" i="5"/>
  <c r="OV136" i="5"/>
  <c r="OZ136" i="5"/>
  <c r="PD136" i="5"/>
  <c r="PH136" i="5"/>
  <c r="OW136" i="5"/>
  <c r="PA136" i="5"/>
  <c r="PE136" i="5"/>
  <c r="OT136" i="5"/>
  <c r="OX136" i="5"/>
  <c r="PB136" i="5"/>
  <c r="PF136" i="5"/>
  <c r="OY136" i="5"/>
  <c r="PC136" i="5"/>
  <c r="PG136" i="5"/>
  <c r="OU136" i="5"/>
  <c r="OU135" i="5"/>
  <c r="OY135" i="5"/>
  <c r="PC135" i="5"/>
  <c r="PG135" i="5"/>
  <c r="OV135" i="5"/>
  <c r="OZ135" i="5"/>
  <c r="PD135" i="5"/>
  <c r="PH135" i="5"/>
  <c r="OW135" i="5"/>
  <c r="PA135" i="5"/>
  <c r="PE135" i="5"/>
  <c r="OX135" i="5"/>
  <c r="PB135" i="5"/>
  <c r="PF135" i="5"/>
  <c r="OT135" i="5"/>
  <c r="OT134" i="5"/>
  <c r="OX134" i="5"/>
  <c r="PB134" i="5"/>
  <c r="PF134" i="5"/>
  <c r="OU134" i="5"/>
  <c r="OY134" i="5"/>
  <c r="PC134" i="5"/>
  <c r="PG134" i="5"/>
  <c r="OV134" i="5"/>
  <c r="OZ134" i="5"/>
  <c r="PD134" i="5"/>
  <c r="PH134" i="5"/>
  <c r="OW134" i="5"/>
  <c r="PA134" i="5"/>
  <c r="PE134" i="5"/>
  <c r="OV132" i="5"/>
  <c r="OZ132" i="5"/>
  <c r="PD132" i="5"/>
  <c r="PH132" i="5"/>
  <c r="OW132" i="5"/>
  <c r="PA132" i="5"/>
  <c r="PE132" i="5"/>
  <c r="OT132" i="5"/>
  <c r="OX132" i="5"/>
  <c r="PB132" i="5"/>
  <c r="PF132" i="5"/>
  <c r="OU132" i="5"/>
  <c r="OY132" i="5"/>
  <c r="PC132" i="5"/>
  <c r="PG132" i="5"/>
  <c r="OT128" i="5"/>
  <c r="OX128" i="5"/>
  <c r="PB128" i="5"/>
  <c r="PF128" i="5"/>
  <c r="OU128" i="5"/>
  <c r="OY128" i="5"/>
  <c r="PC128" i="5"/>
  <c r="PG128" i="5"/>
  <c r="OV128" i="5"/>
  <c r="OZ128" i="5"/>
  <c r="PD128" i="5"/>
  <c r="PH128" i="5"/>
  <c r="PE128" i="5"/>
  <c r="OW128" i="5"/>
  <c r="PA128" i="5"/>
  <c r="OW127" i="5"/>
  <c r="PA127" i="5"/>
  <c r="PE127" i="5"/>
  <c r="OT127" i="5"/>
  <c r="OX127" i="5"/>
  <c r="PB127" i="5"/>
  <c r="PF127" i="5"/>
  <c r="OU127" i="5"/>
  <c r="OY127" i="5"/>
  <c r="PC127" i="5"/>
  <c r="PG127" i="5"/>
  <c r="PD127" i="5"/>
  <c r="PH127" i="5"/>
  <c r="OV127" i="5"/>
  <c r="OZ127" i="5"/>
  <c r="OV126" i="5"/>
  <c r="OZ126" i="5"/>
  <c r="PD126" i="5"/>
  <c r="PH126" i="5"/>
  <c r="OW126" i="5"/>
  <c r="PA126" i="5"/>
  <c r="PE126" i="5"/>
  <c r="OT126" i="5"/>
  <c r="OX126" i="5"/>
  <c r="PB126" i="5"/>
  <c r="PF126" i="5"/>
  <c r="PC126" i="5"/>
  <c r="PG126" i="5"/>
  <c r="OU126" i="5"/>
  <c r="OY126" i="5"/>
  <c r="OT125" i="5"/>
  <c r="OX125" i="5"/>
  <c r="PB125" i="5"/>
  <c r="PF125" i="5"/>
  <c r="OU125" i="5"/>
  <c r="OY125" i="5"/>
  <c r="PC125" i="5"/>
  <c r="PG125" i="5"/>
  <c r="OV125" i="5"/>
  <c r="OZ125" i="5"/>
  <c r="PD125" i="5"/>
  <c r="PH125" i="5"/>
  <c r="PA125" i="5"/>
  <c r="PE125" i="5"/>
  <c r="OW125" i="5"/>
  <c r="OV123" i="5"/>
  <c r="OZ123" i="5"/>
  <c r="PD123" i="5"/>
  <c r="PH123" i="5"/>
  <c r="OW123" i="5"/>
  <c r="PA123" i="5"/>
  <c r="PE123" i="5"/>
  <c r="OT123" i="5"/>
  <c r="OX123" i="5"/>
  <c r="PB123" i="5"/>
  <c r="PF123" i="5"/>
  <c r="OY123" i="5"/>
  <c r="PC123" i="5"/>
  <c r="PG123" i="5"/>
  <c r="OU123" i="5"/>
  <c r="PF122" i="5"/>
  <c r="OV119" i="5"/>
  <c r="OZ119" i="5"/>
  <c r="PD119" i="5"/>
  <c r="PH119" i="5"/>
  <c r="OW119" i="5"/>
  <c r="PA119" i="5"/>
  <c r="PE119" i="5"/>
  <c r="OT119" i="5"/>
  <c r="OX119" i="5"/>
  <c r="PB119" i="5"/>
  <c r="PF119" i="5"/>
  <c r="OU119" i="5"/>
  <c r="OY119" i="5"/>
  <c r="PC119" i="5"/>
  <c r="PG119" i="5"/>
  <c r="PH118" i="5"/>
  <c r="OW117" i="5"/>
  <c r="OU116" i="5"/>
  <c r="OY115" i="5"/>
  <c r="OZ106" i="5"/>
  <c r="PF85" i="5"/>
  <c r="OU85" i="5"/>
  <c r="PH85" i="5"/>
  <c r="OW85" i="5"/>
  <c r="OZ82" i="5"/>
  <c r="OT79" i="5"/>
  <c r="OU70" i="5"/>
  <c r="OW70" i="5"/>
  <c r="OX69" i="5"/>
  <c r="OZ69" i="5"/>
  <c r="OV59" i="5"/>
  <c r="OZ59" i="5"/>
  <c r="PD59" i="5"/>
  <c r="PH59" i="5"/>
  <c r="OW59" i="5"/>
  <c r="PA59" i="5"/>
  <c r="PE59" i="5"/>
  <c r="OT59" i="5"/>
  <c r="OX59" i="5"/>
  <c r="PB59" i="5"/>
  <c r="PF59" i="5"/>
  <c r="OY59" i="5"/>
  <c r="PC59" i="5"/>
  <c r="PG59" i="5"/>
  <c r="OU59" i="5"/>
  <c r="PG58" i="5"/>
  <c r="OX58" i="5"/>
  <c r="PD55" i="5"/>
  <c r="PF55" i="5"/>
  <c r="OX36" i="5"/>
  <c r="PG36" i="5"/>
  <c r="PA36" i="5"/>
  <c r="PG102" i="5"/>
  <c r="PG98" i="5"/>
  <c r="PA98" i="5"/>
  <c r="PH83" i="5"/>
  <c r="PG83" i="5"/>
  <c r="OX72" i="5"/>
  <c r="OZ72" i="5"/>
  <c r="OV63" i="5"/>
  <c r="OZ63" i="5"/>
  <c r="OX63" i="5"/>
  <c r="PB63" i="5"/>
  <c r="OT56" i="5"/>
  <c r="PF56" i="5"/>
  <c r="OV56" i="5"/>
  <c r="PH56" i="5"/>
  <c r="OV43" i="5"/>
  <c r="OZ43" i="5"/>
  <c r="PD43" i="5"/>
  <c r="PH43" i="5"/>
  <c r="OW43" i="5"/>
  <c r="PA43" i="5"/>
  <c r="PE43" i="5"/>
  <c r="OT43" i="5"/>
  <c r="OX43" i="5"/>
  <c r="PB43" i="5"/>
  <c r="PF43" i="5"/>
  <c r="OY43" i="5"/>
  <c r="PC43" i="5"/>
  <c r="PG43" i="5"/>
  <c r="OU43" i="5"/>
  <c r="OV38" i="5"/>
  <c r="OZ38" i="5"/>
  <c r="PD38" i="5"/>
  <c r="PH38" i="5"/>
  <c r="OW38" i="5"/>
  <c r="PA38" i="5"/>
  <c r="PE38" i="5"/>
  <c r="OT38" i="5"/>
  <c r="OX38" i="5"/>
  <c r="PB38" i="5"/>
  <c r="PF38" i="5"/>
  <c r="OU38" i="5"/>
  <c r="OY38" i="5"/>
  <c r="PC38" i="5"/>
  <c r="PG38" i="5"/>
  <c r="PH37" i="5"/>
  <c r="PD33" i="5"/>
  <c r="PF33" i="5"/>
  <c r="OZ10" i="5"/>
  <c r="OW10" i="5"/>
  <c r="PB10" i="5"/>
  <c r="OY10" i="5"/>
  <c r="OW76" i="5"/>
  <c r="PA76" i="5"/>
  <c r="PE76" i="5"/>
  <c r="OT76" i="5"/>
  <c r="OX76" i="5"/>
  <c r="PB76" i="5"/>
  <c r="PF76" i="5"/>
  <c r="OU76" i="5"/>
  <c r="OY76" i="5"/>
  <c r="PC76" i="5"/>
  <c r="PG76" i="5"/>
  <c r="OZ76" i="5"/>
  <c r="PD76" i="5"/>
  <c r="PH76" i="5"/>
  <c r="OV76" i="5"/>
  <c r="PE73" i="5"/>
  <c r="OY66" i="5"/>
  <c r="OT65" i="5"/>
  <c r="OX65" i="5"/>
  <c r="PB65" i="5"/>
  <c r="PF65" i="5"/>
  <c r="OU65" i="5"/>
  <c r="OY65" i="5"/>
  <c r="PC65" i="5"/>
  <c r="PG65" i="5"/>
  <c r="OV65" i="5"/>
  <c r="OZ65" i="5"/>
  <c r="PD65" i="5"/>
  <c r="PH65" i="5"/>
  <c r="PE65" i="5"/>
  <c r="OW65" i="5"/>
  <c r="PA65" i="5"/>
  <c r="OW64" i="5"/>
  <c r="PA64" i="5"/>
  <c r="PE64" i="5"/>
  <c r="OT64" i="5"/>
  <c r="OX64" i="5"/>
  <c r="PB64" i="5"/>
  <c r="PF64" i="5"/>
  <c r="OU64" i="5"/>
  <c r="OY64" i="5"/>
  <c r="PC64" i="5"/>
  <c r="PG64" i="5"/>
  <c r="PD64" i="5"/>
  <c r="PH64" i="5"/>
  <c r="OV64" i="5"/>
  <c r="OZ64" i="5"/>
  <c r="PB53" i="5"/>
  <c r="PD53" i="5"/>
  <c r="OV47" i="5"/>
  <c r="OZ47" i="5"/>
  <c r="PD47" i="5"/>
  <c r="PH47" i="5"/>
  <c r="OW47" i="5"/>
  <c r="PA47" i="5"/>
  <c r="PE47" i="5"/>
  <c r="OT47" i="5"/>
  <c r="OX47" i="5"/>
  <c r="PB47" i="5"/>
  <c r="PF47" i="5"/>
  <c r="PC47" i="5"/>
  <c r="PG47" i="5"/>
  <c r="OU47" i="5"/>
  <c r="OY47" i="5"/>
  <c r="OV26" i="5"/>
  <c r="OZ26" i="5"/>
  <c r="PD26" i="5"/>
  <c r="PH26" i="5"/>
  <c r="OW26" i="5"/>
  <c r="PA26" i="5"/>
  <c r="PE26" i="5"/>
  <c r="OT26" i="5"/>
  <c r="OX26" i="5"/>
  <c r="PB26" i="5"/>
  <c r="PF26" i="5"/>
  <c r="OU26" i="5"/>
  <c r="OY26" i="5"/>
  <c r="PC26" i="5"/>
  <c r="PG26" i="5"/>
  <c r="OX21" i="5"/>
  <c r="PG13" i="5"/>
  <c r="PA13" i="5"/>
  <c r="OT113" i="5"/>
  <c r="PC113" i="5"/>
  <c r="PE113" i="5"/>
  <c r="OW112" i="5"/>
  <c r="PA112" i="5"/>
  <c r="PE112" i="5"/>
  <c r="OT112" i="5"/>
  <c r="OX112" i="5"/>
  <c r="PB112" i="5"/>
  <c r="PF112" i="5"/>
  <c r="OU112" i="5"/>
  <c r="OY112" i="5"/>
  <c r="PC112" i="5"/>
  <c r="PG112" i="5"/>
  <c r="PD112" i="5"/>
  <c r="PH112" i="5"/>
  <c r="OV112" i="5"/>
  <c r="OZ112" i="5"/>
  <c r="OY110" i="5"/>
  <c r="PA110" i="5"/>
  <c r="OT109" i="5"/>
  <c r="OX109" i="5"/>
  <c r="PB109" i="5"/>
  <c r="PF109" i="5"/>
  <c r="OU109" i="5"/>
  <c r="OY109" i="5"/>
  <c r="PC109" i="5"/>
  <c r="PG109" i="5"/>
  <c r="OV109" i="5"/>
  <c r="OZ109" i="5"/>
  <c r="PD109" i="5"/>
  <c r="PH109" i="5"/>
  <c r="PA109" i="5"/>
  <c r="PE109" i="5"/>
  <c r="OW109" i="5"/>
  <c r="OW92" i="5"/>
  <c r="PA92" i="5"/>
  <c r="PE92" i="5"/>
  <c r="OT92" i="5"/>
  <c r="OX92" i="5"/>
  <c r="PB92" i="5"/>
  <c r="PF92" i="5"/>
  <c r="OU92" i="5"/>
  <c r="OY92" i="5"/>
  <c r="PC92" i="5"/>
  <c r="PG92" i="5"/>
  <c r="OZ92" i="5"/>
  <c r="PD92" i="5"/>
  <c r="PH92" i="5"/>
  <c r="OV92" i="5"/>
  <c r="PC89" i="5"/>
  <c r="PE89" i="5"/>
  <c r="OT81" i="5"/>
  <c r="OX81" i="5"/>
  <c r="PB81" i="5"/>
  <c r="PF81" i="5"/>
  <c r="OU81" i="5"/>
  <c r="OY81" i="5"/>
  <c r="PC81" i="5"/>
  <c r="PG81" i="5"/>
  <c r="OV81" i="5"/>
  <c r="OZ81" i="5"/>
  <c r="PD81" i="5"/>
  <c r="PH81" i="5"/>
  <c r="PE81" i="5"/>
  <c r="OW81" i="5"/>
  <c r="PA81" i="5"/>
  <c r="OT77" i="5"/>
  <c r="OY77" i="5"/>
  <c r="OV77" i="5"/>
  <c r="PE77" i="5"/>
  <c r="OW68" i="5"/>
  <c r="PA68" i="5"/>
  <c r="PE68" i="5"/>
  <c r="OT68" i="5"/>
  <c r="OX68" i="5"/>
  <c r="PB68" i="5"/>
  <c r="PF68" i="5"/>
  <c r="OU68" i="5"/>
  <c r="OY68" i="5"/>
  <c r="PC68" i="5"/>
  <c r="PG68" i="5"/>
  <c r="PH68" i="5"/>
  <c r="OV68" i="5"/>
  <c r="OZ68" i="5"/>
  <c r="PD68" i="5"/>
  <c r="OV67" i="5"/>
  <c r="OZ67" i="5"/>
  <c r="PA67" i="5"/>
  <c r="OT67" i="5"/>
  <c r="OX67" i="5"/>
  <c r="PB67" i="5"/>
  <c r="OY67" i="5"/>
  <c r="OZ51" i="5"/>
  <c r="PD51" i="5"/>
  <c r="PB51" i="5"/>
  <c r="PF51" i="5"/>
  <c r="OU50" i="5"/>
  <c r="OW50" i="5"/>
  <c r="OT49" i="5"/>
  <c r="OX49" i="5"/>
  <c r="PB49" i="5"/>
  <c r="PF49" i="5"/>
  <c r="OU49" i="5"/>
  <c r="OY49" i="5"/>
  <c r="PC49" i="5"/>
  <c r="PG49" i="5"/>
  <c r="OV49" i="5"/>
  <c r="OZ49" i="5"/>
  <c r="PD49" i="5"/>
  <c r="PH49" i="5"/>
  <c r="PE49" i="5"/>
  <c r="OW49" i="5"/>
  <c r="PA49" i="5"/>
  <c r="OW48" i="5"/>
  <c r="PF48" i="5"/>
  <c r="PH48" i="5"/>
  <c r="OT41" i="5"/>
  <c r="PF41" i="5"/>
  <c r="OV41" i="5"/>
  <c r="PH41" i="5"/>
  <c r="OW35" i="5"/>
  <c r="PA35" i="5"/>
  <c r="PE35" i="5"/>
  <c r="OT35" i="5"/>
  <c r="OX35" i="5"/>
  <c r="PB35" i="5"/>
  <c r="PF35" i="5"/>
  <c r="OU35" i="5"/>
  <c r="OY35" i="5"/>
  <c r="PC35" i="5"/>
  <c r="PG35" i="5"/>
  <c r="OV35" i="5"/>
  <c r="OZ35" i="5"/>
  <c r="PD35" i="5"/>
  <c r="PH35" i="5"/>
  <c r="OX28" i="5"/>
  <c r="PF28" i="5"/>
  <c r="OU28" i="5"/>
  <c r="OY28" i="5"/>
  <c r="OZ28" i="5"/>
  <c r="PH28" i="5"/>
  <c r="OW28" i="5"/>
  <c r="PA28" i="5"/>
  <c r="PB27" i="5"/>
  <c r="PF27" i="5"/>
  <c r="PD27" i="5"/>
  <c r="PH27" i="5"/>
  <c r="PC24" i="5"/>
  <c r="OW19" i="5"/>
  <c r="PA19" i="5"/>
  <c r="PE19" i="5"/>
  <c r="OT19" i="5"/>
  <c r="OX19" i="5"/>
  <c r="PB19" i="5"/>
  <c r="PF19" i="5"/>
  <c r="OU19" i="5"/>
  <c r="OY19" i="5"/>
  <c r="PC19" i="5"/>
  <c r="PG19" i="5"/>
  <c r="OV19" i="5"/>
  <c r="OZ19" i="5"/>
  <c r="PD19" i="5"/>
  <c r="PH19" i="5"/>
  <c r="PF7" i="5"/>
  <c r="OJ102" i="5"/>
  <c r="ON102" i="5"/>
  <c r="OL102" i="5"/>
  <c r="OP102" i="5"/>
  <c r="OD102" i="5"/>
  <c r="ON100" i="5"/>
  <c r="OP100" i="5"/>
  <c r="OR98" i="5"/>
  <c r="OL98" i="5"/>
  <c r="OC98" i="5"/>
  <c r="OH83" i="5"/>
  <c r="OI83" i="5"/>
  <c r="ON83" i="5"/>
  <c r="OK83" i="5"/>
  <c r="OC83" i="5"/>
  <c r="OF72" i="5"/>
  <c r="OH72" i="5"/>
  <c r="OC72" i="5"/>
  <c r="OH43" i="5"/>
  <c r="OL43" i="5"/>
  <c r="OP43" i="5"/>
  <c r="OI43" i="5"/>
  <c r="OM43" i="5"/>
  <c r="OQ43" i="5"/>
  <c r="OF43" i="5"/>
  <c r="OJ43" i="5"/>
  <c r="ON43" i="5"/>
  <c r="OR43" i="5"/>
  <c r="OG43" i="5"/>
  <c r="OK43" i="5"/>
  <c r="OO43" i="5"/>
  <c r="OE43" i="5"/>
  <c r="OB43" i="5"/>
  <c r="OC43" i="5"/>
  <c r="OS43" i="5"/>
  <c r="OD43" i="5"/>
  <c r="OF38" i="5"/>
  <c r="OJ38" i="5"/>
  <c r="ON38" i="5"/>
  <c r="OR38" i="5"/>
  <c r="OG38" i="5"/>
  <c r="OK38" i="5"/>
  <c r="OO38" i="5"/>
  <c r="OS38" i="5"/>
  <c r="OH38" i="5"/>
  <c r="OL38" i="5"/>
  <c r="OP38" i="5"/>
  <c r="OM38" i="5"/>
  <c r="OQ38" i="5"/>
  <c r="OE38" i="5"/>
  <c r="OB38" i="5"/>
  <c r="OI38" i="5"/>
  <c r="OC38" i="5"/>
  <c r="OD38" i="5"/>
  <c r="OP33" i="5"/>
  <c r="OS33" i="5"/>
  <c r="OH11" i="5"/>
  <c r="OL11" i="5"/>
  <c r="ON11" i="5"/>
  <c r="OR11" i="5"/>
  <c r="OD11" i="5"/>
  <c r="OS11" i="5"/>
  <c r="OP63" i="5"/>
  <c r="OI63" i="5"/>
  <c r="OM63" i="5"/>
  <c r="OO63" i="5"/>
  <c r="OS63" i="5"/>
  <c r="OG63" i="5"/>
  <c r="OF56" i="5"/>
  <c r="OJ56" i="5"/>
  <c r="ON56" i="5"/>
  <c r="OR56" i="5"/>
  <c r="OG56" i="5"/>
  <c r="OK56" i="5"/>
  <c r="OO56" i="5"/>
  <c r="OS56" i="5"/>
  <c r="OH56" i="5"/>
  <c r="OL56" i="5"/>
  <c r="OP56" i="5"/>
  <c r="OQ56" i="5"/>
  <c r="OI56" i="5"/>
  <c r="OE56" i="5"/>
  <c r="OB56" i="5"/>
  <c r="OM56" i="5"/>
  <c r="OC56" i="5"/>
  <c r="OD56" i="5"/>
  <c r="OH37" i="5"/>
  <c r="OL37" i="5"/>
  <c r="OP37" i="5"/>
  <c r="OI37" i="5"/>
  <c r="OM37" i="5"/>
  <c r="OQ37" i="5"/>
  <c r="OF37" i="5"/>
  <c r="OJ37" i="5"/>
  <c r="ON37" i="5"/>
  <c r="OR37" i="5"/>
  <c r="OK37" i="5"/>
  <c r="OO37" i="5"/>
  <c r="OS37" i="5"/>
  <c r="OE37" i="5"/>
  <c r="OG37" i="5"/>
  <c r="OB37" i="5"/>
  <c r="OC37" i="5"/>
  <c r="OD37" i="5"/>
  <c r="OF10" i="5"/>
  <c r="OJ10" i="5"/>
  <c r="ON10" i="5"/>
  <c r="OR10" i="5"/>
  <c r="OG10" i="5"/>
  <c r="OK10" i="5"/>
  <c r="OO10" i="5"/>
  <c r="OS10" i="5"/>
  <c r="OH10" i="5"/>
  <c r="OL10" i="5"/>
  <c r="OP10" i="5"/>
  <c r="OI10" i="5"/>
  <c r="OM10" i="5"/>
  <c r="OE10" i="5"/>
  <c r="OB10" i="5"/>
  <c r="OQ10" i="5"/>
  <c r="OC10" i="5"/>
  <c r="OD10" i="5"/>
  <c r="OF76" i="5"/>
  <c r="OJ76" i="5"/>
  <c r="ON76" i="5"/>
  <c r="OR76" i="5"/>
  <c r="OG76" i="5"/>
  <c r="OK76" i="5"/>
  <c r="OO76" i="5"/>
  <c r="OS76" i="5"/>
  <c r="OH76" i="5"/>
  <c r="OL76" i="5"/>
  <c r="OP76" i="5"/>
  <c r="OI76" i="5"/>
  <c r="OM76" i="5"/>
  <c r="OQ76" i="5"/>
  <c r="OE76" i="5"/>
  <c r="OB76" i="5"/>
  <c r="OC76" i="5"/>
  <c r="OD76" i="5"/>
  <c r="OH73" i="5"/>
  <c r="OP73" i="5"/>
  <c r="OI73" i="5"/>
  <c r="OM73" i="5"/>
  <c r="ON73" i="5"/>
  <c r="OS73" i="5"/>
  <c r="OG73" i="5"/>
  <c r="OK73" i="5"/>
  <c r="OC73" i="5"/>
  <c r="OQ66" i="5"/>
  <c r="OH65" i="5"/>
  <c r="OL65" i="5"/>
  <c r="OP65" i="5"/>
  <c r="OI65" i="5"/>
  <c r="OM65" i="5"/>
  <c r="OQ65" i="5"/>
  <c r="OF65" i="5"/>
  <c r="OJ65" i="5"/>
  <c r="ON65" i="5"/>
  <c r="OR65" i="5"/>
  <c r="OS65" i="5"/>
  <c r="OG65" i="5"/>
  <c r="OK65" i="5"/>
  <c r="OE65" i="5"/>
  <c r="OB65" i="5"/>
  <c r="OO65" i="5"/>
  <c r="OC65" i="5"/>
  <c r="OD65" i="5"/>
  <c r="OF64" i="5"/>
  <c r="OJ64" i="5"/>
  <c r="ON64" i="5"/>
  <c r="OR64" i="5"/>
  <c r="OG64" i="5"/>
  <c r="OK64" i="5"/>
  <c r="OO64" i="5"/>
  <c r="OS64" i="5"/>
  <c r="OH64" i="5"/>
  <c r="OL64" i="5"/>
  <c r="OP64" i="5"/>
  <c r="OQ64" i="5"/>
  <c r="OI64" i="5"/>
  <c r="OE64" i="5"/>
  <c r="OM64" i="5"/>
  <c r="OB64" i="5"/>
  <c r="OC64" i="5"/>
  <c r="OD64" i="5"/>
  <c r="OQ53" i="5"/>
  <c r="OE53" i="5"/>
  <c r="OH47" i="5"/>
  <c r="OL47" i="5"/>
  <c r="OP47" i="5"/>
  <c r="OI47" i="5"/>
  <c r="OM47" i="5"/>
  <c r="OQ47" i="5"/>
  <c r="OF47" i="5"/>
  <c r="OJ47" i="5"/>
  <c r="ON47" i="5"/>
  <c r="OR47" i="5"/>
  <c r="OO47" i="5"/>
  <c r="OS47" i="5"/>
  <c r="OG47" i="5"/>
  <c r="OE47" i="5"/>
  <c r="OB47" i="5"/>
  <c r="OK47" i="5"/>
  <c r="OC47" i="5"/>
  <c r="OD47" i="5"/>
  <c r="OF26" i="5"/>
  <c r="OJ26" i="5"/>
  <c r="ON26" i="5"/>
  <c r="OR26" i="5"/>
  <c r="OG26" i="5"/>
  <c r="OK26" i="5"/>
  <c r="OO26" i="5"/>
  <c r="OS26" i="5"/>
  <c r="OH26" i="5"/>
  <c r="OL26" i="5"/>
  <c r="OP26" i="5"/>
  <c r="OI26" i="5"/>
  <c r="OM26" i="5"/>
  <c r="OQ26" i="5"/>
  <c r="OE26" i="5"/>
  <c r="OB26" i="5"/>
  <c r="OC26" i="5"/>
  <c r="OD26" i="5"/>
  <c r="OL21" i="5"/>
  <c r="OP21" i="5"/>
  <c r="OI21" i="5"/>
  <c r="OJ21" i="5"/>
  <c r="OR21" i="5"/>
  <c r="OK21" i="5"/>
  <c r="OO21" i="5"/>
  <c r="OC21" i="5"/>
  <c r="OG21" i="5"/>
  <c r="OJ18" i="5"/>
  <c r="OP13" i="5"/>
  <c r="ON13" i="5"/>
  <c r="OE13" i="5"/>
  <c r="OJ114" i="5"/>
  <c r="OP113" i="5"/>
  <c r="ON113" i="5"/>
  <c r="OE113" i="5"/>
  <c r="OF112" i="5"/>
  <c r="OJ112" i="5"/>
  <c r="ON112" i="5"/>
  <c r="OR112" i="5"/>
  <c r="OG112" i="5"/>
  <c r="OK112" i="5"/>
  <c r="OO112" i="5"/>
  <c r="OS112" i="5"/>
  <c r="OH112" i="5"/>
  <c r="OL112" i="5"/>
  <c r="OP112" i="5"/>
  <c r="OQ112" i="5"/>
  <c r="OI112" i="5"/>
  <c r="OE112" i="5"/>
  <c r="OB112" i="5"/>
  <c r="OC112" i="5"/>
  <c r="CJ112" i="5" s="1"/>
  <c r="OD112" i="5"/>
  <c r="OM112" i="5"/>
  <c r="OG110" i="5"/>
  <c r="OQ110" i="5"/>
  <c r="OH109" i="5"/>
  <c r="OL109" i="5"/>
  <c r="OP109" i="5"/>
  <c r="OI109" i="5"/>
  <c r="OM109" i="5"/>
  <c r="OQ109" i="5"/>
  <c r="OF109" i="5"/>
  <c r="OJ109" i="5"/>
  <c r="ON109" i="5"/>
  <c r="OR109" i="5"/>
  <c r="OK109" i="5"/>
  <c r="OO109" i="5"/>
  <c r="OS109" i="5"/>
  <c r="OG109" i="5"/>
  <c r="OE109" i="5"/>
  <c r="OB109" i="5"/>
  <c r="OC109" i="5"/>
  <c r="OD109" i="5"/>
  <c r="OF92" i="5"/>
  <c r="OJ92" i="5"/>
  <c r="ON92" i="5"/>
  <c r="OR92" i="5"/>
  <c r="OG92" i="5"/>
  <c r="OK92" i="5"/>
  <c r="OO92" i="5"/>
  <c r="OS92" i="5"/>
  <c r="OH92" i="5"/>
  <c r="OL92" i="5"/>
  <c r="OP92" i="5"/>
  <c r="OI92" i="5"/>
  <c r="OM92" i="5"/>
  <c r="OQ92" i="5"/>
  <c r="OE92" i="5"/>
  <c r="OB92" i="5"/>
  <c r="OC92" i="5"/>
  <c r="OD92" i="5"/>
  <c r="OP89" i="5"/>
  <c r="OS89" i="5"/>
  <c r="OH81" i="5"/>
  <c r="OL81" i="5"/>
  <c r="OP81" i="5"/>
  <c r="OI81" i="5"/>
  <c r="OM81" i="5"/>
  <c r="OQ81" i="5"/>
  <c r="OF81" i="5"/>
  <c r="OJ81" i="5"/>
  <c r="ON81" i="5"/>
  <c r="OR81" i="5"/>
  <c r="OS81" i="5"/>
  <c r="OG81" i="5"/>
  <c r="OK81" i="5"/>
  <c r="OO81" i="5"/>
  <c r="OE81" i="5"/>
  <c r="OB81" i="5"/>
  <c r="OC81" i="5"/>
  <c r="OD81" i="5"/>
  <c r="OH77" i="5"/>
  <c r="OL77" i="5"/>
  <c r="OP77" i="5"/>
  <c r="OI77" i="5"/>
  <c r="OM77" i="5"/>
  <c r="OQ77" i="5"/>
  <c r="OF77" i="5"/>
  <c r="OJ77" i="5"/>
  <c r="ON77" i="5"/>
  <c r="OR77" i="5"/>
  <c r="OK77" i="5"/>
  <c r="OO77" i="5"/>
  <c r="OS77" i="5"/>
  <c r="OG77" i="5"/>
  <c r="OE77" i="5"/>
  <c r="OB77" i="5"/>
  <c r="OC77" i="5"/>
  <c r="OD77" i="5"/>
  <c r="OF68" i="5"/>
  <c r="OJ68" i="5"/>
  <c r="ON68" i="5"/>
  <c r="OR68" i="5"/>
  <c r="OG68" i="5"/>
  <c r="OK68" i="5"/>
  <c r="OO68" i="5"/>
  <c r="OS68" i="5"/>
  <c r="OH68" i="5"/>
  <c r="OL68" i="5"/>
  <c r="OP68" i="5"/>
  <c r="OI68" i="5"/>
  <c r="OM68" i="5"/>
  <c r="OQ68" i="5"/>
  <c r="OE68" i="5"/>
  <c r="OB68" i="5"/>
  <c r="OC68" i="5"/>
  <c r="OD68" i="5"/>
  <c r="OH67" i="5"/>
  <c r="OL67" i="5"/>
  <c r="OP67" i="5"/>
  <c r="OM67" i="5"/>
  <c r="OQ67" i="5"/>
  <c r="OJ67" i="5"/>
  <c r="ON67" i="5"/>
  <c r="OR67" i="5"/>
  <c r="OG67" i="5"/>
  <c r="OO67" i="5"/>
  <c r="OS67" i="5"/>
  <c r="OB67" i="5"/>
  <c r="CJ67" i="5" s="1"/>
  <c r="OC67" i="5"/>
  <c r="OD67" i="5"/>
  <c r="OI51" i="5"/>
  <c r="OQ51" i="5"/>
  <c r="OF51" i="5"/>
  <c r="OJ51" i="5"/>
  <c r="OK51" i="5"/>
  <c r="OE51" i="5"/>
  <c r="OB51" i="5"/>
  <c r="OS51" i="5"/>
  <c r="OS50" i="5"/>
  <c r="OB50" i="5"/>
  <c r="OH49" i="5"/>
  <c r="OL49" i="5"/>
  <c r="OP49" i="5"/>
  <c r="OI49" i="5"/>
  <c r="OM49" i="5"/>
  <c r="OQ49" i="5"/>
  <c r="OF49" i="5"/>
  <c r="OJ49" i="5"/>
  <c r="ON49" i="5"/>
  <c r="OR49" i="5"/>
  <c r="OS49" i="5"/>
  <c r="OG49" i="5"/>
  <c r="OK49" i="5"/>
  <c r="OO49" i="5"/>
  <c r="OE49" i="5"/>
  <c r="OB49" i="5"/>
  <c r="OC49" i="5"/>
  <c r="OD49" i="5"/>
  <c r="ON48" i="5"/>
  <c r="OH48" i="5"/>
  <c r="OB48" i="5"/>
  <c r="OH41" i="5"/>
  <c r="OL41" i="5"/>
  <c r="OP41" i="5"/>
  <c r="OI41" i="5"/>
  <c r="OM41" i="5"/>
  <c r="OQ41" i="5"/>
  <c r="OF41" i="5"/>
  <c r="OJ41" i="5"/>
  <c r="ON41" i="5"/>
  <c r="OR41" i="5"/>
  <c r="OS41" i="5"/>
  <c r="OG41" i="5"/>
  <c r="OK41" i="5"/>
  <c r="OE41" i="5"/>
  <c r="OO41" i="5"/>
  <c r="OB41" i="5"/>
  <c r="OC41" i="5"/>
  <c r="OD41" i="5"/>
  <c r="OH35" i="5"/>
  <c r="OL35" i="5"/>
  <c r="OP35" i="5"/>
  <c r="OI35" i="5"/>
  <c r="OM35" i="5"/>
  <c r="OQ35" i="5"/>
  <c r="OF35" i="5"/>
  <c r="OJ35" i="5"/>
  <c r="ON35" i="5"/>
  <c r="OR35" i="5"/>
  <c r="OG35" i="5"/>
  <c r="OK35" i="5"/>
  <c r="OO35" i="5"/>
  <c r="OS35" i="5"/>
  <c r="OE35" i="5"/>
  <c r="OB35" i="5"/>
  <c r="OC35" i="5"/>
  <c r="OD35" i="5"/>
  <c r="OF28" i="5"/>
  <c r="OJ28" i="5"/>
  <c r="OR28" i="5"/>
  <c r="OG28" i="5"/>
  <c r="OO28" i="5"/>
  <c r="OS28" i="5"/>
  <c r="OH28" i="5"/>
  <c r="OL28" i="5"/>
  <c r="OI28" i="5"/>
  <c r="OM28" i="5"/>
  <c r="OE28" i="5"/>
  <c r="OB28" i="5"/>
  <c r="OC28" i="5"/>
  <c r="OD28" i="5"/>
  <c r="OP27" i="5"/>
  <c r="OM27" i="5"/>
  <c r="OQ27" i="5"/>
  <c r="OF27" i="5"/>
  <c r="OG27" i="5"/>
  <c r="OO27" i="5"/>
  <c r="OE27" i="5"/>
  <c r="OS27" i="5"/>
  <c r="OH19" i="5"/>
  <c r="OL19" i="5"/>
  <c r="OP19" i="5"/>
  <c r="OI19" i="5"/>
  <c r="OM19" i="5"/>
  <c r="OQ19" i="5"/>
  <c r="OF19" i="5"/>
  <c r="OJ19" i="5"/>
  <c r="ON19" i="5"/>
  <c r="OR19" i="5"/>
  <c r="OG19" i="5"/>
  <c r="OK19" i="5"/>
  <c r="OO19" i="5"/>
  <c r="OE19" i="5"/>
  <c r="OB19" i="5"/>
  <c r="OS19" i="5"/>
  <c r="OC19" i="5"/>
  <c r="OD19" i="5"/>
  <c r="OP7" i="5"/>
  <c r="OF7" i="5"/>
  <c r="OO7" i="5"/>
  <c r="OB7" i="5"/>
  <c r="OH248" i="5"/>
  <c r="OL248" i="5"/>
  <c r="OP248" i="5"/>
  <c r="OI248" i="5"/>
  <c r="OM248" i="5"/>
  <c r="OQ248" i="5"/>
  <c r="OK248" i="5"/>
  <c r="OS248" i="5"/>
  <c r="OF248" i="5"/>
  <c r="ON248" i="5"/>
  <c r="OG248" i="5"/>
  <c r="OO248" i="5"/>
  <c r="OE248" i="5"/>
  <c r="OB248" i="5"/>
  <c r="CJ248" i="5" s="1"/>
  <c r="OJ248" i="5"/>
  <c r="OC248" i="5"/>
  <c r="OD248" i="5"/>
  <c r="OR248" i="5"/>
  <c r="OF247" i="5"/>
  <c r="OJ247" i="5"/>
  <c r="ON247" i="5"/>
  <c r="OR247" i="5"/>
  <c r="OG247" i="5"/>
  <c r="OK247" i="5"/>
  <c r="OO247" i="5"/>
  <c r="OS247" i="5"/>
  <c r="OI247" i="5"/>
  <c r="OQ247" i="5"/>
  <c r="OL247" i="5"/>
  <c r="OM247" i="5"/>
  <c r="OH247" i="5"/>
  <c r="OE247" i="5"/>
  <c r="OP247" i="5"/>
  <c r="OB247" i="5"/>
  <c r="OC247" i="5"/>
  <c r="OD247" i="5"/>
  <c r="OH246" i="5"/>
  <c r="OL246" i="5"/>
  <c r="OP246" i="5"/>
  <c r="OI246" i="5"/>
  <c r="OM246" i="5"/>
  <c r="OQ246" i="5"/>
  <c r="OG246" i="5"/>
  <c r="OO246" i="5"/>
  <c r="OJ246" i="5"/>
  <c r="OR246" i="5"/>
  <c r="OK246" i="5"/>
  <c r="OS246" i="5"/>
  <c r="OE246" i="5"/>
  <c r="OB246" i="5"/>
  <c r="OF246" i="5"/>
  <c r="OC246" i="5"/>
  <c r="ON246" i="5"/>
  <c r="OD246" i="5"/>
  <c r="OF245" i="5"/>
  <c r="OJ245" i="5"/>
  <c r="ON245" i="5"/>
  <c r="OR245" i="5"/>
  <c r="OG245" i="5"/>
  <c r="OK245" i="5"/>
  <c r="OO245" i="5"/>
  <c r="OS245" i="5"/>
  <c r="OM245" i="5"/>
  <c r="OH245" i="5"/>
  <c r="OP245" i="5"/>
  <c r="OI245" i="5"/>
  <c r="OQ245" i="5"/>
  <c r="OE245" i="5"/>
  <c r="OL245" i="5"/>
  <c r="OB245" i="5"/>
  <c r="OC245" i="5"/>
  <c r="OD245" i="5"/>
  <c r="CJ245" i="5" s="1"/>
  <c r="OH244" i="5"/>
  <c r="OL244" i="5"/>
  <c r="OP244" i="5"/>
  <c r="CJ244" i="5" s="1"/>
  <c r="OI244" i="5"/>
  <c r="OM244" i="5"/>
  <c r="OQ244" i="5"/>
  <c r="OK244" i="5"/>
  <c r="OS244" i="5"/>
  <c r="OF244" i="5"/>
  <c r="ON244" i="5"/>
  <c r="OG244" i="5"/>
  <c r="OO244" i="5"/>
  <c r="OR244" i="5"/>
  <c r="OE244" i="5"/>
  <c r="OB244" i="5"/>
  <c r="OC244" i="5"/>
  <c r="OJ244" i="5"/>
  <c r="OD244" i="5"/>
  <c r="OF243" i="5"/>
  <c r="OJ243" i="5"/>
  <c r="ON243" i="5"/>
  <c r="OR243" i="5"/>
  <c r="OG243" i="5"/>
  <c r="OK243" i="5"/>
  <c r="OO243" i="5"/>
  <c r="OS243" i="5"/>
  <c r="OI243" i="5"/>
  <c r="OQ243" i="5"/>
  <c r="OL243" i="5"/>
  <c r="OM243" i="5"/>
  <c r="OE243" i="5"/>
  <c r="OH243" i="5"/>
  <c r="OB243" i="5"/>
  <c r="OP243" i="5"/>
  <c r="OC243" i="5"/>
  <c r="OD243" i="5"/>
  <c r="CJ243" i="5" s="1"/>
  <c r="OH242" i="5"/>
  <c r="OL242" i="5"/>
  <c r="OP242" i="5"/>
  <c r="OI242" i="5"/>
  <c r="OM242" i="5"/>
  <c r="OQ242" i="5"/>
  <c r="OG242" i="5"/>
  <c r="CJ242" i="5" s="1"/>
  <c r="OO242" i="5"/>
  <c r="OJ242" i="5"/>
  <c r="OR242" i="5"/>
  <c r="OK242" i="5"/>
  <c r="OS242" i="5"/>
  <c r="ON242" i="5"/>
  <c r="OE242" i="5"/>
  <c r="OB242" i="5"/>
  <c r="OC242" i="5"/>
  <c r="OD242" i="5"/>
  <c r="OF242" i="5"/>
  <c r="OF241" i="5"/>
  <c r="OJ241" i="5"/>
  <c r="ON241" i="5"/>
  <c r="OR241" i="5"/>
  <c r="OG241" i="5"/>
  <c r="OK241" i="5"/>
  <c r="OO241" i="5"/>
  <c r="OS241" i="5"/>
  <c r="OM241" i="5"/>
  <c r="OH241" i="5"/>
  <c r="OP241" i="5"/>
  <c r="OI241" i="5"/>
  <c r="OQ241" i="5"/>
  <c r="OE241" i="5"/>
  <c r="OB241" i="5"/>
  <c r="OL241" i="5"/>
  <c r="OC241" i="5"/>
  <c r="OD241" i="5"/>
  <c r="OH240" i="5"/>
  <c r="OL240" i="5"/>
  <c r="OP240" i="5"/>
  <c r="OI240" i="5"/>
  <c r="OM240" i="5"/>
  <c r="OQ240" i="5"/>
  <c r="OK240" i="5"/>
  <c r="OS240" i="5"/>
  <c r="OF240" i="5"/>
  <c r="ON240" i="5"/>
  <c r="OG240" i="5"/>
  <c r="OO240" i="5"/>
  <c r="OJ240" i="5"/>
  <c r="OE240" i="5"/>
  <c r="OR240" i="5"/>
  <c r="OB240" i="5"/>
  <c r="OC240" i="5"/>
  <c r="OD240" i="5"/>
  <c r="OF239" i="5"/>
  <c r="OJ239" i="5"/>
  <c r="ON239" i="5"/>
  <c r="OR239" i="5"/>
  <c r="OG239" i="5"/>
  <c r="OK239" i="5"/>
  <c r="OO239" i="5"/>
  <c r="OS239" i="5"/>
  <c r="OI239" i="5"/>
  <c r="OQ239" i="5"/>
  <c r="OL239" i="5"/>
  <c r="OM239" i="5"/>
  <c r="OE239" i="5"/>
  <c r="OB239" i="5"/>
  <c r="OH239" i="5"/>
  <c r="OC239" i="5"/>
  <c r="OP239" i="5"/>
  <c r="OD239" i="5"/>
  <c r="OH238" i="5"/>
  <c r="OL238" i="5"/>
  <c r="OP238" i="5"/>
  <c r="OI238" i="5"/>
  <c r="OM238" i="5"/>
  <c r="OQ238" i="5"/>
  <c r="OG238" i="5"/>
  <c r="OO238" i="5"/>
  <c r="OJ238" i="5"/>
  <c r="OR238" i="5"/>
  <c r="OK238" i="5"/>
  <c r="OS238" i="5"/>
  <c r="OF238" i="5"/>
  <c r="OE238" i="5"/>
  <c r="ON238" i="5"/>
  <c r="OB238" i="5"/>
  <c r="OC238" i="5"/>
  <c r="OD238" i="5"/>
  <c r="OF237" i="5"/>
  <c r="OJ237" i="5"/>
  <c r="ON237" i="5"/>
  <c r="OR237" i="5"/>
  <c r="OG237" i="5"/>
  <c r="OK237" i="5"/>
  <c r="OO237" i="5"/>
  <c r="OS237" i="5"/>
  <c r="OM237" i="5"/>
  <c r="OH237" i="5"/>
  <c r="OP237" i="5"/>
  <c r="OI237" i="5"/>
  <c r="OQ237" i="5"/>
  <c r="OE237" i="5"/>
  <c r="OB237" i="5"/>
  <c r="OC237" i="5"/>
  <c r="OL237" i="5"/>
  <c r="OD237" i="5"/>
  <c r="OH236" i="5"/>
  <c r="OL236" i="5"/>
  <c r="CJ236" i="5" s="1"/>
  <c r="OP236" i="5"/>
  <c r="OI236" i="5"/>
  <c r="OM236" i="5"/>
  <c r="OQ236" i="5"/>
  <c r="OK236" i="5"/>
  <c r="OS236" i="5"/>
  <c r="OF236" i="5"/>
  <c r="ON236" i="5"/>
  <c r="OG236" i="5"/>
  <c r="OO236" i="5"/>
  <c r="OE236" i="5"/>
  <c r="OJ236" i="5"/>
  <c r="OB236" i="5"/>
  <c r="OR236" i="5"/>
  <c r="OC236" i="5"/>
  <c r="OD236" i="5"/>
  <c r="OF235" i="5"/>
  <c r="OJ235" i="5"/>
  <c r="ON235" i="5"/>
  <c r="OR235" i="5"/>
  <c r="OG235" i="5"/>
  <c r="OK235" i="5"/>
  <c r="OO235" i="5"/>
  <c r="OS235" i="5"/>
  <c r="OI235" i="5"/>
  <c r="OQ235" i="5"/>
  <c r="OL235" i="5"/>
  <c r="OM235" i="5"/>
  <c r="OP235" i="5"/>
  <c r="OE235" i="5"/>
  <c r="OB235" i="5"/>
  <c r="OC235" i="5"/>
  <c r="OH235" i="5"/>
  <c r="OD235" i="5"/>
  <c r="OH234" i="5"/>
  <c r="OL234" i="5"/>
  <c r="OP234" i="5"/>
  <c r="OI234" i="5"/>
  <c r="OM234" i="5"/>
  <c r="OQ234" i="5"/>
  <c r="OG234" i="5"/>
  <c r="OO234" i="5"/>
  <c r="OJ234" i="5"/>
  <c r="OR234" i="5"/>
  <c r="OK234" i="5"/>
  <c r="OS234" i="5"/>
  <c r="OE234" i="5"/>
  <c r="OF234" i="5"/>
  <c r="OB234" i="5"/>
  <c r="CJ234" i="5" s="1"/>
  <c r="ON234" i="5"/>
  <c r="OC234" i="5"/>
  <c r="OD234" i="5"/>
  <c r="OF231" i="5"/>
  <c r="OJ231" i="5"/>
  <c r="ON231" i="5"/>
  <c r="OR231" i="5"/>
  <c r="OG231" i="5"/>
  <c r="OK231" i="5"/>
  <c r="OO231" i="5"/>
  <c r="OS231" i="5"/>
  <c r="OI231" i="5"/>
  <c r="OQ231" i="5"/>
  <c r="OL231" i="5"/>
  <c r="OM231" i="5"/>
  <c r="OH231" i="5"/>
  <c r="OE231" i="5"/>
  <c r="OP231" i="5"/>
  <c r="OB231" i="5"/>
  <c r="OC231" i="5"/>
  <c r="OD231" i="5"/>
  <c r="OH230" i="5"/>
  <c r="OL230" i="5"/>
  <c r="OP230" i="5"/>
  <c r="OI230" i="5"/>
  <c r="OM230" i="5"/>
  <c r="OQ230" i="5"/>
  <c r="OG230" i="5"/>
  <c r="OO230" i="5"/>
  <c r="OJ230" i="5"/>
  <c r="OR230" i="5"/>
  <c r="OK230" i="5"/>
  <c r="OS230" i="5"/>
  <c r="CJ230" i="5" s="1"/>
  <c r="OE230" i="5"/>
  <c r="OB230" i="5"/>
  <c r="OF230" i="5"/>
  <c r="OC230" i="5"/>
  <c r="ON230" i="5"/>
  <c r="OD230" i="5"/>
  <c r="OF229" i="5"/>
  <c r="OJ229" i="5"/>
  <c r="ON229" i="5"/>
  <c r="OR229" i="5"/>
  <c r="OG229" i="5"/>
  <c r="OK229" i="5"/>
  <c r="OO229" i="5"/>
  <c r="OS229" i="5"/>
  <c r="OM229" i="5"/>
  <c r="OH229" i="5"/>
  <c r="OP229" i="5"/>
  <c r="OI229" i="5"/>
  <c r="OQ229" i="5"/>
  <c r="OE229" i="5"/>
  <c r="OL229" i="5"/>
  <c r="OB229" i="5"/>
  <c r="OC229" i="5"/>
  <c r="OD229" i="5"/>
  <c r="OH228" i="5"/>
  <c r="OL228" i="5"/>
  <c r="OP228" i="5"/>
  <c r="OI228" i="5"/>
  <c r="OM228" i="5"/>
  <c r="OQ228" i="5"/>
  <c r="OK228" i="5"/>
  <c r="OS228" i="5"/>
  <c r="OF228" i="5"/>
  <c r="ON228" i="5"/>
  <c r="OG228" i="5"/>
  <c r="OO228" i="5"/>
  <c r="OR228" i="5"/>
  <c r="OE228" i="5"/>
  <c r="OB228" i="5"/>
  <c r="OC228" i="5"/>
  <c r="CJ228" i="5" s="1"/>
  <c r="OD228" i="5"/>
  <c r="OJ228" i="5"/>
  <c r="OF227" i="5"/>
  <c r="CJ227" i="5" s="1"/>
  <c r="OJ227" i="5"/>
  <c r="ON227" i="5"/>
  <c r="OR227" i="5"/>
  <c r="OG227" i="5"/>
  <c r="OK227" i="5"/>
  <c r="OO227" i="5"/>
  <c r="OS227" i="5"/>
  <c r="OI227" i="5"/>
  <c r="OQ227" i="5"/>
  <c r="OL227" i="5"/>
  <c r="OM227" i="5"/>
  <c r="OE227" i="5"/>
  <c r="OH227" i="5"/>
  <c r="OB227" i="5"/>
  <c r="OP227" i="5"/>
  <c r="OC227" i="5"/>
  <c r="OD227" i="5"/>
  <c r="OH226" i="5"/>
  <c r="OL226" i="5"/>
  <c r="OP226" i="5"/>
  <c r="OI226" i="5"/>
  <c r="OM226" i="5"/>
  <c r="OQ226" i="5"/>
  <c r="OG226" i="5"/>
  <c r="OO226" i="5"/>
  <c r="OJ226" i="5"/>
  <c r="OR226" i="5"/>
  <c r="OK226" i="5"/>
  <c r="OS226" i="5"/>
  <c r="ON226" i="5"/>
  <c r="OE226" i="5"/>
  <c r="OB226" i="5"/>
  <c r="CJ226" i="5" s="1"/>
  <c r="OC226" i="5"/>
  <c r="OF226" i="5"/>
  <c r="OD226" i="5"/>
  <c r="OF225" i="5"/>
  <c r="OJ225" i="5"/>
  <c r="ON225" i="5"/>
  <c r="OR225" i="5"/>
  <c r="OG225" i="5"/>
  <c r="OK225" i="5"/>
  <c r="OO225" i="5"/>
  <c r="OS225" i="5"/>
  <c r="OM225" i="5"/>
  <c r="OH225" i="5"/>
  <c r="OP225" i="5"/>
  <c r="OI225" i="5"/>
  <c r="OQ225" i="5"/>
  <c r="OE225" i="5"/>
  <c r="OB225" i="5"/>
  <c r="OL225" i="5"/>
  <c r="OC225" i="5"/>
  <c r="OD225" i="5"/>
  <c r="OH224" i="5"/>
  <c r="OL224" i="5"/>
  <c r="OP224" i="5"/>
  <c r="OI224" i="5"/>
  <c r="OM224" i="5"/>
  <c r="OQ224" i="5"/>
  <c r="OK224" i="5"/>
  <c r="OS224" i="5"/>
  <c r="OF224" i="5"/>
  <c r="CJ224" i="5" s="1"/>
  <c r="ON224" i="5"/>
  <c r="OG224" i="5"/>
  <c r="OO224" i="5"/>
  <c r="OJ224" i="5"/>
  <c r="OE224" i="5"/>
  <c r="OR224" i="5"/>
  <c r="OB224" i="5"/>
  <c r="OC224" i="5"/>
  <c r="OD224" i="5"/>
  <c r="OF223" i="5"/>
  <c r="OJ223" i="5"/>
  <c r="ON223" i="5"/>
  <c r="OR223" i="5"/>
  <c r="OG223" i="5"/>
  <c r="OK223" i="5"/>
  <c r="OO223" i="5"/>
  <c r="OS223" i="5"/>
  <c r="OI223" i="5"/>
  <c r="OQ223" i="5"/>
  <c r="OL223" i="5"/>
  <c r="OM223" i="5"/>
  <c r="OE223" i="5"/>
  <c r="OB223" i="5"/>
  <c r="OH223" i="5"/>
  <c r="OC223" i="5"/>
  <c r="OP223" i="5"/>
  <c r="OD223" i="5"/>
  <c r="OH222" i="5"/>
  <c r="OL222" i="5"/>
  <c r="OP222" i="5"/>
  <c r="OI222" i="5"/>
  <c r="CJ222" i="5" s="1"/>
  <c r="OM222" i="5"/>
  <c r="OQ222" i="5"/>
  <c r="OG222" i="5"/>
  <c r="OO222" i="5"/>
  <c r="OJ222" i="5"/>
  <c r="OR222" i="5"/>
  <c r="OK222" i="5"/>
  <c r="OS222" i="5"/>
  <c r="OF222" i="5"/>
  <c r="OE222" i="5"/>
  <c r="ON222" i="5"/>
  <c r="OB222" i="5"/>
  <c r="OC222" i="5"/>
  <c r="OD222" i="5"/>
  <c r="OF221" i="5"/>
  <c r="OJ221" i="5"/>
  <c r="ON221" i="5"/>
  <c r="OR221" i="5"/>
  <c r="OG221" i="5"/>
  <c r="OK221" i="5"/>
  <c r="OO221" i="5"/>
  <c r="OS221" i="5"/>
  <c r="OM221" i="5"/>
  <c r="OH221" i="5"/>
  <c r="OP221" i="5"/>
  <c r="OI221" i="5"/>
  <c r="OQ221" i="5"/>
  <c r="OE221" i="5"/>
  <c r="OB221" i="5"/>
  <c r="CJ221" i="5" s="1"/>
  <c r="OL221" i="5"/>
  <c r="OC221" i="5"/>
  <c r="OD221" i="5"/>
  <c r="OH220" i="5"/>
  <c r="OL220" i="5"/>
  <c r="OP220" i="5"/>
  <c r="OI220" i="5"/>
  <c r="OM220" i="5"/>
  <c r="OQ220" i="5"/>
  <c r="OK220" i="5"/>
  <c r="OS220" i="5"/>
  <c r="OF220" i="5"/>
  <c r="ON220" i="5"/>
  <c r="OG220" i="5"/>
  <c r="OO220" i="5"/>
  <c r="OJ220" i="5"/>
  <c r="OE220" i="5"/>
  <c r="OR220" i="5"/>
  <c r="OB220" i="5"/>
  <c r="OC220" i="5"/>
  <c r="OD220" i="5"/>
  <c r="OF219" i="5"/>
  <c r="OJ219" i="5"/>
  <c r="ON219" i="5"/>
  <c r="OR219" i="5"/>
  <c r="OG219" i="5"/>
  <c r="OK219" i="5"/>
  <c r="OO219" i="5"/>
  <c r="OS219" i="5"/>
  <c r="OI219" i="5"/>
  <c r="OQ219" i="5"/>
  <c r="OL219" i="5"/>
  <c r="OM219" i="5"/>
  <c r="OE219" i="5"/>
  <c r="OB219" i="5"/>
  <c r="OH219" i="5"/>
  <c r="OC219" i="5"/>
  <c r="OP219" i="5"/>
  <c r="OD219" i="5"/>
  <c r="OH218" i="5"/>
  <c r="OL218" i="5"/>
  <c r="OP218" i="5"/>
  <c r="OI218" i="5"/>
  <c r="OM218" i="5"/>
  <c r="OQ218" i="5"/>
  <c r="OG218" i="5"/>
  <c r="OO218" i="5"/>
  <c r="OJ218" i="5"/>
  <c r="OR218" i="5"/>
  <c r="OK218" i="5"/>
  <c r="OS218" i="5"/>
  <c r="OE218" i="5"/>
  <c r="OF218" i="5"/>
  <c r="OB218" i="5"/>
  <c r="ON218" i="5"/>
  <c r="OC218" i="5"/>
  <c r="OD218" i="5"/>
  <c r="CJ218" i="5" s="1"/>
  <c r="OF217" i="5"/>
  <c r="OJ217" i="5"/>
  <c r="ON217" i="5"/>
  <c r="OR217" i="5"/>
  <c r="OG217" i="5"/>
  <c r="OK217" i="5"/>
  <c r="OO217" i="5"/>
  <c r="OS217" i="5"/>
  <c r="OM217" i="5"/>
  <c r="OH217" i="5"/>
  <c r="OP217" i="5"/>
  <c r="OI217" i="5"/>
  <c r="CJ217" i="5" s="1"/>
  <c r="OQ217" i="5"/>
  <c r="OL217" i="5"/>
  <c r="OE217" i="5"/>
  <c r="OB217" i="5"/>
  <c r="OC217" i="5"/>
  <c r="OD217" i="5"/>
  <c r="OH216" i="5"/>
  <c r="OL216" i="5"/>
  <c r="OP216" i="5"/>
  <c r="OI216" i="5"/>
  <c r="OM216" i="5"/>
  <c r="OQ216" i="5"/>
  <c r="OK216" i="5"/>
  <c r="OS216" i="5"/>
  <c r="OF216" i="5"/>
  <c r="ON216" i="5"/>
  <c r="OG216" i="5"/>
  <c r="OO216" i="5"/>
  <c r="CJ216" i="5" s="1"/>
  <c r="OE216" i="5"/>
  <c r="OB216" i="5"/>
  <c r="OJ216" i="5"/>
  <c r="OC216" i="5"/>
  <c r="OD216" i="5"/>
  <c r="OR216" i="5"/>
  <c r="OH215" i="5"/>
  <c r="OL215" i="5"/>
  <c r="OP215" i="5"/>
  <c r="OI215" i="5"/>
  <c r="OM215" i="5"/>
  <c r="OQ215" i="5"/>
  <c r="OG215" i="5"/>
  <c r="OO215" i="5"/>
  <c r="OJ215" i="5"/>
  <c r="OR215" i="5"/>
  <c r="OK215" i="5"/>
  <c r="OS215" i="5"/>
  <c r="OE215" i="5"/>
  <c r="OB215" i="5"/>
  <c r="OF215" i="5"/>
  <c r="OC215" i="5"/>
  <c r="ON215" i="5"/>
  <c r="OD215" i="5"/>
  <c r="OH214" i="5"/>
  <c r="OL214" i="5"/>
  <c r="OP214" i="5"/>
  <c r="OI214" i="5"/>
  <c r="OM214" i="5"/>
  <c r="OQ214" i="5"/>
  <c r="OK214" i="5"/>
  <c r="OS214" i="5"/>
  <c r="OF214" i="5"/>
  <c r="ON214" i="5"/>
  <c r="OG214" i="5"/>
  <c r="OO214" i="5"/>
  <c r="OR214" i="5"/>
  <c r="OE214" i="5"/>
  <c r="OB214" i="5"/>
  <c r="OC214" i="5"/>
  <c r="OJ214" i="5"/>
  <c r="OD214" i="5"/>
  <c r="OH212" i="5"/>
  <c r="OL212" i="5"/>
  <c r="OP212" i="5"/>
  <c r="OI212" i="5"/>
  <c r="CJ212" i="5" s="1"/>
  <c r="OM212" i="5"/>
  <c r="OQ212" i="5"/>
  <c r="OG212" i="5"/>
  <c r="OO212" i="5"/>
  <c r="OJ212" i="5"/>
  <c r="OR212" i="5"/>
  <c r="OK212" i="5"/>
  <c r="OS212" i="5"/>
  <c r="ON212" i="5"/>
  <c r="OE212" i="5"/>
  <c r="OB212" i="5"/>
  <c r="OC212" i="5"/>
  <c r="OF212" i="5"/>
  <c r="OD212" i="5"/>
  <c r="OF208" i="5"/>
  <c r="OJ208" i="5"/>
  <c r="ON208" i="5"/>
  <c r="OR208" i="5"/>
  <c r="OG208" i="5"/>
  <c r="OK208" i="5"/>
  <c r="OO208" i="5"/>
  <c r="OS208" i="5"/>
  <c r="OM208" i="5"/>
  <c r="OH208" i="5"/>
  <c r="OP208" i="5"/>
  <c r="OI208" i="5"/>
  <c r="OQ208" i="5"/>
  <c r="OE208" i="5"/>
  <c r="OB208" i="5"/>
  <c r="OC208" i="5"/>
  <c r="OD208" i="5"/>
  <c r="OL208" i="5"/>
  <c r="OH206" i="5"/>
  <c r="OL206" i="5"/>
  <c r="OP206" i="5"/>
  <c r="OI206" i="5"/>
  <c r="OM206" i="5"/>
  <c r="OQ206" i="5"/>
  <c r="OG206" i="5"/>
  <c r="OO206" i="5"/>
  <c r="OJ206" i="5"/>
  <c r="OR206" i="5"/>
  <c r="OK206" i="5"/>
  <c r="OS206" i="5"/>
  <c r="OE206" i="5"/>
  <c r="OF206" i="5"/>
  <c r="OB206" i="5"/>
  <c r="ON206" i="5"/>
  <c r="OC206" i="5"/>
  <c r="OD206" i="5"/>
  <c r="OH204" i="5"/>
  <c r="OL204" i="5"/>
  <c r="OP204" i="5"/>
  <c r="OI204" i="5"/>
  <c r="OM204" i="5"/>
  <c r="OQ204" i="5"/>
  <c r="OK204" i="5"/>
  <c r="OS204" i="5"/>
  <c r="OF204" i="5"/>
  <c r="ON204" i="5"/>
  <c r="OG204" i="5"/>
  <c r="OO204" i="5"/>
  <c r="OE204" i="5"/>
  <c r="OB204" i="5"/>
  <c r="OJ204" i="5"/>
  <c r="OC204" i="5"/>
  <c r="OR204" i="5"/>
  <c r="OD204" i="5"/>
  <c r="CJ204" i="5" s="1"/>
  <c r="OH202" i="5"/>
  <c r="OL202" i="5"/>
  <c r="OP202" i="5"/>
  <c r="OI202" i="5"/>
  <c r="OM202" i="5"/>
  <c r="OQ202" i="5"/>
  <c r="OG202" i="5"/>
  <c r="OO202" i="5"/>
  <c r="OJ202" i="5"/>
  <c r="OR202" i="5"/>
  <c r="OK202" i="5"/>
  <c r="OS202" i="5"/>
  <c r="OE202" i="5"/>
  <c r="OB202" i="5"/>
  <c r="CJ202" i="5" s="1"/>
  <c r="OF202" i="5"/>
  <c r="OC202" i="5"/>
  <c r="OD202" i="5"/>
  <c r="ON202" i="5"/>
  <c r="OH201" i="5"/>
  <c r="OL201" i="5"/>
  <c r="OP201" i="5"/>
  <c r="OI201" i="5"/>
  <c r="OM201" i="5"/>
  <c r="OQ201" i="5"/>
  <c r="OK201" i="5"/>
  <c r="CJ201" i="5" s="1"/>
  <c r="OS201" i="5"/>
  <c r="OF201" i="5"/>
  <c r="ON201" i="5"/>
  <c r="OG201" i="5"/>
  <c r="OO201" i="5"/>
  <c r="OR201" i="5"/>
  <c r="OE201" i="5"/>
  <c r="OB201" i="5"/>
  <c r="OC201" i="5"/>
  <c r="OD201" i="5"/>
  <c r="OJ201" i="5"/>
  <c r="OF200" i="5"/>
  <c r="OJ200" i="5"/>
  <c r="ON200" i="5"/>
  <c r="OR200" i="5"/>
  <c r="OG200" i="5"/>
  <c r="OK200" i="5"/>
  <c r="OO200" i="5"/>
  <c r="OS200" i="5"/>
  <c r="OI200" i="5"/>
  <c r="OQ200" i="5"/>
  <c r="OL200" i="5"/>
  <c r="OM200" i="5"/>
  <c r="OE200" i="5"/>
  <c r="OH200" i="5"/>
  <c r="OB200" i="5"/>
  <c r="OP200" i="5"/>
  <c r="OC200" i="5"/>
  <c r="OD200" i="5"/>
  <c r="OF199" i="5"/>
  <c r="OJ199" i="5"/>
  <c r="ON199" i="5"/>
  <c r="OR199" i="5"/>
  <c r="OG199" i="5"/>
  <c r="OK199" i="5"/>
  <c r="OO199" i="5"/>
  <c r="OS199" i="5"/>
  <c r="OM199" i="5"/>
  <c r="OH199" i="5"/>
  <c r="OP199" i="5"/>
  <c r="OI199" i="5"/>
  <c r="OQ199" i="5"/>
  <c r="OE199" i="5"/>
  <c r="CJ199" i="5" s="1"/>
  <c r="OB199" i="5"/>
  <c r="OL199" i="5"/>
  <c r="OC199" i="5"/>
  <c r="OD199" i="5"/>
  <c r="OH198" i="5"/>
  <c r="OL198" i="5"/>
  <c r="OP198" i="5"/>
  <c r="OI198" i="5"/>
  <c r="OM198" i="5"/>
  <c r="OQ198" i="5"/>
  <c r="OK198" i="5"/>
  <c r="OS198" i="5"/>
  <c r="OF198" i="5"/>
  <c r="ON198" i="5"/>
  <c r="OG198" i="5"/>
  <c r="OO198" i="5"/>
  <c r="OJ198" i="5"/>
  <c r="OE198" i="5"/>
  <c r="OR198" i="5"/>
  <c r="OB198" i="5"/>
  <c r="OC198" i="5"/>
  <c r="OD198" i="5"/>
  <c r="OF197" i="5"/>
  <c r="OJ197" i="5"/>
  <c r="ON197" i="5"/>
  <c r="OR197" i="5"/>
  <c r="OG197" i="5"/>
  <c r="OK197" i="5"/>
  <c r="OO197" i="5"/>
  <c r="OS197" i="5"/>
  <c r="OI197" i="5"/>
  <c r="OQ197" i="5"/>
  <c r="OL197" i="5"/>
  <c r="OM197" i="5"/>
  <c r="OE197" i="5"/>
  <c r="CJ197" i="5" s="1"/>
  <c r="OB197" i="5"/>
  <c r="OH197" i="5"/>
  <c r="OC197" i="5"/>
  <c r="OP197" i="5"/>
  <c r="OD197" i="5"/>
  <c r="OH196" i="5"/>
  <c r="OL196" i="5"/>
  <c r="OP196" i="5"/>
  <c r="OI196" i="5"/>
  <c r="OM196" i="5"/>
  <c r="OQ196" i="5"/>
  <c r="OG196" i="5"/>
  <c r="OO196" i="5"/>
  <c r="OJ196" i="5"/>
  <c r="OR196" i="5"/>
  <c r="OK196" i="5"/>
  <c r="OS196" i="5"/>
  <c r="OF196" i="5"/>
  <c r="OE196" i="5"/>
  <c r="ON196" i="5"/>
  <c r="OB196" i="5"/>
  <c r="OC196" i="5"/>
  <c r="OD196" i="5"/>
  <c r="OF195" i="5"/>
  <c r="OJ195" i="5"/>
  <c r="ON195" i="5"/>
  <c r="OR195" i="5"/>
  <c r="OG195" i="5"/>
  <c r="OK195" i="5"/>
  <c r="OO195" i="5"/>
  <c r="OS195" i="5"/>
  <c r="OM195" i="5"/>
  <c r="OH195" i="5"/>
  <c r="OP195" i="5"/>
  <c r="OI195" i="5"/>
  <c r="OQ195" i="5"/>
  <c r="OE195" i="5"/>
  <c r="OB195" i="5"/>
  <c r="OC195" i="5"/>
  <c r="OD195" i="5"/>
  <c r="OL195" i="5"/>
  <c r="CJ195" i="5" s="1"/>
  <c r="OH194" i="5"/>
  <c r="OL194" i="5"/>
  <c r="OP194" i="5"/>
  <c r="OI194" i="5"/>
  <c r="OM194" i="5"/>
  <c r="OQ194" i="5"/>
  <c r="OK194" i="5"/>
  <c r="OS194" i="5"/>
  <c r="OF194" i="5"/>
  <c r="ON194" i="5"/>
  <c r="OG194" i="5"/>
  <c r="OO194" i="5"/>
  <c r="OE194" i="5"/>
  <c r="OJ194" i="5"/>
  <c r="OB194" i="5"/>
  <c r="OR194" i="5"/>
  <c r="OC194" i="5"/>
  <c r="OD194" i="5"/>
  <c r="CJ194" i="5" s="1"/>
  <c r="OH192" i="5"/>
  <c r="OL192" i="5"/>
  <c r="OP192" i="5"/>
  <c r="OI192" i="5"/>
  <c r="OM192" i="5"/>
  <c r="OQ192" i="5"/>
  <c r="OG192" i="5"/>
  <c r="OO192" i="5"/>
  <c r="OJ192" i="5"/>
  <c r="OR192" i="5"/>
  <c r="OK192" i="5"/>
  <c r="OS192" i="5"/>
  <c r="OE192" i="5"/>
  <c r="CJ192" i="5" s="1"/>
  <c r="OF192" i="5"/>
  <c r="OB192" i="5"/>
  <c r="ON192" i="5"/>
  <c r="OC192" i="5"/>
  <c r="OD192" i="5"/>
  <c r="OH191" i="5"/>
  <c r="OL191" i="5"/>
  <c r="OP191" i="5"/>
  <c r="OI191" i="5"/>
  <c r="CJ191" i="5" s="1"/>
  <c r="OM191" i="5"/>
  <c r="OQ191" i="5"/>
  <c r="OK191" i="5"/>
  <c r="OS191" i="5"/>
  <c r="OF191" i="5"/>
  <c r="ON191" i="5"/>
  <c r="OG191" i="5"/>
  <c r="OO191" i="5"/>
  <c r="OE191" i="5"/>
  <c r="OB191" i="5"/>
  <c r="OJ191" i="5"/>
  <c r="OC191" i="5"/>
  <c r="OD191" i="5"/>
  <c r="OR191" i="5"/>
  <c r="OF190" i="5"/>
  <c r="OJ190" i="5"/>
  <c r="ON190" i="5"/>
  <c r="OR190" i="5"/>
  <c r="OG190" i="5"/>
  <c r="OK190" i="5"/>
  <c r="OO190" i="5"/>
  <c r="OS190" i="5"/>
  <c r="OI190" i="5"/>
  <c r="OQ190" i="5"/>
  <c r="OL190" i="5"/>
  <c r="OM190" i="5"/>
  <c r="OH190" i="5"/>
  <c r="OE190" i="5"/>
  <c r="OP190" i="5"/>
  <c r="OB190" i="5"/>
  <c r="OC190" i="5"/>
  <c r="OD190" i="5"/>
  <c r="CJ190" i="5" s="1"/>
  <c r="OH189" i="5"/>
  <c r="OL189" i="5"/>
  <c r="OP189" i="5"/>
  <c r="OI189" i="5"/>
  <c r="OM189" i="5"/>
  <c r="OQ189" i="5"/>
  <c r="OG189" i="5"/>
  <c r="OO189" i="5"/>
  <c r="OJ189" i="5"/>
  <c r="OR189" i="5"/>
  <c r="OK189" i="5"/>
  <c r="OS189" i="5"/>
  <c r="OE189" i="5"/>
  <c r="OB189" i="5"/>
  <c r="OF189" i="5"/>
  <c r="OC189" i="5"/>
  <c r="ON189" i="5"/>
  <c r="OD189" i="5"/>
  <c r="OF188" i="5"/>
  <c r="OJ188" i="5"/>
  <c r="ON188" i="5"/>
  <c r="OR188" i="5"/>
  <c r="OG188" i="5"/>
  <c r="OK188" i="5"/>
  <c r="CJ188" i="5" s="1"/>
  <c r="OO188" i="5"/>
  <c r="OS188" i="5"/>
  <c r="OM188" i="5"/>
  <c r="OH188" i="5"/>
  <c r="OP188" i="5"/>
  <c r="OI188" i="5"/>
  <c r="OQ188" i="5"/>
  <c r="OE188" i="5"/>
  <c r="OL188" i="5"/>
  <c r="OB188" i="5"/>
  <c r="OC188" i="5"/>
  <c r="OD188" i="5"/>
  <c r="OH187" i="5"/>
  <c r="OL187" i="5"/>
  <c r="OP187" i="5"/>
  <c r="OI187" i="5"/>
  <c r="OM187" i="5"/>
  <c r="OQ187" i="5"/>
  <c r="OK187" i="5"/>
  <c r="OS187" i="5"/>
  <c r="OF187" i="5"/>
  <c r="ON187" i="5"/>
  <c r="OG187" i="5"/>
  <c r="OO187" i="5"/>
  <c r="OR187" i="5"/>
  <c r="OE187" i="5"/>
  <c r="OB187" i="5"/>
  <c r="OC187" i="5"/>
  <c r="OD187" i="5"/>
  <c r="OJ187" i="5"/>
  <c r="OF186" i="5"/>
  <c r="OJ186" i="5"/>
  <c r="ON186" i="5"/>
  <c r="OR186" i="5"/>
  <c r="OG186" i="5"/>
  <c r="OK186" i="5"/>
  <c r="OO186" i="5"/>
  <c r="CJ186" i="5" s="1"/>
  <c r="OS186" i="5"/>
  <c r="OI186" i="5"/>
  <c r="OQ186" i="5"/>
  <c r="OL186" i="5"/>
  <c r="OM186" i="5"/>
  <c r="OE186" i="5"/>
  <c r="OH186" i="5"/>
  <c r="OB186" i="5"/>
  <c r="OP186" i="5"/>
  <c r="OC186" i="5"/>
  <c r="OD186" i="5"/>
  <c r="OF184" i="5"/>
  <c r="OJ184" i="5"/>
  <c r="ON184" i="5"/>
  <c r="OR184" i="5"/>
  <c r="CJ184" i="5" s="1"/>
  <c r="OG184" i="5"/>
  <c r="OK184" i="5"/>
  <c r="OO184" i="5"/>
  <c r="OS184" i="5"/>
  <c r="OM184" i="5"/>
  <c r="OH184" i="5"/>
  <c r="OP184" i="5"/>
  <c r="OI184" i="5"/>
  <c r="OQ184" i="5"/>
  <c r="OE184" i="5"/>
  <c r="OB184" i="5"/>
  <c r="OL184" i="5"/>
  <c r="OC184" i="5"/>
  <c r="OD184" i="5"/>
  <c r="OH183" i="5"/>
  <c r="OL183" i="5"/>
  <c r="OP183" i="5"/>
  <c r="OI183" i="5"/>
  <c r="OM183" i="5"/>
  <c r="OQ183" i="5"/>
  <c r="OK183" i="5"/>
  <c r="OS183" i="5"/>
  <c r="OF183" i="5"/>
  <c r="ON183" i="5"/>
  <c r="OG183" i="5"/>
  <c r="OO183" i="5"/>
  <c r="OJ183" i="5"/>
  <c r="OE183" i="5"/>
  <c r="OR183" i="5"/>
  <c r="OB183" i="5"/>
  <c r="CJ183" i="5" s="1"/>
  <c r="OC183" i="5"/>
  <c r="OD183" i="5"/>
  <c r="OF182" i="5"/>
  <c r="OJ182" i="5"/>
  <c r="ON182" i="5"/>
  <c r="OR182" i="5"/>
  <c r="OG182" i="5"/>
  <c r="OK182" i="5"/>
  <c r="OO182" i="5"/>
  <c r="OS182" i="5"/>
  <c r="OI182" i="5"/>
  <c r="CJ182" i="5" s="1"/>
  <c r="OQ182" i="5"/>
  <c r="OL182" i="5"/>
  <c r="OM182" i="5"/>
  <c r="OE182" i="5"/>
  <c r="OB182" i="5"/>
  <c r="OH182" i="5"/>
  <c r="OC182" i="5"/>
  <c r="OP182" i="5"/>
  <c r="OD182" i="5"/>
  <c r="OH181" i="5"/>
  <c r="OL181" i="5"/>
  <c r="OP181" i="5"/>
  <c r="OI181" i="5"/>
  <c r="OM181" i="5"/>
  <c r="OQ181" i="5"/>
  <c r="OG181" i="5"/>
  <c r="OO181" i="5"/>
  <c r="OJ181" i="5"/>
  <c r="OR181" i="5"/>
  <c r="OK181" i="5"/>
  <c r="OS181" i="5"/>
  <c r="OF181" i="5"/>
  <c r="OE181" i="5"/>
  <c r="ON181" i="5"/>
  <c r="OB181" i="5"/>
  <c r="OC181" i="5"/>
  <c r="OD181" i="5"/>
  <c r="CJ181" i="5" s="1"/>
  <c r="OF180" i="5"/>
  <c r="OJ180" i="5"/>
  <c r="ON180" i="5"/>
  <c r="OR180" i="5"/>
  <c r="OG180" i="5"/>
  <c r="OK180" i="5"/>
  <c r="OO180" i="5"/>
  <c r="OS180" i="5"/>
  <c r="OM180" i="5"/>
  <c r="OH180" i="5"/>
  <c r="OP180" i="5"/>
  <c r="OI180" i="5"/>
  <c r="OQ180" i="5"/>
  <c r="OE180" i="5"/>
  <c r="OB180" i="5"/>
  <c r="OC180" i="5"/>
  <c r="OL180" i="5"/>
  <c r="OD180" i="5"/>
  <c r="OH179" i="5"/>
  <c r="OL179" i="5"/>
  <c r="OP179" i="5"/>
  <c r="OI179" i="5"/>
  <c r="OM179" i="5"/>
  <c r="OQ179" i="5"/>
  <c r="OK179" i="5"/>
  <c r="OS179" i="5"/>
  <c r="OF179" i="5"/>
  <c r="ON179" i="5"/>
  <c r="OG179" i="5"/>
  <c r="OO179" i="5"/>
  <c r="OE179" i="5"/>
  <c r="OJ179" i="5"/>
  <c r="OB179" i="5"/>
  <c r="OR179" i="5"/>
  <c r="OC179" i="5"/>
  <c r="OD179" i="5"/>
  <c r="OF178" i="5"/>
  <c r="OJ178" i="5"/>
  <c r="ON178" i="5"/>
  <c r="OR178" i="5"/>
  <c r="OG178" i="5"/>
  <c r="OK178" i="5"/>
  <c r="OO178" i="5"/>
  <c r="OS178" i="5"/>
  <c r="OI178" i="5"/>
  <c r="OQ178" i="5"/>
  <c r="OL178" i="5"/>
  <c r="OM178" i="5"/>
  <c r="OP178" i="5"/>
  <c r="OE178" i="5"/>
  <c r="OB178" i="5"/>
  <c r="OC178" i="5"/>
  <c r="OH178" i="5"/>
  <c r="OD178" i="5"/>
  <c r="OF176" i="5"/>
  <c r="OJ176" i="5"/>
  <c r="ON176" i="5"/>
  <c r="OR176" i="5"/>
  <c r="OG176" i="5"/>
  <c r="OK176" i="5"/>
  <c r="OO176" i="5"/>
  <c r="OS176" i="5"/>
  <c r="OM176" i="5"/>
  <c r="OH176" i="5"/>
  <c r="OP176" i="5"/>
  <c r="OI176" i="5"/>
  <c r="OQ176" i="5"/>
  <c r="OL176" i="5"/>
  <c r="OE176" i="5"/>
  <c r="OB176" i="5"/>
  <c r="OC176" i="5"/>
  <c r="OD176" i="5"/>
  <c r="OH175" i="5"/>
  <c r="OL175" i="5"/>
  <c r="OP175" i="5"/>
  <c r="OI175" i="5"/>
  <c r="OM175" i="5"/>
  <c r="OQ175" i="5"/>
  <c r="OK175" i="5"/>
  <c r="OS175" i="5"/>
  <c r="OF175" i="5"/>
  <c r="ON175" i="5"/>
  <c r="OG175" i="5"/>
  <c r="OO175" i="5"/>
  <c r="OE175" i="5"/>
  <c r="OB175" i="5"/>
  <c r="OJ175" i="5"/>
  <c r="OC175" i="5"/>
  <c r="OD175" i="5"/>
  <c r="OR175" i="5"/>
  <c r="OF174" i="5"/>
  <c r="OJ174" i="5"/>
  <c r="ON174" i="5"/>
  <c r="OR174" i="5"/>
  <c r="OG174" i="5"/>
  <c r="OK174" i="5"/>
  <c r="OO174" i="5"/>
  <c r="OS174" i="5"/>
  <c r="OH174" i="5"/>
  <c r="OL174" i="5"/>
  <c r="OQ174" i="5"/>
  <c r="OI174" i="5"/>
  <c r="OM174" i="5"/>
  <c r="OE174" i="5"/>
  <c r="OP174" i="5"/>
  <c r="OB174" i="5"/>
  <c r="CJ174" i="5" s="1"/>
  <c r="OC174" i="5"/>
  <c r="OD174" i="5"/>
  <c r="OH171" i="5"/>
  <c r="OL171" i="5"/>
  <c r="CJ171" i="5" s="1"/>
  <c r="OP171" i="5"/>
  <c r="OI171" i="5"/>
  <c r="OM171" i="5"/>
  <c r="OQ171" i="5"/>
  <c r="OF171" i="5"/>
  <c r="OJ171" i="5"/>
  <c r="ON171" i="5"/>
  <c r="OR171" i="5"/>
  <c r="OO171" i="5"/>
  <c r="OS171" i="5"/>
  <c r="OG171" i="5"/>
  <c r="OE171" i="5"/>
  <c r="OB171" i="5"/>
  <c r="OK171" i="5"/>
  <c r="OC171" i="5"/>
  <c r="OD171" i="5"/>
  <c r="OF167" i="5"/>
  <c r="OJ167" i="5"/>
  <c r="ON167" i="5"/>
  <c r="OR167" i="5"/>
  <c r="OG167" i="5"/>
  <c r="OK167" i="5"/>
  <c r="OO167" i="5"/>
  <c r="OS167" i="5"/>
  <c r="OH167" i="5"/>
  <c r="OL167" i="5"/>
  <c r="CJ167" i="5" s="1"/>
  <c r="OP167" i="5"/>
  <c r="OI167" i="5"/>
  <c r="OM167" i="5"/>
  <c r="OE167" i="5"/>
  <c r="OB167" i="5"/>
  <c r="OQ167" i="5"/>
  <c r="OC167" i="5"/>
  <c r="OD167" i="5"/>
  <c r="OH166" i="5"/>
  <c r="OL166" i="5"/>
  <c r="OP166" i="5"/>
  <c r="OI166" i="5"/>
  <c r="OM166" i="5"/>
  <c r="OQ166" i="5"/>
  <c r="CJ166" i="5" s="1"/>
  <c r="OF166" i="5"/>
  <c r="OJ166" i="5"/>
  <c r="ON166" i="5"/>
  <c r="OR166" i="5"/>
  <c r="OS166" i="5"/>
  <c r="OG166" i="5"/>
  <c r="OK166" i="5"/>
  <c r="OE166" i="5"/>
  <c r="OO166" i="5"/>
  <c r="OB166" i="5"/>
  <c r="OC166" i="5"/>
  <c r="OD166" i="5"/>
  <c r="OF163" i="5"/>
  <c r="OJ163" i="5"/>
  <c r="ON163" i="5"/>
  <c r="OR163" i="5"/>
  <c r="OG163" i="5"/>
  <c r="OK163" i="5"/>
  <c r="OO163" i="5"/>
  <c r="OS163" i="5"/>
  <c r="OH163" i="5"/>
  <c r="OL163" i="5"/>
  <c r="OP163" i="5"/>
  <c r="OM163" i="5"/>
  <c r="OQ163" i="5"/>
  <c r="OE163" i="5"/>
  <c r="OB163" i="5"/>
  <c r="OI163" i="5"/>
  <c r="OC163" i="5"/>
  <c r="CJ163" i="5" s="1"/>
  <c r="OD163" i="5"/>
  <c r="OH162" i="5"/>
  <c r="OL162" i="5"/>
  <c r="OP162" i="5"/>
  <c r="OI162" i="5"/>
  <c r="OM162" i="5"/>
  <c r="OQ162" i="5"/>
  <c r="OF162" i="5"/>
  <c r="OJ162" i="5"/>
  <c r="ON162" i="5"/>
  <c r="OR162" i="5"/>
  <c r="OK162" i="5"/>
  <c r="OO162" i="5"/>
  <c r="OS162" i="5"/>
  <c r="OE162" i="5"/>
  <c r="OG162" i="5"/>
  <c r="OB162" i="5"/>
  <c r="CJ162" i="5" s="1"/>
  <c r="OC162" i="5"/>
  <c r="OD162" i="5"/>
  <c r="OF161" i="5"/>
  <c r="OJ161" i="5"/>
  <c r="ON161" i="5"/>
  <c r="OR161" i="5"/>
  <c r="OG161" i="5"/>
  <c r="OK161" i="5"/>
  <c r="OO161" i="5"/>
  <c r="OS161" i="5"/>
  <c r="OH161" i="5"/>
  <c r="OL161" i="5"/>
  <c r="OP161" i="5"/>
  <c r="OI161" i="5"/>
  <c r="OM161" i="5"/>
  <c r="OQ161" i="5"/>
  <c r="OE161" i="5"/>
  <c r="OB161" i="5"/>
  <c r="OC161" i="5"/>
  <c r="OD161" i="5"/>
  <c r="OH160" i="5"/>
  <c r="OL160" i="5"/>
  <c r="OP160" i="5"/>
  <c r="OI160" i="5"/>
  <c r="OM160" i="5"/>
  <c r="OQ160" i="5"/>
  <c r="OF160" i="5"/>
  <c r="OJ160" i="5"/>
  <c r="ON160" i="5"/>
  <c r="OR160" i="5"/>
  <c r="OG160" i="5"/>
  <c r="OK160" i="5"/>
  <c r="OO160" i="5"/>
  <c r="OS160" i="5"/>
  <c r="OE160" i="5"/>
  <c r="OB160" i="5"/>
  <c r="CJ160" i="5" s="1"/>
  <c r="OC160" i="5"/>
  <c r="OD160" i="5"/>
  <c r="OF159" i="5"/>
  <c r="OJ159" i="5"/>
  <c r="ON159" i="5"/>
  <c r="OR159" i="5"/>
  <c r="OG159" i="5"/>
  <c r="CJ159" i="5" s="1"/>
  <c r="OK159" i="5"/>
  <c r="OO159" i="5"/>
  <c r="OS159" i="5"/>
  <c r="OH159" i="5"/>
  <c r="OL159" i="5"/>
  <c r="OP159" i="5"/>
  <c r="OI159" i="5"/>
  <c r="OM159" i="5"/>
  <c r="OE159" i="5"/>
  <c r="OB159" i="5"/>
  <c r="OC159" i="5"/>
  <c r="OD159" i="5"/>
  <c r="OQ159" i="5"/>
  <c r="OH158" i="5"/>
  <c r="OL158" i="5"/>
  <c r="OP158" i="5"/>
  <c r="OI158" i="5"/>
  <c r="OM158" i="5"/>
  <c r="OQ158" i="5"/>
  <c r="CJ158" i="5" s="1"/>
  <c r="OF158" i="5"/>
  <c r="OJ158" i="5"/>
  <c r="ON158" i="5"/>
  <c r="OR158" i="5"/>
  <c r="OS158" i="5"/>
  <c r="OG158" i="5"/>
  <c r="OK158" i="5"/>
  <c r="OE158" i="5"/>
  <c r="OB158" i="5"/>
  <c r="OO158" i="5"/>
  <c r="OC158" i="5"/>
  <c r="OD158" i="5"/>
  <c r="OF157" i="5"/>
  <c r="OJ157" i="5"/>
  <c r="ON157" i="5"/>
  <c r="OR157" i="5"/>
  <c r="OG157" i="5"/>
  <c r="OK157" i="5"/>
  <c r="OO157" i="5"/>
  <c r="OS157" i="5"/>
  <c r="OH157" i="5"/>
  <c r="OL157" i="5"/>
  <c r="OP157" i="5"/>
  <c r="OQ157" i="5"/>
  <c r="OI157" i="5"/>
  <c r="OE157" i="5"/>
  <c r="OM157" i="5"/>
  <c r="OB157" i="5"/>
  <c r="OC157" i="5"/>
  <c r="OD157" i="5"/>
  <c r="OH154" i="5"/>
  <c r="OL154" i="5"/>
  <c r="OP154" i="5"/>
  <c r="OI154" i="5"/>
  <c r="OM154" i="5"/>
  <c r="OQ154" i="5"/>
  <c r="OF154" i="5"/>
  <c r="OJ154" i="5"/>
  <c r="ON154" i="5"/>
  <c r="OR154" i="5"/>
  <c r="OK154" i="5"/>
  <c r="OO154" i="5"/>
  <c r="OS154" i="5"/>
  <c r="OE154" i="5"/>
  <c r="OB154" i="5"/>
  <c r="OG154" i="5"/>
  <c r="OC154" i="5"/>
  <c r="OD154" i="5"/>
  <c r="CJ154" i="5" s="1"/>
  <c r="OF153" i="5"/>
  <c r="OJ153" i="5"/>
  <c r="ON153" i="5"/>
  <c r="OR153" i="5"/>
  <c r="OG153" i="5"/>
  <c r="OK153" i="5"/>
  <c r="OO153" i="5"/>
  <c r="OS153" i="5"/>
  <c r="OH153" i="5"/>
  <c r="OL153" i="5"/>
  <c r="OP153" i="5"/>
  <c r="OI153" i="5"/>
  <c r="OM153" i="5"/>
  <c r="OQ153" i="5"/>
  <c r="OE153" i="5"/>
  <c r="CJ153" i="5" s="1"/>
  <c r="OB153" i="5"/>
  <c r="OC153" i="5"/>
  <c r="OD153" i="5"/>
  <c r="OH152" i="5"/>
  <c r="OL152" i="5"/>
  <c r="OP152" i="5"/>
  <c r="OI152" i="5"/>
  <c r="OM152" i="5"/>
  <c r="OQ152" i="5"/>
  <c r="OF152" i="5"/>
  <c r="OJ152" i="5"/>
  <c r="ON152" i="5"/>
  <c r="OR152" i="5"/>
  <c r="OG152" i="5"/>
  <c r="OK152" i="5"/>
  <c r="OO152" i="5"/>
  <c r="OE152" i="5"/>
  <c r="OS152" i="5"/>
  <c r="OB152" i="5"/>
  <c r="OC152" i="5"/>
  <c r="OD152" i="5"/>
  <c r="OF151" i="5"/>
  <c r="OJ151" i="5"/>
  <c r="ON151" i="5"/>
  <c r="OR151" i="5"/>
  <c r="OG151" i="5"/>
  <c r="OK151" i="5"/>
  <c r="OO151" i="5"/>
  <c r="OS151" i="5"/>
  <c r="OH151" i="5"/>
  <c r="OL151" i="5"/>
  <c r="OP151" i="5"/>
  <c r="OI151" i="5"/>
  <c r="OM151" i="5"/>
  <c r="OQ151" i="5"/>
  <c r="OE151" i="5"/>
  <c r="OB151" i="5"/>
  <c r="OC151" i="5"/>
  <c r="OD151" i="5"/>
  <c r="OH150" i="5"/>
  <c r="OL150" i="5"/>
  <c r="OP150" i="5"/>
  <c r="OI150" i="5"/>
  <c r="OM150" i="5"/>
  <c r="OQ150" i="5"/>
  <c r="OF150" i="5"/>
  <c r="OJ150" i="5"/>
  <c r="ON150" i="5"/>
  <c r="OR150" i="5"/>
  <c r="OS150" i="5"/>
  <c r="OG150" i="5"/>
  <c r="OK150" i="5"/>
  <c r="OE150" i="5"/>
  <c r="OB150" i="5"/>
  <c r="OC150" i="5"/>
  <c r="OO150" i="5"/>
  <c r="OD150" i="5"/>
  <c r="CJ150" i="5" s="1"/>
  <c r="OH148" i="5"/>
  <c r="OL148" i="5"/>
  <c r="OP148" i="5"/>
  <c r="OI148" i="5"/>
  <c r="OM148" i="5"/>
  <c r="OQ148" i="5"/>
  <c r="OF148" i="5"/>
  <c r="CJ148" i="5" s="1"/>
  <c r="OJ148" i="5"/>
  <c r="ON148" i="5"/>
  <c r="OR148" i="5"/>
  <c r="OO148" i="5"/>
  <c r="OS148" i="5"/>
  <c r="OG148" i="5"/>
  <c r="OE148" i="5"/>
  <c r="OK148" i="5"/>
  <c r="OB148" i="5"/>
  <c r="OC148" i="5"/>
  <c r="OD148" i="5"/>
  <c r="OF147" i="5"/>
  <c r="OJ147" i="5"/>
  <c r="ON147" i="5"/>
  <c r="OR147" i="5"/>
  <c r="OG147" i="5"/>
  <c r="OK147" i="5"/>
  <c r="OO147" i="5"/>
  <c r="OS147" i="5"/>
  <c r="OH147" i="5"/>
  <c r="OL147" i="5"/>
  <c r="OP147" i="5"/>
  <c r="OM147" i="5"/>
  <c r="OQ147" i="5"/>
  <c r="OI147" i="5"/>
  <c r="OE147" i="5"/>
  <c r="OB147" i="5"/>
  <c r="OC147" i="5"/>
  <c r="OD147" i="5"/>
  <c r="OF145" i="5"/>
  <c r="OJ145" i="5"/>
  <c r="ON145" i="5"/>
  <c r="OR145" i="5"/>
  <c r="OG145" i="5"/>
  <c r="OK145" i="5"/>
  <c r="OO145" i="5"/>
  <c r="OS145" i="5"/>
  <c r="OH145" i="5"/>
  <c r="OL145" i="5"/>
  <c r="OP145" i="5"/>
  <c r="OI145" i="5"/>
  <c r="OM145" i="5"/>
  <c r="OQ145" i="5"/>
  <c r="OE145" i="5"/>
  <c r="OB145" i="5"/>
  <c r="OC145" i="5"/>
  <c r="OD145" i="5"/>
  <c r="OH142" i="5"/>
  <c r="OL142" i="5"/>
  <c r="OP142" i="5"/>
  <c r="OI142" i="5"/>
  <c r="OM142" i="5"/>
  <c r="OQ142" i="5"/>
  <c r="OF142" i="5"/>
  <c r="OJ142" i="5"/>
  <c r="ON142" i="5"/>
  <c r="CJ142" i="5" s="1"/>
  <c r="OR142" i="5"/>
  <c r="OO142" i="5"/>
  <c r="OS142" i="5"/>
  <c r="OG142" i="5"/>
  <c r="OE142" i="5"/>
  <c r="OB142" i="5"/>
  <c r="OK142" i="5"/>
  <c r="OC142" i="5"/>
  <c r="OD142" i="5"/>
  <c r="OF141" i="5"/>
  <c r="OJ141" i="5"/>
  <c r="ON141" i="5"/>
  <c r="OR141" i="5"/>
  <c r="OG141" i="5"/>
  <c r="OK141" i="5"/>
  <c r="OO141" i="5"/>
  <c r="OS141" i="5"/>
  <c r="OH141" i="5"/>
  <c r="OL141" i="5"/>
  <c r="OP141" i="5"/>
  <c r="OM141" i="5"/>
  <c r="OQ141" i="5"/>
  <c r="OE141" i="5"/>
  <c r="OI141" i="5"/>
  <c r="OB141" i="5"/>
  <c r="OC141" i="5"/>
  <c r="OD141" i="5"/>
  <c r="OH140" i="5"/>
  <c r="OL140" i="5"/>
  <c r="OP140" i="5"/>
  <c r="OI140" i="5"/>
  <c r="OM140" i="5"/>
  <c r="OQ140" i="5"/>
  <c r="OF140" i="5"/>
  <c r="OJ140" i="5"/>
  <c r="ON140" i="5"/>
  <c r="OR140" i="5"/>
  <c r="OK140" i="5"/>
  <c r="OO140" i="5"/>
  <c r="OS140" i="5"/>
  <c r="OG140" i="5"/>
  <c r="OE140" i="5"/>
  <c r="OB140" i="5"/>
  <c r="OC140" i="5"/>
  <c r="OD140" i="5"/>
  <c r="OH138" i="5"/>
  <c r="OL138" i="5"/>
  <c r="OP138" i="5"/>
  <c r="OI138" i="5"/>
  <c r="OM138" i="5"/>
  <c r="OQ138" i="5"/>
  <c r="OF138" i="5"/>
  <c r="OJ138" i="5"/>
  <c r="ON138" i="5"/>
  <c r="OR138" i="5"/>
  <c r="OG138" i="5"/>
  <c r="OK138" i="5"/>
  <c r="OO138" i="5"/>
  <c r="OE138" i="5"/>
  <c r="OB138" i="5"/>
  <c r="OC138" i="5"/>
  <c r="CJ138" i="5" s="1"/>
  <c r="OD138" i="5"/>
  <c r="OS138" i="5"/>
  <c r="OF137" i="5"/>
  <c r="OJ137" i="5"/>
  <c r="ON137" i="5"/>
  <c r="OR137" i="5"/>
  <c r="OG137" i="5"/>
  <c r="OK137" i="5"/>
  <c r="OO137" i="5"/>
  <c r="OS137" i="5"/>
  <c r="OH137" i="5"/>
  <c r="OL137" i="5"/>
  <c r="OP137" i="5"/>
  <c r="OI137" i="5"/>
  <c r="OM137" i="5"/>
  <c r="OE137" i="5"/>
  <c r="OB137" i="5"/>
  <c r="OQ137" i="5"/>
  <c r="OC137" i="5"/>
  <c r="OD137" i="5"/>
  <c r="OH136" i="5"/>
  <c r="OL136" i="5"/>
  <c r="OP136" i="5"/>
  <c r="OI136" i="5"/>
  <c r="OM136" i="5"/>
  <c r="OQ136" i="5"/>
  <c r="OF136" i="5"/>
  <c r="OJ136" i="5"/>
  <c r="ON136" i="5"/>
  <c r="OR136" i="5"/>
  <c r="OS136" i="5"/>
  <c r="OG136" i="5"/>
  <c r="OK136" i="5"/>
  <c r="OE136" i="5"/>
  <c r="OO136" i="5"/>
  <c r="OB136" i="5"/>
  <c r="OC136" i="5"/>
  <c r="OD136" i="5"/>
  <c r="OF135" i="5"/>
  <c r="CJ135" i="5" s="1"/>
  <c r="OJ135" i="5"/>
  <c r="ON135" i="5"/>
  <c r="OR135" i="5"/>
  <c r="OG135" i="5"/>
  <c r="OK135" i="5"/>
  <c r="OO135" i="5"/>
  <c r="OS135" i="5"/>
  <c r="OH135" i="5"/>
  <c r="OL135" i="5"/>
  <c r="OP135" i="5"/>
  <c r="OQ135" i="5"/>
  <c r="OI135" i="5"/>
  <c r="OM135" i="5"/>
  <c r="OE135" i="5"/>
  <c r="OB135" i="5"/>
  <c r="OC135" i="5"/>
  <c r="OD135" i="5"/>
  <c r="OH134" i="5"/>
  <c r="OL134" i="5"/>
  <c r="OP134" i="5"/>
  <c r="OI134" i="5"/>
  <c r="OM134" i="5"/>
  <c r="OQ134" i="5"/>
  <c r="OF134" i="5"/>
  <c r="OJ134" i="5"/>
  <c r="ON134" i="5"/>
  <c r="OR134" i="5"/>
  <c r="OO134" i="5"/>
  <c r="OS134" i="5"/>
  <c r="OG134" i="5"/>
  <c r="OE134" i="5"/>
  <c r="OB134" i="5"/>
  <c r="OC134" i="5"/>
  <c r="CJ134" i="5" s="1"/>
  <c r="OK134" i="5"/>
  <c r="OD134" i="5"/>
  <c r="OH132" i="5"/>
  <c r="OL132" i="5"/>
  <c r="OP132" i="5"/>
  <c r="OI132" i="5"/>
  <c r="OM132" i="5"/>
  <c r="OQ132" i="5"/>
  <c r="OF132" i="5"/>
  <c r="OJ132" i="5"/>
  <c r="ON132" i="5"/>
  <c r="OR132" i="5"/>
  <c r="OK132" i="5"/>
  <c r="OO132" i="5"/>
  <c r="OS132" i="5"/>
  <c r="OE132" i="5"/>
  <c r="OG132" i="5"/>
  <c r="OB132" i="5"/>
  <c r="OC132" i="5"/>
  <c r="OD132" i="5"/>
  <c r="OH128" i="5"/>
  <c r="OL128" i="5"/>
  <c r="OP128" i="5"/>
  <c r="OI128" i="5"/>
  <c r="CJ128" i="5" s="1"/>
  <c r="OM128" i="5"/>
  <c r="OQ128" i="5"/>
  <c r="OF128" i="5"/>
  <c r="OJ128" i="5"/>
  <c r="ON128" i="5"/>
  <c r="OR128" i="5"/>
  <c r="OS128" i="5"/>
  <c r="OG128" i="5"/>
  <c r="OK128" i="5"/>
  <c r="OE128" i="5"/>
  <c r="OB128" i="5"/>
  <c r="OO128" i="5"/>
  <c r="OC128" i="5"/>
  <c r="OD128" i="5"/>
  <c r="OF127" i="5"/>
  <c r="OJ127" i="5"/>
  <c r="ON127" i="5"/>
  <c r="OR127" i="5"/>
  <c r="OG127" i="5"/>
  <c r="OK127" i="5"/>
  <c r="OO127" i="5"/>
  <c r="OS127" i="5"/>
  <c r="OH127" i="5"/>
  <c r="OL127" i="5"/>
  <c r="OP127" i="5"/>
  <c r="OQ127" i="5"/>
  <c r="OI127" i="5"/>
  <c r="OE127" i="5"/>
  <c r="OM127" i="5"/>
  <c r="CJ127" i="5" s="1"/>
  <c r="OB127" i="5"/>
  <c r="OC127" i="5"/>
  <c r="OD127" i="5"/>
  <c r="OH126" i="5"/>
  <c r="OL126" i="5"/>
  <c r="OP126" i="5"/>
  <c r="OI126" i="5"/>
  <c r="OM126" i="5"/>
  <c r="OQ126" i="5"/>
  <c r="OF126" i="5"/>
  <c r="OJ126" i="5"/>
  <c r="ON126" i="5"/>
  <c r="OR126" i="5"/>
  <c r="OO126" i="5"/>
  <c r="OS126" i="5"/>
  <c r="OG126" i="5"/>
  <c r="OK126" i="5"/>
  <c r="OE126" i="5"/>
  <c r="OB126" i="5"/>
  <c r="OC126" i="5"/>
  <c r="OD126" i="5"/>
  <c r="CJ126" i="5" s="1"/>
  <c r="OH125" i="5"/>
  <c r="OL125" i="5"/>
  <c r="OP125" i="5"/>
  <c r="OI125" i="5"/>
  <c r="OM125" i="5"/>
  <c r="OQ125" i="5"/>
  <c r="OF125" i="5"/>
  <c r="OJ125" i="5"/>
  <c r="ON125" i="5"/>
  <c r="OR125" i="5"/>
  <c r="OK125" i="5"/>
  <c r="OO125" i="5"/>
  <c r="OS125" i="5"/>
  <c r="OE125" i="5"/>
  <c r="OB125" i="5"/>
  <c r="OG125" i="5"/>
  <c r="OC125" i="5"/>
  <c r="OD125" i="5"/>
  <c r="OH123" i="5"/>
  <c r="OL123" i="5"/>
  <c r="OP123" i="5"/>
  <c r="OI123" i="5"/>
  <c r="OM123" i="5"/>
  <c r="OQ123" i="5"/>
  <c r="OF123" i="5"/>
  <c r="OJ123" i="5"/>
  <c r="ON123" i="5"/>
  <c r="OR123" i="5"/>
  <c r="OG123" i="5"/>
  <c r="OK123" i="5"/>
  <c r="OO123" i="5"/>
  <c r="OE123" i="5"/>
  <c r="OS123" i="5"/>
  <c r="OB123" i="5"/>
  <c r="OC123" i="5"/>
  <c r="OD123" i="5"/>
  <c r="OF122" i="5"/>
  <c r="OJ122" i="5"/>
  <c r="ON122" i="5"/>
  <c r="OR122" i="5"/>
  <c r="OG122" i="5"/>
  <c r="OK122" i="5"/>
  <c r="OO122" i="5"/>
  <c r="OS122" i="5"/>
  <c r="OH122" i="5"/>
  <c r="OL122" i="5"/>
  <c r="OP122" i="5"/>
  <c r="OI122" i="5"/>
  <c r="OM122" i="5"/>
  <c r="OQ122" i="5"/>
  <c r="OE122" i="5"/>
  <c r="OB122" i="5"/>
  <c r="OC122" i="5"/>
  <c r="OD122" i="5"/>
  <c r="OF120" i="5"/>
  <c r="OJ120" i="5"/>
  <c r="ON120" i="5"/>
  <c r="OR120" i="5"/>
  <c r="OG120" i="5"/>
  <c r="OK120" i="5"/>
  <c r="OO120" i="5"/>
  <c r="OS120" i="5"/>
  <c r="OH120" i="5"/>
  <c r="OL120" i="5"/>
  <c r="OP120" i="5"/>
  <c r="OQ120" i="5"/>
  <c r="OI120" i="5"/>
  <c r="OE120" i="5"/>
  <c r="OB120" i="5"/>
  <c r="OM120" i="5"/>
  <c r="OC120" i="5"/>
  <c r="OD120" i="5"/>
  <c r="OH119" i="5"/>
  <c r="OL119" i="5"/>
  <c r="OP119" i="5"/>
  <c r="OI119" i="5"/>
  <c r="OM119" i="5"/>
  <c r="OQ119" i="5"/>
  <c r="OF119" i="5"/>
  <c r="OJ119" i="5"/>
  <c r="ON119" i="5"/>
  <c r="OR119" i="5"/>
  <c r="OO119" i="5"/>
  <c r="OS119" i="5"/>
  <c r="OG119" i="5"/>
  <c r="OE119" i="5"/>
  <c r="OK119" i="5"/>
  <c r="OB119" i="5"/>
  <c r="OC119" i="5"/>
  <c r="OD119" i="5"/>
  <c r="OG118" i="5"/>
  <c r="OO118" i="5"/>
  <c r="OQ118" i="5"/>
  <c r="OE118" i="5"/>
  <c r="OH117" i="5"/>
  <c r="OL117" i="5"/>
  <c r="OP117" i="5"/>
  <c r="OI117" i="5"/>
  <c r="OM117" i="5"/>
  <c r="OQ117" i="5"/>
  <c r="OF117" i="5"/>
  <c r="OJ117" i="5"/>
  <c r="ON117" i="5"/>
  <c r="OR117" i="5"/>
  <c r="OK117" i="5"/>
  <c r="OO117" i="5"/>
  <c r="OS117" i="5"/>
  <c r="OE117" i="5"/>
  <c r="OB117" i="5"/>
  <c r="OC117" i="5"/>
  <c r="OG117" i="5"/>
  <c r="OD117" i="5"/>
  <c r="OF116" i="5"/>
  <c r="OJ116" i="5"/>
  <c r="ON116" i="5"/>
  <c r="OR116" i="5"/>
  <c r="OG116" i="5"/>
  <c r="OK116" i="5"/>
  <c r="OO116" i="5"/>
  <c r="OS116" i="5"/>
  <c r="OH116" i="5"/>
  <c r="OL116" i="5"/>
  <c r="OP116" i="5"/>
  <c r="OI116" i="5"/>
  <c r="OM116" i="5"/>
  <c r="OQ116" i="5"/>
  <c r="OE116" i="5"/>
  <c r="OB116" i="5"/>
  <c r="OC116" i="5"/>
  <c r="OD116" i="5"/>
  <c r="OH115" i="5"/>
  <c r="OL115" i="5"/>
  <c r="OP115" i="5"/>
  <c r="OI115" i="5"/>
  <c r="OM115" i="5"/>
  <c r="OQ115" i="5"/>
  <c r="OF115" i="5"/>
  <c r="OJ115" i="5"/>
  <c r="ON115" i="5"/>
  <c r="OR115" i="5"/>
  <c r="OG115" i="5"/>
  <c r="OK115" i="5"/>
  <c r="OO115" i="5"/>
  <c r="OE115" i="5"/>
  <c r="OB115" i="5"/>
  <c r="OS115" i="5"/>
  <c r="OC115" i="5"/>
  <c r="OD115" i="5"/>
  <c r="OF106" i="5"/>
  <c r="OJ106" i="5"/>
  <c r="ON106" i="5"/>
  <c r="OR106" i="5"/>
  <c r="OG106" i="5"/>
  <c r="OK106" i="5"/>
  <c r="OO106" i="5"/>
  <c r="OS106" i="5"/>
  <c r="OH106" i="5"/>
  <c r="OL106" i="5"/>
  <c r="OP106" i="5"/>
  <c r="OI106" i="5"/>
  <c r="OM106" i="5"/>
  <c r="OE106" i="5"/>
  <c r="OB106" i="5"/>
  <c r="OQ106" i="5"/>
  <c r="OC106" i="5"/>
  <c r="OD106" i="5"/>
  <c r="OH105" i="5"/>
  <c r="OL105" i="5"/>
  <c r="OP105" i="5"/>
  <c r="OI105" i="5"/>
  <c r="OM105" i="5"/>
  <c r="OQ105" i="5"/>
  <c r="OF105" i="5"/>
  <c r="OJ105" i="5"/>
  <c r="ON105" i="5"/>
  <c r="OR105" i="5"/>
  <c r="OS105" i="5"/>
  <c r="OG105" i="5"/>
  <c r="OK105" i="5"/>
  <c r="OE105" i="5"/>
  <c r="OO105" i="5"/>
  <c r="OB105" i="5"/>
  <c r="OC105" i="5"/>
  <c r="OD105" i="5"/>
  <c r="OH85" i="5"/>
  <c r="OL85" i="5"/>
  <c r="OP85" i="5"/>
  <c r="OI85" i="5"/>
  <c r="OM85" i="5"/>
  <c r="OQ85" i="5"/>
  <c r="OF85" i="5"/>
  <c r="OJ85" i="5"/>
  <c r="ON85" i="5"/>
  <c r="OR85" i="5"/>
  <c r="OK85" i="5"/>
  <c r="OO85" i="5"/>
  <c r="OS85" i="5"/>
  <c r="OE85" i="5"/>
  <c r="OB85" i="5"/>
  <c r="OC85" i="5"/>
  <c r="OG85" i="5"/>
  <c r="OD85" i="5"/>
  <c r="OF82" i="5"/>
  <c r="OJ82" i="5"/>
  <c r="ON82" i="5"/>
  <c r="OR82" i="5"/>
  <c r="OG82" i="5"/>
  <c r="OK82" i="5"/>
  <c r="OO82" i="5"/>
  <c r="OS82" i="5"/>
  <c r="OH82" i="5"/>
  <c r="OL82" i="5"/>
  <c r="OP82" i="5"/>
  <c r="OI82" i="5"/>
  <c r="OM82" i="5"/>
  <c r="OE82" i="5"/>
  <c r="OQ82" i="5"/>
  <c r="OB82" i="5"/>
  <c r="OC82" i="5"/>
  <c r="OD82" i="5"/>
  <c r="OH79" i="5"/>
  <c r="OP79" i="5"/>
  <c r="ON79" i="5"/>
  <c r="OO79" i="5"/>
  <c r="OC79" i="5"/>
  <c r="OF70" i="5"/>
  <c r="OO70" i="5"/>
  <c r="OH70" i="5"/>
  <c r="OB70" i="5"/>
  <c r="OC70" i="5"/>
  <c r="OH69" i="5"/>
  <c r="OL69" i="5"/>
  <c r="OP69" i="5"/>
  <c r="OI69" i="5"/>
  <c r="OM69" i="5"/>
  <c r="OQ69" i="5"/>
  <c r="OF69" i="5"/>
  <c r="OJ69" i="5"/>
  <c r="ON69" i="5"/>
  <c r="OR69" i="5"/>
  <c r="OK69" i="5"/>
  <c r="OO69" i="5"/>
  <c r="OS69" i="5"/>
  <c r="OE69" i="5"/>
  <c r="OG69" i="5"/>
  <c r="OB69" i="5"/>
  <c r="OC69" i="5"/>
  <c r="OD69" i="5"/>
  <c r="OH59" i="5"/>
  <c r="OL59" i="5"/>
  <c r="OP59" i="5"/>
  <c r="OI59" i="5"/>
  <c r="OM59" i="5"/>
  <c r="OQ59" i="5"/>
  <c r="OF59" i="5"/>
  <c r="OJ59" i="5"/>
  <c r="ON59" i="5"/>
  <c r="OR59" i="5"/>
  <c r="OG59" i="5"/>
  <c r="OK59" i="5"/>
  <c r="OO59" i="5"/>
  <c r="OE59" i="5"/>
  <c r="OS59" i="5"/>
  <c r="OB59" i="5"/>
  <c r="OC59" i="5"/>
  <c r="OD59" i="5"/>
  <c r="OF58" i="5"/>
  <c r="OJ58" i="5"/>
  <c r="ON58" i="5"/>
  <c r="OR58" i="5"/>
  <c r="OG58" i="5"/>
  <c r="OK58" i="5"/>
  <c r="OO58" i="5"/>
  <c r="OS58" i="5"/>
  <c r="OH58" i="5"/>
  <c r="OL58" i="5"/>
  <c r="OP58" i="5"/>
  <c r="OI58" i="5"/>
  <c r="OM58" i="5"/>
  <c r="OQ58" i="5"/>
  <c r="OE58" i="5"/>
  <c r="OB58" i="5"/>
  <c r="OC58" i="5"/>
  <c r="OD58" i="5"/>
  <c r="OH55" i="5"/>
  <c r="OL55" i="5"/>
  <c r="OP55" i="5"/>
  <c r="OI55" i="5"/>
  <c r="OM55" i="5"/>
  <c r="OQ55" i="5"/>
  <c r="OF55" i="5"/>
  <c r="OJ55" i="5"/>
  <c r="ON55" i="5"/>
  <c r="OR55" i="5"/>
  <c r="OO55" i="5"/>
  <c r="OS55" i="5"/>
  <c r="OG55" i="5"/>
  <c r="OE55" i="5"/>
  <c r="OK55" i="5"/>
  <c r="OB55" i="5"/>
  <c r="OC55" i="5"/>
  <c r="OD55" i="5"/>
  <c r="OF36" i="5"/>
  <c r="OJ36" i="5"/>
  <c r="ON36" i="5"/>
  <c r="OR36" i="5"/>
  <c r="OG36" i="5"/>
  <c r="OK36" i="5"/>
  <c r="OO36" i="5"/>
  <c r="OS36" i="5"/>
  <c r="OH36" i="5"/>
  <c r="OL36" i="5"/>
  <c r="OP36" i="5"/>
  <c r="OI36" i="5"/>
  <c r="OM36" i="5"/>
  <c r="OQ36" i="5"/>
  <c r="OE36" i="5"/>
  <c r="OB36" i="5"/>
  <c r="OC36" i="5"/>
  <c r="OD36" i="5"/>
  <c r="OH29" i="5"/>
  <c r="OL29" i="5"/>
  <c r="OP29" i="5"/>
  <c r="OI29" i="5"/>
  <c r="OM29" i="5"/>
  <c r="OQ29" i="5"/>
  <c r="OF29" i="5"/>
  <c r="OJ29" i="5"/>
  <c r="ON29" i="5"/>
  <c r="OR29" i="5"/>
  <c r="OK29" i="5"/>
  <c r="OO29" i="5"/>
  <c r="OS29" i="5"/>
  <c r="OE29" i="5"/>
  <c r="OB29" i="5"/>
  <c r="OG29" i="5"/>
  <c r="OC29" i="5"/>
  <c r="OD29" i="5"/>
  <c r="OP5" i="5"/>
  <c r="OF5" i="5"/>
  <c r="OK5" i="5"/>
  <c r="OG5" i="5"/>
  <c r="OA102" i="5"/>
  <c r="OA98" i="5"/>
  <c r="OA83" i="5"/>
  <c r="OA72" i="5"/>
  <c r="OA63" i="5"/>
  <c r="OA56" i="5"/>
  <c r="OA43" i="5"/>
  <c r="OA38" i="5"/>
  <c r="OA37" i="5"/>
  <c r="OA33" i="5"/>
  <c r="OA11" i="5"/>
  <c r="OA10" i="5"/>
  <c r="OA76" i="5"/>
  <c r="OA73" i="5"/>
  <c r="OA66" i="5"/>
  <c r="OA65" i="5"/>
  <c r="OA64" i="5"/>
  <c r="OA47" i="5"/>
  <c r="OA26" i="5"/>
  <c r="OA21" i="5"/>
  <c r="OA18" i="5"/>
  <c r="OA13" i="5"/>
  <c r="OA113" i="5"/>
  <c r="OA112" i="5"/>
  <c r="OA110" i="5"/>
  <c r="OA109" i="5"/>
  <c r="OA92" i="5"/>
  <c r="OA81" i="5"/>
  <c r="OA77" i="5"/>
  <c r="OA74" i="5"/>
  <c r="OA68" i="5"/>
  <c r="OA67" i="5"/>
  <c r="OA51" i="5"/>
  <c r="OA49" i="5"/>
  <c r="OA48" i="5"/>
  <c r="OA41" i="5"/>
  <c r="OA35" i="5"/>
  <c r="OA28" i="5"/>
  <c r="OA27" i="5"/>
  <c r="OA19" i="5"/>
  <c r="OA248" i="5"/>
  <c r="OA247" i="5"/>
  <c r="OA246" i="5"/>
  <c r="OA245" i="5"/>
  <c r="OA244" i="5"/>
  <c r="OA243" i="5"/>
  <c r="OA242" i="5"/>
  <c r="OA241" i="5"/>
  <c r="OA240" i="5"/>
  <c r="OA239" i="5"/>
  <c r="OA238" i="5"/>
  <c r="OA237" i="5"/>
  <c r="OA236" i="5"/>
  <c r="OA235" i="5"/>
  <c r="OA234" i="5"/>
  <c r="OA231" i="5"/>
  <c r="CJ231" i="5" s="1"/>
  <c r="OA230" i="5"/>
  <c r="OA229" i="5"/>
  <c r="OA228" i="5"/>
  <c r="OA227" i="5"/>
  <c r="OA226" i="5"/>
  <c r="OA225" i="5"/>
  <c r="OA224" i="5"/>
  <c r="OA223" i="5"/>
  <c r="OA222" i="5"/>
  <c r="OA221" i="5"/>
  <c r="OA220" i="5"/>
  <c r="OA219" i="5"/>
  <c r="OA218" i="5"/>
  <c r="OA217" i="5"/>
  <c r="OA216" i="5"/>
  <c r="OA215" i="5"/>
  <c r="OA214" i="5"/>
  <c r="OA212" i="5"/>
  <c r="OA208" i="5"/>
  <c r="OA206" i="5"/>
  <c r="OA204" i="5"/>
  <c r="OA202" i="5"/>
  <c r="OA201" i="5"/>
  <c r="OA200" i="5"/>
  <c r="OA199" i="5"/>
  <c r="OA198" i="5"/>
  <c r="OA197" i="5"/>
  <c r="OA196" i="5"/>
  <c r="OA195" i="5"/>
  <c r="OA194" i="5"/>
  <c r="OA192" i="5"/>
  <c r="OA191" i="5"/>
  <c r="OA190" i="5"/>
  <c r="OA189" i="5"/>
  <c r="OA188" i="5"/>
  <c r="OA187" i="5"/>
  <c r="OA186" i="5"/>
  <c r="OA184" i="5"/>
  <c r="OA183" i="5"/>
  <c r="OA182" i="5"/>
  <c r="OA181" i="5"/>
  <c r="OA180" i="5"/>
  <c r="OA179" i="5"/>
  <c r="OA178" i="5"/>
  <c r="OA176" i="5"/>
  <c r="OA175" i="5"/>
  <c r="OA174" i="5"/>
  <c r="OA171" i="5"/>
  <c r="OA167" i="5"/>
  <c r="OA166" i="5"/>
  <c r="OA163" i="5"/>
  <c r="OA162" i="5"/>
  <c r="OA161" i="5"/>
  <c r="OA160" i="5"/>
  <c r="OA159" i="5"/>
  <c r="OA158" i="5"/>
  <c r="OA157" i="5"/>
  <c r="OA154" i="5"/>
  <c r="OA153" i="5"/>
  <c r="OA152" i="5"/>
  <c r="OA151" i="5"/>
  <c r="OA150" i="5"/>
  <c r="OA148" i="5"/>
  <c r="OA147" i="5"/>
  <c r="OA145" i="5"/>
  <c r="OA142" i="5"/>
  <c r="OA141" i="5"/>
  <c r="OA140" i="5"/>
  <c r="OA138" i="5"/>
  <c r="OA137" i="5"/>
  <c r="OA136" i="5"/>
  <c r="OA135" i="5"/>
  <c r="OA134" i="5"/>
  <c r="OA132" i="5"/>
  <c r="OA128" i="5"/>
  <c r="OA127" i="5"/>
  <c r="OA126" i="5"/>
  <c r="OA125" i="5"/>
  <c r="OA123" i="5"/>
  <c r="OA122" i="5"/>
  <c r="OA120" i="5"/>
  <c r="OA119" i="5"/>
  <c r="OA117" i="5"/>
  <c r="OA116" i="5"/>
  <c r="OA115" i="5"/>
  <c r="OA106" i="5"/>
  <c r="OA105" i="5"/>
  <c r="OA85" i="5"/>
  <c r="OA82" i="5"/>
  <c r="OA79" i="5"/>
  <c r="OA69" i="5"/>
  <c r="OA59" i="5"/>
  <c r="OA58" i="5"/>
  <c r="OA55" i="5"/>
  <c r="OA36" i="5"/>
  <c r="OA29" i="5"/>
  <c r="OA5" i="5"/>
  <c r="QR117" i="5"/>
  <c r="CQ117" i="5" s="1"/>
  <c r="QR113" i="5"/>
  <c r="QR109" i="5"/>
  <c r="QR105" i="5"/>
  <c r="QR89" i="5"/>
  <c r="QR85" i="5"/>
  <c r="QR81" i="5"/>
  <c r="QR77" i="5"/>
  <c r="QR73" i="5"/>
  <c r="QR69" i="5"/>
  <c r="QR61" i="5"/>
  <c r="QR49" i="5"/>
  <c r="QR41" i="5"/>
  <c r="QR37" i="5"/>
  <c r="QR21" i="5"/>
  <c r="QR13" i="5"/>
  <c r="CQ13" i="5" s="1"/>
  <c r="QR7" i="5"/>
  <c r="QR119" i="5"/>
  <c r="QR115" i="5"/>
  <c r="QR111" i="5"/>
  <c r="CQ111" i="5" s="1"/>
  <c r="QR103" i="5"/>
  <c r="QR83" i="5"/>
  <c r="QR79" i="5"/>
  <c r="QR67" i="5"/>
  <c r="QR63" i="5"/>
  <c r="QR59" i="5"/>
  <c r="QR55" i="5"/>
  <c r="QR51" i="5"/>
  <c r="QR43" i="5"/>
  <c r="QR35" i="5"/>
  <c r="QR27" i="5"/>
  <c r="QR19" i="5"/>
  <c r="QR5" i="5"/>
  <c r="QR122" i="5"/>
  <c r="QR118" i="5"/>
  <c r="QR116" i="5"/>
  <c r="QR112" i="5"/>
  <c r="QR110" i="5"/>
  <c r="QR106" i="5"/>
  <c r="QR98" i="5"/>
  <c r="QR82" i="5"/>
  <c r="QR78" i="5"/>
  <c r="QR76" i="5"/>
  <c r="QR74" i="5"/>
  <c r="QR70" i="5"/>
  <c r="QR68" i="5"/>
  <c r="QR66" i="5"/>
  <c r="QR64" i="5"/>
  <c r="QR58" i="5"/>
  <c r="QR56" i="5"/>
  <c r="QR50" i="5"/>
  <c r="QR48" i="5"/>
  <c r="QR46" i="5"/>
  <c r="QR40" i="5"/>
  <c r="QR36" i="5"/>
  <c r="QR32" i="5"/>
  <c r="QR24" i="5"/>
  <c r="QR18" i="5"/>
  <c r="CQ18" i="5" s="1"/>
  <c r="QR8" i="5"/>
  <c r="QR4" i="5"/>
  <c r="NP245" i="5"/>
  <c r="NP236" i="5"/>
  <c r="NP230" i="5"/>
  <c r="NP224" i="5"/>
  <c r="NP204" i="5"/>
  <c r="NP186" i="5"/>
  <c r="NP171" i="5"/>
  <c r="NP166" i="5"/>
  <c r="NP160" i="5"/>
  <c r="NP154" i="5"/>
  <c r="NP151" i="5"/>
  <c r="NP145" i="5"/>
  <c r="NP141" i="5"/>
  <c r="NP135" i="5"/>
  <c r="NP248" i="5"/>
  <c r="NP242" i="5"/>
  <c r="NP239" i="5"/>
  <c r="NP227" i="5"/>
  <c r="NP221" i="5"/>
  <c r="NP217" i="5"/>
  <c r="NP215" i="5"/>
  <c r="NP189" i="5"/>
  <c r="NP183" i="5"/>
  <c r="NP180" i="5"/>
  <c r="NP174" i="5"/>
  <c r="NP163" i="5"/>
  <c r="NP157" i="5"/>
  <c r="NP148" i="5"/>
  <c r="NP138" i="5"/>
  <c r="NP132" i="5"/>
  <c r="NP126" i="5"/>
  <c r="NP246" i="5"/>
  <c r="NP243" i="5"/>
  <c r="NP240" i="5"/>
  <c r="NP237" i="5"/>
  <c r="NP234" i="5"/>
  <c r="NP231" i="5"/>
  <c r="NP228" i="5"/>
  <c r="NP225" i="5"/>
  <c r="NP222" i="5"/>
  <c r="NP219" i="5"/>
  <c r="NP218" i="5"/>
  <c r="NP214" i="5"/>
  <c r="NP212" i="5"/>
  <c r="NP202" i="5"/>
  <c r="NP192" i="5"/>
  <c r="NP190" i="5"/>
  <c r="NP187" i="5"/>
  <c r="NP184" i="5"/>
  <c r="NP181" i="5"/>
  <c r="NP178" i="5"/>
  <c r="NP175" i="5"/>
  <c r="NP167" i="5"/>
  <c r="NP161" i="5"/>
  <c r="NP158" i="5"/>
  <c r="NP152" i="5"/>
  <c r="NP142" i="5"/>
  <c r="NP136" i="5"/>
  <c r="NP127" i="5"/>
  <c r="NP125" i="5"/>
  <c r="NP247" i="5"/>
  <c r="NP244" i="5"/>
  <c r="NP241" i="5"/>
  <c r="NP238" i="5"/>
  <c r="NP235" i="5"/>
  <c r="NP229" i="5"/>
  <c r="NP226" i="5"/>
  <c r="NP223" i="5"/>
  <c r="NP220" i="5"/>
  <c r="NP216" i="5"/>
  <c r="NP208" i="5"/>
  <c r="NP206" i="5"/>
  <c r="NP191" i="5"/>
  <c r="NP188" i="5"/>
  <c r="NP182" i="5"/>
  <c r="NP179" i="5"/>
  <c r="NP176" i="5"/>
  <c r="NP162" i="5"/>
  <c r="NP159" i="5"/>
  <c r="NP153" i="5"/>
  <c r="NP150" i="5"/>
  <c r="NP147" i="5"/>
  <c r="NP140" i="5"/>
  <c r="NP137" i="5"/>
  <c r="NP134" i="5"/>
  <c r="NP128" i="5"/>
  <c r="NW7" i="5"/>
  <c r="OA61" i="5" l="1"/>
  <c r="OL78" i="5"/>
  <c r="OF71" i="5"/>
  <c r="OX8" i="5"/>
  <c r="OP8" i="5"/>
  <c r="OY78" i="5"/>
  <c r="OP32" i="5"/>
  <c r="OL8" i="5"/>
  <c r="OH78" i="5"/>
  <c r="OQ71" i="5"/>
  <c r="OT8" i="5"/>
  <c r="OU78" i="5"/>
  <c r="OH32" i="5"/>
  <c r="OH8" i="5"/>
  <c r="OS78" i="5"/>
  <c r="OM71" i="5"/>
  <c r="OV32" i="5"/>
  <c r="OS32" i="5"/>
  <c r="OS8" i="5"/>
  <c r="OO78" i="5"/>
  <c r="OP71" i="5"/>
  <c r="PE8" i="5"/>
  <c r="OX78" i="5"/>
  <c r="OT32" i="5"/>
  <c r="OA78" i="5"/>
  <c r="OO32" i="5"/>
  <c r="OO8" i="5"/>
  <c r="OK78" i="5"/>
  <c r="PA8" i="5"/>
  <c r="OT78" i="5"/>
  <c r="OK32" i="5"/>
  <c r="OK8" i="5"/>
  <c r="OG78" i="5"/>
  <c r="OW8" i="5"/>
  <c r="PF78" i="5"/>
  <c r="OG32" i="5"/>
  <c r="OG8" i="5"/>
  <c r="OR78" i="5"/>
  <c r="PH8" i="5"/>
  <c r="PB78" i="5"/>
  <c r="PG71" i="5"/>
  <c r="OA32" i="5"/>
  <c r="OA8" i="5"/>
  <c r="OR32" i="5"/>
  <c r="OR8" i="5"/>
  <c r="ON78" i="5"/>
  <c r="PD8" i="5"/>
  <c r="PE78" i="5"/>
  <c r="OX71" i="5"/>
  <c r="ON32" i="5"/>
  <c r="ON8" i="5"/>
  <c r="OD78" i="5"/>
  <c r="OJ78" i="5"/>
  <c r="OZ8" i="5"/>
  <c r="PA78" i="5"/>
  <c r="OZ61" i="5"/>
  <c r="OT71" i="5"/>
  <c r="OD32" i="5"/>
  <c r="OJ32" i="5"/>
  <c r="OD8" i="5"/>
  <c r="OJ8" i="5"/>
  <c r="OC78" i="5"/>
  <c r="OF78" i="5"/>
  <c r="OV8" i="5"/>
  <c r="OW78" i="5"/>
  <c r="PF61" i="5"/>
  <c r="PE71" i="5"/>
  <c r="OC32" i="5"/>
  <c r="OF32" i="5"/>
  <c r="OC8" i="5"/>
  <c r="OF8" i="5"/>
  <c r="OB78" i="5"/>
  <c r="PG8" i="5"/>
  <c r="PH78" i="5"/>
  <c r="OV71" i="5"/>
  <c r="OL32" i="5"/>
  <c r="OB32" i="5"/>
  <c r="OB8" i="5"/>
  <c r="OI78" i="5"/>
  <c r="PC8" i="5"/>
  <c r="PD78" i="5"/>
  <c r="OM32" i="5"/>
  <c r="OE8" i="5"/>
  <c r="OE78" i="5"/>
  <c r="OB71" i="5"/>
  <c r="OY8" i="5"/>
  <c r="OZ78" i="5"/>
  <c r="OE32" i="5"/>
  <c r="OM8" i="5"/>
  <c r="OQ78" i="5"/>
  <c r="OB61" i="5"/>
  <c r="OE71" i="5"/>
  <c r="OU8" i="5"/>
  <c r="OV78" i="5"/>
  <c r="OA71" i="5"/>
  <c r="OI32" i="5"/>
  <c r="OI8" i="5"/>
  <c r="OM78" i="5"/>
  <c r="ON61" i="5"/>
  <c r="OG71" i="5"/>
  <c r="PF8" i="5"/>
  <c r="PG78" i="5"/>
  <c r="OQ32" i="5"/>
  <c r="OQ8" i="5"/>
  <c r="OP78" i="5"/>
  <c r="OO71" i="5"/>
  <c r="PB8" i="5"/>
  <c r="PC78" i="5"/>
  <c r="OK97" i="5"/>
  <c r="CJ97" i="5" s="1"/>
  <c r="PC115" i="5"/>
  <c r="OU115" i="5"/>
  <c r="PH11" i="5"/>
  <c r="PG115" i="5"/>
  <c r="PD11" i="5"/>
  <c r="PF115" i="5"/>
  <c r="PF11" i="5"/>
  <c r="PB115" i="5"/>
  <c r="PB11" i="5"/>
  <c r="OX115" i="5"/>
  <c r="OT115" i="5"/>
  <c r="OA111" i="5"/>
  <c r="PE115" i="5"/>
  <c r="PA115" i="5"/>
  <c r="OW115" i="5"/>
  <c r="OW29" i="5"/>
  <c r="PH115" i="5"/>
  <c r="OU29" i="5"/>
  <c r="PD115" i="5"/>
  <c r="OZ115" i="5"/>
  <c r="OA40" i="5"/>
  <c r="OS97" i="5"/>
  <c r="OR97" i="5"/>
  <c r="ON97" i="5"/>
  <c r="OJ97" i="5"/>
  <c r="OF97" i="5"/>
  <c r="OG97" i="5"/>
  <c r="OQ97" i="5"/>
  <c r="OG103" i="5"/>
  <c r="OM97" i="5"/>
  <c r="OI97" i="5"/>
  <c r="OA97" i="5"/>
  <c r="OP97" i="5"/>
  <c r="OV5" i="5"/>
  <c r="OD97" i="5"/>
  <c r="OL97" i="5"/>
  <c r="OF40" i="5"/>
  <c r="OD111" i="5"/>
  <c r="OC97" i="5"/>
  <c r="OH97" i="5"/>
  <c r="OL111" i="5"/>
  <c r="OO97" i="5"/>
  <c r="OA103" i="5"/>
  <c r="OB97" i="5"/>
  <c r="OA87" i="5"/>
  <c r="PF106" i="5"/>
  <c r="OC111" i="5"/>
  <c r="OH111" i="5"/>
  <c r="OS103" i="5"/>
  <c r="OK111" i="5"/>
  <c r="OO103" i="5"/>
  <c r="OB111" i="5"/>
  <c r="ON103" i="5"/>
  <c r="OE111" i="5"/>
  <c r="OM103" i="5"/>
  <c r="OG111" i="5"/>
  <c r="OI103" i="5"/>
  <c r="OS111" i="5"/>
  <c r="OP103" i="5"/>
  <c r="OO111" i="5"/>
  <c r="OH103" i="5"/>
  <c r="OR111" i="5"/>
  <c r="OK87" i="5"/>
  <c r="ON111" i="5"/>
  <c r="ON87" i="5"/>
  <c r="OJ111" i="5"/>
  <c r="OP87" i="5"/>
  <c r="OF111" i="5"/>
  <c r="OQ111" i="5"/>
  <c r="OM111" i="5"/>
  <c r="OC40" i="5"/>
  <c r="OI111" i="5"/>
  <c r="OH40" i="5"/>
  <c r="OP111" i="5"/>
  <c r="OD103" i="5"/>
  <c r="PC40" i="5"/>
  <c r="PB87" i="5"/>
  <c r="OU103" i="5"/>
  <c r="PF103" i="5"/>
  <c r="PB103" i="5"/>
  <c r="PH103" i="5"/>
  <c r="PD103" i="5"/>
  <c r="PC111" i="5"/>
  <c r="OZ103" i="5"/>
  <c r="OX111" i="5"/>
  <c r="PH111" i="5"/>
  <c r="OV111" i="5"/>
  <c r="CJ237" i="5"/>
  <c r="CJ238" i="5"/>
  <c r="CJ38" i="5"/>
  <c r="CJ98" i="5"/>
  <c r="CJ59" i="5"/>
  <c r="CJ58" i="5"/>
  <c r="CJ21" i="5"/>
  <c r="CJ43" i="5"/>
  <c r="CJ51" i="5"/>
  <c r="CJ92" i="5"/>
  <c r="CJ76" i="5"/>
  <c r="CJ82" i="5"/>
  <c r="CJ47" i="5"/>
  <c r="CJ65" i="5"/>
  <c r="CJ37" i="5"/>
  <c r="CJ55" i="5"/>
  <c r="CJ49" i="5"/>
  <c r="CJ68" i="5"/>
  <c r="CJ81" i="5"/>
  <c r="OU117" i="5"/>
  <c r="PF117" i="5"/>
  <c r="PH117" i="5"/>
  <c r="CJ123" i="5"/>
  <c r="CJ115" i="5"/>
  <c r="CJ119" i="5"/>
  <c r="CJ116" i="5"/>
  <c r="CJ120" i="5"/>
  <c r="OU10" i="5"/>
  <c r="PH10" i="5"/>
  <c r="PD56" i="5"/>
  <c r="PB56" i="5"/>
  <c r="OV82" i="5"/>
  <c r="PF10" i="5"/>
  <c r="PD10" i="5"/>
  <c r="OZ56" i="5"/>
  <c r="OX56" i="5"/>
  <c r="OX10" i="5"/>
  <c r="OV10" i="5"/>
  <c r="PG56" i="5"/>
  <c r="PE56" i="5"/>
  <c r="PC120" i="5"/>
  <c r="OT10" i="5"/>
  <c r="PC56" i="5"/>
  <c r="PA56" i="5"/>
  <c r="OX102" i="5"/>
  <c r="OU105" i="5"/>
  <c r="OY120" i="5"/>
  <c r="PG10" i="5"/>
  <c r="PE10" i="5"/>
  <c r="OY56" i="5"/>
  <c r="OW56" i="5"/>
  <c r="OT102" i="5"/>
  <c r="OX82" i="5"/>
  <c r="PA120" i="5"/>
  <c r="PC10" i="5"/>
  <c r="PA10" i="5"/>
  <c r="OU56" i="5"/>
  <c r="OV102" i="5"/>
  <c r="OT82" i="5"/>
  <c r="OW120" i="5"/>
  <c r="OB40" i="5"/>
  <c r="OS40" i="5"/>
  <c r="OM110" i="5"/>
  <c r="OR110" i="5"/>
  <c r="OF18" i="5"/>
  <c r="OD66" i="5"/>
  <c r="OD33" i="5"/>
  <c r="OR33" i="5"/>
  <c r="OL33" i="5"/>
  <c r="OB72" i="5"/>
  <c r="OS72" i="5"/>
  <c r="OY40" i="5"/>
  <c r="OW40" i="5"/>
  <c r="OW110" i="5"/>
  <c r="OU110" i="5"/>
  <c r="PG18" i="5"/>
  <c r="OU66" i="5"/>
  <c r="PB33" i="5"/>
  <c r="OZ33" i="5"/>
  <c r="OV72" i="5"/>
  <c r="OT72" i="5"/>
  <c r="PH29" i="5"/>
  <c r="OC4" i="5"/>
  <c r="OE40" i="5"/>
  <c r="OO40" i="5"/>
  <c r="OB74" i="5"/>
  <c r="OP110" i="5"/>
  <c r="ON110" i="5"/>
  <c r="OD18" i="5"/>
  <c r="OP66" i="5"/>
  <c r="OC33" i="5"/>
  <c r="ON33" i="5"/>
  <c r="OH33" i="5"/>
  <c r="OE72" i="5"/>
  <c r="OO72" i="5"/>
  <c r="OU40" i="5"/>
  <c r="PH110" i="5"/>
  <c r="PC18" i="5"/>
  <c r="OX33" i="5"/>
  <c r="OV33" i="5"/>
  <c r="PG72" i="5"/>
  <c r="PE72" i="5"/>
  <c r="PF29" i="5"/>
  <c r="PD29" i="5"/>
  <c r="OM4" i="5"/>
  <c r="OM40" i="5"/>
  <c r="OK40" i="5"/>
  <c r="CJ40" i="5" s="1"/>
  <c r="OH74" i="5"/>
  <c r="OD110" i="5"/>
  <c r="OL110" i="5"/>
  <c r="OJ110" i="5"/>
  <c r="OC18" i="5"/>
  <c r="OL66" i="5"/>
  <c r="OO33" i="5"/>
  <c r="OJ33" i="5"/>
  <c r="CJ33" i="5" s="1"/>
  <c r="OM72" i="5"/>
  <c r="OK72" i="5"/>
  <c r="PH40" i="5"/>
  <c r="PF40" i="5"/>
  <c r="OX110" i="5"/>
  <c r="PD110" i="5"/>
  <c r="PE18" i="5"/>
  <c r="OT33" i="5"/>
  <c r="PG33" i="5"/>
  <c r="PC72" i="5"/>
  <c r="PA72" i="5"/>
  <c r="PB29" i="5"/>
  <c r="OZ29" i="5"/>
  <c r="OH4" i="5"/>
  <c r="OI40" i="5"/>
  <c r="OG40" i="5"/>
  <c r="ON74" i="5"/>
  <c r="OC110" i="5"/>
  <c r="OH110" i="5"/>
  <c r="OF110" i="5"/>
  <c r="OB18" i="5"/>
  <c r="OH66" i="5"/>
  <c r="OB33" i="5"/>
  <c r="OF33" i="5"/>
  <c r="OI72" i="5"/>
  <c r="OG72" i="5"/>
  <c r="PE4" i="5"/>
  <c r="PD40" i="5"/>
  <c r="PB40" i="5"/>
  <c r="PB74" i="5"/>
  <c r="OT110" i="5"/>
  <c r="OZ110" i="5"/>
  <c r="PA18" i="5"/>
  <c r="PE33" i="5"/>
  <c r="PC33" i="5"/>
  <c r="OY72" i="5"/>
  <c r="OW72" i="5"/>
  <c r="OX29" i="5"/>
  <c r="OV29" i="5"/>
  <c r="OG4" i="5"/>
  <c r="OQ40" i="5"/>
  <c r="OR40" i="5"/>
  <c r="OB110" i="5"/>
  <c r="OS110" i="5"/>
  <c r="OL18" i="5"/>
  <c r="ON66" i="5"/>
  <c r="OE33" i="5"/>
  <c r="OQ33" i="5"/>
  <c r="OQ72" i="5"/>
  <c r="OR72" i="5"/>
  <c r="PD4" i="5"/>
  <c r="OZ40" i="5"/>
  <c r="OX40" i="5"/>
  <c r="PD74" i="5"/>
  <c r="PF110" i="5"/>
  <c r="OV110" i="5"/>
  <c r="PA33" i="5"/>
  <c r="OY33" i="5"/>
  <c r="OU72" i="5"/>
  <c r="OT29" i="5"/>
  <c r="PG29" i="5"/>
  <c r="OW97" i="5"/>
  <c r="OF4" i="5"/>
  <c r="OP40" i="5"/>
  <c r="ON40" i="5"/>
  <c r="OI110" i="5"/>
  <c r="CJ110" i="5" s="1"/>
  <c r="OO110" i="5"/>
  <c r="OH18" i="5"/>
  <c r="OJ66" i="5"/>
  <c r="OK33" i="5"/>
  <c r="OM33" i="5"/>
  <c r="OP72" i="5"/>
  <c r="ON72" i="5"/>
  <c r="CJ72" i="5" s="1"/>
  <c r="PC4" i="5"/>
  <c r="OV40" i="5"/>
  <c r="OT40" i="5"/>
  <c r="OU74" i="5"/>
  <c r="PB110" i="5"/>
  <c r="PG110" i="5"/>
  <c r="PA66" i="5"/>
  <c r="OW33" i="5"/>
  <c r="OU33" i="5"/>
  <c r="PH72" i="5"/>
  <c r="PF72" i="5"/>
  <c r="PE29" i="5"/>
  <c r="PC29" i="5"/>
  <c r="PG97" i="5"/>
  <c r="OD40" i="5"/>
  <c r="OL40" i="5"/>
  <c r="OJ40" i="5"/>
  <c r="OE110" i="5"/>
  <c r="OK110" i="5"/>
  <c r="OS18" i="5"/>
  <c r="OF66" i="5"/>
  <c r="CJ66" i="5" s="1"/>
  <c r="OG33" i="5"/>
  <c r="OI33" i="5"/>
  <c r="OD72" i="5"/>
  <c r="OL72" i="5"/>
  <c r="OJ72" i="5"/>
  <c r="PB4" i="5"/>
  <c r="PG40" i="5"/>
  <c r="PE40" i="5"/>
  <c r="PE110" i="5"/>
  <c r="PC110" i="5"/>
  <c r="OW66" i="5"/>
  <c r="PH33" i="5"/>
  <c r="PD72" i="5"/>
  <c r="PB72" i="5"/>
  <c r="PA29" i="5"/>
  <c r="OY29" i="5"/>
  <c r="OX97" i="5"/>
  <c r="OA70" i="5"/>
  <c r="OI70" i="5"/>
  <c r="CJ70" i="5" s="1"/>
  <c r="OS70" i="5"/>
  <c r="OD79" i="5"/>
  <c r="OR79" i="5"/>
  <c r="OL79" i="5"/>
  <c r="OI118" i="5"/>
  <c r="OK118" i="5"/>
  <c r="OQ50" i="5"/>
  <c r="OO50" i="5"/>
  <c r="OD89" i="5"/>
  <c r="OR89" i="5"/>
  <c r="OL89" i="5"/>
  <c r="OF114" i="5"/>
  <c r="OS53" i="5"/>
  <c r="OM53" i="5"/>
  <c r="OD100" i="5"/>
  <c r="OL100" i="5"/>
  <c r="OJ100" i="5"/>
  <c r="OT24" i="5"/>
  <c r="PH50" i="5"/>
  <c r="PA89" i="5"/>
  <c r="OY89" i="5"/>
  <c r="OZ53" i="5"/>
  <c r="OX53" i="5"/>
  <c r="PH70" i="5"/>
  <c r="OY79" i="5"/>
  <c r="PE79" i="5"/>
  <c r="PF118" i="5"/>
  <c r="PD118" i="5"/>
  <c r="OB24" i="5"/>
  <c r="OE50" i="5"/>
  <c r="OK50" i="5"/>
  <c r="OO89" i="5"/>
  <c r="ON89" i="5"/>
  <c r="OH89" i="5"/>
  <c r="OD114" i="5"/>
  <c r="OO53" i="5"/>
  <c r="OI53" i="5"/>
  <c r="OI46" i="5"/>
  <c r="OC100" i="5"/>
  <c r="OH100" i="5"/>
  <c r="OF100" i="5"/>
  <c r="PB50" i="5"/>
  <c r="PD50" i="5"/>
  <c r="OW89" i="5"/>
  <c r="OU89" i="5"/>
  <c r="OV53" i="5"/>
  <c r="OT53" i="5"/>
  <c r="PF70" i="5"/>
  <c r="PD70" i="5"/>
  <c r="OU79" i="5"/>
  <c r="PA79" i="5"/>
  <c r="PB118" i="5"/>
  <c r="OZ118" i="5"/>
  <c r="OE70" i="5"/>
  <c r="OK70" i="5"/>
  <c r="OK79" i="5"/>
  <c r="OJ79" i="5"/>
  <c r="OM118" i="5"/>
  <c r="CJ118" i="5" s="1"/>
  <c r="OR118" i="5"/>
  <c r="OH24" i="5"/>
  <c r="OM50" i="5"/>
  <c r="OG50" i="5"/>
  <c r="OC89" i="5"/>
  <c r="CJ89" i="5" s="1"/>
  <c r="OJ89" i="5"/>
  <c r="OC114" i="5"/>
  <c r="OK53" i="5"/>
  <c r="OP53" i="5"/>
  <c r="OH46" i="5"/>
  <c r="OB100" i="5"/>
  <c r="OS100" i="5"/>
  <c r="OX50" i="5"/>
  <c r="OZ50" i="5"/>
  <c r="PH89" i="5"/>
  <c r="PF89" i="5"/>
  <c r="PG53" i="5"/>
  <c r="PH100" i="5"/>
  <c r="PB70" i="5"/>
  <c r="OZ70" i="5"/>
  <c r="PG79" i="5"/>
  <c r="OW79" i="5"/>
  <c r="OX118" i="5"/>
  <c r="OV118" i="5"/>
  <c r="OA118" i="5"/>
  <c r="OQ70" i="5"/>
  <c r="OG70" i="5"/>
  <c r="OB79" i="5"/>
  <c r="OF79" i="5"/>
  <c r="OP118" i="5"/>
  <c r="ON118" i="5"/>
  <c r="ON24" i="5"/>
  <c r="OI50" i="5"/>
  <c r="OR50" i="5"/>
  <c r="OB89" i="5"/>
  <c r="OF89" i="5"/>
  <c r="OP114" i="5"/>
  <c r="OD53" i="5"/>
  <c r="OR53" i="5"/>
  <c r="OL53" i="5"/>
  <c r="ON46" i="5"/>
  <c r="OE100" i="5"/>
  <c r="OO100" i="5"/>
  <c r="OT50" i="5"/>
  <c r="OV50" i="5"/>
  <c r="PD89" i="5"/>
  <c r="PB89" i="5"/>
  <c r="PB114" i="5"/>
  <c r="PE53" i="5"/>
  <c r="PC53" i="5"/>
  <c r="OY100" i="5"/>
  <c r="OX70" i="5"/>
  <c r="OV70" i="5"/>
  <c r="PC79" i="5"/>
  <c r="PH79" i="5"/>
  <c r="OT118" i="5"/>
  <c r="PG118" i="5"/>
  <c r="OA53" i="5"/>
  <c r="OM70" i="5"/>
  <c r="OR70" i="5"/>
  <c r="OE79" i="5"/>
  <c r="CJ79" i="5" s="1"/>
  <c r="OQ79" i="5"/>
  <c r="OD118" i="5"/>
  <c r="OL118" i="5"/>
  <c r="OJ118" i="5"/>
  <c r="OP50" i="5"/>
  <c r="ON50" i="5"/>
  <c r="OE89" i="5"/>
  <c r="OQ89" i="5"/>
  <c r="OL114" i="5"/>
  <c r="OG53" i="5"/>
  <c r="ON53" i="5"/>
  <c r="OH53" i="5"/>
  <c r="OQ100" i="5"/>
  <c r="OK100" i="5"/>
  <c r="PF50" i="5"/>
  <c r="PG50" i="5"/>
  <c r="OZ89" i="5"/>
  <c r="OX89" i="5"/>
  <c r="OX114" i="5"/>
  <c r="PA53" i="5"/>
  <c r="OY53" i="5"/>
  <c r="OT100" i="5"/>
  <c r="OT70" i="5"/>
  <c r="PG70" i="5"/>
  <c r="PF79" i="5"/>
  <c r="PD79" i="5"/>
  <c r="PE118" i="5"/>
  <c r="PC118" i="5"/>
  <c r="OA24" i="5"/>
  <c r="OA50" i="5"/>
  <c r="OA89" i="5"/>
  <c r="OA114" i="5"/>
  <c r="OA100" i="5"/>
  <c r="OP70" i="5"/>
  <c r="ON70" i="5"/>
  <c r="OG79" i="5"/>
  <c r="OM79" i="5"/>
  <c r="OC118" i="5"/>
  <c r="OH118" i="5"/>
  <c r="OF118" i="5"/>
  <c r="OD50" i="5"/>
  <c r="OL50" i="5"/>
  <c r="OJ50" i="5"/>
  <c r="OK89" i="5"/>
  <c r="OM89" i="5"/>
  <c r="OH114" i="5"/>
  <c r="OC53" i="5"/>
  <c r="OJ53" i="5"/>
  <c r="OM100" i="5"/>
  <c r="OG100" i="5"/>
  <c r="PE50" i="5"/>
  <c r="PC50" i="5"/>
  <c r="OV89" i="5"/>
  <c r="OT89" i="5"/>
  <c r="PD114" i="5"/>
  <c r="OW53" i="5"/>
  <c r="OU53" i="5"/>
  <c r="OW100" i="5"/>
  <c r="PE70" i="5"/>
  <c r="PC70" i="5"/>
  <c r="PB79" i="5"/>
  <c r="OZ79" i="5"/>
  <c r="PA118" i="5"/>
  <c r="OY118" i="5"/>
  <c r="OD70" i="5"/>
  <c r="OL70" i="5"/>
  <c r="OJ70" i="5"/>
  <c r="OS79" i="5"/>
  <c r="OI79" i="5"/>
  <c r="OB118" i="5"/>
  <c r="OS118" i="5"/>
  <c r="OC50" i="5"/>
  <c r="CJ50" i="5" s="1"/>
  <c r="OH50" i="5"/>
  <c r="OF50" i="5"/>
  <c r="OG89" i="5"/>
  <c r="OI89" i="5"/>
  <c r="ON114" i="5"/>
  <c r="OB53" i="5"/>
  <c r="CJ53" i="5" s="1"/>
  <c r="OF53" i="5"/>
  <c r="OI100" i="5"/>
  <c r="OR100" i="5"/>
  <c r="OW24" i="5"/>
  <c r="PA50" i="5"/>
  <c r="OY50" i="5"/>
  <c r="PG89" i="5"/>
  <c r="OZ114" i="5"/>
  <c r="PH53" i="5"/>
  <c r="PF53" i="5"/>
  <c r="PA70" i="5"/>
  <c r="OY70" i="5"/>
  <c r="OX79" i="5"/>
  <c r="OV79" i="5"/>
  <c r="OW118" i="5"/>
  <c r="OU118" i="5"/>
  <c r="OG83" i="5"/>
  <c r="OP83" i="5"/>
  <c r="PE7" i="5"/>
  <c r="PD41" i="5"/>
  <c r="PB41" i="5"/>
  <c r="PG77" i="5"/>
  <c r="PF111" i="5"/>
  <c r="PD111" i="5"/>
  <c r="OT21" i="5"/>
  <c r="OW73" i="5"/>
  <c r="PF37" i="5"/>
  <c r="PD37" i="5"/>
  <c r="PF83" i="5"/>
  <c r="PD83" i="5"/>
  <c r="PG32" i="5"/>
  <c r="PB55" i="5"/>
  <c r="OZ55" i="5"/>
  <c r="PB106" i="5"/>
  <c r="OV106" i="5"/>
  <c r="OD83" i="5"/>
  <c r="OR83" i="5"/>
  <c r="OL83" i="5"/>
  <c r="OZ41" i="5"/>
  <c r="OX41" i="5"/>
  <c r="OW77" i="5"/>
  <c r="PC77" i="5"/>
  <c r="PB111" i="5"/>
  <c r="OZ111" i="5"/>
  <c r="PA21" i="5"/>
  <c r="OV73" i="5"/>
  <c r="PB37" i="5"/>
  <c r="OZ37" i="5"/>
  <c r="PB83" i="5"/>
  <c r="OZ83" i="5"/>
  <c r="PE32" i="5"/>
  <c r="PC32" i="5"/>
  <c r="OX55" i="5"/>
  <c r="OV55" i="5"/>
  <c r="OX106" i="5"/>
  <c r="PG106" i="5"/>
  <c r="OZ21" i="5"/>
  <c r="PG73" i="5"/>
  <c r="OX37" i="5"/>
  <c r="OV37" i="5"/>
  <c r="OX83" i="5"/>
  <c r="OV83" i="5"/>
  <c r="PA32" i="5"/>
  <c r="OY32" i="5"/>
  <c r="OT55" i="5"/>
  <c r="PE106" i="5"/>
  <c r="PC106" i="5"/>
  <c r="OS83" i="5"/>
  <c r="OJ83" i="5"/>
  <c r="PG41" i="5"/>
  <c r="PA77" i="5"/>
  <c r="OU77" i="5"/>
  <c r="OT111" i="5"/>
  <c r="OV21" i="5"/>
  <c r="PC73" i="5"/>
  <c r="OT37" i="5"/>
  <c r="PG37" i="5"/>
  <c r="OT83" i="5"/>
  <c r="OW32" i="5"/>
  <c r="OU32" i="5"/>
  <c r="PG55" i="5"/>
  <c r="PE55" i="5"/>
  <c r="PA106" i="5"/>
  <c r="OY106" i="5"/>
  <c r="OB83" i="5"/>
  <c r="OF83" i="5"/>
  <c r="PE41" i="5"/>
  <c r="PC41" i="5"/>
  <c r="PH77" i="5"/>
  <c r="PF77" i="5"/>
  <c r="OY111" i="5"/>
  <c r="PE111" i="5"/>
  <c r="PG21" i="5"/>
  <c r="OU73" i="5"/>
  <c r="PE37" i="5"/>
  <c r="PC37" i="5"/>
  <c r="PC83" i="5"/>
  <c r="PE83" i="5"/>
  <c r="PH32" i="5"/>
  <c r="PF32" i="5"/>
  <c r="PC55" i="5"/>
  <c r="PA55" i="5"/>
  <c r="OW106" i="5"/>
  <c r="OU106" i="5"/>
  <c r="OE83" i="5"/>
  <c r="CJ83" i="5" s="1"/>
  <c r="OQ83" i="5"/>
  <c r="PH7" i="5"/>
  <c r="PA41" i="5"/>
  <c r="OY41" i="5"/>
  <c r="PD77" i="5"/>
  <c r="PB77" i="5"/>
  <c r="OU111" i="5"/>
  <c r="PA111" i="5"/>
  <c r="OY21" i="5"/>
  <c r="OT73" i="5"/>
  <c r="PA37" i="5"/>
  <c r="OY37" i="5"/>
  <c r="OY83" i="5"/>
  <c r="PA83" i="5"/>
  <c r="PD32" i="5"/>
  <c r="PB32" i="5"/>
  <c r="OY55" i="5"/>
  <c r="OW55" i="5"/>
  <c r="PH106" i="5"/>
  <c r="OO83" i="5"/>
  <c r="OM83" i="5"/>
  <c r="PG7" i="5"/>
  <c r="OW41" i="5"/>
  <c r="OU41" i="5"/>
  <c r="CJ41" i="5" s="1"/>
  <c r="OZ77" i="5"/>
  <c r="PG111" i="5"/>
  <c r="OW111" i="5"/>
  <c r="PB21" i="5"/>
  <c r="OW37" i="5"/>
  <c r="OU37" i="5"/>
  <c r="OU83" i="5"/>
  <c r="OW83" i="5"/>
  <c r="OZ32" i="5"/>
  <c r="OX32" i="5"/>
  <c r="OU55" i="5"/>
  <c r="PH55" i="5"/>
  <c r="OT106" i="5"/>
  <c r="PD106" i="5"/>
  <c r="CJ196" i="5"/>
  <c r="OY122" i="5"/>
  <c r="CJ122" i="5"/>
  <c r="PG46" i="5"/>
  <c r="CJ46" i="5"/>
  <c r="PG100" i="5"/>
  <c r="PE100" i="5"/>
  <c r="PE58" i="5"/>
  <c r="PC58" i="5"/>
  <c r="OV69" i="5"/>
  <c r="OT69" i="5"/>
  <c r="PD116" i="5"/>
  <c r="PF116" i="5"/>
  <c r="PC100" i="5"/>
  <c r="PA100" i="5"/>
  <c r="PA58" i="5"/>
  <c r="OY58" i="5"/>
  <c r="PG69" i="5"/>
  <c r="OZ116" i="5"/>
  <c r="PB116" i="5"/>
  <c r="OW58" i="5"/>
  <c r="OU58" i="5"/>
  <c r="PE69" i="5"/>
  <c r="PC69" i="5"/>
  <c r="OV116" i="5"/>
  <c r="OX116" i="5"/>
  <c r="PA46" i="5"/>
  <c r="OU100" i="5"/>
  <c r="PH58" i="5"/>
  <c r="PA69" i="5"/>
  <c r="OY69" i="5"/>
  <c r="PH116" i="5"/>
  <c r="OT116" i="5"/>
  <c r="PD100" i="5"/>
  <c r="PF100" i="5"/>
  <c r="OT58" i="5"/>
  <c r="PD58" i="5"/>
  <c r="OW69" i="5"/>
  <c r="OU69" i="5"/>
  <c r="PG116" i="5"/>
  <c r="PE116" i="5"/>
  <c r="OZ100" i="5"/>
  <c r="PB100" i="5"/>
  <c r="PF58" i="5"/>
  <c r="OZ58" i="5"/>
  <c r="PH69" i="5"/>
  <c r="PF69" i="5"/>
  <c r="PC116" i="5"/>
  <c r="PA116" i="5"/>
  <c r="OV100" i="5"/>
  <c r="OX100" i="5"/>
  <c r="PB58" i="5"/>
  <c r="OV58" i="5"/>
  <c r="PD69" i="5"/>
  <c r="PB69" i="5"/>
  <c r="OY116" i="5"/>
  <c r="OW116" i="5"/>
  <c r="OC11" i="5"/>
  <c r="OJ11" i="5"/>
  <c r="OC102" i="5"/>
  <c r="OH102" i="5"/>
  <c r="OF102" i="5"/>
  <c r="OZ27" i="5"/>
  <c r="OX27" i="5"/>
  <c r="OX51" i="5"/>
  <c r="OV51" i="5"/>
  <c r="OT114" i="5"/>
  <c r="OV114" i="5"/>
  <c r="OY18" i="5"/>
  <c r="OW18" i="5"/>
  <c r="PH66" i="5"/>
  <c r="OZ11" i="5"/>
  <c r="OX11" i="5"/>
  <c r="OT63" i="5"/>
  <c r="PE102" i="5"/>
  <c r="PC102" i="5"/>
  <c r="PF82" i="5"/>
  <c r="PG82" i="5"/>
  <c r="PD85" i="5"/>
  <c r="PB85" i="5"/>
  <c r="PD117" i="5"/>
  <c r="PB117" i="5"/>
  <c r="OU120" i="5"/>
  <c r="PH122" i="5"/>
  <c r="OK27" i="5"/>
  <c r="OI27" i="5"/>
  <c r="OQ28" i="5"/>
  <c r="OK28" i="5"/>
  <c r="OO51" i="5"/>
  <c r="OM51" i="5"/>
  <c r="OE67" i="5"/>
  <c r="OF67" i="5"/>
  <c r="OB114" i="5"/>
  <c r="OS114" i="5"/>
  <c r="OQ18" i="5"/>
  <c r="OO18" i="5"/>
  <c r="OD21" i="5"/>
  <c r="ON21" i="5"/>
  <c r="OH21" i="5"/>
  <c r="OC66" i="5"/>
  <c r="OS66" i="5"/>
  <c r="OD73" i="5"/>
  <c r="CJ73" i="5" s="1"/>
  <c r="OR73" i="5"/>
  <c r="OL73" i="5"/>
  <c r="OD63" i="5"/>
  <c r="OR63" i="5"/>
  <c r="OL63" i="5"/>
  <c r="OS71" i="5"/>
  <c r="OI71" i="5"/>
  <c r="OK103" i="5"/>
  <c r="OR103" i="5"/>
  <c r="OL103" i="5"/>
  <c r="OB11" i="5"/>
  <c r="OF11" i="5"/>
  <c r="OI102" i="5"/>
  <c r="OS102" i="5"/>
  <c r="OV27" i="5"/>
  <c r="OT27" i="5"/>
  <c r="PD28" i="5"/>
  <c r="PB28" i="5"/>
  <c r="OT51" i="5"/>
  <c r="PC67" i="5"/>
  <c r="PE67" i="5"/>
  <c r="PF114" i="5"/>
  <c r="PG114" i="5"/>
  <c r="OU18" i="5"/>
  <c r="PH18" i="5"/>
  <c r="PE21" i="5"/>
  <c r="PC21" i="5"/>
  <c r="PB66" i="5"/>
  <c r="PD66" i="5"/>
  <c r="PA73" i="5"/>
  <c r="OY73" i="5"/>
  <c r="OV11" i="5"/>
  <c r="OT11" i="5"/>
  <c r="OY63" i="5"/>
  <c r="PE63" i="5"/>
  <c r="PC71" i="5"/>
  <c r="PA71" i="5"/>
  <c r="PA102" i="5"/>
  <c r="OY102" i="5"/>
  <c r="OX103" i="5"/>
  <c r="OV103" i="5"/>
  <c r="PE82" i="5"/>
  <c r="PC82" i="5"/>
  <c r="OZ85" i="5"/>
  <c r="OX85" i="5"/>
  <c r="OZ117" i="5"/>
  <c r="OX117" i="5"/>
  <c r="PH120" i="5"/>
  <c r="PF120" i="5"/>
  <c r="OQ114" i="5"/>
  <c r="OO114" i="5"/>
  <c r="OE18" i="5"/>
  <c r="OK18" i="5"/>
  <c r="OB66" i="5"/>
  <c r="OO66" i="5"/>
  <c r="OC63" i="5"/>
  <c r="CJ63" i="5" s="1"/>
  <c r="ON63" i="5"/>
  <c r="OH63" i="5"/>
  <c r="OE11" i="5"/>
  <c r="OQ11" i="5"/>
  <c r="OB102" i="5"/>
  <c r="CJ102" i="5" s="1"/>
  <c r="OO102" i="5"/>
  <c r="PG27" i="5"/>
  <c r="PE27" i="5"/>
  <c r="PC51" i="5"/>
  <c r="PE51" i="5"/>
  <c r="PE114" i="5"/>
  <c r="PC114" i="5"/>
  <c r="PF18" i="5"/>
  <c r="PD18" i="5"/>
  <c r="OX66" i="5"/>
  <c r="OZ66" i="5"/>
  <c r="PG11" i="5"/>
  <c r="PE11" i="5"/>
  <c r="OU63" i="5"/>
  <c r="PA63" i="5"/>
  <c r="OY71" i="5"/>
  <c r="OW71" i="5"/>
  <c r="OW102" i="5"/>
  <c r="OU102" i="5"/>
  <c r="OT103" i="5"/>
  <c r="PA82" i="5"/>
  <c r="OY82" i="5"/>
  <c r="OV85" i="5"/>
  <c r="OT85" i="5"/>
  <c r="OV117" i="5"/>
  <c r="OT117" i="5"/>
  <c r="PD120" i="5"/>
  <c r="PB120" i="5"/>
  <c r="OD27" i="5"/>
  <c r="OR27" i="5"/>
  <c r="OL27" i="5"/>
  <c r="OG51" i="5"/>
  <c r="OP51" i="5"/>
  <c r="OE114" i="5"/>
  <c r="OK114" i="5"/>
  <c r="OM18" i="5"/>
  <c r="OG18" i="5"/>
  <c r="OB21" i="5"/>
  <c r="OF21" i="5"/>
  <c r="OE66" i="5"/>
  <c r="OK66" i="5"/>
  <c r="OB73" i="5"/>
  <c r="OJ73" i="5"/>
  <c r="OB63" i="5"/>
  <c r="OJ63" i="5"/>
  <c r="OK71" i="5"/>
  <c r="OR71" i="5"/>
  <c r="OL71" i="5"/>
  <c r="OC103" i="5"/>
  <c r="OJ103" i="5"/>
  <c r="OO11" i="5"/>
  <c r="OM11" i="5"/>
  <c r="OE102" i="5"/>
  <c r="OK102" i="5"/>
  <c r="PC27" i="5"/>
  <c r="PA27" i="5"/>
  <c r="OV28" i="5"/>
  <c r="OT28" i="5"/>
  <c r="OY51" i="5"/>
  <c r="PA51" i="5"/>
  <c r="OU67" i="5"/>
  <c r="OW67" i="5"/>
  <c r="PA114" i="5"/>
  <c r="OY114" i="5"/>
  <c r="PB18" i="5"/>
  <c r="OZ18" i="5"/>
  <c r="OW21" i="5"/>
  <c r="OU21" i="5"/>
  <c r="OT66" i="5"/>
  <c r="OV66" i="5"/>
  <c r="PH73" i="5"/>
  <c r="PF73" i="5"/>
  <c r="PC11" i="5"/>
  <c r="PA11" i="5"/>
  <c r="PG63" i="5"/>
  <c r="OW63" i="5"/>
  <c r="OU71" i="5"/>
  <c r="PH71" i="5"/>
  <c r="PH102" i="5"/>
  <c r="PG103" i="5"/>
  <c r="PE103" i="5"/>
  <c r="OW82" i="5"/>
  <c r="OU82" i="5"/>
  <c r="PG85" i="5"/>
  <c r="PG117" i="5"/>
  <c r="OZ120" i="5"/>
  <c r="OX120" i="5"/>
  <c r="OC27" i="5"/>
  <c r="ON27" i="5"/>
  <c r="OH27" i="5"/>
  <c r="CJ27" i="5" s="1"/>
  <c r="OP28" i="5"/>
  <c r="ON28" i="5"/>
  <c r="OD51" i="5"/>
  <c r="OR51" i="5"/>
  <c r="OL51" i="5"/>
  <c r="OK67" i="5"/>
  <c r="OI67" i="5"/>
  <c r="OM114" i="5"/>
  <c r="OG114" i="5"/>
  <c r="OI18" i="5"/>
  <c r="OR18" i="5"/>
  <c r="OE21" i="5"/>
  <c r="OQ21" i="5"/>
  <c r="OM66" i="5"/>
  <c r="OG66" i="5"/>
  <c r="OO73" i="5"/>
  <c r="OF73" i="5"/>
  <c r="OE63" i="5"/>
  <c r="OF63" i="5"/>
  <c r="OD71" i="5"/>
  <c r="ON71" i="5"/>
  <c r="OH71" i="5"/>
  <c r="OB103" i="5"/>
  <c r="OF103" i="5"/>
  <c r="OK11" i="5"/>
  <c r="OI11" i="5"/>
  <c r="OQ102" i="5"/>
  <c r="OG102" i="5"/>
  <c r="OY27" i="5"/>
  <c r="OW27" i="5"/>
  <c r="PG28" i="5"/>
  <c r="OU51" i="5"/>
  <c r="OW51" i="5"/>
  <c r="PG67" i="5"/>
  <c r="PH67" i="5"/>
  <c r="OW114" i="5"/>
  <c r="OU114" i="5"/>
  <c r="OX18" i="5"/>
  <c r="OV18" i="5"/>
  <c r="PH21" i="5"/>
  <c r="PF66" i="5"/>
  <c r="PG66" i="5"/>
  <c r="PD73" i="5"/>
  <c r="PB73" i="5"/>
  <c r="OY11" i="5"/>
  <c r="OW11" i="5"/>
  <c r="PC63" i="5"/>
  <c r="PH63" i="5"/>
  <c r="PF71" i="5"/>
  <c r="PD71" i="5"/>
  <c r="PF102" i="5"/>
  <c r="PD102" i="5"/>
  <c r="PC103" i="5"/>
  <c r="PA103" i="5"/>
  <c r="PH82" i="5"/>
  <c r="PE85" i="5"/>
  <c r="PC85" i="5"/>
  <c r="PE117" i="5"/>
  <c r="PC117" i="5"/>
  <c r="OV120" i="5"/>
  <c r="OT120" i="5"/>
  <c r="OB27" i="5"/>
  <c r="OJ27" i="5"/>
  <c r="OC51" i="5"/>
  <c r="ON51" i="5"/>
  <c r="OH51" i="5"/>
  <c r="OI114" i="5"/>
  <c r="OR114" i="5"/>
  <c r="OP18" i="5"/>
  <c r="ON18" i="5"/>
  <c r="OS21" i="5"/>
  <c r="OM21" i="5"/>
  <c r="OI66" i="5"/>
  <c r="OR66" i="5"/>
  <c r="OE73" i="5"/>
  <c r="OQ73" i="5"/>
  <c r="OK63" i="5"/>
  <c r="OQ63" i="5"/>
  <c r="OC71" i="5"/>
  <c r="OJ71" i="5"/>
  <c r="OE103" i="5"/>
  <c r="OQ103" i="5"/>
  <c r="OG11" i="5"/>
  <c r="OP11" i="5"/>
  <c r="OM102" i="5"/>
  <c r="OR102" i="5"/>
  <c r="OU27" i="5"/>
  <c r="PE28" i="5"/>
  <c r="PC28" i="5"/>
  <c r="PG51" i="5"/>
  <c r="PH51" i="5"/>
  <c r="PF67" i="5"/>
  <c r="PH114" i="5"/>
  <c r="OT18" i="5"/>
  <c r="PF21" i="5"/>
  <c r="PD21" i="5"/>
  <c r="PE66" i="5"/>
  <c r="PC66" i="5"/>
  <c r="OZ73" i="5"/>
  <c r="OX73" i="5"/>
  <c r="OU11" i="5"/>
  <c r="PF63" i="5"/>
  <c r="PD63" i="5"/>
  <c r="PB71" i="5"/>
  <c r="OZ71" i="5"/>
  <c r="PB102" i="5"/>
  <c r="OZ102" i="5"/>
  <c r="OY103" i="5"/>
  <c r="OW103" i="5"/>
  <c r="PB82" i="5"/>
  <c r="PD82" i="5"/>
  <c r="PA85" i="5"/>
  <c r="OY85" i="5"/>
  <c r="PD105" i="5"/>
  <c r="PA117" i="5"/>
  <c r="OY117" i="5"/>
  <c r="PG120" i="5"/>
  <c r="PE120" i="5"/>
  <c r="OT7" i="5"/>
  <c r="OZ13" i="5"/>
  <c r="OY61" i="5"/>
  <c r="PA87" i="5"/>
  <c r="OZ46" i="5"/>
  <c r="OZ98" i="5"/>
  <c r="OY5" i="5"/>
  <c r="PF36" i="5"/>
  <c r="PF97" i="5"/>
  <c r="PG122" i="5"/>
  <c r="PB24" i="5"/>
  <c r="PE48" i="5"/>
  <c r="PC74" i="5"/>
  <c r="OM24" i="5"/>
  <c r="CJ24" i="5" s="1"/>
  <c r="OL24" i="5"/>
  <c r="OR24" i="5"/>
  <c r="OC48" i="5"/>
  <c r="OL48" i="5"/>
  <c r="OR48" i="5"/>
  <c r="OQ74" i="5"/>
  <c r="OL74" i="5"/>
  <c r="OR74" i="5"/>
  <c r="OB113" i="5"/>
  <c r="OR113" i="5"/>
  <c r="OI113" i="5"/>
  <c r="OB13" i="5"/>
  <c r="OR13" i="5"/>
  <c r="OI13" i="5"/>
  <c r="OG61" i="5"/>
  <c r="OR61" i="5"/>
  <c r="OI61" i="5"/>
  <c r="OB87" i="5"/>
  <c r="OR87" i="5"/>
  <c r="OI87" i="5"/>
  <c r="OB46" i="5"/>
  <c r="OL46" i="5"/>
  <c r="OR46" i="5"/>
  <c r="OQ98" i="5"/>
  <c r="OP98" i="5"/>
  <c r="OG98" i="5"/>
  <c r="PA24" i="5"/>
  <c r="PG24" i="5"/>
  <c r="OX24" i="5"/>
  <c r="OV48" i="5"/>
  <c r="OU48" i="5"/>
  <c r="PA48" i="5"/>
  <c r="PF74" i="5"/>
  <c r="PH74" i="5"/>
  <c r="OY74" i="5"/>
  <c r="OW113" i="5"/>
  <c r="PG113" i="5"/>
  <c r="OX113" i="5"/>
  <c r="PE13" i="5"/>
  <c r="OV13" i="5"/>
  <c r="PD61" i="5"/>
  <c r="OU61" i="5"/>
  <c r="PF87" i="5"/>
  <c r="OW87" i="5"/>
  <c r="PE46" i="5"/>
  <c r="OV46" i="5"/>
  <c r="PE98" i="5"/>
  <c r="OV98" i="5"/>
  <c r="OW5" i="5"/>
  <c r="PE36" i="5"/>
  <c r="OV36" i="5"/>
  <c r="PB36" i="5"/>
  <c r="PA97" i="5"/>
  <c r="OV97" i="5"/>
  <c r="PB97" i="5"/>
  <c r="PH105" i="5"/>
  <c r="OY105" i="5"/>
  <c r="OT122" i="5"/>
  <c r="OW122" i="5"/>
  <c r="PC122" i="5"/>
  <c r="OE24" i="5"/>
  <c r="OS24" i="5"/>
  <c r="OJ24" i="5"/>
  <c r="OE48" i="5"/>
  <c r="OS48" i="5"/>
  <c r="OJ48" i="5"/>
  <c r="OE74" i="5"/>
  <c r="OS74" i="5"/>
  <c r="OJ74" i="5"/>
  <c r="OO113" i="5"/>
  <c r="OJ113" i="5"/>
  <c r="OL113" i="5"/>
  <c r="OG13" i="5"/>
  <c r="OJ13" i="5"/>
  <c r="OL13" i="5"/>
  <c r="OE61" i="5"/>
  <c r="OJ61" i="5"/>
  <c r="CJ61" i="5" s="1"/>
  <c r="OL61" i="5"/>
  <c r="OE87" i="5"/>
  <c r="OJ87" i="5"/>
  <c r="OL87" i="5"/>
  <c r="OE46" i="5"/>
  <c r="OS46" i="5"/>
  <c r="OJ46" i="5"/>
  <c r="OB98" i="5"/>
  <c r="OH98" i="5"/>
  <c r="ON98" i="5"/>
  <c r="PH24" i="5"/>
  <c r="OY24" i="5"/>
  <c r="PD48" i="5"/>
  <c r="PB48" i="5"/>
  <c r="OX74" i="5"/>
  <c r="OZ74" i="5"/>
  <c r="PH113" i="5"/>
  <c r="OY113" i="5"/>
  <c r="PF13" i="5"/>
  <c r="OW13" i="5"/>
  <c r="PC13" i="5"/>
  <c r="OW61" i="5"/>
  <c r="OV61" i="5"/>
  <c r="PB61" i="5"/>
  <c r="PG87" i="5"/>
  <c r="OX87" i="5"/>
  <c r="PD87" i="5"/>
  <c r="OX46" i="5"/>
  <c r="OW46" i="5"/>
  <c r="PC46" i="5"/>
  <c r="PB98" i="5"/>
  <c r="OW98" i="5"/>
  <c r="PC98" i="5"/>
  <c r="OU5" i="5"/>
  <c r="OW36" i="5"/>
  <c r="PC36" i="5"/>
  <c r="OT36" i="5"/>
  <c r="PE97" i="5"/>
  <c r="PC97" i="5"/>
  <c r="OT97" i="5"/>
  <c r="OZ105" i="5"/>
  <c r="PF105" i="5"/>
  <c r="PB122" i="5"/>
  <c r="PD122" i="5"/>
  <c r="OU122" i="5"/>
  <c r="OI24" i="5"/>
  <c r="OO24" i="5"/>
  <c r="OF24" i="5"/>
  <c r="OI48" i="5"/>
  <c r="OO48" i="5"/>
  <c r="OF48" i="5"/>
  <c r="CJ48" i="5" s="1"/>
  <c r="OM74" i="5"/>
  <c r="OO74" i="5"/>
  <c r="OF74" i="5"/>
  <c r="OK113" i="5"/>
  <c r="OF113" i="5"/>
  <c r="OH113" i="5"/>
  <c r="CJ113" i="5" s="1"/>
  <c r="OS13" i="5"/>
  <c r="OF13" i="5"/>
  <c r="OH13" i="5"/>
  <c r="OS61" i="5"/>
  <c r="OF61" i="5"/>
  <c r="OH61" i="5"/>
  <c r="OG87" i="5"/>
  <c r="CJ87" i="5" s="1"/>
  <c r="OF87" i="5"/>
  <c r="OH87" i="5"/>
  <c r="OQ46" i="5"/>
  <c r="OO46" i="5"/>
  <c r="OF46" i="5"/>
  <c r="OE98" i="5"/>
  <c r="OS98" i="5"/>
  <c r="OJ98" i="5"/>
  <c r="PD24" i="5"/>
  <c r="OU24" i="5"/>
  <c r="PG48" i="5"/>
  <c r="OX48" i="5"/>
  <c r="PE74" i="5"/>
  <c r="OV74" i="5"/>
  <c r="PD113" i="5"/>
  <c r="OU113" i="5"/>
  <c r="PB13" i="5"/>
  <c r="PH13" i="5"/>
  <c r="OY13" i="5"/>
  <c r="PE61" i="5"/>
  <c r="PG61" i="5"/>
  <c r="OX61" i="5"/>
  <c r="PC87" i="5"/>
  <c r="OT87" i="5"/>
  <c r="OZ87" i="5"/>
  <c r="OT46" i="5"/>
  <c r="PH46" i="5"/>
  <c r="OY46" i="5"/>
  <c r="OX98" i="5"/>
  <c r="PH98" i="5"/>
  <c r="OY98" i="5"/>
  <c r="PH36" i="5"/>
  <c r="OY36" i="5"/>
  <c r="PH97" i="5"/>
  <c r="OY97" i="5"/>
  <c r="PE105" i="5"/>
  <c r="OV105" i="5"/>
  <c r="PB105" i="5"/>
  <c r="OX122" i="5"/>
  <c r="OZ122" i="5"/>
  <c r="OD24" i="5"/>
  <c r="OQ24" i="5"/>
  <c r="OK24" i="5"/>
  <c r="OD48" i="5"/>
  <c r="OQ48" i="5"/>
  <c r="OK48" i="5"/>
  <c r="OD74" i="5"/>
  <c r="OI74" i="5"/>
  <c r="CJ74" i="5" s="1"/>
  <c r="OK74" i="5"/>
  <c r="OD113" i="5"/>
  <c r="OG113" i="5"/>
  <c r="OQ113" i="5"/>
  <c r="OD13" i="5"/>
  <c r="OO13" i="5"/>
  <c r="OQ13" i="5"/>
  <c r="OD61" i="5"/>
  <c r="OO61" i="5"/>
  <c r="OQ61" i="5"/>
  <c r="OD87" i="5"/>
  <c r="OS87" i="5"/>
  <c r="OQ87" i="5"/>
  <c r="OD46" i="5"/>
  <c r="OM46" i="5"/>
  <c r="OK46" i="5"/>
  <c r="OM98" i="5"/>
  <c r="OO98" i="5"/>
  <c r="OF98" i="5"/>
  <c r="OZ24" i="5"/>
  <c r="PF24" i="5"/>
  <c r="PC48" i="5"/>
  <c r="OT48" i="5"/>
  <c r="PA74" i="5"/>
  <c r="PG74" i="5"/>
  <c r="OZ113" i="5"/>
  <c r="PF113" i="5"/>
  <c r="OX13" i="5"/>
  <c r="PD13" i="5"/>
  <c r="OU13" i="5"/>
  <c r="PA61" i="5"/>
  <c r="PC61" i="5"/>
  <c r="OT61" i="5"/>
  <c r="OY87" i="5"/>
  <c r="PE87" i="5"/>
  <c r="OV87" i="5"/>
  <c r="PF46" i="5"/>
  <c r="PD46" i="5"/>
  <c r="OU46" i="5"/>
  <c r="OT98" i="5"/>
  <c r="PD98" i="5"/>
  <c r="OU98" i="5"/>
  <c r="PD36" i="5"/>
  <c r="OU36" i="5"/>
  <c r="PD97" i="5"/>
  <c r="OU97" i="5"/>
  <c r="PA105" i="5"/>
  <c r="PG105" i="5"/>
  <c r="OX105" i="5"/>
  <c r="PE122" i="5"/>
  <c r="OV122" i="5"/>
  <c r="OC24" i="5"/>
  <c r="OP24" i="5"/>
  <c r="OG24" i="5"/>
  <c r="OM48" i="5"/>
  <c r="OP48" i="5"/>
  <c r="OG48" i="5"/>
  <c r="OC74" i="5"/>
  <c r="OP74" i="5"/>
  <c r="OG74" i="5"/>
  <c r="OC113" i="5"/>
  <c r="OS113" i="5"/>
  <c r="OM113" i="5"/>
  <c r="OC13" i="5"/>
  <c r="OK13" i="5"/>
  <c r="OM13" i="5"/>
  <c r="OC61" i="5"/>
  <c r="OK61" i="5"/>
  <c r="OM61" i="5"/>
  <c r="OC87" i="5"/>
  <c r="OO87" i="5"/>
  <c r="OM87" i="5"/>
  <c r="OC46" i="5"/>
  <c r="OP46" i="5"/>
  <c r="OG46" i="5"/>
  <c r="OD98" i="5"/>
  <c r="OI98" i="5"/>
  <c r="OK98" i="5"/>
  <c r="PE24" i="5"/>
  <c r="OV24" i="5"/>
  <c r="OZ48" i="5"/>
  <c r="OY48" i="5"/>
  <c r="OT74" i="5"/>
  <c r="OW74" i="5"/>
  <c r="PA113" i="5"/>
  <c r="OV113" i="5"/>
  <c r="OT13" i="5"/>
  <c r="PH61" i="5"/>
  <c r="OU87" i="5"/>
  <c r="PB46" i="5"/>
  <c r="PF98" i="5"/>
  <c r="OX5" i="5"/>
  <c r="OZ36" i="5"/>
  <c r="OZ97" i="5"/>
  <c r="OW105" i="5"/>
  <c r="PC105" i="5"/>
  <c r="PA122" i="5"/>
  <c r="OA7" i="5"/>
  <c r="OD7" i="5"/>
  <c r="OE7" i="5"/>
  <c r="OR7" i="5"/>
  <c r="OQ7" i="5"/>
  <c r="OL7" i="5"/>
  <c r="PD7" i="5"/>
  <c r="PC7" i="5"/>
  <c r="PB7" i="5"/>
  <c r="PA7" i="5"/>
  <c r="OK7" i="5"/>
  <c r="OG7" i="5"/>
  <c r="ON7" i="5"/>
  <c r="OM7" i="5"/>
  <c r="OH7" i="5"/>
  <c r="OZ7" i="5"/>
  <c r="OY7" i="5"/>
  <c r="OX7" i="5"/>
  <c r="OW7" i="5"/>
  <c r="OC7" i="5"/>
  <c r="OS7" i="5"/>
  <c r="OJ7" i="5"/>
  <c r="OI7" i="5"/>
  <c r="OV7" i="5"/>
  <c r="OU7" i="5"/>
  <c r="OI4" i="5"/>
  <c r="OR4" i="5"/>
  <c r="OX4" i="5"/>
  <c r="OA4" i="5"/>
  <c r="OD5" i="5"/>
  <c r="OE5" i="5"/>
  <c r="OR5" i="5"/>
  <c r="OQ5" i="5"/>
  <c r="OL5" i="5"/>
  <c r="OB4" i="5"/>
  <c r="OS4" i="5"/>
  <c r="PA4" i="5"/>
  <c r="OZ4" i="5"/>
  <c r="OY4" i="5"/>
  <c r="OT5" i="5"/>
  <c r="PH5" i="5"/>
  <c r="PG5" i="5"/>
  <c r="OC5" i="5"/>
  <c r="OS5" i="5"/>
  <c r="ON5" i="5"/>
  <c r="OM5" i="5"/>
  <c r="OH5" i="5"/>
  <c r="OE4" i="5"/>
  <c r="OP4" i="5"/>
  <c r="OO4" i="5"/>
  <c r="ON4" i="5"/>
  <c r="OW4" i="5"/>
  <c r="OV4" i="5"/>
  <c r="OU4" i="5"/>
  <c r="OT4" i="5"/>
  <c r="PF5" i="5"/>
  <c r="PE5" i="5"/>
  <c r="PD5" i="5"/>
  <c r="PC5" i="5"/>
  <c r="OB5" i="5"/>
  <c r="OO5" i="5"/>
  <c r="OJ5" i="5"/>
  <c r="OI5" i="5"/>
  <c r="OD4" i="5"/>
  <c r="OQ4" i="5"/>
  <c r="OL4" i="5"/>
  <c r="OK4" i="5"/>
  <c r="OJ4" i="5"/>
  <c r="PH4" i="5"/>
  <c r="PG4" i="5"/>
  <c r="PF4" i="5"/>
  <c r="PB5" i="5"/>
  <c r="PA5" i="5"/>
  <c r="OZ5" i="5"/>
  <c r="QT8" i="5"/>
  <c r="QX8" i="5"/>
  <c r="RB8" i="5"/>
  <c r="RF8" i="5"/>
  <c r="RJ8" i="5"/>
  <c r="RN8" i="5"/>
  <c r="RR8" i="5"/>
  <c r="QU8" i="5"/>
  <c r="QY8" i="5"/>
  <c r="RC8" i="5"/>
  <c r="RG8" i="5"/>
  <c r="RK8" i="5"/>
  <c r="CQ8" i="5" s="1"/>
  <c r="RO8" i="5"/>
  <c r="RS8" i="5"/>
  <c r="QV8" i="5"/>
  <c r="QZ8" i="5"/>
  <c r="RD8" i="5"/>
  <c r="RH8" i="5"/>
  <c r="RL8" i="5"/>
  <c r="RP8" i="5"/>
  <c r="RT8" i="5"/>
  <c r="RE8" i="5"/>
  <c r="RU8" i="5"/>
  <c r="RI8" i="5"/>
  <c r="RM8" i="5"/>
  <c r="RQ8" i="5"/>
  <c r="QW8" i="5"/>
  <c r="RA8" i="5"/>
  <c r="QW24" i="5"/>
  <c r="RA24" i="5"/>
  <c r="RE24" i="5"/>
  <c r="RI24" i="5"/>
  <c r="RM24" i="5"/>
  <c r="RQ24" i="5"/>
  <c r="RU24" i="5"/>
  <c r="QT24" i="5"/>
  <c r="QX24" i="5"/>
  <c r="RB24" i="5"/>
  <c r="QU24" i="5"/>
  <c r="RC24" i="5"/>
  <c r="RH24" i="5"/>
  <c r="RN24" i="5"/>
  <c r="RS24" i="5"/>
  <c r="CQ24" i="5" s="1"/>
  <c r="QV24" i="5"/>
  <c r="RD24" i="5"/>
  <c r="RJ24" i="5"/>
  <c r="RO24" i="5"/>
  <c r="RT24" i="5"/>
  <c r="QY24" i="5"/>
  <c r="RF24" i="5"/>
  <c r="RK24" i="5"/>
  <c r="RP24" i="5"/>
  <c r="RL24" i="5"/>
  <c r="RR24" i="5"/>
  <c r="QZ24" i="5"/>
  <c r="RG24" i="5"/>
  <c r="QW32" i="5"/>
  <c r="RA32" i="5"/>
  <c r="RE32" i="5"/>
  <c r="RI32" i="5"/>
  <c r="RM32" i="5"/>
  <c r="RQ32" i="5"/>
  <c r="RU32" i="5"/>
  <c r="QT32" i="5"/>
  <c r="QY32" i="5"/>
  <c r="RD32" i="5"/>
  <c r="RJ32" i="5"/>
  <c r="RO32" i="5"/>
  <c r="RT32" i="5"/>
  <c r="QU32" i="5"/>
  <c r="QZ32" i="5"/>
  <c r="RF32" i="5"/>
  <c r="RK32" i="5"/>
  <c r="RP32" i="5"/>
  <c r="QV32" i="5"/>
  <c r="RB32" i="5"/>
  <c r="RG32" i="5"/>
  <c r="RL32" i="5"/>
  <c r="RR32" i="5"/>
  <c r="QX32" i="5"/>
  <c r="RS32" i="5"/>
  <c r="CQ32" i="5" s="1"/>
  <c r="RC32" i="5"/>
  <c r="RH32" i="5"/>
  <c r="RN32" i="5"/>
  <c r="QW36" i="5"/>
  <c r="RA36" i="5"/>
  <c r="RE36" i="5"/>
  <c r="RI36" i="5"/>
  <c r="RM36" i="5"/>
  <c r="CQ36" i="5" s="1"/>
  <c r="RQ36" i="5"/>
  <c r="RU36" i="5"/>
  <c r="QT36" i="5"/>
  <c r="QY36" i="5"/>
  <c r="RD36" i="5"/>
  <c r="RJ36" i="5"/>
  <c r="RO36" i="5"/>
  <c r="RT36" i="5"/>
  <c r="QU36" i="5"/>
  <c r="QZ36" i="5"/>
  <c r="RF36" i="5"/>
  <c r="RK36" i="5"/>
  <c r="RP36" i="5"/>
  <c r="QV36" i="5"/>
  <c r="RB36" i="5"/>
  <c r="RG36" i="5"/>
  <c r="RL36" i="5"/>
  <c r="RR36" i="5"/>
  <c r="RN36" i="5"/>
  <c r="QX36" i="5"/>
  <c r="RS36" i="5"/>
  <c r="RC36" i="5"/>
  <c r="RH36" i="5"/>
  <c r="QW40" i="5"/>
  <c r="RA40" i="5"/>
  <c r="RE40" i="5"/>
  <c r="RI40" i="5"/>
  <c r="RM40" i="5"/>
  <c r="RQ40" i="5"/>
  <c r="RU40" i="5"/>
  <c r="QT40" i="5"/>
  <c r="QY40" i="5"/>
  <c r="RD40" i="5"/>
  <c r="RJ40" i="5"/>
  <c r="RO40" i="5"/>
  <c r="RT40" i="5"/>
  <c r="QU40" i="5"/>
  <c r="QZ40" i="5"/>
  <c r="CQ40" i="5" s="1"/>
  <c r="RF40" i="5"/>
  <c r="RK40" i="5"/>
  <c r="RP40" i="5"/>
  <c r="QV40" i="5"/>
  <c r="RB40" i="5"/>
  <c r="RG40" i="5"/>
  <c r="RL40" i="5"/>
  <c r="RR40" i="5"/>
  <c r="RH40" i="5"/>
  <c r="RN40" i="5"/>
  <c r="QX40" i="5"/>
  <c r="RS40" i="5"/>
  <c r="RC40" i="5"/>
  <c r="QT48" i="5"/>
  <c r="QX48" i="5"/>
  <c r="RB48" i="5"/>
  <c r="RF48" i="5"/>
  <c r="RJ48" i="5"/>
  <c r="RN48" i="5"/>
  <c r="RR48" i="5"/>
  <c r="QV48" i="5"/>
  <c r="RA48" i="5"/>
  <c r="RG48" i="5"/>
  <c r="RL48" i="5"/>
  <c r="RQ48" i="5"/>
  <c r="QW48" i="5"/>
  <c r="RC48" i="5"/>
  <c r="RH48" i="5"/>
  <c r="RM48" i="5"/>
  <c r="RS48" i="5"/>
  <c r="CQ48" i="5" s="1"/>
  <c r="QY48" i="5"/>
  <c r="RD48" i="5"/>
  <c r="RI48" i="5"/>
  <c r="RK48" i="5"/>
  <c r="RU48" i="5"/>
  <c r="QU48" i="5"/>
  <c r="RO48" i="5"/>
  <c r="QZ48" i="5"/>
  <c r="RP48" i="5"/>
  <c r="RE48" i="5"/>
  <c r="RT48" i="5"/>
  <c r="QW56" i="5"/>
  <c r="RA56" i="5"/>
  <c r="RE56" i="5"/>
  <c r="RI56" i="5"/>
  <c r="RM56" i="5"/>
  <c r="CQ56" i="5" s="1"/>
  <c r="RQ56" i="5"/>
  <c r="RU56" i="5"/>
  <c r="QT56" i="5"/>
  <c r="QX56" i="5"/>
  <c r="RB56" i="5"/>
  <c r="RF56" i="5"/>
  <c r="RJ56" i="5"/>
  <c r="RN56" i="5"/>
  <c r="RR56" i="5"/>
  <c r="QZ56" i="5"/>
  <c r="RH56" i="5"/>
  <c r="RP56" i="5"/>
  <c r="QU56" i="5"/>
  <c r="RC56" i="5"/>
  <c r="RK56" i="5"/>
  <c r="RS56" i="5"/>
  <c r="QV56" i="5"/>
  <c r="RD56" i="5"/>
  <c r="RL56" i="5"/>
  <c r="RT56" i="5"/>
  <c r="RG56" i="5"/>
  <c r="RO56" i="5"/>
  <c r="QY56" i="5"/>
  <c r="QW64" i="5"/>
  <c r="RA64" i="5"/>
  <c r="RE64" i="5"/>
  <c r="RI64" i="5"/>
  <c r="RM64" i="5"/>
  <c r="RQ64" i="5"/>
  <c r="RU64" i="5"/>
  <c r="CQ64" i="5" s="1"/>
  <c r="QT64" i="5"/>
  <c r="QX64" i="5"/>
  <c r="RB64" i="5"/>
  <c r="RF64" i="5"/>
  <c r="RJ64" i="5"/>
  <c r="RN64" i="5"/>
  <c r="RR64" i="5"/>
  <c r="QZ64" i="5"/>
  <c r="RH64" i="5"/>
  <c r="RP64" i="5"/>
  <c r="QU64" i="5"/>
  <c r="RC64" i="5"/>
  <c r="RK64" i="5"/>
  <c r="RS64" i="5"/>
  <c r="QV64" i="5"/>
  <c r="RD64" i="5"/>
  <c r="RL64" i="5"/>
  <c r="RT64" i="5"/>
  <c r="RG64" i="5"/>
  <c r="RO64" i="5"/>
  <c r="QY64" i="5"/>
  <c r="QW68" i="5"/>
  <c r="RA68" i="5"/>
  <c r="RE68" i="5"/>
  <c r="RI68" i="5"/>
  <c r="RM68" i="5"/>
  <c r="QT68" i="5"/>
  <c r="QY68" i="5"/>
  <c r="RD68" i="5"/>
  <c r="RJ68" i="5"/>
  <c r="RO68" i="5"/>
  <c r="RS68" i="5"/>
  <c r="QU68" i="5"/>
  <c r="QZ68" i="5"/>
  <c r="RF68" i="5"/>
  <c r="RK68" i="5"/>
  <c r="RP68" i="5"/>
  <c r="RT68" i="5"/>
  <c r="QV68" i="5"/>
  <c r="RB68" i="5"/>
  <c r="RG68" i="5"/>
  <c r="RL68" i="5"/>
  <c r="RQ68" i="5"/>
  <c r="RU68" i="5"/>
  <c r="RN68" i="5"/>
  <c r="QX68" i="5"/>
  <c r="RR68" i="5"/>
  <c r="CQ68" i="5" s="1"/>
  <c r="RC68" i="5"/>
  <c r="RH68" i="5"/>
  <c r="QU76" i="5"/>
  <c r="QY76" i="5"/>
  <c r="RC76" i="5"/>
  <c r="RG76" i="5"/>
  <c r="RK76" i="5"/>
  <c r="RO76" i="5"/>
  <c r="RS76" i="5"/>
  <c r="QV76" i="5"/>
  <c r="QZ76" i="5"/>
  <c r="RD76" i="5"/>
  <c r="RH76" i="5"/>
  <c r="RL76" i="5"/>
  <c r="RP76" i="5"/>
  <c r="RT76" i="5"/>
  <c r="QW76" i="5"/>
  <c r="RA76" i="5"/>
  <c r="RE76" i="5"/>
  <c r="RI76" i="5"/>
  <c r="RM76" i="5"/>
  <c r="RQ76" i="5"/>
  <c r="RU76" i="5"/>
  <c r="QX76" i="5"/>
  <c r="RN76" i="5"/>
  <c r="RB76" i="5"/>
  <c r="RR76" i="5"/>
  <c r="CQ76" i="5" s="1"/>
  <c r="RF76" i="5"/>
  <c r="RJ76" i="5"/>
  <c r="QT76" i="5"/>
  <c r="QW112" i="5"/>
  <c r="RA112" i="5"/>
  <c r="RE112" i="5"/>
  <c r="RI112" i="5"/>
  <c r="RM112" i="5"/>
  <c r="RQ112" i="5"/>
  <c r="RU112" i="5"/>
  <c r="QT112" i="5"/>
  <c r="QX112" i="5"/>
  <c r="RB112" i="5"/>
  <c r="RF112" i="5"/>
  <c r="RJ112" i="5"/>
  <c r="RN112" i="5"/>
  <c r="RR112" i="5"/>
  <c r="QU112" i="5"/>
  <c r="QY112" i="5"/>
  <c r="RC112" i="5"/>
  <c r="CQ112" i="5" s="1"/>
  <c r="RG112" i="5"/>
  <c r="RK112" i="5"/>
  <c r="RO112" i="5"/>
  <c r="RS112" i="5"/>
  <c r="RD112" i="5"/>
  <c r="RT112" i="5"/>
  <c r="RH112" i="5"/>
  <c r="QV112" i="5"/>
  <c r="RL112" i="5"/>
  <c r="QZ112" i="5"/>
  <c r="RP112" i="5"/>
  <c r="QW116" i="5"/>
  <c r="RA116" i="5"/>
  <c r="RE116" i="5"/>
  <c r="RI116" i="5"/>
  <c r="RM116" i="5"/>
  <c r="RQ116" i="5"/>
  <c r="RU116" i="5"/>
  <c r="QT116" i="5"/>
  <c r="QX116" i="5"/>
  <c r="RB116" i="5"/>
  <c r="RF116" i="5"/>
  <c r="RJ116" i="5"/>
  <c r="RN116" i="5"/>
  <c r="RR116" i="5"/>
  <c r="QU116" i="5"/>
  <c r="RC116" i="5"/>
  <c r="RK116" i="5"/>
  <c r="RS116" i="5"/>
  <c r="QV116" i="5"/>
  <c r="RD116" i="5"/>
  <c r="RL116" i="5"/>
  <c r="RT116" i="5"/>
  <c r="QY116" i="5"/>
  <c r="RG116" i="5"/>
  <c r="RO116" i="5"/>
  <c r="QZ116" i="5"/>
  <c r="RH116" i="5"/>
  <c r="RP116" i="5"/>
  <c r="QW19" i="5"/>
  <c r="RA19" i="5"/>
  <c r="RE19" i="5"/>
  <c r="RI19" i="5"/>
  <c r="RM19" i="5"/>
  <c r="RQ19" i="5"/>
  <c r="CQ19" i="5" s="1"/>
  <c r="RU19" i="5"/>
  <c r="QT19" i="5"/>
  <c r="QX19" i="5"/>
  <c r="RB19" i="5"/>
  <c r="RF19" i="5"/>
  <c r="RJ19" i="5"/>
  <c r="RN19" i="5"/>
  <c r="RR19" i="5"/>
  <c r="QY19" i="5"/>
  <c r="RG19" i="5"/>
  <c r="RO19" i="5"/>
  <c r="QZ19" i="5"/>
  <c r="RH19" i="5"/>
  <c r="RP19" i="5"/>
  <c r="QU19" i="5"/>
  <c r="RC19" i="5"/>
  <c r="RK19" i="5"/>
  <c r="RS19" i="5"/>
  <c r="QV19" i="5"/>
  <c r="RD19" i="5"/>
  <c r="RL19" i="5"/>
  <c r="RT19" i="5"/>
  <c r="QW27" i="5"/>
  <c r="RA27" i="5"/>
  <c r="RE27" i="5"/>
  <c r="RI27" i="5"/>
  <c r="RM27" i="5"/>
  <c r="RQ27" i="5"/>
  <c r="RU27" i="5"/>
  <c r="CQ27" i="5" s="1"/>
  <c r="QT27" i="5"/>
  <c r="QX27" i="5"/>
  <c r="RB27" i="5"/>
  <c r="RF27" i="5"/>
  <c r="RJ27" i="5"/>
  <c r="RN27" i="5"/>
  <c r="RR27" i="5"/>
  <c r="QU27" i="5"/>
  <c r="QY27" i="5"/>
  <c r="RC27" i="5"/>
  <c r="RG27" i="5"/>
  <c r="RK27" i="5"/>
  <c r="RO27" i="5"/>
  <c r="RS27" i="5"/>
  <c r="RD27" i="5"/>
  <c r="RT27" i="5"/>
  <c r="RH27" i="5"/>
  <c r="QV27" i="5"/>
  <c r="RL27" i="5"/>
  <c r="QZ27" i="5"/>
  <c r="RP27" i="5"/>
  <c r="QW35" i="5"/>
  <c r="RA35" i="5"/>
  <c r="RE35" i="5"/>
  <c r="RI35" i="5"/>
  <c r="RM35" i="5"/>
  <c r="RQ35" i="5"/>
  <c r="RU35" i="5"/>
  <c r="QU35" i="5"/>
  <c r="QZ35" i="5"/>
  <c r="RF35" i="5"/>
  <c r="RK35" i="5"/>
  <c r="RP35" i="5"/>
  <c r="QV35" i="5"/>
  <c r="RB35" i="5"/>
  <c r="RG35" i="5"/>
  <c r="RL35" i="5"/>
  <c r="RR35" i="5"/>
  <c r="QX35" i="5"/>
  <c r="RC35" i="5"/>
  <c r="RH35" i="5"/>
  <c r="RN35" i="5"/>
  <c r="CQ35" i="5" s="1"/>
  <c r="RS35" i="5"/>
  <c r="QY35" i="5"/>
  <c r="RT35" i="5"/>
  <c r="RD35" i="5"/>
  <c r="RJ35" i="5"/>
  <c r="QT35" i="5"/>
  <c r="RO35" i="5"/>
  <c r="QT43" i="5"/>
  <c r="QX43" i="5"/>
  <c r="RB43" i="5"/>
  <c r="RF43" i="5"/>
  <c r="RJ43" i="5"/>
  <c r="RN43" i="5"/>
  <c r="RR43" i="5"/>
  <c r="QU43" i="5"/>
  <c r="QV43" i="5"/>
  <c r="QZ43" i="5"/>
  <c r="RD43" i="5"/>
  <c r="RH43" i="5"/>
  <c r="RL43" i="5"/>
  <c r="RP43" i="5"/>
  <c r="RT43" i="5"/>
  <c r="RC43" i="5"/>
  <c r="CQ43" i="5" s="1"/>
  <c r="RK43" i="5"/>
  <c r="RS43" i="5"/>
  <c r="QW43" i="5"/>
  <c r="RE43" i="5"/>
  <c r="RM43" i="5"/>
  <c r="RU43" i="5"/>
  <c r="QY43" i="5"/>
  <c r="RG43" i="5"/>
  <c r="RO43" i="5"/>
  <c r="RA43" i="5"/>
  <c r="RI43" i="5"/>
  <c r="RQ43" i="5"/>
  <c r="QT51" i="5"/>
  <c r="QX51" i="5"/>
  <c r="RB51" i="5"/>
  <c r="RF51" i="5"/>
  <c r="RJ51" i="5"/>
  <c r="RN51" i="5"/>
  <c r="RR51" i="5"/>
  <c r="QW51" i="5"/>
  <c r="RC51" i="5"/>
  <c r="RH51" i="5"/>
  <c r="RM51" i="5"/>
  <c r="RS51" i="5"/>
  <c r="QY51" i="5"/>
  <c r="RD51" i="5"/>
  <c r="RI51" i="5"/>
  <c r="RO51" i="5"/>
  <c r="CQ51" i="5" s="1"/>
  <c r="RT51" i="5"/>
  <c r="RA51" i="5"/>
  <c r="RL51" i="5"/>
  <c r="QU51" i="5"/>
  <c r="RE51" i="5"/>
  <c r="RP51" i="5"/>
  <c r="QV51" i="5"/>
  <c r="RG51" i="5"/>
  <c r="RQ51" i="5"/>
  <c r="QZ51" i="5"/>
  <c r="RK51" i="5"/>
  <c r="RU51" i="5"/>
  <c r="QW59" i="5"/>
  <c r="RA59" i="5"/>
  <c r="RE59" i="5"/>
  <c r="RI59" i="5"/>
  <c r="RM59" i="5"/>
  <c r="RQ59" i="5"/>
  <c r="RU59" i="5"/>
  <c r="QT59" i="5"/>
  <c r="QX59" i="5"/>
  <c r="RB59" i="5"/>
  <c r="RF59" i="5"/>
  <c r="RJ59" i="5"/>
  <c r="RN59" i="5"/>
  <c r="RR59" i="5"/>
  <c r="QV59" i="5"/>
  <c r="RD59" i="5"/>
  <c r="RL59" i="5"/>
  <c r="RT59" i="5"/>
  <c r="QY59" i="5"/>
  <c r="RG59" i="5"/>
  <c r="RO59" i="5"/>
  <c r="CQ59" i="5" s="1"/>
  <c r="QZ59" i="5"/>
  <c r="RH59" i="5"/>
  <c r="RP59" i="5"/>
  <c r="RS59" i="5"/>
  <c r="QU59" i="5"/>
  <c r="RC59" i="5"/>
  <c r="RK59" i="5"/>
  <c r="QW67" i="5"/>
  <c r="RA67" i="5"/>
  <c r="RE67" i="5"/>
  <c r="RI67" i="5"/>
  <c r="RM67" i="5"/>
  <c r="RQ67" i="5"/>
  <c r="RU67" i="5"/>
  <c r="QT67" i="5"/>
  <c r="QX67" i="5"/>
  <c r="RB67" i="5"/>
  <c r="RF67" i="5"/>
  <c r="RJ67" i="5"/>
  <c r="RN67" i="5"/>
  <c r="RR67" i="5"/>
  <c r="QV67" i="5"/>
  <c r="RD67" i="5"/>
  <c r="RL67" i="5"/>
  <c r="RT67" i="5"/>
  <c r="QY67" i="5"/>
  <c r="RG67" i="5"/>
  <c r="RO67" i="5"/>
  <c r="QZ67" i="5"/>
  <c r="RH67" i="5"/>
  <c r="RP67" i="5"/>
  <c r="RS67" i="5"/>
  <c r="QU67" i="5"/>
  <c r="RC67" i="5"/>
  <c r="RK67" i="5"/>
  <c r="QU83" i="5"/>
  <c r="QY83" i="5"/>
  <c r="RC83" i="5"/>
  <c r="RG83" i="5"/>
  <c r="RK83" i="5"/>
  <c r="RO83" i="5"/>
  <c r="RS83" i="5"/>
  <c r="QV83" i="5"/>
  <c r="QZ83" i="5"/>
  <c r="RD83" i="5"/>
  <c r="RH83" i="5"/>
  <c r="RL83" i="5"/>
  <c r="RP83" i="5"/>
  <c r="RT83" i="5"/>
  <c r="QW83" i="5"/>
  <c r="RE83" i="5"/>
  <c r="RM83" i="5"/>
  <c r="RU83" i="5"/>
  <c r="QX83" i="5"/>
  <c r="RF83" i="5"/>
  <c r="RN83" i="5"/>
  <c r="RA83" i="5"/>
  <c r="RI83" i="5"/>
  <c r="RQ83" i="5"/>
  <c r="RR83" i="5"/>
  <c r="QT83" i="5"/>
  <c r="RB83" i="5"/>
  <c r="RJ83" i="5"/>
  <c r="QW115" i="5"/>
  <c r="RA115" i="5"/>
  <c r="RE115" i="5"/>
  <c r="RI115" i="5"/>
  <c r="RM115" i="5"/>
  <c r="RQ115" i="5"/>
  <c r="RU115" i="5"/>
  <c r="QT115" i="5"/>
  <c r="QX115" i="5"/>
  <c r="RB115" i="5"/>
  <c r="RF115" i="5"/>
  <c r="RJ115" i="5"/>
  <c r="RN115" i="5"/>
  <c r="RR115" i="5"/>
  <c r="QY115" i="5"/>
  <c r="RG115" i="5"/>
  <c r="RO115" i="5"/>
  <c r="QZ115" i="5"/>
  <c r="RH115" i="5"/>
  <c r="RP115" i="5"/>
  <c r="QU115" i="5"/>
  <c r="RC115" i="5"/>
  <c r="RK115" i="5"/>
  <c r="RS115" i="5"/>
  <c r="QV115" i="5"/>
  <c r="RD115" i="5"/>
  <c r="RL115" i="5"/>
  <c r="RT115" i="5"/>
  <c r="QW41" i="5"/>
  <c r="QX41" i="5"/>
  <c r="RB41" i="5"/>
  <c r="RF41" i="5"/>
  <c r="RJ41" i="5"/>
  <c r="RN41" i="5"/>
  <c r="CQ41" i="5" s="1"/>
  <c r="RR41" i="5"/>
  <c r="QT41" i="5"/>
  <c r="QY41" i="5"/>
  <c r="RC41" i="5"/>
  <c r="RG41" i="5"/>
  <c r="RK41" i="5"/>
  <c r="RO41" i="5"/>
  <c r="RS41" i="5"/>
  <c r="QU41" i="5"/>
  <c r="QZ41" i="5"/>
  <c r="RD41" i="5"/>
  <c r="RH41" i="5"/>
  <c r="RL41" i="5"/>
  <c r="RP41" i="5"/>
  <c r="RT41" i="5"/>
  <c r="RA41" i="5"/>
  <c r="RQ41" i="5"/>
  <c r="RE41" i="5"/>
  <c r="RU41" i="5"/>
  <c r="RI41" i="5"/>
  <c r="QV41" i="5"/>
  <c r="RM41" i="5"/>
  <c r="QT49" i="5"/>
  <c r="QX49" i="5"/>
  <c r="RB49" i="5"/>
  <c r="RF49" i="5"/>
  <c r="RJ49" i="5"/>
  <c r="RN49" i="5"/>
  <c r="RR49" i="5"/>
  <c r="CQ49" i="5" s="1"/>
  <c r="QU49" i="5"/>
  <c r="QZ49" i="5"/>
  <c r="RE49" i="5"/>
  <c r="RK49" i="5"/>
  <c r="RP49" i="5"/>
  <c r="RU49" i="5"/>
  <c r="QV49" i="5"/>
  <c r="RA49" i="5"/>
  <c r="RG49" i="5"/>
  <c r="RL49" i="5"/>
  <c r="RQ49" i="5"/>
  <c r="RD49" i="5"/>
  <c r="RO49" i="5"/>
  <c r="QW49" i="5"/>
  <c r="RH49" i="5"/>
  <c r="RS49" i="5"/>
  <c r="QY49" i="5"/>
  <c r="RI49" i="5"/>
  <c r="RT49" i="5"/>
  <c r="RC49" i="5"/>
  <c r="RM49" i="5"/>
  <c r="QU73" i="5"/>
  <c r="QY73" i="5"/>
  <c r="RC73" i="5"/>
  <c r="RG73" i="5"/>
  <c r="RK73" i="5"/>
  <c r="RO73" i="5"/>
  <c r="RS73" i="5"/>
  <c r="QV73" i="5"/>
  <c r="QZ73" i="5"/>
  <c r="RD73" i="5"/>
  <c r="CQ73" i="5" s="1"/>
  <c r="RH73" i="5"/>
  <c r="RL73" i="5"/>
  <c r="RP73" i="5"/>
  <c r="RT73" i="5"/>
  <c r="QW73" i="5"/>
  <c r="RA73" i="5"/>
  <c r="RE73" i="5"/>
  <c r="RI73" i="5"/>
  <c r="RM73" i="5"/>
  <c r="RQ73" i="5"/>
  <c r="RU73" i="5"/>
  <c r="RB73" i="5"/>
  <c r="RR73" i="5"/>
  <c r="RF73" i="5"/>
  <c r="QT73" i="5"/>
  <c r="RJ73" i="5"/>
  <c r="QX73" i="5"/>
  <c r="RN73" i="5"/>
  <c r="QU81" i="5"/>
  <c r="QY81" i="5"/>
  <c r="RC81" i="5"/>
  <c r="RG81" i="5"/>
  <c r="RK81" i="5"/>
  <c r="RO81" i="5"/>
  <c r="RS81" i="5"/>
  <c r="QV81" i="5"/>
  <c r="QZ81" i="5"/>
  <c r="RD81" i="5"/>
  <c r="RH81" i="5"/>
  <c r="RL81" i="5"/>
  <c r="RP81" i="5"/>
  <c r="RT81" i="5"/>
  <c r="QW81" i="5"/>
  <c r="RA81" i="5"/>
  <c r="RE81" i="5"/>
  <c r="RI81" i="5"/>
  <c r="RM81" i="5"/>
  <c r="RQ81" i="5"/>
  <c r="CQ81" i="5" s="1"/>
  <c r="RU81" i="5"/>
  <c r="RB81" i="5"/>
  <c r="RR81" i="5"/>
  <c r="RF81" i="5"/>
  <c r="QT81" i="5"/>
  <c r="RJ81" i="5"/>
  <c r="QX81" i="5"/>
  <c r="RN81" i="5"/>
  <c r="QU89" i="5"/>
  <c r="QY89" i="5"/>
  <c r="RC89" i="5"/>
  <c r="RG89" i="5"/>
  <c r="RK89" i="5"/>
  <c r="RO89" i="5"/>
  <c r="RS89" i="5"/>
  <c r="QV89" i="5"/>
  <c r="QZ89" i="5"/>
  <c r="RD89" i="5"/>
  <c r="RH89" i="5"/>
  <c r="RL89" i="5"/>
  <c r="RP89" i="5"/>
  <c r="RT89" i="5"/>
  <c r="QW89" i="5"/>
  <c r="RE89" i="5"/>
  <c r="RM89" i="5"/>
  <c r="RU89" i="5"/>
  <c r="QX89" i="5"/>
  <c r="RF89" i="5"/>
  <c r="RN89" i="5"/>
  <c r="RA89" i="5"/>
  <c r="RI89" i="5"/>
  <c r="RQ89" i="5"/>
  <c r="RJ89" i="5"/>
  <c r="RR89" i="5"/>
  <c r="QT89" i="5"/>
  <c r="RB89" i="5"/>
  <c r="QW105" i="5"/>
  <c r="RA105" i="5"/>
  <c r="RE105" i="5"/>
  <c r="RI105" i="5"/>
  <c r="RM105" i="5"/>
  <c r="RQ105" i="5"/>
  <c r="RU105" i="5"/>
  <c r="QT105" i="5"/>
  <c r="QX105" i="5"/>
  <c r="RB105" i="5"/>
  <c r="RF105" i="5"/>
  <c r="RJ105" i="5"/>
  <c r="RN105" i="5"/>
  <c r="RR105" i="5"/>
  <c r="QU105" i="5"/>
  <c r="QY105" i="5"/>
  <c r="RC105" i="5"/>
  <c r="RG105" i="5"/>
  <c r="RK105" i="5"/>
  <c r="CQ105" i="5" s="1"/>
  <c r="RO105" i="5"/>
  <c r="RS105" i="5"/>
  <c r="RH105" i="5"/>
  <c r="QV105" i="5"/>
  <c r="RL105" i="5"/>
  <c r="QZ105" i="5"/>
  <c r="RP105" i="5"/>
  <c r="RD105" i="5"/>
  <c r="RT105" i="5"/>
  <c r="QW113" i="5"/>
  <c r="RA113" i="5"/>
  <c r="RE113" i="5"/>
  <c r="RI113" i="5"/>
  <c r="RM113" i="5"/>
  <c r="RQ113" i="5"/>
  <c r="RU113" i="5"/>
  <c r="QT113" i="5"/>
  <c r="QX113" i="5"/>
  <c r="RB113" i="5"/>
  <c r="RF113" i="5"/>
  <c r="RJ113" i="5"/>
  <c r="RN113" i="5"/>
  <c r="RR113" i="5"/>
  <c r="QU113" i="5"/>
  <c r="QY113" i="5"/>
  <c r="RC113" i="5"/>
  <c r="RG113" i="5"/>
  <c r="RO113" i="5"/>
  <c r="QV113" i="5"/>
  <c r="RH113" i="5"/>
  <c r="RP113" i="5"/>
  <c r="QZ113" i="5"/>
  <c r="RK113" i="5"/>
  <c r="RS113" i="5"/>
  <c r="RT113" i="5"/>
  <c r="RD113" i="5"/>
  <c r="RL113" i="5"/>
  <c r="QU18" i="5"/>
  <c r="QW18" i="5"/>
  <c r="RA18" i="5"/>
  <c r="RE18" i="5"/>
  <c r="RI18" i="5"/>
  <c r="RM18" i="5"/>
  <c r="RQ18" i="5"/>
  <c r="RU18" i="5"/>
  <c r="QX18" i="5"/>
  <c r="RB18" i="5"/>
  <c r="RF18" i="5"/>
  <c r="RJ18" i="5"/>
  <c r="RN18" i="5"/>
  <c r="RR18" i="5"/>
  <c r="QT18" i="5"/>
  <c r="RC18" i="5"/>
  <c r="RK18" i="5"/>
  <c r="RS18" i="5"/>
  <c r="QV18" i="5"/>
  <c r="RD18" i="5"/>
  <c r="RL18" i="5"/>
  <c r="RT18" i="5"/>
  <c r="QY18" i="5"/>
  <c r="RG18" i="5"/>
  <c r="RO18" i="5"/>
  <c r="QZ18" i="5"/>
  <c r="RH18" i="5"/>
  <c r="RP18" i="5"/>
  <c r="QT46" i="5"/>
  <c r="QX46" i="5"/>
  <c r="RB46" i="5"/>
  <c r="RF46" i="5"/>
  <c r="RJ46" i="5"/>
  <c r="RN46" i="5"/>
  <c r="RR46" i="5"/>
  <c r="QV46" i="5"/>
  <c r="QY46" i="5"/>
  <c r="RD46" i="5"/>
  <c r="RI46" i="5"/>
  <c r="CQ46" i="5" s="1"/>
  <c r="RO46" i="5"/>
  <c r="RT46" i="5"/>
  <c r="QZ46" i="5"/>
  <c r="RE46" i="5"/>
  <c r="RK46" i="5"/>
  <c r="RP46" i="5"/>
  <c r="RU46" i="5"/>
  <c r="QU46" i="5"/>
  <c r="RA46" i="5"/>
  <c r="RG46" i="5"/>
  <c r="RL46" i="5"/>
  <c r="RQ46" i="5"/>
  <c r="RC46" i="5"/>
  <c r="RH46" i="5"/>
  <c r="RM46" i="5"/>
  <c r="RS46" i="5"/>
  <c r="QW46" i="5"/>
  <c r="QT50" i="5"/>
  <c r="QX50" i="5"/>
  <c r="RB50" i="5"/>
  <c r="RF50" i="5"/>
  <c r="RJ50" i="5"/>
  <c r="RN50" i="5"/>
  <c r="RR50" i="5"/>
  <c r="QY50" i="5"/>
  <c r="RD50" i="5"/>
  <c r="RI50" i="5"/>
  <c r="RO50" i="5"/>
  <c r="RT50" i="5"/>
  <c r="QU50" i="5"/>
  <c r="QZ50" i="5"/>
  <c r="RE50" i="5"/>
  <c r="RK50" i="5"/>
  <c r="RP50" i="5"/>
  <c r="RU50" i="5"/>
  <c r="CQ50" i="5" s="1"/>
  <c r="QW50" i="5"/>
  <c r="RH50" i="5"/>
  <c r="RS50" i="5"/>
  <c r="RA50" i="5"/>
  <c r="RL50" i="5"/>
  <c r="RC50" i="5"/>
  <c r="RM50" i="5"/>
  <c r="RQ50" i="5"/>
  <c r="QV50" i="5"/>
  <c r="RG50" i="5"/>
  <c r="QW58" i="5"/>
  <c r="RA58" i="5"/>
  <c r="RE58" i="5"/>
  <c r="RI58" i="5"/>
  <c r="RM58" i="5"/>
  <c r="RQ58" i="5"/>
  <c r="RU58" i="5"/>
  <c r="QT58" i="5"/>
  <c r="QX58" i="5"/>
  <c r="RB58" i="5"/>
  <c r="RF58" i="5"/>
  <c r="RJ58" i="5"/>
  <c r="RN58" i="5"/>
  <c r="CQ58" i="5" s="1"/>
  <c r="RR58" i="5"/>
  <c r="QZ58" i="5"/>
  <c r="RH58" i="5"/>
  <c r="RP58" i="5"/>
  <c r="QU58" i="5"/>
  <c r="RC58" i="5"/>
  <c r="RK58" i="5"/>
  <c r="RS58" i="5"/>
  <c r="QV58" i="5"/>
  <c r="RD58" i="5"/>
  <c r="RL58" i="5"/>
  <c r="RT58" i="5"/>
  <c r="RO58" i="5"/>
  <c r="QY58" i="5"/>
  <c r="RG58" i="5"/>
  <c r="QW66" i="5"/>
  <c r="RA66" i="5"/>
  <c r="RE66" i="5"/>
  <c r="RI66" i="5"/>
  <c r="RM66" i="5"/>
  <c r="RQ66" i="5"/>
  <c r="RU66" i="5"/>
  <c r="QT66" i="5"/>
  <c r="QX66" i="5"/>
  <c r="RB66" i="5"/>
  <c r="RF66" i="5"/>
  <c r="RJ66" i="5"/>
  <c r="RN66" i="5"/>
  <c r="RR66" i="5"/>
  <c r="QZ66" i="5"/>
  <c r="RH66" i="5"/>
  <c r="RP66" i="5"/>
  <c r="CQ66" i="5" s="1"/>
  <c r="QU66" i="5"/>
  <c r="RC66" i="5"/>
  <c r="RK66" i="5"/>
  <c r="RS66" i="5"/>
  <c r="QV66" i="5"/>
  <c r="RD66" i="5"/>
  <c r="RL66" i="5"/>
  <c r="RT66" i="5"/>
  <c r="RO66" i="5"/>
  <c r="QY66" i="5"/>
  <c r="RG66" i="5"/>
  <c r="QU70" i="5"/>
  <c r="QY70" i="5"/>
  <c r="RC70" i="5"/>
  <c r="RG70" i="5"/>
  <c r="RK70" i="5"/>
  <c r="RO70" i="5"/>
  <c r="RS70" i="5"/>
  <c r="QV70" i="5"/>
  <c r="QZ70" i="5"/>
  <c r="RD70" i="5"/>
  <c r="RH70" i="5"/>
  <c r="RL70" i="5"/>
  <c r="RP70" i="5"/>
  <c r="RT70" i="5"/>
  <c r="CQ70" i="5" s="1"/>
  <c r="QW70" i="5"/>
  <c r="RA70" i="5"/>
  <c r="RE70" i="5"/>
  <c r="RI70" i="5"/>
  <c r="RM70" i="5"/>
  <c r="RQ70" i="5"/>
  <c r="RU70" i="5"/>
  <c r="RF70" i="5"/>
  <c r="QT70" i="5"/>
  <c r="RJ70" i="5"/>
  <c r="QX70" i="5"/>
  <c r="RN70" i="5"/>
  <c r="RB70" i="5"/>
  <c r="RR70" i="5"/>
  <c r="QU74" i="5"/>
  <c r="QY74" i="5"/>
  <c r="RC74" i="5"/>
  <c r="RG74" i="5"/>
  <c r="RK74" i="5"/>
  <c r="RO74" i="5"/>
  <c r="RS74" i="5"/>
  <c r="QV74" i="5"/>
  <c r="QZ74" i="5"/>
  <c r="RD74" i="5"/>
  <c r="RH74" i="5"/>
  <c r="RL74" i="5"/>
  <c r="RP74" i="5"/>
  <c r="RT74" i="5"/>
  <c r="QW74" i="5"/>
  <c r="RA74" i="5"/>
  <c r="RE74" i="5"/>
  <c r="RI74" i="5"/>
  <c r="RM74" i="5"/>
  <c r="RQ74" i="5"/>
  <c r="RU74" i="5"/>
  <c r="RF74" i="5"/>
  <c r="QT74" i="5"/>
  <c r="RJ74" i="5"/>
  <c r="QX74" i="5"/>
  <c r="RN74" i="5"/>
  <c r="CQ74" i="5" s="1"/>
  <c r="RB74" i="5"/>
  <c r="RR74" i="5"/>
  <c r="QU78" i="5"/>
  <c r="QY78" i="5"/>
  <c r="RC78" i="5"/>
  <c r="RG78" i="5"/>
  <c r="RK78" i="5"/>
  <c r="RO78" i="5"/>
  <c r="RS78" i="5"/>
  <c r="QV78" i="5"/>
  <c r="QZ78" i="5"/>
  <c r="RD78" i="5"/>
  <c r="RH78" i="5"/>
  <c r="RL78" i="5"/>
  <c r="RP78" i="5"/>
  <c r="RT78" i="5"/>
  <c r="QW78" i="5"/>
  <c r="RA78" i="5"/>
  <c r="RE78" i="5"/>
  <c r="RI78" i="5"/>
  <c r="CQ78" i="5" s="1"/>
  <c r="RM78" i="5"/>
  <c r="RQ78" i="5"/>
  <c r="RU78" i="5"/>
  <c r="RF78" i="5"/>
  <c r="QT78" i="5"/>
  <c r="RJ78" i="5"/>
  <c r="QX78" i="5"/>
  <c r="RN78" i="5"/>
  <c r="RR78" i="5"/>
  <c r="RB78" i="5"/>
  <c r="QU82" i="5"/>
  <c r="QY82" i="5"/>
  <c r="RC82" i="5"/>
  <c r="RG82" i="5"/>
  <c r="RK82" i="5"/>
  <c r="RO82" i="5"/>
  <c r="RS82" i="5"/>
  <c r="QV82" i="5"/>
  <c r="QZ82" i="5"/>
  <c r="RD82" i="5"/>
  <c r="RH82" i="5"/>
  <c r="CQ82" i="5" s="1"/>
  <c r="RL82" i="5"/>
  <c r="RP82" i="5"/>
  <c r="RT82" i="5"/>
  <c r="RA82" i="5"/>
  <c r="RI82" i="5"/>
  <c r="RQ82" i="5"/>
  <c r="QT82" i="5"/>
  <c r="RB82" i="5"/>
  <c r="RJ82" i="5"/>
  <c r="RR82" i="5"/>
  <c r="QW82" i="5"/>
  <c r="RE82" i="5"/>
  <c r="RM82" i="5"/>
  <c r="RU82" i="5"/>
  <c r="RN82" i="5"/>
  <c r="QX82" i="5"/>
  <c r="RF82" i="5"/>
  <c r="QU98" i="5"/>
  <c r="QY98" i="5"/>
  <c r="RC98" i="5"/>
  <c r="RG98" i="5"/>
  <c r="QV98" i="5"/>
  <c r="QZ98" i="5"/>
  <c r="RD98" i="5"/>
  <c r="RH98" i="5"/>
  <c r="CQ98" i="5" s="1"/>
  <c r="RA98" i="5"/>
  <c r="RI98" i="5"/>
  <c r="RM98" i="5"/>
  <c r="RQ98" i="5"/>
  <c r="RU98" i="5"/>
  <c r="QT98" i="5"/>
  <c r="RB98" i="5"/>
  <c r="RJ98" i="5"/>
  <c r="RN98" i="5"/>
  <c r="RR98" i="5"/>
  <c r="QW98" i="5"/>
  <c r="RE98" i="5"/>
  <c r="RK98" i="5"/>
  <c r="RO98" i="5"/>
  <c r="RS98" i="5"/>
  <c r="RL98" i="5"/>
  <c r="RP98" i="5"/>
  <c r="QX98" i="5"/>
  <c r="RT98" i="5"/>
  <c r="RF98" i="5"/>
  <c r="QW106" i="5"/>
  <c r="RA106" i="5"/>
  <c r="RE106" i="5"/>
  <c r="RI106" i="5"/>
  <c r="RM106" i="5"/>
  <c r="RQ106" i="5"/>
  <c r="RU106" i="5"/>
  <c r="QT106" i="5"/>
  <c r="QX106" i="5"/>
  <c r="RB106" i="5"/>
  <c r="RF106" i="5"/>
  <c r="RJ106" i="5"/>
  <c r="RN106" i="5"/>
  <c r="RR106" i="5"/>
  <c r="QU106" i="5"/>
  <c r="QY106" i="5"/>
  <c r="RC106" i="5"/>
  <c r="RG106" i="5"/>
  <c r="RK106" i="5"/>
  <c r="RO106" i="5"/>
  <c r="RS106" i="5"/>
  <c r="QV106" i="5"/>
  <c r="RL106" i="5"/>
  <c r="QZ106" i="5"/>
  <c r="RP106" i="5"/>
  <c r="RD106" i="5"/>
  <c r="RT106" i="5"/>
  <c r="RH106" i="5"/>
  <c r="QW110" i="5"/>
  <c r="RA110" i="5"/>
  <c r="RE110" i="5"/>
  <c r="RI110" i="5"/>
  <c r="RM110" i="5"/>
  <c r="RQ110" i="5"/>
  <c r="RU110" i="5"/>
  <c r="QT110" i="5"/>
  <c r="QX110" i="5"/>
  <c r="RB110" i="5"/>
  <c r="RF110" i="5"/>
  <c r="RJ110" i="5"/>
  <c r="RN110" i="5"/>
  <c r="RR110" i="5"/>
  <c r="QU110" i="5"/>
  <c r="QY110" i="5"/>
  <c r="RC110" i="5"/>
  <c r="RG110" i="5"/>
  <c r="RK110" i="5"/>
  <c r="RO110" i="5"/>
  <c r="RS110" i="5"/>
  <c r="QV110" i="5"/>
  <c r="RL110" i="5"/>
  <c r="QZ110" i="5"/>
  <c r="RP110" i="5"/>
  <c r="RD110" i="5"/>
  <c r="CQ110" i="5" s="1"/>
  <c r="RT110" i="5"/>
  <c r="RH110" i="5"/>
  <c r="QW118" i="5"/>
  <c r="RA118" i="5"/>
  <c r="RE118" i="5"/>
  <c r="RI118" i="5"/>
  <c r="RM118" i="5"/>
  <c r="RQ118" i="5"/>
  <c r="RU118" i="5"/>
  <c r="QT118" i="5"/>
  <c r="QX118" i="5"/>
  <c r="RB118" i="5"/>
  <c r="RF118" i="5"/>
  <c r="RJ118" i="5"/>
  <c r="RN118" i="5"/>
  <c r="RR118" i="5"/>
  <c r="QU118" i="5"/>
  <c r="RC118" i="5"/>
  <c r="RK118" i="5"/>
  <c r="CQ118" i="5" s="1"/>
  <c r="RS118" i="5"/>
  <c r="QV118" i="5"/>
  <c r="RD118" i="5"/>
  <c r="RL118" i="5"/>
  <c r="RT118" i="5"/>
  <c r="QY118" i="5"/>
  <c r="RG118" i="5"/>
  <c r="RO118" i="5"/>
  <c r="RH118" i="5"/>
  <c r="RP118" i="5"/>
  <c r="QZ118" i="5"/>
  <c r="QW122" i="5"/>
  <c r="RA122" i="5"/>
  <c r="RE122" i="5"/>
  <c r="RI122" i="5"/>
  <c r="RM122" i="5"/>
  <c r="RQ122" i="5"/>
  <c r="RU122" i="5"/>
  <c r="QT122" i="5"/>
  <c r="QX122" i="5"/>
  <c r="RB122" i="5"/>
  <c r="RF122" i="5"/>
  <c r="RJ122" i="5"/>
  <c r="RN122" i="5"/>
  <c r="RR122" i="5"/>
  <c r="QU122" i="5"/>
  <c r="RC122" i="5"/>
  <c r="RK122" i="5"/>
  <c r="RS122" i="5"/>
  <c r="QV122" i="5"/>
  <c r="RD122" i="5"/>
  <c r="RL122" i="5"/>
  <c r="RT122" i="5"/>
  <c r="QY122" i="5"/>
  <c r="RG122" i="5"/>
  <c r="RO122" i="5"/>
  <c r="QZ122" i="5"/>
  <c r="RH122" i="5"/>
  <c r="RP122" i="5"/>
  <c r="QT55" i="5"/>
  <c r="QW55" i="5"/>
  <c r="RA55" i="5"/>
  <c r="RE55" i="5"/>
  <c r="RI55" i="5"/>
  <c r="RM55" i="5"/>
  <c r="RQ55" i="5"/>
  <c r="RU55" i="5"/>
  <c r="QX55" i="5"/>
  <c r="RB55" i="5"/>
  <c r="RF55" i="5"/>
  <c r="RJ55" i="5"/>
  <c r="RN55" i="5"/>
  <c r="RR55" i="5"/>
  <c r="QV55" i="5"/>
  <c r="RD55" i="5"/>
  <c r="RL55" i="5"/>
  <c r="RT55" i="5"/>
  <c r="QY55" i="5"/>
  <c r="RG55" i="5"/>
  <c r="RO55" i="5"/>
  <c r="QZ55" i="5"/>
  <c r="RH55" i="5"/>
  <c r="RP55" i="5"/>
  <c r="RC55" i="5"/>
  <c r="RK55" i="5"/>
  <c r="RS55" i="5"/>
  <c r="CQ55" i="5" s="1"/>
  <c r="QU55" i="5"/>
  <c r="QW63" i="5"/>
  <c r="RA63" i="5"/>
  <c r="RE63" i="5"/>
  <c r="RI63" i="5"/>
  <c r="RM63" i="5"/>
  <c r="CQ63" i="5" s="1"/>
  <c r="RQ63" i="5"/>
  <c r="RU63" i="5"/>
  <c r="QT63" i="5"/>
  <c r="QX63" i="5"/>
  <c r="RB63" i="5"/>
  <c r="RF63" i="5"/>
  <c r="RJ63" i="5"/>
  <c r="RN63" i="5"/>
  <c r="RR63" i="5"/>
  <c r="QV63" i="5"/>
  <c r="RD63" i="5"/>
  <c r="RL63" i="5"/>
  <c r="RT63" i="5"/>
  <c r="QY63" i="5"/>
  <c r="RG63" i="5"/>
  <c r="RO63" i="5"/>
  <c r="QZ63" i="5"/>
  <c r="RH63" i="5"/>
  <c r="RP63" i="5"/>
  <c r="RC63" i="5"/>
  <c r="RK63" i="5"/>
  <c r="RS63" i="5"/>
  <c r="QU63" i="5"/>
  <c r="QU79" i="5"/>
  <c r="QY79" i="5"/>
  <c r="RC79" i="5"/>
  <c r="RG79" i="5"/>
  <c r="RK79" i="5"/>
  <c r="RO79" i="5"/>
  <c r="RS79" i="5"/>
  <c r="QV79" i="5"/>
  <c r="QZ79" i="5"/>
  <c r="RD79" i="5"/>
  <c r="RH79" i="5"/>
  <c r="RL79" i="5"/>
  <c r="RP79" i="5"/>
  <c r="RT79" i="5"/>
  <c r="QW79" i="5"/>
  <c r="RA79" i="5"/>
  <c r="RE79" i="5"/>
  <c r="RI79" i="5"/>
  <c r="RM79" i="5"/>
  <c r="CQ79" i="5" s="1"/>
  <c r="RQ79" i="5"/>
  <c r="RU79" i="5"/>
  <c r="QT79" i="5"/>
  <c r="RJ79" i="5"/>
  <c r="QX79" i="5"/>
  <c r="RN79" i="5"/>
  <c r="RB79" i="5"/>
  <c r="RR79" i="5"/>
  <c r="RF79" i="5"/>
  <c r="QW103" i="5"/>
  <c r="RA103" i="5"/>
  <c r="RE103" i="5"/>
  <c r="RI103" i="5"/>
  <c r="RM103" i="5"/>
  <c r="RQ103" i="5"/>
  <c r="RU103" i="5"/>
  <c r="QT103" i="5"/>
  <c r="QX103" i="5"/>
  <c r="RB103" i="5"/>
  <c r="RF103" i="5"/>
  <c r="RJ103" i="5"/>
  <c r="RN103" i="5"/>
  <c r="RR103" i="5"/>
  <c r="QU103" i="5"/>
  <c r="QY103" i="5"/>
  <c r="RC103" i="5"/>
  <c r="RG103" i="5"/>
  <c r="RK103" i="5"/>
  <c r="RO103" i="5"/>
  <c r="RS103" i="5"/>
  <c r="QZ103" i="5"/>
  <c r="RP103" i="5"/>
  <c r="RD103" i="5"/>
  <c r="RT103" i="5"/>
  <c r="RH103" i="5"/>
  <c r="QV103" i="5"/>
  <c r="RL103" i="5"/>
  <c r="QW111" i="5"/>
  <c r="RA111" i="5"/>
  <c r="RE111" i="5"/>
  <c r="RI111" i="5"/>
  <c r="RM111" i="5"/>
  <c r="RQ111" i="5"/>
  <c r="RU111" i="5"/>
  <c r="QT111" i="5"/>
  <c r="QX111" i="5"/>
  <c r="RB111" i="5"/>
  <c r="RF111" i="5"/>
  <c r="RJ111" i="5"/>
  <c r="RN111" i="5"/>
  <c r="RR111" i="5"/>
  <c r="QU111" i="5"/>
  <c r="QY111" i="5"/>
  <c r="RC111" i="5"/>
  <c r="RG111" i="5"/>
  <c r="RK111" i="5"/>
  <c r="RO111" i="5"/>
  <c r="RS111" i="5"/>
  <c r="QZ111" i="5"/>
  <c r="RP111" i="5"/>
  <c r="RD111" i="5"/>
  <c r="RT111" i="5"/>
  <c r="RH111" i="5"/>
  <c r="QV111" i="5"/>
  <c r="RL111" i="5"/>
  <c r="QW119" i="5"/>
  <c r="RA119" i="5"/>
  <c r="RE119" i="5"/>
  <c r="RI119" i="5"/>
  <c r="RM119" i="5"/>
  <c r="RQ119" i="5"/>
  <c r="CQ119" i="5" s="1"/>
  <c r="RU119" i="5"/>
  <c r="QT119" i="5"/>
  <c r="QX119" i="5"/>
  <c r="RB119" i="5"/>
  <c r="RF119" i="5"/>
  <c r="RJ119" i="5"/>
  <c r="RN119" i="5"/>
  <c r="RR119" i="5"/>
  <c r="QY119" i="5"/>
  <c r="RG119" i="5"/>
  <c r="RO119" i="5"/>
  <c r="QZ119" i="5"/>
  <c r="RH119" i="5"/>
  <c r="RP119" i="5"/>
  <c r="QU119" i="5"/>
  <c r="RC119" i="5"/>
  <c r="RK119" i="5"/>
  <c r="RS119" i="5"/>
  <c r="RL119" i="5"/>
  <c r="RT119" i="5"/>
  <c r="QV119" i="5"/>
  <c r="RD119" i="5"/>
  <c r="QT7" i="5"/>
  <c r="QX7" i="5"/>
  <c r="RB7" i="5"/>
  <c r="RF7" i="5"/>
  <c r="RJ7" i="5"/>
  <c r="RN7" i="5"/>
  <c r="RR7" i="5"/>
  <c r="QU7" i="5"/>
  <c r="QY7" i="5"/>
  <c r="RC7" i="5"/>
  <c r="RG7" i="5"/>
  <c r="RK7" i="5"/>
  <c r="RO7" i="5"/>
  <c r="RS7" i="5"/>
  <c r="QV7" i="5"/>
  <c r="QZ7" i="5"/>
  <c r="RD7" i="5"/>
  <c r="RH7" i="5"/>
  <c r="RL7" i="5"/>
  <c r="CQ7" i="5" s="1"/>
  <c r="RP7" i="5"/>
  <c r="RT7" i="5"/>
  <c r="RA7" i="5"/>
  <c r="RQ7" i="5"/>
  <c r="RE7" i="5"/>
  <c r="RU7" i="5"/>
  <c r="RI7" i="5"/>
  <c r="RM7" i="5"/>
  <c r="QW7" i="5"/>
  <c r="QT13" i="5"/>
  <c r="QX13" i="5"/>
  <c r="RB13" i="5"/>
  <c r="RF13" i="5"/>
  <c r="RJ13" i="5"/>
  <c r="RN13" i="5"/>
  <c r="RR13" i="5"/>
  <c r="QU13" i="5"/>
  <c r="QY13" i="5"/>
  <c r="RC13" i="5"/>
  <c r="RG13" i="5"/>
  <c r="RK13" i="5"/>
  <c r="RO13" i="5"/>
  <c r="RS13" i="5"/>
  <c r="QV13" i="5"/>
  <c r="QZ13" i="5"/>
  <c r="RD13" i="5"/>
  <c r="RH13" i="5"/>
  <c r="RL13" i="5"/>
  <c r="RP13" i="5"/>
  <c r="RT13" i="5"/>
  <c r="RI13" i="5"/>
  <c r="QW13" i="5"/>
  <c r="RM13" i="5"/>
  <c r="RA13" i="5"/>
  <c r="RE13" i="5"/>
  <c r="RQ13" i="5"/>
  <c r="RU13" i="5"/>
  <c r="QW21" i="5"/>
  <c r="RA21" i="5"/>
  <c r="RE21" i="5"/>
  <c r="RI21" i="5"/>
  <c r="RM21" i="5"/>
  <c r="RQ21" i="5"/>
  <c r="RU21" i="5"/>
  <c r="QT21" i="5"/>
  <c r="QX21" i="5"/>
  <c r="RB21" i="5"/>
  <c r="RF21" i="5"/>
  <c r="RJ21" i="5"/>
  <c r="RN21" i="5"/>
  <c r="RR21" i="5"/>
  <c r="QY21" i="5"/>
  <c r="RG21" i="5"/>
  <c r="RO21" i="5"/>
  <c r="QZ21" i="5"/>
  <c r="RH21" i="5"/>
  <c r="RP21" i="5"/>
  <c r="QU21" i="5"/>
  <c r="RC21" i="5"/>
  <c r="RK21" i="5"/>
  <c r="RS21" i="5"/>
  <c r="RD21" i="5"/>
  <c r="RL21" i="5"/>
  <c r="RT21" i="5"/>
  <c r="QV21" i="5"/>
  <c r="CQ21" i="5" s="1"/>
  <c r="QW37" i="5"/>
  <c r="RA37" i="5"/>
  <c r="RE37" i="5"/>
  <c r="RI37" i="5"/>
  <c r="RM37" i="5"/>
  <c r="RQ37" i="5"/>
  <c r="RU37" i="5"/>
  <c r="QX37" i="5"/>
  <c r="RC37" i="5"/>
  <c r="RH37" i="5"/>
  <c r="RN37" i="5"/>
  <c r="RS37" i="5"/>
  <c r="QT37" i="5"/>
  <c r="QY37" i="5"/>
  <c r="RD37" i="5"/>
  <c r="RJ37" i="5"/>
  <c r="RO37" i="5"/>
  <c r="RT37" i="5"/>
  <c r="CQ37" i="5" s="1"/>
  <c r="QU37" i="5"/>
  <c r="QZ37" i="5"/>
  <c r="RF37" i="5"/>
  <c r="RK37" i="5"/>
  <c r="RP37" i="5"/>
  <c r="RG37" i="5"/>
  <c r="RL37" i="5"/>
  <c r="QV37" i="5"/>
  <c r="RR37" i="5"/>
  <c r="RB37" i="5"/>
  <c r="QW61" i="5"/>
  <c r="RA61" i="5"/>
  <c r="RE61" i="5"/>
  <c r="RI61" i="5"/>
  <c r="RM61" i="5"/>
  <c r="RQ61" i="5"/>
  <c r="RU61" i="5"/>
  <c r="QT61" i="5"/>
  <c r="QX61" i="5"/>
  <c r="RB61" i="5"/>
  <c r="RF61" i="5"/>
  <c r="RJ61" i="5"/>
  <c r="RN61" i="5"/>
  <c r="RR61" i="5"/>
  <c r="QV61" i="5"/>
  <c r="RD61" i="5"/>
  <c r="RL61" i="5"/>
  <c r="RT61" i="5"/>
  <c r="QY61" i="5"/>
  <c r="RG61" i="5"/>
  <c r="RO61" i="5"/>
  <c r="QZ61" i="5"/>
  <c r="RH61" i="5"/>
  <c r="CQ61" i="5" s="1"/>
  <c r="RP61" i="5"/>
  <c r="QU61" i="5"/>
  <c r="RC61" i="5"/>
  <c r="RK61" i="5"/>
  <c r="RS61" i="5"/>
  <c r="QU69" i="5"/>
  <c r="QY69" i="5"/>
  <c r="RC69" i="5"/>
  <c r="RG69" i="5"/>
  <c r="RK69" i="5"/>
  <c r="RO69" i="5"/>
  <c r="RS69" i="5"/>
  <c r="QV69" i="5"/>
  <c r="QZ69" i="5"/>
  <c r="RD69" i="5"/>
  <c r="RH69" i="5"/>
  <c r="RL69" i="5"/>
  <c r="CQ69" i="5" s="1"/>
  <c r="RP69" i="5"/>
  <c r="RT69" i="5"/>
  <c r="QW69" i="5"/>
  <c r="RA69" i="5"/>
  <c r="RE69" i="5"/>
  <c r="RI69" i="5"/>
  <c r="RM69" i="5"/>
  <c r="RQ69" i="5"/>
  <c r="RU69" i="5"/>
  <c r="RB69" i="5"/>
  <c r="RR69" i="5"/>
  <c r="RF69" i="5"/>
  <c r="QT69" i="5"/>
  <c r="RJ69" i="5"/>
  <c r="RN69" i="5"/>
  <c r="QX69" i="5"/>
  <c r="QU77" i="5"/>
  <c r="QY77" i="5"/>
  <c r="RC77" i="5"/>
  <c r="RG77" i="5"/>
  <c r="RK77" i="5"/>
  <c r="RO77" i="5"/>
  <c r="RS77" i="5"/>
  <c r="QV77" i="5"/>
  <c r="QZ77" i="5"/>
  <c r="RD77" i="5"/>
  <c r="RH77" i="5"/>
  <c r="RL77" i="5"/>
  <c r="RP77" i="5"/>
  <c r="RT77" i="5"/>
  <c r="CQ77" i="5" s="1"/>
  <c r="QW77" i="5"/>
  <c r="RA77" i="5"/>
  <c r="RE77" i="5"/>
  <c r="RI77" i="5"/>
  <c r="RM77" i="5"/>
  <c r="RQ77" i="5"/>
  <c r="RU77" i="5"/>
  <c r="RB77" i="5"/>
  <c r="RR77" i="5"/>
  <c r="RF77" i="5"/>
  <c r="QT77" i="5"/>
  <c r="RJ77" i="5"/>
  <c r="QX77" i="5"/>
  <c r="RN77" i="5"/>
  <c r="QU85" i="5"/>
  <c r="QY85" i="5"/>
  <c r="RC85" i="5"/>
  <c r="RG85" i="5"/>
  <c r="RK85" i="5"/>
  <c r="RO85" i="5"/>
  <c r="RS85" i="5"/>
  <c r="QV85" i="5"/>
  <c r="QZ85" i="5"/>
  <c r="RD85" i="5"/>
  <c r="RH85" i="5"/>
  <c r="RL85" i="5"/>
  <c r="RP85" i="5"/>
  <c r="RT85" i="5"/>
  <c r="QW85" i="5"/>
  <c r="RE85" i="5"/>
  <c r="RM85" i="5"/>
  <c r="RU85" i="5"/>
  <c r="QX85" i="5"/>
  <c r="RF85" i="5"/>
  <c r="RN85" i="5"/>
  <c r="RA85" i="5"/>
  <c r="RI85" i="5"/>
  <c r="RQ85" i="5"/>
  <c r="QT85" i="5"/>
  <c r="RB85" i="5"/>
  <c r="CQ85" i="5" s="1"/>
  <c r="RJ85" i="5"/>
  <c r="RR85" i="5"/>
  <c r="QW109" i="5"/>
  <c r="RA109" i="5"/>
  <c r="RE109" i="5"/>
  <c r="RI109" i="5"/>
  <c r="RM109" i="5"/>
  <c r="RQ109" i="5"/>
  <c r="RU109" i="5"/>
  <c r="QT109" i="5"/>
  <c r="QX109" i="5"/>
  <c r="RB109" i="5"/>
  <c r="RF109" i="5"/>
  <c r="RJ109" i="5"/>
  <c r="RN109" i="5"/>
  <c r="RR109" i="5"/>
  <c r="QU109" i="5"/>
  <c r="QY109" i="5"/>
  <c r="RC109" i="5"/>
  <c r="RG109" i="5"/>
  <c r="RK109" i="5"/>
  <c r="CQ109" i="5" s="1"/>
  <c r="RO109" i="5"/>
  <c r="RS109" i="5"/>
  <c r="RH109" i="5"/>
  <c r="QV109" i="5"/>
  <c r="RL109" i="5"/>
  <c r="QZ109" i="5"/>
  <c r="RP109" i="5"/>
  <c r="RT109" i="5"/>
  <c r="RD109" i="5"/>
  <c r="QW117" i="5"/>
  <c r="RA117" i="5"/>
  <c r="RE117" i="5"/>
  <c r="RI117" i="5"/>
  <c r="RM117" i="5"/>
  <c r="RQ117" i="5"/>
  <c r="RU117" i="5"/>
  <c r="QT117" i="5"/>
  <c r="QX117" i="5"/>
  <c r="RB117" i="5"/>
  <c r="RF117" i="5"/>
  <c r="RJ117" i="5"/>
  <c r="RN117" i="5"/>
  <c r="RR117" i="5"/>
  <c r="QY117" i="5"/>
  <c r="RG117" i="5"/>
  <c r="RO117" i="5"/>
  <c r="QZ117" i="5"/>
  <c r="RH117" i="5"/>
  <c r="RP117" i="5"/>
  <c r="QU117" i="5"/>
  <c r="RC117" i="5"/>
  <c r="RK117" i="5"/>
  <c r="RS117" i="5"/>
  <c r="RD117" i="5"/>
  <c r="RL117" i="5"/>
  <c r="RT117" i="5"/>
  <c r="QV117" i="5"/>
  <c r="QT4" i="5"/>
  <c r="QX4" i="5"/>
  <c r="RB4" i="5"/>
  <c r="RF4" i="5"/>
  <c r="RJ4" i="5"/>
  <c r="RN4" i="5"/>
  <c r="RR4" i="5"/>
  <c r="RM4" i="5"/>
  <c r="QU4" i="5"/>
  <c r="QY4" i="5"/>
  <c r="RC4" i="5"/>
  <c r="RG4" i="5"/>
  <c r="RK4" i="5"/>
  <c r="RO4" i="5"/>
  <c r="RS4" i="5"/>
  <c r="RQ4" i="5"/>
  <c r="CQ4" i="5" s="1"/>
  <c r="QV4" i="5"/>
  <c r="QZ4" i="5"/>
  <c r="RD4" i="5"/>
  <c r="RH4" i="5"/>
  <c r="RL4" i="5"/>
  <c r="RP4" i="5"/>
  <c r="RT4" i="5"/>
  <c r="QW4" i="5"/>
  <c r="RA4" i="5"/>
  <c r="RE4" i="5"/>
  <c r="RI4" i="5"/>
  <c r="RU4" i="5"/>
  <c r="QT5" i="5"/>
  <c r="QX5" i="5"/>
  <c r="RB5" i="5"/>
  <c r="RF5" i="5"/>
  <c r="RJ5" i="5"/>
  <c r="RN5" i="5"/>
  <c r="RR5" i="5"/>
  <c r="QU5" i="5"/>
  <c r="QY5" i="5"/>
  <c r="RC5" i="5"/>
  <c r="RG5" i="5"/>
  <c r="RK5" i="5"/>
  <c r="RO5" i="5"/>
  <c r="RS5" i="5"/>
  <c r="QV5" i="5"/>
  <c r="QZ5" i="5"/>
  <c r="RD5" i="5"/>
  <c r="RH5" i="5"/>
  <c r="RL5" i="5"/>
  <c r="RP5" i="5"/>
  <c r="RT5" i="5"/>
  <c r="CQ5" i="5" s="1"/>
  <c r="QW5" i="5"/>
  <c r="RA5" i="5"/>
  <c r="RE5" i="5"/>
  <c r="RI5" i="5"/>
  <c r="RM5" i="5"/>
  <c r="RQ5" i="5"/>
  <c r="RU5" i="5"/>
  <c r="QR28" i="5"/>
  <c r="CQ28" i="5" s="1"/>
  <c r="QR72" i="5"/>
  <c r="QR92" i="5"/>
  <c r="QR100" i="5"/>
  <c r="QR120" i="5"/>
  <c r="QR127" i="5"/>
  <c r="QR135" i="5"/>
  <c r="QR145" i="5"/>
  <c r="QR153" i="5"/>
  <c r="QR157" i="5"/>
  <c r="QR161" i="5"/>
  <c r="CQ161" i="5" s="1"/>
  <c r="QR176" i="5"/>
  <c r="QR180" i="5"/>
  <c r="QR184" i="5"/>
  <c r="QR188" i="5"/>
  <c r="QR195" i="5"/>
  <c r="QR199" i="5"/>
  <c r="QR208" i="5"/>
  <c r="QR217" i="5"/>
  <c r="QR221" i="5"/>
  <c r="QR225" i="5"/>
  <c r="QR229" i="5"/>
  <c r="QR237" i="5"/>
  <c r="QR241" i="5"/>
  <c r="QR245" i="5"/>
  <c r="QR10" i="5"/>
  <c r="QR26" i="5"/>
  <c r="QR38" i="5"/>
  <c r="QR102" i="5"/>
  <c r="QR114" i="5"/>
  <c r="QR137" i="5"/>
  <c r="QR141" i="5"/>
  <c r="QR147" i="5"/>
  <c r="QR151" i="5"/>
  <c r="QR159" i="5"/>
  <c r="QR163" i="5"/>
  <c r="QR167" i="5"/>
  <c r="QR174" i="5"/>
  <c r="QR178" i="5"/>
  <c r="CQ178" i="5" s="1"/>
  <c r="QR182" i="5"/>
  <c r="QR186" i="5"/>
  <c r="QR190" i="5"/>
  <c r="QR197" i="5"/>
  <c r="QR200" i="5"/>
  <c r="QR219" i="5"/>
  <c r="QR223" i="5"/>
  <c r="QR227" i="5"/>
  <c r="QR231" i="5"/>
  <c r="QR235" i="5"/>
  <c r="QR243" i="5"/>
  <c r="QR247" i="5"/>
  <c r="QR47" i="5"/>
  <c r="QR71" i="5"/>
  <c r="CQ71" i="5" s="1"/>
  <c r="QR87" i="5"/>
  <c r="QR126" i="5"/>
  <c r="QR134" i="5"/>
  <c r="QR142" i="5"/>
  <c r="QR148" i="5"/>
  <c r="QR171" i="5"/>
  <c r="QR179" i="5"/>
  <c r="QR187" i="5"/>
  <c r="CQ187" i="5" s="1"/>
  <c r="QR194" i="5"/>
  <c r="QR201" i="5"/>
  <c r="QR214" i="5"/>
  <c r="QR220" i="5"/>
  <c r="QR224" i="5"/>
  <c r="QR240" i="5"/>
  <c r="QR248" i="5"/>
  <c r="QR29" i="5"/>
  <c r="QR53" i="5"/>
  <c r="QR125" i="5"/>
  <c r="QR132" i="5"/>
  <c r="QR140" i="5"/>
  <c r="QR154" i="5"/>
  <c r="QR162" i="5"/>
  <c r="QR192" i="5"/>
  <c r="QR206" i="5"/>
  <c r="QR212" i="5"/>
  <c r="QR216" i="5"/>
  <c r="QR222" i="5"/>
  <c r="QR230" i="5"/>
  <c r="QR238" i="5"/>
  <c r="QR246" i="5"/>
  <c r="QR11" i="5"/>
  <c r="QR123" i="5"/>
  <c r="QR138" i="5"/>
  <c r="QR152" i="5"/>
  <c r="QR160" i="5"/>
  <c r="QR175" i="5"/>
  <c r="QR183" i="5"/>
  <c r="CQ183" i="5" s="1"/>
  <c r="QR191" i="5"/>
  <c r="QR198" i="5"/>
  <c r="QR204" i="5"/>
  <c r="CQ204" i="5" s="1"/>
  <c r="QR228" i="5"/>
  <c r="QR236" i="5"/>
  <c r="QR244" i="5"/>
  <c r="QR33" i="5"/>
  <c r="QR65" i="5"/>
  <c r="QR97" i="5"/>
  <c r="QR128" i="5"/>
  <c r="QR136" i="5"/>
  <c r="QR150" i="5"/>
  <c r="QR158" i="5"/>
  <c r="QR166" i="5"/>
  <c r="QR181" i="5"/>
  <c r="QR189" i="5"/>
  <c r="QR196" i="5"/>
  <c r="QR202" i="5"/>
  <c r="QR215" i="5"/>
  <c r="QR218" i="5"/>
  <c r="QR226" i="5"/>
  <c r="QR234" i="5"/>
  <c r="QR242" i="5"/>
  <c r="PI18" i="5"/>
  <c r="PI46" i="5"/>
  <c r="PI50" i="5"/>
  <c r="PI58" i="5"/>
  <c r="PI66" i="5"/>
  <c r="PI70" i="5"/>
  <c r="PI74" i="5"/>
  <c r="PI78" i="5"/>
  <c r="PI82" i="5"/>
  <c r="PI98" i="5"/>
  <c r="PI106" i="5"/>
  <c r="PI110" i="5"/>
  <c r="PI118" i="5"/>
  <c r="PI122" i="5"/>
  <c r="PI5" i="5"/>
  <c r="PI55" i="5"/>
  <c r="PI63" i="5"/>
  <c r="PI79" i="5"/>
  <c r="PI103" i="5"/>
  <c r="PI111" i="5"/>
  <c r="PI119" i="5"/>
  <c r="PI7" i="5"/>
  <c r="PI13" i="5"/>
  <c r="PI21" i="5"/>
  <c r="PI37" i="5"/>
  <c r="PI61" i="5"/>
  <c r="PI69" i="5"/>
  <c r="PI77" i="5"/>
  <c r="PI85" i="5"/>
  <c r="PI109" i="5"/>
  <c r="PI117" i="5"/>
  <c r="PI4" i="5"/>
  <c r="PI8" i="5"/>
  <c r="PI24" i="5"/>
  <c r="PI32" i="5"/>
  <c r="PI36" i="5"/>
  <c r="PI40" i="5"/>
  <c r="PI48" i="5"/>
  <c r="PI56" i="5"/>
  <c r="PI64" i="5"/>
  <c r="PI68" i="5"/>
  <c r="PI76" i="5"/>
  <c r="PI112" i="5"/>
  <c r="PI116" i="5"/>
  <c r="PI19" i="5"/>
  <c r="PI27" i="5"/>
  <c r="PI35" i="5"/>
  <c r="PI43" i="5"/>
  <c r="PI51" i="5"/>
  <c r="PI59" i="5"/>
  <c r="PI67" i="5"/>
  <c r="PI83" i="5"/>
  <c r="PI115" i="5"/>
  <c r="PI41" i="5"/>
  <c r="PI49" i="5"/>
  <c r="PI73" i="5"/>
  <c r="PI81" i="5"/>
  <c r="PI89" i="5"/>
  <c r="PI105" i="5"/>
  <c r="PI113" i="5"/>
  <c r="PI28" i="5"/>
  <c r="PI72" i="5"/>
  <c r="PI92" i="5"/>
  <c r="PI100" i="5"/>
  <c r="PI120" i="5"/>
  <c r="PI127" i="5"/>
  <c r="PI135" i="5"/>
  <c r="PI145" i="5"/>
  <c r="PI153" i="5"/>
  <c r="PI157" i="5"/>
  <c r="PI161" i="5"/>
  <c r="PI176" i="5"/>
  <c r="PI180" i="5"/>
  <c r="PI184" i="5"/>
  <c r="PI188" i="5"/>
  <c r="PI195" i="5"/>
  <c r="PI199" i="5"/>
  <c r="PI208" i="5"/>
  <c r="PI217" i="5"/>
  <c r="PI221" i="5"/>
  <c r="PI225" i="5"/>
  <c r="PI229" i="5"/>
  <c r="PI237" i="5"/>
  <c r="PI241" i="5"/>
  <c r="PI245" i="5"/>
  <c r="PI11" i="5"/>
  <c r="PI123" i="5"/>
  <c r="PI138" i="5"/>
  <c r="PI152" i="5"/>
  <c r="PI160" i="5"/>
  <c r="PI175" i="5"/>
  <c r="PI183" i="5"/>
  <c r="PI191" i="5"/>
  <c r="PI198" i="5"/>
  <c r="PI204" i="5"/>
  <c r="PI228" i="5"/>
  <c r="PI236" i="5"/>
  <c r="PI244" i="5"/>
  <c r="PI33" i="5"/>
  <c r="PI65" i="5"/>
  <c r="PI97" i="5"/>
  <c r="PI128" i="5"/>
  <c r="PI136" i="5"/>
  <c r="PI150" i="5"/>
  <c r="PI158" i="5"/>
  <c r="PI166" i="5"/>
  <c r="PI181" i="5"/>
  <c r="PI189" i="5"/>
  <c r="PI196" i="5"/>
  <c r="PI202" i="5"/>
  <c r="PI215" i="5"/>
  <c r="PI218" i="5"/>
  <c r="PI226" i="5"/>
  <c r="PI234" i="5"/>
  <c r="PI242" i="5"/>
  <c r="PI10" i="5"/>
  <c r="PI26" i="5"/>
  <c r="PI38" i="5"/>
  <c r="PI102" i="5"/>
  <c r="PI114" i="5"/>
  <c r="PI137" i="5"/>
  <c r="PI141" i="5"/>
  <c r="PI147" i="5"/>
  <c r="PI151" i="5"/>
  <c r="PI159" i="5"/>
  <c r="PI163" i="5"/>
  <c r="PI167" i="5"/>
  <c r="PI174" i="5"/>
  <c r="PI178" i="5"/>
  <c r="PI182" i="5"/>
  <c r="PI186" i="5"/>
  <c r="PI190" i="5"/>
  <c r="PI197" i="5"/>
  <c r="PI200" i="5"/>
  <c r="PI219" i="5"/>
  <c r="PI223" i="5"/>
  <c r="PI227" i="5"/>
  <c r="PI231" i="5"/>
  <c r="PI235" i="5"/>
  <c r="PI243" i="5"/>
  <c r="PI247" i="5"/>
  <c r="PI47" i="5"/>
  <c r="PI71" i="5"/>
  <c r="PI87" i="5"/>
  <c r="PI126" i="5"/>
  <c r="PI134" i="5"/>
  <c r="PI142" i="5"/>
  <c r="PI148" i="5"/>
  <c r="PI171" i="5"/>
  <c r="PI179" i="5"/>
  <c r="PI187" i="5"/>
  <c r="PI194" i="5"/>
  <c r="PI201" i="5"/>
  <c r="PI214" i="5"/>
  <c r="PI220" i="5"/>
  <c r="PI224" i="5"/>
  <c r="PI240" i="5"/>
  <c r="PI248" i="5"/>
  <c r="PI29" i="5"/>
  <c r="PI53" i="5"/>
  <c r="PI125" i="5"/>
  <c r="PI132" i="5"/>
  <c r="PI140" i="5"/>
  <c r="PI154" i="5"/>
  <c r="PI162" i="5"/>
  <c r="PI192" i="5"/>
  <c r="PI206" i="5"/>
  <c r="PI212" i="5"/>
  <c r="PI216" i="5"/>
  <c r="PI222" i="5"/>
  <c r="PI230" i="5"/>
  <c r="PI238" i="5"/>
  <c r="PI246" i="5"/>
  <c r="NW3" i="5"/>
  <c r="NW4" i="5"/>
  <c r="NW5" i="5"/>
  <c r="NW6" i="5"/>
  <c r="NW8" i="5"/>
  <c r="NW9" i="5"/>
  <c r="NW10" i="5"/>
  <c r="NW11" i="5"/>
  <c r="NW12" i="5"/>
  <c r="NW13" i="5"/>
  <c r="NW14" i="5"/>
  <c r="NW15" i="5"/>
  <c r="NW16" i="5"/>
  <c r="NW17" i="5"/>
  <c r="NW18" i="5"/>
  <c r="NW19" i="5"/>
  <c r="NW20" i="5"/>
  <c r="NW21" i="5"/>
  <c r="NW22" i="5"/>
  <c r="NW23" i="5"/>
  <c r="NW24" i="5"/>
  <c r="NW25" i="5"/>
  <c r="NW26" i="5"/>
  <c r="NW27" i="5"/>
  <c r="NW28" i="5"/>
  <c r="NW29" i="5"/>
  <c r="NW30" i="5"/>
  <c r="NW31" i="5"/>
  <c r="NW32" i="5"/>
  <c r="NW33" i="5"/>
  <c r="NW34" i="5"/>
  <c r="NW35" i="5"/>
  <c r="NW36" i="5"/>
  <c r="NW37" i="5"/>
  <c r="NW38" i="5"/>
  <c r="NW39" i="5"/>
  <c r="NW40" i="5"/>
  <c r="NW41" i="5"/>
  <c r="NW42" i="5"/>
  <c r="NW43" i="5"/>
  <c r="NW44" i="5"/>
  <c r="NW45" i="5"/>
  <c r="NW46" i="5"/>
  <c r="NW47" i="5"/>
  <c r="NW48" i="5"/>
  <c r="NW49" i="5"/>
  <c r="NW50" i="5"/>
  <c r="NW51" i="5"/>
  <c r="NW52" i="5"/>
  <c r="NW53" i="5"/>
  <c r="NW54" i="5"/>
  <c r="NW55" i="5"/>
  <c r="NW56" i="5"/>
  <c r="NW57" i="5"/>
  <c r="NW58" i="5"/>
  <c r="NW59" i="5"/>
  <c r="NW60" i="5"/>
  <c r="NW61" i="5"/>
  <c r="NW62" i="5"/>
  <c r="NW63" i="5"/>
  <c r="NW64" i="5"/>
  <c r="NW65" i="5"/>
  <c r="NW66" i="5"/>
  <c r="NW67" i="5"/>
  <c r="NW68" i="5"/>
  <c r="NW69" i="5"/>
  <c r="NW70" i="5"/>
  <c r="NW71" i="5"/>
  <c r="NW72" i="5"/>
  <c r="NW73" i="5"/>
  <c r="NW74" i="5"/>
  <c r="NW75" i="5"/>
  <c r="NW76" i="5"/>
  <c r="NW77" i="5"/>
  <c r="NW78" i="5"/>
  <c r="NW79" i="5"/>
  <c r="NW80" i="5"/>
  <c r="NW81" i="5"/>
  <c r="NW82" i="5"/>
  <c r="NW83" i="5"/>
  <c r="NW84" i="5"/>
  <c r="NW85" i="5"/>
  <c r="NW86" i="5"/>
  <c r="NW87" i="5"/>
  <c r="NW88" i="5"/>
  <c r="NW89" i="5"/>
  <c r="NW90" i="5"/>
  <c r="NW91" i="5"/>
  <c r="NW92" i="5"/>
  <c r="NW93" i="5"/>
  <c r="NW94" i="5"/>
  <c r="NW95" i="5"/>
  <c r="NW96" i="5"/>
  <c r="NW97" i="5"/>
  <c r="NW98" i="5"/>
  <c r="NW99" i="5"/>
  <c r="NW100" i="5"/>
  <c r="NW101" i="5"/>
  <c r="NW102" i="5"/>
  <c r="NW103" i="5"/>
  <c r="NW104" i="5"/>
  <c r="NW105" i="5"/>
  <c r="NW106" i="5"/>
  <c r="NW107" i="5"/>
  <c r="NW108" i="5"/>
  <c r="NW109" i="5"/>
  <c r="NW110" i="5"/>
  <c r="NW111" i="5"/>
  <c r="NW112" i="5"/>
  <c r="NW113" i="5"/>
  <c r="NW114" i="5"/>
  <c r="NW115" i="5"/>
  <c r="NW116" i="5"/>
  <c r="NW117" i="5"/>
  <c r="NW118" i="5"/>
  <c r="NW119" i="5"/>
  <c r="NW120" i="5"/>
  <c r="NW121" i="5"/>
  <c r="NW122" i="5"/>
  <c r="NW123" i="5"/>
  <c r="NW124" i="5"/>
  <c r="NW125" i="5"/>
  <c r="NW126" i="5"/>
  <c r="NW127" i="5"/>
  <c r="NW128" i="5"/>
  <c r="NW129" i="5"/>
  <c r="NW130" i="5"/>
  <c r="NW131" i="5"/>
  <c r="NW132" i="5"/>
  <c r="NW133" i="5"/>
  <c r="NW134" i="5"/>
  <c r="NW135" i="5"/>
  <c r="NW136" i="5"/>
  <c r="NW137" i="5"/>
  <c r="NW138" i="5"/>
  <c r="NW139" i="5"/>
  <c r="NW140" i="5"/>
  <c r="NW141" i="5"/>
  <c r="NW142" i="5"/>
  <c r="NW143" i="5"/>
  <c r="NW144" i="5"/>
  <c r="NW145" i="5"/>
  <c r="NW146" i="5"/>
  <c r="NW147" i="5"/>
  <c r="NW148" i="5"/>
  <c r="NW149" i="5"/>
  <c r="NW150" i="5"/>
  <c r="NW151" i="5"/>
  <c r="NW152" i="5"/>
  <c r="NW153" i="5"/>
  <c r="NW154" i="5"/>
  <c r="NW155" i="5"/>
  <c r="NW156" i="5"/>
  <c r="NW157" i="5"/>
  <c r="NW158" i="5"/>
  <c r="NW159" i="5"/>
  <c r="NW160" i="5"/>
  <c r="NW161" i="5"/>
  <c r="NW162" i="5"/>
  <c r="NW163" i="5"/>
  <c r="NW164" i="5"/>
  <c r="NW165" i="5"/>
  <c r="NW166" i="5"/>
  <c r="NW167" i="5"/>
  <c r="NW168" i="5"/>
  <c r="NW169" i="5"/>
  <c r="NW170" i="5"/>
  <c r="NW171" i="5"/>
  <c r="NW172" i="5"/>
  <c r="NW173" i="5"/>
  <c r="NW174" i="5"/>
  <c r="NW175" i="5"/>
  <c r="NW176" i="5"/>
  <c r="NW177" i="5"/>
  <c r="NW178" i="5"/>
  <c r="NW179" i="5"/>
  <c r="NW180" i="5"/>
  <c r="NW181" i="5"/>
  <c r="NW182" i="5"/>
  <c r="NW183" i="5"/>
  <c r="NW184" i="5"/>
  <c r="NW185" i="5"/>
  <c r="NW186" i="5"/>
  <c r="NW187" i="5"/>
  <c r="NW188" i="5"/>
  <c r="NW189" i="5"/>
  <c r="NW190" i="5"/>
  <c r="NW191" i="5"/>
  <c r="NW192" i="5"/>
  <c r="NW193" i="5"/>
  <c r="NW202" i="5"/>
  <c r="NW203" i="5"/>
  <c r="NW204" i="5"/>
  <c r="NW205" i="5"/>
  <c r="NW206" i="5"/>
  <c r="NW207" i="5"/>
  <c r="NW208" i="5"/>
  <c r="NW209" i="5"/>
  <c r="NW210" i="5"/>
  <c r="NW211" i="5"/>
  <c r="NW212" i="5"/>
  <c r="NW213" i="5"/>
  <c r="NW214" i="5"/>
  <c r="NW215" i="5"/>
  <c r="NW216" i="5"/>
  <c r="NW217" i="5"/>
  <c r="NW218" i="5"/>
  <c r="NW219" i="5"/>
  <c r="NW220" i="5"/>
  <c r="NW221" i="5"/>
  <c r="NW222" i="5"/>
  <c r="NW223" i="5"/>
  <c r="NW224" i="5"/>
  <c r="NW225" i="5"/>
  <c r="NW226" i="5"/>
  <c r="NW227" i="5"/>
  <c r="NW228" i="5"/>
  <c r="NW229" i="5"/>
  <c r="NW230" i="5"/>
  <c r="NW231" i="5"/>
  <c r="NW232" i="5"/>
  <c r="NW233" i="5"/>
  <c r="NW234" i="5"/>
  <c r="NW235" i="5"/>
  <c r="NW236" i="5"/>
  <c r="NW237" i="5"/>
  <c r="NW238" i="5"/>
  <c r="NW239" i="5"/>
  <c r="NW240" i="5"/>
  <c r="NW241" i="5"/>
  <c r="NW242" i="5"/>
  <c r="NW243" i="5"/>
  <c r="NW244" i="5"/>
  <c r="NW245" i="5"/>
  <c r="NW246" i="5"/>
  <c r="NW247" i="5"/>
  <c r="NW248" i="5"/>
  <c r="XFD105" i="30"/>
  <c r="CQ116" i="5" l="1"/>
  <c r="CQ83" i="5"/>
  <c r="CQ89" i="5"/>
  <c r="CQ122" i="5"/>
  <c r="CQ113" i="5"/>
  <c r="CQ115" i="5"/>
  <c r="CQ67" i="5"/>
  <c r="PQ49" i="5"/>
  <c r="PO43" i="5"/>
  <c r="QM32" i="5"/>
  <c r="CO32" i="5" s="1"/>
  <c r="HH32" i="5" s="1"/>
  <c r="QF77" i="5"/>
  <c r="PK111" i="5"/>
  <c r="QN110" i="5"/>
  <c r="PO66" i="5"/>
  <c r="PK41" i="5"/>
  <c r="PK35" i="5"/>
  <c r="PN76" i="5"/>
  <c r="QG24" i="5"/>
  <c r="QO69" i="5"/>
  <c r="PO103" i="5"/>
  <c r="PP106" i="5"/>
  <c r="QG58" i="5"/>
  <c r="QL8" i="5"/>
  <c r="PS61" i="5"/>
  <c r="QG79" i="5"/>
  <c r="CO79" i="5" s="1"/>
  <c r="HH79" i="5" s="1"/>
  <c r="PS98" i="5"/>
  <c r="PM50" i="5"/>
  <c r="PN113" i="5"/>
  <c r="QP115" i="5"/>
  <c r="QD19" i="5"/>
  <c r="QD64" i="5"/>
  <c r="QD4" i="5"/>
  <c r="QG37" i="5"/>
  <c r="QN63" i="5"/>
  <c r="PU46" i="5"/>
  <c r="PV105" i="5"/>
  <c r="QC83" i="5"/>
  <c r="PP116" i="5"/>
  <c r="PQ56" i="5"/>
  <c r="QL117" i="5"/>
  <c r="QM21" i="5"/>
  <c r="PO55" i="5"/>
  <c r="PZ82" i="5"/>
  <c r="QE18" i="5"/>
  <c r="PP89" i="5"/>
  <c r="PM67" i="5"/>
  <c r="PU112" i="5"/>
  <c r="QO48" i="5"/>
  <c r="QD109" i="5"/>
  <c r="PP13" i="5"/>
  <c r="PQ5" i="5"/>
  <c r="QL78" i="5"/>
  <c r="QK81" i="5"/>
  <c r="CO81" i="5" s="1"/>
  <c r="HH81" i="5" s="1"/>
  <c r="PO59" i="5"/>
  <c r="PY40" i="5"/>
  <c r="QC7" i="5"/>
  <c r="PX122" i="5"/>
  <c r="QI74" i="5"/>
  <c r="PP73" i="5"/>
  <c r="QO51" i="5"/>
  <c r="PQ36" i="5"/>
  <c r="PO85" i="5"/>
  <c r="QD119" i="5"/>
  <c r="QL118" i="5"/>
  <c r="PN70" i="5"/>
  <c r="QK43" i="5"/>
  <c r="QM122" i="5"/>
  <c r="PR78" i="5"/>
  <c r="QL76" i="5"/>
  <c r="QB70" i="5"/>
  <c r="PM81" i="5"/>
  <c r="PZ63" i="5"/>
  <c r="PU116" i="5"/>
  <c r="PX76" i="5"/>
  <c r="PW116" i="5"/>
  <c r="QF76" i="5"/>
  <c r="PT43" i="5"/>
  <c r="QI76" i="5"/>
  <c r="QO115" i="5"/>
  <c r="QO98" i="5"/>
  <c r="PX105" i="5"/>
  <c r="PK83" i="5"/>
  <c r="QI40" i="5"/>
  <c r="PO122" i="5"/>
  <c r="QO46" i="5"/>
  <c r="PP105" i="5"/>
  <c r="QB83" i="5"/>
  <c r="PW98" i="5"/>
  <c r="PW105" i="5"/>
  <c r="QL41" i="5"/>
  <c r="QD83" i="5"/>
  <c r="PR105" i="5"/>
  <c r="PO32" i="5"/>
  <c r="PO81" i="5"/>
  <c r="PJ115" i="5"/>
  <c r="PM43" i="5"/>
  <c r="QA116" i="5"/>
  <c r="QK76" i="5"/>
  <c r="PS76" i="5"/>
  <c r="QI43" i="5"/>
  <c r="PT116" i="5"/>
  <c r="PT76" i="5"/>
  <c r="PV76" i="5"/>
  <c r="PQ27" i="5"/>
  <c r="PW27" i="5"/>
  <c r="PW59" i="5"/>
  <c r="PT59" i="5"/>
  <c r="PK27" i="5"/>
  <c r="PU59" i="5"/>
  <c r="PZ27" i="5"/>
  <c r="PM27" i="5"/>
  <c r="QI59" i="5"/>
  <c r="CO59" i="5" s="1"/>
  <c r="HH59" i="5" s="1"/>
  <c r="PS27" i="5"/>
  <c r="QQ81" i="5"/>
  <c r="PW81" i="5"/>
  <c r="QJ81" i="5"/>
  <c r="PP41" i="5"/>
  <c r="QQ115" i="5"/>
  <c r="PK8" i="5"/>
  <c r="QH110" i="5"/>
  <c r="QM81" i="5"/>
  <c r="PJ81" i="5"/>
  <c r="PL81" i="5"/>
  <c r="QQ41" i="5"/>
  <c r="PS115" i="5"/>
  <c r="PX69" i="5"/>
  <c r="QA110" i="5"/>
  <c r="QE81" i="5"/>
  <c r="QG41" i="5"/>
  <c r="QF111" i="5"/>
  <c r="QN105" i="5"/>
  <c r="QO105" i="5"/>
  <c r="PL105" i="5"/>
  <c r="QP105" i="5"/>
  <c r="PJ105" i="5"/>
  <c r="QA59" i="5"/>
  <c r="PY59" i="5"/>
  <c r="PL59" i="5"/>
  <c r="PJ59" i="5"/>
  <c r="PR43" i="5"/>
  <c r="QG43" i="5"/>
  <c r="PZ43" i="5"/>
  <c r="QA43" i="5"/>
  <c r="PN27" i="5"/>
  <c r="QE27" i="5"/>
  <c r="QQ27" i="5"/>
  <c r="QK27" i="5"/>
  <c r="PR116" i="5"/>
  <c r="QO116" i="5"/>
  <c r="PQ116" i="5"/>
  <c r="PJ116" i="5"/>
  <c r="PL116" i="5"/>
  <c r="QL40" i="5"/>
  <c r="QF109" i="5"/>
  <c r="PX63" i="5"/>
  <c r="QN122" i="5"/>
  <c r="PX110" i="5"/>
  <c r="QF98" i="5"/>
  <c r="QC78" i="5"/>
  <c r="CO78" i="5" s="1"/>
  <c r="HH78" i="5" s="1"/>
  <c r="QQ70" i="5"/>
  <c r="QL46" i="5"/>
  <c r="QK18" i="5"/>
  <c r="QJ105" i="5"/>
  <c r="PT105" i="5"/>
  <c r="QK105" i="5"/>
  <c r="QH105" i="5"/>
  <c r="QE59" i="5"/>
  <c r="QK59" i="5"/>
  <c r="PM59" i="5"/>
  <c r="QJ59" i="5"/>
  <c r="PK59" i="5"/>
  <c r="PY43" i="5"/>
  <c r="PV43" i="5"/>
  <c r="PP43" i="5"/>
  <c r="PS43" i="5"/>
  <c r="PL27" i="5"/>
  <c r="PR27" i="5"/>
  <c r="QF27" i="5"/>
  <c r="QC27" i="5"/>
  <c r="QH116" i="5"/>
  <c r="PS116" i="5"/>
  <c r="QP116" i="5"/>
  <c r="QJ116" i="5"/>
  <c r="QH48" i="5"/>
  <c r="QC32" i="5"/>
  <c r="PO109" i="5"/>
  <c r="PU21" i="5"/>
  <c r="QO63" i="5"/>
  <c r="QG122" i="5"/>
  <c r="QI110" i="5"/>
  <c r="PV98" i="5"/>
  <c r="QA78" i="5"/>
  <c r="QH70" i="5"/>
  <c r="QH46" i="5"/>
  <c r="PO105" i="5"/>
  <c r="QG105" i="5"/>
  <c r="QA105" i="5"/>
  <c r="PZ105" i="5"/>
  <c r="PV59" i="5"/>
  <c r="PN59" i="5"/>
  <c r="QH59" i="5"/>
  <c r="QB59" i="5"/>
  <c r="QC43" i="5"/>
  <c r="QH43" i="5"/>
  <c r="PL43" i="5"/>
  <c r="QQ43" i="5"/>
  <c r="PK43" i="5"/>
  <c r="PT27" i="5"/>
  <c r="QJ27" i="5"/>
  <c r="PV27" i="5"/>
  <c r="PU27" i="5"/>
  <c r="PY116" i="5"/>
  <c r="QL116" i="5"/>
  <c r="QE116" i="5"/>
  <c r="QB116" i="5"/>
  <c r="PP48" i="5"/>
  <c r="QD32" i="5"/>
  <c r="PT8" i="5"/>
  <c r="QQ85" i="5"/>
  <c r="PS7" i="5"/>
  <c r="QG63" i="5"/>
  <c r="CO63" i="5" s="1"/>
  <c r="HH63" i="5" s="1"/>
  <c r="QT242" i="5"/>
  <c r="QX242" i="5"/>
  <c r="RB242" i="5"/>
  <c r="RF242" i="5"/>
  <c r="RJ242" i="5"/>
  <c r="RN242" i="5"/>
  <c r="RR242" i="5"/>
  <c r="QU242" i="5"/>
  <c r="QY242" i="5"/>
  <c r="RC242" i="5"/>
  <c r="RG242" i="5"/>
  <c r="RK242" i="5"/>
  <c r="RO242" i="5"/>
  <c r="RS242" i="5"/>
  <c r="QV242" i="5"/>
  <c r="QZ242" i="5"/>
  <c r="RD242" i="5"/>
  <c r="RH242" i="5"/>
  <c r="RL242" i="5"/>
  <c r="RP242" i="5"/>
  <c r="RT242" i="5"/>
  <c r="RI242" i="5"/>
  <c r="QW242" i="5"/>
  <c r="RM242" i="5"/>
  <c r="RA242" i="5"/>
  <c r="RQ242" i="5"/>
  <c r="RE242" i="5"/>
  <c r="RU242" i="5"/>
  <c r="QV215" i="5"/>
  <c r="QZ215" i="5"/>
  <c r="RD215" i="5"/>
  <c r="RH215" i="5"/>
  <c r="RL215" i="5"/>
  <c r="RP215" i="5"/>
  <c r="RT215" i="5"/>
  <c r="QW215" i="5"/>
  <c r="RA215" i="5"/>
  <c r="RE215" i="5"/>
  <c r="RI215" i="5"/>
  <c r="RM215" i="5"/>
  <c r="RQ215" i="5"/>
  <c r="RU215" i="5"/>
  <c r="QT215" i="5"/>
  <c r="QX215" i="5"/>
  <c r="RB215" i="5"/>
  <c r="RF215" i="5"/>
  <c r="RJ215" i="5"/>
  <c r="RN215" i="5"/>
  <c r="RR215" i="5"/>
  <c r="QY215" i="5"/>
  <c r="RO215" i="5"/>
  <c r="RC215" i="5"/>
  <c r="RS215" i="5"/>
  <c r="RG215" i="5"/>
  <c r="QU215" i="5"/>
  <c r="RK215" i="5"/>
  <c r="QV202" i="5"/>
  <c r="QZ202" i="5"/>
  <c r="RD202" i="5"/>
  <c r="RH202" i="5"/>
  <c r="RL202" i="5"/>
  <c r="RP202" i="5"/>
  <c r="RT202" i="5"/>
  <c r="QW202" i="5"/>
  <c r="RA202" i="5"/>
  <c r="RE202" i="5"/>
  <c r="RI202" i="5"/>
  <c r="RM202" i="5"/>
  <c r="RQ202" i="5"/>
  <c r="RU202" i="5"/>
  <c r="QT202" i="5"/>
  <c r="QX202" i="5"/>
  <c r="RB202" i="5"/>
  <c r="RF202" i="5"/>
  <c r="RJ202" i="5"/>
  <c r="RN202" i="5"/>
  <c r="RR202" i="5"/>
  <c r="QY202" i="5"/>
  <c r="RO202" i="5"/>
  <c r="RC202" i="5"/>
  <c r="RS202" i="5"/>
  <c r="RG202" i="5"/>
  <c r="QU202" i="5"/>
  <c r="RK202" i="5"/>
  <c r="QU97" i="5"/>
  <c r="QY97" i="5"/>
  <c r="RC97" i="5"/>
  <c r="RG97" i="5"/>
  <c r="RK97" i="5"/>
  <c r="RO97" i="5"/>
  <c r="RS97" i="5"/>
  <c r="QV97" i="5"/>
  <c r="QZ97" i="5"/>
  <c r="RD97" i="5"/>
  <c r="RH97" i="5"/>
  <c r="RL97" i="5"/>
  <c r="RP97" i="5"/>
  <c r="RT97" i="5"/>
  <c r="QW97" i="5"/>
  <c r="RE97" i="5"/>
  <c r="RM97" i="5"/>
  <c r="RU97" i="5"/>
  <c r="QX97" i="5"/>
  <c r="RF97" i="5"/>
  <c r="RN97" i="5"/>
  <c r="RA97" i="5"/>
  <c r="RI97" i="5"/>
  <c r="RQ97" i="5"/>
  <c r="CQ97" i="5" s="1"/>
  <c r="RJ97" i="5"/>
  <c r="RR97" i="5"/>
  <c r="QT97" i="5"/>
  <c r="RB97" i="5"/>
  <c r="QT244" i="5"/>
  <c r="QX244" i="5"/>
  <c r="RB244" i="5"/>
  <c r="RF244" i="5"/>
  <c r="RJ244" i="5"/>
  <c r="RN244" i="5"/>
  <c r="RR244" i="5"/>
  <c r="QU244" i="5"/>
  <c r="QY244" i="5"/>
  <c r="RC244" i="5"/>
  <c r="RG244" i="5"/>
  <c r="RK244" i="5"/>
  <c r="RO244" i="5"/>
  <c r="RS244" i="5"/>
  <c r="QV244" i="5"/>
  <c r="QZ244" i="5"/>
  <c r="RD244" i="5"/>
  <c r="RH244" i="5"/>
  <c r="RL244" i="5"/>
  <c r="RP244" i="5"/>
  <c r="RT244" i="5"/>
  <c r="RA244" i="5"/>
  <c r="RQ244" i="5"/>
  <c r="RE244" i="5"/>
  <c r="RU244" i="5"/>
  <c r="RI244" i="5"/>
  <c r="QW244" i="5"/>
  <c r="RM244" i="5"/>
  <c r="QV198" i="5"/>
  <c r="QZ198" i="5"/>
  <c r="RD198" i="5"/>
  <c r="RH198" i="5"/>
  <c r="RL198" i="5"/>
  <c r="RP198" i="5"/>
  <c r="RT198" i="5"/>
  <c r="QW198" i="5"/>
  <c r="RA198" i="5"/>
  <c r="RE198" i="5"/>
  <c r="RI198" i="5"/>
  <c r="RM198" i="5"/>
  <c r="RQ198" i="5"/>
  <c r="RU198" i="5"/>
  <c r="CQ198" i="5" s="1"/>
  <c r="QT198" i="5"/>
  <c r="QX198" i="5"/>
  <c r="RB198" i="5"/>
  <c r="RF198" i="5"/>
  <c r="RJ198" i="5"/>
  <c r="RN198" i="5"/>
  <c r="RR198" i="5"/>
  <c r="RG198" i="5"/>
  <c r="QU198" i="5"/>
  <c r="RK198" i="5"/>
  <c r="QY198" i="5"/>
  <c r="RO198" i="5"/>
  <c r="RC198" i="5"/>
  <c r="RS198" i="5"/>
  <c r="QU138" i="5"/>
  <c r="QY138" i="5"/>
  <c r="RC138" i="5"/>
  <c r="RG138" i="5"/>
  <c r="RK138" i="5"/>
  <c r="RO138" i="5"/>
  <c r="RS138" i="5"/>
  <c r="QV138" i="5"/>
  <c r="QZ138" i="5"/>
  <c r="RD138" i="5"/>
  <c r="RH138" i="5"/>
  <c r="RL138" i="5"/>
  <c r="RP138" i="5"/>
  <c r="RT138" i="5"/>
  <c r="QW138" i="5"/>
  <c r="RA138" i="5"/>
  <c r="RE138" i="5"/>
  <c r="RI138" i="5"/>
  <c r="RM138" i="5"/>
  <c r="RQ138" i="5"/>
  <c r="RU138" i="5"/>
  <c r="RF138" i="5"/>
  <c r="QT138" i="5"/>
  <c r="RJ138" i="5"/>
  <c r="QX138" i="5"/>
  <c r="RN138" i="5"/>
  <c r="RB138" i="5"/>
  <c r="RR138" i="5"/>
  <c r="QT238" i="5"/>
  <c r="QX238" i="5"/>
  <c r="RB238" i="5"/>
  <c r="RF238" i="5"/>
  <c r="RJ238" i="5"/>
  <c r="RN238" i="5"/>
  <c r="RR238" i="5"/>
  <c r="QU238" i="5"/>
  <c r="CQ238" i="5" s="1"/>
  <c r="QY238" i="5"/>
  <c r="RC238" i="5"/>
  <c r="RG238" i="5"/>
  <c r="RK238" i="5"/>
  <c r="RO238" i="5"/>
  <c r="RS238" i="5"/>
  <c r="QV238" i="5"/>
  <c r="QZ238" i="5"/>
  <c r="RD238" i="5"/>
  <c r="RH238" i="5"/>
  <c r="RL238" i="5"/>
  <c r="RP238" i="5"/>
  <c r="RT238" i="5"/>
  <c r="RI238" i="5"/>
  <c r="QW238" i="5"/>
  <c r="RM238" i="5"/>
  <c r="RA238" i="5"/>
  <c r="RQ238" i="5"/>
  <c r="RE238" i="5"/>
  <c r="RU238" i="5"/>
  <c r="QU140" i="5"/>
  <c r="QY140" i="5"/>
  <c r="RC140" i="5"/>
  <c r="RG140" i="5"/>
  <c r="RK140" i="5"/>
  <c r="RO140" i="5"/>
  <c r="RS140" i="5"/>
  <c r="QV140" i="5"/>
  <c r="QZ140" i="5"/>
  <c r="RD140" i="5"/>
  <c r="RH140" i="5"/>
  <c r="RL140" i="5"/>
  <c r="RP140" i="5"/>
  <c r="RT140" i="5"/>
  <c r="CQ140" i="5" s="1"/>
  <c r="QW140" i="5"/>
  <c r="RA140" i="5"/>
  <c r="RE140" i="5"/>
  <c r="RI140" i="5"/>
  <c r="RM140" i="5"/>
  <c r="RQ140" i="5"/>
  <c r="RU140" i="5"/>
  <c r="QX140" i="5"/>
  <c r="RN140" i="5"/>
  <c r="RB140" i="5"/>
  <c r="RR140" i="5"/>
  <c r="RF140" i="5"/>
  <c r="RJ140" i="5"/>
  <c r="QT140" i="5"/>
  <c r="QT53" i="5"/>
  <c r="QX53" i="5"/>
  <c r="RB53" i="5"/>
  <c r="RF53" i="5"/>
  <c r="RJ53" i="5"/>
  <c r="CQ53" i="5" s="1"/>
  <c r="RN53" i="5"/>
  <c r="RR53" i="5"/>
  <c r="QU53" i="5"/>
  <c r="QZ53" i="5"/>
  <c r="RE53" i="5"/>
  <c r="RK53" i="5"/>
  <c r="RP53" i="5"/>
  <c r="RU53" i="5"/>
  <c r="QV53" i="5"/>
  <c r="RA53" i="5"/>
  <c r="RG53" i="5"/>
  <c r="RL53" i="5"/>
  <c r="RQ53" i="5"/>
  <c r="QY53" i="5"/>
  <c r="RI53" i="5"/>
  <c r="RT53" i="5"/>
  <c r="RC53" i="5"/>
  <c r="RM53" i="5"/>
  <c r="RD53" i="5"/>
  <c r="RO53" i="5"/>
  <c r="RS53" i="5"/>
  <c r="QW53" i="5"/>
  <c r="RH53" i="5"/>
  <c r="QW187" i="5"/>
  <c r="RA187" i="5"/>
  <c r="RE187" i="5"/>
  <c r="RI187" i="5"/>
  <c r="RM187" i="5"/>
  <c r="RQ187" i="5"/>
  <c r="RU187" i="5"/>
  <c r="QT187" i="5"/>
  <c r="QX187" i="5"/>
  <c r="RB187" i="5"/>
  <c r="RF187" i="5"/>
  <c r="RJ187" i="5"/>
  <c r="RN187" i="5"/>
  <c r="RR187" i="5"/>
  <c r="QZ187" i="5"/>
  <c r="RH187" i="5"/>
  <c r="RP187" i="5"/>
  <c r="QU187" i="5"/>
  <c r="RC187" i="5"/>
  <c r="RK187" i="5"/>
  <c r="RS187" i="5"/>
  <c r="QV187" i="5"/>
  <c r="RD187" i="5"/>
  <c r="RL187" i="5"/>
  <c r="RT187" i="5"/>
  <c r="RG187" i="5"/>
  <c r="RO187" i="5"/>
  <c r="QY187" i="5"/>
  <c r="QW126" i="5"/>
  <c r="RA126" i="5"/>
  <c r="RE126" i="5"/>
  <c r="RI126" i="5"/>
  <c r="RM126" i="5"/>
  <c r="RQ126" i="5"/>
  <c r="RU126" i="5"/>
  <c r="QT126" i="5"/>
  <c r="QX126" i="5"/>
  <c r="RB126" i="5"/>
  <c r="RF126" i="5"/>
  <c r="RJ126" i="5"/>
  <c r="RN126" i="5"/>
  <c r="RR126" i="5"/>
  <c r="QY126" i="5"/>
  <c r="RG126" i="5"/>
  <c r="RO126" i="5"/>
  <c r="QZ126" i="5"/>
  <c r="RH126" i="5"/>
  <c r="RP126" i="5"/>
  <c r="QU126" i="5"/>
  <c r="RC126" i="5"/>
  <c r="RK126" i="5"/>
  <c r="RS126" i="5"/>
  <c r="RL126" i="5"/>
  <c r="RT126" i="5"/>
  <c r="QV126" i="5"/>
  <c r="RD126" i="5"/>
  <c r="QT243" i="5"/>
  <c r="QX243" i="5"/>
  <c r="RB243" i="5"/>
  <c r="RF243" i="5"/>
  <c r="RJ243" i="5"/>
  <c r="RN243" i="5"/>
  <c r="RR243" i="5"/>
  <c r="QU243" i="5"/>
  <c r="QY243" i="5"/>
  <c r="RC243" i="5"/>
  <c r="RG243" i="5"/>
  <c r="RK243" i="5"/>
  <c r="RO243" i="5"/>
  <c r="RS243" i="5"/>
  <c r="QV243" i="5"/>
  <c r="QZ243" i="5"/>
  <c r="RD243" i="5"/>
  <c r="RH243" i="5"/>
  <c r="RL243" i="5"/>
  <c r="RP243" i="5"/>
  <c r="RT243" i="5"/>
  <c r="QW243" i="5"/>
  <c r="RM243" i="5"/>
  <c r="RA243" i="5"/>
  <c r="RQ243" i="5"/>
  <c r="RE243" i="5"/>
  <c r="RU243" i="5"/>
  <c r="CQ243" i="5" s="1"/>
  <c r="RI243" i="5"/>
  <c r="QT227" i="5"/>
  <c r="QX227" i="5"/>
  <c r="RB227" i="5"/>
  <c r="RF227" i="5"/>
  <c r="RJ227" i="5"/>
  <c r="RN227" i="5"/>
  <c r="RR227" i="5"/>
  <c r="QU227" i="5"/>
  <c r="QY227" i="5"/>
  <c r="RC227" i="5"/>
  <c r="RG227" i="5"/>
  <c r="RK227" i="5"/>
  <c r="RO227" i="5"/>
  <c r="RS227" i="5"/>
  <c r="QV227" i="5"/>
  <c r="QZ227" i="5"/>
  <c r="RD227" i="5"/>
  <c r="RH227" i="5"/>
  <c r="RL227" i="5"/>
  <c r="RP227" i="5"/>
  <c r="RT227" i="5"/>
  <c r="QW227" i="5"/>
  <c r="RM227" i="5"/>
  <c r="RA227" i="5"/>
  <c r="RQ227" i="5"/>
  <c r="RE227" i="5"/>
  <c r="RU227" i="5"/>
  <c r="RI227" i="5"/>
  <c r="QW178" i="5"/>
  <c r="RA178" i="5"/>
  <c r="RE178" i="5"/>
  <c r="RI178" i="5"/>
  <c r="RM178" i="5"/>
  <c r="RQ178" i="5"/>
  <c r="RU178" i="5"/>
  <c r="QT178" i="5"/>
  <c r="QX178" i="5"/>
  <c r="RB178" i="5"/>
  <c r="RF178" i="5"/>
  <c r="RJ178" i="5"/>
  <c r="RN178" i="5"/>
  <c r="RR178" i="5"/>
  <c r="QV178" i="5"/>
  <c r="RD178" i="5"/>
  <c r="RL178" i="5"/>
  <c r="RT178" i="5"/>
  <c r="QY178" i="5"/>
  <c r="RG178" i="5"/>
  <c r="RO178" i="5"/>
  <c r="QZ178" i="5"/>
  <c r="RH178" i="5"/>
  <c r="RP178" i="5"/>
  <c r="RC178" i="5"/>
  <c r="RK178" i="5"/>
  <c r="RS178" i="5"/>
  <c r="QU178" i="5"/>
  <c r="QU163" i="5"/>
  <c r="QY163" i="5"/>
  <c r="RC163" i="5"/>
  <c r="RG163" i="5"/>
  <c r="RK163" i="5"/>
  <c r="RO163" i="5"/>
  <c r="RS163" i="5"/>
  <c r="QV163" i="5"/>
  <c r="RA163" i="5"/>
  <c r="RF163" i="5"/>
  <c r="RL163" i="5"/>
  <c r="RQ163" i="5"/>
  <c r="QW163" i="5"/>
  <c r="RB163" i="5"/>
  <c r="RH163" i="5"/>
  <c r="RM163" i="5"/>
  <c r="RR163" i="5"/>
  <c r="QX163" i="5"/>
  <c r="RD163" i="5"/>
  <c r="RI163" i="5"/>
  <c r="RN163" i="5"/>
  <c r="RT163" i="5"/>
  <c r="RJ163" i="5"/>
  <c r="QT163" i="5"/>
  <c r="RP163" i="5"/>
  <c r="QZ163" i="5"/>
  <c r="RU163" i="5"/>
  <c r="RE163" i="5"/>
  <c r="QU147" i="5"/>
  <c r="QY147" i="5"/>
  <c r="RC147" i="5"/>
  <c r="RG147" i="5"/>
  <c r="RK147" i="5"/>
  <c r="RO147" i="5"/>
  <c r="RS147" i="5"/>
  <c r="QV147" i="5"/>
  <c r="QZ147" i="5"/>
  <c r="RD147" i="5"/>
  <c r="RH147" i="5"/>
  <c r="RL147" i="5"/>
  <c r="RP147" i="5"/>
  <c r="RT147" i="5"/>
  <c r="QW147" i="5"/>
  <c r="RA147" i="5"/>
  <c r="RE147" i="5"/>
  <c r="RI147" i="5"/>
  <c r="RM147" i="5"/>
  <c r="RQ147" i="5"/>
  <c r="RU147" i="5"/>
  <c r="RB147" i="5"/>
  <c r="RR147" i="5"/>
  <c r="RF147" i="5"/>
  <c r="QT147" i="5"/>
  <c r="RJ147" i="5"/>
  <c r="RN147" i="5"/>
  <c r="QX147" i="5"/>
  <c r="QW102" i="5"/>
  <c r="RA102" i="5"/>
  <c r="RE102" i="5"/>
  <c r="RI102" i="5"/>
  <c r="RM102" i="5"/>
  <c r="RQ102" i="5"/>
  <c r="RU102" i="5"/>
  <c r="QT102" i="5"/>
  <c r="QX102" i="5"/>
  <c r="RB102" i="5"/>
  <c r="RF102" i="5"/>
  <c r="RJ102" i="5"/>
  <c r="RN102" i="5"/>
  <c r="RR102" i="5"/>
  <c r="QU102" i="5"/>
  <c r="QY102" i="5"/>
  <c r="RC102" i="5"/>
  <c r="RG102" i="5"/>
  <c r="RK102" i="5"/>
  <c r="RO102" i="5"/>
  <c r="RS102" i="5"/>
  <c r="QV102" i="5"/>
  <c r="RL102" i="5"/>
  <c r="QZ102" i="5"/>
  <c r="RP102" i="5"/>
  <c r="RD102" i="5"/>
  <c r="RT102" i="5"/>
  <c r="RH102" i="5"/>
  <c r="QV217" i="5"/>
  <c r="QZ217" i="5"/>
  <c r="RD217" i="5"/>
  <c r="RH217" i="5"/>
  <c r="RL217" i="5"/>
  <c r="RP217" i="5"/>
  <c r="RT217" i="5"/>
  <c r="QW217" i="5"/>
  <c r="RA217" i="5"/>
  <c r="RE217" i="5"/>
  <c r="RI217" i="5"/>
  <c r="RM217" i="5"/>
  <c r="RQ217" i="5"/>
  <c r="RU217" i="5"/>
  <c r="QT217" i="5"/>
  <c r="QX217" i="5"/>
  <c r="RB217" i="5"/>
  <c r="RF217" i="5"/>
  <c r="RJ217" i="5"/>
  <c r="RN217" i="5"/>
  <c r="RR217" i="5"/>
  <c r="QU217" i="5"/>
  <c r="RK217" i="5"/>
  <c r="QY217" i="5"/>
  <c r="RO217" i="5"/>
  <c r="RC217" i="5"/>
  <c r="RS217" i="5"/>
  <c r="RG217" i="5"/>
  <c r="QW176" i="5"/>
  <c r="RA176" i="5"/>
  <c r="RE176" i="5"/>
  <c r="RI176" i="5"/>
  <c r="RM176" i="5"/>
  <c r="RQ176" i="5"/>
  <c r="RU176" i="5"/>
  <c r="QT176" i="5"/>
  <c r="QX176" i="5"/>
  <c r="RB176" i="5"/>
  <c r="RF176" i="5"/>
  <c r="RJ176" i="5"/>
  <c r="RN176" i="5"/>
  <c r="RR176" i="5"/>
  <c r="QV176" i="5"/>
  <c r="RD176" i="5"/>
  <c r="RL176" i="5"/>
  <c r="RT176" i="5"/>
  <c r="QY176" i="5"/>
  <c r="RG176" i="5"/>
  <c r="RO176" i="5"/>
  <c r="QZ176" i="5"/>
  <c r="RH176" i="5"/>
  <c r="RP176" i="5"/>
  <c r="QU176" i="5"/>
  <c r="RC176" i="5"/>
  <c r="RK176" i="5"/>
  <c r="RS176" i="5"/>
  <c r="QU161" i="5"/>
  <c r="QY161" i="5"/>
  <c r="RC161" i="5"/>
  <c r="RG161" i="5"/>
  <c r="RK161" i="5"/>
  <c r="RO161" i="5"/>
  <c r="RS161" i="5"/>
  <c r="QW161" i="5"/>
  <c r="RA161" i="5"/>
  <c r="RE161" i="5"/>
  <c r="RI161" i="5"/>
  <c r="QZ161" i="5"/>
  <c r="RH161" i="5"/>
  <c r="RN161" i="5"/>
  <c r="RT161" i="5"/>
  <c r="QT161" i="5"/>
  <c r="RB161" i="5"/>
  <c r="RJ161" i="5"/>
  <c r="RP161" i="5"/>
  <c r="RU161" i="5"/>
  <c r="QV161" i="5"/>
  <c r="RD161" i="5"/>
  <c r="RL161" i="5"/>
  <c r="RQ161" i="5"/>
  <c r="QX161" i="5"/>
  <c r="RF161" i="5"/>
  <c r="RM161" i="5"/>
  <c r="RR161" i="5"/>
  <c r="QU145" i="5"/>
  <c r="QY145" i="5"/>
  <c r="RC145" i="5"/>
  <c r="RG145" i="5"/>
  <c r="RK145" i="5"/>
  <c r="RO145" i="5"/>
  <c r="RS145" i="5"/>
  <c r="QV145" i="5"/>
  <c r="QZ145" i="5"/>
  <c r="RD145" i="5"/>
  <c r="RH145" i="5"/>
  <c r="RL145" i="5"/>
  <c r="RP145" i="5"/>
  <c r="RT145" i="5"/>
  <c r="QW145" i="5"/>
  <c r="RA145" i="5"/>
  <c r="RE145" i="5"/>
  <c r="RI145" i="5"/>
  <c r="RM145" i="5"/>
  <c r="RQ145" i="5"/>
  <c r="RU145" i="5"/>
  <c r="QT145" i="5"/>
  <c r="RJ145" i="5"/>
  <c r="QX145" i="5"/>
  <c r="RN145" i="5"/>
  <c r="RB145" i="5"/>
  <c r="RR145" i="5"/>
  <c r="RF145" i="5"/>
  <c r="QW100" i="5"/>
  <c r="RA100" i="5"/>
  <c r="RE100" i="5"/>
  <c r="RI100" i="5"/>
  <c r="RM100" i="5"/>
  <c r="RQ100" i="5"/>
  <c r="RU100" i="5"/>
  <c r="QT100" i="5"/>
  <c r="QX100" i="5"/>
  <c r="RB100" i="5"/>
  <c r="RF100" i="5"/>
  <c r="RJ100" i="5"/>
  <c r="RN100" i="5"/>
  <c r="RR100" i="5"/>
  <c r="QU100" i="5"/>
  <c r="QY100" i="5"/>
  <c r="RC100" i="5"/>
  <c r="RG100" i="5"/>
  <c r="RK100" i="5"/>
  <c r="RO100" i="5"/>
  <c r="RS100" i="5"/>
  <c r="RD100" i="5"/>
  <c r="RT100" i="5"/>
  <c r="RH100" i="5"/>
  <c r="QV100" i="5"/>
  <c r="RL100" i="5"/>
  <c r="RP100" i="5"/>
  <c r="QZ100" i="5"/>
  <c r="QW28" i="5"/>
  <c r="RA28" i="5"/>
  <c r="RE28" i="5"/>
  <c r="RI28" i="5"/>
  <c r="RM28" i="5"/>
  <c r="RQ28" i="5"/>
  <c r="RU28" i="5"/>
  <c r="QT28" i="5"/>
  <c r="QX28" i="5"/>
  <c r="RB28" i="5"/>
  <c r="RF28" i="5"/>
  <c r="RJ28" i="5"/>
  <c r="RN28" i="5"/>
  <c r="RR28" i="5"/>
  <c r="QU28" i="5"/>
  <c r="QY28" i="5"/>
  <c r="RC28" i="5"/>
  <c r="RG28" i="5"/>
  <c r="RK28" i="5"/>
  <c r="RO28" i="5"/>
  <c r="RS28" i="5"/>
  <c r="RH28" i="5"/>
  <c r="QV28" i="5"/>
  <c r="RL28" i="5"/>
  <c r="QZ28" i="5"/>
  <c r="RP28" i="5"/>
  <c r="RD28" i="5"/>
  <c r="RT28" i="5"/>
  <c r="QT234" i="5"/>
  <c r="QX234" i="5"/>
  <c r="RB234" i="5"/>
  <c r="RF234" i="5"/>
  <c r="RJ234" i="5"/>
  <c r="RN234" i="5"/>
  <c r="RR234" i="5"/>
  <c r="QU234" i="5"/>
  <c r="QY234" i="5"/>
  <c r="RC234" i="5"/>
  <c r="RG234" i="5"/>
  <c r="RK234" i="5"/>
  <c r="RO234" i="5"/>
  <c r="RS234" i="5"/>
  <c r="QV234" i="5"/>
  <c r="QZ234" i="5"/>
  <c r="RD234" i="5"/>
  <c r="RH234" i="5"/>
  <c r="RL234" i="5"/>
  <c r="RP234" i="5"/>
  <c r="RT234" i="5"/>
  <c r="RI234" i="5"/>
  <c r="QW234" i="5"/>
  <c r="RM234" i="5"/>
  <c r="RA234" i="5"/>
  <c r="RQ234" i="5"/>
  <c r="RE234" i="5"/>
  <c r="RU234" i="5"/>
  <c r="QV196" i="5"/>
  <c r="QZ196" i="5"/>
  <c r="RD196" i="5"/>
  <c r="RH196" i="5"/>
  <c r="RL196" i="5"/>
  <c r="RP196" i="5"/>
  <c r="RT196" i="5"/>
  <c r="QW196" i="5"/>
  <c r="RA196" i="5"/>
  <c r="RE196" i="5"/>
  <c r="RI196" i="5"/>
  <c r="RM196" i="5"/>
  <c r="RQ196" i="5"/>
  <c r="RU196" i="5"/>
  <c r="QT196" i="5"/>
  <c r="QX196" i="5"/>
  <c r="RB196" i="5"/>
  <c r="RF196" i="5"/>
  <c r="RJ196" i="5"/>
  <c r="RN196" i="5"/>
  <c r="RR196" i="5"/>
  <c r="QY196" i="5"/>
  <c r="RO196" i="5"/>
  <c r="RC196" i="5"/>
  <c r="RS196" i="5"/>
  <c r="RG196" i="5"/>
  <c r="QU196" i="5"/>
  <c r="RK196" i="5"/>
  <c r="QU166" i="5"/>
  <c r="QY166" i="5"/>
  <c r="RC166" i="5"/>
  <c r="RG166" i="5"/>
  <c r="RK166" i="5"/>
  <c r="QW166" i="5"/>
  <c r="RB166" i="5"/>
  <c r="RH166" i="5"/>
  <c r="RM166" i="5"/>
  <c r="RQ166" i="5"/>
  <c r="RU166" i="5"/>
  <c r="QX166" i="5"/>
  <c r="RD166" i="5"/>
  <c r="RI166" i="5"/>
  <c r="RN166" i="5"/>
  <c r="RR166" i="5"/>
  <c r="QT166" i="5"/>
  <c r="QZ166" i="5"/>
  <c r="RE166" i="5"/>
  <c r="RJ166" i="5"/>
  <c r="RO166" i="5"/>
  <c r="RS166" i="5"/>
  <c r="RL166" i="5"/>
  <c r="QV166" i="5"/>
  <c r="RP166" i="5"/>
  <c r="RA166" i="5"/>
  <c r="RT166" i="5"/>
  <c r="RF166" i="5"/>
  <c r="CQ166" i="5" s="1"/>
  <c r="QU136" i="5"/>
  <c r="QY136" i="5"/>
  <c r="RC136" i="5"/>
  <c r="RG136" i="5"/>
  <c r="RK136" i="5"/>
  <c r="RO136" i="5"/>
  <c r="RS136" i="5"/>
  <c r="QV136" i="5"/>
  <c r="QZ136" i="5"/>
  <c r="RD136" i="5"/>
  <c r="RH136" i="5"/>
  <c r="RL136" i="5"/>
  <c r="CQ136" i="5" s="1"/>
  <c r="RP136" i="5"/>
  <c r="RT136" i="5"/>
  <c r="QW136" i="5"/>
  <c r="RA136" i="5"/>
  <c r="RE136" i="5"/>
  <c r="RI136" i="5"/>
  <c r="RM136" i="5"/>
  <c r="RQ136" i="5"/>
  <c r="RU136" i="5"/>
  <c r="QX136" i="5"/>
  <c r="RN136" i="5"/>
  <c r="RB136" i="5"/>
  <c r="RR136" i="5"/>
  <c r="RF136" i="5"/>
  <c r="QT136" i="5"/>
  <c r="RJ136" i="5"/>
  <c r="QW65" i="5"/>
  <c r="RA65" i="5"/>
  <c r="CQ65" i="5" s="1"/>
  <c r="RE65" i="5"/>
  <c r="RI65" i="5"/>
  <c r="RM65" i="5"/>
  <c r="RQ65" i="5"/>
  <c r="RU65" i="5"/>
  <c r="QT65" i="5"/>
  <c r="QX65" i="5"/>
  <c r="RB65" i="5"/>
  <c r="RF65" i="5"/>
  <c r="RJ65" i="5"/>
  <c r="RN65" i="5"/>
  <c r="RR65" i="5"/>
  <c r="QV65" i="5"/>
  <c r="RD65" i="5"/>
  <c r="RL65" i="5"/>
  <c r="RT65" i="5"/>
  <c r="QY65" i="5"/>
  <c r="RG65" i="5"/>
  <c r="RO65" i="5"/>
  <c r="QZ65" i="5"/>
  <c r="RH65" i="5"/>
  <c r="RP65" i="5"/>
  <c r="RK65" i="5"/>
  <c r="RS65" i="5"/>
  <c r="QU65" i="5"/>
  <c r="RC65" i="5"/>
  <c r="QT236" i="5"/>
  <c r="QX236" i="5"/>
  <c r="RB236" i="5"/>
  <c r="RF236" i="5"/>
  <c r="RJ236" i="5"/>
  <c r="RN236" i="5"/>
  <c r="RR236" i="5"/>
  <c r="QU236" i="5"/>
  <c r="QY236" i="5"/>
  <c r="RC236" i="5"/>
  <c r="RG236" i="5"/>
  <c r="RK236" i="5"/>
  <c r="RO236" i="5"/>
  <c r="RS236" i="5"/>
  <c r="QV236" i="5"/>
  <c r="QZ236" i="5"/>
  <c r="RD236" i="5"/>
  <c r="RH236" i="5"/>
  <c r="RL236" i="5"/>
  <c r="RP236" i="5"/>
  <c r="RT236" i="5"/>
  <c r="RA236" i="5"/>
  <c r="RQ236" i="5"/>
  <c r="RE236" i="5"/>
  <c r="RU236" i="5"/>
  <c r="RI236" i="5"/>
  <c r="QW236" i="5"/>
  <c r="RM236" i="5"/>
  <c r="QW191" i="5"/>
  <c r="RA191" i="5"/>
  <c r="RE191" i="5"/>
  <c r="RI191" i="5"/>
  <c r="RM191" i="5"/>
  <c r="RQ191" i="5"/>
  <c r="RU191" i="5"/>
  <c r="QT191" i="5"/>
  <c r="QX191" i="5"/>
  <c r="CQ191" i="5" s="1"/>
  <c r="RB191" i="5"/>
  <c r="RF191" i="5"/>
  <c r="RJ191" i="5"/>
  <c r="RN191" i="5"/>
  <c r="RR191" i="5"/>
  <c r="QZ191" i="5"/>
  <c r="RH191" i="5"/>
  <c r="RP191" i="5"/>
  <c r="QU191" i="5"/>
  <c r="RC191" i="5"/>
  <c r="RK191" i="5"/>
  <c r="RS191" i="5"/>
  <c r="QV191" i="5"/>
  <c r="RD191" i="5"/>
  <c r="RL191" i="5"/>
  <c r="RT191" i="5"/>
  <c r="QY191" i="5"/>
  <c r="RG191" i="5"/>
  <c r="RO191" i="5"/>
  <c r="QU160" i="5"/>
  <c r="QY160" i="5"/>
  <c r="RC160" i="5"/>
  <c r="RG160" i="5"/>
  <c r="RK160" i="5"/>
  <c r="RO160" i="5"/>
  <c r="RS160" i="5"/>
  <c r="QW160" i="5"/>
  <c r="RA160" i="5"/>
  <c r="RE160" i="5"/>
  <c r="RI160" i="5"/>
  <c r="RM160" i="5"/>
  <c r="RQ160" i="5"/>
  <c r="RU160" i="5"/>
  <c r="QV160" i="5"/>
  <c r="RD160" i="5"/>
  <c r="RL160" i="5"/>
  <c r="RT160" i="5"/>
  <c r="QX160" i="5"/>
  <c r="RF160" i="5"/>
  <c r="RN160" i="5"/>
  <c r="QZ160" i="5"/>
  <c r="RH160" i="5"/>
  <c r="RP160" i="5"/>
  <c r="QT160" i="5"/>
  <c r="RB160" i="5"/>
  <c r="RJ160" i="5"/>
  <c r="RR160" i="5"/>
  <c r="QT11" i="5"/>
  <c r="QX11" i="5"/>
  <c r="RB11" i="5"/>
  <c r="RF11" i="5"/>
  <c r="RJ11" i="5"/>
  <c r="RN11" i="5"/>
  <c r="RR11" i="5"/>
  <c r="QU11" i="5"/>
  <c r="QY11" i="5"/>
  <c r="RC11" i="5"/>
  <c r="RG11" i="5"/>
  <c r="RK11" i="5"/>
  <c r="RO11" i="5"/>
  <c r="RS11" i="5"/>
  <c r="QV11" i="5"/>
  <c r="QZ11" i="5"/>
  <c r="RD11" i="5"/>
  <c r="RH11" i="5"/>
  <c r="RL11" i="5"/>
  <c r="RP11" i="5"/>
  <c r="RT11" i="5"/>
  <c r="RA11" i="5"/>
  <c r="RQ11" i="5"/>
  <c r="CQ11" i="5" s="1"/>
  <c r="RE11" i="5"/>
  <c r="RU11" i="5"/>
  <c r="QW11" i="5"/>
  <c r="RI11" i="5"/>
  <c r="RM11" i="5"/>
  <c r="QT230" i="5"/>
  <c r="QX230" i="5"/>
  <c r="RB230" i="5"/>
  <c r="RF230" i="5"/>
  <c r="RJ230" i="5"/>
  <c r="RN230" i="5"/>
  <c r="RR230" i="5"/>
  <c r="QU230" i="5"/>
  <c r="QY230" i="5"/>
  <c r="RC230" i="5"/>
  <c r="RG230" i="5"/>
  <c r="RK230" i="5"/>
  <c r="RO230" i="5"/>
  <c r="RS230" i="5"/>
  <c r="QV230" i="5"/>
  <c r="QZ230" i="5"/>
  <c r="RD230" i="5"/>
  <c r="RH230" i="5"/>
  <c r="RL230" i="5"/>
  <c r="RP230" i="5"/>
  <c r="RT230" i="5"/>
  <c r="RI230" i="5"/>
  <c r="QW230" i="5"/>
  <c r="RM230" i="5"/>
  <c r="RA230" i="5"/>
  <c r="RQ230" i="5"/>
  <c r="RE230" i="5"/>
  <c r="RU230" i="5"/>
  <c r="QW192" i="5"/>
  <c r="RA192" i="5"/>
  <c r="RE192" i="5"/>
  <c r="RI192" i="5"/>
  <c r="RM192" i="5"/>
  <c r="RQ192" i="5"/>
  <c r="RU192" i="5"/>
  <c r="QT192" i="5"/>
  <c r="QX192" i="5"/>
  <c r="RB192" i="5"/>
  <c r="RF192" i="5"/>
  <c r="RJ192" i="5"/>
  <c r="RN192" i="5"/>
  <c r="RR192" i="5"/>
  <c r="QZ192" i="5"/>
  <c r="RH192" i="5"/>
  <c r="RP192" i="5"/>
  <c r="QU192" i="5"/>
  <c r="RC192" i="5"/>
  <c r="RK192" i="5"/>
  <c r="RS192" i="5"/>
  <c r="QV192" i="5"/>
  <c r="RD192" i="5"/>
  <c r="RL192" i="5"/>
  <c r="RT192" i="5"/>
  <c r="QY192" i="5"/>
  <c r="RG192" i="5"/>
  <c r="RO192" i="5"/>
  <c r="QU162" i="5"/>
  <c r="QY162" i="5"/>
  <c r="RC162" i="5"/>
  <c r="RG162" i="5"/>
  <c r="RK162" i="5"/>
  <c r="RO162" i="5"/>
  <c r="RS162" i="5"/>
  <c r="QW162" i="5"/>
  <c r="RB162" i="5"/>
  <c r="RH162" i="5"/>
  <c r="RM162" i="5"/>
  <c r="RR162" i="5"/>
  <c r="QX162" i="5"/>
  <c r="RD162" i="5"/>
  <c r="RI162" i="5"/>
  <c r="RN162" i="5"/>
  <c r="RT162" i="5"/>
  <c r="QT162" i="5"/>
  <c r="QZ162" i="5"/>
  <c r="RE162" i="5"/>
  <c r="CQ162" i="5" s="1"/>
  <c r="RJ162" i="5"/>
  <c r="RP162" i="5"/>
  <c r="RU162" i="5"/>
  <c r="QV162" i="5"/>
  <c r="RQ162" i="5"/>
  <c r="RA162" i="5"/>
  <c r="RF162" i="5"/>
  <c r="RL162" i="5"/>
  <c r="QU132" i="5"/>
  <c r="QY132" i="5"/>
  <c r="RC132" i="5"/>
  <c r="RG132" i="5"/>
  <c r="RK132" i="5"/>
  <c r="RO132" i="5"/>
  <c r="RS132" i="5"/>
  <c r="QV132" i="5"/>
  <c r="QZ132" i="5"/>
  <c r="RD132" i="5"/>
  <c r="RH132" i="5"/>
  <c r="RL132" i="5"/>
  <c r="RP132" i="5"/>
  <c r="RT132" i="5"/>
  <c r="QW132" i="5"/>
  <c r="RA132" i="5"/>
  <c r="RE132" i="5"/>
  <c r="RI132" i="5"/>
  <c r="RM132" i="5"/>
  <c r="RQ132" i="5"/>
  <c r="RU132" i="5"/>
  <c r="QX132" i="5"/>
  <c r="RN132" i="5"/>
  <c r="RB132" i="5"/>
  <c r="RR132" i="5"/>
  <c r="RF132" i="5"/>
  <c r="QT132" i="5"/>
  <c r="RJ132" i="5"/>
  <c r="QW29" i="5"/>
  <c r="RA29" i="5"/>
  <c r="RE29" i="5"/>
  <c r="RI29" i="5"/>
  <c r="RM29" i="5"/>
  <c r="RQ29" i="5"/>
  <c r="RU29" i="5"/>
  <c r="QT29" i="5"/>
  <c r="QX29" i="5"/>
  <c r="RB29" i="5"/>
  <c r="RF29" i="5"/>
  <c r="RJ29" i="5"/>
  <c r="RN29" i="5"/>
  <c r="RR29" i="5"/>
  <c r="QU29" i="5"/>
  <c r="QY29" i="5"/>
  <c r="RC29" i="5"/>
  <c r="RG29" i="5"/>
  <c r="RK29" i="5"/>
  <c r="RO29" i="5"/>
  <c r="RS29" i="5"/>
  <c r="CQ29" i="5" s="1"/>
  <c r="QV29" i="5"/>
  <c r="RL29" i="5"/>
  <c r="QZ29" i="5"/>
  <c r="RP29" i="5"/>
  <c r="RD29" i="5"/>
  <c r="RT29" i="5"/>
  <c r="RH29" i="5"/>
  <c r="QT224" i="5"/>
  <c r="QX224" i="5"/>
  <c r="RB224" i="5"/>
  <c r="RF224" i="5"/>
  <c r="RJ224" i="5"/>
  <c r="RN224" i="5"/>
  <c r="RR224" i="5"/>
  <c r="QU224" i="5"/>
  <c r="QY224" i="5"/>
  <c r="RC224" i="5"/>
  <c r="RG224" i="5"/>
  <c r="RK224" i="5"/>
  <c r="RO224" i="5"/>
  <c r="RS224" i="5"/>
  <c r="QV224" i="5"/>
  <c r="QZ224" i="5"/>
  <c r="RD224" i="5"/>
  <c r="RH224" i="5"/>
  <c r="RL224" i="5"/>
  <c r="RP224" i="5"/>
  <c r="RT224" i="5"/>
  <c r="RA224" i="5"/>
  <c r="RQ224" i="5"/>
  <c r="RE224" i="5"/>
  <c r="RU224" i="5"/>
  <c r="RI224" i="5"/>
  <c r="QW224" i="5"/>
  <c r="RM224" i="5"/>
  <c r="QW179" i="5"/>
  <c r="RA179" i="5"/>
  <c r="RE179" i="5"/>
  <c r="RI179" i="5"/>
  <c r="RM179" i="5"/>
  <c r="RQ179" i="5"/>
  <c r="RU179" i="5"/>
  <c r="QT179" i="5"/>
  <c r="CQ179" i="5" s="1"/>
  <c r="QX179" i="5"/>
  <c r="RB179" i="5"/>
  <c r="RF179" i="5"/>
  <c r="RJ179" i="5"/>
  <c r="RN179" i="5"/>
  <c r="RR179" i="5"/>
  <c r="QZ179" i="5"/>
  <c r="RH179" i="5"/>
  <c r="RP179" i="5"/>
  <c r="QU179" i="5"/>
  <c r="RC179" i="5"/>
  <c r="RK179" i="5"/>
  <c r="RS179" i="5"/>
  <c r="QV179" i="5"/>
  <c r="RD179" i="5"/>
  <c r="RL179" i="5"/>
  <c r="RT179" i="5"/>
  <c r="RG179" i="5"/>
  <c r="RO179" i="5"/>
  <c r="QY179" i="5"/>
  <c r="QU148" i="5"/>
  <c r="QY148" i="5"/>
  <c r="RC148" i="5"/>
  <c r="RG148" i="5"/>
  <c r="RK148" i="5"/>
  <c r="RO148" i="5"/>
  <c r="RS148" i="5"/>
  <c r="QV148" i="5"/>
  <c r="QZ148" i="5"/>
  <c r="RD148" i="5"/>
  <c r="RH148" i="5"/>
  <c r="RL148" i="5"/>
  <c r="RP148" i="5"/>
  <c r="RT148" i="5"/>
  <c r="QW148" i="5"/>
  <c r="RA148" i="5"/>
  <c r="RE148" i="5"/>
  <c r="RI148" i="5"/>
  <c r="RM148" i="5"/>
  <c r="RQ148" i="5"/>
  <c r="RU148" i="5"/>
  <c r="RF148" i="5"/>
  <c r="QT148" i="5"/>
  <c r="RJ148" i="5"/>
  <c r="QX148" i="5"/>
  <c r="RN148" i="5"/>
  <c r="RB148" i="5"/>
  <c r="RR148" i="5"/>
  <c r="QU87" i="5"/>
  <c r="QY87" i="5"/>
  <c r="RC87" i="5"/>
  <c r="RG87" i="5"/>
  <c r="RK87" i="5"/>
  <c r="RO87" i="5"/>
  <c r="RS87" i="5"/>
  <c r="QV87" i="5"/>
  <c r="QZ87" i="5"/>
  <c r="RD87" i="5"/>
  <c r="RH87" i="5"/>
  <c r="RL87" i="5"/>
  <c r="RP87" i="5"/>
  <c r="RT87" i="5"/>
  <c r="QW87" i="5"/>
  <c r="RE87" i="5"/>
  <c r="RM87" i="5"/>
  <c r="RU87" i="5"/>
  <c r="QX87" i="5"/>
  <c r="RF87" i="5"/>
  <c r="RN87" i="5"/>
  <c r="RA87" i="5"/>
  <c r="RI87" i="5"/>
  <c r="RQ87" i="5"/>
  <c r="RB87" i="5"/>
  <c r="RJ87" i="5"/>
  <c r="RR87" i="5"/>
  <c r="QT87" i="5"/>
  <c r="CQ103" i="5"/>
  <c r="QT223" i="5"/>
  <c r="QX223" i="5"/>
  <c r="RB223" i="5"/>
  <c r="RF223" i="5"/>
  <c r="RJ223" i="5"/>
  <c r="RN223" i="5"/>
  <c r="RR223" i="5"/>
  <c r="QU223" i="5"/>
  <c r="QY223" i="5"/>
  <c r="RC223" i="5"/>
  <c r="RG223" i="5"/>
  <c r="RK223" i="5"/>
  <c r="RO223" i="5"/>
  <c r="RS223" i="5"/>
  <c r="QV223" i="5"/>
  <c r="QZ223" i="5"/>
  <c r="RD223" i="5"/>
  <c r="RH223" i="5"/>
  <c r="RL223" i="5"/>
  <c r="RP223" i="5"/>
  <c r="RT223" i="5"/>
  <c r="QW223" i="5"/>
  <c r="RM223" i="5"/>
  <c r="RA223" i="5"/>
  <c r="RQ223" i="5"/>
  <c r="RE223" i="5"/>
  <c r="RU223" i="5"/>
  <c r="CQ223" i="5" s="1"/>
  <c r="RI223" i="5"/>
  <c r="QV219" i="5"/>
  <c r="QZ219" i="5"/>
  <c r="RD219" i="5"/>
  <c r="QW219" i="5"/>
  <c r="RA219" i="5"/>
  <c r="RE219" i="5"/>
  <c r="RI219" i="5"/>
  <c r="RM219" i="5"/>
  <c r="RQ219" i="5"/>
  <c r="RU219" i="5"/>
  <c r="QT219" i="5"/>
  <c r="QX219" i="5"/>
  <c r="RB219" i="5"/>
  <c r="RF219" i="5"/>
  <c r="RJ219" i="5"/>
  <c r="RN219" i="5"/>
  <c r="RR219" i="5"/>
  <c r="RC219" i="5"/>
  <c r="RL219" i="5"/>
  <c r="RT219" i="5"/>
  <c r="RG219" i="5"/>
  <c r="RO219" i="5"/>
  <c r="QU219" i="5"/>
  <c r="RH219" i="5"/>
  <c r="RP219" i="5"/>
  <c r="QY219" i="5"/>
  <c r="RK219" i="5"/>
  <c r="RS219" i="5"/>
  <c r="QW190" i="5"/>
  <c r="RA190" i="5"/>
  <c r="RE190" i="5"/>
  <c r="RI190" i="5"/>
  <c r="RM190" i="5"/>
  <c r="RQ190" i="5"/>
  <c r="RU190" i="5"/>
  <c r="QT190" i="5"/>
  <c r="QX190" i="5"/>
  <c r="RB190" i="5"/>
  <c r="RF190" i="5"/>
  <c r="RJ190" i="5"/>
  <c r="RN190" i="5"/>
  <c r="RR190" i="5"/>
  <c r="QV190" i="5"/>
  <c r="RD190" i="5"/>
  <c r="RL190" i="5"/>
  <c r="RT190" i="5"/>
  <c r="QY190" i="5"/>
  <c r="RG190" i="5"/>
  <c r="RO190" i="5"/>
  <c r="QZ190" i="5"/>
  <c r="RH190" i="5"/>
  <c r="RP190" i="5"/>
  <c r="RS190" i="5"/>
  <c r="QU190" i="5"/>
  <c r="RC190" i="5"/>
  <c r="RK190" i="5"/>
  <c r="QW174" i="5"/>
  <c r="RA174" i="5"/>
  <c r="RE174" i="5"/>
  <c r="RI174" i="5"/>
  <c r="RM174" i="5"/>
  <c r="RQ174" i="5"/>
  <c r="RU174" i="5"/>
  <c r="QT174" i="5"/>
  <c r="QX174" i="5"/>
  <c r="RB174" i="5"/>
  <c r="RF174" i="5"/>
  <c r="RJ174" i="5"/>
  <c r="RN174" i="5"/>
  <c r="RR174" i="5"/>
  <c r="QV174" i="5"/>
  <c r="RD174" i="5"/>
  <c r="RL174" i="5"/>
  <c r="RT174" i="5"/>
  <c r="QY174" i="5"/>
  <c r="RG174" i="5"/>
  <c r="RO174" i="5"/>
  <c r="QZ174" i="5"/>
  <c r="RH174" i="5"/>
  <c r="RP174" i="5"/>
  <c r="RS174" i="5"/>
  <c r="QU174" i="5"/>
  <c r="RC174" i="5"/>
  <c r="RK174" i="5"/>
  <c r="QU159" i="5"/>
  <c r="QY159" i="5"/>
  <c r="RC159" i="5"/>
  <c r="RG159" i="5"/>
  <c r="RK159" i="5"/>
  <c r="RO159" i="5"/>
  <c r="RS159" i="5"/>
  <c r="QW159" i="5"/>
  <c r="RA159" i="5"/>
  <c r="RE159" i="5"/>
  <c r="RI159" i="5"/>
  <c r="RM159" i="5"/>
  <c r="RQ159" i="5"/>
  <c r="RU159" i="5"/>
  <c r="QZ159" i="5"/>
  <c r="RH159" i="5"/>
  <c r="RP159" i="5"/>
  <c r="QT159" i="5"/>
  <c r="RB159" i="5"/>
  <c r="RJ159" i="5"/>
  <c r="RR159" i="5"/>
  <c r="QV159" i="5"/>
  <c r="RD159" i="5"/>
  <c r="RL159" i="5"/>
  <c r="RT159" i="5"/>
  <c r="QX159" i="5"/>
  <c r="RF159" i="5"/>
  <c r="RN159" i="5"/>
  <c r="QT245" i="5"/>
  <c r="QX245" i="5"/>
  <c r="RB245" i="5"/>
  <c r="RF245" i="5"/>
  <c r="RJ245" i="5"/>
  <c r="RN245" i="5"/>
  <c r="RR245" i="5"/>
  <c r="QU245" i="5"/>
  <c r="QY245" i="5"/>
  <c r="RC245" i="5"/>
  <c r="RG245" i="5"/>
  <c r="RK245" i="5"/>
  <c r="RO245" i="5"/>
  <c r="RS245" i="5"/>
  <c r="QV245" i="5"/>
  <c r="QZ245" i="5"/>
  <c r="RD245" i="5"/>
  <c r="RH245" i="5"/>
  <c r="RL245" i="5"/>
  <c r="RP245" i="5"/>
  <c r="RT245" i="5"/>
  <c r="RE245" i="5"/>
  <c r="RU245" i="5"/>
  <c r="CQ245" i="5" s="1"/>
  <c r="RI245" i="5"/>
  <c r="QW245" i="5"/>
  <c r="RM245" i="5"/>
  <c r="RQ245" i="5"/>
  <c r="RA245" i="5"/>
  <c r="QT229" i="5"/>
  <c r="QX229" i="5"/>
  <c r="RB229" i="5"/>
  <c r="RF229" i="5"/>
  <c r="RJ229" i="5"/>
  <c r="RN229" i="5"/>
  <c r="RR229" i="5"/>
  <c r="QU229" i="5"/>
  <c r="QY229" i="5"/>
  <c r="RC229" i="5"/>
  <c r="RG229" i="5"/>
  <c r="RK229" i="5"/>
  <c r="RO229" i="5"/>
  <c r="RS229" i="5"/>
  <c r="QV229" i="5"/>
  <c r="QZ229" i="5"/>
  <c r="RD229" i="5"/>
  <c r="RH229" i="5"/>
  <c r="RL229" i="5"/>
  <c r="RP229" i="5"/>
  <c r="RT229" i="5"/>
  <c r="RE229" i="5"/>
  <c r="RU229" i="5"/>
  <c r="RI229" i="5"/>
  <c r="QW229" i="5"/>
  <c r="RM229" i="5"/>
  <c r="RA229" i="5"/>
  <c r="RQ229" i="5"/>
  <c r="QW188" i="5"/>
  <c r="RA188" i="5"/>
  <c r="RE188" i="5"/>
  <c r="RI188" i="5"/>
  <c r="RM188" i="5"/>
  <c r="RQ188" i="5"/>
  <c r="RU188" i="5"/>
  <c r="QT188" i="5"/>
  <c r="QX188" i="5"/>
  <c r="RB188" i="5"/>
  <c r="RF188" i="5"/>
  <c r="RJ188" i="5"/>
  <c r="RN188" i="5"/>
  <c r="RR188" i="5"/>
  <c r="QV188" i="5"/>
  <c r="RD188" i="5"/>
  <c r="RL188" i="5"/>
  <c r="RT188" i="5"/>
  <c r="QY188" i="5"/>
  <c r="RG188" i="5"/>
  <c r="RO188" i="5"/>
  <c r="QZ188" i="5"/>
  <c r="RH188" i="5"/>
  <c r="RP188" i="5"/>
  <c r="RK188" i="5"/>
  <c r="RS188" i="5"/>
  <c r="QU188" i="5"/>
  <c r="RC188" i="5"/>
  <c r="QU157" i="5"/>
  <c r="QY157" i="5"/>
  <c r="CQ157" i="5" s="1"/>
  <c r="RC157" i="5"/>
  <c r="RG157" i="5"/>
  <c r="RK157" i="5"/>
  <c r="RO157" i="5"/>
  <c r="RS157" i="5"/>
  <c r="QW157" i="5"/>
  <c r="RA157" i="5"/>
  <c r="RE157" i="5"/>
  <c r="RI157" i="5"/>
  <c r="RM157" i="5"/>
  <c r="RQ157" i="5"/>
  <c r="RU157" i="5"/>
  <c r="QZ157" i="5"/>
  <c r="RH157" i="5"/>
  <c r="RP157" i="5"/>
  <c r="QT157" i="5"/>
  <c r="RB157" i="5"/>
  <c r="RJ157" i="5"/>
  <c r="RR157" i="5"/>
  <c r="QV157" i="5"/>
  <c r="RD157" i="5"/>
  <c r="RL157" i="5"/>
  <c r="RT157" i="5"/>
  <c r="RN157" i="5"/>
  <c r="QX157" i="5"/>
  <c r="RF157" i="5"/>
  <c r="QW127" i="5"/>
  <c r="RA127" i="5"/>
  <c r="RE127" i="5"/>
  <c r="RI127" i="5"/>
  <c r="RM127" i="5"/>
  <c r="RQ127" i="5"/>
  <c r="RU127" i="5"/>
  <c r="QT127" i="5"/>
  <c r="QX127" i="5"/>
  <c r="RB127" i="5"/>
  <c r="RF127" i="5"/>
  <c r="RJ127" i="5"/>
  <c r="RN127" i="5"/>
  <c r="CQ127" i="5" s="1"/>
  <c r="RR127" i="5"/>
  <c r="QU127" i="5"/>
  <c r="RC127" i="5"/>
  <c r="RK127" i="5"/>
  <c r="RS127" i="5"/>
  <c r="QV127" i="5"/>
  <c r="RD127" i="5"/>
  <c r="RL127" i="5"/>
  <c r="RT127" i="5"/>
  <c r="QY127" i="5"/>
  <c r="RG127" i="5"/>
  <c r="RO127" i="5"/>
  <c r="RP127" i="5"/>
  <c r="QZ127" i="5"/>
  <c r="RH127" i="5"/>
  <c r="QU92" i="5"/>
  <c r="QY92" i="5"/>
  <c r="RC92" i="5"/>
  <c r="RG92" i="5"/>
  <c r="RK92" i="5"/>
  <c r="RO92" i="5"/>
  <c r="RS92" i="5"/>
  <c r="QV92" i="5"/>
  <c r="QZ92" i="5"/>
  <c r="RD92" i="5"/>
  <c r="RH92" i="5"/>
  <c r="RL92" i="5"/>
  <c r="CQ92" i="5" s="1"/>
  <c r="RP92" i="5"/>
  <c r="RT92" i="5"/>
  <c r="RA92" i="5"/>
  <c r="RI92" i="5"/>
  <c r="RQ92" i="5"/>
  <c r="QT92" i="5"/>
  <c r="RB92" i="5"/>
  <c r="RJ92" i="5"/>
  <c r="RR92" i="5"/>
  <c r="QW92" i="5"/>
  <c r="RE92" i="5"/>
  <c r="RM92" i="5"/>
  <c r="RU92" i="5"/>
  <c r="QX92" i="5"/>
  <c r="RF92" i="5"/>
  <c r="RN92" i="5"/>
  <c r="QT226" i="5"/>
  <c r="QX226" i="5"/>
  <c r="RB226" i="5"/>
  <c r="RF226" i="5"/>
  <c r="RJ226" i="5"/>
  <c r="RN226" i="5"/>
  <c r="RR226" i="5"/>
  <c r="QU226" i="5"/>
  <c r="QY226" i="5"/>
  <c r="RC226" i="5"/>
  <c r="RG226" i="5"/>
  <c r="RK226" i="5"/>
  <c r="RO226" i="5"/>
  <c r="RS226" i="5"/>
  <c r="QV226" i="5"/>
  <c r="QZ226" i="5"/>
  <c r="RD226" i="5"/>
  <c r="RH226" i="5"/>
  <c r="RL226" i="5"/>
  <c r="RP226" i="5"/>
  <c r="RT226" i="5"/>
  <c r="RI226" i="5"/>
  <c r="QW226" i="5"/>
  <c r="RM226" i="5"/>
  <c r="RA226" i="5"/>
  <c r="RQ226" i="5"/>
  <c r="RE226" i="5"/>
  <c r="RU226" i="5"/>
  <c r="CQ226" i="5" s="1"/>
  <c r="QW189" i="5"/>
  <c r="RA189" i="5"/>
  <c r="RE189" i="5"/>
  <c r="RI189" i="5"/>
  <c r="RM189" i="5"/>
  <c r="RQ189" i="5"/>
  <c r="RU189" i="5"/>
  <c r="QT189" i="5"/>
  <c r="QX189" i="5"/>
  <c r="RB189" i="5"/>
  <c r="RF189" i="5"/>
  <c r="RJ189" i="5"/>
  <c r="RN189" i="5"/>
  <c r="RR189" i="5"/>
  <c r="QZ189" i="5"/>
  <c r="RH189" i="5"/>
  <c r="RP189" i="5"/>
  <c r="QU189" i="5"/>
  <c r="RC189" i="5"/>
  <c r="RK189" i="5"/>
  <c r="RS189" i="5"/>
  <c r="QV189" i="5"/>
  <c r="RD189" i="5"/>
  <c r="RL189" i="5"/>
  <c r="RT189" i="5"/>
  <c r="RO189" i="5"/>
  <c r="QY189" i="5"/>
  <c r="RG189" i="5"/>
  <c r="QU158" i="5"/>
  <c r="QY158" i="5"/>
  <c r="RC158" i="5"/>
  <c r="RG158" i="5"/>
  <c r="RK158" i="5"/>
  <c r="RO158" i="5"/>
  <c r="CQ158" i="5" s="1"/>
  <c r="RS158" i="5"/>
  <c r="QW158" i="5"/>
  <c r="RA158" i="5"/>
  <c r="RE158" i="5"/>
  <c r="RI158" i="5"/>
  <c r="RM158" i="5"/>
  <c r="RQ158" i="5"/>
  <c r="RU158" i="5"/>
  <c r="QV158" i="5"/>
  <c r="RD158" i="5"/>
  <c r="RL158" i="5"/>
  <c r="RT158" i="5"/>
  <c r="QX158" i="5"/>
  <c r="RF158" i="5"/>
  <c r="RN158" i="5"/>
  <c r="QZ158" i="5"/>
  <c r="RH158" i="5"/>
  <c r="RP158" i="5"/>
  <c r="RR158" i="5"/>
  <c r="QT158" i="5"/>
  <c r="RB158" i="5"/>
  <c r="RJ158" i="5"/>
  <c r="QW128" i="5"/>
  <c r="RA128" i="5"/>
  <c r="RE128" i="5"/>
  <c r="RI128" i="5"/>
  <c r="RM128" i="5"/>
  <c r="RQ128" i="5"/>
  <c r="RU128" i="5"/>
  <c r="QT128" i="5"/>
  <c r="QX128" i="5"/>
  <c r="RB128" i="5"/>
  <c r="RF128" i="5"/>
  <c r="RJ128" i="5"/>
  <c r="RN128" i="5"/>
  <c r="RR128" i="5"/>
  <c r="QY128" i="5"/>
  <c r="RG128" i="5"/>
  <c r="RO128" i="5"/>
  <c r="QZ128" i="5"/>
  <c r="RH128" i="5"/>
  <c r="RP128" i="5"/>
  <c r="QU128" i="5"/>
  <c r="RC128" i="5"/>
  <c r="RK128" i="5"/>
  <c r="RS128" i="5"/>
  <c r="RT128" i="5"/>
  <c r="QV128" i="5"/>
  <c r="RD128" i="5"/>
  <c r="RL128" i="5"/>
  <c r="QW33" i="5"/>
  <c r="RA33" i="5"/>
  <c r="RE33" i="5"/>
  <c r="RI33" i="5"/>
  <c r="RM33" i="5"/>
  <c r="RQ33" i="5"/>
  <c r="RU33" i="5"/>
  <c r="QX33" i="5"/>
  <c r="RC33" i="5"/>
  <c r="RH33" i="5"/>
  <c r="RN33" i="5"/>
  <c r="CQ33" i="5" s="1"/>
  <c r="RS33" i="5"/>
  <c r="QT33" i="5"/>
  <c r="QY33" i="5"/>
  <c r="RD33" i="5"/>
  <c r="RJ33" i="5"/>
  <c r="RO33" i="5"/>
  <c r="RT33" i="5"/>
  <c r="QU33" i="5"/>
  <c r="QZ33" i="5"/>
  <c r="RF33" i="5"/>
  <c r="RK33" i="5"/>
  <c r="RP33" i="5"/>
  <c r="RL33" i="5"/>
  <c r="QV33" i="5"/>
  <c r="RR33" i="5"/>
  <c r="RB33" i="5"/>
  <c r="RG33" i="5"/>
  <c r="QT228" i="5"/>
  <c r="QX228" i="5"/>
  <c r="RB228" i="5"/>
  <c r="RF228" i="5"/>
  <c r="RJ228" i="5"/>
  <c r="RN228" i="5"/>
  <c r="RR228" i="5"/>
  <c r="QU228" i="5"/>
  <c r="QY228" i="5"/>
  <c r="RC228" i="5"/>
  <c r="RG228" i="5"/>
  <c r="RK228" i="5"/>
  <c r="RO228" i="5"/>
  <c r="RS228" i="5"/>
  <c r="QV228" i="5"/>
  <c r="QZ228" i="5"/>
  <c r="RD228" i="5"/>
  <c r="RH228" i="5"/>
  <c r="RL228" i="5"/>
  <c r="RP228" i="5"/>
  <c r="RT228" i="5"/>
  <c r="RA228" i="5"/>
  <c r="RQ228" i="5"/>
  <c r="RE228" i="5"/>
  <c r="RU228" i="5"/>
  <c r="CQ228" i="5" s="1"/>
  <c r="RI228" i="5"/>
  <c r="QW228" i="5"/>
  <c r="RM228" i="5"/>
  <c r="QW183" i="5"/>
  <c r="RA183" i="5"/>
  <c r="RE183" i="5"/>
  <c r="RI183" i="5"/>
  <c r="RM183" i="5"/>
  <c r="RQ183" i="5"/>
  <c r="RU183" i="5"/>
  <c r="QT183" i="5"/>
  <c r="QX183" i="5"/>
  <c r="RB183" i="5"/>
  <c r="RF183" i="5"/>
  <c r="RJ183" i="5"/>
  <c r="RN183" i="5"/>
  <c r="RR183" i="5"/>
  <c r="QZ183" i="5"/>
  <c r="RH183" i="5"/>
  <c r="RP183" i="5"/>
  <c r="QU183" i="5"/>
  <c r="RC183" i="5"/>
  <c r="RK183" i="5"/>
  <c r="RS183" i="5"/>
  <c r="QV183" i="5"/>
  <c r="RD183" i="5"/>
  <c r="RL183" i="5"/>
  <c r="RT183" i="5"/>
  <c r="QY183" i="5"/>
  <c r="RG183" i="5"/>
  <c r="RO183" i="5"/>
  <c r="QU152" i="5"/>
  <c r="QY152" i="5"/>
  <c r="RC152" i="5"/>
  <c r="RG152" i="5"/>
  <c r="RK152" i="5"/>
  <c r="RO152" i="5"/>
  <c r="RS152" i="5"/>
  <c r="QW152" i="5"/>
  <c r="RA152" i="5"/>
  <c r="RE152" i="5"/>
  <c r="RI152" i="5"/>
  <c r="RM152" i="5"/>
  <c r="RQ152" i="5"/>
  <c r="RU152" i="5"/>
  <c r="QV152" i="5"/>
  <c r="RD152" i="5"/>
  <c r="RL152" i="5"/>
  <c r="RT152" i="5"/>
  <c r="QX152" i="5"/>
  <c r="RF152" i="5"/>
  <c r="RN152" i="5"/>
  <c r="QZ152" i="5"/>
  <c r="RH152" i="5"/>
  <c r="RP152" i="5"/>
  <c r="QT152" i="5"/>
  <c r="RB152" i="5"/>
  <c r="RJ152" i="5"/>
  <c r="RR152" i="5"/>
  <c r="QW123" i="5"/>
  <c r="RA123" i="5"/>
  <c r="RE123" i="5"/>
  <c r="RI123" i="5"/>
  <c r="RM123" i="5"/>
  <c r="RQ123" i="5"/>
  <c r="RU123" i="5"/>
  <c r="QT123" i="5"/>
  <c r="QX123" i="5"/>
  <c r="RB123" i="5"/>
  <c r="RF123" i="5"/>
  <c r="RJ123" i="5"/>
  <c r="RN123" i="5"/>
  <c r="RR123" i="5"/>
  <c r="QY123" i="5"/>
  <c r="RG123" i="5"/>
  <c r="RO123" i="5"/>
  <c r="QZ123" i="5"/>
  <c r="RH123" i="5"/>
  <c r="RP123" i="5"/>
  <c r="QU123" i="5"/>
  <c r="RC123" i="5"/>
  <c r="RK123" i="5"/>
  <c r="RS123" i="5"/>
  <c r="QV123" i="5"/>
  <c r="RD123" i="5"/>
  <c r="RL123" i="5"/>
  <c r="RT123" i="5"/>
  <c r="QT222" i="5"/>
  <c r="QX222" i="5"/>
  <c r="RB222" i="5"/>
  <c r="RF222" i="5"/>
  <c r="RJ222" i="5"/>
  <c r="RN222" i="5"/>
  <c r="RR222" i="5"/>
  <c r="QU222" i="5"/>
  <c r="QY222" i="5"/>
  <c r="RC222" i="5"/>
  <c r="RG222" i="5"/>
  <c r="RK222" i="5"/>
  <c r="RO222" i="5"/>
  <c r="RS222" i="5"/>
  <c r="QV222" i="5"/>
  <c r="QZ222" i="5"/>
  <c r="RD222" i="5"/>
  <c r="RH222" i="5"/>
  <c r="RL222" i="5"/>
  <c r="RP222" i="5"/>
  <c r="RT222" i="5"/>
  <c r="RI222" i="5"/>
  <c r="QW222" i="5"/>
  <c r="RM222" i="5"/>
  <c r="RA222" i="5"/>
  <c r="RQ222" i="5"/>
  <c r="RE222" i="5"/>
  <c r="RU222" i="5"/>
  <c r="QV212" i="5"/>
  <c r="QZ212" i="5"/>
  <c r="RD212" i="5"/>
  <c r="RH212" i="5"/>
  <c r="RL212" i="5"/>
  <c r="RP212" i="5"/>
  <c r="RT212" i="5"/>
  <c r="QW212" i="5"/>
  <c r="RA212" i="5"/>
  <c r="RE212" i="5"/>
  <c r="RI212" i="5"/>
  <c r="RM212" i="5"/>
  <c r="RQ212" i="5"/>
  <c r="RU212" i="5"/>
  <c r="QT212" i="5"/>
  <c r="QX212" i="5"/>
  <c r="RB212" i="5"/>
  <c r="RF212" i="5"/>
  <c r="RJ212" i="5"/>
  <c r="RN212" i="5"/>
  <c r="RR212" i="5"/>
  <c r="QY212" i="5"/>
  <c r="RO212" i="5"/>
  <c r="RC212" i="5"/>
  <c r="RS212" i="5"/>
  <c r="RG212" i="5"/>
  <c r="QU212" i="5"/>
  <c r="RK212" i="5"/>
  <c r="QU154" i="5"/>
  <c r="QY154" i="5"/>
  <c r="RC154" i="5"/>
  <c r="RG154" i="5"/>
  <c r="RK154" i="5"/>
  <c r="RO154" i="5"/>
  <c r="RS154" i="5"/>
  <c r="QW154" i="5"/>
  <c r="RA154" i="5"/>
  <c r="RE154" i="5"/>
  <c r="RI154" i="5"/>
  <c r="RM154" i="5"/>
  <c r="RQ154" i="5"/>
  <c r="RU154" i="5"/>
  <c r="QV154" i="5"/>
  <c r="RD154" i="5"/>
  <c r="RL154" i="5"/>
  <c r="RT154" i="5"/>
  <c r="QX154" i="5"/>
  <c r="RF154" i="5"/>
  <c r="RN154" i="5"/>
  <c r="QZ154" i="5"/>
  <c r="RH154" i="5"/>
  <c r="RP154" i="5"/>
  <c r="RB154" i="5"/>
  <c r="RJ154" i="5"/>
  <c r="RR154" i="5"/>
  <c r="QT154" i="5"/>
  <c r="QW125" i="5"/>
  <c r="RA125" i="5"/>
  <c r="RE125" i="5"/>
  <c r="RI125" i="5"/>
  <c r="RM125" i="5"/>
  <c r="RQ125" i="5"/>
  <c r="RU125" i="5"/>
  <c r="QT125" i="5"/>
  <c r="QX125" i="5"/>
  <c r="RB125" i="5"/>
  <c r="RF125" i="5"/>
  <c r="RJ125" i="5"/>
  <c r="RN125" i="5"/>
  <c r="RR125" i="5"/>
  <c r="QY125" i="5"/>
  <c r="RG125" i="5"/>
  <c r="RO125" i="5"/>
  <c r="QZ125" i="5"/>
  <c r="RH125" i="5"/>
  <c r="RP125" i="5"/>
  <c r="QU125" i="5"/>
  <c r="RC125" i="5"/>
  <c r="RK125" i="5"/>
  <c r="RS125" i="5"/>
  <c r="RD125" i="5"/>
  <c r="RL125" i="5"/>
  <c r="RT125" i="5"/>
  <c r="QV125" i="5"/>
  <c r="QT248" i="5"/>
  <c r="QX248" i="5"/>
  <c r="RB248" i="5"/>
  <c r="RF248" i="5"/>
  <c r="RJ248" i="5"/>
  <c r="RN248" i="5"/>
  <c r="RR248" i="5"/>
  <c r="QU248" i="5"/>
  <c r="QY248" i="5"/>
  <c r="RC248" i="5"/>
  <c r="RG248" i="5"/>
  <c r="RK248" i="5"/>
  <c r="RO248" i="5"/>
  <c r="RS248" i="5"/>
  <c r="QV248" i="5"/>
  <c r="QZ248" i="5"/>
  <c r="RD248" i="5"/>
  <c r="RH248" i="5"/>
  <c r="RL248" i="5"/>
  <c r="RP248" i="5"/>
  <c r="RT248" i="5"/>
  <c r="RA248" i="5"/>
  <c r="RQ248" i="5"/>
  <c r="RE248" i="5"/>
  <c r="RU248" i="5"/>
  <c r="CQ248" i="5" s="1"/>
  <c r="RI248" i="5"/>
  <c r="QW248" i="5"/>
  <c r="RM248" i="5"/>
  <c r="QV214" i="5"/>
  <c r="QZ214" i="5"/>
  <c r="RD214" i="5"/>
  <c r="RH214" i="5"/>
  <c r="RL214" i="5"/>
  <c r="RP214" i="5"/>
  <c r="RT214" i="5"/>
  <c r="QW214" i="5"/>
  <c r="RA214" i="5"/>
  <c r="RE214" i="5"/>
  <c r="RI214" i="5"/>
  <c r="RM214" i="5"/>
  <c r="RQ214" i="5"/>
  <c r="RU214" i="5"/>
  <c r="QT214" i="5"/>
  <c r="QX214" i="5"/>
  <c r="RB214" i="5"/>
  <c r="RF214" i="5"/>
  <c r="RJ214" i="5"/>
  <c r="RN214" i="5"/>
  <c r="RR214" i="5"/>
  <c r="RG214" i="5"/>
  <c r="QU214" i="5"/>
  <c r="RK214" i="5"/>
  <c r="QY214" i="5"/>
  <c r="RO214" i="5"/>
  <c r="RC214" i="5"/>
  <c r="RS214" i="5"/>
  <c r="QV201" i="5"/>
  <c r="QZ201" i="5"/>
  <c r="RD201" i="5"/>
  <c r="RH201" i="5"/>
  <c r="RL201" i="5"/>
  <c r="RP201" i="5"/>
  <c r="RT201" i="5"/>
  <c r="QW201" i="5"/>
  <c r="RA201" i="5"/>
  <c r="RE201" i="5"/>
  <c r="RI201" i="5"/>
  <c r="RM201" i="5"/>
  <c r="RQ201" i="5"/>
  <c r="RU201" i="5"/>
  <c r="QT201" i="5"/>
  <c r="QX201" i="5"/>
  <c r="RB201" i="5"/>
  <c r="RF201" i="5"/>
  <c r="RJ201" i="5"/>
  <c r="RN201" i="5"/>
  <c r="RR201" i="5"/>
  <c r="RG201" i="5"/>
  <c r="QU201" i="5"/>
  <c r="RK201" i="5"/>
  <c r="QY201" i="5"/>
  <c r="RO201" i="5"/>
  <c r="RC201" i="5"/>
  <c r="RS201" i="5"/>
  <c r="QW171" i="5"/>
  <c r="RA171" i="5"/>
  <c r="RE171" i="5"/>
  <c r="RI171" i="5"/>
  <c r="RM171" i="5"/>
  <c r="RQ171" i="5"/>
  <c r="RU171" i="5"/>
  <c r="QT171" i="5"/>
  <c r="QX171" i="5"/>
  <c r="RB171" i="5"/>
  <c r="RF171" i="5"/>
  <c r="RJ171" i="5"/>
  <c r="RN171" i="5"/>
  <c r="RR171" i="5"/>
  <c r="QZ171" i="5"/>
  <c r="RH171" i="5"/>
  <c r="RP171" i="5"/>
  <c r="QU171" i="5"/>
  <c r="RC171" i="5"/>
  <c r="RK171" i="5"/>
  <c r="RS171" i="5"/>
  <c r="QV171" i="5"/>
  <c r="RD171" i="5"/>
  <c r="RL171" i="5"/>
  <c r="RT171" i="5"/>
  <c r="RG171" i="5"/>
  <c r="RO171" i="5"/>
  <c r="QY171" i="5"/>
  <c r="QU142" i="5"/>
  <c r="QY142" i="5"/>
  <c r="RC142" i="5"/>
  <c r="RG142" i="5"/>
  <c r="RK142" i="5"/>
  <c r="RO142" i="5"/>
  <c r="RS142" i="5"/>
  <c r="QV142" i="5"/>
  <c r="QZ142" i="5"/>
  <c r="RD142" i="5"/>
  <c r="RH142" i="5"/>
  <c r="RL142" i="5"/>
  <c r="RP142" i="5"/>
  <c r="RT142" i="5"/>
  <c r="QW142" i="5"/>
  <c r="RA142" i="5"/>
  <c r="RE142" i="5"/>
  <c r="RI142" i="5"/>
  <c r="RM142" i="5"/>
  <c r="CQ142" i="5" s="1"/>
  <c r="RQ142" i="5"/>
  <c r="RU142" i="5"/>
  <c r="RF142" i="5"/>
  <c r="QT142" i="5"/>
  <c r="RJ142" i="5"/>
  <c r="QX142" i="5"/>
  <c r="RN142" i="5"/>
  <c r="RR142" i="5"/>
  <c r="RB142" i="5"/>
  <c r="QU71" i="5"/>
  <c r="QY71" i="5"/>
  <c r="RC71" i="5"/>
  <c r="RG71" i="5"/>
  <c r="RK71" i="5"/>
  <c r="RO71" i="5"/>
  <c r="RS71" i="5"/>
  <c r="QV71" i="5"/>
  <c r="QZ71" i="5"/>
  <c r="RD71" i="5"/>
  <c r="RH71" i="5"/>
  <c r="RL71" i="5"/>
  <c r="RP71" i="5"/>
  <c r="RT71" i="5"/>
  <c r="QW71" i="5"/>
  <c r="RA71" i="5"/>
  <c r="RE71" i="5"/>
  <c r="RI71" i="5"/>
  <c r="RM71" i="5"/>
  <c r="RQ71" i="5"/>
  <c r="RU71" i="5"/>
  <c r="QT71" i="5"/>
  <c r="RJ71" i="5"/>
  <c r="QX71" i="5"/>
  <c r="RN71" i="5"/>
  <c r="RB71" i="5"/>
  <c r="RR71" i="5"/>
  <c r="RF71" i="5"/>
  <c r="QT235" i="5"/>
  <c r="QX235" i="5"/>
  <c r="RB235" i="5"/>
  <c r="RF235" i="5"/>
  <c r="RJ235" i="5"/>
  <c r="RN235" i="5"/>
  <c r="RR235" i="5"/>
  <c r="QU235" i="5"/>
  <c r="QY235" i="5"/>
  <c r="RC235" i="5"/>
  <c r="RG235" i="5"/>
  <c r="RK235" i="5"/>
  <c r="RO235" i="5"/>
  <c r="RS235" i="5"/>
  <c r="QV235" i="5"/>
  <c r="QZ235" i="5"/>
  <c r="RD235" i="5"/>
  <c r="RH235" i="5"/>
  <c r="RL235" i="5"/>
  <c r="RP235" i="5"/>
  <c r="RT235" i="5"/>
  <c r="QW235" i="5"/>
  <c r="RM235" i="5"/>
  <c r="RA235" i="5"/>
  <c r="RQ235" i="5"/>
  <c r="RE235" i="5"/>
  <c r="RU235" i="5"/>
  <c r="CQ235" i="5" s="1"/>
  <c r="RI235" i="5"/>
  <c r="QV200" i="5"/>
  <c r="QZ200" i="5"/>
  <c r="RD200" i="5"/>
  <c r="RH200" i="5"/>
  <c r="RL200" i="5"/>
  <c r="RP200" i="5"/>
  <c r="RT200" i="5"/>
  <c r="QW200" i="5"/>
  <c r="RA200" i="5"/>
  <c r="RE200" i="5"/>
  <c r="RI200" i="5"/>
  <c r="RM200" i="5"/>
  <c r="RQ200" i="5"/>
  <c r="RU200" i="5"/>
  <c r="CQ200" i="5" s="1"/>
  <c r="QT200" i="5"/>
  <c r="QX200" i="5"/>
  <c r="RB200" i="5"/>
  <c r="RF200" i="5"/>
  <c r="RJ200" i="5"/>
  <c r="RN200" i="5"/>
  <c r="RR200" i="5"/>
  <c r="RC200" i="5"/>
  <c r="RS200" i="5"/>
  <c r="RG200" i="5"/>
  <c r="QU200" i="5"/>
  <c r="RK200" i="5"/>
  <c r="RO200" i="5"/>
  <c r="QY200" i="5"/>
  <c r="QW186" i="5"/>
  <c r="RA186" i="5"/>
  <c r="RE186" i="5"/>
  <c r="RI186" i="5"/>
  <c r="RM186" i="5"/>
  <c r="RQ186" i="5"/>
  <c r="RU186" i="5"/>
  <c r="QT186" i="5"/>
  <c r="QX186" i="5"/>
  <c r="RB186" i="5"/>
  <c r="RF186" i="5"/>
  <c r="RJ186" i="5"/>
  <c r="RN186" i="5"/>
  <c r="RR186" i="5"/>
  <c r="QV186" i="5"/>
  <c r="RD186" i="5"/>
  <c r="CQ186" i="5" s="1"/>
  <c r="RL186" i="5"/>
  <c r="RT186" i="5"/>
  <c r="QY186" i="5"/>
  <c r="RG186" i="5"/>
  <c r="RO186" i="5"/>
  <c r="QZ186" i="5"/>
  <c r="RH186" i="5"/>
  <c r="RP186" i="5"/>
  <c r="RC186" i="5"/>
  <c r="RK186" i="5"/>
  <c r="RS186" i="5"/>
  <c r="QU186" i="5"/>
  <c r="QU141" i="5"/>
  <c r="QY141" i="5"/>
  <c r="RC141" i="5"/>
  <c r="RG141" i="5"/>
  <c r="RK141" i="5"/>
  <c r="RO141" i="5"/>
  <c r="RS141" i="5"/>
  <c r="QV141" i="5"/>
  <c r="QZ141" i="5"/>
  <c r="RD141" i="5"/>
  <c r="RH141" i="5"/>
  <c r="RL141" i="5"/>
  <c r="RP141" i="5"/>
  <c r="RT141" i="5"/>
  <c r="QW141" i="5"/>
  <c r="RA141" i="5"/>
  <c r="RE141" i="5"/>
  <c r="RI141" i="5"/>
  <c r="RM141" i="5"/>
  <c r="RQ141" i="5"/>
  <c r="RU141" i="5"/>
  <c r="CQ141" i="5" s="1"/>
  <c r="RB141" i="5"/>
  <c r="RR141" i="5"/>
  <c r="RF141" i="5"/>
  <c r="QT141" i="5"/>
  <c r="RJ141" i="5"/>
  <c r="QX141" i="5"/>
  <c r="RN141" i="5"/>
  <c r="QW38" i="5"/>
  <c r="RA38" i="5"/>
  <c r="RE38" i="5"/>
  <c r="RI38" i="5"/>
  <c r="RM38" i="5"/>
  <c r="RQ38" i="5"/>
  <c r="RU38" i="5"/>
  <c r="CQ38" i="5" s="1"/>
  <c r="QV38" i="5"/>
  <c r="RB38" i="5"/>
  <c r="RG38" i="5"/>
  <c r="RL38" i="5"/>
  <c r="RR38" i="5"/>
  <c r="QX38" i="5"/>
  <c r="RC38" i="5"/>
  <c r="RH38" i="5"/>
  <c r="RN38" i="5"/>
  <c r="RS38" i="5"/>
  <c r="QT38" i="5"/>
  <c r="QY38" i="5"/>
  <c r="RD38" i="5"/>
  <c r="RJ38" i="5"/>
  <c r="RO38" i="5"/>
  <c r="RT38" i="5"/>
  <c r="QZ38" i="5"/>
  <c r="RF38" i="5"/>
  <c r="RK38" i="5"/>
  <c r="QU38" i="5"/>
  <c r="RP38" i="5"/>
  <c r="QT10" i="5"/>
  <c r="QX10" i="5"/>
  <c r="RB10" i="5"/>
  <c r="RF10" i="5"/>
  <c r="RJ10" i="5"/>
  <c r="RN10" i="5"/>
  <c r="RR10" i="5"/>
  <c r="QU10" i="5"/>
  <c r="QY10" i="5"/>
  <c r="RC10" i="5"/>
  <c r="RG10" i="5"/>
  <c r="RK10" i="5"/>
  <c r="RO10" i="5"/>
  <c r="RS10" i="5"/>
  <c r="QV10" i="5"/>
  <c r="QZ10" i="5"/>
  <c r="RD10" i="5"/>
  <c r="RH10" i="5"/>
  <c r="RL10" i="5"/>
  <c r="RP10" i="5"/>
  <c r="CQ10" i="5" s="1"/>
  <c r="RT10" i="5"/>
  <c r="QW10" i="5"/>
  <c r="RM10" i="5"/>
  <c r="RA10" i="5"/>
  <c r="RQ10" i="5"/>
  <c r="RU10" i="5"/>
  <c r="RE10" i="5"/>
  <c r="RI10" i="5"/>
  <c r="QT241" i="5"/>
  <c r="QX241" i="5"/>
  <c r="RB241" i="5"/>
  <c r="RF241" i="5"/>
  <c r="RJ241" i="5"/>
  <c r="RN241" i="5"/>
  <c r="RR241" i="5"/>
  <c r="QU241" i="5"/>
  <c r="QY241" i="5"/>
  <c r="RC241" i="5"/>
  <c r="RG241" i="5"/>
  <c r="RK241" i="5"/>
  <c r="RO241" i="5"/>
  <c r="RS241" i="5"/>
  <c r="QV241" i="5"/>
  <c r="QZ241" i="5"/>
  <c r="RD241" i="5"/>
  <c r="RH241" i="5"/>
  <c r="RL241" i="5"/>
  <c r="RP241" i="5"/>
  <c r="RT241" i="5"/>
  <c r="RE241" i="5"/>
  <c r="RU241" i="5"/>
  <c r="CQ241" i="5" s="1"/>
  <c r="RI241" i="5"/>
  <c r="QW241" i="5"/>
  <c r="RM241" i="5"/>
  <c r="RA241" i="5"/>
  <c r="RQ241" i="5"/>
  <c r="QT225" i="5"/>
  <c r="QX225" i="5"/>
  <c r="RB225" i="5"/>
  <c r="RF225" i="5"/>
  <c r="RJ225" i="5"/>
  <c r="RN225" i="5"/>
  <c r="RR225" i="5"/>
  <c r="QU225" i="5"/>
  <c r="QY225" i="5"/>
  <c r="RC225" i="5"/>
  <c r="RG225" i="5"/>
  <c r="RK225" i="5"/>
  <c r="RO225" i="5"/>
  <c r="RS225" i="5"/>
  <c r="QV225" i="5"/>
  <c r="QZ225" i="5"/>
  <c r="RD225" i="5"/>
  <c r="RH225" i="5"/>
  <c r="RL225" i="5"/>
  <c r="RP225" i="5"/>
  <c r="RT225" i="5"/>
  <c r="RE225" i="5"/>
  <c r="RU225" i="5"/>
  <c r="RI225" i="5"/>
  <c r="QW225" i="5"/>
  <c r="RM225" i="5"/>
  <c r="RA225" i="5"/>
  <c r="RQ225" i="5"/>
  <c r="QW221" i="5"/>
  <c r="RA221" i="5"/>
  <c r="RE221" i="5"/>
  <c r="RI221" i="5"/>
  <c r="RM221" i="5"/>
  <c r="RQ221" i="5"/>
  <c r="RU221" i="5"/>
  <c r="CQ221" i="5" s="1"/>
  <c r="QT221" i="5"/>
  <c r="QX221" i="5"/>
  <c r="RB221" i="5"/>
  <c r="RF221" i="5"/>
  <c r="RJ221" i="5"/>
  <c r="RN221" i="5"/>
  <c r="RR221" i="5"/>
  <c r="QV221" i="5"/>
  <c r="RD221" i="5"/>
  <c r="RL221" i="5"/>
  <c r="RT221" i="5"/>
  <c r="QY221" i="5"/>
  <c r="RG221" i="5"/>
  <c r="RO221" i="5"/>
  <c r="QZ221" i="5"/>
  <c r="RH221" i="5"/>
  <c r="RP221" i="5"/>
  <c r="RK221" i="5"/>
  <c r="RS221" i="5"/>
  <c r="QU221" i="5"/>
  <c r="RC221" i="5"/>
  <c r="QV199" i="5"/>
  <c r="QZ199" i="5"/>
  <c r="RD199" i="5"/>
  <c r="RH199" i="5"/>
  <c r="RL199" i="5"/>
  <c r="RP199" i="5"/>
  <c r="RT199" i="5"/>
  <c r="QW199" i="5"/>
  <c r="RA199" i="5"/>
  <c r="RE199" i="5"/>
  <c r="RI199" i="5"/>
  <c r="RM199" i="5"/>
  <c r="RQ199" i="5"/>
  <c r="RU199" i="5"/>
  <c r="QT199" i="5"/>
  <c r="QX199" i="5"/>
  <c r="RB199" i="5"/>
  <c r="RF199" i="5"/>
  <c r="RJ199" i="5"/>
  <c r="RN199" i="5"/>
  <c r="RR199" i="5"/>
  <c r="QU199" i="5"/>
  <c r="RK199" i="5"/>
  <c r="QY199" i="5"/>
  <c r="RO199" i="5"/>
  <c r="RC199" i="5"/>
  <c r="RS199" i="5"/>
  <c r="RG199" i="5"/>
  <c r="QW184" i="5"/>
  <c r="RA184" i="5"/>
  <c r="RE184" i="5"/>
  <c r="RI184" i="5"/>
  <c r="RM184" i="5"/>
  <c r="RQ184" i="5"/>
  <c r="RU184" i="5"/>
  <c r="QT184" i="5"/>
  <c r="QX184" i="5"/>
  <c r="RB184" i="5"/>
  <c r="RF184" i="5"/>
  <c r="RJ184" i="5"/>
  <c r="RN184" i="5"/>
  <c r="RR184" i="5"/>
  <c r="QV184" i="5"/>
  <c r="RD184" i="5"/>
  <c r="RL184" i="5"/>
  <c r="RT184" i="5"/>
  <c r="QY184" i="5"/>
  <c r="RG184" i="5"/>
  <c r="RO184" i="5"/>
  <c r="QZ184" i="5"/>
  <c r="RH184" i="5"/>
  <c r="RP184" i="5"/>
  <c r="QU184" i="5"/>
  <c r="RC184" i="5"/>
  <c r="RK184" i="5"/>
  <c r="RS184" i="5"/>
  <c r="QU153" i="5"/>
  <c r="QY153" i="5"/>
  <c r="RC153" i="5"/>
  <c r="RG153" i="5"/>
  <c r="RK153" i="5"/>
  <c r="RO153" i="5"/>
  <c r="RS153" i="5"/>
  <c r="QW153" i="5"/>
  <c r="RA153" i="5"/>
  <c r="RE153" i="5"/>
  <c r="RI153" i="5"/>
  <c r="RM153" i="5"/>
  <c r="RQ153" i="5"/>
  <c r="RU153" i="5"/>
  <c r="QZ153" i="5"/>
  <c r="RH153" i="5"/>
  <c r="RP153" i="5"/>
  <c r="QT153" i="5"/>
  <c r="RB153" i="5"/>
  <c r="RJ153" i="5"/>
  <c r="RR153" i="5"/>
  <c r="QV153" i="5"/>
  <c r="RD153" i="5"/>
  <c r="RL153" i="5"/>
  <c r="RT153" i="5"/>
  <c r="QX153" i="5"/>
  <c r="RF153" i="5"/>
  <c r="RN153" i="5"/>
  <c r="QU72" i="5"/>
  <c r="QY72" i="5"/>
  <c r="RC72" i="5"/>
  <c r="RG72" i="5"/>
  <c r="RK72" i="5"/>
  <c r="RO72" i="5"/>
  <c r="RS72" i="5"/>
  <c r="QV72" i="5"/>
  <c r="QZ72" i="5"/>
  <c r="RD72" i="5"/>
  <c r="RH72" i="5"/>
  <c r="RL72" i="5"/>
  <c r="RP72" i="5"/>
  <c r="RT72" i="5"/>
  <c r="QW72" i="5"/>
  <c r="RA72" i="5"/>
  <c r="RE72" i="5"/>
  <c r="RI72" i="5"/>
  <c r="RM72" i="5"/>
  <c r="RQ72" i="5"/>
  <c r="RU72" i="5"/>
  <c r="CQ72" i="5" s="1"/>
  <c r="QX72" i="5"/>
  <c r="RN72" i="5"/>
  <c r="RB72" i="5"/>
  <c r="RR72" i="5"/>
  <c r="RF72" i="5"/>
  <c r="QT72" i="5"/>
  <c r="RJ72" i="5"/>
  <c r="CQ106" i="5"/>
  <c r="QV218" i="5"/>
  <c r="QZ218" i="5"/>
  <c r="RD218" i="5"/>
  <c r="RH218" i="5"/>
  <c r="RL218" i="5"/>
  <c r="RP218" i="5"/>
  <c r="RT218" i="5"/>
  <c r="QW218" i="5"/>
  <c r="RA218" i="5"/>
  <c r="RE218" i="5"/>
  <c r="RI218" i="5"/>
  <c r="RM218" i="5"/>
  <c r="RQ218" i="5"/>
  <c r="RU218" i="5"/>
  <c r="CQ218" i="5" s="1"/>
  <c r="QT218" i="5"/>
  <c r="QX218" i="5"/>
  <c r="RB218" i="5"/>
  <c r="RF218" i="5"/>
  <c r="RJ218" i="5"/>
  <c r="RN218" i="5"/>
  <c r="RR218" i="5"/>
  <c r="QY218" i="5"/>
  <c r="RO218" i="5"/>
  <c r="RC218" i="5"/>
  <c r="RS218" i="5"/>
  <c r="RG218" i="5"/>
  <c r="RK218" i="5"/>
  <c r="QU218" i="5"/>
  <c r="QW181" i="5"/>
  <c r="RA181" i="5"/>
  <c r="RE181" i="5"/>
  <c r="RI181" i="5"/>
  <c r="RM181" i="5"/>
  <c r="RQ181" i="5"/>
  <c r="RU181" i="5"/>
  <c r="QT181" i="5"/>
  <c r="QX181" i="5"/>
  <c r="RB181" i="5"/>
  <c r="RF181" i="5"/>
  <c r="RJ181" i="5"/>
  <c r="RN181" i="5"/>
  <c r="RR181" i="5"/>
  <c r="QZ181" i="5"/>
  <c r="RH181" i="5"/>
  <c r="RP181" i="5"/>
  <c r="QU181" i="5"/>
  <c r="RC181" i="5"/>
  <c r="RK181" i="5"/>
  <c r="RS181" i="5"/>
  <c r="QV181" i="5"/>
  <c r="RD181" i="5"/>
  <c r="RL181" i="5"/>
  <c r="RT181" i="5"/>
  <c r="RO181" i="5"/>
  <c r="QY181" i="5"/>
  <c r="CQ181" i="5" s="1"/>
  <c r="RG181" i="5"/>
  <c r="QU150" i="5"/>
  <c r="QY150" i="5"/>
  <c r="RC150" i="5"/>
  <c r="RG150" i="5"/>
  <c r="RK150" i="5"/>
  <c r="RO150" i="5"/>
  <c r="RS150" i="5"/>
  <c r="QW150" i="5"/>
  <c r="RA150" i="5"/>
  <c r="RE150" i="5"/>
  <c r="RI150" i="5"/>
  <c r="RM150" i="5"/>
  <c r="RQ150" i="5"/>
  <c r="RU150" i="5"/>
  <c r="QV150" i="5"/>
  <c r="RD150" i="5"/>
  <c r="RL150" i="5"/>
  <c r="RT150" i="5"/>
  <c r="QX150" i="5"/>
  <c r="RF150" i="5"/>
  <c r="RN150" i="5"/>
  <c r="QZ150" i="5"/>
  <c r="RH150" i="5"/>
  <c r="RP150" i="5"/>
  <c r="RR150" i="5"/>
  <c r="QT150" i="5"/>
  <c r="RB150" i="5"/>
  <c r="RJ150" i="5"/>
  <c r="CQ150" i="5" s="1"/>
  <c r="QV204" i="5"/>
  <c r="QZ204" i="5"/>
  <c r="RD204" i="5"/>
  <c r="RH204" i="5"/>
  <c r="RL204" i="5"/>
  <c r="RP204" i="5"/>
  <c r="RT204" i="5"/>
  <c r="QW204" i="5"/>
  <c r="RA204" i="5"/>
  <c r="RE204" i="5"/>
  <c r="RI204" i="5"/>
  <c r="RM204" i="5"/>
  <c r="RQ204" i="5"/>
  <c r="RU204" i="5"/>
  <c r="QT204" i="5"/>
  <c r="QX204" i="5"/>
  <c r="RB204" i="5"/>
  <c r="RF204" i="5"/>
  <c r="RJ204" i="5"/>
  <c r="RN204" i="5"/>
  <c r="RR204" i="5"/>
  <c r="RG204" i="5"/>
  <c r="QU204" i="5"/>
  <c r="RK204" i="5"/>
  <c r="QY204" i="5"/>
  <c r="RO204" i="5"/>
  <c r="RC204" i="5"/>
  <c r="RS204" i="5"/>
  <c r="QW175" i="5"/>
  <c r="RA175" i="5"/>
  <c r="RE175" i="5"/>
  <c r="RI175" i="5"/>
  <c r="RM175" i="5"/>
  <c r="RQ175" i="5"/>
  <c r="RU175" i="5"/>
  <c r="QT175" i="5"/>
  <c r="QX175" i="5"/>
  <c r="RB175" i="5"/>
  <c r="RF175" i="5"/>
  <c r="RJ175" i="5"/>
  <c r="RN175" i="5"/>
  <c r="RR175" i="5"/>
  <c r="QZ175" i="5"/>
  <c r="RH175" i="5"/>
  <c r="RP175" i="5"/>
  <c r="QU175" i="5"/>
  <c r="RC175" i="5"/>
  <c r="RK175" i="5"/>
  <c r="RS175" i="5"/>
  <c r="QV175" i="5"/>
  <c r="CQ175" i="5" s="1"/>
  <c r="RD175" i="5"/>
  <c r="RL175" i="5"/>
  <c r="RT175" i="5"/>
  <c r="QY175" i="5"/>
  <c r="RG175" i="5"/>
  <c r="RO175" i="5"/>
  <c r="QT246" i="5"/>
  <c r="QX246" i="5"/>
  <c r="RB246" i="5"/>
  <c r="RF246" i="5"/>
  <c r="RJ246" i="5"/>
  <c r="RN246" i="5"/>
  <c r="RR246" i="5"/>
  <c r="QU246" i="5"/>
  <c r="QY246" i="5"/>
  <c r="RC246" i="5"/>
  <c r="RG246" i="5"/>
  <c r="RK246" i="5"/>
  <c r="RO246" i="5"/>
  <c r="RS246" i="5"/>
  <c r="QV246" i="5"/>
  <c r="QZ246" i="5"/>
  <c r="RD246" i="5"/>
  <c r="RH246" i="5"/>
  <c r="RL246" i="5"/>
  <c r="RP246" i="5"/>
  <c r="RT246" i="5"/>
  <c r="RI246" i="5"/>
  <c r="QW246" i="5"/>
  <c r="RM246" i="5"/>
  <c r="RA246" i="5"/>
  <c r="RQ246" i="5"/>
  <c r="RE246" i="5"/>
  <c r="RU246" i="5"/>
  <c r="QV216" i="5"/>
  <c r="QZ216" i="5"/>
  <c r="RD216" i="5"/>
  <c r="RH216" i="5"/>
  <c r="RL216" i="5"/>
  <c r="RP216" i="5"/>
  <c r="RT216" i="5"/>
  <c r="QW216" i="5"/>
  <c r="RA216" i="5"/>
  <c r="RE216" i="5"/>
  <c r="RI216" i="5"/>
  <c r="RM216" i="5"/>
  <c r="RQ216" i="5"/>
  <c r="RU216" i="5"/>
  <c r="QT216" i="5"/>
  <c r="QX216" i="5"/>
  <c r="RB216" i="5"/>
  <c r="RF216" i="5"/>
  <c r="RJ216" i="5"/>
  <c r="RN216" i="5"/>
  <c r="RR216" i="5"/>
  <c r="RG216" i="5"/>
  <c r="QU216" i="5"/>
  <c r="RK216" i="5"/>
  <c r="QY216" i="5"/>
  <c r="RO216" i="5"/>
  <c r="RC216" i="5"/>
  <c r="RS216" i="5"/>
  <c r="QV206" i="5"/>
  <c r="QZ206" i="5"/>
  <c r="RD206" i="5"/>
  <c r="RH206" i="5"/>
  <c r="RL206" i="5"/>
  <c r="RP206" i="5"/>
  <c r="RT206" i="5"/>
  <c r="QW206" i="5"/>
  <c r="RA206" i="5"/>
  <c r="RE206" i="5"/>
  <c r="RI206" i="5"/>
  <c r="RM206" i="5"/>
  <c r="RQ206" i="5"/>
  <c r="RU206" i="5"/>
  <c r="CQ206" i="5" s="1"/>
  <c r="QT206" i="5"/>
  <c r="QX206" i="5"/>
  <c r="RB206" i="5"/>
  <c r="RF206" i="5"/>
  <c r="RJ206" i="5"/>
  <c r="RN206" i="5"/>
  <c r="RR206" i="5"/>
  <c r="QY206" i="5"/>
  <c r="RO206" i="5"/>
  <c r="RC206" i="5"/>
  <c r="RS206" i="5"/>
  <c r="RG206" i="5"/>
  <c r="RK206" i="5"/>
  <c r="QU206" i="5"/>
  <c r="QT240" i="5"/>
  <c r="QX240" i="5"/>
  <c r="RB240" i="5"/>
  <c r="RF240" i="5"/>
  <c r="RJ240" i="5"/>
  <c r="RN240" i="5"/>
  <c r="RR240" i="5"/>
  <c r="QU240" i="5"/>
  <c r="QY240" i="5"/>
  <c r="RC240" i="5"/>
  <c r="RG240" i="5"/>
  <c r="RK240" i="5"/>
  <c r="RO240" i="5"/>
  <c r="RS240" i="5"/>
  <c r="QV240" i="5"/>
  <c r="QZ240" i="5"/>
  <c r="RD240" i="5"/>
  <c r="RH240" i="5"/>
  <c r="RL240" i="5"/>
  <c r="RP240" i="5"/>
  <c r="RT240" i="5"/>
  <c r="RA240" i="5"/>
  <c r="RQ240" i="5"/>
  <c r="RE240" i="5"/>
  <c r="RU240" i="5"/>
  <c r="CQ240" i="5" s="1"/>
  <c r="RI240" i="5"/>
  <c r="QW240" i="5"/>
  <c r="RM240" i="5"/>
  <c r="QW220" i="5"/>
  <c r="RA220" i="5"/>
  <c r="RE220" i="5"/>
  <c r="RI220" i="5"/>
  <c r="RM220" i="5"/>
  <c r="RQ220" i="5"/>
  <c r="RU220" i="5"/>
  <c r="CQ220" i="5" s="1"/>
  <c r="QT220" i="5"/>
  <c r="QX220" i="5"/>
  <c r="RB220" i="5"/>
  <c r="RF220" i="5"/>
  <c r="RJ220" i="5"/>
  <c r="RN220" i="5"/>
  <c r="RR220" i="5"/>
  <c r="QZ220" i="5"/>
  <c r="RH220" i="5"/>
  <c r="RP220" i="5"/>
  <c r="QU220" i="5"/>
  <c r="RC220" i="5"/>
  <c r="RK220" i="5"/>
  <c r="RS220" i="5"/>
  <c r="QV220" i="5"/>
  <c r="RD220" i="5"/>
  <c r="RL220" i="5"/>
  <c r="RT220" i="5"/>
  <c r="RG220" i="5"/>
  <c r="RO220" i="5"/>
  <c r="QY220" i="5"/>
  <c r="QW194" i="5"/>
  <c r="RA194" i="5"/>
  <c r="RE194" i="5"/>
  <c r="RI194" i="5"/>
  <c r="QT194" i="5"/>
  <c r="QX194" i="5"/>
  <c r="RB194" i="5"/>
  <c r="QZ194" i="5"/>
  <c r="CQ194" i="5" s="1"/>
  <c r="RG194" i="5"/>
  <c r="RL194" i="5"/>
  <c r="RP194" i="5"/>
  <c r="RT194" i="5"/>
  <c r="QU194" i="5"/>
  <c r="RC194" i="5"/>
  <c r="RH194" i="5"/>
  <c r="RM194" i="5"/>
  <c r="RQ194" i="5"/>
  <c r="RU194" i="5"/>
  <c r="QV194" i="5"/>
  <c r="RD194" i="5"/>
  <c r="RJ194" i="5"/>
  <c r="RN194" i="5"/>
  <c r="RR194" i="5"/>
  <c r="RF194" i="5"/>
  <c r="RK194" i="5"/>
  <c r="RO194" i="5"/>
  <c r="RS194" i="5"/>
  <c r="QY194" i="5"/>
  <c r="QU134" i="5"/>
  <c r="QY134" i="5"/>
  <c r="RC134" i="5"/>
  <c r="RG134" i="5"/>
  <c r="RK134" i="5"/>
  <c r="RO134" i="5"/>
  <c r="RS134" i="5"/>
  <c r="QV134" i="5"/>
  <c r="QZ134" i="5"/>
  <c r="RD134" i="5"/>
  <c r="RH134" i="5"/>
  <c r="RL134" i="5"/>
  <c r="RP134" i="5"/>
  <c r="RT134" i="5"/>
  <c r="QW134" i="5"/>
  <c r="RA134" i="5"/>
  <c r="RE134" i="5"/>
  <c r="RI134" i="5"/>
  <c r="RM134" i="5"/>
  <c r="RQ134" i="5"/>
  <c r="RU134" i="5"/>
  <c r="RF134" i="5"/>
  <c r="QT134" i="5"/>
  <c r="RJ134" i="5"/>
  <c r="QX134" i="5"/>
  <c r="RN134" i="5"/>
  <c r="RB134" i="5"/>
  <c r="RR134" i="5"/>
  <c r="QT47" i="5"/>
  <c r="QX47" i="5"/>
  <c r="RB47" i="5"/>
  <c r="RF47" i="5"/>
  <c r="RJ47" i="5"/>
  <c r="RN47" i="5"/>
  <c r="RR47" i="5"/>
  <c r="CQ47" i="5" s="1"/>
  <c r="QW47" i="5"/>
  <c r="RC47" i="5"/>
  <c r="RH47" i="5"/>
  <c r="RM47" i="5"/>
  <c r="RS47" i="5"/>
  <c r="QY47" i="5"/>
  <c r="RD47" i="5"/>
  <c r="RI47" i="5"/>
  <c r="RO47" i="5"/>
  <c r="RT47" i="5"/>
  <c r="QU47" i="5"/>
  <c r="QZ47" i="5"/>
  <c r="RE47" i="5"/>
  <c r="RK47" i="5"/>
  <c r="RP47" i="5"/>
  <c r="RU47" i="5"/>
  <c r="QV47" i="5"/>
  <c r="RQ47" i="5"/>
  <c r="RA47" i="5"/>
  <c r="RG47" i="5"/>
  <c r="RL47" i="5"/>
  <c r="QT247" i="5"/>
  <c r="QX247" i="5"/>
  <c r="RB247" i="5"/>
  <c r="RF247" i="5"/>
  <c r="RJ247" i="5"/>
  <c r="RN247" i="5"/>
  <c r="RR247" i="5"/>
  <c r="QU247" i="5"/>
  <c r="QY247" i="5"/>
  <c r="RC247" i="5"/>
  <c r="RG247" i="5"/>
  <c r="RK247" i="5"/>
  <c r="RO247" i="5"/>
  <c r="RS247" i="5"/>
  <c r="QV247" i="5"/>
  <c r="QZ247" i="5"/>
  <c r="RD247" i="5"/>
  <c r="RH247" i="5"/>
  <c r="RL247" i="5"/>
  <c r="RP247" i="5"/>
  <c r="RT247" i="5"/>
  <c r="QW247" i="5"/>
  <c r="RM247" i="5"/>
  <c r="RA247" i="5"/>
  <c r="RQ247" i="5"/>
  <c r="RE247" i="5"/>
  <c r="RU247" i="5"/>
  <c r="CQ247" i="5" s="1"/>
  <c r="RI247" i="5"/>
  <c r="QT231" i="5"/>
  <c r="QX231" i="5"/>
  <c r="RB231" i="5"/>
  <c r="RF231" i="5"/>
  <c r="RJ231" i="5"/>
  <c r="RN231" i="5"/>
  <c r="RR231" i="5"/>
  <c r="QU231" i="5"/>
  <c r="QY231" i="5"/>
  <c r="RC231" i="5"/>
  <c r="RG231" i="5"/>
  <c r="RK231" i="5"/>
  <c r="RO231" i="5"/>
  <c r="RS231" i="5"/>
  <c r="QV231" i="5"/>
  <c r="QZ231" i="5"/>
  <c r="RD231" i="5"/>
  <c r="RH231" i="5"/>
  <c r="RL231" i="5"/>
  <c r="RP231" i="5"/>
  <c r="RT231" i="5"/>
  <c r="QW231" i="5"/>
  <c r="RM231" i="5"/>
  <c r="RA231" i="5"/>
  <c r="RQ231" i="5"/>
  <c r="RE231" i="5"/>
  <c r="RU231" i="5"/>
  <c r="RI231" i="5"/>
  <c r="QV197" i="5"/>
  <c r="QZ197" i="5"/>
  <c r="RD197" i="5"/>
  <c r="RH197" i="5"/>
  <c r="RL197" i="5"/>
  <c r="RP197" i="5"/>
  <c r="RT197" i="5"/>
  <c r="QW197" i="5"/>
  <c r="RA197" i="5"/>
  <c r="RE197" i="5"/>
  <c r="RI197" i="5"/>
  <c r="RM197" i="5"/>
  <c r="RQ197" i="5"/>
  <c r="RU197" i="5"/>
  <c r="QT197" i="5"/>
  <c r="QX197" i="5"/>
  <c r="RB197" i="5"/>
  <c r="RF197" i="5"/>
  <c r="RJ197" i="5"/>
  <c r="RN197" i="5"/>
  <c r="RR197" i="5"/>
  <c r="RC197" i="5"/>
  <c r="RS197" i="5"/>
  <c r="RG197" i="5"/>
  <c r="QU197" i="5"/>
  <c r="RK197" i="5"/>
  <c r="QY197" i="5"/>
  <c r="RO197" i="5"/>
  <c r="QW182" i="5"/>
  <c r="RA182" i="5"/>
  <c r="RE182" i="5"/>
  <c r="RI182" i="5"/>
  <c r="RM182" i="5"/>
  <c r="RQ182" i="5"/>
  <c r="RU182" i="5"/>
  <c r="QT182" i="5"/>
  <c r="QX182" i="5"/>
  <c r="CQ182" i="5" s="1"/>
  <c r="RB182" i="5"/>
  <c r="RF182" i="5"/>
  <c r="RJ182" i="5"/>
  <c r="RN182" i="5"/>
  <c r="RR182" i="5"/>
  <c r="QV182" i="5"/>
  <c r="RD182" i="5"/>
  <c r="RL182" i="5"/>
  <c r="RT182" i="5"/>
  <c r="QY182" i="5"/>
  <c r="RG182" i="5"/>
  <c r="RO182" i="5"/>
  <c r="QZ182" i="5"/>
  <c r="RH182" i="5"/>
  <c r="RP182" i="5"/>
  <c r="RS182" i="5"/>
  <c r="QU182" i="5"/>
  <c r="RC182" i="5"/>
  <c r="RK182" i="5"/>
  <c r="QW167" i="5"/>
  <c r="RA167" i="5"/>
  <c r="RE167" i="5"/>
  <c r="RI167" i="5"/>
  <c r="RM167" i="5"/>
  <c r="RQ167" i="5"/>
  <c r="RU167" i="5"/>
  <c r="QT167" i="5"/>
  <c r="QX167" i="5"/>
  <c r="RB167" i="5"/>
  <c r="RF167" i="5"/>
  <c r="RJ167" i="5"/>
  <c r="RN167" i="5"/>
  <c r="RR167" i="5"/>
  <c r="QU167" i="5"/>
  <c r="QY167" i="5"/>
  <c r="RC167" i="5"/>
  <c r="RG167" i="5"/>
  <c r="RK167" i="5"/>
  <c r="RO167" i="5"/>
  <c r="RS167" i="5"/>
  <c r="QZ167" i="5"/>
  <c r="RP167" i="5"/>
  <c r="RD167" i="5"/>
  <c r="RT167" i="5"/>
  <c r="RH167" i="5"/>
  <c r="QV167" i="5"/>
  <c r="RL167" i="5"/>
  <c r="QU151" i="5"/>
  <c r="QY151" i="5"/>
  <c r="RC151" i="5"/>
  <c r="RG151" i="5"/>
  <c r="RK151" i="5"/>
  <c r="RO151" i="5"/>
  <c r="RS151" i="5"/>
  <c r="QW151" i="5"/>
  <c r="RA151" i="5"/>
  <c r="RE151" i="5"/>
  <c r="RI151" i="5"/>
  <c r="RM151" i="5"/>
  <c r="RQ151" i="5"/>
  <c r="RU151" i="5"/>
  <c r="QZ151" i="5"/>
  <c r="RH151" i="5"/>
  <c r="RP151" i="5"/>
  <c r="QT151" i="5"/>
  <c r="RB151" i="5"/>
  <c r="RJ151" i="5"/>
  <c r="RR151" i="5"/>
  <c r="QV151" i="5"/>
  <c r="RD151" i="5"/>
  <c r="RL151" i="5"/>
  <c r="RT151" i="5"/>
  <c r="QX151" i="5"/>
  <c r="RF151" i="5"/>
  <c r="RN151" i="5"/>
  <c r="QU137" i="5"/>
  <c r="QY137" i="5"/>
  <c r="RC137" i="5"/>
  <c r="RG137" i="5"/>
  <c r="RK137" i="5"/>
  <c r="RO137" i="5"/>
  <c r="RS137" i="5"/>
  <c r="QV137" i="5"/>
  <c r="QZ137" i="5"/>
  <c r="RD137" i="5"/>
  <c r="RH137" i="5"/>
  <c r="RL137" i="5"/>
  <c r="RP137" i="5"/>
  <c r="RT137" i="5"/>
  <c r="QW137" i="5"/>
  <c r="RA137" i="5"/>
  <c r="RE137" i="5"/>
  <c r="RI137" i="5"/>
  <c r="RM137" i="5"/>
  <c r="RQ137" i="5"/>
  <c r="RU137" i="5"/>
  <c r="RB137" i="5"/>
  <c r="RR137" i="5"/>
  <c r="RF137" i="5"/>
  <c r="QT137" i="5"/>
  <c r="RJ137" i="5"/>
  <c r="QX137" i="5"/>
  <c r="RN137" i="5"/>
  <c r="QW114" i="5"/>
  <c r="RA114" i="5"/>
  <c r="RE114" i="5"/>
  <c r="RI114" i="5"/>
  <c r="RM114" i="5"/>
  <c r="RQ114" i="5"/>
  <c r="RU114" i="5"/>
  <c r="QT114" i="5"/>
  <c r="QX114" i="5"/>
  <c r="RB114" i="5"/>
  <c r="RF114" i="5"/>
  <c r="RJ114" i="5"/>
  <c r="RN114" i="5"/>
  <c r="RR114" i="5"/>
  <c r="QU114" i="5"/>
  <c r="RC114" i="5"/>
  <c r="RK114" i="5"/>
  <c r="RS114" i="5"/>
  <c r="QV114" i="5"/>
  <c r="RD114" i="5"/>
  <c r="RL114" i="5"/>
  <c r="RT114" i="5"/>
  <c r="QY114" i="5"/>
  <c r="RG114" i="5"/>
  <c r="RO114" i="5"/>
  <c r="QZ114" i="5"/>
  <c r="RH114" i="5"/>
  <c r="RP114" i="5"/>
  <c r="QW26" i="5"/>
  <c r="RA26" i="5"/>
  <c r="QU26" i="5"/>
  <c r="QZ26" i="5"/>
  <c r="RE26" i="5"/>
  <c r="RI26" i="5"/>
  <c r="RM26" i="5"/>
  <c r="RQ26" i="5"/>
  <c r="RU26" i="5"/>
  <c r="QV26" i="5"/>
  <c r="RB26" i="5"/>
  <c r="RF26" i="5"/>
  <c r="RJ26" i="5"/>
  <c r="RN26" i="5"/>
  <c r="RR26" i="5"/>
  <c r="CQ26" i="5" s="1"/>
  <c r="QX26" i="5"/>
  <c r="RC26" i="5"/>
  <c r="RG26" i="5"/>
  <c r="RK26" i="5"/>
  <c r="RO26" i="5"/>
  <c r="RS26" i="5"/>
  <c r="QY26" i="5"/>
  <c r="RP26" i="5"/>
  <c r="RD26" i="5"/>
  <c r="RT26" i="5"/>
  <c r="RH26" i="5"/>
  <c r="QT26" i="5"/>
  <c r="RL26" i="5"/>
  <c r="QT237" i="5"/>
  <c r="QX237" i="5"/>
  <c r="RB237" i="5"/>
  <c r="RF237" i="5"/>
  <c r="RJ237" i="5"/>
  <c r="RN237" i="5"/>
  <c r="RR237" i="5"/>
  <c r="QU237" i="5"/>
  <c r="QY237" i="5"/>
  <c r="RC237" i="5"/>
  <c r="RG237" i="5"/>
  <c r="RK237" i="5"/>
  <c r="RO237" i="5"/>
  <c r="RS237" i="5"/>
  <c r="QV237" i="5"/>
  <c r="QZ237" i="5"/>
  <c r="RD237" i="5"/>
  <c r="RH237" i="5"/>
  <c r="RL237" i="5"/>
  <c r="RP237" i="5"/>
  <c r="RT237" i="5"/>
  <c r="RE237" i="5"/>
  <c r="RU237" i="5"/>
  <c r="CQ237" i="5" s="1"/>
  <c r="RI237" i="5"/>
  <c r="QW237" i="5"/>
  <c r="RM237" i="5"/>
  <c r="RA237" i="5"/>
  <c r="RQ237" i="5"/>
  <c r="QV208" i="5"/>
  <c r="QZ208" i="5"/>
  <c r="RD208" i="5"/>
  <c r="RH208" i="5"/>
  <c r="RL208" i="5"/>
  <c r="RP208" i="5"/>
  <c r="RT208" i="5"/>
  <c r="QW208" i="5"/>
  <c r="RA208" i="5"/>
  <c r="RE208" i="5"/>
  <c r="RI208" i="5"/>
  <c r="RM208" i="5"/>
  <c r="RQ208" i="5"/>
  <c r="RU208" i="5"/>
  <c r="CQ208" i="5" s="1"/>
  <c r="QT208" i="5"/>
  <c r="QX208" i="5"/>
  <c r="RB208" i="5"/>
  <c r="RF208" i="5"/>
  <c r="RJ208" i="5"/>
  <c r="RN208" i="5"/>
  <c r="RR208" i="5"/>
  <c r="QU208" i="5"/>
  <c r="RK208" i="5"/>
  <c r="QY208" i="5"/>
  <c r="RO208" i="5"/>
  <c r="RC208" i="5"/>
  <c r="RS208" i="5"/>
  <c r="RG208" i="5"/>
  <c r="QV195" i="5"/>
  <c r="QZ195" i="5"/>
  <c r="RD195" i="5"/>
  <c r="RH195" i="5"/>
  <c r="RL195" i="5"/>
  <c r="RP195" i="5"/>
  <c r="RT195" i="5"/>
  <c r="QW195" i="5"/>
  <c r="RA195" i="5"/>
  <c r="RE195" i="5"/>
  <c r="RI195" i="5"/>
  <c r="RM195" i="5"/>
  <c r="RQ195" i="5"/>
  <c r="RU195" i="5"/>
  <c r="QT195" i="5"/>
  <c r="QX195" i="5"/>
  <c r="RB195" i="5"/>
  <c r="RF195" i="5"/>
  <c r="RJ195" i="5"/>
  <c r="RN195" i="5"/>
  <c r="RR195" i="5"/>
  <c r="QU195" i="5"/>
  <c r="RK195" i="5"/>
  <c r="QY195" i="5"/>
  <c r="RO195" i="5"/>
  <c r="RC195" i="5"/>
  <c r="RS195" i="5"/>
  <c r="RG195" i="5"/>
  <c r="QW180" i="5"/>
  <c r="RA180" i="5"/>
  <c r="RE180" i="5"/>
  <c r="RI180" i="5"/>
  <c r="RM180" i="5"/>
  <c r="RQ180" i="5"/>
  <c r="RU180" i="5"/>
  <c r="QT180" i="5"/>
  <c r="QX180" i="5"/>
  <c r="RB180" i="5"/>
  <c r="RF180" i="5"/>
  <c r="RJ180" i="5"/>
  <c r="RN180" i="5"/>
  <c r="RR180" i="5"/>
  <c r="QV180" i="5"/>
  <c r="RD180" i="5"/>
  <c r="RL180" i="5"/>
  <c r="RT180" i="5"/>
  <c r="QY180" i="5"/>
  <c r="RG180" i="5"/>
  <c r="RO180" i="5"/>
  <c r="QZ180" i="5"/>
  <c r="RH180" i="5"/>
  <c r="RP180" i="5"/>
  <c r="RK180" i="5"/>
  <c r="RS180" i="5"/>
  <c r="QU180" i="5"/>
  <c r="RC180" i="5"/>
  <c r="QU135" i="5"/>
  <c r="QY135" i="5"/>
  <c r="RC135" i="5"/>
  <c r="RG135" i="5"/>
  <c r="RK135" i="5"/>
  <c r="RO135" i="5"/>
  <c r="RS135" i="5"/>
  <c r="QV135" i="5"/>
  <c r="QZ135" i="5"/>
  <c r="RD135" i="5"/>
  <c r="RH135" i="5"/>
  <c r="RL135" i="5"/>
  <c r="RP135" i="5"/>
  <c r="RT135" i="5"/>
  <c r="QW135" i="5"/>
  <c r="RA135" i="5"/>
  <c r="RE135" i="5"/>
  <c r="RI135" i="5"/>
  <c r="RM135" i="5"/>
  <c r="RQ135" i="5"/>
  <c r="RU135" i="5"/>
  <c r="QT135" i="5"/>
  <c r="RJ135" i="5"/>
  <c r="QX135" i="5"/>
  <c r="RN135" i="5"/>
  <c r="RB135" i="5"/>
  <c r="RR135" i="5"/>
  <c r="RF135" i="5"/>
  <c r="QW120" i="5"/>
  <c r="RA120" i="5"/>
  <c r="RE120" i="5"/>
  <c r="RI120" i="5"/>
  <c r="RM120" i="5"/>
  <c r="RQ120" i="5"/>
  <c r="RU120" i="5"/>
  <c r="QT120" i="5"/>
  <c r="QX120" i="5"/>
  <c r="RB120" i="5"/>
  <c r="RF120" i="5"/>
  <c r="RJ120" i="5"/>
  <c r="CQ120" i="5" s="1"/>
  <c r="RN120" i="5"/>
  <c r="RR120" i="5"/>
  <c r="QU120" i="5"/>
  <c r="RC120" i="5"/>
  <c r="RK120" i="5"/>
  <c r="RS120" i="5"/>
  <c r="QV120" i="5"/>
  <c r="RD120" i="5"/>
  <c r="RL120" i="5"/>
  <c r="RT120" i="5"/>
  <c r="QY120" i="5"/>
  <c r="RG120" i="5"/>
  <c r="RO120" i="5"/>
  <c r="RP120" i="5"/>
  <c r="QZ120" i="5"/>
  <c r="RH120" i="5"/>
  <c r="PO113" i="5"/>
  <c r="QN35" i="5"/>
  <c r="PU73" i="5"/>
  <c r="QL89" i="5"/>
  <c r="QI49" i="5"/>
  <c r="PV89" i="5"/>
  <c r="PT73" i="5"/>
  <c r="QH89" i="5"/>
  <c r="PV73" i="5"/>
  <c r="QB49" i="5"/>
  <c r="QB89" i="5"/>
  <c r="PZ73" i="5"/>
  <c r="PO49" i="5"/>
  <c r="QA49" i="5"/>
  <c r="QD49" i="5"/>
  <c r="PL49" i="5"/>
  <c r="PP49" i="5"/>
  <c r="PN68" i="5"/>
  <c r="QQ68" i="5"/>
  <c r="PJ89" i="5"/>
  <c r="QP89" i="5"/>
  <c r="PW89" i="5"/>
  <c r="PT89" i="5"/>
  <c r="QE73" i="5"/>
  <c r="QI73" i="5"/>
  <c r="PJ73" i="5"/>
  <c r="PM73" i="5"/>
  <c r="PL73" i="5"/>
  <c r="QN49" i="5"/>
  <c r="QO49" i="5"/>
  <c r="PS49" i="5"/>
  <c r="QE89" i="5"/>
  <c r="PS89" i="5"/>
  <c r="QA89" i="5"/>
  <c r="PM89" i="5"/>
  <c r="PL89" i="5"/>
  <c r="PN73" i="5"/>
  <c r="PS73" i="5"/>
  <c r="QK73" i="5"/>
  <c r="QJ73" i="5"/>
  <c r="QH49" i="5"/>
  <c r="PZ49" i="5"/>
  <c r="PT49" i="5"/>
  <c r="PK49" i="5"/>
  <c r="QO68" i="5"/>
  <c r="PZ89" i="5"/>
  <c r="QK89" i="5"/>
  <c r="PN89" i="5"/>
  <c r="QJ89" i="5"/>
  <c r="PW73" i="5"/>
  <c r="QP73" i="5"/>
  <c r="QC73" i="5"/>
  <c r="QB73" i="5"/>
  <c r="PU49" i="5"/>
  <c r="QF49" i="5"/>
  <c r="QQ49" i="5"/>
  <c r="PL67" i="5"/>
  <c r="PQ64" i="5"/>
  <c r="QH55" i="5"/>
  <c r="PP77" i="5"/>
  <c r="PW106" i="5"/>
  <c r="QK113" i="5"/>
  <c r="PL36" i="5"/>
  <c r="QA117" i="5"/>
  <c r="QF13" i="5"/>
  <c r="QC103" i="5"/>
  <c r="QH113" i="5"/>
  <c r="PZ51" i="5"/>
  <c r="QA19" i="5"/>
  <c r="QI117" i="5"/>
  <c r="PK5" i="5"/>
  <c r="QK82" i="5"/>
  <c r="QO113" i="5"/>
  <c r="PK67" i="5"/>
  <c r="QN56" i="5"/>
  <c r="PZ37" i="5"/>
  <c r="PU119" i="5"/>
  <c r="PQ79" i="5"/>
  <c r="PU118" i="5"/>
  <c r="PJ82" i="5"/>
  <c r="QJ74" i="5"/>
  <c r="PQ66" i="5"/>
  <c r="QE58" i="5"/>
  <c r="QH50" i="5"/>
  <c r="PS64" i="5"/>
  <c r="PN56" i="5"/>
  <c r="PO36" i="5"/>
  <c r="PL24" i="5"/>
  <c r="QF4" i="5"/>
  <c r="QO61" i="5"/>
  <c r="PY112" i="5"/>
  <c r="PZ24" i="5"/>
  <c r="PS4" i="5"/>
  <c r="QD77" i="5"/>
  <c r="PT113" i="5"/>
  <c r="QG113" i="5"/>
  <c r="QA113" i="5"/>
  <c r="PZ113" i="5"/>
  <c r="PR67" i="5"/>
  <c r="QA51" i="5"/>
  <c r="PL35" i="5"/>
  <c r="QF19" i="5"/>
  <c r="PM112" i="5"/>
  <c r="QQ64" i="5"/>
  <c r="PV64" i="5"/>
  <c r="QH56" i="5"/>
  <c r="QA56" i="5"/>
  <c r="PV36" i="5"/>
  <c r="QD36" i="5"/>
  <c r="PK24" i="5"/>
  <c r="QO24" i="5"/>
  <c r="PU4" i="5"/>
  <c r="QL4" i="5"/>
  <c r="PW117" i="5"/>
  <c r="PM117" i="5"/>
  <c r="PN77" i="5"/>
  <c r="QF61" i="5"/>
  <c r="PX37" i="5"/>
  <c r="QD13" i="5"/>
  <c r="PO119" i="5"/>
  <c r="QQ103" i="5"/>
  <c r="QI79" i="5"/>
  <c r="PP79" i="5"/>
  <c r="QE55" i="5"/>
  <c r="QG5" i="5"/>
  <c r="PW118" i="5"/>
  <c r="PR106" i="5"/>
  <c r="QG82" i="5"/>
  <c r="PX74" i="5"/>
  <c r="QE66" i="5"/>
  <c r="PR58" i="5"/>
  <c r="QC50" i="5"/>
  <c r="QC113" i="5"/>
  <c r="PW113" i="5"/>
  <c r="PP113" i="5"/>
  <c r="PR113" i="5"/>
  <c r="PN67" i="5"/>
  <c r="QG51" i="5"/>
  <c r="QQ35" i="5"/>
  <c r="PQ19" i="5"/>
  <c r="PZ112" i="5"/>
  <c r="PL112" i="5"/>
  <c r="QF64" i="5"/>
  <c r="PY64" i="5"/>
  <c r="QJ56" i="5"/>
  <c r="QO56" i="5"/>
  <c r="QL36" i="5"/>
  <c r="QO36" i="5"/>
  <c r="QQ24" i="5"/>
  <c r="PY24" i="5"/>
  <c r="PT4" i="5"/>
  <c r="PV4" i="5"/>
  <c r="PQ117" i="5"/>
  <c r="QD117" i="5"/>
  <c r="PR77" i="5"/>
  <c r="QL61" i="5"/>
  <c r="PL37" i="5"/>
  <c r="PN13" i="5"/>
  <c r="QG119" i="5"/>
  <c r="PN119" i="5"/>
  <c r="QJ103" i="5"/>
  <c r="QE79" i="5"/>
  <c r="QL55" i="5"/>
  <c r="QF5" i="5"/>
  <c r="PQ118" i="5"/>
  <c r="QO106" i="5"/>
  <c r="QM82" i="5"/>
  <c r="PS74" i="5"/>
  <c r="QH66" i="5"/>
  <c r="PO58" i="5"/>
  <c r="PQ58" i="5"/>
  <c r="QL50" i="5"/>
  <c r="PX113" i="5"/>
  <c r="QJ113" i="5"/>
  <c r="PL113" i="5"/>
  <c r="QP113" i="5"/>
  <c r="PJ113" i="5"/>
  <c r="PX35" i="5"/>
  <c r="QN64" i="5"/>
  <c r="QL64" i="5"/>
  <c r="QP56" i="5"/>
  <c r="PY56" i="5"/>
  <c r="QJ36" i="5"/>
  <c r="PY36" i="5"/>
  <c r="PW24" i="5"/>
  <c r="PN24" i="5"/>
  <c r="PY4" i="5"/>
  <c r="QI4" i="5"/>
  <c r="QK117" i="5"/>
  <c r="PY117" i="5"/>
  <c r="PN117" i="5"/>
  <c r="PQ77" i="5"/>
  <c r="PK61" i="5"/>
  <c r="QP37" i="5"/>
  <c r="PO37" i="5"/>
  <c r="QL13" i="5"/>
  <c r="PS119" i="5"/>
  <c r="QD103" i="5"/>
  <c r="PV79" i="5"/>
  <c r="PU55" i="5"/>
  <c r="PO5" i="5"/>
  <c r="PY118" i="5"/>
  <c r="PP118" i="5"/>
  <c r="QF106" i="5"/>
  <c r="QP82" i="5"/>
  <c r="PV74" i="5"/>
  <c r="PL66" i="5"/>
  <c r="QI58" i="5"/>
  <c r="PT50" i="5"/>
  <c r="PX81" i="5"/>
  <c r="PT81" i="5"/>
  <c r="PU81" i="5"/>
  <c r="PZ81" i="5"/>
  <c r="QL81" i="5"/>
  <c r="QB81" i="5"/>
  <c r="QC81" i="5"/>
  <c r="QP81" i="5"/>
  <c r="PW41" i="5"/>
  <c r="PS41" i="5"/>
  <c r="PT41" i="5"/>
  <c r="PZ41" i="5"/>
  <c r="QC41" i="5"/>
  <c r="QA41" i="5"/>
  <c r="QD41" i="5"/>
  <c r="QK41" i="5"/>
  <c r="PV41" i="5"/>
  <c r="QI41" i="5"/>
  <c r="QO41" i="5"/>
  <c r="PQ41" i="5"/>
  <c r="PL41" i="5"/>
  <c r="PV115" i="5"/>
  <c r="PR115" i="5"/>
  <c r="PQ115" i="5"/>
  <c r="QC115" i="5"/>
  <c r="PY115" i="5"/>
  <c r="PZ115" i="5"/>
  <c r="QB115" i="5"/>
  <c r="QN115" i="5"/>
  <c r="PP115" i="5"/>
  <c r="QH115" i="5"/>
  <c r="QM115" i="5"/>
  <c r="PU115" i="5"/>
  <c r="QK115" i="5"/>
  <c r="PX83" i="5"/>
  <c r="QJ83" i="5"/>
  <c r="QO83" i="5"/>
  <c r="QA83" i="5"/>
  <c r="PQ83" i="5"/>
  <c r="PL83" i="5"/>
  <c r="PM83" i="5"/>
  <c r="PR83" i="5"/>
  <c r="QP83" i="5"/>
  <c r="PV83" i="5"/>
  <c r="PT83" i="5"/>
  <c r="PS83" i="5"/>
  <c r="QG83" i="5"/>
  <c r="QL83" i="5"/>
  <c r="PX67" i="5"/>
  <c r="PT67" i="5"/>
  <c r="PU67" i="5"/>
  <c r="QD67" i="5"/>
  <c r="PS67" i="5"/>
  <c r="QB67" i="5"/>
  <c r="QC67" i="5"/>
  <c r="PO67" i="5"/>
  <c r="PJ67" i="5"/>
  <c r="QJ67" i="5"/>
  <c r="QK67" i="5"/>
  <c r="QE67" i="5"/>
  <c r="QP67" i="5"/>
  <c r="PW51" i="5"/>
  <c r="QI51" i="5"/>
  <c r="QK51" i="5"/>
  <c r="PV51" i="5"/>
  <c r="PL51" i="5"/>
  <c r="PK51" i="5"/>
  <c r="QQ51" i="5"/>
  <c r="PM51" i="5"/>
  <c r="QJ51" i="5"/>
  <c r="PX51" i="5"/>
  <c r="PS51" i="5"/>
  <c r="PP51" i="5"/>
  <c r="QB51" i="5"/>
  <c r="QD51" i="5"/>
  <c r="PW35" i="5"/>
  <c r="PS35" i="5"/>
  <c r="PP35" i="5"/>
  <c r="PV35" i="5"/>
  <c r="QD35" i="5"/>
  <c r="QA35" i="5"/>
  <c r="PZ35" i="5"/>
  <c r="QG35" i="5"/>
  <c r="PM35" i="5"/>
  <c r="QI35" i="5"/>
  <c r="QK35" i="5"/>
  <c r="PR35" i="5"/>
  <c r="PN35" i="5"/>
  <c r="PW19" i="5"/>
  <c r="QI19" i="5"/>
  <c r="QO19" i="5"/>
  <c r="QK19" i="5"/>
  <c r="CO19" i="5" s="1"/>
  <c r="HH19" i="5" s="1"/>
  <c r="QG19" i="5"/>
  <c r="PK19" i="5"/>
  <c r="QQ19" i="5"/>
  <c r="PU19" i="5"/>
  <c r="PR19" i="5"/>
  <c r="PV19" i="5"/>
  <c r="PS19" i="5"/>
  <c r="PT19" i="5"/>
  <c r="QH19" i="5"/>
  <c r="QL19" i="5"/>
  <c r="PX112" i="5"/>
  <c r="PT112" i="5"/>
  <c r="PW112" i="5"/>
  <c r="CO112" i="5" s="1"/>
  <c r="HH112" i="5" s="1"/>
  <c r="QI112" i="5"/>
  <c r="QP112" i="5"/>
  <c r="QB112" i="5"/>
  <c r="QH112" i="5"/>
  <c r="PQ112" i="5"/>
  <c r="PV112" i="5"/>
  <c r="QJ112" i="5"/>
  <c r="PN112" i="5"/>
  <c r="QL112" i="5"/>
  <c r="QQ112" i="5"/>
  <c r="QL68" i="5"/>
  <c r="QD68" i="5"/>
  <c r="QJ68" i="5"/>
  <c r="PK68" i="5"/>
  <c r="QK68" i="5"/>
  <c r="QA68" i="5"/>
  <c r="QG68" i="5"/>
  <c r="PX48" i="5"/>
  <c r="QG48" i="5"/>
  <c r="PT40" i="5"/>
  <c r="PP40" i="5"/>
  <c r="QO32" i="5"/>
  <c r="QG32" i="5"/>
  <c r="QM8" i="5"/>
  <c r="QD8" i="5"/>
  <c r="PQ109" i="5"/>
  <c r="PX109" i="5"/>
  <c r="PK85" i="5"/>
  <c r="PN85" i="5"/>
  <c r="QD69" i="5"/>
  <c r="PW21" i="5"/>
  <c r="QN7" i="5"/>
  <c r="PY111" i="5"/>
  <c r="PN48" i="5"/>
  <c r="QD48" i="5"/>
  <c r="PQ48" i="5"/>
  <c r="PS40" i="5"/>
  <c r="QG40" i="5"/>
  <c r="QH32" i="5"/>
  <c r="PL32" i="5"/>
  <c r="PS8" i="5"/>
  <c r="PQ8" i="5"/>
  <c r="PN8" i="5"/>
  <c r="QG109" i="5"/>
  <c r="QL109" i="5"/>
  <c r="PR85" i="5"/>
  <c r="PZ85" i="5"/>
  <c r="QH69" i="5"/>
  <c r="QN21" i="5"/>
  <c r="QG7" i="5"/>
  <c r="PV111" i="5"/>
  <c r="QB48" i="5"/>
  <c r="QL48" i="5"/>
  <c r="PZ40" i="5"/>
  <c r="PW40" i="5"/>
  <c r="PQ40" i="5"/>
  <c r="PY32" i="5"/>
  <c r="QE32" i="5"/>
  <c r="QC8" i="5"/>
  <c r="QF8" i="5"/>
  <c r="QJ109" i="5"/>
  <c r="PV109" i="5"/>
  <c r="QL85" i="5"/>
  <c r="QN85" i="5"/>
  <c r="PY69" i="5"/>
  <c r="QL21" i="5"/>
  <c r="PK7" i="5"/>
  <c r="QG111" i="5"/>
  <c r="PM113" i="5"/>
  <c r="QN113" i="5"/>
  <c r="PY113" i="5"/>
  <c r="QB113" i="5"/>
  <c r="QQ113" i="5"/>
  <c r="PU113" i="5"/>
  <c r="QL113" i="5"/>
  <c r="PV113" i="5"/>
  <c r="PS105" i="5"/>
  <c r="PY105" i="5"/>
  <c r="PM105" i="5"/>
  <c r="QM105" i="5"/>
  <c r="PQ105" i="5"/>
  <c r="QF105" i="5"/>
  <c r="PK105" i="5"/>
  <c r="QD105" i="5"/>
  <c r="PN105" i="5"/>
  <c r="QO89" i="5"/>
  <c r="PY89" i="5"/>
  <c r="QQ89" i="5"/>
  <c r="PO89" i="5"/>
  <c r="PU89" i="5"/>
  <c r="QC89" i="5"/>
  <c r="QN89" i="5"/>
  <c r="PX89" i="5"/>
  <c r="QD81" i="5"/>
  <c r="PS81" i="5"/>
  <c r="QA81" i="5"/>
  <c r="PN81" i="5"/>
  <c r="PR81" i="5"/>
  <c r="QG81" i="5"/>
  <c r="PQ81" i="5"/>
  <c r="QF81" i="5"/>
  <c r="PP81" i="5"/>
  <c r="QD73" i="5"/>
  <c r="QL73" i="5"/>
  <c r="QA73" i="5"/>
  <c r="QH73" i="5"/>
  <c r="QO73" i="5"/>
  <c r="PY73" i="5"/>
  <c r="QN73" i="5"/>
  <c r="PX73" i="5"/>
  <c r="PV49" i="5"/>
  <c r="QP49" i="5"/>
  <c r="QG49" i="5"/>
  <c r="QL49" i="5"/>
  <c r="CO49" i="5" s="1"/>
  <c r="HH49" i="5" s="1"/>
  <c r="PJ49" i="5"/>
  <c r="PY49" i="5"/>
  <c r="QM49" i="5"/>
  <c r="PW49" i="5"/>
  <c r="QH41" i="5"/>
  <c r="CO41" i="5" s="1"/>
  <c r="HH41" i="5" s="1"/>
  <c r="PX41" i="5"/>
  <c r="PR41" i="5"/>
  <c r="QP41" i="5"/>
  <c r="PU41" i="5"/>
  <c r="QJ41" i="5"/>
  <c r="PN41" i="5"/>
  <c r="QE41" i="5"/>
  <c r="PO41" i="5"/>
  <c r="PT115" i="5"/>
  <c r="QA115" i="5"/>
  <c r="PO115" i="5"/>
  <c r="PK115" i="5"/>
  <c r="PX115" i="5"/>
  <c r="QG115" i="5"/>
  <c r="PL115" i="5"/>
  <c r="QD115" i="5"/>
  <c r="PN115" i="5"/>
  <c r="QK83" i="5"/>
  <c r="QQ83" i="5"/>
  <c r="PW83" i="5"/>
  <c r="PU83" i="5"/>
  <c r="PZ83" i="5"/>
  <c r="QI83" i="5"/>
  <c r="PN83" i="5"/>
  <c r="QF83" i="5"/>
  <c r="PP83" i="5"/>
  <c r="QA67" i="5"/>
  <c r="PZ67" i="5"/>
  <c r="QH67" i="5"/>
  <c r="PW67" i="5"/>
  <c r="PV67" i="5"/>
  <c r="QG67" i="5"/>
  <c r="PQ67" i="5"/>
  <c r="QF67" i="5"/>
  <c r="PP67" i="5"/>
  <c r="QQ59" i="5"/>
  <c r="QL59" i="5"/>
  <c r="PZ59" i="5"/>
  <c r="QD59" i="5"/>
  <c r="QM59" i="5"/>
  <c r="PR59" i="5"/>
  <c r="QF59" i="5"/>
  <c r="PP59" i="5"/>
  <c r="PY51" i="5"/>
  <c r="QL51" i="5"/>
  <c r="PQ51" i="5"/>
  <c r="PN51" i="5"/>
  <c r="PT51" i="5"/>
  <c r="QF51" i="5"/>
  <c r="PJ51" i="5"/>
  <c r="QE51" i="5"/>
  <c r="PO51" i="5"/>
  <c r="QO43" i="5"/>
  <c r="QJ43" i="5"/>
  <c r="PX43" i="5"/>
  <c r="QB43" i="5"/>
  <c r="QP43" i="5"/>
  <c r="PU43" i="5"/>
  <c r="QM43" i="5"/>
  <c r="PW43" i="5"/>
  <c r="PY35" i="5"/>
  <c r="QH35" i="5"/>
  <c r="PT35" i="5"/>
  <c r="QL35" i="5"/>
  <c r="PQ35" i="5"/>
  <c r="QF35" i="5"/>
  <c r="PJ35" i="5"/>
  <c r="QE35" i="5"/>
  <c r="PO35" i="5"/>
  <c r="QP27" i="5"/>
  <c r="QI27" i="5"/>
  <c r="QM27" i="5"/>
  <c r="PJ27" i="5"/>
  <c r="PO27" i="5"/>
  <c r="QA27" i="5"/>
  <c r="QO27" i="5"/>
  <c r="PY27" i="5"/>
  <c r="PX19" i="5"/>
  <c r="PP19" i="5"/>
  <c r="QC19" i="5"/>
  <c r="PZ19" i="5"/>
  <c r="QB19" i="5"/>
  <c r="QJ19" i="5"/>
  <c r="PN19" i="5"/>
  <c r="QE19" i="5"/>
  <c r="PO19" i="5"/>
  <c r="QM116" i="5"/>
  <c r="PN116" i="5"/>
  <c r="QD116" i="5"/>
  <c r="QG116" i="5"/>
  <c r="PK116" i="5"/>
  <c r="PZ116" i="5"/>
  <c r="QN116" i="5"/>
  <c r="PX116" i="5"/>
  <c r="QK112" i="5"/>
  <c r="QG112" i="5"/>
  <c r="QE112" i="5"/>
  <c r="QA112" i="5"/>
  <c r="QD112" i="5"/>
  <c r="QM112" i="5"/>
  <c r="PR112" i="5"/>
  <c r="QF112" i="5"/>
  <c r="PP112" i="5"/>
  <c r="PU76" i="5"/>
  <c r="PP76" i="5"/>
  <c r="QQ76" i="5"/>
  <c r="PK76" i="5"/>
  <c r="QF68" i="5"/>
  <c r="PT68" i="5"/>
  <c r="PS68" i="5"/>
  <c r="PV68" i="5"/>
  <c r="QO64" i="5"/>
  <c r="QA64" i="5"/>
  <c r="PO64" i="5"/>
  <c r="PZ56" i="5"/>
  <c r="QE56" i="5"/>
  <c r="QB56" i="5"/>
  <c r="PP56" i="5"/>
  <c r="QI48" i="5"/>
  <c r="PJ48" i="5"/>
  <c r="QA48" i="5"/>
  <c r="PY48" i="5"/>
  <c r="QJ40" i="5"/>
  <c r="QN40" i="5"/>
  <c r="PL40" i="5"/>
  <c r="QO40" i="5"/>
  <c r="QH36" i="5"/>
  <c r="QB36" i="5"/>
  <c r="PZ36" i="5"/>
  <c r="PS36" i="5"/>
  <c r="QJ32" i="5"/>
  <c r="PJ32" i="5"/>
  <c r="PV32" i="5"/>
  <c r="PW32" i="5"/>
  <c r="PP24" i="5"/>
  <c r="QA24" i="5"/>
  <c r="QJ24" i="5"/>
  <c r="PY8" i="5"/>
  <c r="QB8" i="5"/>
  <c r="PU8" i="5"/>
  <c r="PV8" i="5"/>
  <c r="QN4" i="5"/>
  <c r="QJ4" i="5"/>
  <c r="QA4" i="5"/>
  <c r="QF117" i="5"/>
  <c r="QM117" i="5"/>
  <c r="PO117" i="5"/>
  <c r="PK109" i="5"/>
  <c r="QA109" i="5"/>
  <c r="PY109" i="5"/>
  <c r="PM109" i="5"/>
  <c r="PN109" i="5"/>
  <c r="PS85" i="5"/>
  <c r="PW85" i="5"/>
  <c r="QK85" i="5"/>
  <c r="PX85" i="5"/>
  <c r="PK77" i="5"/>
  <c r="QA69" i="5"/>
  <c r="QN69" i="5"/>
  <c r="PM61" i="5"/>
  <c r="QF37" i="5"/>
  <c r="PM21" i="5"/>
  <c r="QP21" i="5"/>
  <c r="QO13" i="5"/>
  <c r="PW13" i="5"/>
  <c r="QO7" i="5"/>
  <c r="PX7" i="5"/>
  <c r="QQ119" i="5"/>
  <c r="QC111" i="5"/>
  <c r="QL111" i="5"/>
  <c r="PQ103" i="5"/>
  <c r="QH79" i="5"/>
  <c r="QI63" i="5"/>
  <c r="PK63" i="5"/>
  <c r="QF55" i="5"/>
  <c r="PZ55" i="5"/>
  <c r="QQ5" i="5"/>
  <c r="PV122" i="5"/>
  <c r="QD122" i="5"/>
  <c r="PN118" i="5"/>
  <c r="QD110" i="5"/>
  <c r="PM110" i="5"/>
  <c r="QA106" i="5"/>
  <c r="PZ106" i="5"/>
  <c r="QE98" i="5"/>
  <c r="PP98" i="5"/>
  <c r="QF82" i="5"/>
  <c r="PP78" i="5"/>
  <c r="QB74" i="5"/>
  <c r="QK70" i="5"/>
  <c r="PS70" i="5"/>
  <c r="PT66" i="5"/>
  <c r="PZ58" i="5"/>
  <c r="QD50" i="5"/>
  <c r="PZ50" i="5"/>
  <c r="QJ46" i="5"/>
  <c r="PR76" i="5"/>
  <c r="QH76" i="5"/>
  <c r="PO76" i="5"/>
  <c r="QE76" i="5"/>
  <c r="PL76" i="5"/>
  <c r="PM76" i="5"/>
  <c r="PY76" i="5"/>
  <c r="QN76" i="5"/>
  <c r="PJ76" i="5"/>
  <c r="PZ76" i="5"/>
  <c r="QP76" i="5"/>
  <c r="PW76" i="5"/>
  <c r="QM76" i="5"/>
  <c r="QB76" i="5"/>
  <c r="QG76" i="5"/>
  <c r="PQ76" i="5"/>
  <c r="QO76" i="5"/>
  <c r="PR64" i="5"/>
  <c r="PM64" i="5"/>
  <c r="QH64" i="5"/>
  <c r="PT64" i="5"/>
  <c r="QM64" i="5"/>
  <c r="QJ64" i="5"/>
  <c r="PU64" i="5"/>
  <c r="PK64" i="5"/>
  <c r="PJ64" i="5"/>
  <c r="PZ64" i="5"/>
  <c r="PX64" i="5"/>
  <c r="QP64" i="5"/>
  <c r="QE64" i="5"/>
  <c r="PP64" i="5"/>
  <c r="QB64" i="5"/>
  <c r="PW64" i="5"/>
  <c r="PL64" i="5"/>
  <c r="PU56" i="5"/>
  <c r="QK56" i="5"/>
  <c r="PV56" i="5"/>
  <c r="QQ56" i="5"/>
  <c r="QI56" i="5"/>
  <c r="QD56" i="5"/>
  <c r="PS56" i="5"/>
  <c r="PL56" i="5"/>
  <c r="PM56" i="5"/>
  <c r="QC56" i="5"/>
  <c r="PK56" i="5"/>
  <c r="QF56" i="5"/>
  <c r="PT56" i="5"/>
  <c r="PO56" i="5"/>
  <c r="PR56" i="5"/>
  <c r="PJ56" i="5"/>
  <c r="PX56" i="5"/>
  <c r="PU36" i="5"/>
  <c r="QK36" i="5"/>
  <c r="PX36" i="5"/>
  <c r="PJ36" i="5"/>
  <c r="QE36" i="5"/>
  <c r="QA36" i="5"/>
  <c r="QM36" i="5"/>
  <c r="PK36" i="5"/>
  <c r="PM36" i="5"/>
  <c r="QC36" i="5"/>
  <c r="PN36" i="5"/>
  <c r="QI36" i="5"/>
  <c r="PT36" i="5"/>
  <c r="QP36" i="5"/>
  <c r="PR36" i="5"/>
  <c r="QQ36" i="5"/>
  <c r="QF36" i="5"/>
  <c r="PU24" i="5"/>
  <c r="QK24" i="5"/>
  <c r="PT24" i="5"/>
  <c r="QP24" i="5"/>
  <c r="QI24" i="5"/>
  <c r="QL24" i="5"/>
  <c r="QM24" i="5"/>
  <c r="QH24" i="5"/>
  <c r="PM24" i="5"/>
  <c r="QC24" i="5"/>
  <c r="PJ24" i="5"/>
  <c r="QE24" i="5"/>
  <c r="PV24" i="5"/>
  <c r="PR24" i="5"/>
  <c r="PS24" i="5"/>
  <c r="QF24" i="5"/>
  <c r="PX24" i="5"/>
  <c r="PR4" i="5"/>
  <c r="QH4" i="5"/>
  <c r="PO4" i="5"/>
  <c r="QE4" i="5"/>
  <c r="PL4" i="5"/>
  <c r="PM4" i="5"/>
  <c r="PP4" i="5"/>
  <c r="PX4" i="5"/>
  <c r="PJ4" i="5"/>
  <c r="PZ4" i="5"/>
  <c r="QP4" i="5"/>
  <c r="PW4" i="5"/>
  <c r="QM4" i="5"/>
  <c r="QB4" i="5"/>
  <c r="QC4" i="5"/>
  <c r="PQ4" i="5"/>
  <c r="QG4" i="5"/>
  <c r="PJ117" i="5"/>
  <c r="CO117" i="5" s="1"/>
  <c r="HH117" i="5" s="1"/>
  <c r="PZ117" i="5"/>
  <c r="QP117" i="5"/>
  <c r="QC117" i="5"/>
  <c r="PT117" i="5"/>
  <c r="QO117" i="5"/>
  <c r="PL117" i="5"/>
  <c r="QQ117" i="5"/>
  <c r="PP117" i="5"/>
  <c r="PR117" i="5"/>
  <c r="QH117" i="5"/>
  <c r="PS117" i="5"/>
  <c r="QN117" i="5"/>
  <c r="QE117" i="5"/>
  <c r="QB117" i="5"/>
  <c r="QG117" i="5"/>
  <c r="PK117" i="5"/>
  <c r="PL77" i="5"/>
  <c r="QB77" i="5"/>
  <c r="PM77" i="5"/>
  <c r="QC77" i="5"/>
  <c r="PJ77" i="5"/>
  <c r="QP77" i="5"/>
  <c r="QQ77" i="5"/>
  <c r="PO77" i="5"/>
  <c r="PS77" i="5"/>
  <c r="PT77" i="5"/>
  <c r="QJ77" i="5"/>
  <c r="PU77" i="5"/>
  <c r="QK77" i="5"/>
  <c r="PZ77" i="5"/>
  <c r="PV77" i="5"/>
  <c r="PW77" i="5"/>
  <c r="QL77" i="5"/>
  <c r="QN77" i="5"/>
  <c r="CO77" i="5" s="1"/>
  <c r="HH77" i="5" s="1"/>
  <c r="QO77" i="5"/>
  <c r="QE77" i="5"/>
  <c r="QM77" i="5"/>
  <c r="PX77" i="5"/>
  <c r="PY77" i="5"/>
  <c r="QH77" i="5"/>
  <c r="QI77" i="5"/>
  <c r="PL61" i="5"/>
  <c r="QB61" i="5"/>
  <c r="CO61" i="5" s="1"/>
  <c r="HH61" i="5" s="1"/>
  <c r="PN61" i="5"/>
  <c r="QI61" i="5"/>
  <c r="PU61" i="5"/>
  <c r="QP61" i="5"/>
  <c r="QQ61" i="5"/>
  <c r="PQ61" i="5"/>
  <c r="QA61" i="5"/>
  <c r="PT61" i="5"/>
  <c r="QJ61" i="5"/>
  <c r="PY61" i="5"/>
  <c r="PJ61" i="5"/>
  <c r="QE61" i="5"/>
  <c r="PV61" i="5"/>
  <c r="PW61" i="5"/>
  <c r="PR61" i="5"/>
  <c r="PX61" i="5"/>
  <c r="QD61" i="5"/>
  <c r="QK61" i="5"/>
  <c r="QH61" i="5"/>
  <c r="QN61" i="5"/>
  <c r="PO61" i="5"/>
  <c r="QG61" i="5"/>
  <c r="QM61" i="5"/>
  <c r="PK37" i="5"/>
  <c r="QA37" i="5"/>
  <c r="QQ37" i="5"/>
  <c r="QB37" i="5"/>
  <c r="PR37" i="5"/>
  <c r="QN37" i="5"/>
  <c r="PP37" i="5"/>
  <c r="PJ37" i="5"/>
  <c r="QO37" i="5"/>
  <c r="PS37" i="5"/>
  <c r="QI37" i="5"/>
  <c r="PQ37" i="5"/>
  <c r="QL37" i="5"/>
  <c r="QC37" i="5"/>
  <c r="PY37" i="5"/>
  <c r="QK37" i="5"/>
  <c r="PT37" i="5"/>
  <c r="QM37" i="5"/>
  <c r="PM37" i="5"/>
  <c r="QJ37" i="5"/>
  <c r="PU37" i="5"/>
  <c r="PW37" i="5"/>
  <c r="PV37" i="5"/>
  <c r="QH37" i="5"/>
  <c r="QD37" i="5"/>
  <c r="PL13" i="5"/>
  <c r="QB13" i="5"/>
  <c r="PK13" i="5"/>
  <c r="QG13" i="5"/>
  <c r="PR13" i="5"/>
  <c r="QM13" i="5"/>
  <c r="PU13" i="5"/>
  <c r="PJ13" i="5"/>
  <c r="QE13" i="5"/>
  <c r="PT13" i="5"/>
  <c r="QJ13" i="5"/>
  <c r="PV13" i="5"/>
  <c r="QQ13" i="5"/>
  <c r="QC13" i="5"/>
  <c r="PY13" i="5"/>
  <c r="PZ13" i="5"/>
  <c r="PO13" i="5"/>
  <c r="PX13" i="5"/>
  <c r="QA13" i="5"/>
  <c r="QH13" i="5"/>
  <c r="QP13" i="5"/>
  <c r="QN13" i="5"/>
  <c r="PM13" i="5"/>
  <c r="QI13" i="5"/>
  <c r="PS13" i="5"/>
  <c r="PJ119" i="5"/>
  <c r="PZ119" i="5"/>
  <c r="QP119" i="5"/>
  <c r="QE119" i="5"/>
  <c r="PP119" i="5"/>
  <c r="QK119" i="5"/>
  <c r="QI119" i="5"/>
  <c r="PQ119" i="5"/>
  <c r="PL119" i="5"/>
  <c r="PR119" i="5"/>
  <c r="QH119" i="5"/>
  <c r="PT119" i="5"/>
  <c r="QO119" i="5"/>
  <c r="QA119" i="5"/>
  <c r="PM119" i="5"/>
  <c r="QC119" i="5"/>
  <c r="PW119" i="5"/>
  <c r="QL119" i="5"/>
  <c r="PK119" i="5"/>
  <c r="PX119" i="5"/>
  <c r="QB119" i="5"/>
  <c r="PV119" i="5"/>
  <c r="PY119" i="5"/>
  <c r="QF119" i="5"/>
  <c r="QN119" i="5"/>
  <c r="PJ103" i="5"/>
  <c r="PZ103" i="5"/>
  <c r="QP103" i="5"/>
  <c r="QE103" i="5"/>
  <c r="PP103" i="5"/>
  <c r="QK103" i="5"/>
  <c r="QI103" i="5"/>
  <c r="PS103" i="5"/>
  <c r="PW103" i="5"/>
  <c r="PR103" i="5"/>
  <c r="QH103" i="5"/>
  <c r="PT103" i="5"/>
  <c r="QO103" i="5"/>
  <c r="QA103" i="5"/>
  <c r="PM103" i="5"/>
  <c r="QB103" i="5"/>
  <c r="QN103" i="5"/>
  <c r="PV103" i="5"/>
  <c r="PY103" i="5"/>
  <c r="QF103" i="5"/>
  <c r="QM103" i="5"/>
  <c r="QL103" i="5"/>
  <c r="PK103" i="5"/>
  <c r="PX103" i="5"/>
  <c r="PL103" i="5"/>
  <c r="PL79" i="5"/>
  <c r="QB79" i="5"/>
  <c r="PM79" i="5"/>
  <c r="QC79" i="5"/>
  <c r="PN79" i="5"/>
  <c r="PR79" i="5"/>
  <c r="PS79" i="5"/>
  <c r="PW79" i="5"/>
  <c r="PZ79" i="5"/>
  <c r="PT79" i="5"/>
  <c r="QJ79" i="5"/>
  <c r="PU79" i="5"/>
  <c r="QK79" i="5"/>
  <c r="QD79" i="5"/>
  <c r="QM79" i="5"/>
  <c r="QP79" i="5"/>
  <c r="QQ79" i="5"/>
  <c r="QN79" i="5"/>
  <c r="QO79" i="5"/>
  <c r="PJ79" i="5"/>
  <c r="PO79" i="5"/>
  <c r="PX79" i="5"/>
  <c r="PY79" i="5"/>
  <c r="QL79" i="5"/>
  <c r="PK79" i="5"/>
  <c r="PK55" i="5"/>
  <c r="QA55" i="5"/>
  <c r="QQ55" i="5"/>
  <c r="QC55" i="5"/>
  <c r="PT55" i="5"/>
  <c r="PN55" i="5"/>
  <c r="QP55" i="5"/>
  <c r="PY55" i="5"/>
  <c r="QD55" i="5"/>
  <c r="PS55" i="5"/>
  <c r="QI55" i="5"/>
  <c r="PR55" i="5"/>
  <c r="QN55" i="5"/>
  <c r="QG55" i="5"/>
  <c r="QB55" i="5"/>
  <c r="QK55" i="5"/>
  <c r="PP55" i="5"/>
  <c r="PW55" i="5"/>
  <c r="PX55" i="5"/>
  <c r="QO55" i="5"/>
  <c r="PJ55" i="5"/>
  <c r="QM55" i="5"/>
  <c r="CO55" i="5" s="1"/>
  <c r="HH55" i="5" s="1"/>
  <c r="PL55" i="5"/>
  <c r="QJ55" i="5"/>
  <c r="PQ55" i="5"/>
  <c r="PL5" i="5"/>
  <c r="QB5" i="5"/>
  <c r="PM5" i="5"/>
  <c r="QC5" i="5"/>
  <c r="PJ5" i="5"/>
  <c r="QP5" i="5"/>
  <c r="QI5" i="5"/>
  <c r="PW5" i="5"/>
  <c r="QE5" i="5"/>
  <c r="PT5" i="5"/>
  <c r="QJ5" i="5"/>
  <c r="PU5" i="5"/>
  <c r="QK5" i="5"/>
  <c r="PZ5" i="5"/>
  <c r="PS5" i="5"/>
  <c r="PN5" i="5"/>
  <c r="QM5" i="5"/>
  <c r="PX5" i="5"/>
  <c r="PY5" i="5"/>
  <c r="QH5" i="5"/>
  <c r="QD5" i="5"/>
  <c r="QN5" i="5"/>
  <c r="QO5" i="5"/>
  <c r="QA5" i="5"/>
  <c r="PV5" i="5"/>
  <c r="PL118" i="5"/>
  <c r="QB118" i="5"/>
  <c r="PK118" i="5"/>
  <c r="QG118" i="5"/>
  <c r="PR118" i="5"/>
  <c r="QM118" i="5"/>
  <c r="PJ118" i="5"/>
  <c r="QD118" i="5"/>
  <c r="QO118" i="5"/>
  <c r="PT118" i="5"/>
  <c r="QJ118" i="5"/>
  <c r="PV118" i="5"/>
  <c r="QQ118" i="5"/>
  <c r="QC118" i="5"/>
  <c r="PZ118" i="5"/>
  <c r="QE118" i="5"/>
  <c r="CO118" i="5" s="1"/>
  <c r="HH118" i="5" s="1"/>
  <c r="QI118" i="5"/>
  <c r="QN118" i="5"/>
  <c r="PM118" i="5"/>
  <c r="QK118" i="5"/>
  <c r="PS118" i="5"/>
  <c r="PX118" i="5"/>
  <c r="QA118" i="5"/>
  <c r="QH118" i="5"/>
  <c r="QP118" i="5"/>
  <c r="PL106" i="5"/>
  <c r="QB106" i="5"/>
  <c r="PN106" i="5"/>
  <c r="QI106" i="5"/>
  <c r="PU106" i="5"/>
  <c r="QP106" i="5"/>
  <c r="PK106" i="5"/>
  <c r="PM106" i="5"/>
  <c r="PQ106" i="5"/>
  <c r="PT106" i="5"/>
  <c r="QJ106" i="5"/>
  <c r="PY106" i="5"/>
  <c r="PJ106" i="5"/>
  <c r="QE106" i="5"/>
  <c r="QC106" i="5"/>
  <c r="QG106" i="5"/>
  <c r="QH106" i="5"/>
  <c r="PX106" i="5"/>
  <c r="QD106" i="5"/>
  <c r="QK106" i="5"/>
  <c r="QQ106" i="5"/>
  <c r="QN106" i="5"/>
  <c r="PO106" i="5"/>
  <c r="QM106" i="5"/>
  <c r="QL106" i="5"/>
  <c r="PV82" i="5"/>
  <c r="QL82" i="5"/>
  <c r="PS82" i="5"/>
  <c r="QI82" i="5"/>
  <c r="PX82" i="5"/>
  <c r="PU82" i="5"/>
  <c r="QJ82" i="5"/>
  <c r="QC82" i="5"/>
  <c r="PN82" i="5"/>
  <c r="QD82" i="5"/>
  <c r="PK82" i="5"/>
  <c r="QA82" i="5"/>
  <c r="QQ82" i="5"/>
  <c r="QN82" i="5"/>
  <c r="PM82" i="5"/>
  <c r="QO82" i="5"/>
  <c r="PQ82" i="5"/>
  <c r="QH82" i="5"/>
  <c r="QE82" i="5"/>
  <c r="PL82" i="5"/>
  <c r="QB82" i="5"/>
  <c r="CO82" i="5" s="1"/>
  <c r="HH82" i="5" s="1"/>
  <c r="PR82" i="5"/>
  <c r="PO82" i="5"/>
  <c r="PP82" i="5"/>
  <c r="PY82" i="5"/>
  <c r="PR74" i="5"/>
  <c r="QH74" i="5"/>
  <c r="CO74" i="5" s="1"/>
  <c r="HH74" i="5" s="1"/>
  <c r="PO74" i="5"/>
  <c r="QE74" i="5"/>
  <c r="PP74" i="5"/>
  <c r="PQ74" i="5"/>
  <c r="PT74" i="5"/>
  <c r="PL74" i="5"/>
  <c r="PJ74" i="5"/>
  <c r="PZ74" i="5"/>
  <c r="QP74" i="5"/>
  <c r="PW74" i="5"/>
  <c r="QM74" i="5"/>
  <c r="QF74" i="5"/>
  <c r="QG74" i="5"/>
  <c r="PU74" i="5"/>
  <c r="PM74" i="5"/>
  <c r="PN74" i="5"/>
  <c r="PK74" i="5"/>
  <c r="QQ74" i="5"/>
  <c r="QO74" i="5"/>
  <c r="QC74" i="5"/>
  <c r="QD74" i="5"/>
  <c r="QA74" i="5"/>
  <c r="QN74" i="5"/>
  <c r="QK74" i="5"/>
  <c r="PN66" i="5"/>
  <c r="QD66" i="5"/>
  <c r="PK66" i="5"/>
  <c r="QA66" i="5"/>
  <c r="QQ66" i="5"/>
  <c r="QN66" i="5"/>
  <c r="QO66" i="5"/>
  <c r="QK66" i="5"/>
  <c r="QC66" i="5"/>
  <c r="PV66" i="5"/>
  <c r="QL66" i="5"/>
  <c r="PS66" i="5"/>
  <c r="QI66" i="5"/>
  <c r="PX66" i="5"/>
  <c r="PY66" i="5"/>
  <c r="QJ66" i="5"/>
  <c r="CO66" i="5" s="1"/>
  <c r="HH66" i="5" s="1"/>
  <c r="QB66" i="5"/>
  <c r="PZ66" i="5"/>
  <c r="PW66" i="5"/>
  <c r="QF66" i="5"/>
  <c r="PU66" i="5"/>
  <c r="PJ66" i="5"/>
  <c r="QP66" i="5"/>
  <c r="QM66" i="5"/>
  <c r="QG66" i="5"/>
  <c r="PM66" i="5"/>
  <c r="PM58" i="5"/>
  <c r="QC58" i="5"/>
  <c r="PL58" i="5"/>
  <c r="QH58" i="5"/>
  <c r="PX58" i="5"/>
  <c r="PS58" i="5"/>
  <c r="PT58" i="5"/>
  <c r="QA58" i="5"/>
  <c r="QQ58" i="5"/>
  <c r="PU58" i="5"/>
  <c r="QK58" i="5"/>
  <c r="PW58" i="5"/>
  <c r="PJ58" i="5"/>
  <c r="QL58" i="5"/>
  <c r="QF58" i="5"/>
  <c r="PV58" i="5"/>
  <c r="PN58" i="5"/>
  <c r="QO58" i="5"/>
  <c r="PP58" i="5"/>
  <c r="QN58" i="5"/>
  <c r="QP58" i="5"/>
  <c r="PY58" i="5"/>
  <c r="QB58" i="5"/>
  <c r="PK58" i="5"/>
  <c r="QJ58" i="5"/>
  <c r="PY50" i="5"/>
  <c r="QO50" i="5"/>
  <c r="QB50" i="5"/>
  <c r="PS50" i="5"/>
  <c r="PN50" i="5"/>
  <c r="QP50" i="5"/>
  <c r="PX50" i="5"/>
  <c r="PP50" i="5"/>
  <c r="PQ50" i="5"/>
  <c r="QG50" i="5"/>
  <c r="PR50" i="5"/>
  <c r="QM50" i="5"/>
  <c r="QF50" i="5"/>
  <c r="QA50" i="5"/>
  <c r="QJ50" i="5"/>
  <c r="PO50" i="5"/>
  <c r="QE50" i="5"/>
  <c r="PU50" i="5"/>
  <c r="PW50" i="5"/>
  <c r="QN50" i="5"/>
  <c r="PJ50" i="5"/>
  <c r="QK50" i="5"/>
  <c r="PK50" i="5"/>
  <c r="QI50" i="5"/>
  <c r="QQ50" i="5"/>
  <c r="CO50" i="5" s="1"/>
  <c r="HH50" i="5" s="1"/>
  <c r="QI113" i="5"/>
  <c r="QE113" i="5"/>
  <c r="PS113" i="5"/>
  <c r="QM113" i="5"/>
  <c r="PQ113" i="5"/>
  <c r="QF113" i="5"/>
  <c r="PK113" i="5"/>
  <c r="QD113" i="5"/>
  <c r="QC105" i="5"/>
  <c r="QI105" i="5"/>
  <c r="QE105" i="5"/>
  <c r="QB105" i="5"/>
  <c r="QQ105" i="5"/>
  <c r="PU105" i="5"/>
  <c r="QL105" i="5"/>
  <c r="PQ89" i="5"/>
  <c r="PK89" i="5"/>
  <c r="QG89" i="5"/>
  <c r="QD89" i="5"/>
  <c r="QI89" i="5"/>
  <c r="QM89" i="5"/>
  <c r="PR89" i="5"/>
  <c r="QF89" i="5"/>
  <c r="PV81" i="5"/>
  <c r="PK81" i="5"/>
  <c r="QI81" i="5"/>
  <c r="QH81" i="5"/>
  <c r="QO81" i="5"/>
  <c r="PY81" i="5"/>
  <c r="QN81" i="5"/>
  <c r="PO73" i="5"/>
  <c r="QM73" i="5"/>
  <c r="QQ73" i="5"/>
  <c r="PK73" i="5"/>
  <c r="PR73" i="5"/>
  <c r="QG73" i="5"/>
  <c r="PQ73" i="5"/>
  <c r="QF73" i="5"/>
  <c r="QK49" i="5"/>
  <c r="QC49" i="5"/>
  <c r="PM49" i="5"/>
  <c r="PR49" i="5"/>
  <c r="PX49" i="5"/>
  <c r="QJ49" i="5"/>
  <c r="PN49" i="5"/>
  <c r="QE49" i="5"/>
  <c r="PM41" i="5"/>
  <c r="QN41" i="5"/>
  <c r="QB41" i="5"/>
  <c r="QF41" i="5"/>
  <c r="PJ41" i="5"/>
  <c r="PY41" i="5"/>
  <c r="QM41" i="5"/>
  <c r="QE115" i="5"/>
  <c r="QJ115" i="5"/>
  <c r="QF115" i="5"/>
  <c r="QI115" i="5"/>
  <c r="PM115" i="5"/>
  <c r="PW115" i="5"/>
  <c r="QL115" i="5"/>
  <c r="QE83" i="5"/>
  <c r="PO83" i="5"/>
  <c r="QH83" i="5"/>
  <c r="QM83" i="5"/>
  <c r="PJ83" i="5"/>
  <c r="PY83" i="5"/>
  <c r="QN83" i="5"/>
  <c r="QQ67" i="5"/>
  <c r="QI67" i="5"/>
  <c r="QM67" i="5"/>
  <c r="QL67" i="5"/>
  <c r="QO67" i="5"/>
  <c r="PY67" i="5"/>
  <c r="QN67" i="5"/>
  <c r="QG59" i="5"/>
  <c r="QP59" i="5"/>
  <c r="PQ59" i="5"/>
  <c r="QO59" i="5"/>
  <c r="PS59" i="5"/>
  <c r="QC59" i="5"/>
  <c r="QN59" i="5"/>
  <c r="PX59" i="5"/>
  <c r="QN51" i="5"/>
  <c r="PR51" i="5"/>
  <c r="QC51" i="5"/>
  <c r="QH51" i="5"/>
  <c r="QP51" i="5"/>
  <c r="PU51" i="5"/>
  <c r="QM51" i="5"/>
  <c r="QD43" i="5"/>
  <c r="QN43" i="5"/>
  <c r="PN43" i="5"/>
  <c r="QL43" i="5"/>
  <c r="PQ43" i="5"/>
  <c r="QF43" i="5"/>
  <c r="PJ43" i="5"/>
  <c r="QE43" i="5"/>
  <c r="QJ35" i="5"/>
  <c r="QO35" i="5"/>
  <c r="QC35" i="5"/>
  <c r="QB35" i="5"/>
  <c r="QP35" i="5"/>
  <c r="PU35" i="5"/>
  <c r="QM35" i="5"/>
  <c r="QB27" i="5"/>
  <c r="QN27" i="5"/>
  <c r="QH27" i="5"/>
  <c r="PX27" i="5"/>
  <c r="QD27" i="5"/>
  <c r="QL27" i="5"/>
  <c r="PP27" i="5"/>
  <c r="QG27" i="5"/>
  <c r="QN19" i="5"/>
  <c r="PL19" i="5"/>
  <c r="PJ19" i="5"/>
  <c r="QP19" i="5"/>
  <c r="PM19" i="5"/>
  <c r="PY19" i="5"/>
  <c r="QM19" i="5"/>
  <c r="QC116" i="5"/>
  <c r="QI116" i="5"/>
  <c r="PM116" i="5"/>
  <c r="QQ116" i="5"/>
  <c r="PV116" i="5"/>
  <c r="QK116" i="5"/>
  <c r="PO116" i="5"/>
  <c r="QF116" i="5"/>
  <c r="PO112" i="5"/>
  <c r="PK112" i="5"/>
  <c r="PJ112" i="5"/>
  <c r="QO112" i="5"/>
  <c r="PS112" i="5"/>
  <c r="QC112" i="5"/>
  <c r="QN112" i="5"/>
  <c r="QC76" i="5"/>
  <c r="QJ76" i="5"/>
  <c r="QA76" i="5"/>
  <c r="QD76" i="5"/>
  <c r="QN68" i="5"/>
  <c r="PU68" i="5"/>
  <c r="QI68" i="5"/>
  <c r="QG64" i="5"/>
  <c r="QK64" i="5"/>
  <c r="QI64" i="5"/>
  <c r="QC64" i="5"/>
  <c r="PN64" i="5"/>
  <c r="QM56" i="5"/>
  <c r="PW56" i="5"/>
  <c r="QL56" i="5"/>
  <c r="QG56" i="5"/>
  <c r="QN48" i="5"/>
  <c r="QM48" i="5"/>
  <c r="CO48" i="5" s="1"/>
  <c r="HH48" i="5" s="1"/>
  <c r="PO48" i="5"/>
  <c r="QP40" i="5"/>
  <c r="QH40" i="5"/>
  <c r="QA40" i="5"/>
  <c r="PW36" i="5"/>
  <c r="PP36" i="5"/>
  <c r="QN36" i="5"/>
  <c r="QG36" i="5"/>
  <c r="CO36" i="5" s="1"/>
  <c r="HH36" i="5" s="1"/>
  <c r="QP32" i="5"/>
  <c r="QN32" i="5"/>
  <c r="PP32" i="5"/>
  <c r="QN24" i="5"/>
  <c r="QD24" i="5"/>
  <c r="QB24" i="5"/>
  <c r="PO24" i="5"/>
  <c r="PQ24" i="5"/>
  <c r="QN8" i="5"/>
  <c r="PX8" i="5"/>
  <c r="QQ8" i="5"/>
  <c r="QO4" i="5"/>
  <c r="QK4" i="5"/>
  <c r="QQ4" i="5"/>
  <c r="PK4" i="5"/>
  <c r="PN4" i="5"/>
  <c r="PU117" i="5"/>
  <c r="QJ117" i="5"/>
  <c r="PX117" i="5"/>
  <c r="PV117" i="5"/>
  <c r="QM109" i="5"/>
  <c r="PL109" i="5"/>
  <c r="QI109" i="5"/>
  <c r="QM85" i="5"/>
  <c r="QA85" i="5"/>
  <c r="QC85" i="5"/>
  <c r="QA77" i="5"/>
  <c r="QG77" i="5"/>
  <c r="QL69" i="5"/>
  <c r="QC61" i="5"/>
  <c r="PZ61" i="5"/>
  <c r="PP61" i="5"/>
  <c r="PN37" i="5"/>
  <c r="QE37" i="5"/>
  <c r="PR21" i="5"/>
  <c r="QK13" i="5"/>
  <c r="PQ13" i="5"/>
  <c r="QL7" i="5"/>
  <c r="QM119" i="5"/>
  <c r="QJ119" i="5"/>
  <c r="QM111" i="5"/>
  <c r="QG103" i="5"/>
  <c r="PU103" i="5"/>
  <c r="PN103" i="5"/>
  <c r="QA79" i="5"/>
  <c r="QF79" i="5"/>
  <c r="QC63" i="5"/>
  <c r="PV55" i="5"/>
  <c r="PM55" i="5"/>
  <c r="QL5" i="5"/>
  <c r="PR5" i="5"/>
  <c r="PP5" i="5"/>
  <c r="QK122" i="5"/>
  <c r="PO118" i="5"/>
  <c r="QF118" i="5"/>
  <c r="QE110" i="5"/>
  <c r="PV106" i="5"/>
  <c r="PS106" i="5"/>
  <c r="QL98" i="5"/>
  <c r="PT82" i="5"/>
  <c r="PW82" i="5"/>
  <c r="PY78" i="5"/>
  <c r="PY74" i="5"/>
  <c r="QL74" i="5"/>
  <c r="PQ70" i="5"/>
  <c r="PP66" i="5"/>
  <c r="PR66" i="5"/>
  <c r="QD58" i="5"/>
  <c r="QM58" i="5"/>
  <c r="PV50" i="5"/>
  <c r="PL50" i="5"/>
  <c r="QI46" i="5"/>
  <c r="PJ68" i="5"/>
  <c r="PZ68" i="5"/>
  <c r="QP68" i="5"/>
  <c r="PW68" i="5"/>
  <c r="QM68" i="5"/>
  <c r="QB68" i="5"/>
  <c r="QC68" i="5"/>
  <c r="PQ68" i="5"/>
  <c r="PY68" i="5"/>
  <c r="PR68" i="5"/>
  <c r="QH68" i="5"/>
  <c r="PO68" i="5"/>
  <c r="QE68" i="5"/>
  <c r="PL68" i="5"/>
  <c r="PM68" i="5"/>
  <c r="PP68" i="5"/>
  <c r="PX68" i="5"/>
  <c r="PM48" i="5"/>
  <c r="QC48" i="5"/>
  <c r="PK48" i="5"/>
  <c r="QF48" i="5"/>
  <c r="PW48" i="5"/>
  <c r="PR48" i="5"/>
  <c r="PS48" i="5"/>
  <c r="PZ48" i="5"/>
  <c r="QP48" i="5"/>
  <c r="PU48" i="5"/>
  <c r="QK48" i="5"/>
  <c r="PV48" i="5"/>
  <c r="QQ48" i="5"/>
  <c r="QJ48" i="5"/>
  <c r="QE48" i="5"/>
  <c r="PT48" i="5"/>
  <c r="PL48" i="5"/>
  <c r="PM40" i="5"/>
  <c r="QC40" i="5"/>
  <c r="PK40" i="5"/>
  <c r="QF40" i="5"/>
  <c r="PR40" i="5"/>
  <c r="QM40" i="5"/>
  <c r="PJ40" i="5"/>
  <c r="PN40" i="5"/>
  <c r="PX40" i="5"/>
  <c r="PU40" i="5"/>
  <c r="QK40" i="5"/>
  <c r="PV40" i="5"/>
  <c r="QQ40" i="5"/>
  <c r="QB40" i="5"/>
  <c r="QD40" i="5"/>
  <c r="QE40" i="5"/>
  <c r="PO40" i="5"/>
  <c r="PK32" i="5"/>
  <c r="QA32" i="5"/>
  <c r="QQ32" i="5"/>
  <c r="QB32" i="5"/>
  <c r="PX32" i="5"/>
  <c r="PR32" i="5"/>
  <c r="PT32" i="5"/>
  <c r="PM32" i="5"/>
  <c r="PZ32" i="5"/>
  <c r="PS32" i="5"/>
  <c r="QI32" i="5"/>
  <c r="PQ32" i="5"/>
  <c r="QL32" i="5"/>
  <c r="QK32" i="5"/>
  <c r="QF32" i="5"/>
  <c r="PU32" i="5"/>
  <c r="PN32" i="5"/>
  <c r="PJ8" i="5"/>
  <c r="PZ8" i="5"/>
  <c r="QP8" i="5"/>
  <c r="QA8" i="5"/>
  <c r="PL8" i="5"/>
  <c r="QG8" i="5"/>
  <c r="QI8" i="5"/>
  <c r="QO8" i="5"/>
  <c r="PO8" i="5"/>
  <c r="PR8" i="5"/>
  <c r="QH8" i="5"/>
  <c r="PP8" i="5"/>
  <c r="QK8" i="5"/>
  <c r="PW8" i="5"/>
  <c r="PM8" i="5"/>
  <c r="QJ8" i="5"/>
  <c r="QE8" i="5"/>
  <c r="PR109" i="5"/>
  <c r="QH109" i="5"/>
  <c r="PS109" i="5"/>
  <c r="QN109" i="5"/>
  <c r="QE109" i="5"/>
  <c r="CO109" i="5" s="1"/>
  <c r="HH109" i="5" s="1"/>
  <c r="PW109" i="5"/>
  <c r="QK109" i="5"/>
  <c r="PU109" i="5"/>
  <c r="PJ109" i="5"/>
  <c r="PZ109" i="5"/>
  <c r="QP109" i="5"/>
  <c r="QC109" i="5"/>
  <c r="PT109" i="5"/>
  <c r="QO109" i="5"/>
  <c r="PP109" i="5"/>
  <c r="QB109" i="5"/>
  <c r="QQ109" i="5"/>
  <c r="PT85" i="5"/>
  <c r="QJ85" i="5"/>
  <c r="PL85" i="5"/>
  <c r="QB85" i="5"/>
  <c r="QF85" i="5"/>
  <c r="PU85" i="5"/>
  <c r="QP85" i="5"/>
  <c r="QI85" i="5"/>
  <c r="QD85" i="5"/>
  <c r="QO85" i="5"/>
  <c r="QH85" i="5"/>
  <c r="PP85" i="5"/>
  <c r="PJ85" i="5"/>
  <c r="QE85" i="5"/>
  <c r="PV85" i="5"/>
  <c r="CO85" i="5" s="1"/>
  <c r="HH85" i="5" s="1"/>
  <c r="PQ85" i="5"/>
  <c r="PM85" i="5"/>
  <c r="QG85" i="5"/>
  <c r="PY85" i="5"/>
  <c r="PT69" i="5"/>
  <c r="QJ69" i="5"/>
  <c r="PU69" i="5"/>
  <c r="QK69" i="5"/>
  <c r="PZ69" i="5"/>
  <c r="PS69" i="5"/>
  <c r="PN69" i="5"/>
  <c r="PV69" i="5"/>
  <c r="PL69" i="5"/>
  <c r="QB69" i="5"/>
  <c r="PM69" i="5"/>
  <c r="QC69" i="5"/>
  <c r="PJ69" i="5"/>
  <c r="QP69" i="5"/>
  <c r="QI69" i="5"/>
  <c r="PO69" i="5"/>
  <c r="QM69" i="5"/>
  <c r="PP69" i="5"/>
  <c r="PQ69" i="5"/>
  <c r="PR69" i="5"/>
  <c r="QQ69" i="5"/>
  <c r="PW69" i="5"/>
  <c r="QF69" i="5"/>
  <c r="QG69" i="5"/>
  <c r="PK69" i="5"/>
  <c r="QE69" i="5"/>
  <c r="PS21" i="5"/>
  <c r="QI21" i="5"/>
  <c r="PP21" i="5"/>
  <c r="QK21" i="5"/>
  <c r="QD21" i="5"/>
  <c r="QH21" i="5"/>
  <c r="PT21" i="5"/>
  <c r="PL21" i="5"/>
  <c r="PK21" i="5"/>
  <c r="QA21" i="5"/>
  <c r="QQ21" i="5"/>
  <c r="PZ21" i="5"/>
  <c r="PQ21" i="5"/>
  <c r="PN21" i="5"/>
  <c r="QB21" i="5"/>
  <c r="PV21" i="5"/>
  <c r="QC21" i="5"/>
  <c r="PO21" i="5"/>
  <c r="PJ21" i="5"/>
  <c r="PX21" i="5"/>
  <c r="QJ21" i="5"/>
  <c r="QG21" i="5"/>
  <c r="QE21" i="5"/>
  <c r="QF21" i="5"/>
  <c r="PY21" i="5"/>
  <c r="QO21" i="5"/>
  <c r="PT7" i="5"/>
  <c r="QJ7" i="5"/>
  <c r="PW7" i="5"/>
  <c r="PN7" i="5"/>
  <c r="QI7" i="5"/>
  <c r="QK7" i="5"/>
  <c r="PU7" i="5"/>
  <c r="QE7" i="5"/>
  <c r="PL7" i="5"/>
  <c r="QB7" i="5"/>
  <c r="PM7" i="5"/>
  <c r="QH7" i="5"/>
  <c r="PY7" i="5"/>
  <c r="PO7" i="5"/>
  <c r="QA7" i="5"/>
  <c r="PV7" i="5"/>
  <c r="PJ7" i="5"/>
  <c r="QF7" i="5"/>
  <c r="QM7" i="5"/>
  <c r="PZ7" i="5"/>
  <c r="QQ7" i="5"/>
  <c r="PP7" i="5"/>
  <c r="PR7" i="5"/>
  <c r="QD7" i="5"/>
  <c r="QP7" i="5"/>
  <c r="PQ7" i="5"/>
  <c r="PR111" i="5"/>
  <c r="QH111" i="5"/>
  <c r="PT111" i="5"/>
  <c r="QO111" i="5"/>
  <c r="QA111" i="5"/>
  <c r="PS111" i="5"/>
  <c r="PW111" i="5"/>
  <c r="QI111" i="5"/>
  <c r="PJ111" i="5"/>
  <c r="PZ111" i="5"/>
  <c r="QP111" i="5"/>
  <c r="QE111" i="5"/>
  <c r="PP111" i="5"/>
  <c r="QK111" i="5"/>
  <c r="QN111" i="5"/>
  <c r="PM111" i="5"/>
  <c r="PQ111" i="5"/>
  <c r="PN111" i="5"/>
  <c r="PO111" i="5"/>
  <c r="PU111" i="5"/>
  <c r="PL111" i="5"/>
  <c r="QB111" i="5"/>
  <c r="QD111" i="5"/>
  <c r="QJ111" i="5"/>
  <c r="QQ111" i="5"/>
  <c r="PX111" i="5"/>
  <c r="PT63" i="5"/>
  <c r="QJ63" i="5"/>
  <c r="PU63" i="5"/>
  <c r="QP63" i="5"/>
  <c r="QA63" i="5"/>
  <c r="PR63" i="5"/>
  <c r="QD63" i="5"/>
  <c r="PN63" i="5"/>
  <c r="PL63" i="5"/>
  <c r="QB63" i="5"/>
  <c r="PJ63" i="5"/>
  <c r="QE63" i="5"/>
  <c r="PQ63" i="5"/>
  <c r="QL63" i="5"/>
  <c r="QM63" i="5"/>
  <c r="PM63" i="5"/>
  <c r="PW63" i="5"/>
  <c r="PP63" i="5"/>
  <c r="PO63" i="5"/>
  <c r="PV63" i="5"/>
  <c r="PS63" i="5"/>
  <c r="PY63" i="5"/>
  <c r="QF63" i="5"/>
  <c r="QK63" i="5"/>
  <c r="QQ63" i="5"/>
  <c r="QH63" i="5"/>
  <c r="PT122" i="5"/>
  <c r="QJ122" i="5"/>
  <c r="PY122" i="5"/>
  <c r="PJ122" i="5"/>
  <c r="QE122" i="5"/>
  <c r="QC122" i="5"/>
  <c r="QH122" i="5"/>
  <c r="PK122" i="5"/>
  <c r="PL122" i="5"/>
  <c r="QB122" i="5"/>
  <c r="PN122" i="5"/>
  <c r="QI122" i="5"/>
  <c r="PU122" i="5"/>
  <c r="QP122" i="5"/>
  <c r="PM122" i="5"/>
  <c r="QQ122" i="5"/>
  <c r="PQ122" i="5"/>
  <c r="QF122" i="5"/>
  <c r="QO122" i="5"/>
  <c r="PR122" i="5"/>
  <c r="QA122" i="5"/>
  <c r="PP122" i="5"/>
  <c r="PS122" i="5"/>
  <c r="PZ122" i="5"/>
  <c r="PW122" i="5"/>
  <c r="QL122" i="5"/>
  <c r="PT110" i="5"/>
  <c r="QJ110" i="5"/>
  <c r="PV110" i="5"/>
  <c r="QQ110" i="5"/>
  <c r="QC110" i="5"/>
  <c r="PU110" i="5"/>
  <c r="PY110" i="5"/>
  <c r="QK110" i="5"/>
  <c r="PL110" i="5"/>
  <c r="QB110" i="5"/>
  <c r="PK110" i="5"/>
  <c r="QG110" i="5"/>
  <c r="PR110" i="5"/>
  <c r="QM110" i="5"/>
  <c r="QP110" i="5"/>
  <c r="PO110" i="5"/>
  <c r="QO110" i="5"/>
  <c r="PP110" i="5"/>
  <c r="PQ110" i="5"/>
  <c r="PW110" i="5"/>
  <c r="PN110" i="5"/>
  <c r="PS110" i="5"/>
  <c r="QF110" i="5"/>
  <c r="QL110" i="5"/>
  <c r="PJ110" i="5"/>
  <c r="PZ110" i="5"/>
  <c r="PK98" i="5"/>
  <c r="QB98" i="5"/>
  <c r="CO98" i="5" s="1"/>
  <c r="HH98" i="5" s="1"/>
  <c r="PM98" i="5"/>
  <c r="QI98" i="5"/>
  <c r="PZ98" i="5"/>
  <c r="PL98" i="5"/>
  <c r="QA98" i="5"/>
  <c r="QM98" i="5"/>
  <c r="PJ98" i="5"/>
  <c r="PT98" i="5"/>
  <c r="QJ98" i="5"/>
  <c r="PY98" i="5"/>
  <c r="PO98" i="5"/>
  <c r="QK98" i="5"/>
  <c r="QH98" i="5"/>
  <c r="PR98" i="5"/>
  <c r="QG98" i="5"/>
  <c r="PX98" i="5"/>
  <c r="QD98" i="5"/>
  <c r="QP98" i="5"/>
  <c r="QC98" i="5"/>
  <c r="PN98" i="5"/>
  <c r="QN98" i="5"/>
  <c r="PU98" i="5"/>
  <c r="PQ98" i="5"/>
  <c r="QQ98" i="5"/>
  <c r="PN78" i="5"/>
  <c r="QH78" i="5"/>
  <c r="PS78" i="5"/>
  <c r="QQ78" i="5"/>
  <c r="PT78" i="5"/>
  <c r="QG78" i="5"/>
  <c r="QK78" i="5"/>
  <c r="PV78" i="5"/>
  <c r="PK78" i="5"/>
  <c r="QE78" i="5"/>
  <c r="PX78" i="5"/>
  <c r="PL78" i="5"/>
  <c r="QJ78" i="5"/>
  <c r="PO78" i="5"/>
  <c r="QN78" i="5"/>
  <c r="PQ78" i="5"/>
  <c r="QD78" i="5"/>
  <c r="QI78" i="5"/>
  <c r="PU78" i="5"/>
  <c r="QD70" i="5"/>
  <c r="PO70" i="5"/>
  <c r="QI70" i="5"/>
  <c r="QN70" i="5"/>
  <c r="CO70" i="5" s="1"/>
  <c r="HH70" i="5" s="1"/>
  <c r="PL70" i="5"/>
  <c r="QJ70" i="5"/>
  <c r="PR70" i="5"/>
  <c r="QL70" i="5"/>
  <c r="QA70" i="5"/>
  <c r="PP70" i="5"/>
  <c r="PY70" i="5"/>
  <c r="QC70" i="5"/>
  <c r="PV70" i="5"/>
  <c r="QE70" i="5"/>
  <c r="QO70" i="5"/>
  <c r="PK70" i="5"/>
  <c r="PX70" i="5"/>
  <c r="PT70" i="5"/>
  <c r="PQ46" i="5"/>
  <c r="QK46" i="5"/>
  <c r="PZ46" i="5"/>
  <c r="QA46" i="5"/>
  <c r="QB46" i="5"/>
  <c r="PR46" i="5"/>
  <c r="PX46" i="5"/>
  <c r="PY46" i="5"/>
  <c r="PO46" i="5"/>
  <c r="QP46" i="5"/>
  <c r="QN46" i="5"/>
  <c r="PP46" i="5"/>
  <c r="PK46" i="5"/>
  <c r="QG46" i="5"/>
  <c r="PL46" i="5"/>
  <c r="QD46" i="5"/>
  <c r="PT46" i="5"/>
  <c r="PV46" i="5"/>
  <c r="QM46" i="5"/>
  <c r="PU18" i="5"/>
  <c r="QH18" i="5"/>
  <c r="PV18" i="5"/>
  <c r="QI18" i="5"/>
  <c r="QJ18" i="5"/>
  <c r="QQ18" i="5"/>
  <c r="PJ78" i="5"/>
  <c r="PZ78" i="5"/>
  <c r="QP78" i="5"/>
  <c r="PW78" i="5"/>
  <c r="QM78" i="5"/>
  <c r="QF78" i="5"/>
  <c r="QO78" i="5"/>
  <c r="PM78" i="5"/>
  <c r="QB78" i="5"/>
  <c r="PJ70" i="5"/>
  <c r="PZ70" i="5"/>
  <c r="QP70" i="5"/>
  <c r="PW70" i="5"/>
  <c r="QM70" i="5"/>
  <c r="QF70" i="5"/>
  <c r="QG70" i="5"/>
  <c r="PM70" i="5"/>
  <c r="PU70" i="5"/>
  <c r="PM46" i="5"/>
  <c r="QC46" i="5"/>
  <c r="CO46" i="5" s="1"/>
  <c r="HH46" i="5" s="1"/>
  <c r="PJ46" i="5"/>
  <c r="QE46" i="5"/>
  <c r="PS46" i="5"/>
  <c r="PN46" i="5"/>
  <c r="QQ46" i="5"/>
  <c r="QF46" i="5"/>
  <c r="PW46" i="5"/>
  <c r="PM18" i="5"/>
  <c r="QC18" i="5"/>
  <c r="PK18" i="5"/>
  <c r="QF18" i="5"/>
  <c r="PS18" i="5"/>
  <c r="PN18" i="5"/>
  <c r="PO18" i="5"/>
  <c r="PJ18" i="5"/>
  <c r="CO18" i="5" s="1"/>
  <c r="HH18" i="5" s="1"/>
  <c r="PR18" i="5"/>
  <c r="PQ18" i="5"/>
  <c r="QG18" i="5"/>
  <c r="PP18" i="5"/>
  <c r="QL18" i="5"/>
  <c r="PZ18" i="5"/>
  <c r="PW18" i="5"/>
  <c r="PX18" i="5"/>
  <c r="QD18" i="5"/>
  <c r="PT18" i="5"/>
  <c r="PY18" i="5"/>
  <c r="QO18" i="5"/>
  <c r="QA18" i="5"/>
  <c r="PL18" i="5"/>
  <c r="QN18" i="5"/>
  <c r="QP18" i="5"/>
  <c r="QB18" i="5"/>
  <c r="QM18" i="5"/>
  <c r="PJ246" i="5"/>
  <c r="PN246" i="5"/>
  <c r="PR246" i="5"/>
  <c r="PV246" i="5"/>
  <c r="PZ246" i="5"/>
  <c r="QD246" i="5"/>
  <c r="QH246" i="5"/>
  <c r="QL246" i="5"/>
  <c r="QP246" i="5"/>
  <c r="PK246" i="5"/>
  <c r="PO246" i="5"/>
  <c r="PS246" i="5"/>
  <c r="PW246" i="5"/>
  <c r="QA246" i="5"/>
  <c r="QE246" i="5"/>
  <c r="QI246" i="5"/>
  <c r="QM246" i="5"/>
  <c r="QQ246" i="5"/>
  <c r="PL246" i="5"/>
  <c r="PP246" i="5"/>
  <c r="PT246" i="5"/>
  <c r="PX246" i="5"/>
  <c r="QB246" i="5"/>
  <c r="QF246" i="5"/>
  <c r="QJ246" i="5"/>
  <c r="QN246" i="5"/>
  <c r="PM246" i="5"/>
  <c r="PQ246" i="5"/>
  <c r="PU246" i="5"/>
  <c r="PY246" i="5"/>
  <c r="QC246" i="5"/>
  <c r="QG246" i="5"/>
  <c r="QK246" i="5"/>
  <c r="QO246" i="5"/>
  <c r="PJ230" i="5"/>
  <c r="PN230" i="5"/>
  <c r="PR230" i="5"/>
  <c r="PV230" i="5"/>
  <c r="PZ230" i="5"/>
  <c r="QD230" i="5"/>
  <c r="QH230" i="5"/>
  <c r="QL230" i="5"/>
  <c r="QP230" i="5"/>
  <c r="PK230" i="5"/>
  <c r="PO230" i="5"/>
  <c r="PS230" i="5"/>
  <c r="PW230" i="5"/>
  <c r="QA230" i="5"/>
  <c r="QE230" i="5"/>
  <c r="QI230" i="5"/>
  <c r="QM230" i="5"/>
  <c r="QQ230" i="5"/>
  <c r="PL230" i="5"/>
  <c r="PP230" i="5"/>
  <c r="PT230" i="5"/>
  <c r="PX230" i="5"/>
  <c r="QB230" i="5"/>
  <c r="QF230" i="5"/>
  <c r="QJ230" i="5"/>
  <c r="QN230" i="5"/>
  <c r="PM230" i="5"/>
  <c r="PQ230" i="5"/>
  <c r="PU230" i="5"/>
  <c r="PY230" i="5"/>
  <c r="QC230" i="5"/>
  <c r="QG230" i="5"/>
  <c r="QK230" i="5"/>
  <c r="QO230" i="5"/>
  <c r="PM216" i="5"/>
  <c r="PQ216" i="5"/>
  <c r="PU216" i="5"/>
  <c r="PY216" i="5"/>
  <c r="QC216" i="5"/>
  <c r="QG216" i="5"/>
  <c r="QK216" i="5"/>
  <c r="QO216" i="5"/>
  <c r="PJ216" i="5"/>
  <c r="PN216" i="5"/>
  <c r="PR216" i="5"/>
  <c r="PV216" i="5"/>
  <c r="PZ216" i="5"/>
  <c r="QD216" i="5"/>
  <c r="QH216" i="5"/>
  <c r="QL216" i="5"/>
  <c r="QP216" i="5"/>
  <c r="PK216" i="5"/>
  <c r="PO216" i="5"/>
  <c r="PS216" i="5"/>
  <c r="PW216" i="5"/>
  <c r="QA216" i="5"/>
  <c r="QE216" i="5"/>
  <c r="QI216" i="5"/>
  <c r="QM216" i="5"/>
  <c r="QQ216" i="5"/>
  <c r="PT216" i="5"/>
  <c r="QJ216" i="5"/>
  <c r="PX216" i="5"/>
  <c r="QN216" i="5"/>
  <c r="PL216" i="5"/>
  <c r="QB216" i="5"/>
  <c r="PP216" i="5"/>
  <c r="QF216" i="5"/>
  <c r="PM206" i="5"/>
  <c r="PQ206" i="5"/>
  <c r="PU206" i="5"/>
  <c r="PY206" i="5"/>
  <c r="QC206" i="5"/>
  <c r="QG206" i="5"/>
  <c r="QK206" i="5"/>
  <c r="QO206" i="5"/>
  <c r="PJ206" i="5"/>
  <c r="PN206" i="5"/>
  <c r="PR206" i="5"/>
  <c r="PV206" i="5"/>
  <c r="PZ206" i="5"/>
  <c r="QD206" i="5"/>
  <c r="QH206" i="5"/>
  <c r="QL206" i="5"/>
  <c r="QP206" i="5"/>
  <c r="PK206" i="5"/>
  <c r="PO206" i="5"/>
  <c r="PS206" i="5"/>
  <c r="PW206" i="5"/>
  <c r="QA206" i="5"/>
  <c r="QE206" i="5"/>
  <c r="QI206" i="5"/>
  <c r="QM206" i="5"/>
  <c r="QQ206" i="5"/>
  <c r="PL206" i="5"/>
  <c r="PP206" i="5"/>
  <c r="PT206" i="5"/>
  <c r="PX206" i="5"/>
  <c r="QB206" i="5"/>
  <c r="QF206" i="5"/>
  <c r="QJ206" i="5"/>
  <c r="QN206" i="5"/>
  <c r="PJ192" i="5"/>
  <c r="PN192" i="5"/>
  <c r="PR192" i="5"/>
  <c r="PV192" i="5"/>
  <c r="PZ192" i="5"/>
  <c r="QD192" i="5"/>
  <c r="QH192" i="5"/>
  <c r="QL192" i="5"/>
  <c r="QP192" i="5"/>
  <c r="PK192" i="5"/>
  <c r="PO192" i="5"/>
  <c r="PS192" i="5"/>
  <c r="PW192" i="5"/>
  <c r="QA192" i="5"/>
  <c r="QE192" i="5"/>
  <c r="QI192" i="5"/>
  <c r="QM192" i="5"/>
  <c r="QQ192" i="5"/>
  <c r="PL192" i="5"/>
  <c r="PT192" i="5"/>
  <c r="QB192" i="5"/>
  <c r="QJ192" i="5"/>
  <c r="PM192" i="5"/>
  <c r="PU192" i="5"/>
  <c r="QC192" i="5"/>
  <c r="QK192" i="5"/>
  <c r="PP192" i="5"/>
  <c r="PX192" i="5"/>
  <c r="QF192" i="5"/>
  <c r="QN192" i="5"/>
  <c r="PQ192" i="5"/>
  <c r="PY192" i="5"/>
  <c r="QG192" i="5"/>
  <c r="QO192" i="5"/>
  <c r="PK162" i="5"/>
  <c r="PO162" i="5"/>
  <c r="PS162" i="5"/>
  <c r="PW162" i="5"/>
  <c r="QA162" i="5"/>
  <c r="QE162" i="5"/>
  <c r="QI162" i="5"/>
  <c r="QM162" i="5"/>
  <c r="QQ162" i="5"/>
  <c r="PL162" i="5"/>
  <c r="PP162" i="5"/>
  <c r="PT162" i="5"/>
  <c r="PX162" i="5"/>
  <c r="QB162" i="5"/>
  <c r="QF162" i="5"/>
  <c r="QJ162" i="5"/>
  <c r="QN162" i="5"/>
  <c r="PM162" i="5"/>
  <c r="PQ162" i="5"/>
  <c r="PU162" i="5"/>
  <c r="PY162" i="5"/>
  <c r="QC162" i="5"/>
  <c r="QG162" i="5"/>
  <c r="QK162" i="5"/>
  <c r="QO162" i="5"/>
  <c r="PR162" i="5"/>
  <c r="QH162" i="5"/>
  <c r="PV162" i="5"/>
  <c r="QL162" i="5"/>
  <c r="PJ162" i="5"/>
  <c r="PZ162" i="5"/>
  <c r="QP162" i="5"/>
  <c r="PN162" i="5"/>
  <c r="QD162" i="5"/>
  <c r="PJ132" i="5"/>
  <c r="PN132" i="5"/>
  <c r="PR132" i="5"/>
  <c r="PV132" i="5"/>
  <c r="PZ132" i="5"/>
  <c r="QD132" i="5"/>
  <c r="QH132" i="5"/>
  <c r="QL132" i="5"/>
  <c r="QP132" i="5"/>
  <c r="PM132" i="5"/>
  <c r="PS132" i="5"/>
  <c r="PX132" i="5"/>
  <c r="QC132" i="5"/>
  <c r="QI132" i="5"/>
  <c r="QN132" i="5"/>
  <c r="PO132" i="5"/>
  <c r="PT132" i="5"/>
  <c r="PY132" i="5"/>
  <c r="QE132" i="5"/>
  <c r="QJ132" i="5"/>
  <c r="QO132" i="5"/>
  <c r="PQ132" i="5"/>
  <c r="QB132" i="5"/>
  <c r="QM132" i="5"/>
  <c r="PP132" i="5"/>
  <c r="QF132" i="5"/>
  <c r="PU132" i="5"/>
  <c r="QG132" i="5"/>
  <c r="PK132" i="5"/>
  <c r="PW132" i="5"/>
  <c r="QK132" i="5"/>
  <c r="PL132" i="5"/>
  <c r="QA132" i="5"/>
  <c r="QQ132" i="5"/>
  <c r="PM29" i="5"/>
  <c r="PQ29" i="5"/>
  <c r="PU29" i="5"/>
  <c r="PY29" i="5"/>
  <c r="QC29" i="5"/>
  <c r="QG29" i="5"/>
  <c r="QK29" i="5"/>
  <c r="QO29" i="5"/>
  <c r="PL29" i="5"/>
  <c r="PR29" i="5"/>
  <c r="PW29" i="5"/>
  <c r="QB29" i="5"/>
  <c r="QH29" i="5"/>
  <c r="QM29" i="5"/>
  <c r="CO29" i="5" s="1"/>
  <c r="HH29" i="5" s="1"/>
  <c r="PK29" i="5"/>
  <c r="PS29" i="5"/>
  <c r="PZ29" i="5"/>
  <c r="QF29" i="5"/>
  <c r="QN29" i="5"/>
  <c r="PN29" i="5"/>
  <c r="PT29" i="5"/>
  <c r="QA29" i="5"/>
  <c r="QI29" i="5"/>
  <c r="QP29" i="5"/>
  <c r="PV29" i="5"/>
  <c r="QJ29" i="5"/>
  <c r="PJ29" i="5"/>
  <c r="PX29" i="5"/>
  <c r="QL29" i="5"/>
  <c r="QD29" i="5"/>
  <c r="QE29" i="5"/>
  <c r="QQ29" i="5"/>
  <c r="PO29" i="5"/>
  <c r="PP29" i="5"/>
  <c r="PJ240" i="5"/>
  <c r="CO240" i="5" s="1"/>
  <c r="HH240" i="5" s="1"/>
  <c r="PN240" i="5"/>
  <c r="PR240" i="5"/>
  <c r="PV240" i="5"/>
  <c r="PZ240" i="5"/>
  <c r="QD240" i="5"/>
  <c r="QH240" i="5"/>
  <c r="QL240" i="5"/>
  <c r="QP240" i="5"/>
  <c r="PK240" i="5"/>
  <c r="PO240" i="5"/>
  <c r="PS240" i="5"/>
  <c r="PW240" i="5"/>
  <c r="QA240" i="5"/>
  <c r="QE240" i="5"/>
  <c r="QI240" i="5"/>
  <c r="QM240" i="5"/>
  <c r="QQ240" i="5"/>
  <c r="PL240" i="5"/>
  <c r="PP240" i="5"/>
  <c r="PT240" i="5"/>
  <c r="PX240" i="5"/>
  <c r="QB240" i="5"/>
  <c r="QF240" i="5"/>
  <c r="QJ240" i="5"/>
  <c r="QN240" i="5"/>
  <c r="PM240" i="5"/>
  <c r="PQ240" i="5"/>
  <c r="PU240" i="5"/>
  <c r="PY240" i="5"/>
  <c r="QC240" i="5"/>
  <c r="QG240" i="5"/>
  <c r="QK240" i="5"/>
  <c r="QO240" i="5"/>
  <c r="PJ224" i="5"/>
  <c r="PN224" i="5"/>
  <c r="PR224" i="5"/>
  <c r="PV224" i="5"/>
  <c r="PZ224" i="5"/>
  <c r="QD224" i="5"/>
  <c r="QH224" i="5"/>
  <c r="QL224" i="5"/>
  <c r="QP224" i="5"/>
  <c r="PK224" i="5"/>
  <c r="PO224" i="5"/>
  <c r="PS224" i="5"/>
  <c r="PW224" i="5"/>
  <c r="QA224" i="5"/>
  <c r="QE224" i="5"/>
  <c r="QI224" i="5"/>
  <c r="QM224" i="5"/>
  <c r="QQ224" i="5"/>
  <c r="PL224" i="5"/>
  <c r="PP224" i="5"/>
  <c r="PT224" i="5"/>
  <c r="PX224" i="5"/>
  <c r="QB224" i="5"/>
  <c r="QF224" i="5"/>
  <c r="QJ224" i="5"/>
  <c r="QN224" i="5"/>
  <c r="PM224" i="5"/>
  <c r="PQ224" i="5"/>
  <c r="PU224" i="5"/>
  <c r="PY224" i="5"/>
  <c r="QC224" i="5"/>
  <c r="QG224" i="5"/>
  <c r="QK224" i="5"/>
  <c r="QO224" i="5"/>
  <c r="PM220" i="5"/>
  <c r="PQ220" i="5"/>
  <c r="PU220" i="5"/>
  <c r="PY220" i="5"/>
  <c r="QC220" i="5"/>
  <c r="QG220" i="5"/>
  <c r="QK220" i="5"/>
  <c r="QO220" i="5"/>
  <c r="PJ220" i="5"/>
  <c r="PN220" i="5"/>
  <c r="PR220" i="5"/>
  <c r="PV220" i="5"/>
  <c r="PZ220" i="5"/>
  <c r="QD220" i="5"/>
  <c r="QH220" i="5"/>
  <c r="QL220" i="5"/>
  <c r="QP220" i="5"/>
  <c r="PK220" i="5"/>
  <c r="PO220" i="5"/>
  <c r="PS220" i="5"/>
  <c r="PW220" i="5"/>
  <c r="QA220" i="5"/>
  <c r="QE220" i="5"/>
  <c r="QI220" i="5"/>
  <c r="QM220" i="5"/>
  <c r="QQ220" i="5"/>
  <c r="PT220" i="5"/>
  <c r="QJ220" i="5"/>
  <c r="PX220" i="5"/>
  <c r="QN220" i="5"/>
  <c r="PL220" i="5"/>
  <c r="QB220" i="5"/>
  <c r="PP220" i="5"/>
  <c r="QF220" i="5"/>
  <c r="PJ194" i="5"/>
  <c r="PN194" i="5"/>
  <c r="PL194" i="5"/>
  <c r="PQ194" i="5"/>
  <c r="PU194" i="5"/>
  <c r="PY194" i="5"/>
  <c r="QC194" i="5"/>
  <c r="QG194" i="5"/>
  <c r="QK194" i="5"/>
  <c r="QO194" i="5"/>
  <c r="PM194" i="5"/>
  <c r="PR194" i="5"/>
  <c r="PV194" i="5"/>
  <c r="PZ194" i="5"/>
  <c r="QD194" i="5"/>
  <c r="QH194" i="5"/>
  <c r="QL194" i="5"/>
  <c r="QP194" i="5"/>
  <c r="PO194" i="5"/>
  <c r="PS194" i="5"/>
  <c r="PW194" i="5"/>
  <c r="QA194" i="5"/>
  <c r="QE194" i="5"/>
  <c r="QI194" i="5"/>
  <c r="QM194" i="5"/>
  <c r="QQ194" i="5"/>
  <c r="PK194" i="5"/>
  <c r="PP194" i="5"/>
  <c r="PT194" i="5"/>
  <c r="PX194" i="5"/>
  <c r="QB194" i="5"/>
  <c r="QF194" i="5"/>
  <c r="QJ194" i="5"/>
  <c r="QN194" i="5"/>
  <c r="PK179" i="5"/>
  <c r="PO179" i="5"/>
  <c r="PS179" i="5"/>
  <c r="PW179" i="5"/>
  <c r="QA179" i="5"/>
  <c r="QE179" i="5"/>
  <c r="QI179" i="5"/>
  <c r="QM179" i="5"/>
  <c r="QQ179" i="5"/>
  <c r="PL179" i="5"/>
  <c r="PQ179" i="5"/>
  <c r="PV179" i="5"/>
  <c r="QB179" i="5"/>
  <c r="QG179" i="5"/>
  <c r="QL179" i="5"/>
  <c r="PM179" i="5"/>
  <c r="PR179" i="5"/>
  <c r="PX179" i="5"/>
  <c r="QC179" i="5"/>
  <c r="QH179" i="5"/>
  <c r="QN179" i="5"/>
  <c r="PN179" i="5"/>
  <c r="PT179" i="5"/>
  <c r="PY179" i="5"/>
  <c r="QD179" i="5"/>
  <c r="QJ179" i="5"/>
  <c r="QO179" i="5"/>
  <c r="PJ179" i="5"/>
  <c r="PP179" i="5"/>
  <c r="PU179" i="5"/>
  <c r="PZ179" i="5"/>
  <c r="QF179" i="5"/>
  <c r="QK179" i="5"/>
  <c r="QP179" i="5"/>
  <c r="PL148" i="5"/>
  <c r="PP148" i="5"/>
  <c r="PT148" i="5"/>
  <c r="PX148" i="5"/>
  <c r="QB148" i="5"/>
  <c r="QF148" i="5"/>
  <c r="QJ148" i="5"/>
  <c r="QN148" i="5"/>
  <c r="PM148" i="5"/>
  <c r="PQ148" i="5"/>
  <c r="PU148" i="5"/>
  <c r="PY148" i="5"/>
  <c r="QC148" i="5"/>
  <c r="QG148" i="5"/>
  <c r="QK148" i="5"/>
  <c r="QO148" i="5"/>
  <c r="PO148" i="5"/>
  <c r="PW148" i="5"/>
  <c r="QE148" i="5"/>
  <c r="QM148" i="5"/>
  <c r="PJ148" i="5"/>
  <c r="PR148" i="5"/>
  <c r="PZ148" i="5"/>
  <c r="QH148" i="5"/>
  <c r="QP148" i="5"/>
  <c r="PK148" i="5"/>
  <c r="PS148" i="5"/>
  <c r="QA148" i="5"/>
  <c r="QI148" i="5"/>
  <c r="QQ148" i="5"/>
  <c r="PN148" i="5"/>
  <c r="PV148" i="5"/>
  <c r="QD148" i="5"/>
  <c r="QL148" i="5"/>
  <c r="PJ134" i="5"/>
  <c r="PN134" i="5"/>
  <c r="PR134" i="5"/>
  <c r="PV134" i="5"/>
  <c r="PZ134" i="5"/>
  <c r="QD134" i="5"/>
  <c r="QH134" i="5"/>
  <c r="QL134" i="5"/>
  <c r="QP134" i="5"/>
  <c r="PO134" i="5"/>
  <c r="PT134" i="5"/>
  <c r="PY134" i="5"/>
  <c r="QE134" i="5"/>
  <c r="QJ134" i="5"/>
  <c r="QO134" i="5"/>
  <c r="PK134" i="5"/>
  <c r="PP134" i="5"/>
  <c r="PU134" i="5"/>
  <c r="QA134" i="5"/>
  <c r="QF134" i="5"/>
  <c r="QK134" i="5"/>
  <c r="QQ134" i="5"/>
  <c r="PM134" i="5"/>
  <c r="PX134" i="5"/>
  <c r="QI134" i="5"/>
  <c r="PS134" i="5"/>
  <c r="QG134" i="5"/>
  <c r="PW134" i="5"/>
  <c r="QM134" i="5"/>
  <c r="PL134" i="5"/>
  <c r="QB134" i="5"/>
  <c r="QN134" i="5"/>
  <c r="PQ134" i="5"/>
  <c r="QC134" i="5"/>
  <c r="PL87" i="5"/>
  <c r="PP87" i="5"/>
  <c r="PT87" i="5"/>
  <c r="PX87" i="5"/>
  <c r="QB87" i="5"/>
  <c r="QF87" i="5"/>
  <c r="QJ87" i="5"/>
  <c r="QN87" i="5"/>
  <c r="PK87" i="5"/>
  <c r="PQ87" i="5"/>
  <c r="PV87" i="5"/>
  <c r="QA87" i="5"/>
  <c r="QG87" i="5"/>
  <c r="QL87" i="5"/>
  <c r="QQ87" i="5"/>
  <c r="PJ87" i="5"/>
  <c r="PR87" i="5"/>
  <c r="PY87" i="5"/>
  <c r="QE87" i="5"/>
  <c r="QM87" i="5"/>
  <c r="PM87" i="5"/>
  <c r="PS87" i="5"/>
  <c r="PZ87" i="5"/>
  <c r="QH87" i="5"/>
  <c r="QO87" i="5"/>
  <c r="PO87" i="5"/>
  <c r="QD87" i="5"/>
  <c r="PU87" i="5"/>
  <c r="QI87" i="5"/>
  <c r="PW87" i="5"/>
  <c r="QK87" i="5"/>
  <c r="QP87" i="5"/>
  <c r="PN87" i="5"/>
  <c r="QC87" i="5"/>
  <c r="PK47" i="5"/>
  <c r="PO47" i="5"/>
  <c r="PS47" i="5"/>
  <c r="PW47" i="5"/>
  <c r="QA47" i="5"/>
  <c r="QE47" i="5"/>
  <c r="QI47" i="5"/>
  <c r="QM47" i="5"/>
  <c r="QQ47" i="5"/>
  <c r="PM47" i="5"/>
  <c r="PR47" i="5"/>
  <c r="PX47" i="5"/>
  <c r="QC47" i="5"/>
  <c r="QH47" i="5"/>
  <c r="QN47" i="5"/>
  <c r="PN47" i="5"/>
  <c r="PU47" i="5"/>
  <c r="QB47" i="5"/>
  <c r="QJ47" i="5"/>
  <c r="QP47" i="5"/>
  <c r="PP47" i="5"/>
  <c r="PV47" i="5"/>
  <c r="QD47" i="5"/>
  <c r="QK47" i="5"/>
  <c r="PJ47" i="5"/>
  <c r="PY47" i="5"/>
  <c r="QL47" i="5"/>
  <c r="CO47" i="5" s="1"/>
  <c r="HH47" i="5" s="1"/>
  <c r="PL47" i="5"/>
  <c r="PZ47" i="5"/>
  <c r="QO47" i="5"/>
  <c r="QF47" i="5"/>
  <c r="QG47" i="5"/>
  <c r="PQ47" i="5"/>
  <c r="PT47" i="5"/>
  <c r="PL247" i="5"/>
  <c r="PP247" i="5"/>
  <c r="PT247" i="5"/>
  <c r="PX247" i="5"/>
  <c r="QB247" i="5"/>
  <c r="QF247" i="5"/>
  <c r="QJ247" i="5"/>
  <c r="QN247" i="5"/>
  <c r="PM247" i="5"/>
  <c r="PQ247" i="5"/>
  <c r="PU247" i="5"/>
  <c r="PY247" i="5"/>
  <c r="QC247" i="5"/>
  <c r="QG247" i="5"/>
  <c r="QK247" i="5"/>
  <c r="QO247" i="5"/>
  <c r="PJ247" i="5"/>
  <c r="CO247" i="5" s="1"/>
  <c r="HH247" i="5" s="1"/>
  <c r="PN247" i="5"/>
  <c r="PR247" i="5"/>
  <c r="PV247" i="5"/>
  <c r="PZ247" i="5"/>
  <c r="QD247" i="5"/>
  <c r="QH247" i="5"/>
  <c r="QL247" i="5"/>
  <c r="QP247" i="5"/>
  <c r="PK247" i="5"/>
  <c r="PO247" i="5"/>
  <c r="PS247" i="5"/>
  <c r="PW247" i="5"/>
  <c r="QA247" i="5"/>
  <c r="QE247" i="5"/>
  <c r="QI247" i="5"/>
  <c r="QM247" i="5"/>
  <c r="QQ247" i="5"/>
  <c r="PL231" i="5"/>
  <c r="PP231" i="5"/>
  <c r="PT231" i="5"/>
  <c r="PX231" i="5"/>
  <c r="QB231" i="5"/>
  <c r="QF231" i="5"/>
  <c r="QJ231" i="5"/>
  <c r="QN231" i="5"/>
  <c r="PM231" i="5"/>
  <c r="PQ231" i="5"/>
  <c r="PU231" i="5"/>
  <c r="PY231" i="5"/>
  <c r="QC231" i="5"/>
  <c r="QG231" i="5"/>
  <c r="QK231" i="5"/>
  <c r="QO231" i="5"/>
  <c r="PJ231" i="5"/>
  <c r="PN231" i="5"/>
  <c r="PR231" i="5"/>
  <c r="PV231" i="5"/>
  <c r="PZ231" i="5"/>
  <c r="QD231" i="5"/>
  <c r="QH231" i="5"/>
  <c r="QL231" i="5"/>
  <c r="QP231" i="5"/>
  <c r="PK231" i="5"/>
  <c r="PO231" i="5"/>
  <c r="PS231" i="5"/>
  <c r="PW231" i="5"/>
  <c r="QA231" i="5"/>
  <c r="QE231" i="5"/>
  <c r="QI231" i="5"/>
  <c r="QM231" i="5"/>
  <c r="QQ231" i="5"/>
  <c r="PL223" i="5"/>
  <c r="PP223" i="5"/>
  <c r="PT223" i="5"/>
  <c r="PX223" i="5"/>
  <c r="QB223" i="5"/>
  <c r="QF223" i="5"/>
  <c r="QJ223" i="5"/>
  <c r="QN223" i="5"/>
  <c r="PM223" i="5"/>
  <c r="PQ223" i="5"/>
  <c r="PU223" i="5"/>
  <c r="PY223" i="5"/>
  <c r="QC223" i="5"/>
  <c r="QG223" i="5"/>
  <c r="QK223" i="5"/>
  <c r="QO223" i="5"/>
  <c r="PJ223" i="5"/>
  <c r="CO223" i="5" s="1"/>
  <c r="HH223" i="5" s="1"/>
  <c r="PN223" i="5"/>
  <c r="PR223" i="5"/>
  <c r="PV223" i="5"/>
  <c r="PZ223" i="5"/>
  <c r="QD223" i="5"/>
  <c r="QH223" i="5"/>
  <c r="QL223" i="5"/>
  <c r="QP223" i="5"/>
  <c r="PK223" i="5"/>
  <c r="PO223" i="5"/>
  <c r="PS223" i="5"/>
  <c r="PW223" i="5"/>
  <c r="QA223" i="5"/>
  <c r="QE223" i="5"/>
  <c r="QI223" i="5"/>
  <c r="QM223" i="5"/>
  <c r="QQ223" i="5"/>
  <c r="PK219" i="5"/>
  <c r="PO219" i="5"/>
  <c r="PS219" i="5"/>
  <c r="PW219" i="5"/>
  <c r="QA219" i="5"/>
  <c r="QE219" i="5"/>
  <c r="QI219" i="5"/>
  <c r="QM219" i="5"/>
  <c r="QQ219" i="5"/>
  <c r="PL219" i="5"/>
  <c r="PP219" i="5"/>
  <c r="PT219" i="5"/>
  <c r="PX219" i="5"/>
  <c r="QB219" i="5"/>
  <c r="QF219" i="5"/>
  <c r="QJ219" i="5"/>
  <c r="QN219" i="5"/>
  <c r="PM219" i="5"/>
  <c r="PQ219" i="5"/>
  <c r="PU219" i="5"/>
  <c r="PY219" i="5"/>
  <c r="QC219" i="5"/>
  <c r="QG219" i="5"/>
  <c r="QK219" i="5"/>
  <c r="QO219" i="5"/>
  <c r="PV219" i="5"/>
  <c r="QL219" i="5"/>
  <c r="PJ219" i="5"/>
  <c r="PZ219" i="5"/>
  <c r="QP219" i="5"/>
  <c r="PN219" i="5"/>
  <c r="QD219" i="5"/>
  <c r="PR219" i="5"/>
  <c r="QH219" i="5"/>
  <c r="PK197" i="5"/>
  <c r="PO197" i="5"/>
  <c r="PS197" i="5"/>
  <c r="PW197" i="5"/>
  <c r="QA197" i="5"/>
  <c r="QE197" i="5"/>
  <c r="QI197" i="5"/>
  <c r="QM197" i="5"/>
  <c r="QQ197" i="5"/>
  <c r="PL197" i="5"/>
  <c r="PP197" i="5"/>
  <c r="PT197" i="5"/>
  <c r="PX197" i="5"/>
  <c r="QB197" i="5"/>
  <c r="QF197" i="5"/>
  <c r="QJ197" i="5"/>
  <c r="QN197" i="5"/>
  <c r="PM197" i="5"/>
  <c r="PQ197" i="5"/>
  <c r="PU197" i="5"/>
  <c r="PY197" i="5"/>
  <c r="QC197" i="5"/>
  <c r="QG197" i="5"/>
  <c r="QK197" i="5"/>
  <c r="QO197" i="5"/>
  <c r="PJ197" i="5"/>
  <c r="PN197" i="5"/>
  <c r="PR197" i="5"/>
  <c r="PV197" i="5"/>
  <c r="PZ197" i="5"/>
  <c r="QD197" i="5"/>
  <c r="QH197" i="5"/>
  <c r="QL197" i="5"/>
  <c r="QP197" i="5"/>
  <c r="PM190" i="5"/>
  <c r="PQ190" i="5"/>
  <c r="PU190" i="5"/>
  <c r="PY190" i="5"/>
  <c r="QC190" i="5"/>
  <c r="QG190" i="5"/>
  <c r="QK190" i="5"/>
  <c r="QO190" i="5"/>
  <c r="PK190" i="5"/>
  <c r="PP190" i="5"/>
  <c r="PV190" i="5"/>
  <c r="QA190" i="5"/>
  <c r="QF190" i="5"/>
  <c r="QL190" i="5"/>
  <c r="QQ190" i="5"/>
  <c r="PL190" i="5"/>
  <c r="PR190" i="5"/>
  <c r="PW190" i="5"/>
  <c r="QB190" i="5"/>
  <c r="QH190" i="5"/>
  <c r="QM190" i="5"/>
  <c r="PN190" i="5"/>
  <c r="PS190" i="5"/>
  <c r="PX190" i="5"/>
  <c r="QD190" i="5"/>
  <c r="QI190" i="5"/>
  <c r="QN190" i="5"/>
  <c r="PJ190" i="5"/>
  <c r="QE190" i="5"/>
  <c r="PO190" i="5"/>
  <c r="QJ190" i="5"/>
  <c r="PT190" i="5"/>
  <c r="QP190" i="5"/>
  <c r="PZ190" i="5"/>
  <c r="PM182" i="5"/>
  <c r="PQ182" i="5"/>
  <c r="PU182" i="5"/>
  <c r="PY182" i="5"/>
  <c r="QC182" i="5"/>
  <c r="QG182" i="5"/>
  <c r="QK182" i="5"/>
  <c r="QO182" i="5"/>
  <c r="PK182" i="5"/>
  <c r="PP182" i="5"/>
  <c r="PV182" i="5"/>
  <c r="QA182" i="5"/>
  <c r="QF182" i="5"/>
  <c r="QL182" i="5"/>
  <c r="QQ182" i="5"/>
  <c r="PL182" i="5"/>
  <c r="PR182" i="5"/>
  <c r="PW182" i="5"/>
  <c r="QB182" i="5"/>
  <c r="QH182" i="5"/>
  <c r="QM182" i="5"/>
  <c r="PN182" i="5"/>
  <c r="PS182" i="5"/>
  <c r="PX182" i="5"/>
  <c r="QD182" i="5"/>
  <c r="QI182" i="5"/>
  <c r="QN182" i="5"/>
  <c r="PJ182" i="5"/>
  <c r="PO182" i="5"/>
  <c r="PT182" i="5"/>
  <c r="PZ182" i="5"/>
  <c r="QE182" i="5"/>
  <c r="QJ182" i="5"/>
  <c r="QP182" i="5"/>
  <c r="PM174" i="5"/>
  <c r="PQ174" i="5"/>
  <c r="PU174" i="5"/>
  <c r="PY174" i="5"/>
  <c r="QC174" i="5"/>
  <c r="QG174" i="5"/>
  <c r="QK174" i="5"/>
  <c r="QO174" i="5"/>
  <c r="PJ174" i="5"/>
  <c r="PN174" i="5"/>
  <c r="PR174" i="5"/>
  <c r="PV174" i="5"/>
  <c r="PZ174" i="5"/>
  <c r="PK174" i="5"/>
  <c r="PS174" i="5"/>
  <c r="QA174" i="5"/>
  <c r="QF174" i="5"/>
  <c r="QL174" i="5"/>
  <c r="QQ174" i="5"/>
  <c r="PL174" i="5"/>
  <c r="PT174" i="5"/>
  <c r="QB174" i="5"/>
  <c r="QH174" i="5"/>
  <c r="QM174" i="5"/>
  <c r="PO174" i="5"/>
  <c r="PW174" i="5"/>
  <c r="QD174" i="5"/>
  <c r="QI174" i="5"/>
  <c r="QN174" i="5"/>
  <c r="PP174" i="5"/>
  <c r="PX174" i="5"/>
  <c r="QE174" i="5"/>
  <c r="QJ174" i="5"/>
  <c r="QP174" i="5"/>
  <c r="PM167" i="5"/>
  <c r="PQ167" i="5"/>
  <c r="PU167" i="5"/>
  <c r="PY167" i="5"/>
  <c r="QC167" i="5"/>
  <c r="QG167" i="5"/>
  <c r="QK167" i="5"/>
  <c r="QO167" i="5"/>
  <c r="PJ167" i="5"/>
  <c r="PN167" i="5"/>
  <c r="PR167" i="5"/>
  <c r="PV167" i="5"/>
  <c r="PZ167" i="5"/>
  <c r="QD167" i="5"/>
  <c r="QH167" i="5"/>
  <c r="QL167" i="5"/>
  <c r="QP167" i="5"/>
  <c r="PK167" i="5"/>
  <c r="PS167" i="5"/>
  <c r="QA167" i="5"/>
  <c r="QI167" i="5"/>
  <c r="QQ167" i="5"/>
  <c r="PL167" i="5"/>
  <c r="PT167" i="5"/>
  <c r="QB167" i="5"/>
  <c r="QJ167" i="5"/>
  <c r="PO167" i="5"/>
  <c r="PW167" i="5"/>
  <c r="QE167" i="5"/>
  <c r="QM167" i="5"/>
  <c r="PP167" i="5"/>
  <c r="PX167" i="5"/>
  <c r="QF167" i="5"/>
  <c r="QN167" i="5"/>
  <c r="PJ159" i="5"/>
  <c r="PN159" i="5"/>
  <c r="PR159" i="5"/>
  <c r="PV159" i="5"/>
  <c r="PZ159" i="5"/>
  <c r="QD159" i="5"/>
  <c r="QH159" i="5"/>
  <c r="QL159" i="5"/>
  <c r="QP159" i="5"/>
  <c r="PK159" i="5"/>
  <c r="PO159" i="5"/>
  <c r="PS159" i="5"/>
  <c r="PW159" i="5"/>
  <c r="QA159" i="5"/>
  <c r="QE159" i="5"/>
  <c r="QI159" i="5"/>
  <c r="QM159" i="5"/>
  <c r="QQ159" i="5"/>
  <c r="PQ159" i="5"/>
  <c r="PY159" i="5"/>
  <c r="QG159" i="5"/>
  <c r="QO159" i="5"/>
  <c r="PL159" i="5"/>
  <c r="PT159" i="5"/>
  <c r="QB159" i="5"/>
  <c r="QJ159" i="5"/>
  <c r="PM159" i="5"/>
  <c r="PU159" i="5"/>
  <c r="QC159" i="5"/>
  <c r="QK159" i="5"/>
  <c r="PX159" i="5"/>
  <c r="QF159" i="5"/>
  <c r="QN159" i="5"/>
  <c r="PP159" i="5"/>
  <c r="PJ151" i="5"/>
  <c r="PN151" i="5"/>
  <c r="PR151" i="5"/>
  <c r="PV151" i="5"/>
  <c r="PZ151" i="5"/>
  <c r="QD151" i="5"/>
  <c r="QH151" i="5"/>
  <c r="QL151" i="5"/>
  <c r="QP151" i="5"/>
  <c r="PK151" i="5"/>
  <c r="PO151" i="5"/>
  <c r="PS151" i="5"/>
  <c r="PW151" i="5"/>
  <c r="QA151" i="5"/>
  <c r="QE151" i="5"/>
  <c r="QI151" i="5"/>
  <c r="QM151" i="5"/>
  <c r="QQ151" i="5"/>
  <c r="PQ151" i="5"/>
  <c r="PY151" i="5"/>
  <c r="QG151" i="5"/>
  <c r="QO151" i="5"/>
  <c r="PL151" i="5"/>
  <c r="PT151" i="5"/>
  <c r="QB151" i="5"/>
  <c r="QJ151" i="5"/>
  <c r="PM151" i="5"/>
  <c r="PU151" i="5"/>
  <c r="QC151" i="5"/>
  <c r="QK151" i="5"/>
  <c r="QN151" i="5"/>
  <c r="PP151" i="5"/>
  <c r="PX151" i="5"/>
  <c r="QF151" i="5"/>
  <c r="PL137" i="5"/>
  <c r="PP137" i="5"/>
  <c r="PT137" i="5"/>
  <c r="PX137" i="5"/>
  <c r="QB137" i="5"/>
  <c r="QF137" i="5"/>
  <c r="QJ137" i="5"/>
  <c r="QN137" i="5"/>
  <c r="PN137" i="5"/>
  <c r="PS137" i="5"/>
  <c r="PY137" i="5"/>
  <c r="QD137" i="5"/>
  <c r="QI137" i="5"/>
  <c r="QO137" i="5"/>
  <c r="PJ137" i="5"/>
  <c r="PO137" i="5"/>
  <c r="PU137" i="5"/>
  <c r="PZ137" i="5"/>
  <c r="QE137" i="5"/>
  <c r="QK137" i="5"/>
  <c r="QP137" i="5"/>
  <c r="PR137" i="5"/>
  <c r="QC137" i="5"/>
  <c r="QM137" i="5"/>
  <c r="PQ137" i="5"/>
  <c r="QG137" i="5"/>
  <c r="PV137" i="5"/>
  <c r="QH137" i="5"/>
  <c r="PK137" i="5"/>
  <c r="PW137" i="5"/>
  <c r="QL137" i="5"/>
  <c r="PM137" i="5"/>
  <c r="QA137" i="5"/>
  <c r="QQ137" i="5"/>
  <c r="PL114" i="5"/>
  <c r="PP114" i="5"/>
  <c r="PT114" i="5"/>
  <c r="PX114" i="5"/>
  <c r="QB114" i="5"/>
  <c r="QF114" i="5"/>
  <c r="QJ114" i="5"/>
  <c r="QN114" i="5"/>
  <c r="PN114" i="5"/>
  <c r="PS114" i="5"/>
  <c r="PY114" i="5"/>
  <c r="QD114" i="5"/>
  <c r="QI114" i="5"/>
  <c r="QO114" i="5"/>
  <c r="PJ114" i="5"/>
  <c r="PO114" i="5"/>
  <c r="PU114" i="5"/>
  <c r="PZ114" i="5"/>
  <c r="QE114" i="5"/>
  <c r="QK114" i="5"/>
  <c r="QP114" i="5"/>
  <c r="PM114" i="5"/>
  <c r="PW114" i="5"/>
  <c r="QH114" i="5"/>
  <c r="PQ114" i="5"/>
  <c r="QA114" i="5"/>
  <c r="QL114" i="5"/>
  <c r="PR114" i="5"/>
  <c r="QC114" i="5"/>
  <c r="QM114" i="5"/>
  <c r="PV114" i="5"/>
  <c r="QG114" i="5"/>
  <c r="QQ114" i="5"/>
  <c r="PK114" i="5"/>
  <c r="PK26" i="5"/>
  <c r="PO26" i="5"/>
  <c r="PS26" i="5"/>
  <c r="PW26" i="5"/>
  <c r="QA26" i="5"/>
  <c r="QE26" i="5"/>
  <c r="QI26" i="5"/>
  <c r="QM26" i="5"/>
  <c r="QQ26" i="5"/>
  <c r="PM26" i="5"/>
  <c r="PR26" i="5"/>
  <c r="PX26" i="5"/>
  <c r="QC26" i="5"/>
  <c r="QH26" i="5"/>
  <c r="QN26" i="5"/>
  <c r="PN26" i="5"/>
  <c r="PU26" i="5"/>
  <c r="QB26" i="5"/>
  <c r="QJ26" i="5"/>
  <c r="QP26" i="5"/>
  <c r="PP26" i="5"/>
  <c r="PV26" i="5"/>
  <c r="QD26" i="5"/>
  <c r="QK26" i="5"/>
  <c r="PJ26" i="5"/>
  <c r="PY26" i="5"/>
  <c r="QL26" i="5"/>
  <c r="CO26" i="5" s="1"/>
  <c r="HH26" i="5" s="1"/>
  <c r="PL26" i="5"/>
  <c r="PZ26" i="5"/>
  <c r="QO26" i="5"/>
  <c r="PQ26" i="5"/>
  <c r="PT26" i="5"/>
  <c r="QF26" i="5"/>
  <c r="QG26" i="5"/>
  <c r="PJ234" i="5"/>
  <c r="PN234" i="5"/>
  <c r="PR234" i="5"/>
  <c r="PV234" i="5"/>
  <c r="PZ234" i="5"/>
  <c r="QD234" i="5"/>
  <c r="QH234" i="5"/>
  <c r="QL234" i="5"/>
  <c r="QP234" i="5"/>
  <c r="PK234" i="5"/>
  <c r="PO234" i="5"/>
  <c r="PS234" i="5"/>
  <c r="PW234" i="5"/>
  <c r="QA234" i="5"/>
  <c r="QE234" i="5"/>
  <c r="QI234" i="5"/>
  <c r="QM234" i="5"/>
  <c r="QQ234" i="5"/>
  <c r="PL234" i="5"/>
  <c r="PP234" i="5"/>
  <c r="PT234" i="5"/>
  <c r="PX234" i="5"/>
  <c r="QB234" i="5"/>
  <c r="QF234" i="5"/>
  <c r="QJ234" i="5"/>
  <c r="QN234" i="5"/>
  <c r="PM234" i="5"/>
  <c r="PQ234" i="5"/>
  <c r="PU234" i="5"/>
  <c r="PY234" i="5"/>
  <c r="QC234" i="5"/>
  <c r="QG234" i="5"/>
  <c r="QK234" i="5"/>
  <c r="QO234" i="5"/>
  <c r="PM218" i="5"/>
  <c r="PQ218" i="5"/>
  <c r="PU218" i="5"/>
  <c r="PY218" i="5"/>
  <c r="QC218" i="5"/>
  <c r="QG218" i="5"/>
  <c r="QK218" i="5"/>
  <c r="QO218" i="5"/>
  <c r="PJ218" i="5"/>
  <c r="PN218" i="5"/>
  <c r="PR218" i="5"/>
  <c r="PV218" i="5"/>
  <c r="PZ218" i="5"/>
  <c r="QD218" i="5"/>
  <c r="QH218" i="5"/>
  <c r="QL218" i="5"/>
  <c r="QP218" i="5"/>
  <c r="PK218" i="5"/>
  <c r="PO218" i="5"/>
  <c r="PS218" i="5"/>
  <c r="PW218" i="5"/>
  <c r="QA218" i="5"/>
  <c r="QE218" i="5"/>
  <c r="QI218" i="5"/>
  <c r="QM218" i="5"/>
  <c r="QQ218" i="5"/>
  <c r="PP218" i="5"/>
  <c r="QF218" i="5"/>
  <c r="PT218" i="5"/>
  <c r="QJ218" i="5"/>
  <c r="PX218" i="5"/>
  <c r="QN218" i="5"/>
  <c r="PL218" i="5"/>
  <c r="QB218" i="5"/>
  <c r="PM196" i="5"/>
  <c r="PQ196" i="5"/>
  <c r="PU196" i="5"/>
  <c r="PY196" i="5"/>
  <c r="QC196" i="5"/>
  <c r="QG196" i="5"/>
  <c r="QK196" i="5"/>
  <c r="QO196" i="5"/>
  <c r="PJ196" i="5"/>
  <c r="PN196" i="5"/>
  <c r="PR196" i="5"/>
  <c r="PV196" i="5"/>
  <c r="PZ196" i="5"/>
  <c r="QD196" i="5"/>
  <c r="QH196" i="5"/>
  <c r="QL196" i="5"/>
  <c r="QP196" i="5"/>
  <c r="PK196" i="5"/>
  <c r="PO196" i="5"/>
  <c r="PS196" i="5"/>
  <c r="PW196" i="5"/>
  <c r="QA196" i="5"/>
  <c r="QE196" i="5"/>
  <c r="QI196" i="5"/>
  <c r="QM196" i="5"/>
  <c r="QQ196" i="5"/>
  <c r="PL196" i="5"/>
  <c r="PP196" i="5"/>
  <c r="PT196" i="5"/>
  <c r="PX196" i="5"/>
  <c r="QB196" i="5"/>
  <c r="QF196" i="5"/>
  <c r="QJ196" i="5"/>
  <c r="QN196" i="5"/>
  <c r="PK181" i="5"/>
  <c r="PO181" i="5"/>
  <c r="PS181" i="5"/>
  <c r="PW181" i="5"/>
  <c r="QA181" i="5"/>
  <c r="QE181" i="5"/>
  <c r="QI181" i="5"/>
  <c r="QM181" i="5"/>
  <c r="QQ181" i="5"/>
  <c r="PM181" i="5"/>
  <c r="PR181" i="5"/>
  <c r="PX181" i="5"/>
  <c r="QC181" i="5"/>
  <c r="QH181" i="5"/>
  <c r="QN181" i="5"/>
  <c r="PN181" i="5"/>
  <c r="PT181" i="5"/>
  <c r="PY181" i="5"/>
  <c r="QD181" i="5"/>
  <c r="QJ181" i="5"/>
  <c r="QO181" i="5"/>
  <c r="PJ181" i="5"/>
  <c r="PP181" i="5"/>
  <c r="PU181" i="5"/>
  <c r="PZ181" i="5"/>
  <c r="QF181" i="5"/>
  <c r="QK181" i="5"/>
  <c r="QP181" i="5"/>
  <c r="PL181" i="5"/>
  <c r="PQ181" i="5"/>
  <c r="PV181" i="5"/>
  <c r="QB181" i="5"/>
  <c r="QG181" i="5"/>
  <c r="QL181" i="5"/>
  <c r="PK166" i="5"/>
  <c r="PO166" i="5"/>
  <c r="PS166" i="5"/>
  <c r="PW166" i="5"/>
  <c r="QA166" i="5"/>
  <c r="QE166" i="5"/>
  <c r="QI166" i="5"/>
  <c r="QM166" i="5"/>
  <c r="QQ166" i="5"/>
  <c r="PL166" i="5"/>
  <c r="PP166" i="5"/>
  <c r="PT166" i="5"/>
  <c r="PX166" i="5"/>
  <c r="QB166" i="5"/>
  <c r="QF166" i="5"/>
  <c r="QJ166" i="5"/>
  <c r="QN166" i="5"/>
  <c r="PM166" i="5"/>
  <c r="PU166" i="5"/>
  <c r="QC166" i="5"/>
  <c r="QK166" i="5"/>
  <c r="PN166" i="5"/>
  <c r="PV166" i="5"/>
  <c r="QD166" i="5"/>
  <c r="QL166" i="5"/>
  <c r="PQ166" i="5"/>
  <c r="PY166" i="5"/>
  <c r="QG166" i="5"/>
  <c r="QO166" i="5"/>
  <c r="PJ166" i="5"/>
  <c r="PR166" i="5"/>
  <c r="PZ166" i="5"/>
  <c r="QH166" i="5"/>
  <c r="QP166" i="5"/>
  <c r="PL150" i="5"/>
  <c r="PP150" i="5"/>
  <c r="PT150" i="5"/>
  <c r="PX150" i="5"/>
  <c r="QB150" i="5"/>
  <c r="QF150" i="5"/>
  <c r="QJ150" i="5"/>
  <c r="QN150" i="5"/>
  <c r="PM150" i="5"/>
  <c r="PQ150" i="5"/>
  <c r="PU150" i="5"/>
  <c r="PY150" i="5"/>
  <c r="QC150" i="5"/>
  <c r="QG150" i="5"/>
  <c r="QK150" i="5"/>
  <c r="QO150" i="5"/>
  <c r="PK150" i="5"/>
  <c r="PS150" i="5"/>
  <c r="QA150" i="5"/>
  <c r="QI150" i="5"/>
  <c r="QQ150" i="5"/>
  <c r="PN150" i="5"/>
  <c r="PV150" i="5"/>
  <c r="QD150" i="5"/>
  <c r="QL150" i="5"/>
  <c r="PO150" i="5"/>
  <c r="PW150" i="5"/>
  <c r="QE150" i="5"/>
  <c r="QM150" i="5"/>
  <c r="PJ150" i="5"/>
  <c r="QP150" i="5"/>
  <c r="PR150" i="5"/>
  <c r="PZ150" i="5"/>
  <c r="QH150" i="5"/>
  <c r="PJ136" i="5"/>
  <c r="PN136" i="5"/>
  <c r="PR136" i="5"/>
  <c r="PV136" i="5"/>
  <c r="PZ136" i="5"/>
  <c r="QD136" i="5"/>
  <c r="QH136" i="5"/>
  <c r="QL136" i="5"/>
  <c r="QP136" i="5"/>
  <c r="PK136" i="5"/>
  <c r="PP136" i="5"/>
  <c r="PU136" i="5"/>
  <c r="QA136" i="5"/>
  <c r="QF136" i="5"/>
  <c r="CO136" i="5" s="1"/>
  <c r="HH136" i="5" s="1"/>
  <c r="QK136" i="5"/>
  <c r="QQ136" i="5"/>
  <c r="PL136" i="5"/>
  <c r="PQ136" i="5"/>
  <c r="PW136" i="5"/>
  <c r="QB136" i="5"/>
  <c r="QG136" i="5"/>
  <c r="QM136" i="5"/>
  <c r="PT136" i="5"/>
  <c r="QE136" i="5"/>
  <c r="QO136" i="5"/>
  <c r="PX136" i="5"/>
  <c r="QJ136" i="5"/>
  <c r="PM136" i="5"/>
  <c r="PY136" i="5"/>
  <c r="QN136" i="5"/>
  <c r="PO136" i="5"/>
  <c r="QC136" i="5"/>
  <c r="PS136" i="5"/>
  <c r="QI136" i="5"/>
  <c r="PL65" i="5"/>
  <c r="PP65" i="5"/>
  <c r="PT65" i="5"/>
  <c r="PX65" i="5"/>
  <c r="QB65" i="5"/>
  <c r="QF65" i="5"/>
  <c r="QJ65" i="5"/>
  <c r="QN65" i="5"/>
  <c r="PM65" i="5"/>
  <c r="PQ65" i="5"/>
  <c r="PU65" i="5"/>
  <c r="PY65" i="5"/>
  <c r="QC65" i="5"/>
  <c r="QG65" i="5"/>
  <c r="QK65" i="5"/>
  <c r="QO65" i="5"/>
  <c r="PJ65" i="5"/>
  <c r="PR65" i="5"/>
  <c r="PZ65" i="5"/>
  <c r="QH65" i="5"/>
  <c r="QP65" i="5"/>
  <c r="PK65" i="5"/>
  <c r="PS65" i="5"/>
  <c r="QA65" i="5"/>
  <c r="QI65" i="5"/>
  <c r="QQ65" i="5"/>
  <c r="PV65" i="5"/>
  <c r="QL65" i="5"/>
  <c r="PW65" i="5"/>
  <c r="QM65" i="5"/>
  <c r="PN65" i="5"/>
  <c r="QD65" i="5"/>
  <c r="PO65" i="5"/>
  <c r="QE65" i="5"/>
  <c r="PJ236" i="5"/>
  <c r="PN236" i="5"/>
  <c r="PR236" i="5"/>
  <c r="PV236" i="5"/>
  <c r="PZ236" i="5"/>
  <c r="QD236" i="5"/>
  <c r="QH236" i="5"/>
  <c r="QL236" i="5"/>
  <c r="QP236" i="5"/>
  <c r="PK236" i="5"/>
  <c r="PO236" i="5"/>
  <c r="PS236" i="5"/>
  <c r="PW236" i="5"/>
  <c r="QA236" i="5"/>
  <c r="QE236" i="5"/>
  <c r="QI236" i="5"/>
  <c r="QM236" i="5"/>
  <c r="QQ236" i="5"/>
  <c r="PL236" i="5"/>
  <c r="PP236" i="5"/>
  <c r="PT236" i="5"/>
  <c r="PX236" i="5"/>
  <c r="QB236" i="5"/>
  <c r="QF236" i="5"/>
  <c r="QJ236" i="5"/>
  <c r="QN236" i="5"/>
  <c r="PM236" i="5"/>
  <c r="PQ236" i="5"/>
  <c r="PU236" i="5"/>
  <c r="PY236" i="5"/>
  <c r="QC236" i="5"/>
  <c r="QG236" i="5"/>
  <c r="QK236" i="5"/>
  <c r="QO236" i="5"/>
  <c r="PM204" i="5"/>
  <c r="CO204" i="5" s="1"/>
  <c r="HH204" i="5" s="1"/>
  <c r="PQ204" i="5"/>
  <c r="PU204" i="5"/>
  <c r="PY204" i="5"/>
  <c r="QC204" i="5"/>
  <c r="QG204" i="5"/>
  <c r="QK204" i="5"/>
  <c r="QO204" i="5"/>
  <c r="PJ204" i="5"/>
  <c r="PN204" i="5"/>
  <c r="PR204" i="5"/>
  <c r="PV204" i="5"/>
  <c r="PZ204" i="5"/>
  <c r="QD204" i="5"/>
  <c r="QH204" i="5"/>
  <c r="QL204" i="5"/>
  <c r="QP204" i="5"/>
  <c r="PK204" i="5"/>
  <c r="PO204" i="5"/>
  <c r="PS204" i="5"/>
  <c r="PW204" i="5"/>
  <c r="QA204" i="5"/>
  <c r="QE204" i="5"/>
  <c r="QI204" i="5"/>
  <c r="QM204" i="5"/>
  <c r="QQ204" i="5"/>
  <c r="PL204" i="5"/>
  <c r="PP204" i="5"/>
  <c r="PT204" i="5"/>
  <c r="PX204" i="5"/>
  <c r="QB204" i="5"/>
  <c r="QF204" i="5"/>
  <c r="QJ204" i="5"/>
  <c r="QN204" i="5"/>
  <c r="PK191" i="5"/>
  <c r="PO191" i="5"/>
  <c r="PS191" i="5"/>
  <c r="PW191" i="5"/>
  <c r="QA191" i="5"/>
  <c r="QE191" i="5"/>
  <c r="QI191" i="5"/>
  <c r="QM191" i="5"/>
  <c r="QQ191" i="5"/>
  <c r="PN191" i="5"/>
  <c r="PT191" i="5"/>
  <c r="PY191" i="5"/>
  <c r="QD191" i="5"/>
  <c r="QJ191" i="5"/>
  <c r="QO191" i="5"/>
  <c r="PJ191" i="5"/>
  <c r="PP191" i="5"/>
  <c r="PU191" i="5"/>
  <c r="PZ191" i="5"/>
  <c r="QF191" i="5"/>
  <c r="QK191" i="5"/>
  <c r="QP191" i="5"/>
  <c r="PL191" i="5"/>
  <c r="PQ191" i="5"/>
  <c r="PV191" i="5"/>
  <c r="PR191" i="5"/>
  <c r="CO191" i="5" s="1"/>
  <c r="HH191" i="5" s="1"/>
  <c r="QG191" i="5"/>
  <c r="PX191" i="5"/>
  <c r="QH191" i="5"/>
  <c r="QB191" i="5"/>
  <c r="QL191" i="5"/>
  <c r="PM191" i="5"/>
  <c r="QC191" i="5"/>
  <c r="QN191" i="5"/>
  <c r="PK175" i="5"/>
  <c r="PO175" i="5"/>
  <c r="PS175" i="5"/>
  <c r="PW175" i="5"/>
  <c r="QA175" i="5"/>
  <c r="QE175" i="5"/>
  <c r="QI175" i="5"/>
  <c r="QM175" i="5"/>
  <c r="QQ175" i="5"/>
  <c r="PN175" i="5"/>
  <c r="PT175" i="5"/>
  <c r="PY175" i="5"/>
  <c r="QD175" i="5"/>
  <c r="QJ175" i="5"/>
  <c r="QO175" i="5"/>
  <c r="PJ175" i="5"/>
  <c r="PP175" i="5"/>
  <c r="PU175" i="5"/>
  <c r="PZ175" i="5"/>
  <c r="QF175" i="5"/>
  <c r="QK175" i="5"/>
  <c r="QP175" i="5"/>
  <c r="PL175" i="5"/>
  <c r="PQ175" i="5"/>
  <c r="PV175" i="5"/>
  <c r="QB175" i="5"/>
  <c r="QG175" i="5"/>
  <c r="QL175" i="5"/>
  <c r="PM175" i="5"/>
  <c r="PR175" i="5"/>
  <c r="PX175" i="5"/>
  <c r="QC175" i="5"/>
  <c r="QH175" i="5"/>
  <c r="QN175" i="5"/>
  <c r="PL160" i="5"/>
  <c r="PM160" i="5"/>
  <c r="PQ160" i="5"/>
  <c r="PU160" i="5"/>
  <c r="PY160" i="5"/>
  <c r="QC160" i="5"/>
  <c r="PO160" i="5"/>
  <c r="PT160" i="5"/>
  <c r="PZ160" i="5"/>
  <c r="QE160" i="5"/>
  <c r="QI160" i="5"/>
  <c r="QM160" i="5"/>
  <c r="QQ160" i="5"/>
  <c r="PJ160" i="5"/>
  <c r="PP160" i="5"/>
  <c r="PV160" i="5"/>
  <c r="QA160" i="5"/>
  <c r="QF160" i="5"/>
  <c r="QJ160" i="5"/>
  <c r="QN160" i="5"/>
  <c r="PK160" i="5"/>
  <c r="PR160" i="5"/>
  <c r="PW160" i="5"/>
  <c r="QB160" i="5"/>
  <c r="QG160" i="5"/>
  <c r="QK160" i="5"/>
  <c r="QO160" i="5"/>
  <c r="PS160" i="5"/>
  <c r="QL160" i="5"/>
  <c r="PX160" i="5"/>
  <c r="QP160" i="5"/>
  <c r="QD160" i="5"/>
  <c r="PN160" i="5"/>
  <c r="QH160" i="5"/>
  <c r="PL11" i="5"/>
  <c r="PP11" i="5"/>
  <c r="PT11" i="5"/>
  <c r="PX11" i="5"/>
  <c r="QB11" i="5"/>
  <c r="QF11" i="5"/>
  <c r="QJ11" i="5"/>
  <c r="QN11" i="5"/>
  <c r="PJ11" i="5"/>
  <c r="PO11" i="5"/>
  <c r="PU11" i="5"/>
  <c r="PZ11" i="5"/>
  <c r="QE11" i="5"/>
  <c r="QK11" i="5"/>
  <c r="QP11" i="5"/>
  <c r="PK11" i="5"/>
  <c r="PQ11" i="5"/>
  <c r="PV11" i="5"/>
  <c r="QA11" i="5"/>
  <c r="QG11" i="5"/>
  <c r="QL11" i="5"/>
  <c r="QQ11" i="5"/>
  <c r="PR11" i="5"/>
  <c r="QC11" i="5"/>
  <c r="QM11" i="5"/>
  <c r="PS11" i="5"/>
  <c r="QH11" i="5"/>
  <c r="PN11" i="5"/>
  <c r="QI11" i="5"/>
  <c r="PW11" i="5"/>
  <c r="QO11" i="5"/>
  <c r="PM11" i="5"/>
  <c r="PY11" i="5"/>
  <c r="QD11" i="5"/>
  <c r="PL245" i="5"/>
  <c r="PP245" i="5"/>
  <c r="PT245" i="5"/>
  <c r="PX245" i="5"/>
  <c r="QB245" i="5"/>
  <c r="QF245" i="5"/>
  <c r="QJ245" i="5"/>
  <c r="QN245" i="5"/>
  <c r="PM245" i="5"/>
  <c r="PQ245" i="5"/>
  <c r="PU245" i="5"/>
  <c r="PY245" i="5"/>
  <c r="QC245" i="5"/>
  <c r="QG245" i="5"/>
  <c r="QK245" i="5"/>
  <c r="QO245" i="5"/>
  <c r="PJ245" i="5"/>
  <c r="PN245" i="5"/>
  <c r="PR245" i="5"/>
  <c r="PV245" i="5"/>
  <c r="PZ245" i="5"/>
  <c r="QD245" i="5"/>
  <c r="QH245" i="5"/>
  <c r="QL245" i="5"/>
  <c r="QP245" i="5"/>
  <c r="PK245" i="5"/>
  <c r="PO245" i="5"/>
  <c r="PS245" i="5"/>
  <c r="PW245" i="5"/>
  <c r="QA245" i="5"/>
  <c r="QE245" i="5"/>
  <c r="QI245" i="5"/>
  <c r="QM245" i="5"/>
  <c r="QQ245" i="5"/>
  <c r="PL237" i="5"/>
  <c r="PP237" i="5"/>
  <c r="PT237" i="5"/>
  <c r="PX237" i="5"/>
  <c r="QB237" i="5"/>
  <c r="QF237" i="5"/>
  <c r="QJ237" i="5"/>
  <c r="QN237" i="5"/>
  <c r="PM237" i="5"/>
  <c r="PQ237" i="5"/>
  <c r="PU237" i="5"/>
  <c r="PY237" i="5"/>
  <c r="QC237" i="5"/>
  <c r="QG237" i="5"/>
  <c r="QK237" i="5"/>
  <c r="QO237" i="5"/>
  <c r="PJ237" i="5"/>
  <c r="PN237" i="5"/>
  <c r="PR237" i="5"/>
  <c r="PV237" i="5"/>
  <c r="PZ237" i="5"/>
  <c r="QD237" i="5"/>
  <c r="QH237" i="5"/>
  <c r="QL237" i="5"/>
  <c r="QP237" i="5"/>
  <c r="PK237" i="5"/>
  <c r="PO237" i="5"/>
  <c r="PS237" i="5"/>
  <c r="PW237" i="5"/>
  <c r="QA237" i="5"/>
  <c r="QE237" i="5"/>
  <c r="QI237" i="5"/>
  <c r="QM237" i="5"/>
  <c r="QQ237" i="5"/>
  <c r="PL229" i="5"/>
  <c r="PP229" i="5"/>
  <c r="PT229" i="5"/>
  <c r="PX229" i="5"/>
  <c r="QB229" i="5"/>
  <c r="QF229" i="5"/>
  <c r="QJ229" i="5"/>
  <c r="QN229" i="5"/>
  <c r="PM229" i="5"/>
  <c r="PQ229" i="5"/>
  <c r="PU229" i="5"/>
  <c r="PY229" i="5"/>
  <c r="QC229" i="5"/>
  <c r="QG229" i="5"/>
  <c r="QK229" i="5"/>
  <c r="QO229" i="5"/>
  <c r="PJ229" i="5"/>
  <c r="PN229" i="5"/>
  <c r="PR229" i="5"/>
  <c r="PV229" i="5"/>
  <c r="PZ229" i="5"/>
  <c r="QD229" i="5"/>
  <c r="QH229" i="5"/>
  <c r="QL229" i="5"/>
  <c r="QP229" i="5"/>
  <c r="PK229" i="5"/>
  <c r="PO229" i="5"/>
  <c r="PS229" i="5"/>
  <c r="PW229" i="5"/>
  <c r="QA229" i="5"/>
  <c r="QE229" i="5"/>
  <c r="QI229" i="5"/>
  <c r="QM229" i="5"/>
  <c r="QQ229" i="5"/>
  <c r="PK208" i="5"/>
  <c r="PO208" i="5"/>
  <c r="PS208" i="5"/>
  <c r="PW208" i="5"/>
  <c r="QA208" i="5"/>
  <c r="QE208" i="5"/>
  <c r="QI208" i="5"/>
  <c r="QM208" i="5"/>
  <c r="QQ208" i="5"/>
  <c r="PL208" i="5"/>
  <c r="PP208" i="5"/>
  <c r="PT208" i="5"/>
  <c r="PX208" i="5"/>
  <c r="QB208" i="5"/>
  <c r="QF208" i="5"/>
  <c r="QJ208" i="5"/>
  <c r="QN208" i="5"/>
  <c r="PM208" i="5"/>
  <c r="PQ208" i="5"/>
  <c r="PU208" i="5"/>
  <c r="PY208" i="5"/>
  <c r="QC208" i="5"/>
  <c r="QG208" i="5"/>
  <c r="QK208" i="5"/>
  <c r="QO208" i="5"/>
  <c r="PJ208" i="5"/>
  <c r="PN208" i="5"/>
  <c r="PR208" i="5"/>
  <c r="PV208" i="5"/>
  <c r="PZ208" i="5"/>
  <c r="QD208" i="5"/>
  <c r="QH208" i="5"/>
  <c r="QL208" i="5"/>
  <c r="QP208" i="5"/>
  <c r="PK195" i="5"/>
  <c r="PO195" i="5"/>
  <c r="PS195" i="5"/>
  <c r="PW195" i="5"/>
  <c r="QA195" i="5"/>
  <c r="QE195" i="5"/>
  <c r="QI195" i="5"/>
  <c r="QM195" i="5"/>
  <c r="QQ195" i="5"/>
  <c r="PL195" i="5"/>
  <c r="PP195" i="5"/>
  <c r="PT195" i="5"/>
  <c r="PX195" i="5"/>
  <c r="QB195" i="5"/>
  <c r="QF195" i="5"/>
  <c r="QJ195" i="5"/>
  <c r="QN195" i="5"/>
  <c r="PM195" i="5"/>
  <c r="PQ195" i="5"/>
  <c r="PU195" i="5"/>
  <c r="PY195" i="5"/>
  <c r="QC195" i="5"/>
  <c r="QG195" i="5"/>
  <c r="QK195" i="5"/>
  <c r="QO195" i="5"/>
  <c r="PJ195" i="5"/>
  <c r="PN195" i="5"/>
  <c r="PR195" i="5"/>
  <c r="PV195" i="5"/>
  <c r="PZ195" i="5"/>
  <c r="QD195" i="5"/>
  <c r="QH195" i="5"/>
  <c r="QL195" i="5"/>
  <c r="QP195" i="5"/>
  <c r="PM188" i="5"/>
  <c r="PQ188" i="5"/>
  <c r="PU188" i="5"/>
  <c r="PY188" i="5"/>
  <c r="QC188" i="5"/>
  <c r="QG188" i="5"/>
  <c r="QK188" i="5"/>
  <c r="QO188" i="5"/>
  <c r="PJ188" i="5"/>
  <c r="PO188" i="5"/>
  <c r="PT188" i="5"/>
  <c r="PZ188" i="5"/>
  <c r="QE188" i="5"/>
  <c r="QJ188" i="5"/>
  <c r="QP188" i="5"/>
  <c r="PK188" i="5"/>
  <c r="PP188" i="5"/>
  <c r="PV188" i="5"/>
  <c r="QA188" i="5"/>
  <c r="QF188" i="5"/>
  <c r="QL188" i="5"/>
  <c r="QQ188" i="5"/>
  <c r="PL188" i="5"/>
  <c r="PR188" i="5"/>
  <c r="PW188" i="5"/>
  <c r="QB188" i="5"/>
  <c r="QH188" i="5"/>
  <c r="QM188" i="5"/>
  <c r="PN188" i="5"/>
  <c r="PS188" i="5"/>
  <c r="PX188" i="5"/>
  <c r="QD188" i="5"/>
  <c r="QI188" i="5"/>
  <c r="QN188" i="5"/>
  <c r="PM180" i="5"/>
  <c r="PQ180" i="5"/>
  <c r="PU180" i="5"/>
  <c r="PY180" i="5"/>
  <c r="QC180" i="5"/>
  <c r="QG180" i="5"/>
  <c r="QK180" i="5"/>
  <c r="QO180" i="5"/>
  <c r="PJ180" i="5"/>
  <c r="PO180" i="5"/>
  <c r="PT180" i="5"/>
  <c r="PZ180" i="5"/>
  <c r="QE180" i="5"/>
  <c r="QJ180" i="5"/>
  <c r="QP180" i="5"/>
  <c r="PK180" i="5"/>
  <c r="PP180" i="5"/>
  <c r="PV180" i="5"/>
  <c r="QA180" i="5"/>
  <c r="QF180" i="5"/>
  <c r="QL180" i="5"/>
  <c r="QQ180" i="5"/>
  <c r="PL180" i="5"/>
  <c r="PR180" i="5"/>
  <c r="PW180" i="5"/>
  <c r="QB180" i="5"/>
  <c r="QH180" i="5"/>
  <c r="QM180" i="5"/>
  <c r="PN180" i="5"/>
  <c r="PS180" i="5"/>
  <c r="PX180" i="5"/>
  <c r="QD180" i="5"/>
  <c r="QI180" i="5"/>
  <c r="QN180" i="5"/>
  <c r="PJ157" i="5"/>
  <c r="PN157" i="5"/>
  <c r="PR157" i="5"/>
  <c r="PV157" i="5"/>
  <c r="PZ157" i="5"/>
  <c r="QD157" i="5"/>
  <c r="QH157" i="5"/>
  <c r="QL157" i="5"/>
  <c r="QP157" i="5"/>
  <c r="PK157" i="5"/>
  <c r="PO157" i="5"/>
  <c r="PS157" i="5"/>
  <c r="PW157" i="5"/>
  <c r="QA157" i="5"/>
  <c r="QE157" i="5"/>
  <c r="QI157" i="5"/>
  <c r="QM157" i="5"/>
  <c r="QQ157" i="5"/>
  <c r="PM157" i="5"/>
  <c r="PU157" i="5"/>
  <c r="QC157" i="5"/>
  <c r="QK157" i="5"/>
  <c r="PP157" i="5"/>
  <c r="PX157" i="5"/>
  <c r="QF157" i="5"/>
  <c r="QN157" i="5"/>
  <c r="PQ157" i="5"/>
  <c r="PY157" i="5"/>
  <c r="QG157" i="5"/>
  <c r="QO157" i="5"/>
  <c r="QB157" i="5"/>
  <c r="QJ157" i="5"/>
  <c r="PL157" i="5"/>
  <c r="PT157" i="5"/>
  <c r="PL135" i="5"/>
  <c r="PP135" i="5"/>
  <c r="PT135" i="5"/>
  <c r="PX135" i="5"/>
  <c r="QB135" i="5"/>
  <c r="QF135" i="5"/>
  <c r="QJ135" i="5"/>
  <c r="QN135" i="5"/>
  <c r="PM135" i="5"/>
  <c r="PR135" i="5"/>
  <c r="PW135" i="5"/>
  <c r="QC135" i="5"/>
  <c r="QH135" i="5"/>
  <c r="QM135" i="5"/>
  <c r="PN135" i="5"/>
  <c r="PS135" i="5"/>
  <c r="PY135" i="5"/>
  <c r="QD135" i="5"/>
  <c r="QI135" i="5"/>
  <c r="QO135" i="5"/>
  <c r="PK135" i="5"/>
  <c r="PV135" i="5"/>
  <c r="QG135" i="5"/>
  <c r="QQ135" i="5"/>
  <c r="PO135" i="5"/>
  <c r="QA135" i="5"/>
  <c r="QP135" i="5"/>
  <c r="PQ135" i="5"/>
  <c r="QE135" i="5"/>
  <c r="PU135" i="5"/>
  <c r="QK135" i="5"/>
  <c r="PJ135" i="5"/>
  <c r="PZ135" i="5"/>
  <c r="QL135" i="5"/>
  <c r="PL127" i="5"/>
  <c r="PP127" i="5"/>
  <c r="PT127" i="5"/>
  <c r="PX127" i="5"/>
  <c r="QB127" i="5"/>
  <c r="QF127" i="5"/>
  <c r="QJ127" i="5"/>
  <c r="QN127" i="5"/>
  <c r="PM127" i="5"/>
  <c r="PR127" i="5"/>
  <c r="PW127" i="5"/>
  <c r="QC127" i="5"/>
  <c r="QH127" i="5"/>
  <c r="QM127" i="5"/>
  <c r="PN127" i="5"/>
  <c r="PS127" i="5"/>
  <c r="PY127" i="5"/>
  <c r="QD127" i="5"/>
  <c r="QI127" i="5"/>
  <c r="QO127" i="5"/>
  <c r="PQ127" i="5"/>
  <c r="QA127" i="5"/>
  <c r="QL127" i="5"/>
  <c r="PK127" i="5"/>
  <c r="PV127" i="5"/>
  <c r="QG127" i="5"/>
  <c r="QQ127" i="5"/>
  <c r="PJ127" i="5"/>
  <c r="QE127" i="5"/>
  <c r="PO127" i="5"/>
  <c r="QK127" i="5"/>
  <c r="PU127" i="5"/>
  <c r="QP127" i="5"/>
  <c r="PZ127" i="5"/>
  <c r="PL120" i="5"/>
  <c r="PP120" i="5"/>
  <c r="PT120" i="5"/>
  <c r="PX120" i="5"/>
  <c r="QB120" i="5"/>
  <c r="QF120" i="5"/>
  <c r="QJ120" i="5"/>
  <c r="QN120" i="5"/>
  <c r="PM120" i="5"/>
  <c r="PR120" i="5"/>
  <c r="PW120" i="5"/>
  <c r="QC120" i="5"/>
  <c r="QH120" i="5"/>
  <c r="QM120" i="5"/>
  <c r="PN120" i="5"/>
  <c r="PS120" i="5"/>
  <c r="PY120" i="5"/>
  <c r="QD120" i="5"/>
  <c r="QI120" i="5"/>
  <c r="QO120" i="5"/>
  <c r="PK120" i="5"/>
  <c r="PV120" i="5"/>
  <c r="QG120" i="5"/>
  <c r="QQ120" i="5"/>
  <c r="PQ120" i="5"/>
  <c r="QA120" i="5"/>
  <c r="QL120" i="5"/>
  <c r="PZ120" i="5"/>
  <c r="PJ120" i="5"/>
  <c r="QE120" i="5"/>
  <c r="PO120" i="5"/>
  <c r="QK120" i="5"/>
  <c r="PU120" i="5"/>
  <c r="QP120" i="5"/>
  <c r="PJ92" i="5"/>
  <c r="PN92" i="5"/>
  <c r="PR92" i="5"/>
  <c r="PV92" i="5"/>
  <c r="PZ92" i="5"/>
  <c r="QD92" i="5"/>
  <c r="QH92" i="5"/>
  <c r="QL92" i="5"/>
  <c r="QP92" i="5"/>
  <c r="PL92" i="5"/>
  <c r="PQ92" i="5"/>
  <c r="PW92" i="5"/>
  <c r="QB92" i="5"/>
  <c r="QG92" i="5"/>
  <c r="QM92" i="5"/>
  <c r="PK92" i="5"/>
  <c r="PS92" i="5"/>
  <c r="PY92" i="5"/>
  <c r="QF92" i="5"/>
  <c r="CO92" i="5" s="1"/>
  <c r="HH92" i="5" s="1"/>
  <c r="QN92" i="5"/>
  <c r="PM92" i="5"/>
  <c r="PT92" i="5"/>
  <c r="QA92" i="5"/>
  <c r="QI92" i="5"/>
  <c r="QO92" i="5"/>
  <c r="PP92" i="5"/>
  <c r="QE92" i="5"/>
  <c r="PU92" i="5"/>
  <c r="QJ92" i="5"/>
  <c r="PX92" i="5"/>
  <c r="QK92" i="5"/>
  <c r="QQ92" i="5"/>
  <c r="PO92" i="5"/>
  <c r="QC92" i="5"/>
  <c r="PJ238" i="5"/>
  <c r="PN238" i="5"/>
  <c r="PR238" i="5"/>
  <c r="PV238" i="5"/>
  <c r="PZ238" i="5"/>
  <c r="QD238" i="5"/>
  <c r="QH238" i="5"/>
  <c r="QL238" i="5"/>
  <c r="QP238" i="5"/>
  <c r="PK238" i="5"/>
  <c r="PO238" i="5"/>
  <c r="PS238" i="5"/>
  <c r="PW238" i="5"/>
  <c r="QA238" i="5"/>
  <c r="QE238" i="5"/>
  <c r="QI238" i="5"/>
  <c r="QM238" i="5"/>
  <c r="QQ238" i="5"/>
  <c r="PL238" i="5"/>
  <c r="PP238" i="5"/>
  <c r="PT238" i="5"/>
  <c r="PX238" i="5"/>
  <c r="QB238" i="5"/>
  <c r="QF238" i="5"/>
  <c r="QJ238" i="5"/>
  <c r="QN238" i="5"/>
  <c r="PM238" i="5"/>
  <c r="PQ238" i="5"/>
  <c r="PU238" i="5"/>
  <c r="PY238" i="5"/>
  <c r="QC238" i="5"/>
  <c r="QG238" i="5"/>
  <c r="QK238" i="5"/>
  <c r="QO238" i="5"/>
  <c r="PJ222" i="5"/>
  <c r="PN222" i="5"/>
  <c r="PR222" i="5"/>
  <c r="PV222" i="5"/>
  <c r="PZ222" i="5"/>
  <c r="QD222" i="5"/>
  <c r="QH222" i="5"/>
  <c r="QL222" i="5"/>
  <c r="QP222" i="5"/>
  <c r="PK222" i="5"/>
  <c r="PO222" i="5"/>
  <c r="PS222" i="5"/>
  <c r="PW222" i="5"/>
  <c r="QA222" i="5"/>
  <c r="QE222" i="5"/>
  <c r="QI222" i="5"/>
  <c r="QM222" i="5"/>
  <c r="QQ222" i="5"/>
  <c r="PL222" i="5"/>
  <c r="PP222" i="5"/>
  <c r="PT222" i="5"/>
  <c r="PX222" i="5"/>
  <c r="QB222" i="5"/>
  <c r="QF222" i="5"/>
  <c r="QJ222" i="5"/>
  <c r="QN222" i="5"/>
  <c r="PM222" i="5"/>
  <c r="PQ222" i="5"/>
  <c r="PU222" i="5"/>
  <c r="PY222" i="5"/>
  <c r="QC222" i="5"/>
  <c r="QG222" i="5"/>
  <c r="QK222" i="5"/>
  <c r="QO222" i="5"/>
  <c r="PM212" i="5"/>
  <c r="PQ212" i="5"/>
  <c r="PU212" i="5"/>
  <c r="PY212" i="5"/>
  <c r="QC212" i="5"/>
  <c r="QG212" i="5"/>
  <c r="QK212" i="5"/>
  <c r="QO212" i="5"/>
  <c r="PJ212" i="5"/>
  <c r="PN212" i="5"/>
  <c r="PR212" i="5"/>
  <c r="PV212" i="5"/>
  <c r="PZ212" i="5"/>
  <c r="QD212" i="5"/>
  <c r="QH212" i="5"/>
  <c r="QL212" i="5"/>
  <c r="QP212" i="5"/>
  <c r="PK212" i="5"/>
  <c r="PO212" i="5"/>
  <c r="PS212" i="5"/>
  <c r="PW212" i="5"/>
  <c r="QA212" i="5"/>
  <c r="QE212" i="5"/>
  <c r="QI212" i="5"/>
  <c r="QM212" i="5"/>
  <c r="QQ212" i="5"/>
  <c r="PL212" i="5"/>
  <c r="PP212" i="5"/>
  <c r="PT212" i="5"/>
  <c r="PX212" i="5"/>
  <c r="QB212" i="5"/>
  <c r="QF212" i="5"/>
  <c r="QJ212" i="5"/>
  <c r="QN212" i="5"/>
  <c r="PL154" i="5"/>
  <c r="PP154" i="5"/>
  <c r="PT154" i="5"/>
  <c r="PX154" i="5"/>
  <c r="QB154" i="5"/>
  <c r="QF154" i="5"/>
  <c r="QJ154" i="5"/>
  <c r="QN154" i="5"/>
  <c r="PM154" i="5"/>
  <c r="PQ154" i="5"/>
  <c r="PU154" i="5"/>
  <c r="PY154" i="5"/>
  <c r="QC154" i="5"/>
  <c r="QG154" i="5"/>
  <c r="QK154" i="5"/>
  <c r="QO154" i="5"/>
  <c r="PK154" i="5"/>
  <c r="PS154" i="5"/>
  <c r="QA154" i="5"/>
  <c r="QI154" i="5"/>
  <c r="QQ154" i="5"/>
  <c r="PN154" i="5"/>
  <c r="PV154" i="5"/>
  <c r="QD154" i="5"/>
  <c r="QL154" i="5"/>
  <c r="PO154" i="5"/>
  <c r="PW154" i="5"/>
  <c r="QE154" i="5"/>
  <c r="QM154" i="5"/>
  <c r="QH154" i="5"/>
  <c r="PJ154" i="5"/>
  <c r="QP154" i="5"/>
  <c r="PR154" i="5"/>
  <c r="PZ154" i="5"/>
  <c r="PJ140" i="5"/>
  <c r="PN140" i="5"/>
  <c r="PR140" i="5"/>
  <c r="PV140" i="5"/>
  <c r="PZ140" i="5"/>
  <c r="QD140" i="5"/>
  <c r="QH140" i="5"/>
  <c r="QL140" i="5"/>
  <c r="QP140" i="5"/>
  <c r="PM140" i="5"/>
  <c r="PS140" i="5"/>
  <c r="PX140" i="5"/>
  <c r="QC140" i="5"/>
  <c r="QI140" i="5"/>
  <c r="QN140" i="5"/>
  <c r="CO140" i="5" s="1"/>
  <c r="HH140" i="5" s="1"/>
  <c r="PO140" i="5"/>
  <c r="PT140" i="5"/>
  <c r="PY140" i="5"/>
  <c r="QE140" i="5"/>
  <c r="QJ140" i="5"/>
  <c r="QO140" i="5"/>
  <c r="PL140" i="5"/>
  <c r="PW140" i="5"/>
  <c r="QG140" i="5"/>
  <c r="PP140" i="5"/>
  <c r="QB140" i="5"/>
  <c r="QQ140" i="5"/>
  <c r="PQ140" i="5"/>
  <c r="QF140" i="5"/>
  <c r="PU140" i="5"/>
  <c r="QK140" i="5"/>
  <c r="PK140" i="5"/>
  <c r="QA140" i="5"/>
  <c r="QM140" i="5"/>
  <c r="PJ125" i="5"/>
  <c r="PN125" i="5"/>
  <c r="PR125" i="5"/>
  <c r="PV125" i="5"/>
  <c r="PZ125" i="5"/>
  <c r="QD125" i="5"/>
  <c r="QH125" i="5"/>
  <c r="QL125" i="5"/>
  <c r="QP125" i="5"/>
  <c r="PM125" i="5"/>
  <c r="PS125" i="5"/>
  <c r="PX125" i="5"/>
  <c r="QC125" i="5"/>
  <c r="QI125" i="5"/>
  <c r="QN125" i="5"/>
  <c r="PO125" i="5"/>
  <c r="PT125" i="5"/>
  <c r="PY125" i="5"/>
  <c r="QE125" i="5"/>
  <c r="QJ125" i="5"/>
  <c r="QO125" i="5"/>
  <c r="PL125" i="5"/>
  <c r="PW125" i="5"/>
  <c r="QG125" i="5"/>
  <c r="PQ125" i="5"/>
  <c r="QB125" i="5"/>
  <c r="QM125" i="5"/>
  <c r="QA125" i="5"/>
  <c r="PK125" i="5"/>
  <c r="QF125" i="5"/>
  <c r="PP125" i="5"/>
  <c r="QK125" i="5"/>
  <c r="PU125" i="5"/>
  <c r="QQ125" i="5"/>
  <c r="PK53" i="5"/>
  <c r="PO53" i="5"/>
  <c r="PS53" i="5"/>
  <c r="PW53" i="5"/>
  <c r="QA53" i="5"/>
  <c r="QE53" i="5"/>
  <c r="QI53" i="5"/>
  <c r="QM53" i="5"/>
  <c r="QQ53" i="5"/>
  <c r="PL53" i="5"/>
  <c r="PQ53" i="5"/>
  <c r="PV53" i="5"/>
  <c r="QB53" i="5"/>
  <c r="QG53" i="5"/>
  <c r="QL53" i="5"/>
  <c r="PP53" i="5"/>
  <c r="PX53" i="5"/>
  <c r="QD53" i="5"/>
  <c r="QK53" i="5"/>
  <c r="PJ53" i="5"/>
  <c r="PR53" i="5"/>
  <c r="PY53" i="5"/>
  <c r="QF53" i="5"/>
  <c r="QN53" i="5"/>
  <c r="PT53" i="5"/>
  <c r="QH53" i="5"/>
  <c r="PU53" i="5"/>
  <c r="QJ53" i="5"/>
  <c r="PZ53" i="5"/>
  <c r="QC53" i="5"/>
  <c r="PM53" i="5"/>
  <c r="QO53" i="5"/>
  <c r="PN53" i="5"/>
  <c r="QP53" i="5"/>
  <c r="PJ248" i="5"/>
  <c r="PN248" i="5"/>
  <c r="PR248" i="5"/>
  <c r="PV248" i="5"/>
  <c r="PZ248" i="5"/>
  <c r="QD248" i="5"/>
  <c r="QH248" i="5"/>
  <c r="QL248" i="5"/>
  <c r="QP248" i="5"/>
  <c r="PK248" i="5"/>
  <c r="PO248" i="5"/>
  <c r="PS248" i="5"/>
  <c r="PW248" i="5"/>
  <c r="QA248" i="5"/>
  <c r="QE248" i="5"/>
  <c r="QI248" i="5"/>
  <c r="QM248" i="5"/>
  <c r="QQ248" i="5"/>
  <c r="PL248" i="5"/>
  <c r="PP248" i="5"/>
  <c r="PT248" i="5"/>
  <c r="PX248" i="5"/>
  <c r="QB248" i="5"/>
  <c r="QF248" i="5"/>
  <c r="QJ248" i="5"/>
  <c r="QN248" i="5"/>
  <c r="PM248" i="5"/>
  <c r="PQ248" i="5"/>
  <c r="PU248" i="5"/>
  <c r="PY248" i="5"/>
  <c r="QC248" i="5"/>
  <c r="QG248" i="5"/>
  <c r="QK248" i="5"/>
  <c r="QO248" i="5"/>
  <c r="PM214" i="5"/>
  <c r="PQ214" i="5"/>
  <c r="PU214" i="5"/>
  <c r="PY214" i="5"/>
  <c r="QC214" i="5"/>
  <c r="QG214" i="5"/>
  <c r="QK214" i="5"/>
  <c r="QO214" i="5"/>
  <c r="PN214" i="5"/>
  <c r="PS214" i="5"/>
  <c r="PX214" i="5"/>
  <c r="QD214" i="5"/>
  <c r="QI214" i="5"/>
  <c r="QN214" i="5"/>
  <c r="PJ214" i="5"/>
  <c r="PO214" i="5"/>
  <c r="PT214" i="5"/>
  <c r="PZ214" i="5"/>
  <c r="QE214" i="5"/>
  <c r="QJ214" i="5"/>
  <c r="QP214" i="5"/>
  <c r="PK214" i="5"/>
  <c r="PP214" i="5"/>
  <c r="PV214" i="5"/>
  <c r="QA214" i="5"/>
  <c r="QF214" i="5"/>
  <c r="QL214" i="5"/>
  <c r="QQ214" i="5"/>
  <c r="PR214" i="5"/>
  <c r="QM214" i="5"/>
  <c r="PW214" i="5"/>
  <c r="QB214" i="5"/>
  <c r="PL214" i="5"/>
  <c r="QH214" i="5"/>
  <c r="PM201" i="5"/>
  <c r="PQ201" i="5"/>
  <c r="PU201" i="5"/>
  <c r="PY201" i="5"/>
  <c r="QC201" i="5"/>
  <c r="QG201" i="5"/>
  <c r="QK201" i="5"/>
  <c r="QO201" i="5"/>
  <c r="PJ201" i="5"/>
  <c r="PN201" i="5"/>
  <c r="PR201" i="5"/>
  <c r="PV201" i="5"/>
  <c r="PZ201" i="5"/>
  <c r="QD201" i="5"/>
  <c r="QH201" i="5"/>
  <c r="QL201" i="5"/>
  <c r="QP201" i="5"/>
  <c r="PK201" i="5"/>
  <c r="PO201" i="5"/>
  <c r="PS201" i="5"/>
  <c r="PW201" i="5"/>
  <c r="QA201" i="5"/>
  <c r="QE201" i="5"/>
  <c r="QI201" i="5"/>
  <c r="QM201" i="5"/>
  <c r="QQ201" i="5"/>
  <c r="PL201" i="5"/>
  <c r="PP201" i="5"/>
  <c r="PT201" i="5"/>
  <c r="PX201" i="5"/>
  <c r="QB201" i="5"/>
  <c r="QF201" i="5"/>
  <c r="QJ201" i="5"/>
  <c r="QN201" i="5"/>
  <c r="PK187" i="5"/>
  <c r="PO187" i="5"/>
  <c r="PS187" i="5"/>
  <c r="PW187" i="5"/>
  <c r="QA187" i="5"/>
  <c r="QE187" i="5"/>
  <c r="QI187" i="5"/>
  <c r="QM187" i="5"/>
  <c r="QQ187" i="5"/>
  <c r="PL187" i="5"/>
  <c r="PQ187" i="5"/>
  <c r="PV187" i="5"/>
  <c r="QB187" i="5"/>
  <c r="QG187" i="5"/>
  <c r="QL187" i="5"/>
  <c r="PM187" i="5"/>
  <c r="PR187" i="5"/>
  <c r="PX187" i="5"/>
  <c r="QC187" i="5"/>
  <c r="QH187" i="5"/>
  <c r="QN187" i="5"/>
  <c r="PN187" i="5"/>
  <c r="PT187" i="5"/>
  <c r="PY187" i="5"/>
  <c r="QD187" i="5"/>
  <c r="QJ187" i="5"/>
  <c r="QO187" i="5"/>
  <c r="PJ187" i="5"/>
  <c r="PP187" i="5"/>
  <c r="PU187" i="5"/>
  <c r="PZ187" i="5"/>
  <c r="QF187" i="5"/>
  <c r="QK187" i="5"/>
  <c r="QP187" i="5"/>
  <c r="PK171" i="5"/>
  <c r="PO171" i="5"/>
  <c r="PS171" i="5"/>
  <c r="PW171" i="5"/>
  <c r="QA171" i="5"/>
  <c r="QE171" i="5"/>
  <c r="QI171" i="5"/>
  <c r="QM171" i="5"/>
  <c r="QQ171" i="5"/>
  <c r="PL171" i="5"/>
  <c r="PP171" i="5"/>
  <c r="PT171" i="5"/>
  <c r="PX171" i="5"/>
  <c r="QB171" i="5"/>
  <c r="QF171" i="5"/>
  <c r="QJ171" i="5"/>
  <c r="QN171" i="5"/>
  <c r="PQ171" i="5"/>
  <c r="PY171" i="5"/>
  <c r="QG171" i="5"/>
  <c r="QO171" i="5"/>
  <c r="PJ171" i="5"/>
  <c r="PR171" i="5"/>
  <c r="PZ171" i="5"/>
  <c r="QH171" i="5"/>
  <c r="QP171" i="5"/>
  <c r="PM171" i="5"/>
  <c r="PU171" i="5"/>
  <c r="QC171" i="5"/>
  <c r="QK171" i="5"/>
  <c r="PN171" i="5"/>
  <c r="PV171" i="5"/>
  <c r="QD171" i="5"/>
  <c r="QL171" i="5"/>
  <c r="PJ142" i="5"/>
  <c r="PN142" i="5"/>
  <c r="PR142" i="5"/>
  <c r="PV142" i="5"/>
  <c r="PZ142" i="5"/>
  <c r="QD142" i="5"/>
  <c r="QH142" i="5"/>
  <c r="QL142" i="5"/>
  <c r="QP142" i="5"/>
  <c r="PO142" i="5"/>
  <c r="PT142" i="5"/>
  <c r="PY142" i="5"/>
  <c r="QE142" i="5"/>
  <c r="QJ142" i="5"/>
  <c r="QO142" i="5"/>
  <c r="PK142" i="5"/>
  <c r="PP142" i="5"/>
  <c r="PU142" i="5"/>
  <c r="QA142" i="5"/>
  <c r="QF142" i="5"/>
  <c r="QK142" i="5"/>
  <c r="QQ142" i="5"/>
  <c r="PS142" i="5"/>
  <c r="QC142" i="5"/>
  <c r="QN142" i="5"/>
  <c r="PQ142" i="5"/>
  <c r="QG142" i="5"/>
  <c r="CO142" i="5" s="1"/>
  <c r="HH142" i="5" s="1"/>
  <c r="PW142" i="5"/>
  <c r="QI142" i="5"/>
  <c r="PL142" i="5"/>
  <c r="PX142" i="5"/>
  <c r="QM142" i="5"/>
  <c r="PM142" i="5"/>
  <c r="QB142" i="5"/>
  <c r="PJ126" i="5"/>
  <c r="PN126" i="5"/>
  <c r="PR126" i="5"/>
  <c r="PV126" i="5"/>
  <c r="PZ126" i="5"/>
  <c r="QD126" i="5"/>
  <c r="QH126" i="5"/>
  <c r="QL126" i="5"/>
  <c r="QP126" i="5"/>
  <c r="PO126" i="5"/>
  <c r="PT126" i="5"/>
  <c r="PY126" i="5"/>
  <c r="QE126" i="5"/>
  <c r="QJ126" i="5"/>
  <c r="QO126" i="5"/>
  <c r="PK126" i="5"/>
  <c r="PP126" i="5"/>
  <c r="PU126" i="5"/>
  <c r="QA126" i="5"/>
  <c r="QF126" i="5"/>
  <c r="CO126" i="5" s="1"/>
  <c r="QK126" i="5"/>
  <c r="QQ126" i="5"/>
  <c r="PS126" i="5"/>
  <c r="QC126" i="5"/>
  <c r="QN126" i="5"/>
  <c r="PM126" i="5"/>
  <c r="PX126" i="5"/>
  <c r="QI126" i="5"/>
  <c r="PW126" i="5"/>
  <c r="QB126" i="5"/>
  <c r="PL126" i="5"/>
  <c r="QG126" i="5"/>
  <c r="PQ126" i="5"/>
  <c r="QM126" i="5"/>
  <c r="PL71" i="5"/>
  <c r="PP71" i="5"/>
  <c r="PT71" i="5"/>
  <c r="PX71" i="5"/>
  <c r="QB71" i="5"/>
  <c r="QF71" i="5"/>
  <c r="QJ71" i="5"/>
  <c r="QN71" i="5"/>
  <c r="PM71" i="5"/>
  <c r="PQ71" i="5"/>
  <c r="PU71" i="5"/>
  <c r="PY71" i="5"/>
  <c r="QC71" i="5"/>
  <c r="QG71" i="5"/>
  <c r="QK71" i="5"/>
  <c r="QO71" i="5"/>
  <c r="PN71" i="5"/>
  <c r="PV71" i="5"/>
  <c r="QD71" i="5"/>
  <c r="QL71" i="5"/>
  <c r="PO71" i="5"/>
  <c r="PW71" i="5"/>
  <c r="QE71" i="5"/>
  <c r="QM71" i="5"/>
  <c r="PJ71" i="5"/>
  <c r="PZ71" i="5"/>
  <c r="QP71" i="5"/>
  <c r="PK71" i="5"/>
  <c r="QA71" i="5"/>
  <c r="QQ71" i="5"/>
  <c r="PR71" i="5"/>
  <c r="QH71" i="5"/>
  <c r="QI71" i="5"/>
  <c r="PS71" i="5"/>
  <c r="PL243" i="5"/>
  <c r="PP243" i="5"/>
  <c r="PT243" i="5"/>
  <c r="PX243" i="5"/>
  <c r="QB243" i="5"/>
  <c r="QF243" i="5"/>
  <c r="QJ243" i="5"/>
  <c r="QN243" i="5"/>
  <c r="PM243" i="5"/>
  <c r="PQ243" i="5"/>
  <c r="PU243" i="5"/>
  <c r="PY243" i="5"/>
  <c r="QC243" i="5"/>
  <c r="QG243" i="5"/>
  <c r="QK243" i="5"/>
  <c r="QO243" i="5"/>
  <c r="PJ243" i="5"/>
  <c r="PN243" i="5"/>
  <c r="PR243" i="5"/>
  <c r="PV243" i="5"/>
  <c r="PZ243" i="5"/>
  <c r="QD243" i="5"/>
  <c r="QH243" i="5"/>
  <c r="QL243" i="5"/>
  <c r="QP243" i="5"/>
  <c r="PK243" i="5"/>
  <c r="PO243" i="5"/>
  <c r="PS243" i="5"/>
  <c r="PW243" i="5"/>
  <c r="QA243" i="5"/>
  <c r="QE243" i="5"/>
  <c r="QI243" i="5"/>
  <c r="QM243" i="5"/>
  <c r="QQ243" i="5"/>
  <c r="PL235" i="5"/>
  <c r="PP235" i="5"/>
  <c r="PT235" i="5"/>
  <c r="PX235" i="5"/>
  <c r="QB235" i="5"/>
  <c r="QF235" i="5"/>
  <c r="QJ235" i="5"/>
  <c r="QN235" i="5"/>
  <c r="PM235" i="5"/>
  <c r="PQ235" i="5"/>
  <c r="PU235" i="5"/>
  <c r="PY235" i="5"/>
  <c r="QC235" i="5"/>
  <c r="QG235" i="5"/>
  <c r="QK235" i="5"/>
  <c r="QO235" i="5"/>
  <c r="PJ235" i="5"/>
  <c r="CO235" i="5" s="1"/>
  <c r="HH235" i="5" s="1"/>
  <c r="PN235" i="5"/>
  <c r="PR235" i="5"/>
  <c r="PV235" i="5"/>
  <c r="PZ235" i="5"/>
  <c r="QD235" i="5"/>
  <c r="QH235" i="5"/>
  <c r="QL235" i="5"/>
  <c r="QP235" i="5"/>
  <c r="PK235" i="5"/>
  <c r="PO235" i="5"/>
  <c r="PS235" i="5"/>
  <c r="PW235" i="5"/>
  <c r="QA235" i="5"/>
  <c r="QE235" i="5"/>
  <c r="QI235" i="5"/>
  <c r="QM235" i="5"/>
  <c r="QQ235" i="5"/>
  <c r="PL227" i="5"/>
  <c r="PP227" i="5"/>
  <c r="PT227" i="5"/>
  <c r="PX227" i="5"/>
  <c r="QB227" i="5"/>
  <c r="QF227" i="5"/>
  <c r="QJ227" i="5"/>
  <c r="QN227" i="5"/>
  <c r="PM227" i="5"/>
  <c r="PQ227" i="5"/>
  <c r="PU227" i="5"/>
  <c r="PY227" i="5"/>
  <c r="QC227" i="5"/>
  <c r="QG227" i="5"/>
  <c r="QK227" i="5"/>
  <c r="QO227" i="5"/>
  <c r="PJ227" i="5"/>
  <c r="PN227" i="5"/>
  <c r="PR227" i="5"/>
  <c r="PV227" i="5"/>
  <c r="PZ227" i="5"/>
  <c r="QD227" i="5"/>
  <c r="QH227" i="5"/>
  <c r="QL227" i="5"/>
  <c r="QP227" i="5"/>
  <c r="PK227" i="5"/>
  <c r="PO227" i="5"/>
  <c r="PS227" i="5"/>
  <c r="PW227" i="5"/>
  <c r="QA227" i="5"/>
  <c r="QE227" i="5"/>
  <c r="QI227" i="5"/>
  <c r="QM227" i="5"/>
  <c r="QQ227" i="5"/>
  <c r="PK200" i="5"/>
  <c r="PO200" i="5"/>
  <c r="PS200" i="5"/>
  <c r="PW200" i="5"/>
  <c r="QA200" i="5"/>
  <c r="QE200" i="5"/>
  <c r="QI200" i="5"/>
  <c r="QM200" i="5"/>
  <c r="QQ200" i="5"/>
  <c r="PL200" i="5"/>
  <c r="PP200" i="5"/>
  <c r="PT200" i="5"/>
  <c r="PX200" i="5"/>
  <c r="QB200" i="5"/>
  <c r="QF200" i="5"/>
  <c r="QJ200" i="5"/>
  <c r="QN200" i="5"/>
  <c r="PM200" i="5"/>
  <c r="PQ200" i="5"/>
  <c r="PU200" i="5"/>
  <c r="PY200" i="5"/>
  <c r="QC200" i="5"/>
  <c r="QG200" i="5"/>
  <c r="QK200" i="5"/>
  <c r="QO200" i="5"/>
  <c r="PJ200" i="5"/>
  <c r="CO200" i="5" s="1"/>
  <c r="HH200" i="5" s="1"/>
  <c r="HI200" i="5" s="1"/>
  <c r="PN200" i="5"/>
  <c r="PR200" i="5"/>
  <c r="PV200" i="5"/>
  <c r="PZ200" i="5"/>
  <c r="QD200" i="5"/>
  <c r="QH200" i="5"/>
  <c r="QL200" i="5"/>
  <c r="QP200" i="5"/>
  <c r="PM186" i="5"/>
  <c r="PQ186" i="5"/>
  <c r="PU186" i="5"/>
  <c r="PY186" i="5"/>
  <c r="QC186" i="5"/>
  <c r="QG186" i="5"/>
  <c r="QK186" i="5"/>
  <c r="QO186" i="5"/>
  <c r="PN186" i="5"/>
  <c r="PS186" i="5"/>
  <c r="PX186" i="5"/>
  <c r="QD186" i="5"/>
  <c r="QI186" i="5"/>
  <c r="QN186" i="5"/>
  <c r="PJ186" i="5"/>
  <c r="PO186" i="5"/>
  <c r="PT186" i="5"/>
  <c r="PZ186" i="5"/>
  <c r="QE186" i="5"/>
  <c r="QJ186" i="5"/>
  <c r="QP186" i="5"/>
  <c r="PK186" i="5"/>
  <c r="PP186" i="5"/>
  <c r="PV186" i="5"/>
  <c r="QA186" i="5"/>
  <c r="QF186" i="5"/>
  <c r="QL186" i="5"/>
  <c r="QQ186" i="5"/>
  <c r="PL186" i="5"/>
  <c r="PR186" i="5"/>
  <c r="PW186" i="5"/>
  <c r="QB186" i="5"/>
  <c r="QH186" i="5"/>
  <c r="QM186" i="5"/>
  <c r="PM178" i="5"/>
  <c r="PQ178" i="5"/>
  <c r="PU178" i="5"/>
  <c r="PY178" i="5"/>
  <c r="QC178" i="5"/>
  <c r="QG178" i="5"/>
  <c r="QK178" i="5"/>
  <c r="QO178" i="5"/>
  <c r="PN178" i="5"/>
  <c r="PS178" i="5"/>
  <c r="PX178" i="5"/>
  <c r="QD178" i="5"/>
  <c r="QI178" i="5"/>
  <c r="QN178" i="5"/>
  <c r="PJ178" i="5"/>
  <c r="CO178" i="5" s="1"/>
  <c r="HH178" i="5" s="1"/>
  <c r="PO178" i="5"/>
  <c r="PT178" i="5"/>
  <c r="PZ178" i="5"/>
  <c r="QE178" i="5"/>
  <c r="QJ178" i="5"/>
  <c r="QP178" i="5"/>
  <c r="PK178" i="5"/>
  <c r="PP178" i="5"/>
  <c r="PV178" i="5"/>
  <c r="QA178" i="5"/>
  <c r="QF178" i="5"/>
  <c r="QL178" i="5"/>
  <c r="QQ178" i="5"/>
  <c r="PL178" i="5"/>
  <c r="PR178" i="5"/>
  <c r="PW178" i="5"/>
  <c r="QB178" i="5"/>
  <c r="QH178" i="5"/>
  <c r="QM178" i="5"/>
  <c r="PM163" i="5"/>
  <c r="PQ163" i="5"/>
  <c r="PU163" i="5"/>
  <c r="PY163" i="5"/>
  <c r="QC163" i="5"/>
  <c r="QG163" i="5"/>
  <c r="QK163" i="5"/>
  <c r="QO163" i="5"/>
  <c r="PJ163" i="5"/>
  <c r="PN163" i="5"/>
  <c r="PR163" i="5"/>
  <c r="PV163" i="5"/>
  <c r="PZ163" i="5"/>
  <c r="QD163" i="5"/>
  <c r="QH163" i="5"/>
  <c r="QL163" i="5"/>
  <c r="QP163" i="5"/>
  <c r="PK163" i="5"/>
  <c r="PO163" i="5"/>
  <c r="PS163" i="5"/>
  <c r="PW163" i="5"/>
  <c r="QA163" i="5"/>
  <c r="QE163" i="5"/>
  <c r="QI163" i="5"/>
  <c r="QM163" i="5"/>
  <c r="QQ163" i="5"/>
  <c r="PP163" i="5"/>
  <c r="QF163" i="5"/>
  <c r="PT163" i="5"/>
  <c r="QJ163" i="5"/>
  <c r="PX163" i="5"/>
  <c r="QN163" i="5"/>
  <c r="PL163" i="5"/>
  <c r="QB163" i="5"/>
  <c r="PJ147" i="5"/>
  <c r="PN147" i="5"/>
  <c r="PR147" i="5"/>
  <c r="PV147" i="5"/>
  <c r="PZ147" i="5"/>
  <c r="QD147" i="5"/>
  <c r="QH147" i="5"/>
  <c r="QL147" i="5"/>
  <c r="QP147" i="5"/>
  <c r="PK147" i="5"/>
  <c r="PO147" i="5"/>
  <c r="PS147" i="5"/>
  <c r="PW147" i="5"/>
  <c r="QA147" i="5"/>
  <c r="QE147" i="5"/>
  <c r="QI147" i="5"/>
  <c r="QM147" i="5"/>
  <c r="QQ147" i="5"/>
  <c r="PQ147" i="5"/>
  <c r="PY147" i="5"/>
  <c r="QG147" i="5"/>
  <c r="QO147" i="5"/>
  <c r="PL147" i="5"/>
  <c r="PT147" i="5"/>
  <c r="QB147" i="5"/>
  <c r="QJ147" i="5"/>
  <c r="PM147" i="5"/>
  <c r="PU147" i="5"/>
  <c r="QC147" i="5"/>
  <c r="QK147" i="5"/>
  <c r="PP147" i="5"/>
  <c r="PX147" i="5"/>
  <c r="QF147" i="5"/>
  <c r="QN147" i="5"/>
  <c r="PL141" i="5"/>
  <c r="PP141" i="5"/>
  <c r="PT141" i="5"/>
  <c r="PX141" i="5"/>
  <c r="QB141" i="5"/>
  <c r="QF141" i="5"/>
  <c r="QJ141" i="5"/>
  <c r="QN141" i="5"/>
  <c r="PK141" i="5"/>
  <c r="PQ141" i="5"/>
  <c r="PV141" i="5"/>
  <c r="QA141" i="5"/>
  <c r="QG141" i="5"/>
  <c r="QL141" i="5"/>
  <c r="QQ141" i="5"/>
  <c r="PM141" i="5"/>
  <c r="PR141" i="5"/>
  <c r="PW141" i="5"/>
  <c r="QC141" i="5"/>
  <c r="QH141" i="5"/>
  <c r="QM141" i="5"/>
  <c r="PJ141" i="5"/>
  <c r="CO141" i="5" s="1"/>
  <c r="HH141" i="5" s="1"/>
  <c r="PU141" i="5"/>
  <c r="QE141" i="5"/>
  <c r="QP141" i="5"/>
  <c r="PY141" i="5"/>
  <c r="QK141" i="5"/>
  <c r="PN141" i="5"/>
  <c r="PZ141" i="5"/>
  <c r="QO141" i="5"/>
  <c r="PO141" i="5"/>
  <c r="QD141" i="5"/>
  <c r="PS141" i="5"/>
  <c r="QI141" i="5"/>
  <c r="PL102" i="5"/>
  <c r="PP102" i="5"/>
  <c r="PT102" i="5"/>
  <c r="PX102" i="5"/>
  <c r="QB102" i="5"/>
  <c r="QF102" i="5"/>
  <c r="QJ102" i="5"/>
  <c r="QN102" i="5"/>
  <c r="PK102" i="5"/>
  <c r="PQ102" i="5"/>
  <c r="PV102" i="5"/>
  <c r="QA102" i="5"/>
  <c r="QG102" i="5"/>
  <c r="QL102" i="5"/>
  <c r="QQ102" i="5"/>
  <c r="PM102" i="5"/>
  <c r="PR102" i="5"/>
  <c r="PW102" i="5"/>
  <c r="QC102" i="5"/>
  <c r="QH102" i="5"/>
  <c r="QM102" i="5"/>
  <c r="PO102" i="5"/>
  <c r="PZ102" i="5"/>
  <c r="QK102" i="5"/>
  <c r="PS102" i="5"/>
  <c r="QD102" i="5"/>
  <c r="QO102" i="5"/>
  <c r="PJ102" i="5"/>
  <c r="PU102" i="5"/>
  <c r="QE102" i="5"/>
  <c r="QP102" i="5"/>
  <c r="PN102" i="5"/>
  <c r="PY102" i="5"/>
  <c r="QI102" i="5"/>
  <c r="PM38" i="5"/>
  <c r="PQ38" i="5"/>
  <c r="PU38" i="5"/>
  <c r="PY38" i="5"/>
  <c r="QC38" i="5"/>
  <c r="QG38" i="5"/>
  <c r="QK38" i="5"/>
  <c r="QO38" i="5"/>
  <c r="PJ38" i="5"/>
  <c r="PO38" i="5"/>
  <c r="PT38" i="5"/>
  <c r="PZ38" i="5"/>
  <c r="QE38" i="5"/>
  <c r="QJ38" i="5"/>
  <c r="QP38" i="5"/>
  <c r="PK38" i="5"/>
  <c r="PP38" i="5"/>
  <c r="PV38" i="5"/>
  <c r="QA38" i="5"/>
  <c r="QF38" i="5"/>
  <c r="QL38" i="5"/>
  <c r="QQ38" i="5"/>
  <c r="CO38" i="5" s="1"/>
  <c r="HH38" i="5" s="1"/>
  <c r="PL38" i="5"/>
  <c r="PW38" i="5"/>
  <c r="QH38" i="5"/>
  <c r="PN38" i="5"/>
  <c r="PX38" i="5"/>
  <c r="QI38" i="5"/>
  <c r="PR38" i="5"/>
  <c r="QM38" i="5"/>
  <c r="PS38" i="5"/>
  <c r="QN38" i="5"/>
  <c r="QB38" i="5"/>
  <c r="QD38" i="5"/>
  <c r="PJ10" i="5"/>
  <c r="PN10" i="5"/>
  <c r="PR10" i="5"/>
  <c r="PV10" i="5"/>
  <c r="PZ10" i="5"/>
  <c r="QD10" i="5"/>
  <c r="QH10" i="5"/>
  <c r="QL10" i="5"/>
  <c r="QP10" i="5"/>
  <c r="PL10" i="5"/>
  <c r="PQ10" i="5"/>
  <c r="PW10" i="5"/>
  <c r="QB10" i="5"/>
  <c r="QG10" i="5"/>
  <c r="QM10" i="5"/>
  <c r="PM10" i="5"/>
  <c r="PS10" i="5"/>
  <c r="PX10" i="5"/>
  <c r="QC10" i="5"/>
  <c r="QI10" i="5"/>
  <c r="QN10" i="5"/>
  <c r="PT10" i="5"/>
  <c r="QE10" i="5"/>
  <c r="QO10" i="5"/>
  <c r="PK10" i="5"/>
  <c r="PY10" i="5"/>
  <c r="QK10" i="5"/>
  <c r="PO10" i="5"/>
  <c r="QF10" i="5"/>
  <c r="PP10" i="5"/>
  <c r="QJ10" i="5"/>
  <c r="CO10" i="5" s="1"/>
  <c r="HH10" i="5" s="1"/>
  <c r="QQ10" i="5"/>
  <c r="PU10" i="5"/>
  <c r="QA10" i="5"/>
  <c r="PJ242" i="5"/>
  <c r="PN242" i="5"/>
  <c r="PR242" i="5"/>
  <c r="PV242" i="5"/>
  <c r="PZ242" i="5"/>
  <c r="QD242" i="5"/>
  <c r="QH242" i="5"/>
  <c r="QL242" i="5"/>
  <c r="QP242" i="5"/>
  <c r="PK242" i="5"/>
  <c r="PO242" i="5"/>
  <c r="PS242" i="5"/>
  <c r="PW242" i="5"/>
  <c r="QA242" i="5"/>
  <c r="QE242" i="5"/>
  <c r="QI242" i="5"/>
  <c r="QM242" i="5"/>
  <c r="QQ242" i="5"/>
  <c r="PL242" i="5"/>
  <c r="PP242" i="5"/>
  <c r="PT242" i="5"/>
  <c r="PX242" i="5"/>
  <c r="QB242" i="5"/>
  <c r="QF242" i="5"/>
  <c r="QJ242" i="5"/>
  <c r="QN242" i="5"/>
  <c r="PM242" i="5"/>
  <c r="PQ242" i="5"/>
  <c r="PU242" i="5"/>
  <c r="PY242" i="5"/>
  <c r="QC242" i="5"/>
  <c r="QG242" i="5"/>
  <c r="QK242" i="5"/>
  <c r="QO242" i="5"/>
  <c r="PJ226" i="5"/>
  <c r="PN226" i="5"/>
  <c r="PR226" i="5"/>
  <c r="PV226" i="5"/>
  <c r="PZ226" i="5"/>
  <c r="QD226" i="5"/>
  <c r="QH226" i="5"/>
  <c r="QL226" i="5"/>
  <c r="QP226" i="5"/>
  <c r="PK226" i="5"/>
  <c r="PO226" i="5"/>
  <c r="PS226" i="5"/>
  <c r="PW226" i="5"/>
  <c r="QA226" i="5"/>
  <c r="QE226" i="5"/>
  <c r="QI226" i="5"/>
  <c r="QM226" i="5"/>
  <c r="QQ226" i="5"/>
  <c r="PL226" i="5"/>
  <c r="PP226" i="5"/>
  <c r="PT226" i="5"/>
  <c r="PX226" i="5"/>
  <c r="QB226" i="5"/>
  <c r="QF226" i="5"/>
  <c r="QJ226" i="5"/>
  <c r="QN226" i="5"/>
  <c r="PM226" i="5"/>
  <c r="PQ226" i="5"/>
  <c r="PU226" i="5"/>
  <c r="PY226" i="5"/>
  <c r="QC226" i="5"/>
  <c r="QG226" i="5"/>
  <c r="QK226" i="5"/>
  <c r="QO226" i="5"/>
  <c r="PM215" i="5"/>
  <c r="PQ215" i="5"/>
  <c r="PU215" i="5"/>
  <c r="PY215" i="5"/>
  <c r="QC215" i="5"/>
  <c r="QG215" i="5"/>
  <c r="QK215" i="5"/>
  <c r="QO215" i="5"/>
  <c r="PJ215" i="5"/>
  <c r="PO215" i="5"/>
  <c r="PT215" i="5"/>
  <c r="PZ215" i="5"/>
  <c r="QE215" i="5"/>
  <c r="QJ215" i="5"/>
  <c r="QP215" i="5"/>
  <c r="PK215" i="5"/>
  <c r="PP215" i="5"/>
  <c r="PV215" i="5"/>
  <c r="QA215" i="5"/>
  <c r="QF215" i="5"/>
  <c r="QL215" i="5"/>
  <c r="QQ215" i="5"/>
  <c r="PL215" i="5"/>
  <c r="PR215" i="5"/>
  <c r="PW215" i="5"/>
  <c r="QB215" i="5"/>
  <c r="QH215" i="5"/>
  <c r="QM215" i="5"/>
  <c r="PN215" i="5"/>
  <c r="QI215" i="5"/>
  <c r="PS215" i="5"/>
  <c r="QN215" i="5"/>
  <c r="PX215" i="5"/>
  <c r="QD215" i="5"/>
  <c r="PM202" i="5"/>
  <c r="PQ202" i="5"/>
  <c r="PU202" i="5"/>
  <c r="PY202" i="5"/>
  <c r="QC202" i="5"/>
  <c r="QG202" i="5"/>
  <c r="QK202" i="5"/>
  <c r="QO202" i="5"/>
  <c r="PJ202" i="5"/>
  <c r="PN202" i="5"/>
  <c r="PR202" i="5"/>
  <c r="PV202" i="5"/>
  <c r="PZ202" i="5"/>
  <c r="QD202" i="5"/>
  <c r="QH202" i="5"/>
  <c r="QL202" i="5"/>
  <c r="QP202" i="5"/>
  <c r="PK202" i="5"/>
  <c r="PO202" i="5"/>
  <c r="PS202" i="5"/>
  <c r="PW202" i="5"/>
  <c r="QA202" i="5"/>
  <c r="QE202" i="5"/>
  <c r="QI202" i="5"/>
  <c r="QM202" i="5"/>
  <c r="QQ202" i="5"/>
  <c r="PL202" i="5"/>
  <c r="PP202" i="5"/>
  <c r="PT202" i="5"/>
  <c r="PX202" i="5"/>
  <c r="QB202" i="5"/>
  <c r="QF202" i="5"/>
  <c r="QJ202" i="5"/>
  <c r="QN202" i="5"/>
  <c r="PK189" i="5"/>
  <c r="PO189" i="5"/>
  <c r="PS189" i="5"/>
  <c r="PW189" i="5"/>
  <c r="QA189" i="5"/>
  <c r="QE189" i="5"/>
  <c r="QI189" i="5"/>
  <c r="QM189" i="5"/>
  <c r="QQ189" i="5"/>
  <c r="PM189" i="5"/>
  <c r="PR189" i="5"/>
  <c r="PX189" i="5"/>
  <c r="QC189" i="5"/>
  <c r="QH189" i="5"/>
  <c r="QN189" i="5"/>
  <c r="PN189" i="5"/>
  <c r="PT189" i="5"/>
  <c r="PY189" i="5"/>
  <c r="QD189" i="5"/>
  <c r="QJ189" i="5"/>
  <c r="QO189" i="5"/>
  <c r="PJ189" i="5"/>
  <c r="PP189" i="5"/>
  <c r="PU189" i="5"/>
  <c r="PZ189" i="5"/>
  <c r="QF189" i="5"/>
  <c r="QK189" i="5"/>
  <c r="QP189" i="5"/>
  <c r="PL189" i="5"/>
  <c r="PQ189" i="5"/>
  <c r="PV189" i="5"/>
  <c r="QB189" i="5"/>
  <c r="QG189" i="5"/>
  <c r="QL189" i="5"/>
  <c r="PL158" i="5"/>
  <c r="PP158" i="5"/>
  <c r="PT158" i="5"/>
  <c r="PX158" i="5"/>
  <c r="QB158" i="5"/>
  <c r="QF158" i="5"/>
  <c r="QJ158" i="5"/>
  <c r="QN158" i="5"/>
  <c r="PM158" i="5"/>
  <c r="PQ158" i="5"/>
  <c r="PU158" i="5"/>
  <c r="PY158" i="5"/>
  <c r="QC158" i="5"/>
  <c r="QG158" i="5"/>
  <c r="QK158" i="5"/>
  <c r="QO158" i="5"/>
  <c r="PK158" i="5"/>
  <c r="PS158" i="5"/>
  <c r="QA158" i="5"/>
  <c r="QI158" i="5"/>
  <c r="CO158" i="5" s="1"/>
  <c r="HH158" i="5" s="1"/>
  <c r="QQ158" i="5"/>
  <c r="PN158" i="5"/>
  <c r="PV158" i="5"/>
  <c r="QD158" i="5"/>
  <c r="QL158" i="5"/>
  <c r="PO158" i="5"/>
  <c r="PW158" i="5"/>
  <c r="QE158" i="5"/>
  <c r="QM158" i="5"/>
  <c r="PZ158" i="5"/>
  <c r="QH158" i="5"/>
  <c r="PJ158" i="5"/>
  <c r="QP158" i="5"/>
  <c r="PR158" i="5"/>
  <c r="PJ128" i="5"/>
  <c r="PN128" i="5"/>
  <c r="PR128" i="5"/>
  <c r="PV128" i="5"/>
  <c r="PZ128" i="5"/>
  <c r="QD128" i="5"/>
  <c r="QH128" i="5"/>
  <c r="QL128" i="5"/>
  <c r="QP128" i="5"/>
  <c r="PK128" i="5"/>
  <c r="PP128" i="5"/>
  <c r="PU128" i="5"/>
  <c r="QA128" i="5"/>
  <c r="QF128" i="5"/>
  <c r="QK128" i="5"/>
  <c r="QQ128" i="5"/>
  <c r="PL128" i="5"/>
  <c r="PQ128" i="5"/>
  <c r="PW128" i="5"/>
  <c r="QB128" i="5"/>
  <c r="QG128" i="5"/>
  <c r="QM128" i="5"/>
  <c r="PO128" i="5"/>
  <c r="PY128" i="5"/>
  <c r="QJ128" i="5"/>
  <c r="PT128" i="5"/>
  <c r="QE128" i="5"/>
  <c r="QO128" i="5"/>
  <c r="PS128" i="5"/>
  <c r="QN128" i="5"/>
  <c r="PX128" i="5"/>
  <c r="QC128" i="5"/>
  <c r="PM128" i="5"/>
  <c r="QI128" i="5"/>
  <c r="PL97" i="5"/>
  <c r="PP97" i="5"/>
  <c r="PT97" i="5"/>
  <c r="PX97" i="5"/>
  <c r="QB97" i="5"/>
  <c r="QF97" i="5"/>
  <c r="QJ97" i="5"/>
  <c r="QN97" i="5"/>
  <c r="PM97" i="5"/>
  <c r="PR97" i="5"/>
  <c r="PW97" i="5"/>
  <c r="QC97" i="5"/>
  <c r="QH97" i="5"/>
  <c r="QM97" i="5"/>
  <c r="PK97" i="5"/>
  <c r="PS97" i="5"/>
  <c r="PZ97" i="5"/>
  <c r="QG97" i="5"/>
  <c r="QO97" i="5"/>
  <c r="PN97" i="5"/>
  <c r="PU97" i="5"/>
  <c r="QA97" i="5"/>
  <c r="QI97" i="5"/>
  <c r="QP97" i="5"/>
  <c r="PQ97" i="5"/>
  <c r="QE97" i="5"/>
  <c r="PV97" i="5"/>
  <c r="QK97" i="5"/>
  <c r="CO97" i="5" s="1"/>
  <c r="HH97" i="5" s="1"/>
  <c r="PJ97" i="5"/>
  <c r="PY97" i="5"/>
  <c r="QL97" i="5"/>
  <c r="QQ97" i="5"/>
  <c r="PO97" i="5"/>
  <c r="QD97" i="5"/>
  <c r="PM33" i="5"/>
  <c r="PQ33" i="5"/>
  <c r="PU33" i="5"/>
  <c r="PY33" i="5"/>
  <c r="QC33" i="5"/>
  <c r="QG33" i="5"/>
  <c r="QK33" i="5"/>
  <c r="QO33" i="5"/>
  <c r="PJ33" i="5"/>
  <c r="PO33" i="5"/>
  <c r="PT33" i="5"/>
  <c r="PZ33" i="5"/>
  <c r="QE33" i="5"/>
  <c r="QJ33" i="5"/>
  <c r="QP33" i="5"/>
  <c r="PK33" i="5"/>
  <c r="PR33" i="5"/>
  <c r="PX33" i="5"/>
  <c r="QF33" i="5"/>
  <c r="QM33" i="5"/>
  <c r="PL33" i="5"/>
  <c r="PS33" i="5"/>
  <c r="QA33" i="5"/>
  <c r="QH33" i="5"/>
  <c r="QN33" i="5"/>
  <c r="PN33" i="5"/>
  <c r="QB33" i="5"/>
  <c r="QQ33" i="5"/>
  <c r="PP33" i="5"/>
  <c r="QD33" i="5"/>
  <c r="QI33" i="5"/>
  <c r="QL33" i="5"/>
  <c r="PV33" i="5"/>
  <c r="PW33" i="5"/>
  <c r="PJ244" i="5"/>
  <c r="PN244" i="5"/>
  <c r="PR244" i="5"/>
  <c r="PV244" i="5"/>
  <c r="PZ244" i="5"/>
  <c r="QD244" i="5"/>
  <c r="QH244" i="5"/>
  <c r="QL244" i="5"/>
  <c r="QP244" i="5"/>
  <c r="PK244" i="5"/>
  <c r="PO244" i="5"/>
  <c r="PS244" i="5"/>
  <c r="PW244" i="5"/>
  <c r="QA244" i="5"/>
  <c r="QE244" i="5"/>
  <c r="QI244" i="5"/>
  <c r="QM244" i="5"/>
  <c r="QQ244" i="5"/>
  <c r="PL244" i="5"/>
  <c r="PP244" i="5"/>
  <c r="PT244" i="5"/>
  <c r="PX244" i="5"/>
  <c r="QB244" i="5"/>
  <c r="QF244" i="5"/>
  <c r="QJ244" i="5"/>
  <c r="QN244" i="5"/>
  <c r="PM244" i="5"/>
  <c r="PQ244" i="5"/>
  <c r="PU244" i="5"/>
  <c r="PY244" i="5"/>
  <c r="QC244" i="5"/>
  <c r="QG244" i="5"/>
  <c r="QK244" i="5"/>
  <c r="QO244" i="5"/>
  <c r="PJ228" i="5"/>
  <c r="PN228" i="5"/>
  <c r="PR228" i="5"/>
  <c r="PV228" i="5"/>
  <c r="PZ228" i="5"/>
  <c r="QD228" i="5"/>
  <c r="QH228" i="5"/>
  <c r="QL228" i="5"/>
  <c r="QP228" i="5"/>
  <c r="PK228" i="5"/>
  <c r="PO228" i="5"/>
  <c r="PS228" i="5"/>
  <c r="PW228" i="5"/>
  <c r="QA228" i="5"/>
  <c r="QE228" i="5"/>
  <c r="QI228" i="5"/>
  <c r="QM228" i="5"/>
  <c r="QQ228" i="5"/>
  <c r="PL228" i="5"/>
  <c r="PP228" i="5"/>
  <c r="PT228" i="5"/>
  <c r="PX228" i="5"/>
  <c r="QB228" i="5"/>
  <c r="QF228" i="5"/>
  <c r="QJ228" i="5"/>
  <c r="QN228" i="5"/>
  <c r="PM228" i="5"/>
  <c r="PQ228" i="5"/>
  <c r="PU228" i="5"/>
  <c r="PY228" i="5"/>
  <c r="QC228" i="5"/>
  <c r="QG228" i="5"/>
  <c r="QK228" i="5"/>
  <c r="QO228" i="5"/>
  <c r="PM198" i="5"/>
  <c r="PQ198" i="5"/>
  <c r="PU198" i="5"/>
  <c r="PY198" i="5"/>
  <c r="QC198" i="5"/>
  <c r="QG198" i="5"/>
  <c r="QK198" i="5"/>
  <c r="QO198" i="5"/>
  <c r="PJ198" i="5"/>
  <c r="CO198" i="5" s="1"/>
  <c r="HH198" i="5" s="1"/>
  <c r="HI198" i="5" s="1"/>
  <c r="PN198" i="5"/>
  <c r="PR198" i="5"/>
  <c r="PV198" i="5"/>
  <c r="PZ198" i="5"/>
  <c r="QD198" i="5"/>
  <c r="QH198" i="5"/>
  <c r="QL198" i="5"/>
  <c r="QP198" i="5"/>
  <c r="PK198" i="5"/>
  <c r="PO198" i="5"/>
  <c r="PS198" i="5"/>
  <c r="PW198" i="5"/>
  <c r="QA198" i="5"/>
  <c r="QE198" i="5"/>
  <c r="QI198" i="5"/>
  <c r="QM198" i="5"/>
  <c r="QQ198" i="5"/>
  <c r="PL198" i="5"/>
  <c r="PP198" i="5"/>
  <c r="PT198" i="5"/>
  <c r="PX198" i="5"/>
  <c r="QB198" i="5"/>
  <c r="QF198" i="5"/>
  <c r="QJ198" i="5"/>
  <c r="QN198" i="5"/>
  <c r="PK183" i="5"/>
  <c r="PO183" i="5"/>
  <c r="PS183" i="5"/>
  <c r="PW183" i="5"/>
  <c r="QA183" i="5"/>
  <c r="QE183" i="5"/>
  <c r="QI183" i="5"/>
  <c r="QM183" i="5"/>
  <c r="QQ183" i="5"/>
  <c r="PN183" i="5"/>
  <c r="PT183" i="5"/>
  <c r="PY183" i="5"/>
  <c r="QD183" i="5"/>
  <c r="QJ183" i="5"/>
  <c r="QO183" i="5"/>
  <c r="PJ183" i="5"/>
  <c r="PP183" i="5"/>
  <c r="PU183" i="5"/>
  <c r="PZ183" i="5"/>
  <c r="QF183" i="5"/>
  <c r="QK183" i="5"/>
  <c r="QP183" i="5"/>
  <c r="PL183" i="5"/>
  <c r="PQ183" i="5"/>
  <c r="PV183" i="5"/>
  <c r="QB183" i="5"/>
  <c r="QG183" i="5"/>
  <c r="QL183" i="5"/>
  <c r="PM183" i="5"/>
  <c r="PR183" i="5"/>
  <c r="PX183" i="5"/>
  <c r="QC183" i="5"/>
  <c r="QH183" i="5"/>
  <c r="QN183" i="5"/>
  <c r="PL152" i="5"/>
  <c r="PP152" i="5"/>
  <c r="PT152" i="5"/>
  <c r="PX152" i="5"/>
  <c r="QB152" i="5"/>
  <c r="QF152" i="5"/>
  <c r="QJ152" i="5"/>
  <c r="QN152" i="5"/>
  <c r="PM152" i="5"/>
  <c r="PQ152" i="5"/>
  <c r="PU152" i="5"/>
  <c r="PY152" i="5"/>
  <c r="QC152" i="5"/>
  <c r="QG152" i="5"/>
  <c r="QK152" i="5"/>
  <c r="QO152" i="5"/>
  <c r="PO152" i="5"/>
  <c r="PW152" i="5"/>
  <c r="QE152" i="5"/>
  <c r="QM152" i="5"/>
  <c r="PJ152" i="5"/>
  <c r="PR152" i="5"/>
  <c r="PZ152" i="5"/>
  <c r="QH152" i="5"/>
  <c r="QP152" i="5"/>
  <c r="PK152" i="5"/>
  <c r="PS152" i="5"/>
  <c r="QA152" i="5"/>
  <c r="QI152" i="5"/>
  <c r="QQ152" i="5"/>
  <c r="QL152" i="5"/>
  <c r="PN152" i="5"/>
  <c r="PV152" i="5"/>
  <c r="QD152" i="5"/>
  <c r="PJ138" i="5"/>
  <c r="PN138" i="5"/>
  <c r="PR138" i="5"/>
  <c r="PV138" i="5"/>
  <c r="PZ138" i="5"/>
  <c r="QD138" i="5"/>
  <c r="QH138" i="5"/>
  <c r="QL138" i="5"/>
  <c r="QP138" i="5"/>
  <c r="PL138" i="5"/>
  <c r="PQ138" i="5"/>
  <c r="PW138" i="5"/>
  <c r="QB138" i="5"/>
  <c r="QG138" i="5"/>
  <c r="QM138" i="5"/>
  <c r="PM138" i="5"/>
  <c r="PS138" i="5"/>
  <c r="PX138" i="5"/>
  <c r="QC138" i="5"/>
  <c r="QI138" i="5"/>
  <c r="QN138" i="5"/>
  <c r="PP138" i="5"/>
  <c r="QA138" i="5"/>
  <c r="QK138" i="5"/>
  <c r="PK138" i="5"/>
  <c r="PY138" i="5"/>
  <c r="QO138" i="5"/>
  <c r="PO138" i="5"/>
  <c r="QE138" i="5"/>
  <c r="QQ138" i="5"/>
  <c r="PT138" i="5"/>
  <c r="QF138" i="5"/>
  <c r="PU138" i="5"/>
  <c r="QJ138" i="5"/>
  <c r="PJ123" i="5"/>
  <c r="PN123" i="5"/>
  <c r="PR123" i="5"/>
  <c r="PV123" i="5"/>
  <c r="PZ123" i="5"/>
  <c r="QD123" i="5"/>
  <c r="QH123" i="5"/>
  <c r="QL123" i="5"/>
  <c r="QP123" i="5"/>
  <c r="PL123" i="5"/>
  <c r="PQ123" i="5"/>
  <c r="PW123" i="5"/>
  <c r="QB123" i="5"/>
  <c r="QG123" i="5"/>
  <c r="QM123" i="5"/>
  <c r="PM123" i="5"/>
  <c r="PS123" i="5"/>
  <c r="PX123" i="5"/>
  <c r="QC123" i="5"/>
  <c r="QI123" i="5"/>
  <c r="QN123" i="5"/>
  <c r="PP123" i="5"/>
  <c r="QA123" i="5"/>
  <c r="QK123" i="5"/>
  <c r="PK123" i="5"/>
  <c r="PU123" i="5"/>
  <c r="QF123" i="5"/>
  <c r="QQ123" i="5"/>
  <c r="QE123" i="5"/>
  <c r="PO123" i="5"/>
  <c r="QJ123" i="5"/>
  <c r="PT123" i="5"/>
  <c r="QO123" i="5"/>
  <c r="PY123" i="5"/>
  <c r="PL241" i="5"/>
  <c r="PP241" i="5"/>
  <c r="PT241" i="5"/>
  <c r="PX241" i="5"/>
  <c r="QB241" i="5"/>
  <c r="QF241" i="5"/>
  <c r="QJ241" i="5"/>
  <c r="QN241" i="5"/>
  <c r="PM241" i="5"/>
  <c r="PQ241" i="5"/>
  <c r="PU241" i="5"/>
  <c r="PY241" i="5"/>
  <c r="QC241" i="5"/>
  <c r="QG241" i="5"/>
  <c r="QK241" i="5"/>
  <c r="QO241" i="5"/>
  <c r="PJ241" i="5"/>
  <c r="CO241" i="5" s="1"/>
  <c r="HH241" i="5" s="1"/>
  <c r="PN241" i="5"/>
  <c r="PR241" i="5"/>
  <c r="PV241" i="5"/>
  <c r="PZ241" i="5"/>
  <c r="QD241" i="5"/>
  <c r="QH241" i="5"/>
  <c r="QL241" i="5"/>
  <c r="QP241" i="5"/>
  <c r="PK241" i="5"/>
  <c r="PO241" i="5"/>
  <c r="PS241" i="5"/>
  <c r="PW241" i="5"/>
  <c r="QA241" i="5"/>
  <c r="QE241" i="5"/>
  <c r="QI241" i="5"/>
  <c r="QM241" i="5"/>
  <c r="QQ241" i="5"/>
  <c r="PL225" i="5"/>
  <c r="PP225" i="5"/>
  <c r="PT225" i="5"/>
  <c r="PX225" i="5"/>
  <c r="QB225" i="5"/>
  <c r="QF225" i="5"/>
  <c r="QJ225" i="5"/>
  <c r="QN225" i="5"/>
  <c r="PM225" i="5"/>
  <c r="PQ225" i="5"/>
  <c r="PU225" i="5"/>
  <c r="PY225" i="5"/>
  <c r="QC225" i="5"/>
  <c r="QG225" i="5"/>
  <c r="QK225" i="5"/>
  <c r="QO225" i="5"/>
  <c r="PJ225" i="5"/>
  <c r="PN225" i="5"/>
  <c r="PR225" i="5"/>
  <c r="PV225" i="5"/>
  <c r="PZ225" i="5"/>
  <c r="QD225" i="5"/>
  <c r="QH225" i="5"/>
  <c r="QL225" i="5"/>
  <c r="QP225" i="5"/>
  <c r="PK225" i="5"/>
  <c r="PO225" i="5"/>
  <c r="PS225" i="5"/>
  <c r="PW225" i="5"/>
  <c r="QA225" i="5"/>
  <c r="QE225" i="5"/>
  <c r="QI225" i="5"/>
  <c r="QM225" i="5"/>
  <c r="QQ225" i="5"/>
  <c r="PK221" i="5"/>
  <c r="PO221" i="5"/>
  <c r="PS221" i="5"/>
  <c r="PW221" i="5"/>
  <c r="QA221" i="5"/>
  <c r="QE221" i="5"/>
  <c r="QI221" i="5"/>
  <c r="QM221" i="5"/>
  <c r="QQ221" i="5"/>
  <c r="PL221" i="5"/>
  <c r="PP221" i="5"/>
  <c r="PT221" i="5"/>
  <c r="PX221" i="5"/>
  <c r="QB221" i="5"/>
  <c r="QF221" i="5"/>
  <c r="QJ221" i="5"/>
  <c r="QN221" i="5"/>
  <c r="PM221" i="5"/>
  <c r="PQ221" i="5"/>
  <c r="PU221" i="5"/>
  <c r="PY221" i="5"/>
  <c r="QC221" i="5"/>
  <c r="QG221" i="5"/>
  <c r="QK221" i="5"/>
  <c r="QO221" i="5"/>
  <c r="PR221" i="5"/>
  <c r="QH221" i="5"/>
  <c r="PV221" i="5"/>
  <c r="QL221" i="5"/>
  <c r="PJ221" i="5"/>
  <c r="PZ221" i="5"/>
  <c r="QP221" i="5"/>
  <c r="PN221" i="5"/>
  <c r="QD221" i="5"/>
  <c r="PK217" i="5"/>
  <c r="PO217" i="5"/>
  <c r="PS217" i="5"/>
  <c r="PW217" i="5"/>
  <c r="QA217" i="5"/>
  <c r="QE217" i="5"/>
  <c r="QI217" i="5"/>
  <c r="QM217" i="5"/>
  <c r="QQ217" i="5"/>
  <c r="PL217" i="5"/>
  <c r="PP217" i="5"/>
  <c r="PT217" i="5"/>
  <c r="PX217" i="5"/>
  <c r="QB217" i="5"/>
  <c r="QF217" i="5"/>
  <c r="QJ217" i="5"/>
  <c r="QN217" i="5"/>
  <c r="PM217" i="5"/>
  <c r="PQ217" i="5"/>
  <c r="PU217" i="5"/>
  <c r="PY217" i="5"/>
  <c r="QC217" i="5"/>
  <c r="QG217" i="5"/>
  <c r="QK217" i="5"/>
  <c r="QO217" i="5"/>
  <c r="PR217" i="5"/>
  <c r="QH217" i="5"/>
  <c r="PV217" i="5"/>
  <c r="QL217" i="5"/>
  <c r="PJ217" i="5"/>
  <c r="PZ217" i="5"/>
  <c r="QP217" i="5"/>
  <c r="PN217" i="5"/>
  <c r="QD217" i="5"/>
  <c r="PK199" i="5"/>
  <c r="PO199" i="5"/>
  <c r="PS199" i="5"/>
  <c r="PW199" i="5"/>
  <c r="QA199" i="5"/>
  <c r="QE199" i="5"/>
  <c r="QI199" i="5"/>
  <c r="QM199" i="5"/>
  <c r="QQ199" i="5"/>
  <c r="PL199" i="5"/>
  <c r="PP199" i="5"/>
  <c r="PT199" i="5"/>
  <c r="PX199" i="5"/>
  <c r="QB199" i="5"/>
  <c r="QF199" i="5"/>
  <c r="QJ199" i="5"/>
  <c r="QN199" i="5"/>
  <c r="PM199" i="5"/>
  <c r="PQ199" i="5"/>
  <c r="PU199" i="5"/>
  <c r="PY199" i="5"/>
  <c r="QC199" i="5"/>
  <c r="QG199" i="5"/>
  <c r="QK199" i="5"/>
  <c r="QO199" i="5"/>
  <c r="PJ199" i="5"/>
  <c r="PN199" i="5"/>
  <c r="PR199" i="5"/>
  <c r="PV199" i="5"/>
  <c r="PZ199" i="5"/>
  <c r="QD199" i="5"/>
  <c r="QH199" i="5"/>
  <c r="QL199" i="5"/>
  <c r="QP199" i="5"/>
  <c r="PM184" i="5"/>
  <c r="PQ184" i="5"/>
  <c r="PU184" i="5"/>
  <c r="PY184" i="5"/>
  <c r="QC184" i="5"/>
  <c r="QG184" i="5"/>
  <c r="QK184" i="5"/>
  <c r="QO184" i="5"/>
  <c r="PL184" i="5"/>
  <c r="PR184" i="5"/>
  <c r="PW184" i="5"/>
  <c r="QB184" i="5"/>
  <c r="QH184" i="5"/>
  <c r="QM184" i="5"/>
  <c r="PN184" i="5"/>
  <c r="PS184" i="5"/>
  <c r="PX184" i="5"/>
  <c r="QD184" i="5"/>
  <c r="QI184" i="5"/>
  <c r="QN184" i="5"/>
  <c r="PJ184" i="5"/>
  <c r="PO184" i="5"/>
  <c r="PT184" i="5"/>
  <c r="PZ184" i="5"/>
  <c r="QE184" i="5"/>
  <c r="QJ184" i="5"/>
  <c r="QP184" i="5"/>
  <c r="PK184" i="5"/>
  <c r="PP184" i="5"/>
  <c r="PV184" i="5"/>
  <c r="QA184" i="5"/>
  <c r="QF184" i="5"/>
  <c r="QL184" i="5"/>
  <c r="QQ184" i="5"/>
  <c r="PM176" i="5"/>
  <c r="PQ176" i="5"/>
  <c r="PU176" i="5"/>
  <c r="PY176" i="5"/>
  <c r="QC176" i="5"/>
  <c r="QG176" i="5"/>
  <c r="QK176" i="5"/>
  <c r="QO176" i="5"/>
  <c r="PL176" i="5"/>
  <c r="PR176" i="5"/>
  <c r="PW176" i="5"/>
  <c r="QB176" i="5"/>
  <c r="QH176" i="5"/>
  <c r="QM176" i="5"/>
  <c r="PN176" i="5"/>
  <c r="PS176" i="5"/>
  <c r="PX176" i="5"/>
  <c r="QD176" i="5"/>
  <c r="QI176" i="5"/>
  <c r="QN176" i="5"/>
  <c r="PJ176" i="5"/>
  <c r="PO176" i="5"/>
  <c r="PT176" i="5"/>
  <c r="PZ176" i="5"/>
  <c r="QE176" i="5"/>
  <c r="QJ176" i="5"/>
  <c r="QP176" i="5"/>
  <c r="PK176" i="5"/>
  <c r="PP176" i="5"/>
  <c r="PV176" i="5"/>
  <c r="QA176" i="5"/>
  <c r="QF176" i="5"/>
  <c r="QL176" i="5"/>
  <c r="QQ176" i="5"/>
  <c r="PM161" i="5"/>
  <c r="CO161" i="5" s="1"/>
  <c r="HH161" i="5" s="1"/>
  <c r="PQ161" i="5"/>
  <c r="PU161" i="5"/>
  <c r="PY161" i="5"/>
  <c r="QC161" i="5"/>
  <c r="QG161" i="5"/>
  <c r="QK161" i="5"/>
  <c r="QO161" i="5"/>
  <c r="PJ161" i="5"/>
  <c r="PN161" i="5"/>
  <c r="PR161" i="5"/>
  <c r="PV161" i="5"/>
  <c r="PZ161" i="5"/>
  <c r="QD161" i="5"/>
  <c r="QH161" i="5"/>
  <c r="QL161" i="5"/>
  <c r="QP161" i="5"/>
  <c r="PK161" i="5"/>
  <c r="PO161" i="5"/>
  <c r="PS161" i="5"/>
  <c r="PW161" i="5"/>
  <c r="QA161" i="5"/>
  <c r="QE161" i="5"/>
  <c r="QI161" i="5"/>
  <c r="QM161" i="5"/>
  <c r="QQ161" i="5"/>
  <c r="PT161" i="5"/>
  <c r="QJ161" i="5"/>
  <c r="PX161" i="5"/>
  <c r="QN161" i="5"/>
  <c r="PL161" i="5"/>
  <c r="QB161" i="5"/>
  <c r="PP161" i="5"/>
  <c r="QF161" i="5"/>
  <c r="PJ153" i="5"/>
  <c r="PN153" i="5"/>
  <c r="PR153" i="5"/>
  <c r="PV153" i="5"/>
  <c r="PZ153" i="5"/>
  <c r="QD153" i="5"/>
  <c r="QH153" i="5"/>
  <c r="QL153" i="5"/>
  <c r="QP153" i="5"/>
  <c r="PK153" i="5"/>
  <c r="PO153" i="5"/>
  <c r="PS153" i="5"/>
  <c r="PW153" i="5"/>
  <c r="QA153" i="5"/>
  <c r="QE153" i="5"/>
  <c r="QI153" i="5"/>
  <c r="QM153" i="5"/>
  <c r="QQ153" i="5"/>
  <c r="PM153" i="5"/>
  <c r="PU153" i="5"/>
  <c r="QC153" i="5"/>
  <c r="QK153" i="5"/>
  <c r="PP153" i="5"/>
  <c r="PX153" i="5"/>
  <c r="QF153" i="5"/>
  <c r="QN153" i="5"/>
  <c r="PQ153" i="5"/>
  <c r="PY153" i="5"/>
  <c r="QG153" i="5"/>
  <c r="QO153" i="5"/>
  <c r="QJ153" i="5"/>
  <c r="PL153" i="5"/>
  <c r="PT153" i="5"/>
  <c r="QB153" i="5"/>
  <c r="PJ145" i="5"/>
  <c r="PN145" i="5"/>
  <c r="PR145" i="5"/>
  <c r="PV145" i="5"/>
  <c r="PZ145" i="5"/>
  <c r="QD145" i="5"/>
  <c r="QH145" i="5"/>
  <c r="QL145" i="5"/>
  <c r="QP145" i="5"/>
  <c r="PK145" i="5"/>
  <c r="PO145" i="5"/>
  <c r="PS145" i="5"/>
  <c r="PW145" i="5"/>
  <c r="QA145" i="5"/>
  <c r="QE145" i="5"/>
  <c r="QI145" i="5"/>
  <c r="QM145" i="5"/>
  <c r="QQ145" i="5"/>
  <c r="PM145" i="5"/>
  <c r="PU145" i="5"/>
  <c r="QC145" i="5"/>
  <c r="QK145" i="5"/>
  <c r="PP145" i="5"/>
  <c r="PX145" i="5"/>
  <c r="QF145" i="5"/>
  <c r="QN145" i="5"/>
  <c r="PQ145" i="5"/>
  <c r="PY145" i="5"/>
  <c r="QG145" i="5"/>
  <c r="QO145" i="5"/>
  <c r="PT145" i="5"/>
  <c r="QB145" i="5"/>
  <c r="QJ145" i="5"/>
  <c r="PL145" i="5"/>
  <c r="PL100" i="5"/>
  <c r="PP100" i="5"/>
  <c r="PT100" i="5"/>
  <c r="PX100" i="5"/>
  <c r="QB100" i="5"/>
  <c r="QF100" i="5"/>
  <c r="QJ100" i="5"/>
  <c r="QN100" i="5"/>
  <c r="PJ100" i="5"/>
  <c r="PO100" i="5"/>
  <c r="PU100" i="5"/>
  <c r="PZ100" i="5"/>
  <c r="QE100" i="5"/>
  <c r="QK100" i="5"/>
  <c r="QP100" i="5"/>
  <c r="PK100" i="5"/>
  <c r="PQ100" i="5"/>
  <c r="PV100" i="5"/>
  <c r="QA100" i="5"/>
  <c r="QG100" i="5"/>
  <c r="QL100" i="5"/>
  <c r="QQ100" i="5"/>
  <c r="PS100" i="5"/>
  <c r="QD100" i="5"/>
  <c r="QO100" i="5"/>
  <c r="PM100" i="5"/>
  <c r="PW100" i="5"/>
  <c r="QH100" i="5"/>
  <c r="PN100" i="5"/>
  <c r="PY100" i="5"/>
  <c r="QI100" i="5"/>
  <c r="QC100" i="5"/>
  <c r="QM100" i="5"/>
  <c r="PR100" i="5"/>
  <c r="PJ72" i="5"/>
  <c r="PN72" i="5"/>
  <c r="PR72" i="5"/>
  <c r="PV72" i="5"/>
  <c r="PZ72" i="5"/>
  <c r="QD72" i="5"/>
  <c r="QH72" i="5"/>
  <c r="QL72" i="5"/>
  <c r="QP72" i="5"/>
  <c r="CO72" i="5" s="1"/>
  <c r="HH72" i="5" s="1"/>
  <c r="PK72" i="5"/>
  <c r="PO72" i="5"/>
  <c r="PS72" i="5"/>
  <c r="PW72" i="5"/>
  <c r="QA72" i="5"/>
  <c r="QE72" i="5"/>
  <c r="QI72" i="5"/>
  <c r="QM72" i="5"/>
  <c r="QQ72" i="5"/>
  <c r="PL72" i="5"/>
  <c r="PT72" i="5"/>
  <c r="QB72" i="5"/>
  <c r="QJ72" i="5"/>
  <c r="PM72" i="5"/>
  <c r="PU72" i="5"/>
  <c r="QC72" i="5"/>
  <c r="QK72" i="5"/>
  <c r="PX72" i="5"/>
  <c r="QN72" i="5"/>
  <c r="PY72" i="5"/>
  <c r="QO72" i="5"/>
  <c r="PP72" i="5"/>
  <c r="QF72" i="5"/>
  <c r="PQ72" i="5"/>
  <c r="QG72" i="5"/>
  <c r="PK28" i="5"/>
  <c r="PO28" i="5"/>
  <c r="PS28" i="5"/>
  <c r="PW28" i="5"/>
  <c r="QA28" i="5"/>
  <c r="QE28" i="5"/>
  <c r="QI28" i="5"/>
  <c r="QM28" i="5"/>
  <c r="QQ28" i="5"/>
  <c r="PN28" i="5"/>
  <c r="PT28" i="5"/>
  <c r="PY28" i="5"/>
  <c r="QD28" i="5"/>
  <c r="QJ28" i="5"/>
  <c r="QO28" i="5"/>
  <c r="PJ28" i="5"/>
  <c r="PQ28" i="5"/>
  <c r="PX28" i="5"/>
  <c r="QF28" i="5"/>
  <c r="QL28" i="5"/>
  <c r="PL28" i="5"/>
  <c r="PR28" i="5"/>
  <c r="PZ28" i="5"/>
  <c r="QG28" i="5"/>
  <c r="QN28" i="5"/>
  <c r="PM28" i="5"/>
  <c r="QB28" i="5"/>
  <c r="QP28" i="5"/>
  <c r="PP28" i="5"/>
  <c r="QC28" i="5"/>
  <c r="QH28" i="5"/>
  <c r="QK28" i="5"/>
  <c r="PU28" i="5"/>
  <c r="PV28" i="5"/>
  <c r="CO245" i="5" l="1"/>
  <c r="HH245" i="5" s="1"/>
  <c r="CO220" i="5"/>
  <c r="HH220" i="5" s="1"/>
  <c r="CO219" i="5"/>
  <c r="HH219" i="5" s="1"/>
  <c r="CQ219" i="5"/>
  <c r="CO248" i="5"/>
  <c r="HH248" i="5" s="1"/>
  <c r="CQ246" i="5"/>
  <c r="CO246" i="5"/>
  <c r="HH246" i="5" s="1"/>
  <c r="CO243" i="5"/>
  <c r="HH243" i="5" s="1"/>
  <c r="CQ132" i="5"/>
  <c r="CQ174" i="5"/>
  <c r="CO132" i="5"/>
  <c r="HH132" i="5" s="1"/>
  <c r="CQ234" i="5"/>
  <c r="CQ244" i="5"/>
  <c r="CO244" i="5"/>
  <c r="HH244" i="5" s="1"/>
  <c r="CO231" i="5"/>
  <c r="HH231" i="5" s="1"/>
  <c r="CQ231" i="5"/>
  <c r="CO206" i="5"/>
  <c r="HH206" i="5" s="1"/>
  <c r="CQ180" i="5"/>
  <c r="CQ152" i="5"/>
  <c r="CO64" i="5"/>
  <c r="HH64" i="5" s="1"/>
  <c r="CO194" i="5"/>
  <c r="HH194" i="5" s="1"/>
  <c r="HI194" i="5" s="1"/>
  <c r="CO125" i="5"/>
  <c r="HH125" i="5" s="1"/>
  <c r="CO116" i="5"/>
  <c r="HH116" i="5" s="1"/>
  <c r="CQ242" i="5"/>
  <c r="CO242" i="5"/>
  <c r="HH242" i="5" s="1"/>
  <c r="CO162" i="5"/>
  <c r="HH162" i="5" s="1"/>
  <c r="CQ123" i="5"/>
  <c r="CO238" i="5"/>
  <c r="HH238" i="5" s="1"/>
  <c r="CO237" i="5"/>
  <c r="HH237" i="5" s="1"/>
  <c r="CO234" i="5"/>
  <c r="HH234" i="5" s="1"/>
  <c r="CQ215" i="5"/>
  <c r="CO215" i="5"/>
  <c r="HH215" i="5" s="1"/>
  <c r="CQ184" i="5"/>
  <c r="CO160" i="5"/>
  <c r="HH160" i="5" s="1"/>
  <c r="CQ160" i="5"/>
  <c r="CO163" i="5"/>
  <c r="HH163" i="5" s="1"/>
  <c r="CQ163" i="5"/>
  <c r="CO151" i="5"/>
  <c r="HH151" i="5" s="1"/>
  <c r="CQ151" i="5"/>
  <c r="CO154" i="5"/>
  <c r="HH154" i="5" s="1"/>
  <c r="CQ154" i="5"/>
  <c r="CQ147" i="5"/>
  <c r="CQ202" i="5"/>
  <c r="CO103" i="5"/>
  <c r="HH103" i="5" s="1"/>
  <c r="CO134" i="5"/>
  <c r="HH134" i="5" s="1"/>
  <c r="CQ134" i="5"/>
  <c r="CO106" i="5"/>
  <c r="HH106" i="5" s="1"/>
  <c r="CQ114" i="5"/>
  <c r="CO114" i="5"/>
  <c r="HH114" i="5" s="1"/>
  <c r="CQ100" i="5"/>
  <c r="CO100" i="5"/>
  <c r="HH100" i="5" s="1"/>
  <c r="CO83" i="5"/>
  <c r="HH83" i="5" s="1"/>
  <c r="CO89" i="5"/>
  <c r="HH89" i="5" s="1"/>
  <c r="CQ189" i="5"/>
  <c r="CO236" i="5"/>
  <c r="HH236" i="5" s="1"/>
  <c r="CQ236" i="5"/>
  <c r="CO176" i="5"/>
  <c r="HH176" i="5" s="1"/>
  <c r="CQ176" i="5"/>
  <c r="CO153" i="5"/>
  <c r="HH153" i="5" s="1"/>
  <c r="CQ153" i="5"/>
  <c r="CQ188" i="5"/>
  <c r="CQ212" i="5"/>
  <c r="CO212" i="5"/>
  <c r="HH212" i="5" s="1"/>
  <c r="HH126" i="5"/>
  <c r="CQ126" i="5"/>
  <c r="CQ192" i="5"/>
  <c r="CQ171" i="5"/>
  <c r="CO171" i="5"/>
  <c r="HH171" i="5" s="1"/>
  <c r="CQ145" i="5"/>
  <c r="CO145" i="5"/>
  <c r="HH145" i="5" s="1"/>
  <c r="CO148" i="5"/>
  <c r="HH148" i="5" s="1"/>
  <c r="CQ148" i="5"/>
  <c r="CQ214" i="5"/>
  <c r="CO214" i="5"/>
  <c r="HH214" i="5" s="1"/>
  <c r="CQ137" i="5"/>
  <c r="CQ138" i="5"/>
  <c r="CO138" i="5"/>
  <c r="HH138" i="5" s="1"/>
  <c r="CQ102" i="5"/>
  <c r="CO113" i="5"/>
  <c r="HH113" i="5" s="1"/>
  <c r="CQ128" i="5"/>
  <c r="CO128" i="5"/>
  <c r="HH128" i="5" s="1"/>
  <c r="CO174" i="5"/>
  <c r="HH174" i="5" s="1"/>
  <c r="CO208" i="5"/>
  <c r="HH208" i="5" s="1"/>
  <c r="CO181" i="5"/>
  <c r="HH181" i="5" s="1"/>
  <c r="CO150" i="5"/>
  <c r="HH150" i="5" s="1"/>
  <c r="CO230" i="5"/>
  <c r="HH230" i="5" s="1"/>
  <c r="CQ230" i="5"/>
  <c r="CO218" i="5"/>
  <c r="HH218" i="5" s="1"/>
  <c r="CQ229" i="5"/>
  <c r="CO229" i="5"/>
  <c r="HH229" i="5" s="1"/>
  <c r="CO228" i="5"/>
  <c r="HH228" i="5" s="1"/>
  <c r="CO227" i="5"/>
  <c r="HH227" i="5" s="1"/>
  <c r="CO226" i="5"/>
  <c r="HH226" i="5" s="1"/>
  <c r="CQ227" i="5"/>
  <c r="CO225" i="5"/>
  <c r="HH225" i="5" s="1"/>
  <c r="CO222" i="5"/>
  <c r="HH222" i="5" s="1"/>
  <c r="CO224" i="5"/>
  <c r="HH224" i="5" s="1"/>
  <c r="CQ224" i="5"/>
  <c r="CQ225" i="5"/>
  <c r="CQ222" i="5"/>
  <c r="CO221" i="5"/>
  <c r="HH221" i="5" s="1"/>
  <c r="CO217" i="5"/>
  <c r="HH217" i="5" s="1"/>
  <c r="CQ217" i="5"/>
  <c r="CQ216" i="5"/>
  <c r="CO216" i="5"/>
  <c r="HH216" i="5" s="1"/>
  <c r="CO190" i="5"/>
  <c r="HH190" i="5" s="1"/>
  <c r="CQ190" i="5"/>
  <c r="CO135" i="5"/>
  <c r="HH135" i="5" s="1"/>
  <c r="CQ135" i="5"/>
  <c r="CO147" i="5"/>
  <c r="HH147" i="5" s="1"/>
  <c r="CQ87" i="5"/>
  <c r="CO87" i="5"/>
  <c r="HH87" i="5" s="1"/>
  <c r="CQ167" i="5"/>
  <c r="CO167" i="5"/>
  <c r="HH167" i="5" s="1"/>
  <c r="CQ159" i="5"/>
  <c r="CO159" i="5"/>
  <c r="HH159" i="5" s="1"/>
  <c r="CO202" i="5"/>
  <c r="HH202" i="5" s="1"/>
  <c r="CO201" i="5"/>
  <c r="HH201" i="5" s="1"/>
  <c r="HI201" i="5" s="1"/>
  <c r="CQ201" i="5"/>
  <c r="CO152" i="5"/>
  <c r="HH152" i="5" s="1"/>
  <c r="CO67" i="5"/>
  <c r="HH67" i="5" s="1"/>
  <c r="CO199" i="5"/>
  <c r="HH199" i="5" s="1"/>
  <c r="HI199" i="5" s="1"/>
  <c r="CQ199" i="5"/>
  <c r="CO197" i="5"/>
  <c r="HH197" i="5" s="1"/>
  <c r="HI197" i="5" s="1"/>
  <c r="CQ197" i="5"/>
  <c r="CQ196" i="5"/>
  <c r="CO196" i="5"/>
  <c r="HH196" i="5" s="1"/>
  <c r="HI196" i="5" s="1"/>
  <c r="CQ125" i="5"/>
  <c r="CO195" i="5"/>
  <c r="HH195" i="5" s="1"/>
  <c r="HI195" i="5" s="1"/>
  <c r="CQ195" i="5"/>
  <c r="CO73" i="5"/>
  <c r="HH73" i="5" s="1"/>
  <c r="CO7" i="5"/>
  <c r="HH7" i="5" s="1"/>
  <c r="CO105" i="5"/>
  <c r="HH105" i="5" s="1"/>
  <c r="CO4" i="5"/>
  <c r="HH4" i="5" s="1"/>
  <c r="CO35" i="5"/>
  <c r="HH35" i="5" s="1"/>
  <c r="CO71" i="5"/>
  <c r="HH71" i="5" s="1"/>
  <c r="CO137" i="5"/>
  <c r="HH137" i="5" s="1"/>
  <c r="CO120" i="5"/>
  <c r="HH120" i="5" s="1"/>
  <c r="CO56" i="5"/>
  <c r="HH56" i="5" s="1"/>
  <c r="CO127" i="5"/>
  <c r="HH127" i="5" s="1"/>
  <c r="CO8" i="5"/>
  <c r="HH8" i="5" s="1"/>
  <c r="CO123" i="5"/>
  <c r="HH123" i="5" s="1"/>
  <c r="CO69" i="5"/>
  <c r="HH69" i="5" s="1"/>
  <c r="CO102" i="5"/>
  <c r="HH102" i="5" s="1"/>
  <c r="CO180" i="5"/>
  <c r="HH180" i="5" s="1"/>
  <c r="CO157" i="5"/>
  <c r="HH157" i="5" s="1"/>
  <c r="CO40" i="5"/>
  <c r="HH40" i="5" s="1"/>
  <c r="CO5" i="5"/>
  <c r="HH5" i="5" s="1"/>
  <c r="CO188" i="5"/>
  <c r="HH188" i="5" s="1"/>
  <c r="CO187" i="5"/>
  <c r="HH187" i="5" s="1"/>
  <c r="CO68" i="5"/>
  <c r="HH68" i="5" s="1"/>
  <c r="CO65" i="5"/>
  <c r="HH65" i="5" s="1"/>
  <c r="CO58" i="5"/>
  <c r="HH58" i="5" s="1"/>
  <c r="CO24" i="5"/>
  <c r="HH24" i="5" s="1"/>
  <c r="CO28" i="5"/>
  <c r="HH28" i="5" s="1"/>
  <c r="CO182" i="5"/>
  <c r="HH182" i="5" s="1"/>
  <c r="CO110" i="5"/>
  <c r="HH110" i="5" s="1"/>
  <c r="CO119" i="5"/>
  <c r="HH119" i="5" s="1"/>
  <c r="CO51" i="5"/>
  <c r="HH51" i="5" s="1"/>
  <c r="CO179" i="5"/>
  <c r="HH179" i="5" s="1"/>
  <c r="CO11" i="5"/>
  <c r="HH11" i="5" s="1"/>
  <c r="CO53" i="5"/>
  <c r="HH53" i="5" s="1"/>
  <c r="CO183" i="5"/>
  <c r="HH183" i="5" s="1"/>
  <c r="CO192" i="5"/>
  <c r="HH192" i="5" s="1"/>
  <c r="CO27" i="5"/>
  <c r="HH27" i="5" s="1"/>
  <c r="CO166" i="5"/>
  <c r="HH166" i="5" s="1"/>
  <c r="CO189" i="5"/>
  <c r="HH189" i="5" s="1"/>
  <c r="CO122" i="5"/>
  <c r="HH122" i="5" s="1"/>
  <c r="CO184" i="5"/>
  <c r="HH184" i="5" s="1"/>
  <c r="CO13" i="5"/>
  <c r="HH13" i="5" s="1"/>
  <c r="CO21" i="5"/>
  <c r="HH21" i="5" s="1"/>
  <c r="CO175" i="5"/>
  <c r="HH175" i="5" s="1"/>
  <c r="CO186" i="5"/>
  <c r="HH186" i="5" s="1"/>
  <c r="CO37" i="5"/>
  <c r="HH37" i="5" s="1"/>
  <c r="CO115" i="5"/>
  <c r="HH115" i="5" s="1"/>
  <c r="CO33" i="5"/>
  <c r="HH33" i="5" s="1"/>
  <c r="CO76" i="5"/>
  <c r="HH76" i="5" s="1"/>
  <c r="CO111" i="5"/>
  <c r="HH111" i="5" s="1"/>
  <c r="CO43" i="5"/>
  <c r="HH43" i="5" s="1"/>
  <c r="NP110" i="5"/>
  <c r="NP48" i="5"/>
  <c r="NP56" i="5"/>
  <c r="NP66" i="5"/>
  <c r="NP64" i="5"/>
  <c r="NP67" i="5"/>
  <c r="NP49" i="5"/>
  <c r="NP40" i="5"/>
  <c r="NP41" i="5"/>
  <c r="NP24" i="5"/>
  <c r="NP117" i="5"/>
  <c r="NP73" i="5"/>
  <c r="NP27" i="5"/>
  <c r="NP120" i="5"/>
  <c r="NP28" i="5"/>
  <c r="NP123" i="5"/>
  <c r="NP33" i="5"/>
  <c r="NP10" i="5"/>
  <c r="NP38" i="5"/>
  <c r="NP102" i="5"/>
  <c r="NP53" i="5"/>
  <c r="NP92" i="5"/>
  <c r="NP11" i="5"/>
  <c r="NP26" i="5"/>
  <c r="NP47" i="5"/>
  <c r="NP87" i="5"/>
  <c r="NP18" i="5"/>
  <c r="NP122" i="5"/>
  <c r="NP111" i="5"/>
  <c r="NP115" i="5"/>
  <c r="NP50" i="5"/>
  <c r="NP58" i="5"/>
  <c r="NP74" i="5"/>
  <c r="NP79" i="5"/>
  <c r="NP103" i="5"/>
  <c r="NP76" i="5"/>
  <c r="NP13" i="5"/>
  <c r="NP32" i="5"/>
  <c r="NP21" i="5"/>
  <c r="NP51" i="5"/>
  <c r="NP113" i="5"/>
  <c r="NP118" i="5"/>
  <c r="NP106" i="5"/>
  <c r="NP89" i="5"/>
  <c r="NP59" i="5"/>
  <c r="NP105" i="5"/>
  <c r="NP72" i="5"/>
  <c r="NP100" i="5"/>
  <c r="NP97" i="5"/>
  <c r="NP65" i="5"/>
  <c r="NP114" i="5"/>
  <c r="NP29" i="5"/>
  <c r="NP46" i="5"/>
  <c r="NP70" i="5"/>
  <c r="NP69" i="5"/>
  <c r="NP109" i="5"/>
  <c r="NP82" i="5"/>
  <c r="NP36" i="5"/>
  <c r="NP5" i="5"/>
  <c r="NP55" i="5"/>
  <c r="NP119" i="5"/>
  <c r="NP61" i="5"/>
  <c r="NP4" i="5"/>
  <c r="NP85" i="5"/>
  <c r="NP43" i="5"/>
  <c r="NP83" i="5"/>
  <c r="NP112" i="5"/>
  <c r="NP19" i="5"/>
  <c r="NP81" i="5"/>
  <c r="NP116" i="5"/>
  <c r="NP71" i="5"/>
  <c r="NP78" i="5"/>
  <c r="NP63" i="5"/>
  <c r="NP7" i="5"/>
  <c r="NP8" i="5"/>
  <c r="NP68" i="5"/>
  <c r="NP37" i="5"/>
  <c r="NP77" i="5"/>
  <c r="NP35" i="5"/>
  <c r="NP98" i="5"/>
  <c r="NQ3" i="5" l="1"/>
  <c r="NQ4" i="5"/>
  <c r="NQ6" i="5"/>
  <c r="NQ7" i="5"/>
  <c r="NQ9" i="5"/>
  <c r="NQ10" i="5"/>
  <c r="NQ12" i="5"/>
  <c r="NQ13" i="5"/>
  <c r="NQ15" i="5"/>
  <c r="NQ16" i="5"/>
  <c r="NQ17" i="5"/>
  <c r="NQ18" i="5"/>
  <c r="NQ20" i="5"/>
  <c r="NQ23" i="5"/>
  <c r="NQ25" i="5"/>
  <c r="NQ26" i="5"/>
  <c r="NQ27" i="5"/>
  <c r="NQ28" i="5"/>
  <c r="NQ31" i="5"/>
  <c r="NQ32" i="5"/>
  <c r="NQ34" i="5"/>
  <c r="NQ35" i="5"/>
  <c r="NQ36" i="5"/>
  <c r="NQ37" i="5"/>
  <c r="NQ39" i="5"/>
  <c r="NQ40" i="5"/>
  <c r="NQ42" i="5"/>
  <c r="NQ45" i="5"/>
  <c r="NQ46" i="5"/>
  <c r="NQ47" i="5"/>
  <c r="NQ48" i="5"/>
  <c r="NQ49" i="5"/>
  <c r="NQ50" i="5"/>
  <c r="NQ52" i="5"/>
  <c r="NQ54" i="5"/>
  <c r="NQ55" i="5"/>
  <c r="NQ56" i="5"/>
  <c r="NQ57" i="5"/>
  <c r="NQ58" i="5"/>
  <c r="NQ60" i="5"/>
  <c r="NQ62" i="5"/>
  <c r="NQ63" i="5"/>
  <c r="NQ64" i="5"/>
  <c r="NQ65" i="5"/>
  <c r="NQ66" i="5"/>
  <c r="NQ67" i="5"/>
  <c r="NQ68" i="5"/>
  <c r="NQ69" i="5"/>
  <c r="NQ70" i="5"/>
  <c r="NQ71" i="5"/>
  <c r="NQ72" i="5"/>
  <c r="NQ75" i="5"/>
  <c r="NQ76" i="5"/>
  <c r="NQ77" i="5"/>
  <c r="NQ78" i="5"/>
  <c r="NQ80" i="5"/>
  <c r="NQ81" i="5"/>
  <c r="NQ82" i="5"/>
  <c r="NQ84" i="5"/>
  <c r="NQ86" i="5"/>
  <c r="NQ87" i="5"/>
  <c r="NQ88" i="5"/>
  <c r="NQ90" i="5"/>
  <c r="NQ91" i="5"/>
  <c r="NQ93" i="5"/>
  <c r="NQ94" i="5"/>
  <c r="NQ95" i="5"/>
  <c r="NQ96" i="5"/>
  <c r="NQ97" i="5"/>
  <c r="NQ98" i="5"/>
  <c r="NQ99" i="5"/>
  <c r="NQ100" i="5"/>
  <c r="NQ101" i="5"/>
  <c r="NQ102" i="5"/>
  <c r="NQ104" i="5"/>
  <c r="NQ105" i="5"/>
  <c r="NQ106" i="5"/>
  <c r="NQ107" i="5"/>
  <c r="NQ108" i="5"/>
  <c r="NQ109" i="5"/>
  <c r="NQ110" i="5"/>
  <c r="NQ111" i="5"/>
  <c r="NQ112" i="5"/>
  <c r="NQ113" i="5"/>
  <c r="NQ114" i="5"/>
  <c r="NQ115" i="5"/>
  <c r="NQ116" i="5"/>
  <c r="NQ117" i="5"/>
  <c r="NQ118" i="5"/>
  <c r="NQ119" i="5"/>
  <c r="NQ120" i="5"/>
  <c r="NQ121" i="5"/>
  <c r="NQ122" i="5"/>
  <c r="NQ123" i="5"/>
  <c r="NQ124" i="5"/>
  <c r="NQ125" i="5"/>
  <c r="NQ126" i="5"/>
  <c r="NQ127" i="5"/>
  <c r="NQ128" i="5"/>
  <c r="NQ129" i="5"/>
  <c r="NQ131" i="5"/>
  <c r="NQ132" i="5"/>
  <c r="NQ133" i="5"/>
  <c r="NQ134" i="5"/>
  <c r="NQ135" i="5"/>
  <c r="NQ136" i="5"/>
  <c r="NQ137" i="5"/>
  <c r="NQ138" i="5"/>
  <c r="NQ139" i="5"/>
  <c r="NQ140" i="5"/>
  <c r="NQ141" i="5"/>
  <c r="NQ142" i="5"/>
  <c r="NQ143" i="5"/>
  <c r="NQ144" i="5"/>
  <c r="NQ146" i="5"/>
  <c r="NQ147" i="5"/>
  <c r="NQ148" i="5"/>
  <c r="NQ149" i="5"/>
  <c r="NQ150" i="5"/>
  <c r="NQ151" i="5"/>
  <c r="NQ152" i="5"/>
  <c r="NQ153" i="5"/>
  <c r="NQ155" i="5"/>
  <c r="NQ156" i="5"/>
  <c r="NQ157" i="5"/>
  <c r="NQ158" i="5"/>
  <c r="NQ159" i="5"/>
  <c r="NQ160" i="5"/>
  <c r="NQ161" i="5"/>
  <c r="NQ162" i="5"/>
  <c r="NQ163" i="5"/>
  <c r="NQ164" i="5"/>
  <c r="NQ165" i="5"/>
  <c r="NQ166" i="5"/>
  <c r="NQ167" i="5"/>
  <c r="NQ168" i="5"/>
  <c r="NQ169" i="5"/>
  <c r="NQ170" i="5"/>
  <c r="NQ171" i="5"/>
  <c r="NQ172" i="5"/>
  <c r="NQ173" i="5"/>
  <c r="NQ174" i="5"/>
  <c r="NQ175" i="5"/>
  <c r="NQ176" i="5"/>
  <c r="NQ177" i="5"/>
  <c r="NQ178" i="5"/>
  <c r="NQ179" i="5"/>
  <c r="NQ180" i="5"/>
  <c r="NQ181" i="5"/>
  <c r="NQ182" i="5"/>
  <c r="NQ183" i="5"/>
  <c r="NQ184" i="5"/>
  <c r="NQ185" i="5"/>
  <c r="NQ186" i="5"/>
  <c r="NQ187" i="5"/>
  <c r="NQ188" i="5"/>
  <c r="NQ189" i="5"/>
  <c r="NQ190" i="5"/>
  <c r="NQ191" i="5"/>
  <c r="NQ192" i="5"/>
  <c r="NQ193" i="5"/>
  <c r="NQ202" i="5"/>
  <c r="NQ203" i="5"/>
  <c r="NQ204" i="5"/>
  <c r="NQ205" i="5"/>
  <c r="NQ206" i="5"/>
  <c r="NQ207" i="5"/>
  <c r="NQ208" i="5"/>
  <c r="NQ209" i="5"/>
  <c r="NQ210" i="5"/>
  <c r="NQ211" i="5"/>
  <c r="NQ212" i="5"/>
  <c r="NQ213" i="5"/>
  <c r="NQ214" i="5"/>
  <c r="NQ215" i="5"/>
  <c r="NQ216" i="5"/>
  <c r="NQ217" i="5"/>
  <c r="NQ218" i="5"/>
  <c r="NQ219" i="5"/>
  <c r="NQ220" i="5"/>
  <c r="NQ221" i="5"/>
  <c r="NQ222" i="5"/>
  <c r="NQ223" i="5"/>
  <c r="NQ224" i="5"/>
  <c r="NQ225" i="5"/>
  <c r="NQ226" i="5"/>
  <c r="NQ227" i="5"/>
  <c r="NQ228" i="5"/>
  <c r="NQ229" i="5"/>
  <c r="NQ230" i="5"/>
  <c r="NQ231" i="5"/>
  <c r="NQ232" i="5"/>
  <c r="NQ233" i="5"/>
  <c r="NQ234" i="5"/>
  <c r="NQ235" i="5"/>
  <c r="NQ236" i="5"/>
  <c r="NQ238" i="5"/>
  <c r="NQ240" i="5"/>
  <c r="NQ241" i="5"/>
  <c r="NQ242" i="5"/>
  <c r="NQ244" i="5"/>
  <c r="NQ245" i="5"/>
  <c r="NQ246" i="5"/>
  <c r="NQ247" i="5"/>
  <c r="NQ248" i="5"/>
  <c r="NA3" i="5" l="1"/>
  <c r="NA4" i="5"/>
  <c r="NA5" i="5"/>
  <c r="NA6" i="5"/>
  <c r="NA7" i="5"/>
  <c r="NA8" i="5"/>
  <c r="NA9" i="5"/>
  <c r="NA10" i="5"/>
  <c r="NA11" i="5"/>
  <c r="NA12" i="5"/>
  <c r="NA13" i="5"/>
  <c r="NA14" i="5"/>
  <c r="NA15" i="5"/>
  <c r="NA16" i="5"/>
  <c r="NA17" i="5"/>
  <c r="NA18" i="5"/>
  <c r="NA19" i="5"/>
  <c r="NA20" i="5"/>
  <c r="NA21" i="5"/>
  <c r="NA22" i="5"/>
  <c r="NA23" i="5"/>
  <c r="NA24" i="5"/>
  <c r="NA25" i="5"/>
  <c r="NA26" i="5"/>
  <c r="NA27" i="5"/>
  <c r="NA28" i="5"/>
  <c r="NA29" i="5"/>
  <c r="NA30" i="5"/>
  <c r="NA31" i="5"/>
  <c r="NA32" i="5"/>
  <c r="NA33" i="5"/>
  <c r="NA34" i="5"/>
  <c r="NA35" i="5"/>
  <c r="NA36" i="5"/>
  <c r="NA37" i="5"/>
  <c r="NA38" i="5"/>
  <c r="NA39" i="5"/>
  <c r="NA40" i="5"/>
  <c r="NA41" i="5"/>
  <c r="NA42" i="5"/>
  <c r="NA43" i="5"/>
  <c r="NA44" i="5"/>
  <c r="NA45" i="5"/>
  <c r="NA46" i="5"/>
  <c r="NA47" i="5"/>
  <c r="NA48" i="5"/>
  <c r="NA49" i="5"/>
  <c r="NA50" i="5"/>
  <c r="NA51" i="5"/>
  <c r="NA52" i="5"/>
  <c r="NA53" i="5"/>
  <c r="NA54" i="5"/>
  <c r="NA55" i="5"/>
  <c r="NA56" i="5"/>
  <c r="NA57" i="5"/>
  <c r="NA58" i="5"/>
  <c r="NA59" i="5"/>
  <c r="NA60" i="5"/>
  <c r="NA61" i="5"/>
  <c r="NA62" i="5"/>
  <c r="NA63" i="5"/>
  <c r="NA64" i="5"/>
  <c r="NA65" i="5"/>
  <c r="NA66" i="5"/>
  <c r="NA67" i="5"/>
  <c r="NA68" i="5"/>
  <c r="NA69" i="5"/>
  <c r="NA70" i="5"/>
  <c r="NA71" i="5"/>
  <c r="NA72" i="5"/>
  <c r="NA73" i="5"/>
  <c r="NA74" i="5"/>
  <c r="NA75" i="5"/>
  <c r="NA76" i="5"/>
  <c r="NA77" i="5"/>
  <c r="NA78" i="5"/>
  <c r="NA79" i="5"/>
  <c r="NA80" i="5"/>
  <c r="NA81" i="5"/>
  <c r="NA82" i="5"/>
  <c r="NA83" i="5"/>
  <c r="NA84" i="5"/>
  <c r="NA85" i="5"/>
  <c r="NA86" i="5"/>
  <c r="NA87" i="5"/>
  <c r="NA88" i="5"/>
  <c r="NA89" i="5"/>
  <c r="NA90" i="5"/>
  <c r="NA91" i="5"/>
  <c r="NA92" i="5"/>
  <c r="NA93" i="5"/>
  <c r="NA94" i="5"/>
  <c r="NA95" i="5"/>
  <c r="NA96" i="5"/>
  <c r="NA97" i="5"/>
  <c r="NA98" i="5"/>
  <c r="NA99" i="5"/>
  <c r="NA100" i="5"/>
  <c r="NA101" i="5"/>
  <c r="NA102" i="5"/>
  <c r="NA103" i="5"/>
  <c r="NA104" i="5"/>
  <c r="NA105" i="5"/>
  <c r="NA106" i="5"/>
  <c r="NA107" i="5"/>
  <c r="NA108" i="5"/>
  <c r="NA109" i="5"/>
  <c r="NA110" i="5"/>
  <c r="NA111" i="5"/>
  <c r="NA112" i="5"/>
  <c r="NA113" i="5"/>
  <c r="NA114" i="5"/>
  <c r="NA115" i="5"/>
  <c r="NA116" i="5"/>
  <c r="NA117" i="5"/>
  <c r="NA118" i="5"/>
  <c r="NA119" i="5"/>
  <c r="NA120" i="5"/>
  <c r="NA121" i="5"/>
  <c r="NA122" i="5"/>
  <c r="NA123" i="5"/>
  <c r="NA124" i="5"/>
  <c r="NA125" i="5"/>
  <c r="NA126" i="5"/>
  <c r="NA127" i="5"/>
  <c r="NA128" i="5"/>
  <c r="NA129" i="5"/>
  <c r="NA130" i="5"/>
  <c r="NA131" i="5"/>
  <c r="NA132" i="5"/>
  <c r="NA133" i="5"/>
  <c r="NA134" i="5"/>
  <c r="NA135" i="5"/>
  <c r="NA136" i="5"/>
  <c r="NA137" i="5"/>
  <c r="NA138" i="5"/>
  <c r="NA139" i="5"/>
  <c r="NA140" i="5"/>
  <c r="NA141" i="5"/>
  <c r="NA142" i="5"/>
  <c r="NA143" i="5"/>
  <c r="NA144" i="5"/>
  <c r="NA145" i="5"/>
  <c r="NA146" i="5"/>
  <c r="NA147" i="5"/>
  <c r="NA148" i="5"/>
  <c r="NA149" i="5"/>
  <c r="NA150" i="5"/>
  <c r="NA151" i="5"/>
  <c r="NA152" i="5"/>
  <c r="NA153" i="5"/>
  <c r="NA154" i="5"/>
  <c r="NA155" i="5"/>
  <c r="NA156" i="5"/>
  <c r="NA157" i="5"/>
  <c r="NA158" i="5"/>
  <c r="NA159" i="5"/>
  <c r="NA160" i="5"/>
  <c r="NA161" i="5"/>
  <c r="NA162" i="5"/>
  <c r="NA163" i="5"/>
  <c r="NA164" i="5"/>
  <c r="NA165" i="5"/>
  <c r="NA166" i="5"/>
  <c r="NA167" i="5"/>
  <c r="NA168" i="5"/>
  <c r="NA169" i="5"/>
  <c r="NA170" i="5"/>
  <c r="NA171" i="5"/>
  <c r="NA172" i="5"/>
  <c r="NA173" i="5"/>
  <c r="NA174" i="5"/>
  <c r="NA175" i="5"/>
  <c r="NA176" i="5"/>
  <c r="NA177" i="5"/>
  <c r="NA178" i="5"/>
  <c r="NA179" i="5"/>
  <c r="NA180" i="5"/>
  <c r="NA181" i="5"/>
  <c r="NA182" i="5"/>
  <c r="NA183" i="5"/>
  <c r="NA184" i="5"/>
  <c r="NA185" i="5"/>
  <c r="NA186" i="5"/>
  <c r="NA187" i="5"/>
  <c r="NA188" i="5"/>
  <c r="NA189" i="5"/>
  <c r="NA190" i="5"/>
  <c r="NA191" i="5"/>
  <c r="NA192" i="5"/>
  <c r="NA193" i="5"/>
  <c r="NA202" i="5"/>
  <c r="NA203" i="5"/>
  <c r="NA204" i="5"/>
  <c r="NA205" i="5"/>
  <c r="NA206" i="5"/>
  <c r="NA207" i="5"/>
  <c r="NA208" i="5"/>
  <c r="NA209" i="5"/>
  <c r="NA210" i="5"/>
  <c r="NA211" i="5"/>
  <c r="NA212" i="5"/>
  <c r="NA213" i="5"/>
  <c r="NA214" i="5"/>
  <c r="NA215" i="5"/>
  <c r="NA216" i="5"/>
  <c r="NA217" i="5"/>
  <c r="NA218" i="5"/>
  <c r="NA219" i="5"/>
  <c r="NA220" i="5"/>
  <c r="NA221" i="5"/>
  <c r="NA222" i="5"/>
  <c r="NA223" i="5"/>
  <c r="NA224" i="5"/>
  <c r="NA225" i="5"/>
  <c r="NA226" i="5"/>
  <c r="NA227" i="5"/>
  <c r="NA228" i="5"/>
  <c r="NA229" i="5"/>
  <c r="NA230" i="5"/>
  <c r="NA231" i="5"/>
  <c r="NA232" i="5"/>
  <c r="NA233" i="5"/>
  <c r="NA234" i="5"/>
  <c r="NA235" i="5"/>
  <c r="NA236" i="5"/>
  <c r="NA237" i="5"/>
  <c r="NA238" i="5"/>
  <c r="NA239" i="5"/>
  <c r="NA240" i="5"/>
  <c r="NA241" i="5"/>
  <c r="NA242" i="5"/>
  <c r="NA243" i="5"/>
  <c r="NA244" i="5"/>
  <c r="NA245" i="5"/>
  <c r="NA246" i="5"/>
  <c r="NA247" i="5"/>
  <c r="NA248" i="5"/>
  <c r="NC3" i="5" l="1"/>
  <c r="NC4" i="5"/>
  <c r="NC5" i="5"/>
  <c r="NC6" i="5"/>
  <c r="NC7" i="5"/>
  <c r="NC8" i="5"/>
  <c r="NC9" i="5"/>
  <c r="NC10" i="5"/>
  <c r="NC11" i="5"/>
  <c r="NC12" i="5"/>
  <c r="NC13" i="5"/>
  <c r="NC14" i="5"/>
  <c r="NC15" i="5"/>
  <c r="NC16" i="5"/>
  <c r="NC17" i="5"/>
  <c r="NC18" i="5"/>
  <c r="NC19" i="5"/>
  <c r="NC20" i="5"/>
  <c r="NC21" i="5"/>
  <c r="NC22" i="5"/>
  <c r="NC23" i="5"/>
  <c r="NC24" i="5"/>
  <c r="NC25" i="5"/>
  <c r="NC26" i="5"/>
  <c r="NC27" i="5"/>
  <c r="NC28" i="5"/>
  <c r="NC29" i="5"/>
  <c r="NC30" i="5"/>
  <c r="NC31" i="5"/>
  <c r="NC32" i="5"/>
  <c r="NC33" i="5"/>
  <c r="NC34" i="5"/>
  <c r="NC35" i="5"/>
  <c r="NC36" i="5"/>
  <c r="NC37" i="5"/>
  <c r="NC38" i="5"/>
  <c r="NC39" i="5"/>
  <c r="NC40" i="5"/>
  <c r="NC41" i="5"/>
  <c r="NC42" i="5"/>
  <c r="NC43" i="5"/>
  <c r="NC44" i="5"/>
  <c r="NC45" i="5"/>
  <c r="NC46" i="5"/>
  <c r="NC47" i="5"/>
  <c r="NC48" i="5"/>
  <c r="NC49" i="5"/>
  <c r="NC50" i="5"/>
  <c r="NC51" i="5"/>
  <c r="NC52" i="5"/>
  <c r="NC53" i="5"/>
  <c r="NC54" i="5"/>
  <c r="NC55" i="5"/>
  <c r="NC56" i="5"/>
  <c r="NC57" i="5"/>
  <c r="NC58" i="5"/>
  <c r="NC59" i="5"/>
  <c r="NC60" i="5"/>
  <c r="NC61" i="5"/>
  <c r="NC62" i="5"/>
  <c r="NC63" i="5"/>
  <c r="NC64" i="5"/>
  <c r="NC65" i="5"/>
  <c r="NC66" i="5"/>
  <c r="NC67" i="5"/>
  <c r="NC68" i="5"/>
  <c r="NC69" i="5"/>
  <c r="NC70" i="5"/>
  <c r="NC71" i="5"/>
  <c r="NC72" i="5"/>
  <c r="NC73" i="5"/>
  <c r="NC74" i="5"/>
  <c r="NC75" i="5"/>
  <c r="NC76" i="5"/>
  <c r="NC77" i="5"/>
  <c r="NC78" i="5"/>
  <c r="NC79" i="5"/>
  <c r="NC80" i="5"/>
  <c r="NC81" i="5"/>
  <c r="NC82" i="5"/>
  <c r="NC83" i="5"/>
  <c r="NC84" i="5"/>
  <c r="NC85" i="5"/>
  <c r="NC86" i="5"/>
  <c r="NC87" i="5"/>
  <c r="NC88" i="5"/>
  <c r="NC89" i="5"/>
  <c r="NC90" i="5"/>
  <c r="NC91" i="5"/>
  <c r="NC92" i="5"/>
  <c r="NC93" i="5"/>
  <c r="NC94" i="5"/>
  <c r="NC95" i="5"/>
  <c r="NC96" i="5"/>
  <c r="NC97" i="5"/>
  <c r="NC98" i="5"/>
  <c r="NC99" i="5"/>
  <c r="NC100" i="5"/>
  <c r="NC101" i="5"/>
  <c r="NC102" i="5"/>
  <c r="NC103" i="5"/>
  <c r="NC104" i="5"/>
  <c r="NC105" i="5"/>
  <c r="NC106" i="5"/>
  <c r="NC107" i="5"/>
  <c r="NC108" i="5"/>
  <c r="NC109" i="5"/>
  <c r="NC110" i="5"/>
  <c r="NC111" i="5"/>
  <c r="NC112" i="5"/>
  <c r="NC113" i="5"/>
  <c r="NC114" i="5"/>
  <c r="NC115" i="5"/>
  <c r="NC116" i="5"/>
  <c r="NC117" i="5"/>
  <c r="NC118" i="5"/>
  <c r="NC119" i="5"/>
  <c r="NC120" i="5"/>
  <c r="NC121" i="5"/>
  <c r="NC122" i="5"/>
  <c r="NC123" i="5"/>
  <c r="NC124" i="5"/>
  <c r="NC125" i="5"/>
  <c r="NC126" i="5"/>
  <c r="NC127" i="5"/>
  <c r="NC128" i="5"/>
  <c r="NC129" i="5"/>
  <c r="NC130" i="5"/>
  <c r="NC131" i="5"/>
  <c r="NC132" i="5"/>
  <c r="NC133" i="5"/>
  <c r="NC134" i="5"/>
  <c r="NC135" i="5"/>
  <c r="NC136" i="5"/>
  <c r="NC137" i="5"/>
  <c r="NC138" i="5"/>
  <c r="NC139" i="5"/>
  <c r="NC140" i="5"/>
  <c r="NC141" i="5"/>
  <c r="NC142" i="5"/>
  <c r="NC143" i="5"/>
  <c r="NC144" i="5"/>
  <c r="NC145" i="5"/>
  <c r="NC146" i="5"/>
  <c r="NC147" i="5"/>
  <c r="NC148" i="5"/>
  <c r="NC149" i="5"/>
  <c r="NC150" i="5"/>
  <c r="NC151" i="5"/>
  <c r="NC152" i="5"/>
  <c r="NC153" i="5"/>
  <c r="NC154" i="5"/>
  <c r="NC155" i="5"/>
  <c r="NC156" i="5"/>
  <c r="NC157" i="5"/>
  <c r="NC158" i="5"/>
  <c r="NC159" i="5"/>
  <c r="NC160" i="5"/>
  <c r="NC161" i="5"/>
  <c r="NC162" i="5"/>
  <c r="NC163" i="5"/>
  <c r="NC164" i="5"/>
  <c r="NC165" i="5"/>
  <c r="NC166" i="5"/>
  <c r="NC167" i="5"/>
  <c r="NC168" i="5"/>
  <c r="NC169" i="5"/>
  <c r="NC170" i="5"/>
  <c r="NC171" i="5"/>
  <c r="NC172" i="5"/>
  <c r="NC173" i="5"/>
  <c r="NC174" i="5"/>
  <c r="NC175" i="5"/>
  <c r="NC176" i="5"/>
  <c r="NC177" i="5"/>
  <c r="NC178" i="5"/>
  <c r="NC179" i="5"/>
  <c r="NC180" i="5"/>
  <c r="NC181" i="5"/>
  <c r="NC182" i="5"/>
  <c r="NC183" i="5"/>
  <c r="NC184" i="5"/>
  <c r="NC185" i="5"/>
  <c r="NC186" i="5"/>
  <c r="NC187" i="5"/>
  <c r="NC188" i="5"/>
  <c r="NC189" i="5"/>
  <c r="NC190" i="5"/>
  <c r="NC191" i="5"/>
  <c r="NC192" i="5"/>
  <c r="NC193" i="5"/>
  <c r="NC202" i="5"/>
  <c r="NC203" i="5"/>
  <c r="NC204" i="5"/>
  <c r="NC205" i="5"/>
  <c r="NC206" i="5"/>
  <c r="NC207" i="5"/>
  <c r="NC208" i="5"/>
  <c r="NC209" i="5"/>
  <c r="NC210" i="5"/>
  <c r="NC211" i="5"/>
  <c r="NC212" i="5"/>
  <c r="NC213" i="5"/>
  <c r="NC214" i="5"/>
  <c r="NC215" i="5"/>
  <c r="NC216" i="5"/>
  <c r="NC217" i="5"/>
  <c r="NC218" i="5"/>
  <c r="NC219" i="5"/>
  <c r="NC220" i="5"/>
  <c r="NC221" i="5"/>
  <c r="NC222" i="5"/>
  <c r="NC223" i="5"/>
  <c r="NC224" i="5"/>
  <c r="NC225" i="5"/>
  <c r="NC226" i="5"/>
  <c r="NC227" i="5"/>
  <c r="NC228" i="5"/>
  <c r="NC229" i="5"/>
  <c r="NC230" i="5"/>
  <c r="NC231" i="5"/>
  <c r="NC232" i="5"/>
  <c r="NC233" i="5"/>
  <c r="NC234" i="5"/>
  <c r="NC235" i="5"/>
  <c r="NC236" i="5"/>
  <c r="NC237" i="5"/>
  <c r="NC238" i="5"/>
  <c r="NC239" i="5"/>
  <c r="NC240" i="5"/>
  <c r="NC241" i="5"/>
  <c r="NC242" i="5"/>
  <c r="NC243" i="5"/>
  <c r="NC244" i="5"/>
  <c r="NC245" i="5"/>
  <c r="NC246" i="5"/>
  <c r="NC247" i="5"/>
  <c r="NC248" i="5"/>
  <c r="NB3" i="5"/>
  <c r="NB4" i="5"/>
  <c r="NB5" i="5"/>
  <c r="NB6" i="5"/>
  <c r="NB7" i="5"/>
  <c r="NB8" i="5"/>
  <c r="NB9" i="5"/>
  <c r="NB10" i="5"/>
  <c r="NB11" i="5"/>
  <c r="NB12" i="5"/>
  <c r="NB13" i="5"/>
  <c r="NB14" i="5"/>
  <c r="NB15" i="5"/>
  <c r="NB16" i="5"/>
  <c r="NB17" i="5"/>
  <c r="NB18" i="5"/>
  <c r="NB19" i="5"/>
  <c r="NB20" i="5"/>
  <c r="NB21" i="5"/>
  <c r="NB22" i="5"/>
  <c r="NB23" i="5"/>
  <c r="NB24" i="5"/>
  <c r="NB25" i="5"/>
  <c r="NB26" i="5"/>
  <c r="NB27" i="5"/>
  <c r="NB28" i="5"/>
  <c r="NB29" i="5"/>
  <c r="NB30" i="5"/>
  <c r="NB31" i="5"/>
  <c r="NB32" i="5"/>
  <c r="NB33" i="5"/>
  <c r="NB34" i="5"/>
  <c r="NB35" i="5"/>
  <c r="NB36" i="5"/>
  <c r="NB37" i="5"/>
  <c r="NB38" i="5"/>
  <c r="NB39" i="5"/>
  <c r="NB40" i="5"/>
  <c r="NB41" i="5"/>
  <c r="NB42" i="5"/>
  <c r="NB43" i="5"/>
  <c r="NB44" i="5"/>
  <c r="NB45" i="5"/>
  <c r="NB46" i="5"/>
  <c r="NB47" i="5"/>
  <c r="NB48" i="5"/>
  <c r="NB49" i="5"/>
  <c r="NB50" i="5"/>
  <c r="NB51" i="5"/>
  <c r="NB52" i="5"/>
  <c r="NB53" i="5"/>
  <c r="NB54" i="5"/>
  <c r="NB55" i="5"/>
  <c r="NB56" i="5"/>
  <c r="NB57" i="5"/>
  <c r="NB58" i="5"/>
  <c r="NB59" i="5"/>
  <c r="NB60" i="5"/>
  <c r="NB61" i="5"/>
  <c r="NB62" i="5"/>
  <c r="NB63" i="5"/>
  <c r="NB64" i="5"/>
  <c r="NB65" i="5"/>
  <c r="NB66" i="5"/>
  <c r="NB67" i="5"/>
  <c r="NB68" i="5"/>
  <c r="NB69" i="5"/>
  <c r="NB70" i="5"/>
  <c r="NB71" i="5"/>
  <c r="NB72" i="5"/>
  <c r="NB73" i="5"/>
  <c r="NB74" i="5"/>
  <c r="NB75" i="5"/>
  <c r="NB76" i="5"/>
  <c r="NB77" i="5"/>
  <c r="NB78" i="5"/>
  <c r="NB79" i="5"/>
  <c r="NB80" i="5"/>
  <c r="NB81" i="5"/>
  <c r="NB82" i="5"/>
  <c r="NB83" i="5"/>
  <c r="NB84" i="5"/>
  <c r="NB85" i="5"/>
  <c r="NB86" i="5"/>
  <c r="NB87" i="5"/>
  <c r="NB88" i="5"/>
  <c r="NB89" i="5"/>
  <c r="NB90" i="5"/>
  <c r="NB91" i="5"/>
  <c r="NB92" i="5"/>
  <c r="NB93" i="5"/>
  <c r="NB94" i="5"/>
  <c r="NB95" i="5"/>
  <c r="NB96" i="5"/>
  <c r="NB97" i="5"/>
  <c r="NB98" i="5"/>
  <c r="NB99" i="5"/>
  <c r="NB100" i="5"/>
  <c r="NB101" i="5"/>
  <c r="NB102" i="5"/>
  <c r="NB103" i="5"/>
  <c r="NB104" i="5"/>
  <c r="NB105" i="5"/>
  <c r="NB106" i="5"/>
  <c r="NB107" i="5"/>
  <c r="NB108" i="5"/>
  <c r="NB109" i="5"/>
  <c r="NB110" i="5"/>
  <c r="NB111" i="5"/>
  <c r="NB112" i="5"/>
  <c r="NB113" i="5"/>
  <c r="NB114" i="5"/>
  <c r="NB115" i="5"/>
  <c r="NB116" i="5"/>
  <c r="NB117" i="5"/>
  <c r="NB118" i="5"/>
  <c r="NB119" i="5"/>
  <c r="NB120" i="5"/>
  <c r="NB121" i="5"/>
  <c r="NB122" i="5"/>
  <c r="NB123" i="5"/>
  <c r="NB124" i="5"/>
  <c r="NB125" i="5"/>
  <c r="NB126" i="5"/>
  <c r="NB127" i="5"/>
  <c r="NB128" i="5"/>
  <c r="NB129" i="5"/>
  <c r="NB130" i="5"/>
  <c r="NB131" i="5"/>
  <c r="NB132" i="5"/>
  <c r="NB133" i="5"/>
  <c r="NB134" i="5"/>
  <c r="NB135" i="5"/>
  <c r="NB136" i="5"/>
  <c r="NB137" i="5"/>
  <c r="NB138" i="5"/>
  <c r="NB139" i="5"/>
  <c r="NB140" i="5"/>
  <c r="NB141" i="5"/>
  <c r="NB142" i="5"/>
  <c r="NB143" i="5"/>
  <c r="NB144" i="5"/>
  <c r="NB145" i="5"/>
  <c r="NB146" i="5"/>
  <c r="NB147" i="5"/>
  <c r="NB148" i="5"/>
  <c r="NB149" i="5"/>
  <c r="NB150" i="5"/>
  <c r="NB151" i="5"/>
  <c r="NB152" i="5"/>
  <c r="NB153" i="5"/>
  <c r="NB154" i="5"/>
  <c r="NB155" i="5"/>
  <c r="NB156" i="5"/>
  <c r="NB157" i="5"/>
  <c r="NB158" i="5"/>
  <c r="NB159" i="5"/>
  <c r="NB160" i="5"/>
  <c r="NB161" i="5"/>
  <c r="NB162" i="5"/>
  <c r="NB163" i="5"/>
  <c r="NB164" i="5"/>
  <c r="NB165" i="5"/>
  <c r="NB166" i="5"/>
  <c r="NB167" i="5"/>
  <c r="NB168" i="5"/>
  <c r="NB169" i="5"/>
  <c r="NB170" i="5"/>
  <c r="NB171" i="5"/>
  <c r="NB172" i="5"/>
  <c r="NB173" i="5"/>
  <c r="NB174" i="5"/>
  <c r="NB175" i="5"/>
  <c r="NB176" i="5"/>
  <c r="NB177" i="5"/>
  <c r="NB178" i="5"/>
  <c r="NB179" i="5"/>
  <c r="NB180" i="5"/>
  <c r="NB181" i="5"/>
  <c r="NB182" i="5"/>
  <c r="NB183" i="5"/>
  <c r="NB184" i="5"/>
  <c r="NB185" i="5"/>
  <c r="NB186" i="5"/>
  <c r="NB187" i="5"/>
  <c r="NB188" i="5"/>
  <c r="NB189" i="5"/>
  <c r="NB190" i="5"/>
  <c r="NB191" i="5"/>
  <c r="NB192" i="5"/>
  <c r="NB193" i="5"/>
  <c r="NB202" i="5"/>
  <c r="NB203" i="5"/>
  <c r="NB204" i="5"/>
  <c r="NB205" i="5"/>
  <c r="NB206" i="5"/>
  <c r="NB207" i="5"/>
  <c r="NB208" i="5"/>
  <c r="NB209" i="5"/>
  <c r="NB210" i="5"/>
  <c r="NB211" i="5"/>
  <c r="NB212" i="5"/>
  <c r="NB213" i="5"/>
  <c r="NB214" i="5"/>
  <c r="NB215" i="5"/>
  <c r="NB216" i="5"/>
  <c r="NB217" i="5"/>
  <c r="NB218" i="5"/>
  <c r="NB219" i="5"/>
  <c r="NB220" i="5"/>
  <c r="NB221" i="5"/>
  <c r="NB222" i="5"/>
  <c r="NB223" i="5"/>
  <c r="NB224" i="5"/>
  <c r="NB225" i="5"/>
  <c r="NB226" i="5"/>
  <c r="NB227" i="5"/>
  <c r="NB228" i="5"/>
  <c r="NB229" i="5"/>
  <c r="NB230" i="5"/>
  <c r="NB231" i="5"/>
  <c r="NB232" i="5"/>
  <c r="NB233" i="5"/>
  <c r="NB234" i="5"/>
  <c r="NB235" i="5"/>
  <c r="NB236" i="5"/>
  <c r="NB237" i="5"/>
  <c r="NB238" i="5"/>
  <c r="NB239" i="5"/>
  <c r="NB240" i="5"/>
  <c r="NB241" i="5"/>
  <c r="NB242" i="5"/>
  <c r="NB243" i="5"/>
  <c r="NB244" i="5"/>
  <c r="NB245" i="5"/>
  <c r="NB246" i="5"/>
  <c r="NB247" i="5"/>
  <c r="NB248" i="5"/>
  <c r="N10" i="30" l="1"/>
  <c r="N7" i="30"/>
  <c r="N9" i="30"/>
  <c r="NI4" i="5"/>
  <c r="NI5" i="5"/>
  <c r="NI7" i="5"/>
  <c r="NI8" i="5"/>
  <c r="NI10" i="5"/>
  <c r="NI11" i="5"/>
  <c r="NI13" i="5"/>
  <c r="NI18" i="5"/>
  <c r="NI19" i="5"/>
  <c r="NI21" i="5"/>
  <c r="NI24" i="5"/>
  <c r="NI26" i="5"/>
  <c r="NI27" i="5"/>
  <c r="NI28" i="5"/>
  <c r="NI29" i="5"/>
  <c r="NI32" i="5"/>
  <c r="NI33" i="5"/>
  <c r="NI35" i="5"/>
  <c r="NI36" i="5"/>
  <c r="NI37" i="5"/>
  <c r="NI38" i="5"/>
  <c r="NI40" i="5"/>
  <c r="NI41" i="5"/>
  <c r="NI43" i="5"/>
  <c r="NI46" i="5"/>
  <c r="NI47" i="5"/>
  <c r="NI48" i="5"/>
  <c r="NI49" i="5"/>
  <c r="NI50" i="5"/>
  <c r="NI51" i="5"/>
  <c r="NI53" i="5"/>
  <c r="NI55" i="5"/>
  <c r="NI56" i="5"/>
  <c r="NI58" i="5"/>
  <c r="NI59" i="5"/>
  <c r="NI61" i="5"/>
  <c r="NI63" i="5"/>
  <c r="NI64" i="5"/>
  <c r="NI65" i="5"/>
  <c r="NI66" i="5"/>
  <c r="NI67" i="5"/>
  <c r="NI68" i="5"/>
  <c r="NI69" i="5"/>
  <c r="NI70" i="5"/>
  <c r="NI71" i="5"/>
  <c r="NI72" i="5"/>
  <c r="NI73" i="5"/>
  <c r="NI74" i="5"/>
  <c r="NI76" i="5"/>
  <c r="NI77" i="5"/>
  <c r="NI78" i="5"/>
  <c r="NI79" i="5"/>
  <c r="NI81" i="5"/>
  <c r="NI82" i="5"/>
  <c r="NI83" i="5"/>
  <c r="NI85" i="5"/>
  <c r="NI87" i="5"/>
  <c r="NI89" i="5"/>
  <c r="NI92" i="5"/>
  <c r="NI97" i="5"/>
  <c r="NI98" i="5"/>
  <c r="NI100" i="5"/>
  <c r="NI102" i="5"/>
  <c r="NI103" i="5"/>
  <c r="NI105" i="5"/>
  <c r="NI106" i="5"/>
  <c r="NI109" i="5"/>
  <c r="NI110" i="5"/>
  <c r="NI111" i="5"/>
  <c r="NI112" i="5"/>
  <c r="NI113" i="5"/>
  <c r="NI114" i="5"/>
  <c r="NI115" i="5"/>
  <c r="NI116" i="5"/>
  <c r="NI117" i="5"/>
  <c r="NI118" i="5"/>
  <c r="NI119" i="5"/>
  <c r="NI120" i="5"/>
  <c r="NI122" i="5"/>
  <c r="NI123" i="5"/>
  <c r="DX118" i="5" l="1"/>
  <c r="HM118" i="5"/>
  <c r="DX110" i="5"/>
  <c r="HM110" i="5"/>
  <c r="DX100" i="5"/>
  <c r="HM100" i="5"/>
  <c r="DX79" i="5"/>
  <c r="HM79" i="5"/>
  <c r="DX70" i="5"/>
  <c r="HM70" i="5"/>
  <c r="DX61" i="5"/>
  <c r="HM61" i="5"/>
  <c r="DX49" i="5"/>
  <c r="HM49" i="5"/>
  <c r="DX37" i="5"/>
  <c r="HM37" i="5"/>
  <c r="DX26" i="5"/>
  <c r="HM26" i="5"/>
  <c r="DX10" i="5"/>
  <c r="HM10" i="5"/>
  <c r="DX117" i="5"/>
  <c r="HM117" i="5"/>
  <c r="DX109" i="5"/>
  <c r="HM109" i="5"/>
  <c r="DX89" i="5"/>
  <c r="HM89" i="5"/>
  <c r="DX78" i="5"/>
  <c r="HM78" i="5"/>
  <c r="DX69" i="5"/>
  <c r="HM69" i="5"/>
  <c r="DX59" i="5"/>
  <c r="HM59" i="5"/>
  <c r="DX48" i="5"/>
  <c r="HM48" i="5"/>
  <c r="DX36" i="5"/>
  <c r="HM36" i="5"/>
  <c r="DX24" i="5"/>
  <c r="HM24" i="5"/>
  <c r="DX8" i="5"/>
  <c r="HM8" i="5"/>
  <c r="DX116" i="5"/>
  <c r="HM116" i="5"/>
  <c r="DX98" i="5"/>
  <c r="HM98" i="5"/>
  <c r="DX77" i="5"/>
  <c r="HM77" i="5"/>
  <c r="DX68" i="5"/>
  <c r="HM68" i="5"/>
  <c r="DX58" i="5"/>
  <c r="HM58" i="5"/>
  <c r="DX47" i="5"/>
  <c r="HM47" i="5"/>
  <c r="DX35" i="5"/>
  <c r="HM35" i="5"/>
  <c r="DX21" i="5"/>
  <c r="HM21" i="5"/>
  <c r="DX7" i="5"/>
  <c r="HM7" i="5"/>
  <c r="DX123" i="5"/>
  <c r="HM123" i="5"/>
  <c r="DX115" i="5"/>
  <c r="HM115" i="5"/>
  <c r="DX106" i="5"/>
  <c r="HM106" i="5"/>
  <c r="DX97" i="5"/>
  <c r="HM97" i="5"/>
  <c r="DX87" i="5"/>
  <c r="HM87" i="5"/>
  <c r="DX76" i="5"/>
  <c r="HM76" i="5"/>
  <c r="DX67" i="5"/>
  <c r="HM67" i="5"/>
  <c r="DX56" i="5"/>
  <c r="HM56" i="5"/>
  <c r="DX46" i="5"/>
  <c r="HM46" i="5"/>
  <c r="DX33" i="5"/>
  <c r="HM33" i="5"/>
  <c r="DX19" i="5"/>
  <c r="HM19" i="5"/>
  <c r="DX5" i="5"/>
  <c r="HM5" i="5"/>
  <c r="DX122" i="5"/>
  <c r="HM122" i="5"/>
  <c r="DX114" i="5"/>
  <c r="HM114" i="5"/>
  <c r="DX105" i="5"/>
  <c r="HM105" i="5"/>
  <c r="DX85" i="5"/>
  <c r="HM85" i="5"/>
  <c r="DX74" i="5"/>
  <c r="HM74" i="5"/>
  <c r="DX66" i="5"/>
  <c r="HM66" i="5"/>
  <c r="DX55" i="5"/>
  <c r="HM55" i="5"/>
  <c r="DX43" i="5"/>
  <c r="HM43" i="5"/>
  <c r="DX32" i="5"/>
  <c r="HM32" i="5"/>
  <c r="DX18" i="5"/>
  <c r="HM18" i="5"/>
  <c r="DX4" i="5"/>
  <c r="HM4" i="5"/>
  <c r="DX113" i="5"/>
  <c r="HM113" i="5"/>
  <c r="DX103" i="5"/>
  <c r="HM103" i="5"/>
  <c r="DX83" i="5"/>
  <c r="HM83" i="5"/>
  <c r="DX73" i="5"/>
  <c r="HM73" i="5"/>
  <c r="DX65" i="5"/>
  <c r="HM65" i="5"/>
  <c r="DX53" i="5"/>
  <c r="HM53" i="5"/>
  <c r="DX41" i="5"/>
  <c r="HM41" i="5"/>
  <c r="DX29" i="5"/>
  <c r="HM29" i="5"/>
  <c r="DX120" i="5"/>
  <c r="HM120" i="5"/>
  <c r="DX112" i="5"/>
  <c r="HM112" i="5"/>
  <c r="DX102" i="5"/>
  <c r="HM102" i="5"/>
  <c r="DX92" i="5"/>
  <c r="HM92" i="5"/>
  <c r="DX82" i="5"/>
  <c r="HM82" i="5"/>
  <c r="DX72" i="5"/>
  <c r="HM72" i="5"/>
  <c r="DX64" i="5"/>
  <c r="HM64" i="5"/>
  <c r="DX51" i="5"/>
  <c r="HM51" i="5"/>
  <c r="DX40" i="5"/>
  <c r="HM40" i="5"/>
  <c r="DX28" i="5"/>
  <c r="HM28" i="5"/>
  <c r="DX13" i="5"/>
  <c r="HM13" i="5"/>
  <c r="DX119" i="5"/>
  <c r="HM119" i="5"/>
  <c r="DX111" i="5"/>
  <c r="HM111" i="5"/>
  <c r="DX81" i="5"/>
  <c r="HM81" i="5"/>
  <c r="DX71" i="5"/>
  <c r="HM71" i="5"/>
  <c r="DX63" i="5"/>
  <c r="HM63" i="5"/>
  <c r="DX50" i="5"/>
  <c r="HM50" i="5"/>
  <c r="DX38" i="5"/>
  <c r="HM38" i="5"/>
  <c r="DX27" i="5"/>
  <c r="HM27" i="5"/>
  <c r="DX11" i="5"/>
  <c r="HM11" i="5"/>
  <c r="B18" i="30"/>
  <c r="D24" i="30"/>
  <c r="B24" i="30"/>
  <c r="D21" i="30"/>
  <c r="B17" i="30"/>
  <c r="D18" i="30"/>
  <c r="B21" i="30"/>
  <c r="D17" i="30"/>
  <c r="NR40" i="5"/>
  <c r="NR41" i="5"/>
  <c r="NR61" i="5"/>
  <c r="NR43" i="5"/>
  <c r="NR248" i="5"/>
  <c r="NR247" i="5"/>
  <c r="NR245" i="5"/>
  <c r="NR246" i="5"/>
  <c r="NR244" i="5"/>
  <c r="NR241" i="5"/>
  <c r="NR243" i="5"/>
  <c r="NR240" i="5"/>
  <c r="NR239" i="5"/>
  <c r="NR235" i="5"/>
  <c r="NR236" i="5"/>
  <c r="NR237" i="5"/>
  <c r="NR221" i="5"/>
  <c r="NR218" i="5"/>
  <c r="NR216" i="5"/>
  <c r="NR217" i="5"/>
  <c r="NR215" i="5"/>
  <c r="NR214" i="5"/>
  <c r="NR207" i="5"/>
  <c r="NR192" i="5"/>
  <c r="NR191" i="5"/>
  <c r="NR186" i="5"/>
  <c r="NR187" i="5"/>
  <c r="NR184" i="5"/>
  <c r="NR182" i="5"/>
  <c r="NR183" i="5"/>
  <c r="NR178" i="5"/>
  <c r="NR167" i="5"/>
  <c r="NR166" i="5"/>
  <c r="NR163" i="5"/>
  <c r="NR161" i="5"/>
  <c r="NR160" i="5"/>
  <c r="NR151" i="5"/>
  <c r="NR147" i="5"/>
  <c r="NR140" i="5"/>
  <c r="NR141" i="5"/>
  <c r="NR122" i="5"/>
  <c r="NR119" i="5"/>
  <c r="NR123" i="5"/>
  <c r="NR118" i="5"/>
  <c r="NR117" i="5"/>
  <c r="NR111" i="5"/>
  <c r="NM4" i="5"/>
  <c r="NM5" i="5"/>
  <c r="NM6" i="5"/>
  <c r="NM7" i="5"/>
  <c r="NM8" i="5"/>
  <c r="NM9" i="5"/>
  <c r="NM10" i="5"/>
  <c r="NM11" i="5"/>
  <c r="NM12" i="5"/>
  <c r="NM13" i="5"/>
  <c r="NM14" i="5"/>
  <c r="NM15" i="5"/>
  <c r="NM16" i="5"/>
  <c r="NM17" i="5"/>
  <c r="NM18" i="5"/>
  <c r="NM19" i="5"/>
  <c r="NM20" i="5"/>
  <c r="NM21" i="5"/>
  <c r="NM22" i="5"/>
  <c r="NM23" i="5"/>
  <c r="NM24" i="5"/>
  <c r="NM25" i="5"/>
  <c r="NM26" i="5"/>
  <c r="NM27" i="5"/>
  <c r="NM28" i="5"/>
  <c r="NM29" i="5"/>
  <c r="NM30" i="5"/>
  <c r="NM31" i="5"/>
  <c r="NM32" i="5"/>
  <c r="NM33" i="5"/>
  <c r="NM34" i="5"/>
  <c r="NM35" i="5"/>
  <c r="NM36" i="5"/>
  <c r="NM37" i="5"/>
  <c r="NM38" i="5"/>
  <c r="NM39" i="5"/>
  <c r="NM40" i="5"/>
  <c r="NN40" i="5"/>
  <c r="NO40" i="5"/>
  <c r="NM41" i="5"/>
  <c r="NM42" i="5"/>
  <c r="NM43" i="5"/>
  <c r="NN43" i="5"/>
  <c r="NO43" i="5"/>
  <c r="NM44" i="5"/>
  <c r="NM45" i="5"/>
  <c r="NM46" i="5"/>
  <c r="NM47" i="5"/>
  <c r="NM48" i="5"/>
  <c r="NM49" i="5"/>
  <c r="NM50" i="5"/>
  <c r="NM51" i="5"/>
  <c r="NM52" i="5"/>
  <c r="NM53" i="5"/>
  <c r="NM54" i="5"/>
  <c r="NM55" i="5"/>
  <c r="NM56" i="5"/>
  <c r="NM57" i="5"/>
  <c r="NM58" i="5"/>
  <c r="NM59" i="5"/>
  <c r="NM60" i="5"/>
  <c r="NM61" i="5"/>
  <c r="NN61" i="5"/>
  <c r="NO61" i="5"/>
  <c r="NM62" i="5"/>
  <c r="NM63" i="5"/>
  <c r="NM64" i="5"/>
  <c r="NM65" i="5"/>
  <c r="NM66" i="5"/>
  <c r="NM67" i="5"/>
  <c r="NM68" i="5"/>
  <c r="NM69" i="5"/>
  <c r="NM70" i="5"/>
  <c r="NM71" i="5"/>
  <c r="NM72" i="5"/>
  <c r="NM73" i="5"/>
  <c r="NM74" i="5"/>
  <c r="NM75" i="5"/>
  <c r="NM76" i="5"/>
  <c r="NM77" i="5"/>
  <c r="NM78" i="5"/>
  <c r="NM79" i="5"/>
  <c r="NM80" i="5"/>
  <c r="NM81" i="5"/>
  <c r="NM82" i="5"/>
  <c r="NM83" i="5"/>
  <c r="NM84" i="5"/>
  <c r="NM85" i="5"/>
  <c r="NM86" i="5"/>
  <c r="NM87" i="5"/>
  <c r="NM88" i="5"/>
  <c r="NM89" i="5"/>
  <c r="NM90" i="5"/>
  <c r="NM91" i="5"/>
  <c r="NM92" i="5"/>
  <c r="NM93" i="5"/>
  <c r="NM94" i="5"/>
  <c r="NM95" i="5"/>
  <c r="NM96" i="5"/>
  <c r="NM97" i="5"/>
  <c r="NM98" i="5"/>
  <c r="NM99" i="5"/>
  <c r="NM100" i="5"/>
  <c r="NM101" i="5"/>
  <c r="NM102" i="5"/>
  <c r="NM103" i="5"/>
  <c r="NM104" i="5"/>
  <c r="NM105" i="5"/>
  <c r="NM106" i="5"/>
  <c r="NM107" i="5"/>
  <c r="NM108" i="5"/>
  <c r="NM109" i="5"/>
  <c r="NM110" i="5"/>
  <c r="NM111" i="5"/>
  <c r="NN111" i="5"/>
  <c r="NO111" i="5"/>
  <c r="NM112" i="5"/>
  <c r="NM113" i="5"/>
  <c r="NM114" i="5"/>
  <c r="NM115" i="5"/>
  <c r="NM116" i="5"/>
  <c r="NM117" i="5"/>
  <c r="NN117" i="5"/>
  <c r="NO117" i="5"/>
  <c r="NM118" i="5"/>
  <c r="NN118" i="5"/>
  <c r="NO118" i="5"/>
  <c r="NM119" i="5"/>
  <c r="NN119" i="5"/>
  <c r="NO119" i="5"/>
  <c r="NM120" i="5"/>
  <c r="NM121" i="5"/>
  <c r="NM122" i="5"/>
  <c r="NN122" i="5"/>
  <c r="NO122" i="5"/>
  <c r="NM123" i="5"/>
  <c r="NN123" i="5"/>
  <c r="NO123" i="5"/>
  <c r="NM124" i="5"/>
  <c r="NM125" i="5"/>
  <c r="NM126" i="5"/>
  <c r="NM127" i="5"/>
  <c r="NM128" i="5"/>
  <c r="NM129" i="5"/>
  <c r="NM130" i="5"/>
  <c r="NM131" i="5"/>
  <c r="NM132" i="5"/>
  <c r="NM133" i="5"/>
  <c r="NM134" i="5"/>
  <c r="NM135" i="5"/>
  <c r="NM136" i="5"/>
  <c r="NM137" i="5"/>
  <c r="NM138" i="5"/>
  <c r="NM139" i="5"/>
  <c r="NM140" i="5"/>
  <c r="NM141" i="5"/>
  <c r="NN141" i="5"/>
  <c r="NO141" i="5"/>
  <c r="NM142" i="5"/>
  <c r="NM143" i="5"/>
  <c r="NM144" i="5"/>
  <c r="NM145" i="5"/>
  <c r="NM146" i="5"/>
  <c r="NM147" i="5"/>
  <c r="NN147" i="5"/>
  <c r="NO147" i="5"/>
  <c r="NM148" i="5"/>
  <c r="NM149" i="5"/>
  <c r="NM150" i="5"/>
  <c r="NM151" i="5"/>
  <c r="NN151" i="5"/>
  <c r="NO151" i="5"/>
  <c r="NM152" i="5"/>
  <c r="NM153" i="5"/>
  <c r="NM154" i="5"/>
  <c r="NM155" i="5"/>
  <c r="NM156" i="5"/>
  <c r="NM157" i="5"/>
  <c r="NM158" i="5"/>
  <c r="NM159" i="5"/>
  <c r="NM160" i="5"/>
  <c r="NN160" i="5"/>
  <c r="NO160" i="5"/>
  <c r="NM161" i="5"/>
  <c r="NN161" i="5"/>
  <c r="NO161" i="5"/>
  <c r="NM162" i="5"/>
  <c r="NM163" i="5"/>
  <c r="NN163" i="5"/>
  <c r="NO163" i="5"/>
  <c r="NM164" i="5"/>
  <c r="NM165" i="5"/>
  <c r="NM166" i="5"/>
  <c r="NN166" i="5"/>
  <c r="NO166" i="5"/>
  <c r="NM167" i="5"/>
  <c r="NN167" i="5"/>
  <c r="NO167" i="5"/>
  <c r="NM168" i="5"/>
  <c r="NM169" i="5"/>
  <c r="NM170" i="5"/>
  <c r="NM171" i="5"/>
  <c r="NM172" i="5"/>
  <c r="NM173" i="5"/>
  <c r="NM174" i="5"/>
  <c r="NM175" i="5"/>
  <c r="NM176" i="5"/>
  <c r="NM177" i="5"/>
  <c r="NM178" i="5"/>
  <c r="NN178" i="5"/>
  <c r="NO178" i="5"/>
  <c r="NM179" i="5"/>
  <c r="NM180" i="5"/>
  <c r="NM181" i="5"/>
  <c r="NM182" i="5"/>
  <c r="NN182" i="5"/>
  <c r="NO182" i="5"/>
  <c r="NM183" i="5"/>
  <c r="NN183" i="5"/>
  <c r="NO183" i="5"/>
  <c r="NM184" i="5"/>
  <c r="NN184" i="5"/>
  <c r="NO184" i="5"/>
  <c r="NM185" i="5"/>
  <c r="NM186" i="5"/>
  <c r="NN186" i="5"/>
  <c r="NO186" i="5"/>
  <c r="NM187" i="5"/>
  <c r="NN187" i="5"/>
  <c r="NO187" i="5"/>
  <c r="NM188" i="5"/>
  <c r="NM189" i="5"/>
  <c r="NM190" i="5"/>
  <c r="NM191" i="5"/>
  <c r="NN191" i="5"/>
  <c r="NO191" i="5"/>
  <c r="NM192" i="5"/>
  <c r="NN192" i="5"/>
  <c r="NO192" i="5"/>
  <c r="NM193" i="5"/>
  <c r="NM202" i="5"/>
  <c r="NN202" i="5"/>
  <c r="NO202" i="5"/>
  <c r="NM203" i="5"/>
  <c r="NM204" i="5"/>
  <c r="NM205" i="5"/>
  <c r="NN205" i="5"/>
  <c r="NO205" i="5"/>
  <c r="NM206" i="5"/>
  <c r="NM207" i="5"/>
  <c r="NN207" i="5"/>
  <c r="NO207" i="5"/>
  <c r="NM208" i="5"/>
  <c r="NM209" i="5"/>
  <c r="NM210" i="5"/>
  <c r="NM211" i="5"/>
  <c r="NM212" i="5"/>
  <c r="NM213" i="5"/>
  <c r="NM214" i="5"/>
  <c r="NN214" i="5"/>
  <c r="NO214" i="5"/>
  <c r="NM215" i="5"/>
  <c r="NN215" i="5"/>
  <c r="NO215" i="5"/>
  <c r="NM216" i="5"/>
  <c r="NN216" i="5"/>
  <c r="NO216" i="5"/>
  <c r="NM217" i="5"/>
  <c r="NN217" i="5"/>
  <c r="NO217" i="5"/>
  <c r="NM218" i="5"/>
  <c r="NN218" i="5"/>
  <c r="NO218" i="5"/>
  <c r="NM219" i="5"/>
  <c r="NM220" i="5"/>
  <c r="NN220" i="5"/>
  <c r="NO220" i="5"/>
  <c r="NM221" i="5"/>
  <c r="NN221" i="5"/>
  <c r="NO221" i="5"/>
  <c r="NM222" i="5"/>
  <c r="NM223" i="5"/>
  <c r="NM224" i="5"/>
  <c r="NM225" i="5"/>
  <c r="NM226" i="5"/>
  <c r="NM227" i="5"/>
  <c r="NM228" i="5"/>
  <c r="NM229" i="5"/>
  <c r="NM230" i="5"/>
  <c r="NM231" i="5"/>
  <c r="NM232" i="5"/>
  <c r="NM233" i="5"/>
  <c r="NM234" i="5"/>
  <c r="NM235" i="5"/>
  <c r="NN235" i="5"/>
  <c r="NO235" i="5"/>
  <c r="NM236" i="5"/>
  <c r="NN236" i="5"/>
  <c r="NO236" i="5"/>
  <c r="NM237" i="5"/>
  <c r="NN237" i="5"/>
  <c r="NO237" i="5"/>
  <c r="NM238" i="5"/>
  <c r="NN238" i="5"/>
  <c r="NO238" i="5"/>
  <c r="NM239" i="5"/>
  <c r="NN239" i="5"/>
  <c r="NO239" i="5"/>
  <c r="NM240" i="5"/>
  <c r="NN240" i="5"/>
  <c r="NO240" i="5"/>
  <c r="NM241" i="5"/>
  <c r="NN241" i="5"/>
  <c r="NO241" i="5"/>
  <c r="NM242" i="5"/>
  <c r="NM243" i="5"/>
  <c r="NN243" i="5"/>
  <c r="NO243" i="5"/>
  <c r="NM244" i="5"/>
  <c r="NN244" i="5"/>
  <c r="NO244" i="5"/>
  <c r="NM245" i="5"/>
  <c r="NN245" i="5"/>
  <c r="NO245" i="5"/>
  <c r="NM246" i="5"/>
  <c r="NN246" i="5"/>
  <c r="NO246" i="5"/>
  <c r="NM247" i="5"/>
  <c r="NN247" i="5"/>
  <c r="NO247" i="5"/>
  <c r="NM248" i="5"/>
  <c r="NN248" i="5"/>
  <c r="NO248" i="5"/>
  <c r="NJ4" i="5"/>
  <c r="NK4" i="5"/>
  <c r="NL4" i="5"/>
  <c r="NJ5" i="5"/>
  <c r="NK5" i="5"/>
  <c r="NL5" i="5"/>
  <c r="NJ6" i="5"/>
  <c r="NK6" i="5"/>
  <c r="NL6" i="5"/>
  <c r="NJ7" i="5"/>
  <c r="NK7" i="5"/>
  <c r="NL7" i="5"/>
  <c r="NJ8" i="5"/>
  <c r="NK8" i="5"/>
  <c r="NL8" i="5"/>
  <c r="NJ9" i="5"/>
  <c r="NK9" i="5"/>
  <c r="NL9" i="5"/>
  <c r="NJ10" i="5"/>
  <c r="NK10" i="5"/>
  <c r="NL10" i="5"/>
  <c r="NJ11" i="5"/>
  <c r="NK11" i="5"/>
  <c r="NL11" i="5"/>
  <c r="NJ12" i="5"/>
  <c r="NK12" i="5"/>
  <c r="NL12" i="5"/>
  <c r="NJ13" i="5"/>
  <c r="NK13" i="5"/>
  <c r="NL13" i="5"/>
  <c r="NJ14" i="5"/>
  <c r="NK14" i="5"/>
  <c r="NL14" i="5"/>
  <c r="NJ15" i="5"/>
  <c r="NK15" i="5"/>
  <c r="NL15" i="5"/>
  <c r="NJ16" i="5"/>
  <c r="NK16" i="5"/>
  <c r="NL16" i="5"/>
  <c r="NJ17" i="5"/>
  <c r="NK17" i="5"/>
  <c r="NL17" i="5"/>
  <c r="NJ18" i="5"/>
  <c r="NK18" i="5"/>
  <c r="NL18" i="5"/>
  <c r="NJ19" i="5"/>
  <c r="NK19" i="5"/>
  <c r="NL19" i="5"/>
  <c r="NJ20" i="5"/>
  <c r="NK20" i="5"/>
  <c r="NL20" i="5"/>
  <c r="NJ21" i="5"/>
  <c r="NK21" i="5"/>
  <c r="NL21" i="5"/>
  <c r="NJ22" i="5"/>
  <c r="NK22" i="5"/>
  <c r="NL22" i="5"/>
  <c r="NJ23" i="5"/>
  <c r="NK23" i="5"/>
  <c r="NL23" i="5"/>
  <c r="NJ24" i="5"/>
  <c r="NK24" i="5"/>
  <c r="NL24" i="5"/>
  <c r="NJ25" i="5"/>
  <c r="NK25" i="5"/>
  <c r="NL25" i="5"/>
  <c r="NJ26" i="5"/>
  <c r="NK26" i="5"/>
  <c r="NL26" i="5"/>
  <c r="NJ27" i="5"/>
  <c r="NK27" i="5"/>
  <c r="NL27" i="5"/>
  <c r="NJ28" i="5"/>
  <c r="NK28" i="5"/>
  <c r="NL28" i="5"/>
  <c r="NJ29" i="5"/>
  <c r="NK29" i="5"/>
  <c r="NL29" i="5"/>
  <c r="NJ30" i="5"/>
  <c r="NK30" i="5"/>
  <c r="NL30" i="5"/>
  <c r="NJ31" i="5"/>
  <c r="NK31" i="5"/>
  <c r="NL31" i="5"/>
  <c r="NJ32" i="5"/>
  <c r="NK32" i="5"/>
  <c r="NL32" i="5"/>
  <c r="NJ33" i="5"/>
  <c r="NK33" i="5"/>
  <c r="NL33" i="5"/>
  <c r="NJ34" i="5"/>
  <c r="NK34" i="5"/>
  <c r="NL34" i="5"/>
  <c r="NJ35" i="5"/>
  <c r="NK35" i="5"/>
  <c r="NL35" i="5"/>
  <c r="NJ36" i="5"/>
  <c r="NK36" i="5"/>
  <c r="NL36" i="5"/>
  <c r="NJ37" i="5"/>
  <c r="NK37" i="5"/>
  <c r="NL37" i="5"/>
  <c r="NJ38" i="5"/>
  <c r="NK38" i="5"/>
  <c r="NL38" i="5"/>
  <c r="NJ39" i="5"/>
  <c r="NK39" i="5"/>
  <c r="NL39" i="5"/>
  <c r="NJ40" i="5"/>
  <c r="NK40" i="5"/>
  <c r="NL40" i="5"/>
  <c r="NJ41" i="5"/>
  <c r="NK41" i="5"/>
  <c r="NL41" i="5"/>
  <c r="NJ42" i="5"/>
  <c r="NK42" i="5"/>
  <c r="NL42" i="5"/>
  <c r="NJ43" i="5"/>
  <c r="NK43" i="5"/>
  <c r="NL43" i="5"/>
  <c r="NJ44" i="5"/>
  <c r="NK44" i="5"/>
  <c r="NL44" i="5"/>
  <c r="NJ45" i="5"/>
  <c r="NK45" i="5"/>
  <c r="NL45" i="5"/>
  <c r="NJ46" i="5"/>
  <c r="NK46" i="5"/>
  <c r="NL46" i="5"/>
  <c r="NJ47" i="5"/>
  <c r="NK47" i="5"/>
  <c r="NL47" i="5"/>
  <c r="NJ48" i="5"/>
  <c r="NK48" i="5"/>
  <c r="NL48" i="5"/>
  <c r="NJ49" i="5"/>
  <c r="NK49" i="5"/>
  <c r="NL49" i="5"/>
  <c r="NJ50" i="5"/>
  <c r="NK50" i="5"/>
  <c r="NL50" i="5"/>
  <c r="NJ51" i="5"/>
  <c r="NK51" i="5"/>
  <c r="NL51" i="5"/>
  <c r="NJ52" i="5"/>
  <c r="NK52" i="5"/>
  <c r="NL52" i="5"/>
  <c r="NJ53" i="5"/>
  <c r="NK53" i="5"/>
  <c r="NL53" i="5"/>
  <c r="NJ54" i="5"/>
  <c r="NK54" i="5"/>
  <c r="NL54" i="5"/>
  <c r="NJ55" i="5"/>
  <c r="NK55" i="5"/>
  <c r="NL55" i="5"/>
  <c r="NJ56" i="5"/>
  <c r="NK56" i="5"/>
  <c r="NL56" i="5"/>
  <c r="NJ57" i="5"/>
  <c r="NK57" i="5"/>
  <c r="NL57" i="5"/>
  <c r="NJ58" i="5"/>
  <c r="NK58" i="5"/>
  <c r="NL58" i="5"/>
  <c r="NJ59" i="5"/>
  <c r="NK59" i="5"/>
  <c r="NL59" i="5"/>
  <c r="NJ60" i="5"/>
  <c r="NK60" i="5"/>
  <c r="NL60" i="5"/>
  <c r="NJ61" i="5"/>
  <c r="NK61" i="5"/>
  <c r="NL61" i="5"/>
  <c r="NJ62" i="5"/>
  <c r="NK62" i="5"/>
  <c r="NL62" i="5"/>
  <c r="NJ63" i="5"/>
  <c r="NK63" i="5"/>
  <c r="NL63" i="5"/>
  <c r="NJ64" i="5"/>
  <c r="NK64" i="5"/>
  <c r="NL64" i="5"/>
  <c r="NJ65" i="5"/>
  <c r="NK65" i="5"/>
  <c r="NL65" i="5"/>
  <c r="NJ66" i="5"/>
  <c r="NK66" i="5"/>
  <c r="NL66" i="5"/>
  <c r="NJ67" i="5"/>
  <c r="NK67" i="5"/>
  <c r="NL67" i="5"/>
  <c r="NJ68" i="5"/>
  <c r="NK68" i="5"/>
  <c r="NL68" i="5"/>
  <c r="NJ69" i="5"/>
  <c r="NK69" i="5"/>
  <c r="NL69" i="5"/>
  <c r="NJ70" i="5"/>
  <c r="NK70" i="5"/>
  <c r="NL70" i="5"/>
  <c r="NJ71" i="5"/>
  <c r="NK71" i="5"/>
  <c r="NL71" i="5"/>
  <c r="NJ72" i="5"/>
  <c r="NK72" i="5"/>
  <c r="NL72" i="5"/>
  <c r="NJ73" i="5"/>
  <c r="NK73" i="5"/>
  <c r="NL73" i="5"/>
  <c r="NJ74" i="5"/>
  <c r="NK74" i="5"/>
  <c r="NL74" i="5"/>
  <c r="NJ75" i="5"/>
  <c r="NK75" i="5"/>
  <c r="NL75" i="5"/>
  <c r="NJ76" i="5"/>
  <c r="NK76" i="5"/>
  <c r="NL76" i="5"/>
  <c r="NJ77" i="5"/>
  <c r="NK77" i="5"/>
  <c r="NL77" i="5"/>
  <c r="NJ78" i="5"/>
  <c r="NK78" i="5"/>
  <c r="NL78" i="5"/>
  <c r="NJ79" i="5"/>
  <c r="NK79" i="5"/>
  <c r="NL79" i="5"/>
  <c r="NJ80" i="5"/>
  <c r="NK80" i="5"/>
  <c r="NL80" i="5"/>
  <c r="NJ81" i="5"/>
  <c r="NK81" i="5"/>
  <c r="NL81" i="5"/>
  <c r="NJ82" i="5"/>
  <c r="NK82" i="5"/>
  <c r="NL82" i="5"/>
  <c r="NJ83" i="5"/>
  <c r="NK83" i="5"/>
  <c r="NL83" i="5"/>
  <c r="NJ84" i="5"/>
  <c r="NK84" i="5"/>
  <c r="NL84" i="5"/>
  <c r="NJ85" i="5"/>
  <c r="NK85" i="5"/>
  <c r="NL85" i="5"/>
  <c r="NJ86" i="5"/>
  <c r="NK86" i="5"/>
  <c r="NL86" i="5"/>
  <c r="NJ87" i="5"/>
  <c r="NK87" i="5"/>
  <c r="NL87" i="5"/>
  <c r="NJ88" i="5"/>
  <c r="NK88" i="5"/>
  <c r="NL88" i="5"/>
  <c r="NJ89" i="5"/>
  <c r="NK89" i="5"/>
  <c r="NL89" i="5"/>
  <c r="NJ90" i="5"/>
  <c r="NK90" i="5"/>
  <c r="NL90" i="5"/>
  <c r="NJ91" i="5"/>
  <c r="NK91" i="5"/>
  <c r="NL91" i="5"/>
  <c r="NJ92" i="5"/>
  <c r="NK92" i="5"/>
  <c r="NL92" i="5"/>
  <c r="NJ93" i="5"/>
  <c r="NK93" i="5"/>
  <c r="NL93" i="5"/>
  <c r="NJ94" i="5"/>
  <c r="NK94" i="5"/>
  <c r="NL94" i="5"/>
  <c r="NJ95" i="5"/>
  <c r="NK95" i="5"/>
  <c r="NL95" i="5"/>
  <c r="NJ96" i="5"/>
  <c r="NK96" i="5"/>
  <c r="NL96" i="5"/>
  <c r="NJ97" i="5"/>
  <c r="NK97" i="5"/>
  <c r="NL97" i="5"/>
  <c r="NJ98" i="5"/>
  <c r="NK98" i="5"/>
  <c r="NL98" i="5"/>
  <c r="NJ99" i="5"/>
  <c r="NK99" i="5"/>
  <c r="NL99" i="5"/>
  <c r="NJ100" i="5"/>
  <c r="NK100" i="5"/>
  <c r="NL100" i="5"/>
  <c r="NJ101" i="5"/>
  <c r="NK101" i="5"/>
  <c r="NL101" i="5"/>
  <c r="NJ102" i="5"/>
  <c r="NK102" i="5"/>
  <c r="NL102" i="5"/>
  <c r="NJ103" i="5"/>
  <c r="NK103" i="5"/>
  <c r="NL103" i="5"/>
  <c r="NJ104" i="5"/>
  <c r="NK104" i="5"/>
  <c r="NL104" i="5"/>
  <c r="NJ105" i="5"/>
  <c r="NK105" i="5"/>
  <c r="NL105" i="5"/>
  <c r="NJ106" i="5"/>
  <c r="NK106" i="5"/>
  <c r="NL106" i="5"/>
  <c r="NJ107" i="5"/>
  <c r="NK107" i="5"/>
  <c r="NL107" i="5"/>
  <c r="NJ108" i="5"/>
  <c r="NK108" i="5"/>
  <c r="NL108" i="5"/>
  <c r="NJ109" i="5"/>
  <c r="NK109" i="5"/>
  <c r="NL109" i="5"/>
  <c r="NJ110" i="5"/>
  <c r="NK110" i="5"/>
  <c r="NL110" i="5"/>
  <c r="NJ111" i="5"/>
  <c r="NK111" i="5"/>
  <c r="NL111" i="5"/>
  <c r="NJ112" i="5"/>
  <c r="NK112" i="5"/>
  <c r="NL112" i="5"/>
  <c r="NJ113" i="5"/>
  <c r="NK113" i="5"/>
  <c r="NL113" i="5"/>
  <c r="NJ114" i="5"/>
  <c r="NK114" i="5"/>
  <c r="NL114" i="5"/>
  <c r="NJ115" i="5"/>
  <c r="NK115" i="5"/>
  <c r="NL115" i="5"/>
  <c r="NJ116" i="5"/>
  <c r="NK116" i="5"/>
  <c r="NL116" i="5"/>
  <c r="NJ117" i="5"/>
  <c r="NK117" i="5"/>
  <c r="NL117" i="5"/>
  <c r="NJ118" i="5"/>
  <c r="NK118" i="5"/>
  <c r="NL118" i="5"/>
  <c r="NJ119" i="5"/>
  <c r="NK119" i="5"/>
  <c r="NL119" i="5"/>
  <c r="NJ120" i="5"/>
  <c r="NK120" i="5"/>
  <c r="NL120" i="5"/>
  <c r="NJ121" i="5"/>
  <c r="NK121" i="5"/>
  <c r="NL121" i="5"/>
  <c r="NJ122" i="5"/>
  <c r="NK122" i="5"/>
  <c r="NL122" i="5"/>
  <c r="NJ123" i="5"/>
  <c r="NK123" i="5"/>
  <c r="NL123" i="5"/>
  <c r="NJ124" i="5"/>
  <c r="NK124" i="5"/>
  <c r="NL124" i="5"/>
  <c r="NJ125" i="5"/>
  <c r="NK125" i="5"/>
  <c r="NL125" i="5"/>
  <c r="NJ126" i="5"/>
  <c r="NK126" i="5"/>
  <c r="NL126" i="5"/>
  <c r="NJ127" i="5"/>
  <c r="NK127" i="5"/>
  <c r="NL127" i="5"/>
  <c r="NJ128" i="5"/>
  <c r="NK128" i="5"/>
  <c r="NL128" i="5"/>
  <c r="NJ129" i="5"/>
  <c r="NK129" i="5"/>
  <c r="NL129" i="5"/>
  <c r="NJ130" i="5"/>
  <c r="NK130" i="5"/>
  <c r="NL130" i="5"/>
  <c r="NJ131" i="5"/>
  <c r="NK131" i="5"/>
  <c r="NL131" i="5"/>
  <c r="NJ132" i="5"/>
  <c r="NK132" i="5"/>
  <c r="NL132" i="5"/>
  <c r="NJ133" i="5"/>
  <c r="NK133" i="5"/>
  <c r="NL133" i="5"/>
  <c r="NJ134" i="5"/>
  <c r="NK134" i="5"/>
  <c r="NL134" i="5"/>
  <c r="NJ135" i="5"/>
  <c r="NK135" i="5"/>
  <c r="NL135" i="5"/>
  <c r="NJ136" i="5"/>
  <c r="NK136" i="5"/>
  <c r="NL136" i="5"/>
  <c r="NJ137" i="5"/>
  <c r="NK137" i="5"/>
  <c r="NL137" i="5"/>
  <c r="NJ138" i="5"/>
  <c r="NK138" i="5"/>
  <c r="NL138" i="5"/>
  <c r="NJ139" i="5"/>
  <c r="NK139" i="5"/>
  <c r="NL139" i="5"/>
  <c r="NJ140" i="5"/>
  <c r="NK140" i="5"/>
  <c r="NL140" i="5"/>
  <c r="NJ141" i="5"/>
  <c r="NK141" i="5"/>
  <c r="NL141" i="5"/>
  <c r="NJ142" i="5"/>
  <c r="NK142" i="5"/>
  <c r="NL142" i="5"/>
  <c r="NJ143" i="5"/>
  <c r="NK143" i="5"/>
  <c r="NL143" i="5"/>
  <c r="NJ144" i="5"/>
  <c r="NK144" i="5"/>
  <c r="NL144" i="5"/>
  <c r="NJ145" i="5"/>
  <c r="NK145" i="5"/>
  <c r="NL145" i="5"/>
  <c r="NJ146" i="5"/>
  <c r="NK146" i="5"/>
  <c r="NL146" i="5"/>
  <c r="NJ147" i="5"/>
  <c r="NK147" i="5"/>
  <c r="NL147" i="5"/>
  <c r="NJ148" i="5"/>
  <c r="NK148" i="5"/>
  <c r="NL148" i="5"/>
  <c r="NJ149" i="5"/>
  <c r="NK149" i="5"/>
  <c r="NL149" i="5"/>
  <c r="NJ150" i="5"/>
  <c r="NK150" i="5"/>
  <c r="NL150" i="5"/>
  <c r="NJ151" i="5"/>
  <c r="NK151" i="5"/>
  <c r="NL151" i="5"/>
  <c r="NJ152" i="5"/>
  <c r="NK152" i="5"/>
  <c r="NL152" i="5"/>
  <c r="NJ153" i="5"/>
  <c r="NK153" i="5"/>
  <c r="NL153" i="5"/>
  <c r="NJ154" i="5"/>
  <c r="NK154" i="5"/>
  <c r="NL154" i="5"/>
  <c r="NJ155" i="5"/>
  <c r="NK155" i="5"/>
  <c r="NL155" i="5"/>
  <c r="NJ156" i="5"/>
  <c r="NK156" i="5"/>
  <c r="NL156" i="5"/>
  <c r="NJ157" i="5"/>
  <c r="NK157" i="5"/>
  <c r="NL157" i="5"/>
  <c r="NJ158" i="5"/>
  <c r="NK158" i="5"/>
  <c r="NL158" i="5"/>
  <c r="NJ159" i="5"/>
  <c r="NK159" i="5"/>
  <c r="NL159" i="5"/>
  <c r="NJ160" i="5"/>
  <c r="NK160" i="5"/>
  <c r="NL160" i="5"/>
  <c r="NJ161" i="5"/>
  <c r="NK161" i="5"/>
  <c r="NL161" i="5"/>
  <c r="NJ162" i="5"/>
  <c r="NK162" i="5"/>
  <c r="NL162" i="5"/>
  <c r="NJ163" i="5"/>
  <c r="NK163" i="5"/>
  <c r="NL163" i="5"/>
  <c r="NJ164" i="5"/>
  <c r="NK164" i="5"/>
  <c r="NL164" i="5"/>
  <c r="NJ165" i="5"/>
  <c r="NK165" i="5"/>
  <c r="NL165" i="5"/>
  <c r="NJ166" i="5"/>
  <c r="NK166" i="5"/>
  <c r="NL166" i="5"/>
  <c r="NJ167" i="5"/>
  <c r="NK167" i="5"/>
  <c r="NL167" i="5"/>
  <c r="NJ168" i="5"/>
  <c r="NK168" i="5"/>
  <c r="NL168" i="5"/>
  <c r="NJ169" i="5"/>
  <c r="NK169" i="5"/>
  <c r="NL169" i="5"/>
  <c r="NJ170" i="5"/>
  <c r="NK170" i="5"/>
  <c r="NL170" i="5"/>
  <c r="NJ171" i="5"/>
  <c r="NK171" i="5"/>
  <c r="NL171" i="5"/>
  <c r="NJ172" i="5"/>
  <c r="NK172" i="5"/>
  <c r="NL172" i="5"/>
  <c r="NJ173" i="5"/>
  <c r="NK173" i="5"/>
  <c r="NL173" i="5"/>
  <c r="NJ174" i="5"/>
  <c r="NK174" i="5"/>
  <c r="NL174" i="5"/>
  <c r="NJ175" i="5"/>
  <c r="NK175" i="5"/>
  <c r="NL175" i="5"/>
  <c r="NJ176" i="5"/>
  <c r="NK176" i="5"/>
  <c r="NL176" i="5"/>
  <c r="NJ177" i="5"/>
  <c r="NK177" i="5"/>
  <c r="NL177" i="5"/>
  <c r="NJ178" i="5"/>
  <c r="NK178" i="5"/>
  <c r="NL178" i="5"/>
  <c r="NJ179" i="5"/>
  <c r="NK179" i="5"/>
  <c r="NL179" i="5"/>
  <c r="NJ180" i="5"/>
  <c r="NK180" i="5"/>
  <c r="NL180" i="5"/>
  <c r="NJ181" i="5"/>
  <c r="NK181" i="5"/>
  <c r="NL181" i="5"/>
  <c r="NJ182" i="5"/>
  <c r="NK182" i="5"/>
  <c r="NL182" i="5"/>
  <c r="NJ183" i="5"/>
  <c r="NK183" i="5"/>
  <c r="NL183" i="5"/>
  <c r="NJ184" i="5"/>
  <c r="NK184" i="5"/>
  <c r="NL184" i="5"/>
  <c r="NJ185" i="5"/>
  <c r="NK185" i="5"/>
  <c r="NL185" i="5"/>
  <c r="NJ186" i="5"/>
  <c r="NK186" i="5"/>
  <c r="NL186" i="5"/>
  <c r="NJ187" i="5"/>
  <c r="NK187" i="5"/>
  <c r="NL187" i="5"/>
  <c r="NJ188" i="5"/>
  <c r="NK188" i="5"/>
  <c r="NL188" i="5"/>
  <c r="NJ189" i="5"/>
  <c r="NK189" i="5"/>
  <c r="NL189" i="5"/>
  <c r="NJ190" i="5"/>
  <c r="NK190" i="5"/>
  <c r="NL190" i="5"/>
  <c r="NJ191" i="5"/>
  <c r="NK191" i="5"/>
  <c r="NL191" i="5"/>
  <c r="NJ192" i="5"/>
  <c r="NK192" i="5"/>
  <c r="NL192" i="5"/>
  <c r="NJ193" i="5"/>
  <c r="NK193" i="5"/>
  <c r="NL193" i="5"/>
  <c r="NJ202" i="5"/>
  <c r="NK202" i="5"/>
  <c r="NL202" i="5"/>
  <c r="NJ203" i="5"/>
  <c r="NK203" i="5"/>
  <c r="NL203" i="5"/>
  <c r="NJ204" i="5"/>
  <c r="NK204" i="5"/>
  <c r="NL204" i="5"/>
  <c r="NJ205" i="5"/>
  <c r="NK205" i="5"/>
  <c r="NL205" i="5"/>
  <c r="NJ206" i="5"/>
  <c r="NK206" i="5"/>
  <c r="NL206" i="5"/>
  <c r="NJ207" i="5"/>
  <c r="NK207" i="5"/>
  <c r="NL207" i="5"/>
  <c r="NJ208" i="5"/>
  <c r="NK208" i="5"/>
  <c r="NL208" i="5"/>
  <c r="NJ209" i="5"/>
  <c r="NK209" i="5"/>
  <c r="NL209" i="5"/>
  <c r="NJ210" i="5"/>
  <c r="NK210" i="5"/>
  <c r="NL210" i="5"/>
  <c r="NJ211" i="5"/>
  <c r="NK211" i="5"/>
  <c r="NL211" i="5"/>
  <c r="NJ212" i="5"/>
  <c r="NK212" i="5"/>
  <c r="NL212" i="5"/>
  <c r="NJ213" i="5"/>
  <c r="NK213" i="5"/>
  <c r="NL213" i="5"/>
  <c r="NJ214" i="5"/>
  <c r="NK214" i="5"/>
  <c r="NL214" i="5"/>
  <c r="NJ215" i="5"/>
  <c r="NK215" i="5"/>
  <c r="NL215" i="5"/>
  <c r="NJ216" i="5"/>
  <c r="NK216" i="5"/>
  <c r="NL216" i="5"/>
  <c r="NJ217" i="5"/>
  <c r="NK217" i="5"/>
  <c r="NL217" i="5"/>
  <c r="NJ218" i="5"/>
  <c r="NK218" i="5"/>
  <c r="NL218" i="5"/>
  <c r="NJ219" i="5"/>
  <c r="NK219" i="5"/>
  <c r="NL219" i="5"/>
  <c r="NJ220" i="5"/>
  <c r="NK220" i="5"/>
  <c r="NL220" i="5"/>
  <c r="NJ221" i="5"/>
  <c r="NK221" i="5"/>
  <c r="NL221" i="5"/>
  <c r="NJ222" i="5"/>
  <c r="NK222" i="5"/>
  <c r="NL222" i="5"/>
  <c r="NJ223" i="5"/>
  <c r="NK223" i="5"/>
  <c r="NL223" i="5"/>
  <c r="NJ224" i="5"/>
  <c r="NK224" i="5"/>
  <c r="NL224" i="5"/>
  <c r="NJ225" i="5"/>
  <c r="NK225" i="5"/>
  <c r="NL225" i="5"/>
  <c r="NJ226" i="5"/>
  <c r="NK226" i="5"/>
  <c r="NL226" i="5"/>
  <c r="NJ227" i="5"/>
  <c r="NK227" i="5"/>
  <c r="NL227" i="5"/>
  <c r="NJ228" i="5"/>
  <c r="NK228" i="5"/>
  <c r="NL228" i="5"/>
  <c r="NJ229" i="5"/>
  <c r="NK229" i="5"/>
  <c r="NL229" i="5"/>
  <c r="NJ230" i="5"/>
  <c r="NK230" i="5"/>
  <c r="NL230" i="5"/>
  <c r="NJ231" i="5"/>
  <c r="NK231" i="5"/>
  <c r="NL231" i="5"/>
  <c r="NJ232" i="5"/>
  <c r="NK232" i="5"/>
  <c r="NL232" i="5"/>
  <c r="NJ233" i="5"/>
  <c r="NK233" i="5"/>
  <c r="NL233" i="5"/>
  <c r="NJ234" i="5"/>
  <c r="NK234" i="5"/>
  <c r="NL234" i="5"/>
  <c r="NJ235" i="5"/>
  <c r="NK235" i="5"/>
  <c r="NL235" i="5"/>
  <c r="NJ236" i="5"/>
  <c r="NK236" i="5"/>
  <c r="NL236" i="5"/>
  <c r="NJ237" i="5"/>
  <c r="NK237" i="5"/>
  <c r="NL237" i="5"/>
  <c r="NJ238" i="5"/>
  <c r="NK238" i="5"/>
  <c r="NL238" i="5"/>
  <c r="NJ239" i="5"/>
  <c r="NK239" i="5"/>
  <c r="NL239" i="5"/>
  <c r="NJ240" i="5"/>
  <c r="NK240" i="5"/>
  <c r="NL240" i="5"/>
  <c r="NJ241" i="5"/>
  <c r="NK241" i="5"/>
  <c r="NL241" i="5"/>
  <c r="NJ242" i="5"/>
  <c r="NK242" i="5"/>
  <c r="NL242" i="5"/>
  <c r="NJ243" i="5"/>
  <c r="NK243" i="5"/>
  <c r="NL243" i="5"/>
  <c r="NJ244" i="5"/>
  <c r="NK244" i="5"/>
  <c r="NL244" i="5"/>
  <c r="NJ245" i="5"/>
  <c r="NK245" i="5"/>
  <c r="NL245" i="5"/>
  <c r="NJ246" i="5"/>
  <c r="NK246" i="5"/>
  <c r="NL246" i="5"/>
  <c r="NJ247" i="5"/>
  <c r="NK247" i="5"/>
  <c r="NL247" i="5"/>
  <c r="NJ248" i="5"/>
  <c r="NK248" i="5"/>
  <c r="NL248" i="5"/>
  <c r="NH4" i="5"/>
  <c r="BR4" i="5" s="1"/>
  <c r="BU4" i="5" s="1"/>
  <c r="NH5" i="5"/>
  <c r="BR5" i="5" s="1"/>
  <c r="BU5" i="5" s="1"/>
  <c r="NH6" i="5"/>
  <c r="BR6" i="5" s="1"/>
  <c r="NH7" i="5"/>
  <c r="BR7" i="5" s="1"/>
  <c r="BU7" i="5" s="1"/>
  <c r="NH8" i="5"/>
  <c r="BR8" i="5" s="1"/>
  <c r="BU8" i="5" s="1"/>
  <c r="NH9" i="5"/>
  <c r="BR9" i="5" s="1"/>
  <c r="BS9" i="5" s="1"/>
  <c r="NH10" i="5"/>
  <c r="BR10" i="5" s="1"/>
  <c r="BU10" i="5" s="1"/>
  <c r="NH11" i="5"/>
  <c r="BR11" i="5" s="1"/>
  <c r="BU11" i="5" s="1"/>
  <c r="NH12" i="5"/>
  <c r="BR12" i="5" s="1"/>
  <c r="BS12" i="5" s="1"/>
  <c r="NH13" i="5"/>
  <c r="BR13" i="5" s="1"/>
  <c r="BU13" i="5" s="1"/>
  <c r="NH14" i="5"/>
  <c r="RX14" i="5" s="1"/>
  <c r="RY14" i="5" s="1"/>
  <c r="NH15" i="5"/>
  <c r="BR15" i="5" s="1"/>
  <c r="NH16" i="5"/>
  <c r="BR16" i="5" s="1"/>
  <c r="NH17" i="5"/>
  <c r="BR17" i="5" s="1"/>
  <c r="NH18" i="5"/>
  <c r="BR18" i="5" s="1"/>
  <c r="BU18" i="5" s="1"/>
  <c r="NH19" i="5"/>
  <c r="BR19" i="5" s="1"/>
  <c r="BU19" i="5" s="1"/>
  <c r="NH20" i="5"/>
  <c r="BR20" i="5" s="1"/>
  <c r="NH21" i="5"/>
  <c r="RX21" i="5" s="1"/>
  <c r="RY21" i="5" s="1"/>
  <c r="NH22" i="5"/>
  <c r="BR22" i="5" s="1"/>
  <c r="NH23" i="5"/>
  <c r="BR23" i="5" s="1"/>
  <c r="NH24" i="5"/>
  <c r="BR24" i="5" s="1"/>
  <c r="BU24" i="5" s="1"/>
  <c r="NH25" i="5"/>
  <c r="BR25" i="5" s="1"/>
  <c r="NH26" i="5"/>
  <c r="BR26" i="5" s="1"/>
  <c r="BU26" i="5" s="1"/>
  <c r="NH27" i="5"/>
  <c r="BR27" i="5" s="1"/>
  <c r="BU27" i="5" s="1"/>
  <c r="NH28" i="5"/>
  <c r="BR28" i="5" s="1"/>
  <c r="BU28" i="5" s="1"/>
  <c r="NH29" i="5"/>
  <c r="BR29" i="5" s="1"/>
  <c r="BU29" i="5" s="1"/>
  <c r="NH30" i="5"/>
  <c r="BR30" i="5" s="1"/>
  <c r="NH31" i="5"/>
  <c r="BR31" i="5" s="1"/>
  <c r="NH32" i="5"/>
  <c r="BR32" i="5" s="1"/>
  <c r="BU32" i="5" s="1"/>
  <c r="NH33" i="5"/>
  <c r="BR33" i="5" s="1"/>
  <c r="BU33" i="5" s="1"/>
  <c r="NH34" i="5"/>
  <c r="BR34" i="5" s="1"/>
  <c r="NH35" i="5"/>
  <c r="BR35" i="5" s="1"/>
  <c r="BU35" i="5" s="1"/>
  <c r="NH36" i="5"/>
  <c r="BR36" i="5" s="1"/>
  <c r="BU36" i="5" s="1"/>
  <c r="NH37" i="5"/>
  <c r="BR37" i="5" s="1"/>
  <c r="BU37" i="5" s="1"/>
  <c r="NH38" i="5"/>
  <c r="BR38" i="5" s="1"/>
  <c r="BU38" i="5" s="1"/>
  <c r="NH39" i="5"/>
  <c r="BR39" i="5" s="1"/>
  <c r="NH40" i="5"/>
  <c r="NH41" i="5"/>
  <c r="BR41" i="5" s="1"/>
  <c r="BU41" i="5" s="1"/>
  <c r="NH42" i="5"/>
  <c r="BR42" i="5" s="1"/>
  <c r="NH43" i="5"/>
  <c r="NH44" i="5"/>
  <c r="BR44" i="5" s="1"/>
  <c r="NH45" i="5"/>
  <c r="BR45" i="5" s="1"/>
  <c r="NH46" i="5"/>
  <c r="BR46" i="5" s="1"/>
  <c r="BU46" i="5" s="1"/>
  <c r="NH47" i="5"/>
  <c r="BR47" i="5" s="1"/>
  <c r="BU47" i="5" s="1"/>
  <c r="NH48" i="5"/>
  <c r="BR48" i="5" s="1"/>
  <c r="BU48" i="5" s="1"/>
  <c r="NH49" i="5"/>
  <c r="BR49" i="5" s="1"/>
  <c r="BU49" i="5" s="1"/>
  <c r="NH50" i="5"/>
  <c r="BR50" i="5" s="1"/>
  <c r="BU50" i="5" s="1"/>
  <c r="NH51" i="5"/>
  <c r="BR51" i="5" s="1"/>
  <c r="BU51" i="5" s="1"/>
  <c r="NH52" i="5"/>
  <c r="BR52" i="5" s="1"/>
  <c r="NH53" i="5"/>
  <c r="BR53" i="5" s="1"/>
  <c r="BU53" i="5" s="1"/>
  <c r="NH54" i="5"/>
  <c r="BR54" i="5" s="1"/>
  <c r="NH55" i="5"/>
  <c r="BR55" i="5" s="1"/>
  <c r="BU55" i="5" s="1"/>
  <c r="NH56" i="5"/>
  <c r="BR56" i="5" s="1"/>
  <c r="BU56" i="5" s="1"/>
  <c r="NH57" i="5"/>
  <c r="BR57" i="5" s="1"/>
  <c r="NH58" i="5"/>
  <c r="BR58" i="5" s="1"/>
  <c r="BU58" i="5" s="1"/>
  <c r="NH59" i="5"/>
  <c r="BR59" i="5" s="1"/>
  <c r="BU59" i="5" s="1"/>
  <c r="NH60" i="5"/>
  <c r="BR60" i="5" s="1"/>
  <c r="BS60" i="5" s="1"/>
  <c r="NH61" i="5"/>
  <c r="NH62" i="5"/>
  <c r="BR62" i="5" s="1"/>
  <c r="NH63" i="5"/>
  <c r="BR63" i="5" s="1"/>
  <c r="BU63" i="5" s="1"/>
  <c r="NH64" i="5"/>
  <c r="BR64" i="5" s="1"/>
  <c r="BU64" i="5" s="1"/>
  <c r="NH65" i="5"/>
  <c r="BR65" i="5" s="1"/>
  <c r="BU65" i="5" s="1"/>
  <c r="NH66" i="5"/>
  <c r="BR66" i="5" s="1"/>
  <c r="BU66" i="5" s="1"/>
  <c r="NH67" i="5"/>
  <c r="BR67" i="5" s="1"/>
  <c r="BU67" i="5" s="1"/>
  <c r="FG67" i="5" s="1"/>
  <c r="NH68" i="5"/>
  <c r="BR68" i="5" s="1"/>
  <c r="BU68" i="5" s="1"/>
  <c r="NH69" i="5"/>
  <c r="BR69" i="5" s="1"/>
  <c r="BU69" i="5" s="1"/>
  <c r="NH70" i="5"/>
  <c r="BR70" i="5" s="1"/>
  <c r="BU70" i="5" s="1"/>
  <c r="NH71" i="5"/>
  <c r="BR71" i="5" s="1"/>
  <c r="BU71" i="5" s="1"/>
  <c r="NH72" i="5"/>
  <c r="BR72" i="5" s="1"/>
  <c r="BU72" i="5" s="1"/>
  <c r="NH73" i="5"/>
  <c r="NH74" i="5"/>
  <c r="BR74" i="5" s="1"/>
  <c r="BU74" i="5" s="1"/>
  <c r="NH75" i="5"/>
  <c r="BR75" i="5" s="1"/>
  <c r="NH76" i="5"/>
  <c r="BR76" i="5" s="1"/>
  <c r="BU76" i="5" s="1"/>
  <c r="NH77" i="5"/>
  <c r="BR77" i="5" s="1"/>
  <c r="BU77" i="5" s="1"/>
  <c r="NH78" i="5"/>
  <c r="BR78" i="5" s="1"/>
  <c r="BU78" i="5" s="1"/>
  <c r="NH79" i="5"/>
  <c r="BR79" i="5" s="1"/>
  <c r="BU79" i="5" s="1"/>
  <c r="NH80" i="5"/>
  <c r="BR80" i="5" s="1"/>
  <c r="NH81" i="5"/>
  <c r="BR81" i="5" s="1"/>
  <c r="BU81" i="5" s="1"/>
  <c r="NH82" i="5"/>
  <c r="BR82" i="5" s="1"/>
  <c r="BU82" i="5" s="1"/>
  <c r="NH83" i="5"/>
  <c r="BR83" i="5" s="1"/>
  <c r="BU83" i="5" s="1"/>
  <c r="NH84" i="5"/>
  <c r="BR84" i="5" s="1"/>
  <c r="NH85" i="5"/>
  <c r="BR85" i="5" s="1"/>
  <c r="BU85" i="5" s="1"/>
  <c r="NH86" i="5"/>
  <c r="BR86" i="5" s="1"/>
  <c r="NH87" i="5"/>
  <c r="BR87" i="5" s="1"/>
  <c r="BU87" i="5" s="1"/>
  <c r="NH88" i="5"/>
  <c r="BR88" i="5" s="1"/>
  <c r="NH89" i="5"/>
  <c r="BR89" i="5" s="1"/>
  <c r="BU89" i="5" s="1"/>
  <c r="NH90" i="5"/>
  <c r="BR90" i="5" s="1"/>
  <c r="NH91" i="5"/>
  <c r="BR91" i="5" s="1"/>
  <c r="NH92" i="5"/>
  <c r="BR92" i="5" s="1"/>
  <c r="BU92" i="5" s="1"/>
  <c r="NH93" i="5"/>
  <c r="BR93" i="5" s="1"/>
  <c r="NH94" i="5"/>
  <c r="BR94" i="5" s="1"/>
  <c r="NH95" i="5"/>
  <c r="NH96" i="5"/>
  <c r="BR96" i="5" s="1"/>
  <c r="NH97" i="5"/>
  <c r="BR97" i="5" s="1"/>
  <c r="BU97" i="5" s="1"/>
  <c r="NH98" i="5"/>
  <c r="BR98" i="5" s="1"/>
  <c r="BU98" i="5" s="1"/>
  <c r="NH99" i="5"/>
  <c r="BR99" i="5" s="1"/>
  <c r="NH100" i="5"/>
  <c r="BR100" i="5" s="1"/>
  <c r="BU100" i="5" s="1"/>
  <c r="CW100" i="5" s="1"/>
  <c r="NH101" i="5"/>
  <c r="BR101" i="5" s="1"/>
  <c r="NH102" i="5"/>
  <c r="BR102" i="5" s="1"/>
  <c r="BU102" i="5" s="1"/>
  <c r="GA102" i="5" s="1"/>
  <c r="NH103" i="5"/>
  <c r="BR103" i="5" s="1"/>
  <c r="NH104" i="5"/>
  <c r="RX104" i="5" s="1"/>
  <c r="RY104" i="5" s="1"/>
  <c r="NH105" i="5"/>
  <c r="BR105" i="5" s="1"/>
  <c r="BU105" i="5" s="1"/>
  <c r="NH106" i="5"/>
  <c r="BR106" i="5" s="1"/>
  <c r="NH107" i="5"/>
  <c r="BR107" i="5" s="1"/>
  <c r="NH108" i="5"/>
  <c r="BR108" i="5" s="1"/>
  <c r="NH109" i="5"/>
  <c r="BR109" i="5" s="1"/>
  <c r="BU109" i="5" s="1"/>
  <c r="NH110" i="5"/>
  <c r="BR110" i="5" s="1"/>
  <c r="BU110" i="5" s="1"/>
  <c r="NH111" i="5"/>
  <c r="NH112" i="5"/>
  <c r="BR112" i="5" s="1"/>
  <c r="BU112" i="5" s="1"/>
  <c r="NH113" i="5"/>
  <c r="BR113" i="5" s="1"/>
  <c r="BU113" i="5" s="1"/>
  <c r="GA113" i="5" s="1"/>
  <c r="NH114" i="5"/>
  <c r="BR114" i="5" s="1"/>
  <c r="BU114" i="5" s="1"/>
  <c r="NH115" i="5"/>
  <c r="BR115" i="5" s="1"/>
  <c r="BU115" i="5" s="1"/>
  <c r="NH116" i="5"/>
  <c r="BR116" i="5" s="1"/>
  <c r="BU116" i="5" s="1"/>
  <c r="NH117" i="5"/>
  <c r="NH118" i="5"/>
  <c r="NH119" i="5"/>
  <c r="NH120" i="5"/>
  <c r="BR120" i="5" s="1"/>
  <c r="BU120" i="5" s="1"/>
  <c r="NH121" i="5"/>
  <c r="BR121" i="5" s="1"/>
  <c r="NH122" i="5"/>
  <c r="NH123" i="5"/>
  <c r="NH124" i="5"/>
  <c r="BR124" i="5" s="1"/>
  <c r="NH125" i="5"/>
  <c r="BR125" i="5" s="1"/>
  <c r="BU125" i="5" s="1"/>
  <c r="NH126" i="5"/>
  <c r="BR126" i="5" s="1"/>
  <c r="BU126" i="5" s="1"/>
  <c r="NH127" i="5"/>
  <c r="BR127" i="5" s="1"/>
  <c r="BU127" i="5" s="1"/>
  <c r="NH128" i="5"/>
  <c r="BR128" i="5" s="1"/>
  <c r="BU128" i="5" s="1"/>
  <c r="NH129" i="5"/>
  <c r="BR129" i="5" s="1"/>
  <c r="BS129" i="5" s="1"/>
  <c r="NH130" i="5"/>
  <c r="BR130" i="5" s="1"/>
  <c r="NH131" i="5"/>
  <c r="BR131" i="5" s="1"/>
  <c r="BS131" i="5" s="1"/>
  <c r="NH132" i="5"/>
  <c r="BR132" i="5" s="1"/>
  <c r="BU132" i="5" s="1"/>
  <c r="NH133" i="5"/>
  <c r="BR133" i="5" s="1"/>
  <c r="NH134" i="5"/>
  <c r="BR134" i="5" s="1"/>
  <c r="NH135" i="5"/>
  <c r="BR135" i="5" s="1"/>
  <c r="BU135" i="5" s="1"/>
  <c r="NH136" i="5"/>
  <c r="BR136" i="5" s="1"/>
  <c r="BU136" i="5" s="1"/>
  <c r="NH137" i="5"/>
  <c r="BR137" i="5" s="1"/>
  <c r="BU137" i="5" s="1"/>
  <c r="NH138" i="5"/>
  <c r="BR138" i="5" s="1"/>
  <c r="BU138" i="5" s="1"/>
  <c r="NH139" i="5"/>
  <c r="BR139" i="5" s="1"/>
  <c r="NH140" i="5"/>
  <c r="BR140" i="5" s="1"/>
  <c r="BU140" i="5" s="1"/>
  <c r="NH141" i="5"/>
  <c r="NH142" i="5"/>
  <c r="BR142" i="5" s="1"/>
  <c r="BU142" i="5" s="1"/>
  <c r="NH143" i="5"/>
  <c r="BR143" i="5" s="1"/>
  <c r="NH144" i="5"/>
  <c r="BR144" i="5" s="1"/>
  <c r="NH145" i="5"/>
  <c r="BR145" i="5" s="1"/>
  <c r="BU145" i="5" s="1"/>
  <c r="NH146" i="5"/>
  <c r="BR146" i="5" s="1"/>
  <c r="NH147" i="5"/>
  <c r="NH148" i="5"/>
  <c r="BR148" i="5" s="1"/>
  <c r="NH149" i="5"/>
  <c r="BR149" i="5" s="1"/>
  <c r="BS149" i="5" s="1"/>
  <c r="NH150" i="5"/>
  <c r="BR150" i="5" s="1"/>
  <c r="NH151" i="5"/>
  <c r="NH152" i="5"/>
  <c r="BR152" i="5" s="1"/>
  <c r="NH153" i="5"/>
  <c r="BR153" i="5" s="1"/>
  <c r="BU153" i="5" s="1"/>
  <c r="CW153" i="5" s="1"/>
  <c r="NH154" i="5"/>
  <c r="BR154" i="5" s="1"/>
  <c r="NH155" i="5"/>
  <c r="BR155" i="5" s="1"/>
  <c r="NH156" i="5"/>
  <c r="BR156" i="5" s="1"/>
  <c r="NH157" i="5"/>
  <c r="BR157" i="5" s="1"/>
  <c r="BU157" i="5" s="1"/>
  <c r="NH158" i="5"/>
  <c r="BR158" i="5" s="1"/>
  <c r="BU158" i="5" s="1"/>
  <c r="NH159" i="5"/>
  <c r="BR159" i="5" s="1"/>
  <c r="BU159" i="5" s="1"/>
  <c r="NH160" i="5"/>
  <c r="NH161" i="5"/>
  <c r="NH162" i="5"/>
  <c r="BR162" i="5" s="1"/>
  <c r="NH163" i="5"/>
  <c r="NH164" i="5"/>
  <c r="BR164" i="5" s="1"/>
  <c r="NH165" i="5"/>
  <c r="BR165" i="5" s="1"/>
  <c r="NH166" i="5"/>
  <c r="NH167" i="5"/>
  <c r="NH168" i="5"/>
  <c r="BR168" i="5" s="1"/>
  <c r="NH169" i="5"/>
  <c r="BR169" i="5" s="1"/>
  <c r="NH170" i="5"/>
  <c r="BR170" i="5" s="1"/>
  <c r="NH171" i="5"/>
  <c r="BR171" i="5" s="1"/>
  <c r="NH172" i="5"/>
  <c r="BR172" i="5" s="1"/>
  <c r="NH173" i="5"/>
  <c r="BR173" i="5" s="1"/>
  <c r="NH174" i="5"/>
  <c r="BR174" i="5" s="1"/>
  <c r="NH175" i="5"/>
  <c r="BR175" i="5" s="1"/>
  <c r="NH176" i="5"/>
  <c r="BR176" i="5" s="1"/>
  <c r="NH177" i="5"/>
  <c r="BR177" i="5" s="1"/>
  <c r="NH178" i="5"/>
  <c r="NH179" i="5"/>
  <c r="BR179" i="5" s="1"/>
  <c r="NH180" i="5"/>
  <c r="BR180" i="5" s="1"/>
  <c r="NH181" i="5"/>
  <c r="BR181" i="5" s="1"/>
  <c r="NH182" i="5"/>
  <c r="NH183" i="5"/>
  <c r="NH184" i="5"/>
  <c r="NH185" i="5"/>
  <c r="BR185" i="5" s="1"/>
  <c r="NH186" i="5"/>
  <c r="NH187" i="5"/>
  <c r="NH188" i="5"/>
  <c r="BR188" i="5" s="1"/>
  <c r="NH189" i="5"/>
  <c r="BR189" i="5" s="1"/>
  <c r="BU189" i="5" s="1"/>
  <c r="NH190" i="5"/>
  <c r="BR190" i="5" s="1"/>
  <c r="NH191" i="5"/>
  <c r="NH192" i="5"/>
  <c r="NH193" i="5"/>
  <c r="BR193" i="5" s="1"/>
  <c r="NH202" i="5"/>
  <c r="NH203" i="5"/>
  <c r="BR203" i="5" s="1"/>
  <c r="NH204" i="5"/>
  <c r="BR204" i="5" s="1"/>
  <c r="NH205" i="5"/>
  <c r="BR205" i="5" s="1"/>
  <c r="NH206" i="5"/>
  <c r="BR206" i="5" s="1"/>
  <c r="NH207" i="5"/>
  <c r="BR207" i="5" s="1"/>
  <c r="BS207" i="5" s="1"/>
  <c r="NH208" i="5"/>
  <c r="BR208" i="5" s="1"/>
  <c r="NH209" i="5"/>
  <c r="BR209" i="5" s="1"/>
  <c r="NH210" i="5"/>
  <c r="BR210" i="5" s="1"/>
  <c r="NH211" i="5"/>
  <c r="BR211" i="5" s="1"/>
  <c r="NH212" i="5"/>
  <c r="BR212" i="5" s="1"/>
  <c r="NH213" i="5"/>
  <c r="BR213" i="5" s="1"/>
  <c r="NH214" i="5"/>
  <c r="NH215" i="5"/>
  <c r="NH216" i="5"/>
  <c r="NH217" i="5"/>
  <c r="NH218" i="5"/>
  <c r="NH219" i="5"/>
  <c r="BR219" i="5" s="1"/>
  <c r="NH220" i="5"/>
  <c r="NH221" i="5"/>
  <c r="NH222" i="5"/>
  <c r="BR222" i="5" s="1"/>
  <c r="BU222" i="5" s="1"/>
  <c r="NH223" i="5"/>
  <c r="BR223" i="5" s="1"/>
  <c r="BU223" i="5" s="1"/>
  <c r="NH224" i="5"/>
  <c r="BR224" i="5" s="1"/>
  <c r="BU224" i="5" s="1"/>
  <c r="NH225" i="5"/>
  <c r="BR225" i="5" s="1"/>
  <c r="BU225" i="5" s="1"/>
  <c r="GG225" i="5" s="1"/>
  <c r="NH226" i="5"/>
  <c r="BR226" i="5" s="1"/>
  <c r="NH227" i="5"/>
  <c r="BR227" i="5" s="1"/>
  <c r="NH228" i="5"/>
  <c r="BR228" i="5" s="1"/>
  <c r="NH229" i="5"/>
  <c r="BR229" i="5" s="1"/>
  <c r="NH230" i="5"/>
  <c r="BR230" i="5" s="1"/>
  <c r="BU230" i="5" s="1"/>
  <c r="NH231" i="5"/>
  <c r="BR231" i="5" s="1"/>
  <c r="NH232" i="5"/>
  <c r="BR232" i="5" s="1"/>
  <c r="NH233" i="5"/>
  <c r="BR233" i="5" s="1"/>
  <c r="NH234" i="5"/>
  <c r="BR234" i="5" s="1"/>
  <c r="NH235" i="5"/>
  <c r="NH236" i="5"/>
  <c r="NH237" i="5"/>
  <c r="NH238" i="5"/>
  <c r="NH239" i="5"/>
  <c r="NH240" i="5"/>
  <c r="NH241" i="5"/>
  <c r="NH242" i="5"/>
  <c r="BR242" i="5" s="1"/>
  <c r="NH243" i="5"/>
  <c r="NH244" i="5"/>
  <c r="NH245" i="5"/>
  <c r="NH246" i="5"/>
  <c r="NH247" i="5"/>
  <c r="NH248" i="5"/>
  <c r="MX4" i="5"/>
  <c r="MX5" i="5"/>
  <c r="MX6" i="5"/>
  <c r="MX7" i="5"/>
  <c r="MX8" i="5"/>
  <c r="MX9" i="5"/>
  <c r="MX10" i="5"/>
  <c r="MX11" i="5"/>
  <c r="MX12" i="5"/>
  <c r="MX13" i="5"/>
  <c r="MX14" i="5"/>
  <c r="MX15" i="5"/>
  <c r="MX16" i="5"/>
  <c r="MX17" i="5"/>
  <c r="MX18" i="5"/>
  <c r="MX19" i="5"/>
  <c r="MX20" i="5"/>
  <c r="MX21" i="5"/>
  <c r="MX22" i="5"/>
  <c r="MX23" i="5"/>
  <c r="MX24" i="5"/>
  <c r="MX25" i="5"/>
  <c r="MX26" i="5"/>
  <c r="MX27" i="5"/>
  <c r="MX28" i="5"/>
  <c r="MX29" i="5"/>
  <c r="MX30" i="5"/>
  <c r="MX31" i="5"/>
  <c r="MX32" i="5"/>
  <c r="MX33" i="5"/>
  <c r="MX34" i="5"/>
  <c r="MX35" i="5"/>
  <c r="MX36" i="5"/>
  <c r="MX37" i="5"/>
  <c r="MX38" i="5"/>
  <c r="MX39" i="5"/>
  <c r="MX40" i="5"/>
  <c r="MX41" i="5"/>
  <c r="MX42" i="5"/>
  <c r="MX43" i="5"/>
  <c r="MX44" i="5"/>
  <c r="MX45" i="5"/>
  <c r="MX46" i="5"/>
  <c r="MX47" i="5"/>
  <c r="MX48" i="5"/>
  <c r="MX49" i="5"/>
  <c r="MX50" i="5"/>
  <c r="MX51" i="5"/>
  <c r="MX52" i="5"/>
  <c r="MX53" i="5"/>
  <c r="MX54" i="5"/>
  <c r="MX55" i="5"/>
  <c r="MX56" i="5"/>
  <c r="MX57" i="5"/>
  <c r="MX58" i="5"/>
  <c r="MX59" i="5"/>
  <c r="MX60" i="5"/>
  <c r="MX61" i="5"/>
  <c r="MX62" i="5"/>
  <c r="MX63" i="5"/>
  <c r="MX64" i="5"/>
  <c r="MX65" i="5"/>
  <c r="MX66" i="5"/>
  <c r="MX67" i="5"/>
  <c r="MX68" i="5"/>
  <c r="MX69" i="5"/>
  <c r="MX70" i="5"/>
  <c r="MX71" i="5"/>
  <c r="MX72" i="5"/>
  <c r="MX73" i="5"/>
  <c r="MX74" i="5"/>
  <c r="MX75" i="5"/>
  <c r="MX76" i="5"/>
  <c r="MX77" i="5"/>
  <c r="MX78" i="5"/>
  <c r="MX79" i="5"/>
  <c r="MX80" i="5"/>
  <c r="MX81" i="5"/>
  <c r="MX82" i="5"/>
  <c r="MX83" i="5"/>
  <c r="MX84" i="5"/>
  <c r="MX85" i="5"/>
  <c r="MX86" i="5"/>
  <c r="MX87" i="5"/>
  <c r="MX88" i="5"/>
  <c r="MX89" i="5"/>
  <c r="MX90" i="5"/>
  <c r="MX91" i="5"/>
  <c r="MX92" i="5"/>
  <c r="MX93" i="5"/>
  <c r="MX94" i="5"/>
  <c r="MX95" i="5"/>
  <c r="MX96" i="5"/>
  <c r="MX97" i="5"/>
  <c r="MX98" i="5"/>
  <c r="MX99" i="5"/>
  <c r="MX100" i="5"/>
  <c r="MX101" i="5"/>
  <c r="MX102" i="5"/>
  <c r="MX103" i="5"/>
  <c r="MX104" i="5"/>
  <c r="MX105" i="5"/>
  <c r="MX106" i="5"/>
  <c r="MX107" i="5"/>
  <c r="MX108" i="5"/>
  <c r="MX109" i="5"/>
  <c r="MX110" i="5"/>
  <c r="MX111" i="5"/>
  <c r="MX112" i="5"/>
  <c r="MX113" i="5"/>
  <c r="MX114" i="5"/>
  <c r="MX115" i="5"/>
  <c r="MX116" i="5"/>
  <c r="MX117" i="5"/>
  <c r="MX118" i="5"/>
  <c r="MX119" i="5"/>
  <c r="MX120" i="5"/>
  <c r="MX121" i="5"/>
  <c r="MX122" i="5"/>
  <c r="MX123" i="5"/>
  <c r="MX124" i="5"/>
  <c r="MX125" i="5"/>
  <c r="MX126" i="5"/>
  <c r="MX127" i="5"/>
  <c r="MX128" i="5"/>
  <c r="MX129" i="5"/>
  <c r="MX130" i="5"/>
  <c r="MX131" i="5"/>
  <c r="MX132" i="5"/>
  <c r="MX133" i="5"/>
  <c r="MX134" i="5"/>
  <c r="MX135" i="5"/>
  <c r="MX136" i="5"/>
  <c r="MX137" i="5"/>
  <c r="MX138" i="5"/>
  <c r="MX139" i="5"/>
  <c r="MX140" i="5"/>
  <c r="MX141" i="5"/>
  <c r="MX142" i="5"/>
  <c r="MX143" i="5"/>
  <c r="MX144" i="5"/>
  <c r="MX145" i="5"/>
  <c r="MX146" i="5"/>
  <c r="MX147" i="5"/>
  <c r="MX148" i="5"/>
  <c r="MX149" i="5"/>
  <c r="MX150" i="5"/>
  <c r="MX151" i="5"/>
  <c r="MX152" i="5"/>
  <c r="MX153" i="5"/>
  <c r="MX154" i="5"/>
  <c r="MX155" i="5"/>
  <c r="MX156" i="5"/>
  <c r="MX157" i="5"/>
  <c r="MX158" i="5"/>
  <c r="MX159" i="5"/>
  <c r="MX160" i="5"/>
  <c r="MX161" i="5"/>
  <c r="MX162" i="5"/>
  <c r="MX163" i="5"/>
  <c r="MX164" i="5"/>
  <c r="MX165" i="5"/>
  <c r="MX166" i="5"/>
  <c r="MX167" i="5"/>
  <c r="MX168" i="5"/>
  <c r="MX169" i="5"/>
  <c r="MX170" i="5"/>
  <c r="MX171" i="5"/>
  <c r="MX172" i="5"/>
  <c r="MX173" i="5"/>
  <c r="MX174" i="5"/>
  <c r="MX175" i="5"/>
  <c r="MX176" i="5"/>
  <c r="MX177" i="5"/>
  <c r="MX178" i="5"/>
  <c r="MX179" i="5"/>
  <c r="MX180" i="5"/>
  <c r="MX181" i="5"/>
  <c r="MX182" i="5"/>
  <c r="MX183" i="5"/>
  <c r="MX184" i="5"/>
  <c r="MX185" i="5"/>
  <c r="MX186" i="5"/>
  <c r="MX187" i="5"/>
  <c r="MX188" i="5"/>
  <c r="MX189" i="5"/>
  <c r="MX190" i="5"/>
  <c r="MX191" i="5"/>
  <c r="MX192" i="5"/>
  <c r="MX193" i="5"/>
  <c r="MX202" i="5"/>
  <c r="MX203" i="5"/>
  <c r="MX204" i="5"/>
  <c r="MX205" i="5"/>
  <c r="MX206" i="5"/>
  <c r="MX207" i="5"/>
  <c r="MX208" i="5"/>
  <c r="MX209" i="5"/>
  <c r="MX210" i="5"/>
  <c r="MX211" i="5"/>
  <c r="MX212" i="5"/>
  <c r="MX213" i="5"/>
  <c r="MX214" i="5"/>
  <c r="MX215" i="5"/>
  <c r="MX216" i="5"/>
  <c r="MX217" i="5"/>
  <c r="MX218" i="5"/>
  <c r="MX219" i="5"/>
  <c r="MX220" i="5"/>
  <c r="MX221" i="5"/>
  <c r="MX222" i="5"/>
  <c r="MX223" i="5"/>
  <c r="MX224" i="5"/>
  <c r="MX225" i="5"/>
  <c r="MX226" i="5"/>
  <c r="MX227" i="5"/>
  <c r="MX228" i="5"/>
  <c r="MX229" i="5"/>
  <c r="MX230" i="5"/>
  <c r="MX231" i="5"/>
  <c r="MX232" i="5"/>
  <c r="MX233" i="5"/>
  <c r="MX234" i="5"/>
  <c r="MX235" i="5"/>
  <c r="MX236" i="5"/>
  <c r="MX237" i="5"/>
  <c r="MX238" i="5"/>
  <c r="MX239" i="5"/>
  <c r="MX240" i="5"/>
  <c r="MX241" i="5"/>
  <c r="MX242" i="5"/>
  <c r="MX243" i="5"/>
  <c r="MX244" i="5"/>
  <c r="MX245" i="5"/>
  <c r="MX246" i="5"/>
  <c r="MX247" i="5"/>
  <c r="MX248" i="5"/>
  <c r="MU4" i="5"/>
  <c r="MW4" i="5"/>
  <c r="MU5" i="5"/>
  <c r="MW5" i="5"/>
  <c r="MU6" i="5"/>
  <c r="MW6" i="5"/>
  <c r="MU7" i="5"/>
  <c r="MW7" i="5"/>
  <c r="MU8" i="5"/>
  <c r="MW8" i="5"/>
  <c r="MU9" i="5"/>
  <c r="MW9" i="5"/>
  <c r="MU10" i="5"/>
  <c r="MW10" i="5"/>
  <c r="MU11" i="5"/>
  <c r="MW11" i="5"/>
  <c r="MU12" i="5"/>
  <c r="MW12" i="5"/>
  <c r="MU13" i="5"/>
  <c r="MW13" i="5"/>
  <c r="MU14" i="5"/>
  <c r="MW14" i="5"/>
  <c r="MU15" i="5"/>
  <c r="MW15" i="5"/>
  <c r="MU16" i="5"/>
  <c r="MW16" i="5"/>
  <c r="MU17" i="5"/>
  <c r="MW17" i="5"/>
  <c r="MU18" i="5"/>
  <c r="MW18" i="5"/>
  <c r="MU19" i="5"/>
  <c r="MW19" i="5"/>
  <c r="MU20" i="5"/>
  <c r="MW20" i="5"/>
  <c r="MU21" i="5"/>
  <c r="MW21" i="5"/>
  <c r="MU22" i="5"/>
  <c r="MW22" i="5"/>
  <c r="MU23" i="5"/>
  <c r="MW23" i="5"/>
  <c r="MU24" i="5"/>
  <c r="MW24" i="5"/>
  <c r="MU25" i="5"/>
  <c r="MW25" i="5"/>
  <c r="MU26" i="5"/>
  <c r="MW26" i="5"/>
  <c r="MU27" i="5"/>
  <c r="MW27" i="5"/>
  <c r="MU28" i="5"/>
  <c r="MW28" i="5"/>
  <c r="MU29" i="5"/>
  <c r="MW29" i="5"/>
  <c r="MU30" i="5"/>
  <c r="MW30" i="5"/>
  <c r="MU31" i="5"/>
  <c r="MW31" i="5"/>
  <c r="MU32" i="5"/>
  <c r="MW32" i="5"/>
  <c r="MU33" i="5"/>
  <c r="MW33" i="5"/>
  <c r="MU34" i="5"/>
  <c r="MW34" i="5"/>
  <c r="MU35" i="5"/>
  <c r="MW35" i="5"/>
  <c r="MU36" i="5"/>
  <c r="MW36" i="5"/>
  <c r="MU37" i="5"/>
  <c r="MW37" i="5"/>
  <c r="MU38" i="5"/>
  <c r="MW38" i="5"/>
  <c r="MU39" i="5"/>
  <c r="MW39" i="5"/>
  <c r="MU40" i="5"/>
  <c r="MW40" i="5"/>
  <c r="MU41" i="5"/>
  <c r="MW41" i="5"/>
  <c r="MU42" i="5"/>
  <c r="MW42" i="5"/>
  <c r="MU43" i="5"/>
  <c r="MW43" i="5"/>
  <c r="MU44" i="5"/>
  <c r="MW44" i="5"/>
  <c r="MU45" i="5"/>
  <c r="MW45" i="5"/>
  <c r="MU46" i="5"/>
  <c r="MW46" i="5"/>
  <c r="MU47" i="5"/>
  <c r="MW47" i="5"/>
  <c r="MU48" i="5"/>
  <c r="MW48" i="5"/>
  <c r="MU49" i="5"/>
  <c r="MW49" i="5"/>
  <c r="MU50" i="5"/>
  <c r="MW50" i="5"/>
  <c r="MU51" i="5"/>
  <c r="MW51" i="5"/>
  <c r="MU52" i="5"/>
  <c r="MW52" i="5"/>
  <c r="MU53" i="5"/>
  <c r="MW53" i="5"/>
  <c r="MU54" i="5"/>
  <c r="MW54" i="5"/>
  <c r="MU55" i="5"/>
  <c r="MW55" i="5"/>
  <c r="MU56" i="5"/>
  <c r="MW56" i="5"/>
  <c r="MU57" i="5"/>
  <c r="MW57" i="5"/>
  <c r="MU58" i="5"/>
  <c r="MW58" i="5"/>
  <c r="MU59" i="5"/>
  <c r="MW59" i="5"/>
  <c r="MU60" i="5"/>
  <c r="MW60" i="5"/>
  <c r="MU61" i="5"/>
  <c r="MW61" i="5"/>
  <c r="MU62" i="5"/>
  <c r="MW62" i="5"/>
  <c r="MU63" i="5"/>
  <c r="MW63" i="5"/>
  <c r="MU64" i="5"/>
  <c r="MW64" i="5"/>
  <c r="MU65" i="5"/>
  <c r="MW65" i="5"/>
  <c r="MU66" i="5"/>
  <c r="MW66" i="5"/>
  <c r="MU67" i="5"/>
  <c r="MW67" i="5"/>
  <c r="MU68" i="5"/>
  <c r="MW68" i="5"/>
  <c r="MU69" i="5"/>
  <c r="MW69" i="5"/>
  <c r="MU70" i="5"/>
  <c r="MW70" i="5"/>
  <c r="MU71" i="5"/>
  <c r="MW71" i="5"/>
  <c r="MU72" i="5"/>
  <c r="MW72" i="5"/>
  <c r="MU73" i="5"/>
  <c r="MW73" i="5"/>
  <c r="MU74" i="5"/>
  <c r="MW74" i="5"/>
  <c r="MU75" i="5"/>
  <c r="MW75" i="5"/>
  <c r="MU76" i="5"/>
  <c r="MW76" i="5"/>
  <c r="MU77" i="5"/>
  <c r="MW77" i="5"/>
  <c r="MU78" i="5"/>
  <c r="MW78" i="5"/>
  <c r="MU79" i="5"/>
  <c r="MW79" i="5"/>
  <c r="MU80" i="5"/>
  <c r="MW80" i="5"/>
  <c r="MU81" i="5"/>
  <c r="MW81" i="5"/>
  <c r="MU82" i="5"/>
  <c r="MW82" i="5"/>
  <c r="MU83" i="5"/>
  <c r="MW83" i="5"/>
  <c r="MU84" i="5"/>
  <c r="MW84" i="5"/>
  <c r="MU85" i="5"/>
  <c r="MW85" i="5"/>
  <c r="MU86" i="5"/>
  <c r="MW86" i="5"/>
  <c r="MU87" i="5"/>
  <c r="MW87" i="5"/>
  <c r="MU88" i="5"/>
  <c r="MW88" i="5"/>
  <c r="MU89" i="5"/>
  <c r="MW89" i="5"/>
  <c r="MU90" i="5"/>
  <c r="MW90" i="5"/>
  <c r="MU91" i="5"/>
  <c r="MW91" i="5"/>
  <c r="MU92" i="5"/>
  <c r="MW92" i="5"/>
  <c r="MU93" i="5"/>
  <c r="MW93" i="5"/>
  <c r="MU94" i="5"/>
  <c r="MW94" i="5"/>
  <c r="MU95" i="5"/>
  <c r="MW95" i="5"/>
  <c r="MU96" i="5"/>
  <c r="MW96" i="5"/>
  <c r="MU97" i="5"/>
  <c r="MW97" i="5"/>
  <c r="MU98" i="5"/>
  <c r="MW98" i="5"/>
  <c r="MU99" i="5"/>
  <c r="MW99" i="5"/>
  <c r="MU100" i="5"/>
  <c r="MW100" i="5"/>
  <c r="MU101" i="5"/>
  <c r="MW101" i="5"/>
  <c r="MU102" i="5"/>
  <c r="MW102" i="5"/>
  <c r="MU103" i="5"/>
  <c r="MW103" i="5"/>
  <c r="MU104" i="5"/>
  <c r="MW104" i="5"/>
  <c r="MU105" i="5"/>
  <c r="MW105" i="5"/>
  <c r="MU106" i="5"/>
  <c r="MW106" i="5"/>
  <c r="MU107" i="5"/>
  <c r="MW107" i="5"/>
  <c r="MU108" i="5"/>
  <c r="MW108" i="5"/>
  <c r="MU109" i="5"/>
  <c r="MW109" i="5"/>
  <c r="MU110" i="5"/>
  <c r="MW110" i="5"/>
  <c r="MU111" i="5"/>
  <c r="MW111" i="5"/>
  <c r="MU112" i="5"/>
  <c r="MW112" i="5"/>
  <c r="MU113" i="5"/>
  <c r="MW113" i="5"/>
  <c r="MU114" i="5"/>
  <c r="MW114" i="5"/>
  <c r="MU115" i="5"/>
  <c r="MW115" i="5"/>
  <c r="MU116" i="5"/>
  <c r="MW116" i="5"/>
  <c r="MU117" i="5"/>
  <c r="MW117" i="5"/>
  <c r="MU118" i="5"/>
  <c r="MW118" i="5"/>
  <c r="MU119" i="5"/>
  <c r="MW119" i="5"/>
  <c r="MU120" i="5"/>
  <c r="MW120" i="5"/>
  <c r="MU121" i="5"/>
  <c r="MW121" i="5"/>
  <c r="MU122" i="5"/>
  <c r="MW122" i="5"/>
  <c r="MU123" i="5"/>
  <c r="MW123" i="5"/>
  <c r="MU124" i="5"/>
  <c r="MW124" i="5"/>
  <c r="MU125" i="5"/>
  <c r="MW125" i="5"/>
  <c r="MU126" i="5"/>
  <c r="MW126" i="5"/>
  <c r="MU127" i="5"/>
  <c r="MW127" i="5"/>
  <c r="MU128" i="5"/>
  <c r="MW128" i="5"/>
  <c r="MU129" i="5"/>
  <c r="MW129" i="5"/>
  <c r="MU130" i="5"/>
  <c r="MW130" i="5"/>
  <c r="MU131" i="5"/>
  <c r="MW131" i="5"/>
  <c r="MU132" i="5"/>
  <c r="MW132" i="5"/>
  <c r="MU133" i="5"/>
  <c r="MW133" i="5"/>
  <c r="MU134" i="5"/>
  <c r="MW134" i="5"/>
  <c r="MU135" i="5"/>
  <c r="MW135" i="5"/>
  <c r="MU136" i="5"/>
  <c r="MW136" i="5"/>
  <c r="MU137" i="5"/>
  <c r="MW137" i="5"/>
  <c r="MU138" i="5"/>
  <c r="MW138" i="5"/>
  <c r="MU139" i="5"/>
  <c r="MW139" i="5"/>
  <c r="MU140" i="5"/>
  <c r="MW140" i="5"/>
  <c r="MU141" i="5"/>
  <c r="MW141" i="5"/>
  <c r="MU142" i="5"/>
  <c r="MW142" i="5"/>
  <c r="MU143" i="5"/>
  <c r="MW143" i="5"/>
  <c r="MU144" i="5"/>
  <c r="MW144" i="5"/>
  <c r="MU145" i="5"/>
  <c r="MW145" i="5"/>
  <c r="MU146" i="5"/>
  <c r="MW146" i="5"/>
  <c r="MU147" i="5"/>
  <c r="MW147" i="5"/>
  <c r="MU148" i="5"/>
  <c r="MW148" i="5"/>
  <c r="MU149" i="5"/>
  <c r="MW149" i="5"/>
  <c r="MU150" i="5"/>
  <c r="MW150" i="5"/>
  <c r="MU151" i="5"/>
  <c r="MW151" i="5"/>
  <c r="MU152" i="5"/>
  <c r="MW152" i="5"/>
  <c r="MU153" i="5"/>
  <c r="MW153" i="5"/>
  <c r="MU154" i="5"/>
  <c r="MW154" i="5"/>
  <c r="MU155" i="5"/>
  <c r="MW155" i="5"/>
  <c r="MU156" i="5"/>
  <c r="MW156" i="5"/>
  <c r="MU157" i="5"/>
  <c r="MW157" i="5"/>
  <c r="MU158" i="5"/>
  <c r="MW158" i="5"/>
  <c r="MU159" i="5"/>
  <c r="MW159" i="5"/>
  <c r="MU160" i="5"/>
  <c r="MW160" i="5"/>
  <c r="MU161" i="5"/>
  <c r="MW161" i="5"/>
  <c r="MU162" i="5"/>
  <c r="MW162" i="5"/>
  <c r="MU163" i="5"/>
  <c r="MW163" i="5"/>
  <c r="MU164" i="5"/>
  <c r="MW164" i="5"/>
  <c r="MU165" i="5"/>
  <c r="MW165" i="5"/>
  <c r="MU166" i="5"/>
  <c r="MW166" i="5"/>
  <c r="MU167" i="5"/>
  <c r="MW167" i="5"/>
  <c r="MU168" i="5"/>
  <c r="MW168" i="5"/>
  <c r="MU169" i="5"/>
  <c r="MW169" i="5"/>
  <c r="MU170" i="5"/>
  <c r="MW170" i="5"/>
  <c r="MU171" i="5"/>
  <c r="MW171" i="5"/>
  <c r="MU172" i="5"/>
  <c r="MW172" i="5"/>
  <c r="MU173" i="5"/>
  <c r="MW173" i="5"/>
  <c r="MU174" i="5"/>
  <c r="MW174" i="5"/>
  <c r="MU175" i="5"/>
  <c r="MW175" i="5"/>
  <c r="MU176" i="5"/>
  <c r="MW176" i="5"/>
  <c r="MU177" i="5"/>
  <c r="MW177" i="5"/>
  <c r="MU178" i="5"/>
  <c r="MW178" i="5"/>
  <c r="MU179" i="5"/>
  <c r="MW179" i="5"/>
  <c r="MU180" i="5"/>
  <c r="MW180" i="5"/>
  <c r="MU181" i="5"/>
  <c r="MW181" i="5"/>
  <c r="MU182" i="5"/>
  <c r="MW182" i="5"/>
  <c r="MU183" i="5"/>
  <c r="MW183" i="5"/>
  <c r="MU184" i="5"/>
  <c r="MW184" i="5"/>
  <c r="MU185" i="5"/>
  <c r="MW185" i="5"/>
  <c r="MU186" i="5"/>
  <c r="MW186" i="5"/>
  <c r="MU187" i="5"/>
  <c r="MW187" i="5"/>
  <c r="MU188" i="5"/>
  <c r="MW188" i="5"/>
  <c r="MU189" i="5"/>
  <c r="MW189" i="5"/>
  <c r="MU190" i="5"/>
  <c r="MW190" i="5"/>
  <c r="MU191" i="5"/>
  <c r="MW191" i="5"/>
  <c r="MU192" i="5"/>
  <c r="MW192" i="5"/>
  <c r="MU193" i="5"/>
  <c r="MW193" i="5"/>
  <c r="MU202" i="5"/>
  <c r="MW202" i="5"/>
  <c r="MU203" i="5"/>
  <c r="MW203" i="5"/>
  <c r="MU204" i="5"/>
  <c r="MW204" i="5"/>
  <c r="MU205" i="5"/>
  <c r="MW205" i="5"/>
  <c r="MU206" i="5"/>
  <c r="MW206" i="5"/>
  <c r="MU207" i="5"/>
  <c r="MW207" i="5"/>
  <c r="MU208" i="5"/>
  <c r="MW208" i="5"/>
  <c r="MU209" i="5"/>
  <c r="MW209" i="5"/>
  <c r="MU210" i="5"/>
  <c r="MW210" i="5"/>
  <c r="MU211" i="5"/>
  <c r="MW211" i="5"/>
  <c r="MU212" i="5"/>
  <c r="MW212" i="5"/>
  <c r="MU213" i="5"/>
  <c r="MW213" i="5"/>
  <c r="MU214" i="5"/>
  <c r="MW214" i="5"/>
  <c r="MU215" i="5"/>
  <c r="MW215" i="5"/>
  <c r="MU216" i="5"/>
  <c r="MW216" i="5"/>
  <c r="MU217" i="5"/>
  <c r="MW217" i="5"/>
  <c r="MU218" i="5"/>
  <c r="MW218" i="5"/>
  <c r="MU219" i="5"/>
  <c r="MW219" i="5"/>
  <c r="MU220" i="5"/>
  <c r="MW220" i="5"/>
  <c r="MU221" i="5"/>
  <c r="MW221" i="5"/>
  <c r="MU222" i="5"/>
  <c r="MW222" i="5"/>
  <c r="MU223" i="5"/>
  <c r="MW223" i="5"/>
  <c r="MU224" i="5"/>
  <c r="MW224" i="5"/>
  <c r="MU225" i="5"/>
  <c r="MW225" i="5"/>
  <c r="MU226" i="5"/>
  <c r="MW226" i="5"/>
  <c r="MU227" i="5"/>
  <c r="MW227" i="5"/>
  <c r="MU228" i="5"/>
  <c r="MW228" i="5"/>
  <c r="MU229" i="5"/>
  <c r="MW229" i="5"/>
  <c r="MU230" i="5"/>
  <c r="MW230" i="5"/>
  <c r="MU231" i="5"/>
  <c r="MW231" i="5"/>
  <c r="MU232" i="5"/>
  <c r="MW232" i="5"/>
  <c r="MU233" i="5"/>
  <c r="MW233" i="5"/>
  <c r="MU234" i="5"/>
  <c r="MW234" i="5"/>
  <c r="MU235" i="5"/>
  <c r="MW235" i="5"/>
  <c r="MU236" i="5"/>
  <c r="MW236" i="5"/>
  <c r="MU237" i="5"/>
  <c r="MW237" i="5"/>
  <c r="MU238" i="5"/>
  <c r="MW238" i="5"/>
  <c r="MU239" i="5"/>
  <c r="MW239" i="5"/>
  <c r="MU240" i="5"/>
  <c r="MW240" i="5"/>
  <c r="MU241" i="5"/>
  <c r="MW241" i="5"/>
  <c r="MU242" i="5"/>
  <c r="MW242" i="5"/>
  <c r="MU243" i="5"/>
  <c r="MW243" i="5"/>
  <c r="MU244" i="5"/>
  <c r="MW244" i="5"/>
  <c r="MU245" i="5"/>
  <c r="MW245" i="5"/>
  <c r="MU246" i="5"/>
  <c r="MW246" i="5"/>
  <c r="MU247" i="5"/>
  <c r="MW247" i="5"/>
  <c r="MU248" i="5"/>
  <c r="MW248" i="5"/>
  <c r="MQ4" i="5"/>
  <c r="MR4" i="5" s="1"/>
  <c r="MQ5" i="5"/>
  <c r="NE5" i="5" s="1"/>
  <c r="MQ6" i="5"/>
  <c r="MQ7" i="5"/>
  <c r="MS7" i="5" s="1"/>
  <c r="MQ8" i="5"/>
  <c r="NE8" i="5" s="1"/>
  <c r="MQ9" i="5"/>
  <c r="MS9" i="5" s="1"/>
  <c r="MQ10" i="5"/>
  <c r="MS10" i="5" s="1"/>
  <c r="MQ11" i="5"/>
  <c r="NE11" i="5" s="1"/>
  <c r="MQ12" i="5"/>
  <c r="MS12" i="5" s="1"/>
  <c r="MQ13" i="5"/>
  <c r="MS13" i="5" s="1"/>
  <c r="MQ14" i="5"/>
  <c r="MQ15" i="5"/>
  <c r="MR15" i="5" s="1"/>
  <c r="MQ16" i="5"/>
  <c r="MQ17" i="5"/>
  <c r="MQ18" i="5"/>
  <c r="MR18" i="5" s="1"/>
  <c r="MQ19" i="5"/>
  <c r="MS19" i="5" s="1"/>
  <c r="MQ20" i="5"/>
  <c r="MQ21" i="5"/>
  <c r="MS21" i="5" s="1"/>
  <c r="MQ22" i="5"/>
  <c r="MQ23" i="5"/>
  <c r="MQ24" i="5"/>
  <c r="MS24" i="5" s="1"/>
  <c r="MQ25" i="5"/>
  <c r="MQ26" i="5"/>
  <c r="NE26" i="5" s="1"/>
  <c r="MQ27" i="5"/>
  <c r="NE27" i="5" s="1"/>
  <c r="MQ28" i="5"/>
  <c r="NE28" i="5" s="1"/>
  <c r="MQ29" i="5"/>
  <c r="NE29" i="5" s="1"/>
  <c r="MQ30" i="5"/>
  <c r="MQ31" i="5"/>
  <c r="MS31" i="5" s="1"/>
  <c r="MQ32" i="5"/>
  <c r="NE32" i="5" s="1"/>
  <c r="MQ33" i="5"/>
  <c r="MS33" i="5" s="1"/>
  <c r="MQ34" i="5"/>
  <c r="MS34" i="5" s="1"/>
  <c r="MQ35" i="5"/>
  <c r="NE35" i="5" s="1"/>
  <c r="MQ36" i="5"/>
  <c r="MQ37" i="5"/>
  <c r="MS37" i="5" s="1"/>
  <c r="MQ38" i="5"/>
  <c r="NE38" i="5" s="1"/>
  <c r="MQ39" i="5"/>
  <c r="MR39" i="5" s="1"/>
  <c r="MQ40" i="5"/>
  <c r="NE40" i="5" s="1"/>
  <c r="MQ41" i="5"/>
  <c r="NE41" i="5" s="1"/>
  <c r="MQ42" i="5"/>
  <c r="MQ43" i="5"/>
  <c r="MS43" i="5" s="1"/>
  <c r="MQ44" i="5"/>
  <c r="MQ45" i="5"/>
  <c r="MR45" i="5" s="1"/>
  <c r="MQ46" i="5"/>
  <c r="NE46" i="5" s="1"/>
  <c r="MQ47" i="5"/>
  <c r="NE47" i="5" s="1"/>
  <c r="MQ48" i="5"/>
  <c r="MS48" i="5" s="1"/>
  <c r="MQ49" i="5"/>
  <c r="NE49" i="5" s="1"/>
  <c r="MQ50" i="5"/>
  <c r="NE50" i="5" s="1"/>
  <c r="MQ51" i="5"/>
  <c r="NE51" i="5" s="1"/>
  <c r="MQ52" i="5"/>
  <c r="MR52" i="5" s="1"/>
  <c r="MQ53" i="5"/>
  <c r="NE53" i="5" s="1"/>
  <c r="MQ54" i="5"/>
  <c r="MQ55" i="5"/>
  <c r="NE55" i="5" s="1"/>
  <c r="MQ56" i="5"/>
  <c r="NE56" i="5" s="1"/>
  <c r="MQ57" i="5"/>
  <c r="MR57" i="5" s="1"/>
  <c r="MQ58" i="5"/>
  <c r="MR58" i="5" s="1"/>
  <c r="MQ59" i="5"/>
  <c r="NE59" i="5" s="1"/>
  <c r="MQ60" i="5"/>
  <c r="MR60" i="5" s="1"/>
  <c r="MQ61" i="5"/>
  <c r="MR61" i="5" s="1"/>
  <c r="MQ62" i="5"/>
  <c r="MQ63" i="5"/>
  <c r="MR63" i="5" s="1"/>
  <c r="MQ64" i="5"/>
  <c r="MR64" i="5" s="1"/>
  <c r="MQ65" i="5"/>
  <c r="NE65" i="5" s="1"/>
  <c r="MQ66" i="5"/>
  <c r="NE66" i="5" s="1"/>
  <c r="HK66" i="5" s="1"/>
  <c r="HI66" i="5" s="1"/>
  <c r="MQ67" i="5"/>
  <c r="NE67" i="5" s="1"/>
  <c r="MQ68" i="5"/>
  <c r="NE68" i="5" s="1"/>
  <c r="MQ69" i="5"/>
  <c r="MR69" i="5" s="1"/>
  <c r="MQ70" i="5"/>
  <c r="NE70" i="5" s="1"/>
  <c r="MQ71" i="5"/>
  <c r="NE71" i="5" s="1"/>
  <c r="MQ72" i="5"/>
  <c r="NE72" i="5" s="1"/>
  <c r="MQ73" i="5"/>
  <c r="MS73" i="5" s="1"/>
  <c r="MQ74" i="5"/>
  <c r="NE74" i="5" s="1"/>
  <c r="MQ75" i="5"/>
  <c r="MQ76" i="5"/>
  <c r="MR76" i="5" s="1"/>
  <c r="MQ77" i="5"/>
  <c r="NE77" i="5" s="1"/>
  <c r="MQ78" i="5"/>
  <c r="MS78" i="5" s="1"/>
  <c r="MQ79" i="5"/>
  <c r="MS79" i="5" s="1"/>
  <c r="MQ80" i="5"/>
  <c r="MQ81" i="5"/>
  <c r="NE81" i="5" s="1"/>
  <c r="MQ82" i="5"/>
  <c r="MQ83" i="5"/>
  <c r="NE83" i="5" s="1"/>
  <c r="MQ84" i="5"/>
  <c r="MS84" i="5" s="1"/>
  <c r="MQ85" i="5"/>
  <c r="MS85" i="5" s="1"/>
  <c r="MQ86" i="5"/>
  <c r="MQ87" i="5"/>
  <c r="MS87" i="5" s="1"/>
  <c r="MQ88" i="5"/>
  <c r="MS88" i="5" s="1"/>
  <c r="MQ89" i="5"/>
  <c r="NE89" i="5" s="1"/>
  <c r="MQ90" i="5"/>
  <c r="MS90" i="5" s="1"/>
  <c r="MQ91" i="5"/>
  <c r="MS91" i="5" s="1"/>
  <c r="MQ92" i="5"/>
  <c r="NE92" i="5" s="1"/>
  <c r="HK92" i="5" s="1"/>
  <c r="HI92" i="5" s="1"/>
  <c r="MQ93" i="5"/>
  <c r="MQ94" i="5"/>
  <c r="MQ95" i="5"/>
  <c r="MQ96" i="5"/>
  <c r="MS96" i="5" s="1"/>
  <c r="MQ97" i="5"/>
  <c r="MS97" i="5" s="1"/>
  <c r="MQ98" i="5"/>
  <c r="NE98" i="5" s="1"/>
  <c r="MQ99" i="5"/>
  <c r="MQ100" i="5"/>
  <c r="MR100" i="5" s="1"/>
  <c r="MQ101" i="5"/>
  <c r="MQ102" i="5"/>
  <c r="MS102" i="5" s="1"/>
  <c r="MQ103" i="5"/>
  <c r="MS103" i="5" s="1"/>
  <c r="MQ104" i="5"/>
  <c r="MQ105" i="5"/>
  <c r="MQ106" i="5"/>
  <c r="MR106" i="5" s="1"/>
  <c r="MQ107" i="5"/>
  <c r="MQ108" i="5"/>
  <c r="MS108" i="5" s="1"/>
  <c r="MQ109" i="5"/>
  <c r="MS109" i="5" s="1"/>
  <c r="MQ110" i="5"/>
  <c r="NE110" i="5" s="1"/>
  <c r="MQ111" i="5"/>
  <c r="MS111" i="5" s="1"/>
  <c r="MQ112" i="5"/>
  <c r="NE112" i="5" s="1"/>
  <c r="MQ113" i="5"/>
  <c r="MS113" i="5" s="1"/>
  <c r="MQ114" i="5"/>
  <c r="MS114" i="5" s="1"/>
  <c r="MQ115" i="5"/>
  <c r="MS115" i="5" s="1"/>
  <c r="MQ116" i="5"/>
  <c r="NE116" i="5" s="1"/>
  <c r="MQ117" i="5"/>
  <c r="NE117" i="5" s="1"/>
  <c r="MQ118" i="5"/>
  <c r="NE118" i="5" s="1"/>
  <c r="MQ119" i="5"/>
  <c r="MS119" i="5" s="1"/>
  <c r="MQ120" i="5"/>
  <c r="NE120" i="5" s="1"/>
  <c r="MQ121" i="5"/>
  <c r="MQ122" i="5"/>
  <c r="MS122" i="5" s="1"/>
  <c r="MQ123" i="5"/>
  <c r="NE123" i="5" s="1"/>
  <c r="MQ124" i="5"/>
  <c r="MR124" i="5" s="1"/>
  <c r="MQ125" i="5"/>
  <c r="MS125" i="5" s="1"/>
  <c r="MQ126" i="5"/>
  <c r="NE126" i="5" s="1"/>
  <c r="MQ127" i="5"/>
  <c r="NE127" i="5" s="1"/>
  <c r="MQ128" i="5"/>
  <c r="MS128" i="5" s="1"/>
  <c r="MQ129" i="5"/>
  <c r="MS129" i="5" s="1"/>
  <c r="MQ130" i="5"/>
  <c r="MS130" i="5" s="1"/>
  <c r="MQ131" i="5"/>
  <c r="MS131" i="5" s="1"/>
  <c r="MQ132" i="5"/>
  <c r="NE132" i="5" s="1"/>
  <c r="MQ133" i="5"/>
  <c r="MQ134" i="5"/>
  <c r="MS134" i="5" s="1"/>
  <c r="MQ135" i="5"/>
  <c r="MS135" i="5" s="1"/>
  <c r="MQ136" i="5"/>
  <c r="MS136" i="5" s="1"/>
  <c r="MQ137" i="5"/>
  <c r="MR137" i="5" s="1"/>
  <c r="MQ138" i="5"/>
  <c r="NE138" i="5" s="1"/>
  <c r="MQ139" i="5"/>
  <c r="MS139" i="5" s="1"/>
  <c r="MQ140" i="5"/>
  <c r="NE140" i="5" s="1"/>
  <c r="MQ141" i="5"/>
  <c r="NE141" i="5" s="1"/>
  <c r="MQ142" i="5"/>
  <c r="MS142" i="5" s="1"/>
  <c r="MQ143" i="5"/>
  <c r="MR143" i="5" s="1"/>
  <c r="MQ144" i="5"/>
  <c r="MR144" i="5" s="1"/>
  <c r="MQ145" i="5"/>
  <c r="MR145" i="5" s="1"/>
  <c r="MQ146" i="5"/>
  <c r="MS146" i="5" s="1"/>
  <c r="MQ147" i="5"/>
  <c r="MS147" i="5" s="1"/>
  <c r="MQ148" i="5"/>
  <c r="MS148" i="5" s="1"/>
  <c r="MQ149" i="5"/>
  <c r="MQ150" i="5"/>
  <c r="MQ151" i="5"/>
  <c r="NE151" i="5" s="1"/>
  <c r="MQ152" i="5"/>
  <c r="MS152" i="5" s="1"/>
  <c r="MQ153" i="5"/>
  <c r="NE153" i="5" s="1"/>
  <c r="MQ154" i="5"/>
  <c r="NE154" i="5" s="1"/>
  <c r="MQ155" i="5"/>
  <c r="MS155" i="5" s="1"/>
  <c r="MQ156" i="5"/>
  <c r="MQ157" i="5"/>
  <c r="MR157" i="5" s="1"/>
  <c r="MQ158" i="5"/>
  <c r="MS158" i="5" s="1"/>
  <c r="MQ159" i="5"/>
  <c r="NE159" i="5" s="1"/>
  <c r="MQ160" i="5"/>
  <c r="NE160" i="5" s="1"/>
  <c r="MQ161" i="5"/>
  <c r="NE161" i="5" s="1"/>
  <c r="MQ162" i="5"/>
  <c r="MS162" i="5" s="1"/>
  <c r="MQ163" i="5"/>
  <c r="MS163" i="5" s="1"/>
  <c r="MQ164" i="5"/>
  <c r="MS164" i="5" s="1"/>
  <c r="MQ165" i="5"/>
  <c r="MQ166" i="5"/>
  <c r="MR166" i="5" s="1"/>
  <c r="MQ167" i="5"/>
  <c r="NE167" i="5" s="1"/>
  <c r="MQ168" i="5"/>
  <c r="MQ169" i="5"/>
  <c r="MS169" i="5" s="1"/>
  <c r="MQ170" i="5"/>
  <c r="MS170" i="5" s="1"/>
  <c r="MQ171" i="5"/>
  <c r="MR171" i="5" s="1"/>
  <c r="MQ172" i="5"/>
  <c r="MS172" i="5" s="1"/>
  <c r="MQ173" i="5"/>
  <c r="MR173" i="5" s="1"/>
  <c r="MQ174" i="5"/>
  <c r="MR174" i="5" s="1"/>
  <c r="MQ175" i="5"/>
  <c r="MS175" i="5" s="1"/>
  <c r="MQ176" i="5"/>
  <c r="MR176" i="5" s="1"/>
  <c r="MQ177" i="5"/>
  <c r="MS177" i="5" s="1"/>
  <c r="MQ178" i="5"/>
  <c r="MS178" i="5" s="1"/>
  <c r="MQ179" i="5"/>
  <c r="MS179" i="5" s="1"/>
  <c r="MQ180" i="5"/>
  <c r="NE180" i="5" s="1"/>
  <c r="MQ181" i="5"/>
  <c r="MS181" i="5" s="1"/>
  <c r="MQ182" i="5"/>
  <c r="MS182" i="5" s="1"/>
  <c r="MQ183" i="5"/>
  <c r="MS183" i="5" s="1"/>
  <c r="MQ184" i="5"/>
  <c r="NE184" i="5" s="1"/>
  <c r="MQ185" i="5"/>
  <c r="MQ186" i="5"/>
  <c r="NE186" i="5" s="1"/>
  <c r="MQ187" i="5"/>
  <c r="MS187" i="5" s="1"/>
  <c r="MQ188" i="5"/>
  <c r="MR188" i="5" s="1"/>
  <c r="MQ189" i="5"/>
  <c r="MR189" i="5" s="1"/>
  <c r="MQ190" i="5"/>
  <c r="MS190" i="5" s="1"/>
  <c r="MQ191" i="5"/>
  <c r="MR191" i="5" s="1"/>
  <c r="MQ192" i="5"/>
  <c r="MS192" i="5" s="1"/>
  <c r="MQ193" i="5"/>
  <c r="MQ202" i="5"/>
  <c r="MS202" i="5" s="1"/>
  <c r="MQ203" i="5"/>
  <c r="MR203" i="5" s="1"/>
  <c r="MQ204" i="5"/>
  <c r="MS204" i="5" s="1"/>
  <c r="MQ205" i="5"/>
  <c r="MS205" i="5" s="1"/>
  <c r="MQ206" i="5"/>
  <c r="MR206" i="5" s="1"/>
  <c r="MQ207" i="5"/>
  <c r="MS207" i="5" s="1"/>
  <c r="MQ208" i="5"/>
  <c r="NE208" i="5" s="1"/>
  <c r="HK208" i="5" s="1"/>
  <c r="MQ209" i="5"/>
  <c r="MQ210" i="5"/>
  <c r="MQ211" i="5"/>
  <c r="MQ212" i="5"/>
  <c r="MS212" i="5" s="1"/>
  <c r="MQ213" i="5"/>
  <c r="MS213" i="5" s="1"/>
  <c r="MQ214" i="5"/>
  <c r="MS214" i="5" s="1"/>
  <c r="MQ215" i="5"/>
  <c r="NE215" i="5" s="1"/>
  <c r="HK215" i="5" s="1"/>
  <c r="HR215" i="5" s="1"/>
  <c r="MQ216" i="5"/>
  <c r="MR216" i="5" s="1"/>
  <c r="MQ217" i="5"/>
  <c r="MR217" i="5" s="1"/>
  <c r="MQ218" i="5"/>
  <c r="MS218" i="5" s="1"/>
  <c r="MQ219" i="5"/>
  <c r="NE219" i="5" s="1"/>
  <c r="HK219" i="5" s="1"/>
  <c r="HR219" i="5" s="1"/>
  <c r="MQ220" i="5"/>
  <c r="MR220" i="5" s="1"/>
  <c r="MQ221" i="5"/>
  <c r="MR221" i="5" s="1"/>
  <c r="MQ222" i="5"/>
  <c r="NE222" i="5" s="1"/>
  <c r="HK222" i="5" s="1"/>
  <c r="MQ223" i="5"/>
  <c r="MR223" i="5" s="1"/>
  <c r="MQ224" i="5"/>
  <c r="NE224" i="5" s="1"/>
  <c r="HK224" i="5" s="1"/>
  <c r="HR224" i="5" s="1"/>
  <c r="MQ225" i="5"/>
  <c r="NE225" i="5" s="1"/>
  <c r="HK225" i="5" s="1"/>
  <c r="MQ226" i="5"/>
  <c r="NE226" i="5" s="1"/>
  <c r="HK226" i="5" s="1"/>
  <c r="HR226" i="5" s="1"/>
  <c r="MQ227" i="5"/>
  <c r="MR227" i="5" s="1"/>
  <c r="MQ228" i="5"/>
  <c r="NE228" i="5" s="1"/>
  <c r="HK228" i="5" s="1"/>
  <c r="MQ229" i="5"/>
  <c r="MR229" i="5" s="1"/>
  <c r="MQ230" i="5"/>
  <c r="MS230" i="5" s="1"/>
  <c r="MQ231" i="5"/>
  <c r="NE231" i="5" s="1"/>
  <c r="HK231" i="5" s="1"/>
  <c r="MQ232" i="5"/>
  <c r="MR232" i="5" s="1"/>
  <c r="MQ233" i="5"/>
  <c r="MR233" i="5" s="1"/>
  <c r="MQ234" i="5"/>
  <c r="NE234" i="5" s="1"/>
  <c r="HK234" i="5" s="1"/>
  <c r="HR234" i="5" s="1"/>
  <c r="MQ235" i="5"/>
  <c r="MR235" i="5" s="1"/>
  <c r="MQ236" i="5"/>
  <c r="MR236" i="5" s="1"/>
  <c r="MQ237" i="5"/>
  <c r="NE237" i="5" s="1"/>
  <c r="HK237" i="5" s="1"/>
  <c r="HR237" i="5" s="1"/>
  <c r="MQ238" i="5"/>
  <c r="MR238" i="5" s="1"/>
  <c r="MQ239" i="5"/>
  <c r="MQ240" i="5"/>
  <c r="NE240" i="5" s="1"/>
  <c r="HK240" i="5" s="1"/>
  <c r="HR240" i="5" s="1"/>
  <c r="MQ241" i="5"/>
  <c r="MR241" i="5" s="1"/>
  <c r="MQ242" i="5"/>
  <c r="NE242" i="5" s="1"/>
  <c r="HK242" i="5" s="1"/>
  <c r="HR242" i="5" s="1"/>
  <c r="MQ243" i="5"/>
  <c r="NE243" i="5" s="1"/>
  <c r="HK243" i="5" s="1"/>
  <c r="HR243" i="5" s="1"/>
  <c r="MQ244" i="5"/>
  <c r="MR244" i="5" s="1"/>
  <c r="MQ245" i="5"/>
  <c r="MR245" i="5" s="1"/>
  <c r="MQ246" i="5"/>
  <c r="NE246" i="5" s="1"/>
  <c r="HK246" i="5" s="1"/>
  <c r="HR246" i="5" s="1"/>
  <c r="MQ247" i="5"/>
  <c r="MR247" i="5" s="1"/>
  <c r="MQ248" i="5"/>
  <c r="NE248" i="5" s="1"/>
  <c r="HK248" i="5" s="1"/>
  <c r="ML4" i="5"/>
  <c r="MN4" i="5"/>
  <c r="MP4" i="5" s="1"/>
  <c r="MO4" i="5"/>
  <c r="ML5" i="5"/>
  <c r="MN5" i="5"/>
  <c r="MP5" i="5" s="1"/>
  <c r="MO5" i="5"/>
  <c r="ML6" i="5"/>
  <c r="MN6" i="5"/>
  <c r="MP6" i="5" s="1"/>
  <c r="MO6" i="5"/>
  <c r="ML7" i="5"/>
  <c r="MN7" i="5"/>
  <c r="MP7" i="5" s="1"/>
  <c r="MO7" i="5"/>
  <c r="ML8" i="5"/>
  <c r="MN8" i="5"/>
  <c r="MP8" i="5" s="1"/>
  <c r="MO8" i="5"/>
  <c r="ML9" i="5"/>
  <c r="MN9" i="5"/>
  <c r="MP9" i="5" s="1"/>
  <c r="MO9" i="5"/>
  <c r="ML10" i="5"/>
  <c r="MN10" i="5"/>
  <c r="MP10" i="5" s="1"/>
  <c r="MO10" i="5"/>
  <c r="ML11" i="5"/>
  <c r="MN11" i="5"/>
  <c r="MP11" i="5" s="1"/>
  <c r="MO11" i="5"/>
  <c r="ML12" i="5"/>
  <c r="MN12" i="5"/>
  <c r="MP12" i="5" s="1"/>
  <c r="MO12" i="5"/>
  <c r="ML13" i="5"/>
  <c r="MN13" i="5"/>
  <c r="MP13" i="5" s="1"/>
  <c r="MO13" i="5"/>
  <c r="ML14" i="5"/>
  <c r="MN14" i="5"/>
  <c r="MP14" i="5" s="1"/>
  <c r="MO14" i="5"/>
  <c r="ML15" i="5"/>
  <c r="MN15" i="5"/>
  <c r="MP15" i="5" s="1"/>
  <c r="MO15" i="5"/>
  <c r="ML16" i="5"/>
  <c r="MN16" i="5"/>
  <c r="MP16" i="5" s="1"/>
  <c r="MO16" i="5"/>
  <c r="ML17" i="5"/>
  <c r="MN17" i="5"/>
  <c r="MP17" i="5" s="1"/>
  <c r="MO17" i="5"/>
  <c r="ML18" i="5"/>
  <c r="MN18" i="5"/>
  <c r="MP18" i="5" s="1"/>
  <c r="MO18" i="5"/>
  <c r="ML19" i="5"/>
  <c r="MN19" i="5"/>
  <c r="MP19" i="5" s="1"/>
  <c r="MO19" i="5"/>
  <c r="ML20" i="5"/>
  <c r="MN20" i="5"/>
  <c r="MP20" i="5" s="1"/>
  <c r="MO20" i="5"/>
  <c r="ML21" i="5"/>
  <c r="MN21" i="5"/>
  <c r="MP21" i="5" s="1"/>
  <c r="MO21" i="5"/>
  <c r="ML22" i="5"/>
  <c r="MN22" i="5"/>
  <c r="MP22" i="5" s="1"/>
  <c r="MO22" i="5"/>
  <c r="ML23" i="5"/>
  <c r="MN23" i="5"/>
  <c r="MP23" i="5" s="1"/>
  <c r="MO23" i="5"/>
  <c r="ML24" i="5"/>
  <c r="MN24" i="5"/>
  <c r="MP24" i="5" s="1"/>
  <c r="MO24" i="5"/>
  <c r="ML25" i="5"/>
  <c r="MN25" i="5"/>
  <c r="MP25" i="5" s="1"/>
  <c r="MO25" i="5"/>
  <c r="ML26" i="5"/>
  <c r="MN26" i="5"/>
  <c r="MP26" i="5" s="1"/>
  <c r="MO26" i="5"/>
  <c r="ML27" i="5"/>
  <c r="MN27" i="5"/>
  <c r="MP27" i="5" s="1"/>
  <c r="MO27" i="5"/>
  <c r="ML28" i="5"/>
  <c r="MN28" i="5"/>
  <c r="MP28" i="5" s="1"/>
  <c r="MO28" i="5"/>
  <c r="ML29" i="5"/>
  <c r="MN29" i="5"/>
  <c r="MP29" i="5" s="1"/>
  <c r="MO29" i="5"/>
  <c r="ML30" i="5"/>
  <c r="MN30" i="5"/>
  <c r="MP30" i="5" s="1"/>
  <c r="MO30" i="5"/>
  <c r="ML31" i="5"/>
  <c r="MN31" i="5"/>
  <c r="MP31" i="5" s="1"/>
  <c r="MO31" i="5"/>
  <c r="ML32" i="5"/>
  <c r="MN32" i="5"/>
  <c r="MP32" i="5" s="1"/>
  <c r="MO32" i="5"/>
  <c r="ML33" i="5"/>
  <c r="MN33" i="5"/>
  <c r="MP33" i="5" s="1"/>
  <c r="MO33" i="5"/>
  <c r="ML34" i="5"/>
  <c r="MN34" i="5"/>
  <c r="MP34" i="5" s="1"/>
  <c r="MO34" i="5"/>
  <c r="ML35" i="5"/>
  <c r="MN35" i="5"/>
  <c r="MP35" i="5" s="1"/>
  <c r="MO35" i="5"/>
  <c r="ML36" i="5"/>
  <c r="MN36" i="5"/>
  <c r="MP36" i="5" s="1"/>
  <c r="MO36" i="5"/>
  <c r="ML37" i="5"/>
  <c r="MN37" i="5"/>
  <c r="MP37" i="5" s="1"/>
  <c r="MO37" i="5"/>
  <c r="ML38" i="5"/>
  <c r="MN38" i="5"/>
  <c r="MP38" i="5" s="1"/>
  <c r="MO38" i="5"/>
  <c r="ML39" i="5"/>
  <c r="MN39" i="5"/>
  <c r="MP39" i="5" s="1"/>
  <c r="MO39" i="5"/>
  <c r="ML40" i="5"/>
  <c r="MN40" i="5"/>
  <c r="MP40" i="5" s="1"/>
  <c r="MO40" i="5"/>
  <c r="ML41" i="5"/>
  <c r="MN41" i="5"/>
  <c r="MP41" i="5" s="1"/>
  <c r="MO41" i="5"/>
  <c r="ML42" i="5"/>
  <c r="MN42" i="5"/>
  <c r="MP42" i="5" s="1"/>
  <c r="MO42" i="5"/>
  <c r="ML43" i="5"/>
  <c r="MN43" i="5"/>
  <c r="MP43" i="5" s="1"/>
  <c r="MO43" i="5"/>
  <c r="ML44" i="5"/>
  <c r="MN44" i="5"/>
  <c r="MP44" i="5" s="1"/>
  <c r="MO44" i="5"/>
  <c r="ML45" i="5"/>
  <c r="MN45" i="5"/>
  <c r="MP45" i="5" s="1"/>
  <c r="MO45" i="5"/>
  <c r="ML46" i="5"/>
  <c r="MN46" i="5"/>
  <c r="MP46" i="5" s="1"/>
  <c r="MO46" i="5"/>
  <c r="ML47" i="5"/>
  <c r="MN47" i="5"/>
  <c r="MP47" i="5" s="1"/>
  <c r="MO47" i="5"/>
  <c r="ML48" i="5"/>
  <c r="MN48" i="5"/>
  <c r="MP48" i="5" s="1"/>
  <c r="MO48" i="5"/>
  <c r="ML49" i="5"/>
  <c r="MN49" i="5"/>
  <c r="MP49" i="5" s="1"/>
  <c r="MO49" i="5"/>
  <c r="ML50" i="5"/>
  <c r="MN50" i="5"/>
  <c r="MP50" i="5" s="1"/>
  <c r="MO50" i="5"/>
  <c r="ML51" i="5"/>
  <c r="MN51" i="5"/>
  <c r="MP51" i="5" s="1"/>
  <c r="MO51" i="5"/>
  <c r="ML52" i="5"/>
  <c r="MN52" i="5"/>
  <c r="MP52" i="5" s="1"/>
  <c r="MO52" i="5"/>
  <c r="ML53" i="5"/>
  <c r="MN53" i="5"/>
  <c r="MP53" i="5" s="1"/>
  <c r="MO53" i="5"/>
  <c r="ML54" i="5"/>
  <c r="MN54" i="5"/>
  <c r="MP54" i="5" s="1"/>
  <c r="MO54" i="5"/>
  <c r="ML55" i="5"/>
  <c r="MN55" i="5"/>
  <c r="MP55" i="5" s="1"/>
  <c r="MO55" i="5"/>
  <c r="ML56" i="5"/>
  <c r="MN56" i="5"/>
  <c r="MP56" i="5" s="1"/>
  <c r="MO56" i="5"/>
  <c r="ML57" i="5"/>
  <c r="MN57" i="5"/>
  <c r="MP57" i="5" s="1"/>
  <c r="MO57" i="5"/>
  <c r="ML58" i="5"/>
  <c r="MN58" i="5"/>
  <c r="MP58" i="5" s="1"/>
  <c r="MO58" i="5"/>
  <c r="ML59" i="5"/>
  <c r="MN59" i="5"/>
  <c r="MP59" i="5" s="1"/>
  <c r="MO59" i="5"/>
  <c r="ML60" i="5"/>
  <c r="MN60" i="5"/>
  <c r="MP60" i="5" s="1"/>
  <c r="MO60" i="5"/>
  <c r="ML61" i="5"/>
  <c r="MN61" i="5"/>
  <c r="MP61" i="5" s="1"/>
  <c r="MO61" i="5"/>
  <c r="ML62" i="5"/>
  <c r="MN62" i="5"/>
  <c r="MP62" i="5" s="1"/>
  <c r="MO62" i="5"/>
  <c r="ML63" i="5"/>
  <c r="MN63" i="5"/>
  <c r="MP63" i="5" s="1"/>
  <c r="MO63" i="5"/>
  <c r="ML64" i="5"/>
  <c r="MN64" i="5"/>
  <c r="MP64" i="5" s="1"/>
  <c r="MO64" i="5"/>
  <c r="ML65" i="5"/>
  <c r="MN65" i="5"/>
  <c r="MP65" i="5" s="1"/>
  <c r="MO65" i="5"/>
  <c r="ML66" i="5"/>
  <c r="MN66" i="5"/>
  <c r="MP66" i="5" s="1"/>
  <c r="MO66" i="5"/>
  <c r="ML67" i="5"/>
  <c r="MN67" i="5"/>
  <c r="MP67" i="5" s="1"/>
  <c r="MO67" i="5"/>
  <c r="ML68" i="5"/>
  <c r="MN68" i="5"/>
  <c r="MP68" i="5" s="1"/>
  <c r="MO68" i="5"/>
  <c r="ML69" i="5"/>
  <c r="MN69" i="5"/>
  <c r="MP69" i="5" s="1"/>
  <c r="MO69" i="5"/>
  <c r="ML70" i="5"/>
  <c r="MN70" i="5"/>
  <c r="MP70" i="5" s="1"/>
  <c r="MO70" i="5"/>
  <c r="ML71" i="5"/>
  <c r="MN71" i="5"/>
  <c r="MP71" i="5" s="1"/>
  <c r="MO71" i="5"/>
  <c r="ML72" i="5"/>
  <c r="MN72" i="5"/>
  <c r="MP72" i="5" s="1"/>
  <c r="MO72" i="5"/>
  <c r="ML73" i="5"/>
  <c r="MN73" i="5"/>
  <c r="MP73" i="5" s="1"/>
  <c r="MO73" i="5"/>
  <c r="ML74" i="5"/>
  <c r="MN74" i="5"/>
  <c r="MP74" i="5" s="1"/>
  <c r="MO74" i="5"/>
  <c r="ML75" i="5"/>
  <c r="MN75" i="5"/>
  <c r="MP75" i="5" s="1"/>
  <c r="MO75" i="5"/>
  <c r="ML76" i="5"/>
  <c r="MN76" i="5"/>
  <c r="MP76" i="5" s="1"/>
  <c r="MO76" i="5"/>
  <c r="ML77" i="5"/>
  <c r="MN77" i="5"/>
  <c r="MP77" i="5" s="1"/>
  <c r="MO77" i="5"/>
  <c r="ML78" i="5"/>
  <c r="MN78" i="5"/>
  <c r="MP78" i="5" s="1"/>
  <c r="MO78" i="5"/>
  <c r="ML79" i="5"/>
  <c r="MN79" i="5"/>
  <c r="MP79" i="5" s="1"/>
  <c r="MO79" i="5"/>
  <c r="ML80" i="5"/>
  <c r="MN80" i="5"/>
  <c r="MP80" i="5" s="1"/>
  <c r="MO80" i="5"/>
  <c r="ML81" i="5"/>
  <c r="MN81" i="5"/>
  <c r="MP81" i="5" s="1"/>
  <c r="MO81" i="5"/>
  <c r="ML82" i="5"/>
  <c r="MN82" i="5"/>
  <c r="MP82" i="5" s="1"/>
  <c r="MO82" i="5"/>
  <c r="ML83" i="5"/>
  <c r="MN83" i="5"/>
  <c r="MP83" i="5" s="1"/>
  <c r="MO83" i="5"/>
  <c r="ML84" i="5"/>
  <c r="MN84" i="5"/>
  <c r="MP84" i="5" s="1"/>
  <c r="MO84" i="5"/>
  <c r="ML85" i="5"/>
  <c r="MN85" i="5"/>
  <c r="MP85" i="5" s="1"/>
  <c r="MO85" i="5"/>
  <c r="ML86" i="5"/>
  <c r="MN86" i="5"/>
  <c r="MP86" i="5" s="1"/>
  <c r="MO86" i="5"/>
  <c r="ML87" i="5"/>
  <c r="MN87" i="5"/>
  <c r="MP87" i="5" s="1"/>
  <c r="MO87" i="5"/>
  <c r="ML88" i="5"/>
  <c r="MN88" i="5"/>
  <c r="MP88" i="5" s="1"/>
  <c r="MO88" i="5"/>
  <c r="ML89" i="5"/>
  <c r="MN89" i="5"/>
  <c r="MP89" i="5" s="1"/>
  <c r="MO89" i="5"/>
  <c r="ML90" i="5"/>
  <c r="MN90" i="5"/>
  <c r="MP90" i="5" s="1"/>
  <c r="MO90" i="5"/>
  <c r="ML91" i="5"/>
  <c r="MN91" i="5"/>
  <c r="MP91" i="5" s="1"/>
  <c r="MO91" i="5"/>
  <c r="ML92" i="5"/>
  <c r="MN92" i="5"/>
  <c r="MP92" i="5" s="1"/>
  <c r="MO92" i="5"/>
  <c r="ML93" i="5"/>
  <c r="MN93" i="5"/>
  <c r="MP93" i="5" s="1"/>
  <c r="MO93" i="5"/>
  <c r="ML94" i="5"/>
  <c r="MN94" i="5"/>
  <c r="MP94" i="5" s="1"/>
  <c r="MO94" i="5"/>
  <c r="ML95" i="5"/>
  <c r="MN95" i="5"/>
  <c r="MP95" i="5" s="1"/>
  <c r="MO95" i="5"/>
  <c r="ML96" i="5"/>
  <c r="MN96" i="5"/>
  <c r="MP96" i="5" s="1"/>
  <c r="MO96" i="5"/>
  <c r="ML97" i="5"/>
  <c r="MN97" i="5"/>
  <c r="MP97" i="5" s="1"/>
  <c r="MO97" i="5"/>
  <c r="ML98" i="5"/>
  <c r="MN98" i="5"/>
  <c r="MP98" i="5" s="1"/>
  <c r="MO98" i="5"/>
  <c r="ML99" i="5"/>
  <c r="MN99" i="5"/>
  <c r="MP99" i="5" s="1"/>
  <c r="MO99" i="5"/>
  <c r="ML100" i="5"/>
  <c r="MN100" i="5"/>
  <c r="MP100" i="5" s="1"/>
  <c r="MO100" i="5"/>
  <c r="ML101" i="5"/>
  <c r="MN101" i="5"/>
  <c r="MP101" i="5" s="1"/>
  <c r="MO101" i="5"/>
  <c r="ML102" i="5"/>
  <c r="MN102" i="5"/>
  <c r="MP102" i="5" s="1"/>
  <c r="MO102" i="5"/>
  <c r="ML103" i="5"/>
  <c r="MN103" i="5"/>
  <c r="MP103" i="5" s="1"/>
  <c r="MO103" i="5"/>
  <c r="ML104" i="5"/>
  <c r="MN104" i="5"/>
  <c r="MP104" i="5" s="1"/>
  <c r="MO104" i="5"/>
  <c r="ML105" i="5"/>
  <c r="MN105" i="5"/>
  <c r="MP105" i="5" s="1"/>
  <c r="MO105" i="5"/>
  <c r="ML106" i="5"/>
  <c r="MN106" i="5"/>
  <c r="MP106" i="5" s="1"/>
  <c r="MO106" i="5"/>
  <c r="ML107" i="5"/>
  <c r="MN107" i="5"/>
  <c r="MP107" i="5" s="1"/>
  <c r="MO107" i="5"/>
  <c r="ML108" i="5"/>
  <c r="MN108" i="5"/>
  <c r="MP108" i="5" s="1"/>
  <c r="MO108" i="5"/>
  <c r="ML109" i="5"/>
  <c r="MN109" i="5"/>
  <c r="MP109" i="5" s="1"/>
  <c r="MO109" i="5"/>
  <c r="ML110" i="5"/>
  <c r="MN110" i="5"/>
  <c r="MP110" i="5" s="1"/>
  <c r="MO110" i="5"/>
  <c r="ML111" i="5"/>
  <c r="MN111" i="5"/>
  <c r="MP111" i="5" s="1"/>
  <c r="MO111" i="5"/>
  <c r="ML112" i="5"/>
  <c r="MN112" i="5"/>
  <c r="MP112" i="5" s="1"/>
  <c r="MO112" i="5"/>
  <c r="ML113" i="5"/>
  <c r="MN113" i="5"/>
  <c r="MP113" i="5" s="1"/>
  <c r="MO113" i="5"/>
  <c r="ML114" i="5"/>
  <c r="MN114" i="5"/>
  <c r="MP114" i="5" s="1"/>
  <c r="MO114" i="5"/>
  <c r="ML115" i="5"/>
  <c r="MN115" i="5"/>
  <c r="MP115" i="5" s="1"/>
  <c r="MO115" i="5"/>
  <c r="ML116" i="5"/>
  <c r="MN116" i="5"/>
  <c r="MP116" i="5" s="1"/>
  <c r="MO116" i="5"/>
  <c r="ML117" i="5"/>
  <c r="MN117" i="5"/>
  <c r="MP117" i="5" s="1"/>
  <c r="MO117" i="5"/>
  <c r="ML118" i="5"/>
  <c r="MN118" i="5"/>
  <c r="MP118" i="5" s="1"/>
  <c r="MO118" i="5"/>
  <c r="ML119" i="5"/>
  <c r="MN119" i="5"/>
  <c r="MP119" i="5" s="1"/>
  <c r="MO119" i="5"/>
  <c r="ML120" i="5"/>
  <c r="MN120" i="5"/>
  <c r="MP120" i="5" s="1"/>
  <c r="MO120" i="5"/>
  <c r="ML121" i="5"/>
  <c r="MN121" i="5"/>
  <c r="MP121" i="5" s="1"/>
  <c r="MO121" i="5"/>
  <c r="ML122" i="5"/>
  <c r="MN122" i="5"/>
  <c r="MP122" i="5" s="1"/>
  <c r="MO122" i="5"/>
  <c r="ML123" i="5"/>
  <c r="MN123" i="5"/>
  <c r="MP123" i="5" s="1"/>
  <c r="MO123" i="5"/>
  <c r="ML124" i="5"/>
  <c r="MN124" i="5"/>
  <c r="MP124" i="5" s="1"/>
  <c r="MO124" i="5"/>
  <c r="ML125" i="5"/>
  <c r="MN125" i="5"/>
  <c r="MP125" i="5" s="1"/>
  <c r="MO125" i="5"/>
  <c r="ML126" i="5"/>
  <c r="MN126" i="5"/>
  <c r="MP126" i="5" s="1"/>
  <c r="MO126" i="5"/>
  <c r="ML127" i="5"/>
  <c r="MN127" i="5"/>
  <c r="MP127" i="5" s="1"/>
  <c r="MO127" i="5"/>
  <c r="ML128" i="5"/>
  <c r="MN128" i="5"/>
  <c r="MP128" i="5" s="1"/>
  <c r="MO128" i="5"/>
  <c r="ML129" i="5"/>
  <c r="MN129" i="5"/>
  <c r="MP129" i="5" s="1"/>
  <c r="MO129" i="5"/>
  <c r="ML130" i="5"/>
  <c r="MN130" i="5"/>
  <c r="MP130" i="5" s="1"/>
  <c r="MO130" i="5"/>
  <c r="ML131" i="5"/>
  <c r="MN131" i="5"/>
  <c r="MP131" i="5" s="1"/>
  <c r="MO131" i="5"/>
  <c r="ML132" i="5"/>
  <c r="MN132" i="5"/>
  <c r="MP132" i="5" s="1"/>
  <c r="MO132" i="5"/>
  <c r="ML133" i="5"/>
  <c r="MN133" i="5"/>
  <c r="MP133" i="5" s="1"/>
  <c r="MO133" i="5"/>
  <c r="ML134" i="5"/>
  <c r="MN134" i="5"/>
  <c r="MP134" i="5" s="1"/>
  <c r="MO134" i="5"/>
  <c r="ML135" i="5"/>
  <c r="MN135" i="5"/>
  <c r="MP135" i="5" s="1"/>
  <c r="MO135" i="5"/>
  <c r="ML136" i="5"/>
  <c r="MN136" i="5"/>
  <c r="MP136" i="5" s="1"/>
  <c r="MO136" i="5"/>
  <c r="ML137" i="5"/>
  <c r="MN137" i="5"/>
  <c r="MP137" i="5" s="1"/>
  <c r="MO137" i="5"/>
  <c r="ML138" i="5"/>
  <c r="MN138" i="5"/>
  <c r="MP138" i="5" s="1"/>
  <c r="MO138" i="5"/>
  <c r="ML139" i="5"/>
  <c r="MN139" i="5"/>
  <c r="MP139" i="5" s="1"/>
  <c r="MO139" i="5"/>
  <c r="ML140" i="5"/>
  <c r="MN140" i="5"/>
  <c r="MP140" i="5" s="1"/>
  <c r="MO140" i="5"/>
  <c r="ML141" i="5"/>
  <c r="MN141" i="5"/>
  <c r="MP141" i="5" s="1"/>
  <c r="MO141" i="5"/>
  <c r="ML142" i="5"/>
  <c r="MN142" i="5"/>
  <c r="MP142" i="5" s="1"/>
  <c r="MO142" i="5"/>
  <c r="ML143" i="5"/>
  <c r="MN143" i="5"/>
  <c r="MP143" i="5" s="1"/>
  <c r="MO143" i="5"/>
  <c r="ML144" i="5"/>
  <c r="MN144" i="5"/>
  <c r="MP144" i="5" s="1"/>
  <c r="MO144" i="5"/>
  <c r="ML145" i="5"/>
  <c r="MN145" i="5"/>
  <c r="MP145" i="5" s="1"/>
  <c r="MO145" i="5"/>
  <c r="ML146" i="5"/>
  <c r="MN146" i="5"/>
  <c r="MP146" i="5" s="1"/>
  <c r="MO146" i="5"/>
  <c r="ML147" i="5"/>
  <c r="MN147" i="5"/>
  <c r="MP147" i="5" s="1"/>
  <c r="MO147" i="5"/>
  <c r="ML148" i="5"/>
  <c r="MN148" i="5"/>
  <c r="MP148" i="5" s="1"/>
  <c r="MO148" i="5"/>
  <c r="ML149" i="5"/>
  <c r="MN149" i="5"/>
  <c r="MP149" i="5" s="1"/>
  <c r="MO149" i="5"/>
  <c r="ML150" i="5"/>
  <c r="MN150" i="5"/>
  <c r="MP150" i="5" s="1"/>
  <c r="MO150" i="5"/>
  <c r="ML151" i="5"/>
  <c r="MN151" i="5"/>
  <c r="MP151" i="5" s="1"/>
  <c r="MO151" i="5"/>
  <c r="ML152" i="5"/>
  <c r="MN152" i="5"/>
  <c r="MP152" i="5" s="1"/>
  <c r="MO152" i="5"/>
  <c r="ML153" i="5"/>
  <c r="MN153" i="5"/>
  <c r="MP153" i="5" s="1"/>
  <c r="MO153" i="5"/>
  <c r="ML154" i="5"/>
  <c r="MN154" i="5"/>
  <c r="MP154" i="5" s="1"/>
  <c r="MO154" i="5"/>
  <c r="ML155" i="5"/>
  <c r="MN155" i="5"/>
  <c r="MP155" i="5" s="1"/>
  <c r="MO155" i="5"/>
  <c r="ML156" i="5"/>
  <c r="MN156" i="5"/>
  <c r="MP156" i="5" s="1"/>
  <c r="MO156" i="5"/>
  <c r="ML157" i="5"/>
  <c r="MN157" i="5"/>
  <c r="MP157" i="5" s="1"/>
  <c r="MO157" i="5"/>
  <c r="ML158" i="5"/>
  <c r="MN158" i="5"/>
  <c r="MP158" i="5" s="1"/>
  <c r="MO158" i="5"/>
  <c r="ML159" i="5"/>
  <c r="MN159" i="5"/>
  <c r="MP159" i="5" s="1"/>
  <c r="MO159" i="5"/>
  <c r="ML160" i="5"/>
  <c r="MN160" i="5"/>
  <c r="MP160" i="5" s="1"/>
  <c r="MO160" i="5"/>
  <c r="ML161" i="5"/>
  <c r="MN161" i="5"/>
  <c r="MP161" i="5" s="1"/>
  <c r="MO161" i="5"/>
  <c r="ML162" i="5"/>
  <c r="MN162" i="5"/>
  <c r="MP162" i="5" s="1"/>
  <c r="MO162" i="5"/>
  <c r="ML163" i="5"/>
  <c r="MN163" i="5"/>
  <c r="MP163" i="5" s="1"/>
  <c r="MO163" i="5"/>
  <c r="ML164" i="5"/>
  <c r="MN164" i="5"/>
  <c r="MP164" i="5" s="1"/>
  <c r="MO164" i="5"/>
  <c r="ML165" i="5"/>
  <c r="MN165" i="5"/>
  <c r="MP165" i="5" s="1"/>
  <c r="MO165" i="5"/>
  <c r="ML166" i="5"/>
  <c r="MN166" i="5"/>
  <c r="MP166" i="5" s="1"/>
  <c r="MO166" i="5"/>
  <c r="ML167" i="5"/>
  <c r="MN167" i="5"/>
  <c r="MP167" i="5" s="1"/>
  <c r="MO167" i="5"/>
  <c r="ML168" i="5"/>
  <c r="MN168" i="5"/>
  <c r="MP168" i="5" s="1"/>
  <c r="MO168" i="5"/>
  <c r="ML169" i="5"/>
  <c r="MN169" i="5"/>
  <c r="MP169" i="5" s="1"/>
  <c r="MO169" i="5"/>
  <c r="ML170" i="5"/>
  <c r="MN170" i="5"/>
  <c r="MP170" i="5" s="1"/>
  <c r="MO170" i="5"/>
  <c r="ML171" i="5"/>
  <c r="MN171" i="5"/>
  <c r="MP171" i="5" s="1"/>
  <c r="MO171" i="5"/>
  <c r="ML172" i="5"/>
  <c r="MN172" i="5"/>
  <c r="MP172" i="5" s="1"/>
  <c r="MO172" i="5"/>
  <c r="ML173" i="5"/>
  <c r="MN173" i="5"/>
  <c r="MP173" i="5" s="1"/>
  <c r="MO173" i="5"/>
  <c r="ML174" i="5"/>
  <c r="MN174" i="5"/>
  <c r="MP174" i="5" s="1"/>
  <c r="MO174" i="5"/>
  <c r="ML175" i="5"/>
  <c r="MN175" i="5"/>
  <c r="MP175" i="5" s="1"/>
  <c r="MO175" i="5"/>
  <c r="ML176" i="5"/>
  <c r="MN176" i="5"/>
  <c r="MP176" i="5" s="1"/>
  <c r="MO176" i="5"/>
  <c r="ML177" i="5"/>
  <c r="MN177" i="5"/>
  <c r="MP177" i="5" s="1"/>
  <c r="MO177" i="5"/>
  <c r="ML178" i="5"/>
  <c r="MN178" i="5"/>
  <c r="MP178" i="5" s="1"/>
  <c r="MO178" i="5"/>
  <c r="ML179" i="5"/>
  <c r="MN179" i="5"/>
  <c r="MP179" i="5" s="1"/>
  <c r="MO179" i="5"/>
  <c r="ML180" i="5"/>
  <c r="MN180" i="5"/>
  <c r="MP180" i="5" s="1"/>
  <c r="MO180" i="5"/>
  <c r="ML181" i="5"/>
  <c r="MN181" i="5"/>
  <c r="MP181" i="5" s="1"/>
  <c r="MO181" i="5"/>
  <c r="ML182" i="5"/>
  <c r="MN182" i="5"/>
  <c r="MP182" i="5" s="1"/>
  <c r="MO182" i="5"/>
  <c r="ML183" i="5"/>
  <c r="MN183" i="5"/>
  <c r="MP183" i="5" s="1"/>
  <c r="MO183" i="5"/>
  <c r="ML184" i="5"/>
  <c r="MN184" i="5"/>
  <c r="MP184" i="5" s="1"/>
  <c r="MO184" i="5"/>
  <c r="ML185" i="5"/>
  <c r="MN185" i="5"/>
  <c r="MP185" i="5" s="1"/>
  <c r="MO185" i="5"/>
  <c r="ML186" i="5"/>
  <c r="MN186" i="5"/>
  <c r="MP186" i="5" s="1"/>
  <c r="MO186" i="5"/>
  <c r="ML187" i="5"/>
  <c r="MN187" i="5"/>
  <c r="MP187" i="5" s="1"/>
  <c r="MO187" i="5"/>
  <c r="ML188" i="5"/>
  <c r="MN188" i="5"/>
  <c r="MP188" i="5" s="1"/>
  <c r="MO188" i="5"/>
  <c r="ML189" i="5"/>
  <c r="MN189" i="5"/>
  <c r="MP189" i="5" s="1"/>
  <c r="MO189" i="5"/>
  <c r="ML190" i="5"/>
  <c r="MN190" i="5"/>
  <c r="MP190" i="5" s="1"/>
  <c r="MO190" i="5"/>
  <c r="ML191" i="5"/>
  <c r="MN191" i="5"/>
  <c r="MP191" i="5" s="1"/>
  <c r="MO191" i="5"/>
  <c r="ML192" i="5"/>
  <c r="MN192" i="5"/>
  <c r="MP192" i="5" s="1"/>
  <c r="MO192" i="5"/>
  <c r="ML193" i="5"/>
  <c r="MN193" i="5"/>
  <c r="MP193" i="5" s="1"/>
  <c r="MO193" i="5"/>
  <c r="ML202" i="5"/>
  <c r="MN202" i="5"/>
  <c r="MP202" i="5" s="1"/>
  <c r="MO202" i="5"/>
  <c r="ML203" i="5"/>
  <c r="MN203" i="5"/>
  <c r="MP203" i="5" s="1"/>
  <c r="MO203" i="5"/>
  <c r="ML204" i="5"/>
  <c r="MN204" i="5"/>
  <c r="MP204" i="5" s="1"/>
  <c r="MO204" i="5"/>
  <c r="ML205" i="5"/>
  <c r="MN205" i="5"/>
  <c r="MP205" i="5" s="1"/>
  <c r="MO205" i="5"/>
  <c r="ML206" i="5"/>
  <c r="MN206" i="5"/>
  <c r="MP206" i="5" s="1"/>
  <c r="MO206" i="5"/>
  <c r="ML207" i="5"/>
  <c r="MN207" i="5"/>
  <c r="MP207" i="5" s="1"/>
  <c r="MO207" i="5"/>
  <c r="ML208" i="5"/>
  <c r="MN208" i="5"/>
  <c r="MP208" i="5" s="1"/>
  <c r="MO208" i="5"/>
  <c r="ML209" i="5"/>
  <c r="MN209" i="5"/>
  <c r="MP209" i="5" s="1"/>
  <c r="MO209" i="5"/>
  <c r="ML210" i="5"/>
  <c r="MN210" i="5"/>
  <c r="MP210" i="5" s="1"/>
  <c r="MO210" i="5"/>
  <c r="ML211" i="5"/>
  <c r="MN211" i="5"/>
  <c r="MP211" i="5" s="1"/>
  <c r="MO211" i="5"/>
  <c r="ML212" i="5"/>
  <c r="MN212" i="5"/>
  <c r="MP212" i="5" s="1"/>
  <c r="MO212" i="5"/>
  <c r="ML213" i="5"/>
  <c r="MN213" i="5"/>
  <c r="MP213" i="5" s="1"/>
  <c r="MO213" i="5"/>
  <c r="ML214" i="5"/>
  <c r="MN214" i="5"/>
  <c r="MP214" i="5" s="1"/>
  <c r="MO214" i="5"/>
  <c r="ML215" i="5"/>
  <c r="MN215" i="5"/>
  <c r="MP215" i="5" s="1"/>
  <c r="MO215" i="5"/>
  <c r="ML216" i="5"/>
  <c r="MN216" i="5"/>
  <c r="MP216" i="5" s="1"/>
  <c r="MO216" i="5"/>
  <c r="ML217" i="5"/>
  <c r="MN217" i="5"/>
  <c r="MP217" i="5" s="1"/>
  <c r="MO217" i="5"/>
  <c r="ML218" i="5"/>
  <c r="MN218" i="5"/>
  <c r="MP218" i="5" s="1"/>
  <c r="MO218" i="5"/>
  <c r="ML219" i="5"/>
  <c r="MN219" i="5"/>
  <c r="MP219" i="5" s="1"/>
  <c r="MO219" i="5"/>
  <c r="ML220" i="5"/>
  <c r="MN220" i="5"/>
  <c r="MP220" i="5" s="1"/>
  <c r="MO220" i="5"/>
  <c r="ML221" i="5"/>
  <c r="MN221" i="5"/>
  <c r="MP221" i="5" s="1"/>
  <c r="MO221" i="5"/>
  <c r="ML222" i="5"/>
  <c r="MN222" i="5"/>
  <c r="MP222" i="5" s="1"/>
  <c r="MO222" i="5"/>
  <c r="ML223" i="5"/>
  <c r="MN223" i="5"/>
  <c r="MP223" i="5" s="1"/>
  <c r="MO223" i="5"/>
  <c r="ML224" i="5"/>
  <c r="MN224" i="5"/>
  <c r="MP224" i="5" s="1"/>
  <c r="MO224" i="5"/>
  <c r="ML225" i="5"/>
  <c r="MN225" i="5"/>
  <c r="MP225" i="5" s="1"/>
  <c r="MO225" i="5"/>
  <c r="ML226" i="5"/>
  <c r="MN226" i="5"/>
  <c r="MP226" i="5" s="1"/>
  <c r="MO226" i="5"/>
  <c r="ML227" i="5"/>
  <c r="MN227" i="5"/>
  <c r="MP227" i="5" s="1"/>
  <c r="MO227" i="5"/>
  <c r="ML228" i="5"/>
  <c r="MN228" i="5"/>
  <c r="MP228" i="5" s="1"/>
  <c r="MO228" i="5"/>
  <c r="ML229" i="5"/>
  <c r="MN229" i="5"/>
  <c r="MP229" i="5" s="1"/>
  <c r="MO229" i="5"/>
  <c r="ML230" i="5"/>
  <c r="MN230" i="5"/>
  <c r="MP230" i="5" s="1"/>
  <c r="MO230" i="5"/>
  <c r="ML231" i="5"/>
  <c r="MN231" i="5"/>
  <c r="MP231" i="5" s="1"/>
  <c r="MO231" i="5"/>
  <c r="ML232" i="5"/>
  <c r="MN232" i="5"/>
  <c r="MP232" i="5" s="1"/>
  <c r="MO232" i="5"/>
  <c r="ML233" i="5"/>
  <c r="MN233" i="5"/>
  <c r="MP233" i="5" s="1"/>
  <c r="MO233" i="5"/>
  <c r="ML234" i="5"/>
  <c r="MN234" i="5"/>
  <c r="MP234" i="5" s="1"/>
  <c r="MO234" i="5"/>
  <c r="ML235" i="5"/>
  <c r="MN235" i="5"/>
  <c r="MP235" i="5" s="1"/>
  <c r="MO235" i="5"/>
  <c r="ML236" i="5"/>
  <c r="MN236" i="5"/>
  <c r="MP236" i="5" s="1"/>
  <c r="MO236" i="5"/>
  <c r="ML237" i="5"/>
  <c r="MN237" i="5"/>
  <c r="MP237" i="5" s="1"/>
  <c r="MO237" i="5"/>
  <c r="ML238" i="5"/>
  <c r="MN238" i="5"/>
  <c r="MP238" i="5" s="1"/>
  <c r="MO238" i="5"/>
  <c r="ML239" i="5"/>
  <c r="MN239" i="5"/>
  <c r="MP239" i="5" s="1"/>
  <c r="MO239" i="5"/>
  <c r="ML240" i="5"/>
  <c r="MN240" i="5"/>
  <c r="MP240" i="5" s="1"/>
  <c r="MO240" i="5"/>
  <c r="ML241" i="5"/>
  <c r="MN241" i="5"/>
  <c r="MP241" i="5" s="1"/>
  <c r="MO241" i="5"/>
  <c r="ML242" i="5"/>
  <c r="MN242" i="5"/>
  <c r="MP242" i="5" s="1"/>
  <c r="MO242" i="5"/>
  <c r="ML243" i="5"/>
  <c r="MN243" i="5"/>
  <c r="MP243" i="5" s="1"/>
  <c r="MO243" i="5"/>
  <c r="ML244" i="5"/>
  <c r="MN244" i="5"/>
  <c r="MP244" i="5" s="1"/>
  <c r="MO244" i="5"/>
  <c r="ML245" i="5"/>
  <c r="MN245" i="5"/>
  <c r="MP245" i="5" s="1"/>
  <c r="MO245" i="5"/>
  <c r="ML246" i="5"/>
  <c r="MN246" i="5"/>
  <c r="MP246" i="5" s="1"/>
  <c r="MO246" i="5"/>
  <c r="ML247" i="5"/>
  <c r="MN247" i="5"/>
  <c r="MP247" i="5" s="1"/>
  <c r="MO247" i="5"/>
  <c r="ML248" i="5"/>
  <c r="MN248" i="5"/>
  <c r="MP248" i="5" s="1"/>
  <c r="MO248" i="5"/>
  <c r="MH4" i="5"/>
  <c r="MK4" i="5"/>
  <c r="MH5" i="5"/>
  <c r="MK5" i="5"/>
  <c r="MH6" i="5"/>
  <c r="MK6" i="5"/>
  <c r="MH7" i="5"/>
  <c r="MK7" i="5"/>
  <c r="MH8" i="5"/>
  <c r="MK8" i="5"/>
  <c r="MH9" i="5"/>
  <c r="MK9" i="5"/>
  <c r="MH10" i="5"/>
  <c r="MK10" i="5"/>
  <c r="MH11" i="5"/>
  <c r="MK11" i="5"/>
  <c r="MH12" i="5"/>
  <c r="MK12" i="5"/>
  <c r="MH13" i="5"/>
  <c r="MK13" i="5"/>
  <c r="MH14" i="5"/>
  <c r="MK14" i="5"/>
  <c r="MH15" i="5"/>
  <c r="MK15" i="5"/>
  <c r="MH16" i="5"/>
  <c r="MK16" i="5"/>
  <c r="MH17" i="5"/>
  <c r="MK17" i="5"/>
  <c r="MH18" i="5"/>
  <c r="MK18" i="5"/>
  <c r="MH19" i="5"/>
  <c r="MK19" i="5"/>
  <c r="MH20" i="5"/>
  <c r="MK20" i="5"/>
  <c r="MH21" i="5"/>
  <c r="MK21" i="5"/>
  <c r="MH22" i="5"/>
  <c r="MK22" i="5"/>
  <c r="MH23" i="5"/>
  <c r="MK23" i="5"/>
  <c r="MH24" i="5"/>
  <c r="MK24" i="5"/>
  <c r="MH25" i="5"/>
  <c r="MK25" i="5"/>
  <c r="MH26" i="5"/>
  <c r="MK26" i="5"/>
  <c r="MH27" i="5"/>
  <c r="MK27" i="5"/>
  <c r="MH28" i="5"/>
  <c r="MK28" i="5"/>
  <c r="MH29" i="5"/>
  <c r="MK29" i="5"/>
  <c r="MH30" i="5"/>
  <c r="MK30" i="5"/>
  <c r="MH31" i="5"/>
  <c r="MK31" i="5"/>
  <c r="MH32" i="5"/>
  <c r="MK32" i="5"/>
  <c r="MH33" i="5"/>
  <c r="MK33" i="5"/>
  <c r="MH34" i="5"/>
  <c r="MK34" i="5"/>
  <c r="MH35" i="5"/>
  <c r="MK35" i="5"/>
  <c r="MH36" i="5"/>
  <c r="MK36" i="5"/>
  <c r="MH37" i="5"/>
  <c r="MK37" i="5"/>
  <c r="MH38" i="5"/>
  <c r="MK38" i="5"/>
  <c r="MH39" i="5"/>
  <c r="MK39" i="5"/>
  <c r="MH40" i="5"/>
  <c r="MK40" i="5"/>
  <c r="MH41" i="5"/>
  <c r="MK41" i="5"/>
  <c r="MH42" i="5"/>
  <c r="MK42" i="5"/>
  <c r="MH43" i="5"/>
  <c r="MK43" i="5"/>
  <c r="MH44" i="5"/>
  <c r="MK44" i="5"/>
  <c r="MH45" i="5"/>
  <c r="MK45" i="5"/>
  <c r="MH46" i="5"/>
  <c r="MK46" i="5"/>
  <c r="MH47" i="5"/>
  <c r="MK47" i="5"/>
  <c r="MH48" i="5"/>
  <c r="MK48" i="5"/>
  <c r="MH49" i="5"/>
  <c r="MK49" i="5"/>
  <c r="MH50" i="5"/>
  <c r="MK50" i="5"/>
  <c r="MH51" i="5"/>
  <c r="MK51" i="5"/>
  <c r="MH52" i="5"/>
  <c r="MK52" i="5"/>
  <c r="MH53" i="5"/>
  <c r="MK53" i="5"/>
  <c r="MH54" i="5"/>
  <c r="MK54" i="5"/>
  <c r="MH55" i="5"/>
  <c r="MK55" i="5"/>
  <c r="MH56" i="5"/>
  <c r="MK56" i="5"/>
  <c r="MH57" i="5"/>
  <c r="MK57" i="5"/>
  <c r="MH58" i="5"/>
  <c r="MK58" i="5"/>
  <c r="MH59" i="5"/>
  <c r="MK59" i="5"/>
  <c r="MH60" i="5"/>
  <c r="MK60" i="5"/>
  <c r="MH61" i="5"/>
  <c r="MK61" i="5"/>
  <c r="MH62" i="5"/>
  <c r="MK62" i="5"/>
  <c r="MH63" i="5"/>
  <c r="MK63" i="5"/>
  <c r="MH64" i="5"/>
  <c r="MK64" i="5"/>
  <c r="MH65" i="5"/>
  <c r="MK65" i="5"/>
  <c r="MH66" i="5"/>
  <c r="MK66" i="5"/>
  <c r="MH67" i="5"/>
  <c r="MK67" i="5"/>
  <c r="MH68" i="5"/>
  <c r="MK68" i="5"/>
  <c r="MH69" i="5"/>
  <c r="MK69" i="5"/>
  <c r="MH70" i="5"/>
  <c r="MK70" i="5"/>
  <c r="MH71" i="5"/>
  <c r="MK71" i="5"/>
  <c r="MH72" i="5"/>
  <c r="MK72" i="5"/>
  <c r="MH73" i="5"/>
  <c r="MK73" i="5"/>
  <c r="MH74" i="5"/>
  <c r="MK74" i="5"/>
  <c r="MH75" i="5"/>
  <c r="MK75" i="5"/>
  <c r="MH76" i="5"/>
  <c r="MK76" i="5"/>
  <c r="MH77" i="5"/>
  <c r="MK77" i="5"/>
  <c r="MH78" i="5"/>
  <c r="MK78" i="5"/>
  <c r="MH79" i="5"/>
  <c r="MK79" i="5"/>
  <c r="MH80" i="5"/>
  <c r="MK80" i="5"/>
  <c r="MH81" i="5"/>
  <c r="MK81" i="5"/>
  <c r="MH82" i="5"/>
  <c r="MK82" i="5"/>
  <c r="MH83" i="5"/>
  <c r="MK83" i="5"/>
  <c r="MH84" i="5"/>
  <c r="MK84" i="5"/>
  <c r="MH85" i="5"/>
  <c r="MK85" i="5"/>
  <c r="MH86" i="5"/>
  <c r="MK86" i="5"/>
  <c r="MH87" i="5"/>
  <c r="MK87" i="5"/>
  <c r="MH88" i="5"/>
  <c r="MK88" i="5"/>
  <c r="MH89" i="5"/>
  <c r="MK89" i="5"/>
  <c r="MH90" i="5"/>
  <c r="MK90" i="5"/>
  <c r="MH91" i="5"/>
  <c r="MK91" i="5"/>
  <c r="MH92" i="5"/>
  <c r="MK92" i="5"/>
  <c r="MH93" i="5"/>
  <c r="MK93" i="5"/>
  <c r="MH94" i="5"/>
  <c r="MK94" i="5"/>
  <c r="MH95" i="5"/>
  <c r="MK95" i="5"/>
  <c r="MH96" i="5"/>
  <c r="MK96" i="5"/>
  <c r="MH97" i="5"/>
  <c r="MK97" i="5"/>
  <c r="MH98" i="5"/>
  <c r="MK98" i="5"/>
  <c r="MH99" i="5"/>
  <c r="MK99" i="5"/>
  <c r="MH100" i="5"/>
  <c r="MK100" i="5"/>
  <c r="MH101" i="5"/>
  <c r="MK101" i="5"/>
  <c r="MH102" i="5"/>
  <c r="MK102" i="5"/>
  <c r="MH103" i="5"/>
  <c r="MK103" i="5"/>
  <c r="MH104" i="5"/>
  <c r="MK104" i="5"/>
  <c r="MH105" i="5"/>
  <c r="MK105" i="5"/>
  <c r="MH106" i="5"/>
  <c r="MK106" i="5"/>
  <c r="MH107" i="5"/>
  <c r="MK107" i="5"/>
  <c r="MH108" i="5"/>
  <c r="MK108" i="5"/>
  <c r="MH109" i="5"/>
  <c r="MK109" i="5"/>
  <c r="MH110" i="5"/>
  <c r="MK110" i="5"/>
  <c r="MH111" i="5"/>
  <c r="MK111" i="5"/>
  <c r="MH112" i="5"/>
  <c r="MK112" i="5"/>
  <c r="MH113" i="5"/>
  <c r="MK113" i="5"/>
  <c r="MH114" i="5"/>
  <c r="MK114" i="5"/>
  <c r="MH115" i="5"/>
  <c r="MK115" i="5"/>
  <c r="MH116" i="5"/>
  <c r="MK116" i="5"/>
  <c r="MH117" i="5"/>
  <c r="MK117" i="5"/>
  <c r="MH118" i="5"/>
  <c r="MK118" i="5"/>
  <c r="MH119" i="5"/>
  <c r="MK119" i="5"/>
  <c r="MH120" i="5"/>
  <c r="MK120" i="5"/>
  <c r="MH121" i="5"/>
  <c r="MK121" i="5"/>
  <c r="MH122" i="5"/>
  <c r="MK122" i="5"/>
  <c r="MH123" i="5"/>
  <c r="MK123" i="5"/>
  <c r="MH124" i="5"/>
  <c r="MK124" i="5"/>
  <c r="MH125" i="5"/>
  <c r="MK125" i="5"/>
  <c r="MH126" i="5"/>
  <c r="MK126" i="5"/>
  <c r="MH127" i="5"/>
  <c r="MK127" i="5"/>
  <c r="MH128" i="5"/>
  <c r="MK128" i="5"/>
  <c r="MH129" i="5"/>
  <c r="MK129" i="5"/>
  <c r="MH130" i="5"/>
  <c r="MK130" i="5"/>
  <c r="MH131" i="5"/>
  <c r="MK131" i="5"/>
  <c r="MH132" i="5"/>
  <c r="MK132" i="5"/>
  <c r="MH133" i="5"/>
  <c r="MK133" i="5"/>
  <c r="MH134" i="5"/>
  <c r="MK134" i="5"/>
  <c r="MH135" i="5"/>
  <c r="MK135" i="5"/>
  <c r="MH136" i="5"/>
  <c r="MK136" i="5"/>
  <c r="MH137" i="5"/>
  <c r="MK137" i="5"/>
  <c r="MH138" i="5"/>
  <c r="MK138" i="5"/>
  <c r="MH139" i="5"/>
  <c r="MK139" i="5"/>
  <c r="MH140" i="5"/>
  <c r="MK140" i="5"/>
  <c r="MH141" i="5"/>
  <c r="MK141" i="5"/>
  <c r="MH142" i="5"/>
  <c r="MK142" i="5"/>
  <c r="MH143" i="5"/>
  <c r="MK143" i="5"/>
  <c r="MH144" i="5"/>
  <c r="MK144" i="5"/>
  <c r="MH145" i="5"/>
  <c r="MK145" i="5"/>
  <c r="MH146" i="5"/>
  <c r="MK146" i="5"/>
  <c r="MH147" i="5"/>
  <c r="MK147" i="5"/>
  <c r="MH148" i="5"/>
  <c r="MK148" i="5"/>
  <c r="MH149" i="5"/>
  <c r="MK149" i="5"/>
  <c r="MH150" i="5"/>
  <c r="MK150" i="5"/>
  <c r="MH151" i="5"/>
  <c r="MK151" i="5"/>
  <c r="MH152" i="5"/>
  <c r="MK152" i="5"/>
  <c r="MH153" i="5"/>
  <c r="MK153" i="5"/>
  <c r="MH154" i="5"/>
  <c r="MK154" i="5"/>
  <c r="MH155" i="5"/>
  <c r="MK155" i="5"/>
  <c r="MH156" i="5"/>
  <c r="MK156" i="5"/>
  <c r="MH157" i="5"/>
  <c r="MK157" i="5"/>
  <c r="MH158" i="5"/>
  <c r="MK158" i="5"/>
  <c r="MH159" i="5"/>
  <c r="MK159" i="5"/>
  <c r="MH160" i="5"/>
  <c r="MK160" i="5"/>
  <c r="MH161" i="5"/>
  <c r="MK161" i="5"/>
  <c r="MH162" i="5"/>
  <c r="MK162" i="5"/>
  <c r="MH163" i="5"/>
  <c r="MK163" i="5"/>
  <c r="MH164" i="5"/>
  <c r="MK164" i="5"/>
  <c r="MH165" i="5"/>
  <c r="MK165" i="5"/>
  <c r="MH166" i="5"/>
  <c r="MK166" i="5"/>
  <c r="MH167" i="5"/>
  <c r="MK167" i="5"/>
  <c r="MH168" i="5"/>
  <c r="MK168" i="5"/>
  <c r="MH169" i="5"/>
  <c r="MK169" i="5"/>
  <c r="MH170" i="5"/>
  <c r="MK170" i="5"/>
  <c r="MH171" i="5"/>
  <c r="MK171" i="5"/>
  <c r="MH172" i="5"/>
  <c r="MK172" i="5"/>
  <c r="MH173" i="5"/>
  <c r="MK173" i="5"/>
  <c r="MH174" i="5"/>
  <c r="MK174" i="5"/>
  <c r="MH175" i="5"/>
  <c r="MK175" i="5"/>
  <c r="MH176" i="5"/>
  <c r="MK176" i="5"/>
  <c r="MH177" i="5"/>
  <c r="MK177" i="5"/>
  <c r="MH178" i="5"/>
  <c r="MK178" i="5"/>
  <c r="MH179" i="5"/>
  <c r="MK179" i="5"/>
  <c r="MH180" i="5"/>
  <c r="MK180" i="5"/>
  <c r="MH181" i="5"/>
  <c r="MK181" i="5"/>
  <c r="MH182" i="5"/>
  <c r="MK182" i="5"/>
  <c r="MH183" i="5"/>
  <c r="MK183" i="5"/>
  <c r="MH184" i="5"/>
  <c r="MK184" i="5"/>
  <c r="MH185" i="5"/>
  <c r="MK185" i="5"/>
  <c r="MH186" i="5"/>
  <c r="MK186" i="5"/>
  <c r="MH187" i="5"/>
  <c r="MK187" i="5"/>
  <c r="MH188" i="5"/>
  <c r="MK188" i="5"/>
  <c r="MH189" i="5"/>
  <c r="MK189" i="5"/>
  <c r="MH190" i="5"/>
  <c r="MK190" i="5"/>
  <c r="MH191" i="5"/>
  <c r="MK191" i="5"/>
  <c r="MH192" i="5"/>
  <c r="MK192" i="5"/>
  <c r="MH193" i="5"/>
  <c r="MK193" i="5"/>
  <c r="MH202" i="5"/>
  <c r="MK202" i="5"/>
  <c r="MH203" i="5"/>
  <c r="MK203" i="5"/>
  <c r="MH204" i="5"/>
  <c r="MK204" i="5"/>
  <c r="MH205" i="5"/>
  <c r="MK205" i="5"/>
  <c r="MH206" i="5"/>
  <c r="MK206" i="5"/>
  <c r="MH207" i="5"/>
  <c r="MK207" i="5"/>
  <c r="MH208" i="5"/>
  <c r="MK208" i="5"/>
  <c r="MH209" i="5"/>
  <c r="MK209" i="5"/>
  <c r="MH210" i="5"/>
  <c r="MK210" i="5"/>
  <c r="MH211" i="5"/>
  <c r="MK211" i="5"/>
  <c r="MH212" i="5"/>
  <c r="MK212" i="5"/>
  <c r="MH213" i="5"/>
  <c r="MK213" i="5"/>
  <c r="MH214" i="5"/>
  <c r="MK214" i="5"/>
  <c r="MH215" i="5"/>
  <c r="MK215" i="5"/>
  <c r="MH216" i="5"/>
  <c r="MK216" i="5"/>
  <c r="MH217" i="5"/>
  <c r="MK217" i="5"/>
  <c r="MH218" i="5"/>
  <c r="MK218" i="5"/>
  <c r="MH219" i="5"/>
  <c r="MK219" i="5"/>
  <c r="MH220" i="5"/>
  <c r="MK220" i="5"/>
  <c r="MH221" i="5"/>
  <c r="MK221" i="5"/>
  <c r="MH222" i="5"/>
  <c r="MK222" i="5"/>
  <c r="MH223" i="5"/>
  <c r="MK223" i="5"/>
  <c r="MH224" i="5"/>
  <c r="MK224" i="5"/>
  <c r="MH225" i="5"/>
  <c r="MK225" i="5"/>
  <c r="MH226" i="5"/>
  <c r="MK226" i="5"/>
  <c r="MH227" i="5"/>
  <c r="MK227" i="5"/>
  <c r="MH228" i="5"/>
  <c r="MK228" i="5"/>
  <c r="MH229" i="5"/>
  <c r="MK229" i="5"/>
  <c r="MH230" i="5"/>
  <c r="MK230" i="5"/>
  <c r="MH231" i="5"/>
  <c r="MK231" i="5"/>
  <c r="MH232" i="5"/>
  <c r="MK232" i="5"/>
  <c r="MH233" i="5"/>
  <c r="MK233" i="5"/>
  <c r="MH234" i="5"/>
  <c r="MK234" i="5"/>
  <c r="MH235" i="5"/>
  <c r="MK235" i="5"/>
  <c r="MH236" i="5"/>
  <c r="MK236" i="5"/>
  <c r="MH237" i="5"/>
  <c r="MK237" i="5"/>
  <c r="MH238" i="5"/>
  <c r="MK238" i="5"/>
  <c r="MH239" i="5"/>
  <c r="MK239" i="5"/>
  <c r="MH240" i="5"/>
  <c r="MK240" i="5"/>
  <c r="MH241" i="5"/>
  <c r="MK241" i="5"/>
  <c r="MH242" i="5"/>
  <c r="MK242" i="5"/>
  <c r="MH243" i="5"/>
  <c r="MK243" i="5"/>
  <c r="MH244" i="5"/>
  <c r="MK244" i="5"/>
  <c r="MH245" i="5"/>
  <c r="MK245" i="5"/>
  <c r="MH246" i="5"/>
  <c r="MK246" i="5"/>
  <c r="MH247" i="5"/>
  <c r="MK247" i="5"/>
  <c r="MH248" i="5"/>
  <c r="MK248" i="5"/>
  <c r="MY40" i="5"/>
  <c r="MY43" i="5"/>
  <c r="MY61" i="5"/>
  <c r="MY111" i="5"/>
  <c r="MY117" i="5"/>
  <c r="MY118" i="5"/>
  <c r="MY119" i="5"/>
  <c r="MY122" i="5"/>
  <c r="MY123" i="5"/>
  <c r="MY141" i="5"/>
  <c r="MY147" i="5"/>
  <c r="MY151" i="5"/>
  <c r="MY160" i="5"/>
  <c r="MY161" i="5"/>
  <c r="MY163" i="5"/>
  <c r="MY166" i="5"/>
  <c r="MY167" i="5"/>
  <c r="MY178" i="5"/>
  <c r="MY182" i="5"/>
  <c r="MY183" i="5"/>
  <c r="MY184" i="5"/>
  <c r="MY186" i="5"/>
  <c r="MY187" i="5"/>
  <c r="MY191" i="5"/>
  <c r="MY192" i="5"/>
  <c r="MY202" i="5"/>
  <c r="MY214" i="5"/>
  <c r="MY215" i="5"/>
  <c r="MY216" i="5"/>
  <c r="MY217" i="5"/>
  <c r="MY218" i="5"/>
  <c r="MY220" i="5"/>
  <c r="MY221" i="5"/>
  <c r="MY235" i="5"/>
  <c r="MY236" i="5"/>
  <c r="MY237" i="5"/>
  <c r="MY238" i="5"/>
  <c r="ND238" i="5" s="1"/>
  <c r="MY239" i="5"/>
  <c r="MY240" i="5"/>
  <c r="MY241" i="5"/>
  <c r="MY243" i="5"/>
  <c r="MY244" i="5"/>
  <c r="MY245" i="5"/>
  <c r="ND245" i="5" s="1"/>
  <c r="MY246" i="5"/>
  <c r="MY247" i="5"/>
  <c r="MY248" i="5"/>
  <c r="ND241" i="5" l="1"/>
  <c r="ND244" i="5"/>
  <c r="ND247" i="5"/>
  <c r="HR248" i="5"/>
  <c r="HJ247" i="5"/>
  <c r="BU174" i="5"/>
  <c r="RX174" i="5"/>
  <c r="RY174" i="5" s="1"/>
  <c r="BU234" i="5"/>
  <c r="RX234" i="5"/>
  <c r="RY234" i="5" s="1"/>
  <c r="BU176" i="5"/>
  <c r="RX176" i="5"/>
  <c r="RY176" i="5" s="1"/>
  <c r="HJ245" i="5"/>
  <c r="HJ244" i="5"/>
  <c r="BS99" i="5"/>
  <c r="RW99" i="5"/>
  <c r="BU175" i="5"/>
  <c r="RX175" i="5"/>
  <c r="RY175" i="5" s="1"/>
  <c r="BU242" i="5"/>
  <c r="RX242" i="5"/>
  <c r="RY242" i="5" s="1"/>
  <c r="BU162" i="5"/>
  <c r="RX162" i="5"/>
  <c r="RY162" i="5" s="1"/>
  <c r="HJ241" i="5"/>
  <c r="HJ238" i="5"/>
  <c r="BU103" i="5"/>
  <c r="GG103" i="5" s="1"/>
  <c r="BU154" i="5"/>
  <c r="GA154" i="5" s="1"/>
  <c r="BU134" i="5"/>
  <c r="FL134" i="5" s="1"/>
  <c r="BS130" i="5"/>
  <c r="BU106" i="5"/>
  <c r="GA106" i="5" s="1"/>
  <c r="BS193" i="5"/>
  <c r="RW193" i="5"/>
  <c r="BU193" i="5" s="1"/>
  <c r="BS143" i="5"/>
  <c r="RW143" i="5"/>
  <c r="BS139" i="5"/>
  <c r="RW139" i="5"/>
  <c r="BU139" i="5" s="1"/>
  <c r="BS91" i="5"/>
  <c r="RW91" i="5"/>
  <c r="BU91" i="5" s="1"/>
  <c r="EZ91" i="5" s="1"/>
  <c r="BS213" i="5"/>
  <c r="RW213" i="5"/>
  <c r="BU213" i="5" s="1"/>
  <c r="BS173" i="5"/>
  <c r="RW173" i="5"/>
  <c r="BU173" i="5" s="1"/>
  <c r="EZ173" i="5" s="1"/>
  <c r="BS121" i="5"/>
  <c r="RW121" i="5"/>
  <c r="BS17" i="5"/>
  <c r="RW17" i="5"/>
  <c r="BU17" i="5" s="1"/>
  <c r="BS124" i="5"/>
  <c r="RW124" i="5"/>
  <c r="BU124" i="5" s="1"/>
  <c r="EZ124" i="5" s="1"/>
  <c r="BS96" i="5"/>
  <c r="RW96" i="5"/>
  <c r="BU96" i="5" s="1"/>
  <c r="EZ96" i="5" s="1"/>
  <c r="BS88" i="5"/>
  <c r="RW88" i="5"/>
  <c r="ND216" i="5"/>
  <c r="ND236" i="5"/>
  <c r="HJ236" i="5"/>
  <c r="ND220" i="5"/>
  <c r="ND221" i="5"/>
  <c r="ND235" i="5"/>
  <c r="ND217" i="5"/>
  <c r="BS133" i="5"/>
  <c r="RW133" i="5"/>
  <c r="BS108" i="5"/>
  <c r="RW108" i="5"/>
  <c r="BS156" i="5"/>
  <c r="RW156" i="5"/>
  <c r="BU156" i="5" s="1"/>
  <c r="BS94" i="5"/>
  <c r="RW94" i="5"/>
  <c r="BS155" i="5"/>
  <c r="RW155" i="5"/>
  <c r="IP155" i="5" s="1"/>
  <c r="NQ243" i="5" s="1"/>
  <c r="BS164" i="5"/>
  <c r="RW164" i="5"/>
  <c r="BU164" i="5" s="1"/>
  <c r="BS90" i="5"/>
  <c r="RW90" i="5"/>
  <c r="IP90" i="5" s="1"/>
  <c r="BS168" i="5"/>
  <c r="RW168" i="5"/>
  <c r="BS177" i="5"/>
  <c r="RW177" i="5"/>
  <c r="BU177" i="5" s="1"/>
  <c r="RX177" i="5"/>
  <c r="RY177" i="5" s="1"/>
  <c r="BS146" i="5"/>
  <c r="RW146" i="5"/>
  <c r="IP146" i="5" s="1"/>
  <c r="EC60" i="5"/>
  <c r="ED60" i="5" s="1"/>
  <c r="CT60" i="5"/>
  <c r="HJ235" i="5"/>
  <c r="BU181" i="5"/>
  <c r="RX181" i="5"/>
  <c r="RY181" i="5" s="1"/>
  <c r="BS233" i="5"/>
  <c r="RW233" i="5"/>
  <c r="BU233" i="5" s="1"/>
  <c r="RX233" i="5"/>
  <c r="RY233" i="5" s="1"/>
  <c r="BU150" i="5"/>
  <c r="RX150" i="5"/>
  <c r="RY150" i="5" s="1"/>
  <c r="BS232" i="5"/>
  <c r="RW232" i="5"/>
  <c r="IE230" i="5"/>
  <c r="NX230" i="5" s="1"/>
  <c r="FL230" i="5"/>
  <c r="ET230" i="5"/>
  <c r="DU230" i="5"/>
  <c r="GA230" i="5"/>
  <c r="FG230" i="5"/>
  <c r="RX232" i="5"/>
  <c r="RY232" i="5" s="1"/>
  <c r="BU231" i="5"/>
  <c r="GG231" i="5" s="1"/>
  <c r="RX231" i="5"/>
  <c r="RY231" i="5" s="1"/>
  <c r="HR231" i="5"/>
  <c r="BS170" i="5"/>
  <c r="RW170" i="5"/>
  <c r="BU170" i="5" s="1"/>
  <c r="RX170" i="5"/>
  <c r="RY170" i="5" s="1"/>
  <c r="RX230" i="5"/>
  <c r="RY230" i="5" s="1"/>
  <c r="RX193" i="5"/>
  <c r="RY193" i="5" s="1"/>
  <c r="BU229" i="5"/>
  <c r="GG229" i="5" s="1"/>
  <c r="RX229" i="5"/>
  <c r="RY229" i="5" s="1"/>
  <c r="BU228" i="5"/>
  <c r="GG228" i="5" s="1"/>
  <c r="RX228" i="5"/>
  <c r="RY228" i="5" s="1"/>
  <c r="HR228" i="5"/>
  <c r="BS169" i="5"/>
  <c r="RW169" i="5"/>
  <c r="IE225" i="5"/>
  <c r="NX225" i="5" s="1"/>
  <c r="FL225" i="5"/>
  <c r="DU225" i="5"/>
  <c r="GA225" i="5"/>
  <c r="ET225" i="5"/>
  <c r="FG225" i="5"/>
  <c r="IE224" i="5"/>
  <c r="DU224" i="5"/>
  <c r="GA224" i="5"/>
  <c r="ET224" i="5"/>
  <c r="FL224" i="5"/>
  <c r="FG224" i="5"/>
  <c r="GA223" i="5"/>
  <c r="IE223" i="5"/>
  <c r="NX223" i="5" s="1"/>
  <c r="FL223" i="5"/>
  <c r="FG223" i="5"/>
  <c r="ET223" i="5"/>
  <c r="DU223" i="5"/>
  <c r="BU227" i="5"/>
  <c r="GG227" i="5" s="1"/>
  <c r="RX227" i="5"/>
  <c r="RY227" i="5" s="1"/>
  <c r="BU226" i="5"/>
  <c r="GG226" i="5" s="1"/>
  <c r="RX226" i="5"/>
  <c r="RY226" i="5" s="1"/>
  <c r="RX225" i="5"/>
  <c r="RY225" i="5" s="1"/>
  <c r="HR225" i="5"/>
  <c r="RX224" i="5"/>
  <c r="RY224" i="5" s="1"/>
  <c r="RX223" i="5"/>
  <c r="RY223" i="5" s="1"/>
  <c r="RX222" i="5"/>
  <c r="RY222" i="5" s="1"/>
  <c r="HR222" i="5"/>
  <c r="BU219" i="5"/>
  <c r="RX219" i="5"/>
  <c r="RY219" i="5" s="1"/>
  <c r="RX213" i="5"/>
  <c r="RY213" i="5" s="1"/>
  <c r="HJ221" i="5"/>
  <c r="HJ220" i="5"/>
  <c r="HJ217" i="5"/>
  <c r="HJ216" i="5"/>
  <c r="BS185" i="5"/>
  <c r="RW185" i="5"/>
  <c r="BU212" i="5"/>
  <c r="RX212" i="5"/>
  <c r="RY212" i="5" s="1"/>
  <c r="BU171" i="5"/>
  <c r="GA171" i="5" s="1"/>
  <c r="RX171" i="5"/>
  <c r="RY171" i="5" s="1"/>
  <c r="BS211" i="5"/>
  <c r="RW211" i="5"/>
  <c r="BU211" i="5" s="1"/>
  <c r="RX211" i="5"/>
  <c r="RY211" i="5" s="1"/>
  <c r="BS210" i="5"/>
  <c r="RW210" i="5"/>
  <c r="BU210" i="5" s="1"/>
  <c r="RX210" i="5"/>
  <c r="RY210" i="5" s="1"/>
  <c r="BU190" i="5"/>
  <c r="NR190" i="5" s="1"/>
  <c r="RX190" i="5"/>
  <c r="RY190" i="5" s="1"/>
  <c r="BU180" i="5"/>
  <c r="NR180" i="5" s="1"/>
  <c r="RX180" i="5"/>
  <c r="RY180" i="5" s="1"/>
  <c r="BS209" i="5"/>
  <c r="RW209" i="5"/>
  <c r="BU209" i="5" s="1"/>
  <c r="RX209" i="5"/>
  <c r="RY209" i="5" s="1"/>
  <c r="BS165" i="5"/>
  <c r="RW165" i="5"/>
  <c r="BU165" i="5" s="1"/>
  <c r="RX165" i="5"/>
  <c r="RY165" i="5" s="1"/>
  <c r="RW207" i="5"/>
  <c r="CT207" i="5"/>
  <c r="BU208" i="5"/>
  <c r="RX208" i="5"/>
  <c r="RY208" i="5" s="1"/>
  <c r="HR208" i="5"/>
  <c r="BR95" i="5"/>
  <c r="RX95" i="5" s="1"/>
  <c r="RY95" i="5" s="1"/>
  <c r="RX207" i="5"/>
  <c r="RY207" i="5" s="1"/>
  <c r="BU148" i="5"/>
  <c r="GA148" i="5" s="1"/>
  <c r="RX148" i="5"/>
  <c r="RY148" i="5" s="1"/>
  <c r="BS205" i="5"/>
  <c r="RW205" i="5"/>
  <c r="BU206" i="5"/>
  <c r="IE206" i="5" s="1"/>
  <c r="RX206" i="5"/>
  <c r="RY206" i="5" s="1"/>
  <c r="HJ61" i="5"/>
  <c r="HJ166" i="5"/>
  <c r="BS172" i="5"/>
  <c r="RW172" i="5"/>
  <c r="BU179" i="5"/>
  <c r="RX179" i="5"/>
  <c r="RY179" i="5" s="1"/>
  <c r="RX205" i="5"/>
  <c r="RY205" i="5" s="1"/>
  <c r="BU188" i="5"/>
  <c r="RX188" i="5"/>
  <c r="RY188" i="5" s="1"/>
  <c r="BS203" i="5"/>
  <c r="RW203" i="5"/>
  <c r="BU203" i="5" s="1"/>
  <c r="BU204" i="5"/>
  <c r="GA204" i="5" s="1"/>
  <c r="RX204" i="5"/>
  <c r="RY204" i="5" s="1"/>
  <c r="RX203" i="5"/>
  <c r="RY203" i="5" s="1"/>
  <c r="BU152" i="5"/>
  <c r="RX152" i="5"/>
  <c r="RY152" i="5" s="1"/>
  <c r="BS144" i="5"/>
  <c r="RW144" i="5"/>
  <c r="BS101" i="5"/>
  <c r="RW101" i="5"/>
  <c r="RX156" i="5"/>
  <c r="RY156" i="5" s="1"/>
  <c r="RX164" i="5"/>
  <c r="RY164" i="5" s="1"/>
  <c r="HJ191" i="5"/>
  <c r="HK160" i="5"/>
  <c r="HR160" i="5" s="1"/>
  <c r="HK138" i="5"/>
  <c r="HR138" i="5" s="1"/>
  <c r="HK123" i="5"/>
  <c r="HR123" i="5" s="1"/>
  <c r="HK83" i="5"/>
  <c r="HR83" i="5" s="1"/>
  <c r="HK67" i="5"/>
  <c r="HR67" i="5" s="1"/>
  <c r="HK59" i="5"/>
  <c r="HR59" i="5" s="1"/>
  <c r="HK51" i="5"/>
  <c r="HR51" i="5" s="1"/>
  <c r="HK35" i="5"/>
  <c r="HR35" i="5" s="1"/>
  <c r="HK27" i="5"/>
  <c r="HR27" i="5" s="1"/>
  <c r="HK11" i="5"/>
  <c r="HR11" i="5" s="1"/>
  <c r="IE157" i="5"/>
  <c r="GD157" i="5"/>
  <c r="FR157" i="5"/>
  <c r="FL157" i="5"/>
  <c r="GG157" i="5"/>
  <c r="GA157" i="5"/>
  <c r="FO157" i="5"/>
  <c r="EZ157" i="5"/>
  <c r="DU157" i="5"/>
  <c r="FG157" i="5"/>
  <c r="ET157" i="5"/>
  <c r="CW157" i="5"/>
  <c r="EC149" i="5"/>
  <c r="ED149" i="5" s="1"/>
  <c r="CT149" i="5"/>
  <c r="IE135" i="5"/>
  <c r="FL135" i="5"/>
  <c r="FO135" i="5"/>
  <c r="GD135" i="5"/>
  <c r="FR135" i="5"/>
  <c r="GG135" i="5"/>
  <c r="GA135" i="5"/>
  <c r="EZ135" i="5"/>
  <c r="CW135" i="5"/>
  <c r="FG135" i="5"/>
  <c r="DU135" i="5"/>
  <c r="ET135" i="5"/>
  <c r="IE127" i="5"/>
  <c r="GG127" i="5"/>
  <c r="GA127" i="5"/>
  <c r="FL127" i="5"/>
  <c r="FO127" i="5"/>
  <c r="GD127" i="5"/>
  <c r="FR127" i="5"/>
  <c r="EZ127" i="5"/>
  <c r="FG127" i="5"/>
  <c r="DU127" i="5"/>
  <c r="ET127" i="5"/>
  <c r="CW127" i="5"/>
  <c r="GG120" i="5"/>
  <c r="FL120" i="5"/>
  <c r="FO120" i="5"/>
  <c r="FR120" i="5"/>
  <c r="GD120" i="5"/>
  <c r="CW120" i="5"/>
  <c r="EZ120" i="5"/>
  <c r="FG120" i="5"/>
  <c r="DU120" i="5"/>
  <c r="ET120" i="5"/>
  <c r="IE120" i="5"/>
  <c r="GA112" i="5"/>
  <c r="GG112" i="5"/>
  <c r="GD112" i="5"/>
  <c r="EZ112" i="5"/>
  <c r="FO112" i="5"/>
  <c r="FR112" i="5"/>
  <c r="FL112" i="5"/>
  <c r="DU112" i="5"/>
  <c r="ET112" i="5"/>
  <c r="IE112" i="5"/>
  <c r="GD72" i="5"/>
  <c r="GG72" i="5"/>
  <c r="FO72" i="5"/>
  <c r="FR72" i="5"/>
  <c r="DU72" i="5"/>
  <c r="ET72" i="5"/>
  <c r="FG72" i="5"/>
  <c r="CW72" i="5"/>
  <c r="FL72" i="5"/>
  <c r="IE72" i="5"/>
  <c r="IE64" i="5"/>
  <c r="NX64" i="5" s="1"/>
  <c r="FR64" i="5"/>
  <c r="GA64" i="5"/>
  <c r="FL64" i="5"/>
  <c r="FO64" i="5"/>
  <c r="GD64" i="5"/>
  <c r="GG64" i="5"/>
  <c r="CW64" i="5"/>
  <c r="EZ64" i="5"/>
  <c r="FG64" i="5"/>
  <c r="DU64" i="5"/>
  <c r="ET64" i="5"/>
  <c r="IE56" i="5"/>
  <c r="NX56" i="5" s="1"/>
  <c r="GD56" i="5"/>
  <c r="FR56" i="5"/>
  <c r="FL56" i="5"/>
  <c r="GG56" i="5"/>
  <c r="GA56" i="5"/>
  <c r="FO56" i="5"/>
  <c r="EZ56" i="5"/>
  <c r="CW56" i="5"/>
  <c r="FG56" i="5"/>
  <c r="DU56" i="5"/>
  <c r="ET56" i="5"/>
  <c r="FR48" i="5"/>
  <c r="GD48" i="5"/>
  <c r="GG48" i="5"/>
  <c r="FL48" i="5"/>
  <c r="FO48" i="5"/>
  <c r="CW48" i="5"/>
  <c r="EZ48" i="5"/>
  <c r="FG48" i="5"/>
  <c r="DU48" i="5"/>
  <c r="ET48" i="5"/>
  <c r="IE48" i="5"/>
  <c r="NX48" i="5" s="1"/>
  <c r="GA32" i="5"/>
  <c r="GD32" i="5"/>
  <c r="FL32" i="5"/>
  <c r="GG32" i="5"/>
  <c r="FO32" i="5"/>
  <c r="FR32" i="5"/>
  <c r="CW32" i="5"/>
  <c r="EZ32" i="5"/>
  <c r="FG32" i="5"/>
  <c r="DU32" i="5"/>
  <c r="ET32" i="5"/>
  <c r="IE32" i="5"/>
  <c r="IE24" i="5"/>
  <c r="NX24" i="5" s="1"/>
  <c r="FO24" i="5"/>
  <c r="FR24" i="5"/>
  <c r="GA24" i="5"/>
  <c r="GD24" i="5"/>
  <c r="GG24" i="5"/>
  <c r="FL24" i="5"/>
  <c r="EZ24" i="5"/>
  <c r="DU24" i="5"/>
  <c r="CW24" i="5"/>
  <c r="FG24" i="5"/>
  <c r="ET24" i="5"/>
  <c r="FR8" i="5"/>
  <c r="GG8" i="5"/>
  <c r="GD8" i="5"/>
  <c r="FL8" i="5"/>
  <c r="FO8" i="5"/>
  <c r="DU8" i="5"/>
  <c r="ET8" i="5"/>
  <c r="CW8" i="5"/>
  <c r="EZ8" i="5"/>
  <c r="FG8" i="5"/>
  <c r="IE8" i="5"/>
  <c r="HK167" i="5"/>
  <c r="HR167" i="5" s="1"/>
  <c r="HK159" i="5"/>
  <c r="HR159" i="5" s="1"/>
  <c r="HK151" i="5"/>
  <c r="HR151" i="5" s="1"/>
  <c r="HK98" i="5"/>
  <c r="HR98" i="5" s="1"/>
  <c r="HK74" i="5"/>
  <c r="HR74" i="5" s="1"/>
  <c r="HK50" i="5"/>
  <c r="HR50" i="5" s="1"/>
  <c r="HK26" i="5"/>
  <c r="HR26" i="5" s="1"/>
  <c r="GG142" i="5"/>
  <c r="IE142" i="5"/>
  <c r="GA142" i="5"/>
  <c r="FO142" i="5"/>
  <c r="GD142" i="5"/>
  <c r="FR142" i="5"/>
  <c r="FG142" i="5"/>
  <c r="DU142" i="5"/>
  <c r="ET142" i="5"/>
  <c r="CW142" i="5"/>
  <c r="FL142" i="5"/>
  <c r="EZ134" i="5"/>
  <c r="IE126" i="5"/>
  <c r="GA126" i="5"/>
  <c r="GD126" i="5"/>
  <c r="GG126" i="5"/>
  <c r="FR126" i="5"/>
  <c r="FL126" i="5"/>
  <c r="CW126" i="5"/>
  <c r="FO126" i="5"/>
  <c r="DU126" i="5"/>
  <c r="ET126" i="5"/>
  <c r="EZ126" i="5"/>
  <c r="FG126" i="5"/>
  <c r="EZ103" i="5"/>
  <c r="GG87" i="5"/>
  <c r="GA87" i="5"/>
  <c r="FO87" i="5"/>
  <c r="GD87" i="5"/>
  <c r="FR87" i="5"/>
  <c r="FG87" i="5"/>
  <c r="FL87" i="5"/>
  <c r="DU87" i="5"/>
  <c r="CW87" i="5"/>
  <c r="ET87" i="5"/>
  <c r="IE87" i="5"/>
  <c r="IE79" i="5"/>
  <c r="NX79" i="5" s="1"/>
  <c r="GD79" i="5"/>
  <c r="GG79" i="5"/>
  <c r="FO79" i="5"/>
  <c r="FR79" i="5"/>
  <c r="FG79" i="5"/>
  <c r="DU79" i="5"/>
  <c r="ET79" i="5"/>
  <c r="CW79" i="5"/>
  <c r="FL79" i="5"/>
  <c r="IE71" i="5"/>
  <c r="NX71" i="5" s="1"/>
  <c r="FR71" i="5"/>
  <c r="GA71" i="5"/>
  <c r="FL71" i="5"/>
  <c r="FO71" i="5"/>
  <c r="GD71" i="5"/>
  <c r="GG71" i="5"/>
  <c r="EZ71" i="5"/>
  <c r="DU71" i="5"/>
  <c r="FG71" i="5"/>
  <c r="ET71" i="5"/>
  <c r="CW71" i="5"/>
  <c r="IE63" i="5"/>
  <c r="GD63" i="5"/>
  <c r="GG63" i="5"/>
  <c r="FR63" i="5"/>
  <c r="GA63" i="5"/>
  <c r="FL63" i="5"/>
  <c r="DU63" i="5"/>
  <c r="ET63" i="5"/>
  <c r="FO63" i="5"/>
  <c r="EZ63" i="5"/>
  <c r="CW63" i="5"/>
  <c r="FG63" i="5"/>
  <c r="IE55" i="5"/>
  <c r="GA55" i="5"/>
  <c r="GD55" i="5"/>
  <c r="FL55" i="5"/>
  <c r="GG55" i="5"/>
  <c r="FR55" i="5"/>
  <c r="FO55" i="5"/>
  <c r="CW55" i="5"/>
  <c r="EZ55" i="5"/>
  <c r="FG55" i="5"/>
  <c r="DU55" i="5"/>
  <c r="ET55" i="5"/>
  <c r="FR47" i="5"/>
  <c r="GG47" i="5"/>
  <c r="GD47" i="5"/>
  <c r="FO47" i="5"/>
  <c r="EZ47" i="5"/>
  <c r="DU47" i="5"/>
  <c r="CW47" i="5"/>
  <c r="FG47" i="5"/>
  <c r="ET47" i="5"/>
  <c r="FL47" i="5"/>
  <c r="IE47" i="5"/>
  <c r="NX47" i="5" s="1"/>
  <c r="IE7" i="5"/>
  <c r="GD7" i="5"/>
  <c r="GG7" i="5"/>
  <c r="FR7" i="5"/>
  <c r="GA7" i="5"/>
  <c r="EZ7" i="5"/>
  <c r="CW7" i="5"/>
  <c r="FG7" i="5"/>
  <c r="FL7" i="5"/>
  <c r="FO7" i="5"/>
  <c r="DU7" i="5"/>
  <c r="ET7" i="5"/>
  <c r="HK89" i="5"/>
  <c r="HR89" i="5" s="1"/>
  <c r="HK81" i="5"/>
  <c r="HR81" i="5" s="1"/>
  <c r="HK65" i="5"/>
  <c r="HR65" i="5" s="1"/>
  <c r="HK49" i="5"/>
  <c r="HR49" i="5" s="1"/>
  <c r="HK41" i="5"/>
  <c r="HR41" i="5" s="1"/>
  <c r="EZ133" i="5"/>
  <c r="FR110" i="5"/>
  <c r="GG110" i="5"/>
  <c r="GD110" i="5"/>
  <c r="FL110" i="5"/>
  <c r="FO110" i="5"/>
  <c r="DU110" i="5"/>
  <c r="CW110" i="5"/>
  <c r="ET110" i="5"/>
  <c r="EZ110" i="5"/>
  <c r="FG110" i="5"/>
  <c r="IE110" i="5"/>
  <c r="IE102" i="5"/>
  <c r="GG102" i="5"/>
  <c r="FR102" i="5"/>
  <c r="EZ102" i="5"/>
  <c r="GD102" i="5"/>
  <c r="FO102" i="5"/>
  <c r="DU102" i="5"/>
  <c r="FL102" i="5"/>
  <c r="ET102" i="5"/>
  <c r="CW102" i="5"/>
  <c r="FR78" i="5"/>
  <c r="GG78" i="5"/>
  <c r="GA78" i="5"/>
  <c r="GD78" i="5"/>
  <c r="FG78" i="5"/>
  <c r="FO78" i="5"/>
  <c r="DU78" i="5"/>
  <c r="CW78" i="5"/>
  <c r="ET78" i="5"/>
  <c r="FL78" i="5"/>
  <c r="IE78" i="5"/>
  <c r="GG70" i="5"/>
  <c r="FO70" i="5"/>
  <c r="FR70" i="5"/>
  <c r="GD70" i="5"/>
  <c r="FL70" i="5"/>
  <c r="CW70" i="5"/>
  <c r="DU70" i="5"/>
  <c r="FG70" i="5"/>
  <c r="ET70" i="5"/>
  <c r="IE70" i="5"/>
  <c r="IE46" i="5"/>
  <c r="FR46" i="5"/>
  <c r="FL46" i="5"/>
  <c r="GA46" i="5"/>
  <c r="FO46" i="5"/>
  <c r="GD46" i="5"/>
  <c r="GG46" i="5"/>
  <c r="EZ46" i="5"/>
  <c r="CW46" i="5"/>
  <c r="DU46" i="5"/>
  <c r="ET46" i="5"/>
  <c r="FG46" i="5"/>
  <c r="GG38" i="5"/>
  <c r="FR38" i="5"/>
  <c r="FL38" i="5"/>
  <c r="GD38" i="5"/>
  <c r="FO38" i="5"/>
  <c r="CW38" i="5"/>
  <c r="EZ38" i="5"/>
  <c r="FG38" i="5"/>
  <c r="DU38" i="5"/>
  <c r="ET38" i="5"/>
  <c r="IE38" i="5"/>
  <c r="HK180" i="5"/>
  <c r="HR180" i="5" s="1"/>
  <c r="HK127" i="5"/>
  <c r="HR127" i="5" s="1"/>
  <c r="HK120" i="5"/>
  <c r="HR120" i="5" s="1"/>
  <c r="HK72" i="5"/>
  <c r="HR72" i="5" s="1"/>
  <c r="HK56" i="5"/>
  <c r="HR56" i="5" s="1"/>
  <c r="HK40" i="5"/>
  <c r="HR40" i="5" s="1"/>
  <c r="HK32" i="5"/>
  <c r="HR32" i="5" s="1"/>
  <c r="HK8" i="5"/>
  <c r="HR8" i="5" s="1"/>
  <c r="EZ154" i="5"/>
  <c r="GD140" i="5"/>
  <c r="FL140" i="5"/>
  <c r="FO140" i="5"/>
  <c r="GG140" i="5"/>
  <c r="FR140" i="5"/>
  <c r="DU140" i="5"/>
  <c r="ET140" i="5"/>
  <c r="EZ140" i="5"/>
  <c r="CW140" i="5"/>
  <c r="FG140" i="5"/>
  <c r="IE140" i="5"/>
  <c r="GA132" i="5"/>
  <c r="FO132" i="5"/>
  <c r="GG132" i="5"/>
  <c r="GD132" i="5"/>
  <c r="FR132" i="5"/>
  <c r="IE132" i="5"/>
  <c r="CW132" i="5"/>
  <c r="FG132" i="5"/>
  <c r="FL132" i="5"/>
  <c r="DU132" i="5"/>
  <c r="ET132" i="5"/>
  <c r="IE125" i="5"/>
  <c r="GA125" i="5"/>
  <c r="GD125" i="5"/>
  <c r="GG125" i="5"/>
  <c r="FR125" i="5"/>
  <c r="FL125" i="5"/>
  <c r="DU125" i="5"/>
  <c r="ET125" i="5"/>
  <c r="FO125" i="5"/>
  <c r="EZ125" i="5"/>
  <c r="CW125" i="5"/>
  <c r="FG125" i="5"/>
  <c r="FL109" i="5"/>
  <c r="FO109" i="5"/>
  <c r="FR109" i="5"/>
  <c r="GD109" i="5"/>
  <c r="GG109" i="5"/>
  <c r="EZ109" i="5"/>
  <c r="DU109" i="5"/>
  <c r="FG109" i="5"/>
  <c r="ET109" i="5"/>
  <c r="CW109" i="5"/>
  <c r="IE109" i="5"/>
  <c r="NX109" i="5" s="1"/>
  <c r="IE85" i="5"/>
  <c r="NX85" i="5" s="1"/>
  <c r="GG85" i="5"/>
  <c r="FR85" i="5"/>
  <c r="GA85" i="5"/>
  <c r="FL85" i="5"/>
  <c r="FO85" i="5"/>
  <c r="GD85" i="5"/>
  <c r="DU85" i="5"/>
  <c r="ET85" i="5"/>
  <c r="EZ85" i="5"/>
  <c r="FG85" i="5"/>
  <c r="GD77" i="5"/>
  <c r="FR77" i="5"/>
  <c r="FL77" i="5"/>
  <c r="GG77" i="5"/>
  <c r="GA77" i="5"/>
  <c r="FO77" i="5"/>
  <c r="CW77" i="5"/>
  <c r="EZ77" i="5"/>
  <c r="FG77" i="5"/>
  <c r="DU77" i="5"/>
  <c r="ET77" i="5"/>
  <c r="IE77" i="5"/>
  <c r="NX77" i="5" s="1"/>
  <c r="IE69" i="5"/>
  <c r="FR69" i="5"/>
  <c r="GD69" i="5"/>
  <c r="GG69" i="5"/>
  <c r="FO69" i="5"/>
  <c r="CW69" i="5"/>
  <c r="EZ69" i="5"/>
  <c r="DU69" i="5"/>
  <c r="FG69" i="5"/>
  <c r="ET69" i="5"/>
  <c r="IE53" i="5"/>
  <c r="NX53" i="5" s="1"/>
  <c r="FR53" i="5"/>
  <c r="GA53" i="5"/>
  <c r="GD53" i="5"/>
  <c r="FL53" i="5"/>
  <c r="GG53" i="5"/>
  <c r="FO53" i="5"/>
  <c r="FG53" i="5"/>
  <c r="CW53" i="5"/>
  <c r="DU53" i="5"/>
  <c r="EZ53" i="5"/>
  <c r="ET53" i="5"/>
  <c r="GD37" i="5"/>
  <c r="GG37" i="5"/>
  <c r="FL37" i="5"/>
  <c r="FR37" i="5"/>
  <c r="GA37" i="5"/>
  <c r="EZ37" i="5"/>
  <c r="FG37" i="5"/>
  <c r="FO37" i="5"/>
  <c r="DU37" i="5"/>
  <c r="CW37" i="5"/>
  <c r="ET37" i="5"/>
  <c r="IE37" i="5"/>
  <c r="NX37" i="5" s="1"/>
  <c r="FL29" i="5"/>
  <c r="FO29" i="5"/>
  <c r="GD29" i="5"/>
  <c r="FR29" i="5"/>
  <c r="GG29" i="5"/>
  <c r="GA29" i="5"/>
  <c r="CW29" i="5"/>
  <c r="EZ29" i="5"/>
  <c r="FG29" i="5"/>
  <c r="DU29" i="5"/>
  <c r="ET29" i="5"/>
  <c r="IE29" i="5"/>
  <c r="NX29" i="5" s="1"/>
  <c r="FO13" i="5"/>
  <c r="FR13" i="5"/>
  <c r="GD13" i="5"/>
  <c r="GG13" i="5"/>
  <c r="EZ13" i="5"/>
  <c r="FG13" i="5"/>
  <c r="DU13" i="5"/>
  <c r="ET13" i="5"/>
  <c r="CW13" i="5"/>
  <c r="FL13" i="5"/>
  <c r="IE13" i="5"/>
  <c r="NX13" i="5" s="1"/>
  <c r="FR5" i="5"/>
  <c r="FL5" i="5"/>
  <c r="GG5" i="5"/>
  <c r="FO5" i="5"/>
  <c r="DU5" i="5"/>
  <c r="ET5" i="5"/>
  <c r="EZ5" i="5"/>
  <c r="CW5" i="5"/>
  <c r="FG5" i="5"/>
  <c r="IE5" i="5"/>
  <c r="NX5" i="5" s="1"/>
  <c r="HK126" i="5"/>
  <c r="HR126" i="5" s="1"/>
  <c r="HK71" i="5"/>
  <c r="HR71" i="5" s="1"/>
  <c r="HK55" i="5"/>
  <c r="HR55" i="5" s="1"/>
  <c r="HK47" i="5"/>
  <c r="HR47" i="5" s="1"/>
  <c r="FO153" i="5"/>
  <c r="GG153" i="5"/>
  <c r="FR153" i="5"/>
  <c r="IE153" i="5"/>
  <c r="GD153" i="5"/>
  <c r="FL153" i="5"/>
  <c r="DU153" i="5"/>
  <c r="ET153" i="5"/>
  <c r="IE145" i="5"/>
  <c r="FL145" i="5"/>
  <c r="FO145" i="5"/>
  <c r="GD145" i="5"/>
  <c r="FR145" i="5"/>
  <c r="GG145" i="5"/>
  <c r="GA145" i="5"/>
  <c r="DU145" i="5"/>
  <c r="ET145" i="5"/>
  <c r="EZ145" i="5"/>
  <c r="CW145" i="5"/>
  <c r="FG145" i="5"/>
  <c r="EC131" i="5"/>
  <c r="ED131" i="5" s="1"/>
  <c r="CT131" i="5"/>
  <c r="FR116" i="5"/>
  <c r="GD116" i="5"/>
  <c r="GG116" i="5"/>
  <c r="FL116" i="5"/>
  <c r="FO116" i="5"/>
  <c r="EZ116" i="5"/>
  <c r="DU116" i="5"/>
  <c r="FG116" i="5"/>
  <c r="ET116" i="5"/>
  <c r="CW116" i="5"/>
  <c r="IE116" i="5"/>
  <c r="EZ108" i="5"/>
  <c r="IE100" i="5"/>
  <c r="GG100" i="5"/>
  <c r="FR100" i="5"/>
  <c r="FL100" i="5"/>
  <c r="GA100" i="5"/>
  <c r="FO100" i="5"/>
  <c r="GD100" i="5"/>
  <c r="EZ100" i="5"/>
  <c r="FG100" i="5"/>
  <c r="DU100" i="5"/>
  <c r="ET100" i="5"/>
  <c r="GD92" i="5"/>
  <c r="GG92" i="5"/>
  <c r="FR92" i="5"/>
  <c r="GA92" i="5"/>
  <c r="FL92" i="5"/>
  <c r="FO92" i="5"/>
  <c r="EZ92" i="5"/>
  <c r="FG92" i="5"/>
  <c r="DU92" i="5"/>
  <c r="CW92" i="5"/>
  <c r="ET92" i="5"/>
  <c r="IE92" i="5"/>
  <c r="GA76" i="5"/>
  <c r="GD76" i="5"/>
  <c r="GG76" i="5"/>
  <c r="FL76" i="5"/>
  <c r="FO76" i="5"/>
  <c r="FR76" i="5"/>
  <c r="EZ76" i="5"/>
  <c r="FG76" i="5"/>
  <c r="DU76" i="5"/>
  <c r="CW76" i="5"/>
  <c r="ET76" i="5"/>
  <c r="IE76" i="5"/>
  <c r="NX76" i="5" s="1"/>
  <c r="GD68" i="5"/>
  <c r="FO68" i="5"/>
  <c r="GG68" i="5"/>
  <c r="FR68" i="5"/>
  <c r="FL68" i="5"/>
  <c r="EZ68" i="5"/>
  <c r="CW68" i="5"/>
  <c r="FG68" i="5"/>
  <c r="DU68" i="5"/>
  <c r="ET68" i="5"/>
  <c r="IE68" i="5"/>
  <c r="IE36" i="5"/>
  <c r="NX36" i="5" s="1"/>
  <c r="GG36" i="5"/>
  <c r="GA36" i="5"/>
  <c r="FL36" i="5"/>
  <c r="FO36" i="5"/>
  <c r="GD36" i="5"/>
  <c r="FR36" i="5"/>
  <c r="CW36" i="5"/>
  <c r="DU36" i="5"/>
  <c r="ET36" i="5"/>
  <c r="FR28" i="5"/>
  <c r="GA28" i="5"/>
  <c r="FL28" i="5"/>
  <c r="GD28" i="5"/>
  <c r="GG28" i="5"/>
  <c r="EZ28" i="5"/>
  <c r="CW28" i="5"/>
  <c r="FG28" i="5"/>
  <c r="FO28" i="5"/>
  <c r="DU28" i="5"/>
  <c r="ET28" i="5"/>
  <c r="IE28" i="5"/>
  <c r="EC12" i="5"/>
  <c r="ED12" i="5" s="1"/>
  <c r="CT12" i="5"/>
  <c r="GG4" i="5"/>
  <c r="FR4" i="5"/>
  <c r="GD4" i="5"/>
  <c r="FL4" i="5"/>
  <c r="DU4" i="5"/>
  <c r="ET4" i="5"/>
  <c r="CW4" i="5"/>
  <c r="EZ4" i="5"/>
  <c r="FO4" i="5"/>
  <c r="FG4" i="5"/>
  <c r="IE4" i="5"/>
  <c r="NX4" i="5" s="1"/>
  <c r="HK186" i="5"/>
  <c r="HR186" i="5" s="1"/>
  <c r="HK141" i="5"/>
  <c r="HR141" i="5" s="1"/>
  <c r="HK118" i="5"/>
  <c r="HR118" i="5" s="1"/>
  <c r="HK110" i="5"/>
  <c r="HR110" i="5" s="1"/>
  <c r="HK70" i="5"/>
  <c r="HR70" i="5" s="1"/>
  <c r="HK46" i="5"/>
  <c r="HR46" i="5" s="1"/>
  <c r="HK38" i="5"/>
  <c r="HR38" i="5" s="1"/>
  <c r="IE138" i="5"/>
  <c r="GG138" i="5"/>
  <c r="FR138" i="5"/>
  <c r="GA138" i="5"/>
  <c r="FL138" i="5"/>
  <c r="FO138" i="5"/>
  <c r="GD138" i="5"/>
  <c r="EZ138" i="5"/>
  <c r="FG138" i="5"/>
  <c r="DU138" i="5"/>
  <c r="CW138" i="5"/>
  <c r="ET138" i="5"/>
  <c r="EC130" i="5"/>
  <c r="ED130" i="5" s="1"/>
  <c r="CT130" i="5"/>
  <c r="IE115" i="5"/>
  <c r="NX115" i="5" s="1"/>
  <c r="FR115" i="5"/>
  <c r="GA115" i="5"/>
  <c r="GD115" i="5"/>
  <c r="GG115" i="5"/>
  <c r="FL115" i="5"/>
  <c r="DU115" i="5"/>
  <c r="ET115" i="5"/>
  <c r="FO115" i="5"/>
  <c r="CW115" i="5"/>
  <c r="EZ115" i="5"/>
  <c r="FG115" i="5"/>
  <c r="EZ99" i="5"/>
  <c r="FO83" i="5"/>
  <c r="FR83" i="5"/>
  <c r="GG83" i="5"/>
  <c r="GD83" i="5"/>
  <c r="EZ83" i="5"/>
  <c r="FL83" i="5"/>
  <c r="FG83" i="5"/>
  <c r="CW83" i="5"/>
  <c r="DU83" i="5"/>
  <c r="ET83" i="5"/>
  <c r="IE83" i="5"/>
  <c r="NX83" i="5" s="1"/>
  <c r="FR67" i="5"/>
  <c r="GA67" i="5"/>
  <c r="EZ67" i="5"/>
  <c r="GD67" i="5"/>
  <c r="GG67" i="5"/>
  <c r="CW67" i="5"/>
  <c r="DU67" i="5"/>
  <c r="FL67" i="5"/>
  <c r="ET67" i="5"/>
  <c r="IE67" i="5"/>
  <c r="NX67" i="5" s="1"/>
  <c r="IE59" i="5"/>
  <c r="FR59" i="5"/>
  <c r="GA59" i="5"/>
  <c r="GD59" i="5"/>
  <c r="GG59" i="5"/>
  <c r="FL59" i="5"/>
  <c r="FO59" i="5"/>
  <c r="DU59" i="5"/>
  <c r="ET59" i="5"/>
  <c r="EZ59" i="5"/>
  <c r="FG59" i="5"/>
  <c r="CW59" i="5"/>
  <c r="IE51" i="5"/>
  <c r="GG51" i="5"/>
  <c r="FR51" i="5"/>
  <c r="GA51" i="5"/>
  <c r="FL51" i="5"/>
  <c r="FO51" i="5"/>
  <c r="GD51" i="5"/>
  <c r="EZ51" i="5"/>
  <c r="FG51" i="5"/>
  <c r="DU51" i="5"/>
  <c r="ET51" i="5"/>
  <c r="CW51" i="5"/>
  <c r="GA35" i="5"/>
  <c r="GD35" i="5"/>
  <c r="GG35" i="5"/>
  <c r="FO35" i="5"/>
  <c r="EZ35" i="5"/>
  <c r="FR35" i="5"/>
  <c r="FL35" i="5"/>
  <c r="DU35" i="5"/>
  <c r="ET35" i="5"/>
  <c r="CW35" i="5"/>
  <c r="IE35" i="5"/>
  <c r="GG27" i="5"/>
  <c r="FR27" i="5"/>
  <c r="FG27" i="5"/>
  <c r="FL27" i="5"/>
  <c r="GD27" i="5"/>
  <c r="FO27" i="5"/>
  <c r="DU27" i="5"/>
  <c r="CW27" i="5"/>
  <c r="ET27" i="5"/>
  <c r="IE27" i="5"/>
  <c r="NX27" i="5" s="1"/>
  <c r="GA19" i="5"/>
  <c r="GD19" i="5"/>
  <c r="GG19" i="5"/>
  <c r="FO19" i="5"/>
  <c r="FR19" i="5"/>
  <c r="DU19" i="5"/>
  <c r="EZ19" i="5"/>
  <c r="ET19" i="5"/>
  <c r="FL19" i="5"/>
  <c r="CW19" i="5"/>
  <c r="IE19" i="5"/>
  <c r="NX19" i="5" s="1"/>
  <c r="GA11" i="5"/>
  <c r="GD11" i="5"/>
  <c r="GG11" i="5"/>
  <c r="FO11" i="5"/>
  <c r="FR11" i="5"/>
  <c r="EZ11" i="5"/>
  <c r="DU11" i="5"/>
  <c r="ET11" i="5"/>
  <c r="FL11" i="5"/>
  <c r="CW11" i="5"/>
  <c r="IE11" i="5"/>
  <c r="HK154" i="5"/>
  <c r="HR154" i="5" s="1"/>
  <c r="HK140" i="5"/>
  <c r="HR140" i="5" s="1"/>
  <c r="HK132" i="5"/>
  <c r="HR132" i="5" s="1"/>
  <c r="HK117" i="5"/>
  <c r="HR117" i="5" s="1"/>
  <c r="HK77" i="5"/>
  <c r="HR77" i="5" s="1"/>
  <c r="HK53" i="5"/>
  <c r="HR53" i="5" s="1"/>
  <c r="HK29" i="5"/>
  <c r="HR29" i="5" s="1"/>
  <c r="HK5" i="5"/>
  <c r="HR5" i="5" s="1"/>
  <c r="IE159" i="5"/>
  <c r="GD159" i="5"/>
  <c r="GG159" i="5"/>
  <c r="FR159" i="5"/>
  <c r="FL159" i="5"/>
  <c r="GA159" i="5"/>
  <c r="FO159" i="5"/>
  <c r="DU159" i="5"/>
  <c r="ET159" i="5"/>
  <c r="CW159" i="5"/>
  <c r="EZ159" i="5"/>
  <c r="FG159" i="5"/>
  <c r="IE137" i="5"/>
  <c r="GA137" i="5"/>
  <c r="FO137" i="5"/>
  <c r="GD137" i="5"/>
  <c r="GG137" i="5"/>
  <c r="FR137" i="5"/>
  <c r="EZ137" i="5"/>
  <c r="CW137" i="5"/>
  <c r="FG137" i="5"/>
  <c r="FL137" i="5"/>
  <c r="DU137" i="5"/>
  <c r="ET137" i="5"/>
  <c r="EC129" i="5"/>
  <c r="ED129" i="5" s="1"/>
  <c r="CT129" i="5"/>
  <c r="GG114" i="5"/>
  <c r="FO114" i="5"/>
  <c r="FR114" i="5"/>
  <c r="FG114" i="5"/>
  <c r="GA114" i="5"/>
  <c r="GD114" i="5"/>
  <c r="DU114" i="5"/>
  <c r="ET114" i="5"/>
  <c r="FL114" i="5"/>
  <c r="CW114" i="5"/>
  <c r="IE114" i="5"/>
  <c r="EZ106" i="5"/>
  <c r="IE98" i="5"/>
  <c r="NX98" i="5" s="1"/>
  <c r="GD98" i="5"/>
  <c r="GG98" i="5"/>
  <c r="FL98" i="5"/>
  <c r="FO98" i="5"/>
  <c r="FR98" i="5"/>
  <c r="GA98" i="5"/>
  <c r="EZ98" i="5"/>
  <c r="CW98" i="5"/>
  <c r="FG98" i="5"/>
  <c r="DU98" i="5"/>
  <c r="ET98" i="5"/>
  <c r="FO82" i="5"/>
  <c r="FR82" i="5"/>
  <c r="GG82" i="5"/>
  <c r="GA82" i="5"/>
  <c r="GD82" i="5"/>
  <c r="CW82" i="5"/>
  <c r="FG82" i="5"/>
  <c r="FL82" i="5"/>
  <c r="DU82" i="5"/>
  <c r="ET82" i="5"/>
  <c r="IE82" i="5"/>
  <c r="NX82" i="5" s="1"/>
  <c r="FL74" i="5"/>
  <c r="EZ74" i="5"/>
  <c r="FG74" i="5"/>
  <c r="CW74" i="5"/>
  <c r="IE74" i="5"/>
  <c r="NX74" i="5" s="1"/>
  <c r="FR66" i="5"/>
  <c r="FL66" i="5"/>
  <c r="EZ66" i="5"/>
  <c r="GG66" i="5"/>
  <c r="GD66" i="5"/>
  <c r="FO66" i="5"/>
  <c r="CW66" i="5"/>
  <c r="FG66" i="5"/>
  <c r="DU66" i="5"/>
  <c r="ET66" i="5"/>
  <c r="IE66" i="5"/>
  <c r="GG58" i="5"/>
  <c r="FO58" i="5"/>
  <c r="FR58" i="5"/>
  <c r="GA58" i="5"/>
  <c r="GD58" i="5"/>
  <c r="EZ58" i="5"/>
  <c r="FG58" i="5"/>
  <c r="DU58" i="5"/>
  <c r="FL58" i="5"/>
  <c r="ET58" i="5"/>
  <c r="CW58" i="5"/>
  <c r="IE58" i="5"/>
  <c r="NX58" i="5" s="1"/>
  <c r="GD50" i="5"/>
  <c r="FO50" i="5"/>
  <c r="FR50" i="5"/>
  <c r="FG50" i="5"/>
  <c r="GG50" i="5"/>
  <c r="FL50" i="5"/>
  <c r="GA50" i="5"/>
  <c r="CW50" i="5"/>
  <c r="DU50" i="5"/>
  <c r="ET50" i="5"/>
  <c r="IE50" i="5"/>
  <c r="GA26" i="5"/>
  <c r="GD26" i="5"/>
  <c r="GG26" i="5"/>
  <c r="FO26" i="5"/>
  <c r="FR26" i="5"/>
  <c r="EZ26" i="5"/>
  <c r="CW26" i="5"/>
  <c r="DU26" i="5"/>
  <c r="ET26" i="5"/>
  <c r="FL26" i="5"/>
  <c r="IE26" i="5"/>
  <c r="NX26" i="5" s="1"/>
  <c r="GA18" i="5"/>
  <c r="GD18" i="5"/>
  <c r="FL18" i="5"/>
  <c r="GG18" i="5"/>
  <c r="FO18" i="5"/>
  <c r="FR18" i="5"/>
  <c r="EZ18" i="5"/>
  <c r="DU18" i="5"/>
  <c r="FG18" i="5"/>
  <c r="ET18" i="5"/>
  <c r="CW18" i="5"/>
  <c r="IE18" i="5"/>
  <c r="NX18" i="5" s="1"/>
  <c r="GD10" i="5"/>
  <c r="GG10" i="5"/>
  <c r="FO10" i="5"/>
  <c r="FR10" i="5"/>
  <c r="GA10" i="5"/>
  <c r="EZ10" i="5"/>
  <c r="CW10" i="5"/>
  <c r="DU10" i="5"/>
  <c r="FL10" i="5"/>
  <c r="ET10" i="5"/>
  <c r="IE10" i="5"/>
  <c r="HK184" i="5"/>
  <c r="HR184" i="5" s="1"/>
  <c r="HK161" i="5"/>
  <c r="HR161" i="5" s="1"/>
  <c r="HK153" i="5"/>
  <c r="HR153" i="5" s="1"/>
  <c r="HK116" i="5"/>
  <c r="HR116" i="5" s="1"/>
  <c r="HK68" i="5"/>
  <c r="HR68" i="5" s="1"/>
  <c r="HK28" i="5"/>
  <c r="HR28" i="5" s="1"/>
  <c r="IE189" i="5"/>
  <c r="GG189" i="5"/>
  <c r="FR189" i="5"/>
  <c r="FL189" i="5"/>
  <c r="GA189" i="5"/>
  <c r="FO189" i="5"/>
  <c r="GD189" i="5"/>
  <c r="EZ189" i="5"/>
  <c r="CW189" i="5"/>
  <c r="DU189" i="5"/>
  <c r="ET189" i="5"/>
  <c r="FG189" i="5"/>
  <c r="FO158" i="5"/>
  <c r="FR158" i="5"/>
  <c r="GG158" i="5"/>
  <c r="GD158" i="5"/>
  <c r="IE158" i="5"/>
  <c r="EZ158" i="5"/>
  <c r="FG158" i="5"/>
  <c r="DU158" i="5"/>
  <c r="ET158" i="5"/>
  <c r="CW158" i="5"/>
  <c r="FL158" i="5"/>
  <c r="IE136" i="5"/>
  <c r="GD136" i="5"/>
  <c r="GG136" i="5"/>
  <c r="FO136" i="5"/>
  <c r="FR136" i="5"/>
  <c r="CW136" i="5"/>
  <c r="FG136" i="5"/>
  <c r="FL136" i="5"/>
  <c r="DU136" i="5"/>
  <c r="ET136" i="5"/>
  <c r="FR128" i="5"/>
  <c r="GG128" i="5"/>
  <c r="GD128" i="5"/>
  <c r="IE128" i="5"/>
  <c r="FL128" i="5"/>
  <c r="DU128" i="5"/>
  <c r="ET128" i="5"/>
  <c r="FO128" i="5"/>
  <c r="EZ128" i="5"/>
  <c r="CW128" i="5"/>
  <c r="FG128" i="5"/>
  <c r="FL113" i="5"/>
  <c r="FO113" i="5"/>
  <c r="GG113" i="5"/>
  <c r="FR113" i="5"/>
  <c r="GD113" i="5"/>
  <c r="EZ113" i="5"/>
  <c r="FG113" i="5"/>
  <c r="CW113" i="5"/>
  <c r="DU113" i="5"/>
  <c r="ET113" i="5"/>
  <c r="IE113" i="5"/>
  <c r="FR105" i="5"/>
  <c r="FL105" i="5"/>
  <c r="GG105" i="5"/>
  <c r="GD105" i="5"/>
  <c r="FO105" i="5"/>
  <c r="EZ105" i="5"/>
  <c r="FG105" i="5"/>
  <c r="DU105" i="5"/>
  <c r="CW105" i="5"/>
  <c r="ET105" i="5"/>
  <c r="IE105" i="5"/>
  <c r="IE97" i="5"/>
  <c r="FO97" i="5"/>
  <c r="FR97" i="5"/>
  <c r="GD97" i="5"/>
  <c r="GG97" i="5"/>
  <c r="DU97" i="5"/>
  <c r="ET97" i="5"/>
  <c r="EZ97" i="5"/>
  <c r="FG97" i="5"/>
  <c r="CW97" i="5"/>
  <c r="IE89" i="5"/>
  <c r="NX89" i="5" s="1"/>
  <c r="GG89" i="5"/>
  <c r="FR89" i="5"/>
  <c r="GD89" i="5"/>
  <c r="FO89" i="5"/>
  <c r="DU89" i="5"/>
  <c r="CW89" i="5"/>
  <c r="ET89" i="5"/>
  <c r="FG89" i="5"/>
  <c r="FL89" i="5"/>
  <c r="GD81" i="5"/>
  <c r="FO81" i="5"/>
  <c r="GG81" i="5"/>
  <c r="FR81" i="5"/>
  <c r="FL81" i="5"/>
  <c r="DU81" i="5"/>
  <c r="ET81" i="5"/>
  <c r="CW81" i="5"/>
  <c r="EZ81" i="5"/>
  <c r="FG81" i="5"/>
  <c r="IE81" i="5"/>
  <c r="GA65" i="5"/>
  <c r="FL65" i="5"/>
  <c r="FO65" i="5"/>
  <c r="GD65" i="5"/>
  <c r="GG65" i="5"/>
  <c r="FR65" i="5"/>
  <c r="EZ65" i="5"/>
  <c r="FG65" i="5"/>
  <c r="CW65" i="5"/>
  <c r="DU65" i="5"/>
  <c r="ET65" i="5"/>
  <c r="IE65" i="5"/>
  <c r="FO49" i="5"/>
  <c r="GG49" i="5"/>
  <c r="FR49" i="5"/>
  <c r="GD49" i="5"/>
  <c r="FL49" i="5"/>
  <c r="CW49" i="5"/>
  <c r="DU49" i="5"/>
  <c r="ET49" i="5"/>
  <c r="EZ49" i="5"/>
  <c r="FG49" i="5"/>
  <c r="IE49" i="5"/>
  <c r="IE41" i="5"/>
  <c r="GA41" i="5"/>
  <c r="GD41" i="5"/>
  <c r="GG41" i="5"/>
  <c r="FR41" i="5"/>
  <c r="FL41" i="5"/>
  <c r="FO41" i="5"/>
  <c r="DU41" i="5"/>
  <c r="ET41" i="5"/>
  <c r="EZ41" i="5"/>
  <c r="CW41" i="5"/>
  <c r="FG41" i="5"/>
  <c r="GD33" i="5"/>
  <c r="GG33" i="5"/>
  <c r="FL33" i="5"/>
  <c r="FO33" i="5"/>
  <c r="FR33" i="5"/>
  <c r="EZ33" i="5"/>
  <c r="CW33" i="5"/>
  <c r="FG33" i="5"/>
  <c r="DU33" i="5"/>
  <c r="ET33" i="5"/>
  <c r="IE33" i="5"/>
  <c r="EC9" i="5"/>
  <c r="ED9" i="5" s="1"/>
  <c r="CT9" i="5"/>
  <c r="ND191" i="5"/>
  <c r="RX172" i="5"/>
  <c r="RY172" i="5" s="1"/>
  <c r="RX112" i="5"/>
  <c r="RY112" i="5" s="1"/>
  <c r="RW149" i="5"/>
  <c r="RX142" i="5"/>
  <c r="RY142" i="5" s="1"/>
  <c r="RX158" i="5"/>
  <c r="RY158" i="5" s="1"/>
  <c r="RX146" i="5"/>
  <c r="RY146" i="5" s="1"/>
  <c r="RX136" i="5"/>
  <c r="RY136" i="5" s="1"/>
  <c r="RW130" i="5"/>
  <c r="RX130" i="5"/>
  <c r="RY130" i="5" s="1"/>
  <c r="RX125" i="5"/>
  <c r="RY125" i="5" s="1"/>
  <c r="RX113" i="5"/>
  <c r="RY113" i="5" s="1"/>
  <c r="RX107" i="5"/>
  <c r="RY107" i="5" s="1"/>
  <c r="RX101" i="5"/>
  <c r="RY101" i="5" s="1"/>
  <c r="RX65" i="5"/>
  <c r="RY65" i="5" s="1"/>
  <c r="RX59" i="5"/>
  <c r="RY59" i="5" s="1"/>
  <c r="RX41" i="5"/>
  <c r="RY41" i="5" s="1"/>
  <c r="RX35" i="5"/>
  <c r="RY35" i="5" s="1"/>
  <c r="RX23" i="5"/>
  <c r="RY23" i="5" s="1"/>
  <c r="RX11" i="5"/>
  <c r="RY11" i="5" s="1"/>
  <c r="RX169" i="5"/>
  <c r="RY169" i="5" s="1"/>
  <c r="RX157" i="5"/>
  <c r="RY157" i="5" s="1"/>
  <c r="RX145" i="5"/>
  <c r="RY145" i="5" s="1"/>
  <c r="RX135" i="5"/>
  <c r="RY135" i="5" s="1"/>
  <c r="RW129" i="5"/>
  <c r="RX129" i="5"/>
  <c r="RY129" i="5" s="1"/>
  <c r="RX124" i="5"/>
  <c r="RY124" i="5" s="1"/>
  <c r="RX106" i="5"/>
  <c r="RY106" i="5" s="1"/>
  <c r="RX100" i="5"/>
  <c r="RY100" i="5" s="1"/>
  <c r="RX88" i="5"/>
  <c r="RY88" i="5" s="1"/>
  <c r="RX70" i="5"/>
  <c r="RY70" i="5" s="1"/>
  <c r="RX52" i="5"/>
  <c r="RY52" i="5" s="1"/>
  <c r="RX46" i="5"/>
  <c r="RY46" i="5" s="1"/>
  <c r="RX34" i="5"/>
  <c r="RY34" i="5" s="1"/>
  <c r="RX28" i="5"/>
  <c r="RY28" i="5" s="1"/>
  <c r="RX22" i="5"/>
  <c r="RY22" i="5" s="1"/>
  <c r="RX16" i="5"/>
  <c r="RY16" i="5" s="1"/>
  <c r="RX10" i="5"/>
  <c r="RY10" i="5" s="1"/>
  <c r="NN10" i="5"/>
  <c r="RX185" i="5"/>
  <c r="RY185" i="5" s="1"/>
  <c r="RX173" i="5"/>
  <c r="RY173" i="5" s="1"/>
  <c r="RX168" i="5"/>
  <c r="RY168" i="5" s="1"/>
  <c r="RX144" i="5"/>
  <c r="RY144" i="5" s="1"/>
  <c r="RX140" i="5"/>
  <c r="RY140" i="5" s="1"/>
  <c r="RX134" i="5"/>
  <c r="RY134" i="5" s="1"/>
  <c r="RX128" i="5"/>
  <c r="RY128" i="5" s="1"/>
  <c r="NO105" i="5"/>
  <c r="RX99" i="5"/>
  <c r="RY99" i="5" s="1"/>
  <c r="RX93" i="5"/>
  <c r="RY93" i="5" s="1"/>
  <c r="RX87" i="5"/>
  <c r="RY87" i="5" s="1"/>
  <c r="NN81" i="5"/>
  <c r="RX75" i="5"/>
  <c r="RY75" i="5" s="1"/>
  <c r="NN69" i="5"/>
  <c r="RX57" i="5"/>
  <c r="RY57" i="5" s="1"/>
  <c r="RX51" i="5"/>
  <c r="RY51" i="5" s="1"/>
  <c r="RX45" i="5"/>
  <c r="RY45" i="5" s="1"/>
  <c r="RX39" i="5"/>
  <c r="RY39" i="5" s="1"/>
  <c r="RX15" i="5"/>
  <c r="RY15" i="5" s="1"/>
  <c r="RW9" i="5"/>
  <c r="IP9" i="5" s="1"/>
  <c r="RX155" i="5"/>
  <c r="RY155" i="5" s="1"/>
  <c r="RX149" i="5"/>
  <c r="RY149" i="5" s="1"/>
  <c r="RX139" i="5"/>
  <c r="RY139" i="5" s="1"/>
  <c r="RX133" i="5"/>
  <c r="RY133" i="5" s="1"/>
  <c r="RX127" i="5"/>
  <c r="RY127" i="5" s="1"/>
  <c r="RX116" i="5"/>
  <c r="RY116" i="5" s="1"/>
  <c r="RX110" i="5"/>
  <c r="RY110" i="5" s="1"/>
  <c r="RX92" i="5"/>
  <c r="RY92" i="5" s="1"/>
  <c r="RX86" i="5"/>
  <c r="RY86" i="5" s="1"/>
  <c r="RX80" i="5"/>
  <c r="RY80" i="5" s="1"/>
  <c r="RX68" i="5"/>
  <c r="RY68" i="5" s="1"/>
  <c r="RX62" i="5"/>
  <c r="RY62" i="5" s="1"/>
  <c r="RX50" i="5"/>
  <c r="RY50" i="5" s="1"/>
  <c r="RX44" i="5"/>
  <c r="RY44" i="5" s="1"/>
  <c r="RX38" i="5"/>
  <c r="RY38" i="5" s="1"/>
  <c r="RX32" i="5"/>
  <c r="RY32" i="5" s="1"/>
  <c r="RX20" i="5"/>
  <c r="RY20" i="5" s="1"/>
  <c r="RX189" i="5"/>
  <c r="RY189" i="5" s="1"/>
  <c r="RX154" i="5"/>
  <c r="RY154" i="5" s="1"/>
  <c r="RX143" i="5"/>
  <c r="RY143" i="5" s="1"/>
  <c r="RX138" i="5"/>
  <c r="RY138" i="5" s="1"/>
  <c r="RX132" i="5"/>
  <c r="RY132" i="5" s="1"/>
  <c r="RX126" i="5"/>
  <c r="RY126" i="5" s="1"/>
  <c r="RX121" i="5"/>
  <c r="RY121" i="5" s="1"/>
  <c r="RX103" i="5"/>
  <c r="RY103" i="5" s="1"/>
  <c r="RX97" i="5"/>
  <c r="RY97" i="5" s="1"/>
  <c r="RX91" i="5"/>
  <c r="RY91" i="5" s="1"/>
  <c r="RX55" i="5"/>
  <c r="RY55" i="5" s="1"/>
  <c r="RX49" i="5"/>
  <c r="RY49" i="5" s="1"/>
  <c r="RX31" i="5"/>
  <c r="RY31" i="5" s="1"/>
  <c r="RX25" i="5"/>
  <c r="RY25" i="5" s="1"/>
  <c r="RX159" i="5"/>
  <c r="RY159" i="5" s="1"/>
  <c r="RX153" i="5"/>
  <c r="RY153" i="5" s="1"/>
  <c r="RX137" i="5"/>
  <c r="RY137" i="5" s="1"/>
  <c r="RW131" i="5"/>
  <c r="IP131" i="5" s="1"/>
  <c r="NQ239" i="5" s="1"/>
  <c r="RX131" i="5"/>
  <c r="RY131" i="5" s="1"/>
  <c r="RX120" i="5"/>
  <c r="RY120" i="5" s="1"/>
  <c r="RX114" i="5"/>
  <c r="RY114" i="5" s="1"/>
  <c r="RX108" i="5"/>
  <c r="RY108" i="5" s="1"/>
  <c r="RX102" i="5"/>
  <c r="RY102" i="5" s="1"/>
  <c r="RX96" i="5"/>
  <c r="RY96" i="5" s="1"/>
  <c r="RX90" i="5"/>
  <c r="RY90" i="5" s="1"/>
  <c r="RX84" i="5"/>
  <c r="RY84" i="5" s="1"/>
  <c r="RX78" i="5"/>
  <c r="RY78" i="5" s="1"/>
  <c r="RX72" i="5"/>
  <c r="RY72" i="5" s="1"/>
  <c r="RX66" i="5"/>
  <c r="RY66" i="5" s="1"/>
  <c r="RX60" i="5"/>
  <c r="RY60" i="5" s="1"/>
  <c r="RX54" i="5"/>
  <c r="RY54" i="5" s="1"/>
  <c r="RX42" i="5"/>
  <c r="RY42" i="5" s="1"/>
  <c r="RX30" i="5"/>
  <c r="RY30" i="5" s="1"/>
  <c r="RW12" i="5"/>
  <c r="IP12" i="5" s="1"/>
  <c r="RX12" i="5"/>
  <c r="RY12" i="5" s="1"/>
  <c r="HR92" i="5"/>
  <c r="HR66" i="5"/>
  <c r="ND166" i="5"/>
  <c r="C17" i="30"/>
  <c r="RX27" i="5"/>
  <c r="RY27" i="5" s="1"/>
  <c r="RX98" i="5"/>
  <c r="RY98" i="5" s="1"/>
  <c r="RX74" i="5"/>
  <c r="RY74" i="5" s="1"/>
  <c r="RX56" i="5"/>
  <c r="RY56" i="5" s="1"/>
  <c r="RX26" i="5"/>
  <c r="RY26" i="5" s="1"/>
  <c r="RX115" i="5"/>
  <c r="RY115" i="5" s="1"/>
  <c r="RX109" i="5"/>
  <c r="RY109" i="5" s="1"/>
  <c r="RX85" i="5"/>
  <c r="RY85" i="5" s="1"/>
  <c r="RX79" i="5"/>
  <c r="RY79" i="5" s="1"/>
  <c r="RX73" i="5"/>
  <c r="RY73" i="5" s="1"/>
  <c r="RX67" i="5"/>
  <c r="RY67" i="5" s="1"/>
  <c r="RX37" i="5"/>
  <c r="RY37" i="5" s="1"/>
  <c r="RX19" i="5"/>
  <c r="RY19" i="5" s="1"/>
  <c r="RX48" i="5"/>
  <c r="RY48" i="5" s="1"/>
  <c r="RX36" i="5"/>
  <c r="RY36" i="5" s="1"/>
  <c r="RX24" i="5"/>
  <c r="RY24" i="5" s="1"/>
  <c r="RX18" i="5"/>
  <c r="RY18" i="5" s="1"/>
  <c r="RX89" i="5"/>
  <c r="RY89" i="5" s="1"/>
  <c r="RX83" i="5"/>
  <c r="RY83" i="5" s="1"/>
  <c r="RX77" i="5"/>
  <c r="RY77" i="5" s="1"/>
  <c r="RX71" i="5"/>
  <c r="RY71" i="5" s="1"/>
  <c r="RX53" i="5"/>
  <c r="RY53" i="5" s="1"/>
  <c r="RX47" i="5"/>
  <c r="RY47" i="5" s="1"/>
  <c r="RX29" i="5"/>
  <c r="RY29" i="5" s="1"/>
  <c r="RX17" i="5"/>
  <c r="RY17" i="5" s="1"/>
  <c r="RX94" i="5"/>
  <c r="RY94" i="5" s="1"/>
  <c r="RX82" i="5"/>
  <c r="RY82" i="5" s="1"/>
  <c r="RX76" i="5"/>
  <c r="RY76" i="5" s="1"/>
  <c r="RX64" i="5"/>
  <c r="RY64" i="5" s="1"/>
  <c r="RX58" i="5"/>
  <c r="RY58" i="5" s="1"/>
  <c r="RX13" i="5"/>
  <c r="RY13" i="5" s="1"/>
  <c r="RX8" i="5"/>
  <c r="RY8" i="5" s="1"/>
  <c r="RX6" i="5"/>
  <c r="RY6" i="5" s="1"/>
  <c r="RX5" i="5"/>
  <c r="RY5" i="5" s="1"/>
  <c r="RX4" i="5"/>
  <c r="RY4" i="5" s="1"/>
  <c r="RX7" i="5"/>
  <c r="RY7" i="5" s="1"/>
  <c r="RW107" i="5"/>
  <c r="RW95" i="5"/>
  <c r="RW23" i="5"/>
  <c r="IP23" i="5" s="1"/>
  <c r="RW52" i="5"/>
  <c r="IP52" i="5" s="1"/>
  <c r="RW34" i="5"/>
  <c r="IP34" i="5" s="1"/>
  <c r="RW22" i="5"/>
  <c r="IP22" i="5" s="1"/>
  <c r="RW16" i="5"/>
  <c r="RW93" i="5"/>
  <c r="IP93" i="5" s="1"/>
  <c r="RW75" i="5"/>
  <c r="IP75" i="5" s="1"/>
  <c r="JE74" i="5" s="1"/>
  <c r="RW57" i="5"/>
  <c r="RW45" i="5"/>
  <c r="IP45" i="5" s="1"/>
  <c r="RW39" i="5"/>
  <c r="IP39" i="5" s="1"/>
  <c r="RW15" i="5"/>
  <c r="IP15" i="5" s="1"/>
  <c r="RW104" i="5"/>
  <c r="IP104" i="5" s="1"/>
  <c r="NQ237" i="5" s="1"/>
  <c r="RW86" i="5"/>
  <c r="IP86" i="5" s="1"/>
  <c r="RW80" i="5"/>
  <c r="IP80" i="5" s="1"/>
  <c r="RW62" i="5"/>
  <c r="RW44" i="5"/>
  <c r="IP44" i="5" s="1"/>
  <c r="RW20" i="5"/>
  <c r="IP20" i="5" s="1"/>
  <c r="RW14" i="5"/>
  <c r="RW31" i="5"/>
  <c r="IP31" i="5" s="1"/>
  <c r="RW25" i="5"/>
  <c r="IP25" i="5" s="1"/>
  <c r="RW84" i="5"/>
  <c r="IP84" i="5" s="1"/>
  <c r="RW60" i="5"/>
  <c r="IP60" i="5" s="1"/>
  <c r="RW54" i="5"/>
  <c r="IP54" i="5" s="1"/>
  <c r="RW42" i="5"/>
  <c r="IP42" i="5" s="1"/>
  <c r="RW30" i="5"/>
  <c r="IP30" i="5" s="1"/>
  <c r="RW6" i="5"/>
  <c r="IP6" i="5" s="1"/>
  <c r="MY5" i="5"/>
  <c r="NR82" i="5"/>
  <c r="NR76" i="5"/>
  <c r="NN64" i="5"/>
  <c r="NN58" i="5"/>
  <c r="MY4" i="5"/>
  <c r="NR27" i="5"/>
  <c r="NN98" i="5"/>
  <c r="NN56" i="5"/>
  <c r="NN26" i="5"/>
  <c r="NN115" i="5"/>
  <c r="NR109" i="5"/>
  <c r="NN85" i="5"/>
  <c r="NR79" i="5"/>
  <c r="NN73" i="5"/>
  <c r="NN67" i="5"/>
  <c r="NN37" i="5"/>
  <c r="NN19" i="5"/>
  <c r="NN13" i="5"/>
  <c r="NN7" i="5"/>
  <c r="NR48" i="5"/>
  <c r="NR36" i="5"/>
  <c r="NR24" i="5"/>
  <c r="NR18" i="5"/>
  <c r="MY7" i="5"/>
  <c r="NZ23" i="5"/>
  <c r="CJ23" i="5" s="1"/>
  <c r="NN82" i="5"/>
  <c r="NN76" i="5"/>
  <c r="NN74" i="5"/>
  <c r="NN48" i="5"/>
  <c r="NN36" i="5"/>
  <c r="NN24" i="5"/>
  <c r="NN18" i="5"/>
  <c r="NN4" i="5"/>
  <c r="NR67" i="5"/>
  <c r="NR29" i="5"/>
  <c r="NZ34" i="5"/>
  <c r="NR4" i="5"/>
  <c r="NR85" i="5"/>
  <c r="NR115" i="5"/>
  <c r="NR47" i="5"/>
  <c r="NR71" i="5"/>
  <c r="NR77" i="5"/>
  <c r="NZ93" i="5"/>
  <c r="NZ75" i="5"/>
  <c r="NZ39" i="5"/>
  <c r="NO115" i="5"/>
  <c r="NO109" i="5"/>
  <c r="NO89" i="5"/>
  <c r="NO85" i="5"/>
  <c r="NO83" i="5"/>
  <c r="NO79" i="5"/>
  <c r="NO77" i="5"/>
  <c r="NO73" i="5"/>
  <c r="NO71" i="5"/>
  <c r="NO67" i="5"/>
  <c r="NO53" i="5"/>
  <c r="NO47" i="5"/>
  <c r="NO37" i="5"/>
  <c r="NO29" i="5"/>
  <c r="NO27" i="5"/>
  <c r="NO21" i="5"/>
  <c r="NO19" i="5"/>
  <c r="NO13" i="5"/>
  <c r="NO7" i="5"/>
  <c r="NO5" i="5"/>
  <c r="NR5" i="5"/>
  <c r="NR37" i="5"/>
  <c r="NZ62" i="5"/>
  <c r="CJ62" i="5" s="1"/>
  <c r="NZ44" i="5"/>
  <c r="CJ44" i="5" s="1"/>
  <c r="NZ20" i="5"/>
  <c r="CJ20" i="5" s="1"/>
  <c r="NN109" i="5"/>
  <c r="NN89" i="5"/>
  <c r="NN83" i="5"/>
  <c r="NN79" i="5"/>
  <c r="NN77" i="5"/>
  <c r="NN71" i="5"/>
  <c r="NN53" i="5"/>
  <c r="NN47" i="5"/>
  <c r="NN29" i="5"/>
  <c r="NN27" i="5"/>
  <c r="NN5" i="5"/>
  <c r="NR26" i="5"/>
  <c r="NR53" i="5"/>
  <c r="NX73" i="5"/>
  <c r="NZ31" i="5"/>
  <c r="NZ25" i="5"/>
  <c r="NR89" i="5"/>
  <c r="NR13" i="5"/>
  <c r="NR56" i="5"/>
  <c r="NZ42" i="5"/>
  <c r="NZ30" i="5"/>
  <c r="NZ6" i="5"/>
  <c r="CJ6" i="5" s="1"/>
  <c r="NO98" i="5"/>
  <c r="NO82" i="5"/>
  <c r="NO76" i="5"/>
  <c r="NO74" i="5"/>
  <c r="NO64" i="5"/>
  <c r="NO58" i="5"/>
  <c r="NO56" i="5"/>
  <c r="NO48" i="5"/>
  <c r="NO36" i="5"/>
  <c r="NO26" i="5"/>
  <c r="NO24" i="5"/>
  <c r="NO18" i="5"/>
  <c r="NO4" i="5"/>
  <c r="NR83" i="5"/>
  <c r="NR98" i="5"/>
  <c r="NR19" i="5"/>
  <c r="NR64" i="5"/>
  <c r="NR73" i="5"/>
  <c r="NR21" i="5"/>
  <c r="NR58" i="5"/>
  <c r="NZ107" i="5"/>
  <c r="NZ95" i="5"/>
  <c r="NZ57" i="5"/>
  <c r="CJ57" i="5" s="1"/>
  <c r="NZ104" i="5"/>
  <c r="NZ84" i="5"/>
  <c r="OQ84" i="5" s="1"/>
  <c r="NZ80" i="5"/>
  <c r="OG80" i="5" s="1"/>
  <c r="NZ60" i="5"/>
  <c r="NZ52" i="5"/>
  <c r="NZ22" i="5"/>
  <c r="CJ22" i="5" s="1"/>
  <c r="NZ16" i="5"/>
  <c r="NZ14" i="5"/>
  <c r="ND61" i="5"/>
  <c r="E17" i="30"/>
  <c r="NX247" i="5"/>
  <c r="NX245" i="5"/>
  <c r="NX243" i="5"/>
  <c r="NX241" i="5"/>
  <c r="NX237" i="5"/>
  <c r="NX235" i="5"/>
  <c r="NX221" i="5"/>
  <c r="NX217" i="5"/>
  <c r="NX186" i="5"/>
  <c r="NX184" i="5"/>
  <c r="NX182" i="5"/>
  <c r="NX178" i="5"/>
  <c r="NX167" i="5"/>
  <c r="NX163" i="5"/>
  <c r="NX161" i="5"/>
  <c r="NX151" i="5"/>
  <c r="NX147" i="5"/>
  <c r="NX141" i="5"/>
  <c r="NX122" i="5"/>
  <c r="NX118" i="5"/>
  <c r="NX40" i="5"/>
  <c r="NX248" i="5"/>
  <c r="NX246" i="5"/>
  <c r="NX244" i="5"/>
  <c r="NX240" i="5"/>
  <c r="NX236" i="5"/>
  <c r="NX220" i="5"/>
  <c r="NX218" i="5"/>
  <c r="NX216" i="5"/>
  <c r="NX215" i="5"/>
  <c r="NX214" i="5"/>
  <c r="NX207" i="5"/>
  <c r="NX202" i="5"/>
  <c r="NX192" i="5"/>
  <c r="NX191" i="5"/>
  <c r="NX187" i="5"/>
  <c r="NX183" i="5"/>
  <c r="NX166" i="5"/>
  <c r="NX160" i="5"/>
  <c r="NX123" i="5"/>
  <c r="NX119" i="5"/>
  <c r="NX117" i="5"/>
  <c r="NX111" i="5"/>
  <c r="NX61" i="5"/>
  <c r="NX43" i="5"/>
  <c r="NR224" i="5"/>
  <c r="NR220" i="5"/>
  <c r="NR238" i="5"/>
  <c r="NR202" i="5"/>
  <c r="NE247" i="5"/>
  <c r="HK247" i="5" s="1"/>
  <c r="NE245" i="5"/>
  <c r="HK245" i="5" s="1"/>
  <c r="NE244" i="5"/>
  <c r="HK244" i="5" s="1"/>
  <c r="NE241" i="5"/>
  <c r="HK241" i="5" s="1"/>
  <c r="NE238" i="5"/>
  <c r="HK238" i="5" s="1"/>
  <c r="NE236" i="5"/>
  <c r="HK236" i="5" s="1"/>
  <c r="NE235" i="5"/>
  <c r="HK235" i="5" s="1"/>
  <c r="NE230" i="5"/>
  <c r="HK230" i="5" s="1"/>
  <c r="HR230" i="5" s="1"/>
  <c r="NE229" i="5"/>
  <c r="HK229" i="5" s="1"/>
  <c r="NE227" i="5"/>
  <c r="HK227" i="5" s="1"/>
  <c r="NE223" i="5"/>
  <c r="HK223" i="5" s="1"/>
  <c r="NE221" i="5"/>
  <c r="HK221" i="5" s="1"/>
  <c r="NE220" i="5"/>
  <c r="HK220" i="5" s="1"/>
  <c r="NS43" i="5"/>
  <c r="NU43" i="5" s="1"/>
  <c r="NS40" i="5"/>
  <c r="NU40" i="5" s="1"/>
  <c r="NS61" i="5"/>
  <c r="NU61" i="5" s="1"/>
  <c r="MS45" i="5"/>
  <c r="MS15" i="5"/>
  <c r="MS244" i="5"/>
  <c r="MS227" i="5"/>
  <c r="MR111" i="5"/>
  <c r="HJ111" i="5" s="1"/>
  <c r="MR230" i="5"/>
  <c r="MS18" i="5"/>
  <c r="MS236" i="5"/>
  <c r="MR218" i="5"/>
  <c r="HJ218" i="5" s="1"/>
  <c r="MS123" i="5"/>
  <c r="MR66" i="5"/>
  <c r="MS180" i="5"/>
  <c r="MR177" i="5"/>
  <c r="MR123" i="5"/>
  <c r="HJ123" i="5" s="1"/>
  <c r="MR117" i="5"/>
  <c r="HJ117" i="5" s="1"/>
  <c r="MS238" i="5"/>
  <c r="MS186" i="5"/>
  <c r="MS58" i="5"/>
  <c r="MS55" i="5"/>
  <c r="MS185" i="5"/>
  <c r="MS168" i="5"/>
  <c r="MS54" i="5"/>
  <c r="MR54" i="5"/>
  <c r="MR239" i="5"/>
  <c r="HJ239" i="5" s="1"/>
  <c r="MS239" i="5"/>
  <c r="MR224" i="5"/>
  <c r="MS224" i="5"/>
  <c r="NE82" i="5"/>
  <c r="MS82" i="5"/>
  <c r="MS242" i="5"/>
  <c r="MR242" i="5"/>
  <c r="MS209" i="5"/>
  <c r="NE150" i="5"/>
  <c r="MR150" i="5"/>
  <c r="MS105" i="5"/>
  <c r="NE105" i="5"/>
  <c r="MR105" i="5"/>
  <c r="MR93" i="5"/>
  <c r="MS93" i="5"/>
  <c r="MR248" i="5"/>
  <c r="HJ248" i="5" s="1"/>
  <c r="MS248" i="5"/>
  <c r="MR226" i="5"/>
  <c r="MS226" i="5"/>
  <c r="MS211" i="5"/>
  <c r="MS165" i="5"/>
  <c r="MS36" i="5"/>
  <c r="MR36" i="5"/>
  <c r="MS232" i="5"/>
  <c r="MS220" i="5"/>
  <c r="MR215" i="5"/>
  <c r="HJ215" i="5" s="1"/>
  <c r="MR131" i="5"/>
  <c r="MS112" i="5"/>
  <c r="MS99" i="5"/>
  <c r="MR96" i="5"/>
  <c r="MS30" i="5"/>
  <c r="MR19" i="5"/>
  <c r="NE135" i="5"/>
  <c r="NE58" i="5"/>
  <c r="MS215" i="5"/>
  <c r="MS247" i="5"/>
  <c r="MS235" i="5"/>
  <c r="MS223" i="5"/>
  <c r="MR204" i="5"/>
  <c r="MR185" i="5"/>
  <c r="MR182" i="5"/>
  <c r="ND182" i="5" s="1"/>
  <c r="MR180" i="5"/>
  <c r="MR165" i="5"/>
  <c r="MS151" i="5"/>
  <c r="MR129" i="5"/>
  <c r="MS118" i="5"/>
  <c r="MR91" i="5"/>
  <c r="MR88" i="5"/>
  <c r="MS76" i="5"/>
  <c r="MR13" i="5"/>
  <c r="MR6" i="5"/>
  <c r="NE171" i="5"/>
  <c r="NE111" i="5"/>
  <c r="NE103" i="5"/>
  <c r="MS245" i="5"/>
  <c r="MS233" i="5"/>
  <c r="MS221" i="5"/>
  <c r="MS210" i="5"/>
  <c r="MS81" i="5"/>
  <c r="MS241" i="5"/>
  <c r="MS229" i="5"/>
  <c r="MR210" i="5"/>
  <c r="MR179" i="5"/>
  <c r="MS156" i="5"/>
  <c r="MS150" i="5"/>
  <c r="MR148" i="5"/>
  <c r="MR136" i="5"/>
  <c r="MR119" i="5"/>
  <c r="HJ119" i="5" s="1"/>
  <c r="MS117" i="5"/>
  <c r="MR103" i="5"/>
  <c r="MS94" i="5"/>
  <c r="MR81" i="5"/>
  <c r="MS60" i="5"/>
  <c r="MR34" i="5"/>
  <c r="NE137" i="5"/>
  <c r="NE136" i="5"/>
  <c r="NE134" i="5"/>
  <c r="NE61" i="5"/>
  <c r="NE13" i="5"/>
  <c r="NE4" i="5"/>
  <c r="MR213" i="5"/>
  <c r="MS217" i="5"/>
  <c r="NE218" i="5"/>
  <c r="HK218" i="5" s="1"/>
  <c r="HR218" i="5" s="1"/>
  <c r="NE217" i="5"/>
  <c r="HK217" i="5" s="1"/>
  <c r="NE216" i="5"/>
  <c r="HK216" i="5" s="1"/>
  <c r="NE214" i="5"/>
  <c r="HK214" i="5" s="1"/>
  <c r="HR214" i="5" s="1"/>
  <c r="MR211" i="5"/>
  <c r="MR209" i="5"/>
  <c r="MS203" i="5"/>
  <c r="MR186" i="5"/>
  <c r="ND186" i="5" s="1"/>
  <c r="NE212" i="5"/>
  <c r="HK212" i="5" s="1"/>
  <c r="NE207" i="5"/>
  <c r="HK207" i="5" s="1"/>
  <c r="NE206" i="5"/>
  <c r="HK206" i="5" s="1"/>
  <c r="HR206" i="5" s="1"/>
  <c r="NE204" i="5"/>
  <c r="HK204" i="5" s="1"/>
  <c r="NE202" i="5"/>
  <c r="HK202" i="5" s="1"/>
  <c r="NE192" i="5"/>
  <c r="HK192" i="5" s="1"/>
  <c r="NE191" i="5"/>
  <c r="HK191" i="5" s="1"/>
  <c r="NE190" i="5"/>
  <c r="NE189" i="5"/>
  <c r="NE188" i="5"/>
  <c r="NE187" i="5"/>
  <c r="NE183" i="5"/>
  <c r="NE182" i="5"/>
  <c r="NE181" i="5"/>
  <c r="NE179" i="5"/>
  <c r="NE178" i="5"/>
  <c r="NE176" i="5"/>
  <c r="NE175" i="5"/>
  <c r="NE174" i="5"/>
  <c r="MR187" i="5"/>
  <c r="ND187" i="5" s="1"/>
  <c r="MR170" i="5"/>
  <c r="MS166" i="5"/>
  <c r="NE166" i="5"/>
  <c r="MS157" i="5"/>
  <c r="MR156" i="5"/>
  <c r="MR151" i="5"/>
  <c r="ND151" i="5" s="1"/>
  <c r="HI151" i="5" s="1"/>
  <c r="NE163" i="5"/>
  <c r="NE162" i="5"/>
  <c r="NE158" i="5"/>
  <c r="NE157" i="5"/>
  <c r="NE152" i="5"/>
  <c r="HK152" i="5" s="1"/>
  <c r="HI152" i="5" s="1"/>
  <c r="MR152" i="5"/>
  <c r="MS144" i="5"/>
  <c r="NE148" i="5"/>
  <c r="NE147" i="5"/>
  <c r="NE145" i="5"/>
  <c r="NE142" i="5"/>
  <c r="MS145" i="5"/>
  <c r="MS143" i="5"/>
  <c r="MR147" i="5"/>
  <c r="ND147" i="5" s="1"/>
  <c r="MS137" i="5"/>
  <c r="MS138" i="5"/>
  <c r="MR135" i="5"/>
  <c r="MR138" i="5"/>
  <c r="MR134" i="5"/>
  <c r="MS132" i="5"/>
  <c r="MR132" i="5"/>
  <c r="MR128" i="5"/>
  <c r="NE128" i="5"/>
  <c r="MS124" i="5"/>
  <c r="NE125" i="5"/>
  <c r="NE122" i="5"/>
  <c r="MR118" i="5"/>
  <c r="HJ118" i="5" s="1"/>
  <c r="MR114" i="5"/>
  <c r="MR112" i="5"/>
  <c r="NE119" i="5"/>
  <c r="NE115" i="5"/>
  <c r="NE114" i="5"/>
  <c r="NE113" i="5"/>
  <c r="MR115" i="5"/>
  <c r="MR108" i="5"/>
  <c r="MR109" i="5"/>
  <c r="NE109" i="5"/>
  <c r="MS106" i="5"/>
  <c r="NE106" i="5"/>
  <c r="MR102" i="5"/>
  <c r="NE102" i="5"/>
  <c r="MS100" i="5"/>
  <c r="MR99" i="5"/>
  <c r="NE100" i="5"/>
  <c r="MR97" i="5"/>
  <c r="NE97" i="5"/>
  <c r="MR94" i="5"/>
  <c r="MR90" i="5"/>
  <c r="MR87" i="5"/>
  <c r="NE87" i="5"/>
  <c r="MR84" i="5"/>
  <c r="MR82" i="5"/>
  <c r="MR78" i="5"/>
  <c r="NE85" i="5"/>
  <c r="NE79" i="5"/>
  <c r="NE78" i="5"/>
  <c r="NE76" i="5"/>
  <c r="MR85" i="5"/>
  <c r="MR79" i="5"/>
  <c r="MS69" i="5"/>
  <c r="NE73" i="5"/>
  <c r="NE69" i="5"/>
  <c r="MR73" i="5"/>
  <c r="MS66" i="5"/>
  <c r="MS64" i="5"/>
  <c r="NE64" i="5"/>
  <c r="NE63" i="5"/>
  <c r="MS63" i="5"/>
  <c r="MS61" i="5"/>
  <c r="MS57" i="5"/>
  <c r="MR55" i="5"/>
  <c r="MS52" i="5"/>
  <c r="MR48" i="5"/>
  <c r="NE48" i="5"/>
  <c r="NE43" i="5"/>
  <c r="MR43" i="5"/>
  <c r="HJ43" i="5" s="1"/>
  <c r="MR42" i="5"/>
  <c r="MS42" i="5"/>
  <c r="MS39" i="5"/>
  <c r="MR37" i="5"/>
  <c r="NE37" i="5"/>
  <c r="NE36" i="5"/>
  <c r="MR33" i="5"/>
  <c r="NE33" i="5"/>
  <c r="MR31" i="5"/>
  <c r="MR30" i="5"/>
  <c r="MR24" i="5"/>
  <c r="NE24" i="5"/>
  <c r="MR21" i="5"/>
  <c r="NE21" i="5"/>
  <c r="NE19" i="5"/>
  <c r="NE18" i="5"/>
  <c r="MR12" i="5"/>
  <c r="MR10" i="5"/>
  <c r="NE10" i="5"/>
  <c r="MR9" i="5"/>
  <c r="MR7" i="5"/>
  <c r="MS6" i="5"/>
  <c r="NE7" i="5"/>
  <c r="MS188" i="5"/>
  <c r="MR183" i="5"/>
  <c r="ND183" i="5" s="1"/>
  <c r="MR178" i="5"/>
  <c r="ND178" i="5" s="1"/>
  <c r="MR163" i="5"/>
  <c r="ND163" i="5" s="1"/>
  <c r="MS161" i="5"/>
  <c r="MR161" i="5"/>
  <c r="ND161" i="5" s="1"/>
  <c r="MR159" i="5"/>
  <c r="MS159" i="5"/>
  <c r="MR140" i="5"/>
  <c r="MS140" i="5"/>
  <c r="MR121" i="5"/>
  <c r="MS121" i="5"/>
  <c r="MS49" i="5"/>
  <c r="MR49" i="5"/>
  <c r="MS25" i="5"/>
  <c r="MR25" i="5"/>
  <c r="MS189" i="5"/>
  <c r="MS176" i="5"/>
  <c r="MS173" i="5"/>
  <c r="MS171" i="5"/>
  <c r="MR168" i="5"/>
  <c r="MS127" i="5"/>
  <c r="MR127" i="5"/>
  <c r="MR120" i="5"/>
  <c r="MS120" i="5"/>
  <c r="MR70" i="5"/>
  <c r="MS70" i="5"/>
  <c r="MS46" i="5"/>
  <c r="MR46" i="5"/>
  <c r="MS22" i="5"/>
  <c r="MR22" i="5"/>
  <c r="MR202" i="5"/>
  <c r="HJ202" i="5" s="1"/>
  <c r="MS174" i="5"/>
  <c r="MR169" i="5"/>
  <c r="MR162" i="5"/>
  <c r="MR160" i="5"/>
  <c r="ND160" i="5" s="1"/>
  <c r="MS160" i="5"/>
  <c r="MR154" i="5"/>
  <c r="MS154" i="5"/>
  <c r="MR126" i="5"/>
  <c r="MS126" i="5"/>
  <c r="MR67" i="5"/>
  <c r="MS67" i="5"/>
  <c r="MR51" i="5"/>
  <c r="MS51" i="5"/>
  <c r="MR27" i="5"/>
  <c r="MS27" i="5"/>
  <c r="MR153" i="5"/>
  <c r="MS153" i="5"/>
  <c r="MR141" i="5"/>
  <c r="ND141" i="5" s="1"/>
  <c r="HI141" i="5" s="1"/>
  <c r="MS141" i="5"/>
  <c r="MR75" i="5"/>
  <c r="MS75" i="5"/>
  <c r="MR72" i="5"/>
  <c r="MS72" i="5"/>
  <c r="MS40" i="5"/>
  <c r="MR40" i="5"/>
  <c r="HJ40" i="5" s="1"/>
  <c r="MS16" i="5"/>
  <c r="MR16" i="5"/>
  <c r="MS28" i="5"/>
  <c r="MR28" i="5"/>
  <c r="MS167" i="5"/>
  <c r="MR167" i="5"/>
  <c r="ND167" i="5" s="1"/>
  <c r="HI167" i="5" s="1"/>
  <c r="MS116" i="5"/>
  <c r="MR116" i="5"/>
  <c r="MR246" i="5"/>
  <c r="HJ246" i="5" s="1"/>
  <c r="MS246" i="5"/>
  <c r="MR240" i="5"/>
  <c r="HJ240" i="5" s="1"/>
  <c r="MS240" i="5"/>
  <c r="MR234" i="5"/>
  <c r="MS234" i="5"/>
  <c r="MR228" i="5"/>
  <c r="MS228" i="5"/>
  <c r="MR222" i="5"/>
  <c r="MS222" i="5"/>
  <c r="MR208" i="5"/>
  <c r="MS208" i="5"/>
  <c r="MS149" i="5"/>
  <c r="MR149" i="5"/>
  <c r="MR193" i="5"/>
  <c r="MS193" i="5"/>
  <c r="MR243" i="5"/>
  <c r="HJ243" i="5" s="1"/>
  <c r="MS243" i="5"/>
  <c r="MR237" i="5"/>
  <c r="HJ237" i="5" s="1"/>
  <c r="MS237" i="5"/>
  <c r="MR231" i="5"/>
  <c r="MS231" i="5"/>
  <c r="MR225" i="5"/>
  <c r="MS225" i="5"/>
  <c r="MR219" i="5"/>
  <c r="MS219" i="5"/>
  <c r="MS184" i="5"/>
  <c r="MR184" i="5"/>
  <c r="ND184" i="5" s="1"/>
  <c r="MS133" i="5"/>
  <c r="MR133" i="5"/>
  <c r="MS216" i="5"/>
  <c r="MR205" i="5"/>
  <c r="MR190" i="5"/>
  <c r="MR172" i="5"/>
  <c r="MR155" i="5"/>
  <c r="MR139" i="5"/>
  <c r="MR122" i="5"/>
  <c r="HJ122" i="5" s="1"/>
  <c r="MR107" i="5"/>
  <c r="MS107" i="5"/>
  <c r="MR98" i="5"/>
  <c r="MS98" i="5"/>
  <c r="MR89" i="5"/>
  <c r="MS89" i="5"/>
  <c r="MR80" i="5"/>
  <c r="MS80" i="5"/>
  <c r="MR71" i="5"/>
  <c r="MS71" i="5"/>
  <c r="MR62" i="5"/>
  <c r="MS62" i="5"/>
  <c r="MR53" i="5"/>
  <c r="MS53" i="5"/>
  <c r="MR207" i="5"/>
  <c r="MR192" i="5"/>
  <c r="HJ192" i="5" s="1"/>
  <c r="MR175" i="5"/>
  <c r="MR158" i="5"/>
  <c r="MR142" i="5"/>
  <c r="MR125" i="5"/>
  <c r="MR47" i="5"/>
  <c r="MS47" i="5"/>
  <c r="MR41" i="5"/>
  <c r="MS41" i="5"/>
  <c r="MR35" i="5"/>
  <c r="MS35" i="5"/>
  <c r="MR29" i="5"/>
  <c r="MS29" i="5"/>
  <c r="MR23" i="5"/>
  <c r="MS23" i="5"/>
  <c r="MR17" i="5"/>
  <c r="MS17" i="5"/>
  <c r="MR11" i="5"/>
  <c r="MS11" i="5"/>
  <c r="MR5" i="5"/>
  <c r="MS5" i="5"/>
  <c r="MS206" i="5"/>
  <c r="MS191" i="5"/>
  <c r="MR110" i="5"/>
  <c r="MS110" i="5"/>
  <c r="MR101" i="5"/>
  <c r="MS101" i="5"/>
  <c r="MR92" i="5"/>
  <c r="MS92" i="5"/>
  <c r="MR83" i="5"/>
  <c r="MS83" i="5"/>
  <c r="MR74" i="5"/>
  <c r="MS74" i="5"/>
  <c r="MR65" i="5"/>
  <c r="MS65" i="5"/>
  <c r="MR56" i="5"/>
  <c r="MS56" i="5"/>
  <c r="MR214" i="5"/>
  <c r="HJ214" i="5" s="1"/>
  <c r="MR212" i="5"/>
  <c r="MR181" i="5"/>
  <c r="MR164" i="5"/>
  <c r="MR146" i="5"/>
  <c r="MR130" i="5"/>
  <c r="MR113" i="5"/>
  <c r="MR104" i="5"/>
  <c r="MS104" i="5"/>
  <c r="MR95" i="5"/>
  <c r="MS95" i="5"/>
  <c r="MR86" i="5"/>
  <c r="MS86" i="5"/>
  <c r="MR77" i="5"/>
  <c r="MS77" i="5"/>
  <c r="MR68" i="5"/>
  <c r="MS68" i="5"/>
  <c r="MR59" i="5"/>
  <c r="MS59" i="5"/>
  <c r="MR50" i="5"/>
  <c r="MS50" i="5"/>
  <c r="MR44" i="5"/>
  <c r="MS44" i="5"/>
  <c r="MR38" i="5"/>
  <c r="MS38" i="5"/>
  <c r="MR32" i="5"/>
  <c r="MS32" i="5"/>
  <c r="MR26" i="5"/>
  <c r="MS26" i="5"/>
  <c r="MR20" i="5"/>
  <c r="MS20" i="5"/>
  <c r="MR14" i="5"/>
  <c r="MS14" i="5"/>
  <c r="MR8" i="5"/>
  <c r="MS8" i="5"/>
  <c r="MS4" i="5"/>
  <c r="HI161" i="5" l="1"/>
  <c r="ND248" i="5"/>
  <c r="HI248" i="5" s="1"/>
  <c r="FL154" i="5"/>
  <c r="CW134" i="5"/>
  <c r="HI247" i="5"/>
  <c r="HR247" i="5"/>
  <c r="ND246" i="5"/>
  <c r="HI246" i="5" s="1"/>
  <c r="GG174" i="5"/>
  <c r="EZ174" i="5"/>
  <c r="FL174" i="5"/>
  <c r="DU174" i="5"/>
  <c r="FO174" i="5"/>
  <c r="ET174" i="5"/>
  <c r="FR174" i="5"/>
  <c r="IE174" i="5"/>
  <c r="NX174" i="5" s="1"/>
  <c r="GD174" i="5"/>
  <c r="GA174" i="5"/>
  <c r="FG174" i="5"/>
  <c r="CW174" i="5"/>
  <c r="NO174" i="5"/>
  <c r="MY174" i="5"/>
  <c r="NR174" i="5"/>
  <c r="NN174" i="5"/>
  <c r="EZ234" i="5"/>
  <c r="IE234" i="5"/>
  <c r="NX234" i="5" s="1"/>
  <c r="DU234" i="5"/>
  <c r="GA234" i="5"/>
  <c r="CW234" i="5"/>
  <c r="FO234" i="5"/>
  <c r="FR234" i="5"/>
  <c r="ET234" i="5"/>
  <c r="GD234" i="5"/>
  <c r="GG234" i="5"/>
  <c r="FL234" i="5"/>
  <c r="FG234" i="5"/>
  <c r="NR234" i="5"/>
  <c r="NN234" i="5"/>
  <c r="NO234" i="5"/>
  <c r="MY234" i="5"/>
  <c r="GG176" i="5"/>
  <c r="IE176" i="5"/>
  <c r="NX176" i="5" s="1"/>
  <c r="FL176" i="5"/>
  <c r="DU176" i="5"/>
  <c r="FR176" i="5"/>
  <c r="GD176" i="5"/>
  <c r="EZ176" i="5"/>
  <c r="GA176" i="5"/>
  <c r="FO176" i="5"/>
  <c r="ET176" i="5"/>
  <c r="FG176" i="5"/>
  <c r="CW176" i="5"/>
  <c r="NR176" i="5"/>
  <c r="NN176" i="5"/>
  <c r="NO176" i="5"/>
  <c r="MY176" i="5"/>
  <c r="HI245" i="5"/>
  <c r="HR245" i="5"/>
  <c r="HI244" i="5"/>
  <c r="HR244" i="5"/>
  <c r="DU134" i="5"/>
  <c r="GD134" i="5"/>
  <c r="IG99" i="5"/>
  <c r="NP99" i="5" s="1"/>
  <c r="RV99" i="5"/>
  <c r="DZ99" i="5"/>
  <c r="BQ99" i="5"/>
  <c r="NE99" i="5" s="1"/>
  <c r="HK99" i="5" s="1"/>
  <c r="HR99" i="5" s="1"/>
  <c r="MM99" i="5"/>
  <c r="NF99" i="5"/>
  <c r="EC99" i="5"/>
  <c r="ED99" i="5" s="1"/>
  <c r="CT99" i="5"/>
  <c r="NZ99" i="5"/>
  <c r="BU99" i="5"/>
  <c r="MY99" i="5" s="1"/>
  <c r="ND243" i="5"/>
  <c r="HI243" i="5" s="1"/>
  <c r="IE175" i="5"/>
  <c r="NX175" i="5" s="1"/>
  <c r="GD175" i="5"/>
  <c r="FG175" i="5"/>
  <c r="GG175" i="5"/>
  <c r="FR175" i="5"/>
  <c r="DU175" i="5"/>
  <c r="GA175" i="5"/>
  <c r="ET175" i="5"/>
  <c r="CW175" i="5"/>
  <c r="FL175" i="5"/>
  <c r="FO175" i="5"/>
  <c r="EZ175" i="5"/>
  <c r="NR175" i="5"/>
  <c r="NN175" i="5"/>
  <c r="NO175" i="5"/>
  <c r="MY175" i="5"/>
  <c r="ET103" i="5"/>
  <c r="GD103" i="5"/>
  <c r="FG106" i="5"/>
  <c r="GG106" i="5"/>
  <c r="FR106" i="5"/>
  <c r="GA242" i="5"/>
  <c r="FL242" i="5"/>
  <c r="DU242" i="5"/>
  <c r="IE242" i="5"/>
  <c r="NX242" i="5" s="1"/>
  <c r="ET242" i="5"/>
  <c r="FG242" i="5"/>
  <c r="EZ242" i="5"/>
  <c r="GG242" i="5"/>
  <c r="GD242" i="5"/>
  <c r="FO242" i="5"/>
  <c r="FR242" i="5"/>
  <c r="CW242" i="5"/>
  <c r="NN242" i="5"/>
  <c r="NO242" i="5"/>
  <c r="NR242" i="5"/>
  <c r="MY242" i="5"/>
  <c r="GA162" i="5"/>
  <c r="ET162" i="5"/>
  <c r="GD162" i="5"/>
  <c r="EZ162" i="5"/>
  <c r="GG162" i="5"/>
  <c r="FG162" i="5"/>
  <c r="IE162" i="5"/>
  <c r="NX162" i="5" s="1"/>
  <c r="FL162" i="5"/>
  <c r="FO162" i="5"/>
  <c r="FR162" i="5"/>
  <c r="DU162" i="5"/>
  <c r="CW162" i="5"/>
  <c r="NR162" i="5"/>
  <c r="NN162" i="5"/>
  <c r="NO162" i="5"/>
  <c r="MY162" i="5"/>
  <c r="HI241" i="5"/>
  <c r="HR241" i="5"/>
  <c r="NR74" i="5"/>
  <c r="ET106" i="5"/>
  <c r="FL106" i="5"/>
  <c r="DU106" i="5"/>
  <c r="CW106" i="5"/>
  <c r="FO106" i="5"/>
  <c r="IE106" i="5"/>
  <c r="NX106" i="5" s="1"/>
  <c r="GD106" i="5"/>
  <c r="ND240" i="5"/>
  <c r="HI240" i="5" s="1"/>
  <c r="ND239" i="5"/>
  <c r="HI238" i="5"/>
  <c r="HR238" i="5"/>
  <c r="CW154" i="5"/>
  <c r="FR154" i="5"/>
  <c r="ET154" i="5"/>
  <c r="FO154" i="5"/>
  <c r="FG154" i="5"/>
  <c r="GG154" i="5"/>
  <c r="DU154" i="5"/>
  <c r="IE154" i="5"/>
  <c r="NX154" i="5" s="1"/>
  <c r="GD154" i="5"/>
  <c r="ND237" i="5"/>
  <c r="HI237" i="5" s="1"/>
  <c r="IE103" i="5"/>
  <c r="NX103" i="5" s="1"/>
  <c r="DU103" i="5"/>
  <c r="FR103" i="5"/>
  <c r="FG134" i="5"/>
  <c r="FR134" i="5"/>
  <c r="GA134" i="5"/>
  <c r="FG103" i="5"/>
  <c r="FL103" i="5"/>
  <c r="FO103" i="5"/>
  <c r="GG134" i="5"/>
  <c r="IE134" i="5"/>
  <c r="NX134" i="5" s="1"/>
  <c r="FO134" i="5"/>
  <c r="ET134" i="5"/>
  <c r="CW103" i="5"/>
  <c r="GA103" i="5"/>
  <c r="BQ239" i="5"/>
  <c r="NE239" i="5" s="1"/>
  <c r="HK239" i="5" s="1"/>
  <c r="HR239" i="5" s="1"/>
  <c r="IE239" i="5"/>
  <c r="NX239" i="5" s="1"/>
  <c r="DZ239" i="5"/>
  <c r="MM239" i="5"/>
  <c r="IG193" i="5"/>
  <c r="NP193" i="5" s="1"/>
  <c r="BQ193" i="5"/>
  <c r="NE193" i="5" s="1"/>
  <c r="HK193" i="5" s="1"/>
  <c r="HR193" i="5" s="1"/>
  <c r="DZ193" i="5"/>
  <c r="NF193" i="5"/>
  <c r="RV193" i="5"/>
  <c r="MM193" i="5"/>
  <c r="EC193" i="5"/>
  <c r="ED193" i="5" s="1"/>
  <c r="CT193" i="5"/>
  <c r="NZ193" i="5"/>
  <c r="EZ17" i="5"/>
  <c r="NN17" i="5"/>
  <c r="NO17" i="5"/>
  <c r="DZ96" i="5"/>
  <c r="BQ96" i="5"/>
  <c r="NE96" i="5" s="1"/>
  <c r="IG96" i="5"/>
  <c r="BT96" i="5" s="1"/>
  <c r="RV96" i="5"/>
  <c r="MM96" i="5"/>
  <c r="NF96" i="5"/>
  <c r="CT124" i="5"/>
  <c r="EC124" i="5"/>
  <c r="ED124" i="5" s="1"/>
  <c r="NZ124" i="5"/>
  <c r="DZ173" i="5"/>
  <c r="BQ173" i="5"/>
  <c r="NE173" i="5" s="1"/>
  <c r="HK173" i="5" s="1"/>
  <c r="HR173" i="5" s="1"/>
  <c r="RV173" i="5"/>
  <c r="NF173" i="5"/>
  <c r="IG173" i="5"/>
  <c r="NP173" i="5" s="1"/>
  <c r="MM173" i="5"/>
  <c r="EC213" i="5"/>
  <c r="ED213" i="5" s="1"/>
  <c r="CT213" i="5"/>
  <c r="NZ213" i="5"/>
  <c r="CT91" i="5"/>
  <c r="EC91" i="5"/>
  <c r="ED91" i="5" s="1"/>
  <c r="NZ91" i="5"/>
  <c r="IG88" i="5"/>
  <c r="NP88" i="5" s="1"/>
  <c r="DZ88" i="5"/>
  <c r="BQ88" i="5"/>
  <c r="NE88" i="5" s="1"/>
  <c r="RV88" i="5"/>
  <c r="MM88" i="5"/>
  <c r="NF88" i="5"/>
  <c r="CT96" i="5"/>
  <c r="EC96" i="5"/>
  <c r="ED96" i="5" s="1"/>
  <c r="NZ96" i="5"/>
  <c r="BQ121" i="5"/>
  <c r="NE121" i="5" s="1"/>
  <c r="HK121" i="5" s="1"/>
  <c r="HR121" i="5" s="1"/>
  <c r="IG121" i="5"/>
  <c r="NP121" i="5" s="1"/>
  <c r="DZ121" i="5"/>
  <c r="RV121" i="5"/>
  <c r="NF121" i="5"/>
  <c r="MM121" i="5"/>
  <c r="CT173" i="5"/>
  <c r="EC173" i="5"/>
  <c r="ED173" i="5" s="1"/>
  <c r="NZ173" i="5"/>
  <c r="NF143" i="5"/>
  <c r="BQ143" i="5"/>
  <c r="NE143" i="5" s="1"/>
  <c r="RV143" i="5"/>
  <c r="IG143" i="5"/>
  <c r="NP143" i="5" s="1"/>
  <c r="DZ143" i="5"/>
  <c r="MM143" i="5"/>
  <c r="EC88" i="5"/>
  <c r="ED88" i="5" s="1"/>
  <c r="CT88" i="5"/>
  <c r="NZ88" i="5"/>
  <c r="IG17" i="5"/>
  <c r="BT17" i="5" s="1"/>
  <c r="DZ17" i="5"/>
  <c r="RV17" i="5"/>
  <c r="BQ17" i="5"/>
  <c r="NE17" i="5" s="1"/>
  <c r="HK17" i="5" s="1"/>
  <c r="HR17" i="5" s="1"/>
  <c r="NF17" i="5"/>
  <c r="IE17" i="5" s="1"/>
  <c r="NX17" i="5" s="1"/>
  <c r="MM17" i="5"/>
  <c r="EC121" i="5"/>
  <c r="ED121" i="5" s="1"/>
  <c r="CT121" i="5"/>
  <c r="NZ121" i="5"/>
  <c r="RV139" i="5"/>
  <c r="IG139" i="5"/>
  <c r="NP139" i="5" s="1"/>
  <c r="NF139" i="5"/>
  <c r="DZ139" i="5"/>
  <c r="BQ139" i="5"/>
  <c r="NE139" i="5" s="1"/>
  <c r="HK139" i="5" s="1"/>
  <c r="HR139" i="5" s="1"/>
  <c r="MM139" i="5"/>
  <c r="EC143" i="5"/>
  <c r="ED143" i="5" s="1"/>
  <c r="CT143" i="5"/>
  <c r="NZ143" i="5"/>
  <c r="BU88" i="5"/>
  <c r="EZ88" i="5" s="1"/>
  <c r="NF124" i="5"/>
  <c r="IE124" i="5" s="1"/>
  <c r="NX124" i="5" s="1"/>
  <c r="BQ124" i="5"/>
  <c r="NE124" i="5" s="1"/>
  <c r="HK124" i="5" s="1"/>
  <c r="HR124" i="5" s="1"/>
  <c r="RV124" i="5"/>
  <c r="IG124" i="5"/>
  <c r="NP124" i="5" s="1"/>
  <c r="DZ124" i="5"/>
  <c r="MM124" i="5"/>
  <c r="EC17" i="5"/>
  <c r="ED17" i="5" s="1"/>
  <c r="CT17" i="5"/>
  <c r="NZ17" i="5"/>
  <c r="BU121" i="5"/>
  <c r="NO121" i="5" s="1"/>
  <c r="NF213" i="5"/>
  <c r="IE213" i="5" s="1"/>
  <c r="NX213" i="5" s="1"/>
  <c r="RV213" i="5"/>
  <c r="BQ213" i="5"/>
  <c r="NE213" i="5" s="1"/>
  <c r="HK213" i="5" s="1"/>
  <c r="HR213" i="5" s="1"/>
  <c r="IG213" i="5"/>
  <c r="NP213" i="5" s="1"/>
  <c r="DZ213" i="5"/>
  <c r="MM213" i="5"/>
  <c r="DZ91" i="5"/>
  <c r="BQ91" i="5"/>
  <c r="NE91" i="5" s="1"/>
  <c r="HK91" i="5" s="1"/>
  <c r="HR91" i="5" s="1"/>
  <c r="RV91" i="5"/>
  <c r="IG91" i="5"/>
  <c r="BT91" i="5" s="1"/>
  <c r="MM91" i="5"/>
  <c r="NF91" i="5"/>
  <c r="EC139" i="5"/>
  <c r="ED139" i="5" s="1"/>
  <c r="CT139" i="5"/>
  <c r="NZ139" i="5"/>
  <c r="BU143" i="5"/>
  <c r="EZ143" i="5" s="1"/>
  <c r="JO155" i="5"/>
  <c r="JE155" i="5"/>
  <c r="NQ154" i="5"/>
  <c r="JO146" i="5"/>
  <c r="JE146" i="5"/>
  <c r="NQ145" i="5"/>
  <c r="JO131" i="5"/>
  <c r="JE131" i="5"/>
  <c r="NQ130" i="5"/>
  <c r="JO86" i="5"/>
  <c r="JE86" i="5"/>
  <c r="NQ85" i="5"/>
  <c r="JO93" i="5"/>
  <c r="JE93" i="5"/>
  <c r="NQ92" i="5"/>
  <c r="JO74" i="5"/>
  <c r="NQ73" i="5"/>
  <c r="FO74" i="5"/>
  <c r="ET74" i="5"/>
  <c r="GD74" i="5"/>
  <c r="DU74" i="5"/>
  <c r="GG74" i="5"/>
  <c r="FR74" i="5"/>
  <c r="JO54" i="5"/>
  <c r="JE54" i="5"/>
  <c r="NQ53" i="5"/>
  <c r="JO31" i="5"/>
  <c r="JE31" i="5"/>
  <c r="NQ30" i="5"/>
  <c r="JO15" i="5"/>
  <c r="JE15" i="5"/>
  <c r="NQ14" i="5"/>
  <c r="JO75" i="5"/>
  <c r="NQ74" i="5"/>
  <c r="JO34" i="5"/>
  <c r="JE34" i="5"/>
  <c r="NQ33" i="5"/>
  <c r="JO6" i="5"/>
  <c r="JE6" i="5"/>
  <c r="NQ5" i="5"/>
  <c r="JO60" i="5"/>
  <c r="JE60" i="5"/>
  <c r="NQ59" i="5"/>
  <c r="JO39" i="5"/>
  <c r="JE39" i="5"/>
  <c r="NQ38" i="5"/>
  <c r="JO52" i="5"/>
  <c r="JE52" i="5"/>
  <c r="NQ51" i="5"/>
  <c r="JE12" i="5"/>
  <c r="JO12" i="5"/>
  <c r="NQ11" i="5"/>
  <c r="JO30" i="5"/>
  <c r="JE30" i="5"/>
  <c r="NQ29" i="5"/>
  <c r="JO20" i="5"/>
  <c r="JE20" i="5"/>
  <c r="NQ19" i="5"/>
  <c r="JE45" i="5"/>
  <c r="JO45" i="5"/>
  <c r="NQ44" i="5"/>
  <c r="JE23" i="5"/>
  <c r="JO23" i="5"/>
  <c r="NQ22" i="5"/>
  <c r="JO9" i="5"/>
  <c r="JE9" i="5"/>
  <c r="NQ8" i="5"/>
  <c r="JO42" i="5"/>
  <c r="JE42" i="5"/>
  <c r="NQ41" i="5"/>
  <c r="JO25" i="5"/>
  <c r="JE25" i="5"/>
  <c r="NQ24" i="5"/>
  <c r="JO44" i="5"/>
  <c r="JE44" i="5"/>
  <c r="NQ43" i="5"/>
  <c r="JO22" i="5"/>
  <c r="JE22" i="5"/>
  <c r="NQ21" i="5"/>
  <c r="JE80" i="5"/>
  <c r="JO80" i="5"/>
  <c r="NQ79" i="5"/>
  <c r="JO104" i="5"/>
  <c r="JE104" i="5"/>
  <c r="NQ103" i="5"/>
  <c r="JO84" i="5"/>
  <c r="JE84" i="5"/>
  <c r="NQ83" i="5"/>
  <c r="JO90" i="5"/>
  <c r="JE90" i="5"/>
  <c r="NQ89" i="5"/>
  <c r="HI236" i="5"/>
  <c r="HR236" i="5"/>
  <c r="HR212" i="5"/>
  <c r="IE212" i="5"/>
  <c r="NX212" i="5" s="1"/>
  <c r="GG212" i="5"/>
  <c r="FR212" i="5"/>
  <c r="FL212" i="5"/>
  <c r="GD212" i="5"/>
  <c r="DU212" i="5"/>
  <c r="GA212" i="5"/>
  <c r="ET212" i="5"/>
  <c r="FO212" i="5"/>
  <c r="CW212" i="5"/>
  <c r="NO212" i="5"/>
  <c r="NR212" i="5"/>
  <c r="NN212" i="5"/>
  <c r="HI184" i="5"/>
  <c r="RV133" i="5"/>
  <c r="IG133" i="5"/>
  <c r="NP133" i="5" s="1"/>
  <c r="DZ133" i="5"/>
  <c r="NF133" i="5"/>
  <c r="BQ133" i="5"/>
  <c r="NE133" i="5" s="1"/>
  <c r="HK133" i="5" s="1"/>
  <c r="HR133" i="5" s="1"/>
  <c r="MM133" i="5"/>
  <c r="EC133" i="5"/>
  <c r="ED133" i="5" s="1"/>
  <c r="CT133" i="5"/>
  <c r="NZ133" i="5"/>
  <c r="BU133" i="5"/>
  <c r="MY133" i="5" s="1"/>
  <c r="BQ108" i="5"/>
  <c r="NE108" i="5" s="1"/>
  <c r="HK108" i="5" s="1"/>
  <c r="HR108" i="5" s="1"/>
  <c r="IG108" i="5"/>
  <c r="BT108" i="5" s="1"/>
  <c r="DZ108" i="5"/>
  <c r="RV108" i="5"/>
  <c r="NF108" i="5"/>
  <c r="MM108" i="5"/>
  <c r="EC108" i="5"/>
  <c r="ED108" i="5" s="1"/>
  <c r="CT108" i="5"/>
  <c r="NZ108" i="5"/>
  <c r="BU108" i="5"/>
  <c r="NN108" i="5" s="1"/>
  <c r="HI186" i="5"/>
  <c r="IG156" i="5"/>
  <c r="NP156" i="5" s="1"/>
  <c r="RV156" i="5"/>
  <c r="DZ156" i="5"/>
  <c r="NF156" i="5"/>
  <c r="IE156" i="5" s="1"/>
  <c r="NX156" i="5" s="1"/>
  <c r="BQ156" i="5"/>
  <c r="NE156" i="5" s="1"/>
  <c r="HK156" i="5" s="1"/>
  <c r="HR156" i="5" s="1"/>
  <c r="MM156" i="5"/>
  <c r="CT156" i="5"/>
  <c r="EC156" i="5"/>
  <c r="ED156" i="5" s="1"/>
  <c r="NZ156" i="5"/>
  <c r="IG94" i="5"/>
  <c r="NP94" i="5" s="1"/>
  <c r="DZ94" i="5"/>
  <c r="RV94" i="5"/>
  <c r="BQ94" i="5"/>
  <c r="NE94" i="5" s="1"/>
  <c r="HK94" i="5" s="1"/>
  <c r="HR94" i="5" s="1"/>
  <c r="NF94" i="5"/>
  <c r="MM94" i="5"/>
  <c r="EC94" i="5"/>
  <c r="ED94" i="5" s="1"/>
  <c r="CT94" i="5"/>
  <c r="NZ94" i="5"/>
  <c r="BU94" i="5"/>
  <c r="MY94" i="5" s="1"/>
  <c r="DZ155" i="5"/>
  <c r="RV155" i="5"/>
  <c r="NF155" i="5"/>
  <c r="BQ155" i="5"/>
  <c r="NE155" i="5" s="1"/>
  <c r="IG155" i="5"/>
  <c r="NP155" i="5" s="1"/>
  <c r="MM155" i="5"/>
  <c r="EC155" i="5"/>
  <c r="ED155" i="5" s="1"/>
  <c r="CT155" i="5"/>
  <c r="NZ155" i="5"/>
  <c r="BU155" i="5"/>
  <c r="MY155" i="5" s="1"/>
  <c r="NF164" i="5"/>
  <c r="IE164" i="5" s="1"/>
  <c r="NX164" i="5" s="1"/>
  <c r="BQ164" i="5"/>
  <c r="NE164" i="5" s="1"/>
  <c r="HK164" i="5" s="1"/>
  <c r="HR164" i="5" s="1"/>
  <c r="IG164" i="5"/>
  <c r="NP164" i="5" s="1"/>
  <c r="DZ164" i="5"/>
  <c r="RV164" i="5"/>
  <c r="MM164" i="5"/>
  <c r="EC164" i="5"/>
  <c r="ED164" i="5" s="1"/>
  <c r="CT164" i="5"/>
  <c r="NZ164" i="5"/>
  <c r="BQ90" i="5"/>
  <c r="NE90" i="5" s="1"/>
  <c r="IG90" i="5"/>
  <c r="BT90" i="5" s="1"/>
  <c r="RV90" i="5"/>
  <c r="DZ90" i="5"/>
  <c r="MM90" i="5"/>
  <c r="NF90" i="5"/>
  <c r="EC90" i="5"/>
  <c r="ED90" i="5" s="1"/>
  <c r="CT90" i="5"/>
  <c r="NZ90" i="5"/>
  <c r="BU90" i="5"/>
  <c r="NO90" i="5" s="1"/>
  <c r="IG168" i="5"/>
  <c r="NP168" i="5" s="1"/>
  <c r="RV168" i="5"/>
  <c r="NF168" i="5"/>
  <c r="BQ168" i="5"/>
  <c r="NE168" i="5" s="1"/>
  <c r="HK168" i="5" s="1"/>
  <c r="HR168" i="5" s="1"/>
  <c r="DZ168" i="5"/>
  <c r="MM168" i="5"/>
  <c r="CT168" i="5"/>
  <c r="EC168" i="5"/>
  <c r="ED168" i="5" s="1"/>
  <c r="NZ168" i="5"/>
  <c r="BU168" i="5"/>
  <c r="EZ168" i="5" s="1"/>
  <c r="IG177" i="5"/>
  <c r="NP177" i="5" s="1"/>
  <c r="DZ177" i="5"/>
  <c r="NF177" i="5"/>
  <c r="IE177" i="5" s="1"/>
  <c r="NX177" i="5" s="1"/>
  <c r="BQ177" i="5"/>
  <c r="NE177" i="5" s="1"/>
  <c r="RV177" i="5"/>
  <c r="HR177" i="5" s="1"/>
  <c r="MM177" i="5"/>
  <c r="EC177" i="5"/>
  <c r="ED177" i="5" s="1"/>
  <c r="CT177" i="5"/>
  <c r="NZ177" i="5"/>
  <c r="EZ177" i="5"/>
  <c r="NN177" i="5"/>
  <c r="NO177" i="5"/>
  <c r="NR177" i="5"/>
  <c r="MY177" i="5"/>
  <c r="IG146" i="5"/>
  <c r="NP146" i="5" s="1"/>
  <c r="DZ146" i="5"/>
  <c r="RV146" i="5"/>
  <c r="NF146" i="5"/>
  <c r="BQ146" i="5"/>
  <c r="NE146" i="5" s="1"/>
  <c r="HK146" i="5" s="1"/>
  <c r="HR146" i="5" s="1"/>
  <c r="MM146" i="5"/>
  <c r="CT146" i="5"/>
  <c r="EC146" i="5"/>
  <c r="ED146" i="5" s="1"/>
  <c r="NZ146" i="5"/>
  <c r="BU146" i="5"/>
  <c r="MY146" i="5" s="1"/>
  <c r="IE207" i="5"/>
  <c r="DZ207" i="5"/>
  <c r="DW207" i="5" s="1"/>
  <c r="HI207" i="5"/>
  <c r="HR207" i="5"/>
  <c r="FL208" i="5"/>
  <c r="GA208" i="5"/>
  <c r="IE208" i="5"/>
  <c r="NX208" i="5" s="1"/>
  <c r="HI235" i="5"/>
  <c r="HR235" i="5"/>
  <c r="CW204" i="5"/>
  <c r="NN204" i="5"/>
  <c r="NO204" i="5"/>
  <c r="HI204" i="5"/>
  <c r="HR204" i="5"/>
  <c r="GD204" i="5"/>
  <c r="FR204" i="5"/>
  <c r="ET204" i="5"/>
  <c r="DU204" i="5"/>
  <c r="FL204" i="5"/>
  <c r="GG204" i="5"/>
  <c r="NR204" i="5"/>
  <c r="DU181" i="5"/>
  <c r="ET181" i="5"/>
  <c r="GA181" i="5"/>
  <c r="FO181" i="5"/>
  <c r="FL181" i="5"/>
  <c r="GD181" i="5"/>
  <c r="FR181" i="5"/>
  <c r="GG181" i="5"/>
  <c r="IE181" i="5"/>
  <c r="NX181" i="5" s="1"/>
  <c r="FG181" i="5"/>
  <c r="CW181" i="5"/>
  <c r="NR181" i="5"/>
  <c r="NN181" i="5"/>
  <c r="NO181" i="5"/>
  <c r="MY181" i="5"/>
  <c r="IG233" i="5"/>
  <c r="NP233" i="5" s="1"/>
  <c r="NF233" i="5"/>
  <c r="IE233" i="5" s="1"/>
  <c r="NX233" i="5" s="1"/>
  <c r="BQ233" i="5"/>
  <c r="NE233" i="5" s="1"/>
  <c r="HK233" i="5" s="1"/>
  <c r="RV233" i="5"/>
  <c r="DZ233" i="5"/>
  <c r="MM233" i="5"/>
  <c r="CT233" i="5"/>
  <c r="EC233" i="5"/>
  <c r="ED233" i="5" s="1"/>
  <c r="NZ233" i="5"/>
  <c r="EZ233" i="5"/>
  <c r="MY233" i="5"/>
  <c r="NR233" i="5"/>
  <c r="NN233" i="5"/>
  <c r="NO233" i="5"/>
  <c r="GG150" i="5"/>
  <c r="FL150" i="5"/>
  <c r="FO150" i="5"/>
  <c r="IE150" i="5"/>
  <c r="NX150" i="5" s="1"/>
  <c r="FR150" i="5"/>
  <c r="EZ150" i="5"/>
  <c r="GA150" i="5"/>
  <c r="DU150" i="5"/>
  <c r="ET150" i="5"/>
  <c r="GD150" i="5"/>
  <c r="CW150" i="5"/>
  <c r="FG150" i="5"/>
  <c r="NO150" i="5"/>
  <c r="MY150" i="5"/>
  <c r="NR150" i="5"/>
  <c r="NN150" i="5"/>
  <c r="IG232" i="5"/>
  <c r="BT232" i="5" s="1"/>
  <c r="NF232" i="5"/>
  <c r="DZ232" i="5"/>
  <c r="RV232" i="5"/>
  <c r="BQ232" i="5"/>
  <c r="NE232" i="5" s="1"/>
  <c r="HK232" i="5" s="1"/>
  <c r="HR232" i="5" s="1"/>
  <c r="MM232" i="5"/>
  <c r="BU232" i="5"/>
  <c r="NN232" i="5" s="1"/>
  <c r="CT232" i="5"/>
  <c r="EC232" i="5"/>
  <c r="ED232" i="5" s="1"/>
  <c r="NZ232" i="5"/>
  <c r="EZ231" i="5"/>
  <c r="IE231" i="5"/>
  <c r="NX231" i="5" s="1"/>
  <c r="ET231" i="5"/>
  <c r="DU231" i="5"/>
  <c r="GD231" i="5"/>
  <c r="FL231" i="5"/>
  <c r="GA231" i="5"/>
  <c r="FR231" i="5"/>
  <c r="FO231" i="5"/>
  <c r="FG231" i="5"/>
  <c r="CW231" i="5"/>
  <c r="NN231" i="5"/>
  <c r="NO231" i="5"/>
  <c r="MY231" i="5"/>
  <c r="NR231" i="5"/>
  <c r="IG170" i="5"/>
  <c r="NP170" i="5" s="1"/>
  <c r="NF170" i="5"/>
  <c r="IE170" i="5" s="1"/>
  <c r="NX170" i="5" s="1"/>
  <c r="BQ170" i="5"/>
  <c r="NE170" i="5" s="1"/>
  <c r="HK170" i="5" s="1"/>
  <c r="HR170" i="5" s="1"/>
  <c r="RV170" i="5"/>
  <c r="DZ170" i="5"/>
  <c r="MM170" i="5"/>
  <c r="EC170" i="5"/>
  <c r="ED170" i="5" s="1"/>
  <c r="CT170" i="5"/>
  <c r="NZ170" i="5"/>
  <c r="EZ170" i="5"/>
  <c r="NR170" i="5"/>
  <c r="MY170" i="5"/>
  <c r="NN170" i="5"/>
  <c r="NO170" i="5"/>
  <c r="EZ230" i="5"/>
  <c r="GG230" i="5"/>
  <c r="FR230" i="5"/>
  <c r="FO230" i="5"/>
  <c r="CW230" i="5"/>
  <c r="NN230" i="5"/>
  <c r="NO230" i="5"/>
  <c r="MY230" i="5"/>
  <c r="NR230" i="5"/>
  <c r="EZ193" i="5"/>
  <c r="NO193" i="5"/>
  <c r="NR193" i="5"/>
  <c r="NN193" i="5"/>
  <c r="MY193" i="5"/>
  <c r="GA229" i="5"/>
  <c r="IE229" i="5"/>
  <c r="NX229" i="5" s="1"/>
  <c r="DU229" i="5"/>
  <c r="FL229" i="5"/>
  <c r="ET229" i="5"/>
  <c r="FG229" i="5"/>
  <c r="EZ229" i="5"/>
  <c r="FR229" i="5"/>
  <c r="GD229" i="5"/>
  <c r="FO229" i="5"/>
  <c r="CW229" i="5"/>
  <c r="NN229" i="5"/>
  <c r="NO229" i="5"/>
  <c r="MY229" i="5"/>
  <c r="NR229" i="5"/>
  <c r="HR229" i="5"/>
  <c r="DU228" i="5"/>
  <c r="GA228" i="5"/>
  <c r="IE228" i="5"/>
  <c r="NX228" i="5" s="1"/>
  <c r="FL228" i="5"/>
  <c r="ET228" i="5"/>
  <c r="FG228" i="5"/>
  <c r="EZ228" i="5"/>
  <c r="GD228" i="5"/>
  <c r="FR228" i="5"/>
  <c r="FO228" i="5"/>
  <c r="CW228" i="5"/>
  <c r="NR228" i="5"/>
  <c r="NN228" i="5"/>
  <c r="NO228" i="5"/>
  <c r="MY228" i="5"/>
  <c r="NF169" i="5"/>
  <c r="IG169" i="5"/>
  <c r="NP169" i="5" s="1"/>
  <c r="DZ169" i="5"/>
  <c r="BQ169" i="5"/>
  <c r="NE169" i="5" s="1"/>
  <c r="HK169" i="5" s="1"/>
  <c r="HR169" i="5" s="1"/>
  <c r="RV169" i="5"/>
  <c r="MM169" i="5"/>
  <c r="EC169" i="5"/>
  <c r="ED169" i="5" s="1"/>
  <c r="CT169" i="5"/>
  <c r="NZ169" i="5"/>
  <c r="BU169" i="5"/>
  <c r="EZ169" i="5" s="1"/>
  <c r="IE227" i="5"/>
  <c r="NX227" i="5" s="1"/>
  <c r="ET227" i="5"/>
  <c r="DU227" i="5"/>
  <c r="FG227" i="5"/>
  <c r="FL227" i="5"/>
  <c r="GA227" i="5"/>
  <c r="EZ227" i="5"/>
  <c r="FR227" i="5"/>
  <c r="FO227" i="5"/>
  <c r="GD227" i="5"/>
  <c r="CW227" i="5"/>
  <c r="NR227" i="5"/>
  <c r="MY227" i="5"/>
  <c r="NN227" i="5"/>
  <c r="NO227" i="5"/>
  <c r="HR227" i="5"/>
  <c r="IE226" i="5"/>
  <c r="NX226" i="5" s="1"/>
  <c r="GA226" i="5"/>
  <c r="ET226" i="5"/>
  <c r="DU226" i="5"/>
  <c r="FL226" i="5"/>
  <c r="FG226" i="5"/>
  <c r="EZ226" i="5"/>
  <c r="FO226" i="5"/>
  <c r="FR226" i="5"/>
  <c r="GD226" i="5"/>
  <c r="CW226" i="5"/>
  <c r="NR226" i="5"/>
  <c r="NN226" i="5"/>
  <c r="NO226" i="5"/>
  <c r="MY226" i="5"/>
  <c r="EZ225" i="5"/>
  <c r="FR225" i="5"/>
  <c r="FO225" i="5"/>
  <c r="GD225" i="5"/>
  <c r="CW225" i="5"/>
  <c r="MY225" i="5"/>
  <c r="NR225" i="5"/>
  <c r="NN225" i="5"/>
  <c r="NO225" i="5"/>
  <c r="EZ224" i="5"/>
  <c r="GD224" i="5"/>
  <c r="GG224" i="5"/>
  <c r="FO224" i="5"/>
  <c r="FR224" i="5"/>
  <c r="CW224" i="5"/>
  <c r="NN224" i="5"/>
  <c r="MY224" i="5"/>
  <c r="NO224" i="5"/>
  <c r="EZ223" i="5"/>
  <c r="GD223" i="5"/>
  <c r="GG223" i="5"/>
  <c r="FR223" i="5"/>
  <c r="FO223" i="5"/>
  <c r="CW223" i="5"/>
  <c r="NN223" i="5"/>
  <c r="NO223" i="5"/>
  <c r="NR223" i="5"/>
  <c r="MY223" i="5"/>
  <c r="IE222" i="5"/>
  <c r="NX222" i="5" s="1"/>
  <c r="GA222" i="5"/>
  <c r="DU222" i="5"/>
  <c r="FL222" i="5"/>
  <c r="ET222" i="5"/>
  <c r="FG222" i="5"/>
  <c r="HR223" i="5"/>
  <c r="EZ222" i="5"/>
  <c r="GD222" i="5"/>
  <c r="GG222" i="5"/>
  <c r="FR222" i="5"/>
  <c r="FO222" i="5"/>
  <c r="CW222" i="5"/>
  <c r="MY222" i="5"/>
  <c r="NN222" i="5"/>
  <c r="NO222" i="5"/>
  <c r="NR222" i="5"/>
  <c r="EZ219" i="5"/>
  <c r="FO219" i="5"/>
  <c r="FR219" i="5"/>
  <c r="GA219" i="5"/>
  <c r="GD219" i="5"/>
  <c r="DU219" i="5"/>
  <c r="FL219" i="5"/>
  <c r="GG219" i="5"/>
  <c r="IE219" i="5"/>
  <c r="NX219" i="5" s="1"/>
  <c r="ET219" i="5"/>
  <c r="FG219" i="5"/>
  <c r="CW219" i="5"/>
  <c r="NN219" i="5"/>
  <c r="NO219" i="5"/>
  <c r="NR219" i="5"/>
  <c r="MY219" i="5"/>
  <c r="EZ213" i="5"/>
  <c r="NN213" i="5"/>
  <c r="NO213" i="5"/>
  <c r="MY213" i="5"/>
  <c r="NR213" i="5"/>
  <c r="HI221" i="5"/>
  <c r="HR221" i="5"/>
  <c r="HI220" i="5"/>
  <c r="HR220" i="5"/>
  <c r="ND218" i="5"/>
  <c r="HI218" i="5" s="1"/>
  <c r="HI217" i="5"/>
  <c r="HR217" i="5"/>
  <c r="HI216" i="5"/>
  <c r="HR216" i="5"/>
  <c r="ND215" i="5"/>
  <c r="HI215" i="5" s="1"/>
  <c r="ND214" i="5"/>
  <c r="HI214" i="5" s="1"/>
  <c r="NR210" i="5"/>
  <c r="IG185" i="5"/>
  <c r="NP185" i="5" s="1"/>
  <c r="DZ185" i="5"/>
  <c r="NF185" i="5"/>
  <c r="BQ185" i="5"/>
  <c r="NE185" i="5" s="1"/>
  <c r="HK185" i="5" s="1"/>
  <c r="HR185" i="5" s="1"/>
  <c r="RV185" i="5"/>
  <c r="MM185" i="5"/>
  <c r="EC185" i="5"/>
  <c r="ED185" i="5" s="1"/>
  <c r="CT185" i="5"/>
  <c r="NZ185" i="5"/>
  <c r="BU185" i="5"/>
  <c r="MY185" i="5" s="1"/>
  <c r="EZ212" i="5"/>
  <c r="FG212" i="5"/>
  <c r="MY212" i="5"/>
  <c r="IE171" i="5"/>
  <c r="NX171" i="5" s="1"/>
  <c r="DU171" i="5"/>
  <c r="ET171" i="5"/>
  <c r="GD171" i="5"/>
  <c r="FO171" i="5"/>
  <c r="GG171" i="5"/>
  <c r="FR171" i="5"/>
  <c r="FL171" i="5"/>
  <c r="CW171" i="5"/>
  <c r="FG171" i="5"/>
  <c r="NN171" i="5"/>
  <c r="NO171" i="5"/>
  <c r="MY171" i="5"/>
  <c r="NR171" i="5"/>
  <c r="IG211" i="5"/>
  <c r="NP211" i="5" s="1"/>
  <c r="NF211" i="5"/>
  <c r="IE211" i="5" s="1"/>
  <c r="NX211" i="5" s="1"/>
  <c r="BQ211" i="5"/>
  <c r="NE211" i="5" s="1"/>
  <c r="HK211" i="5" s="1"/>
  <c r="HR211" i="5" s="1"/>
  <c r="DZ211" i="5"/>
  <c r="RV211" i="5"/>
  <c r="MM211" i="5"/>
  <c r="EC211" i="5"/>
  <c r="ED211" i="5" s="1"/>
  <c r="CT211" i="5"/>
  <c r="NZ211" i="5"/>
  <c r="EZ211" i="5"/>
  <c r="NO211" i="5"/>
  <c r="MY211" i="5"/>
  <c r="NR211" i="5"/>
  <c r="NN211" i="5"/>
  <c r="MM207" i="5"/>
  <c r="BU207" i="5"/>
  <c r="IG207" i="5"/>
  <c r="NP207" i="5" s="1"/>
  <c r="BQ207" i="5"/>
  <c r="IG210" i="5"/>
  <c r="NP210" i="5" s="1"/>
  <c r="NF210" i="5"/>
  <c r="IE210" i="5" s="1"/>
  <c r="NX210" i="5" s="1"/>
  <c r="RV210" i="5"/>
  <c r="BQ210" i="5"/>
  <c r="NE210" i="5" s="1"/>
  <c r="HK210" i="5" s="1"/>
  <c r="HR210" i="5" s="1"/>
  <c r="DZ210" i="5"/>
  <c r="MM210" i="5"/>
  <c r="EC210" i="5"/>
  <c r="ED210" i="5" s="1"/>
  <c r="CT210" i="5"/>
  <c r="NZ210" i="5"/>
  <c r="EZ210" i="5"/>
  <c r="MY210" i="5"/>
  <c r="NN210" i="5"/>
  <c r="NO210" i="5"/>
  <c r="IE190" i="5"/>
  <c r="NX190" i="5" s="1"/>
  <c r="EZ190" i="5"/>
  <c r="GD190" i="5"/>
  <c r="GG190" i="5"/>
  <c r="FL190" i="5"/>
  <c r="DU190" i="5"/>
  <c r="FR190" i="5"/>
  <c r="FO190" i="5"/>
  <c r="ET190" i="5"/>
  <c r="GA190" i="5"/>
  <c r="FG190" i="5"/>
  <c r="CW190" i="5"/>
  <c r="NO190" i="5"/>
  <c r="NN190" i="5"/>
  <c r="MY190" i="5"/>
  <c r="GG180" i="5"/>
  <c r="DU180" i="5"/>
  <c r="CW180" i="5"/>
  <c r="IE180" i="5"/>
  <c r="NX180" i="5" s="1"/>
  <c r="FL180" i="5"/>
  <c r="ET180" i="5"/>
  <c r="FO180" i="5"/>
  <c r="FR180" i="5"/>
  <c r="GA180" i="5"/>
  <c r="GD180" i="5"/>
  <c r="FG180" i="5"/>
  <c r="NN180" i="5"/>
  <c r="NO180" i="5"/>
  <c r="MY180" i="5"/>
  <c r="EZ209" i="5"/>
  <c r="NN209" i="5"/>
  <c r="NO209" i="5"/>
  <c r="MY209" i="5"/>
  <c r="IG209" i="5"/>
  <c r="NP209" i="5" s="1"/>
  <c r="NF209" i="5"/>
  <c r="IE209" i="5" s="1"/>
  <c r="NX209" i="5" s="1"/>
  <c r="DZ209" i="5"/>
  <c r="RV209" i="5"/>
  <c r="BQ209" i="5"/>
  <c r="NE209" i="5" s="1"/>
  <c r="HK209" i="5" s="1"/>
  <c r="HR209" i="5" s="1"/>
  <c r="MM209" i="5"/>
  <c r="EC209" i="5"/>
  <c r="ED209" i="5" s="1"/>
  <c r="CT209" i="5"/>
  <c r="NZ209" i="5"/>
  <c r="NR209" i="5"/>
  <c r="EZ165" i="5"/>
  <c r="NN165" i="5"/>
  <c r="NO165" i="5"/>
  <c r="MY165" i="5"/>
  <c r="NF165" i="5"/>
  <c r="IE165" i="5" s="1"/>
  <c r="NX165" i="5" s="1"/>
  <c r="DZ165" i="5"/>
  <c r="IG165" i="5"/>
  <c r="BT165" i="5" s="1"/>
  <c r="RV165" i="5"/>
  <c r="BQ165" i="5"/>
  <c r="NE165" i="5" s="1"/>
  <c r="HK165" i="5" s="1"/>
  <c r="HR165" i="5" s="1"/>
  <c r="MM165" i="5"/>
  <c r="EC165" i="5"/>
  <c r="ED165" i="5" s="1"/>
  <c r="CT165" i="5"/>
  <c r="NZ165" i="5"/>
  <c r="NR165" i="5"/>
  <c r="EC207" i="5"/>
  <c r="ED207" i="5" s="1"/>
  <c r="NZ207" i="5"/>
  <c r="CJ207" i="5" s="1"/>
  <c r="DU208" i="5"/>
  <c r="ET208" i="5"/>
  <c r="FG208" i="5"/>
  <c r="EZ208" i="5"/>
  <c r="FO208" i="5"/>
  <c r="GG208" i="5"/>
  <c r="FR208" i="5"/>
  <c r="GD208" i="5"/>
  <c r="CW208" i="5"/>
  <c r="NN208" i="5"/>
  <c r="MY208" i="5"/>
  <c r="NR208" i="5"/>
  <c r="NO208" i="5"/>
  <c r="GG148" i="5"/>
  <c r="IE148" i="5"/>
  <c r="NX148" i="5" s="1"/>
  <c r="FR148" i="5"/>
  <c r="FL148" i="5"/>
  <c r="DU148" i="5"/>
  <c r="GD148" i="5"/>
  <c r="FO148" i="5"/>
  <c r="EZ148" i="5"/>
  <c r="ET148" i="5"/>
  <c r="CW148" i="5"/>
  <c r="FG148" i="5"/>
  <c r="NR148" i="5"/>
  <c r="MY148" i="5"/>
  <c r="NN148" i="5"/>
  <c r="NO148" i="5"/>
  <c r="IG205" i="5"/>
  <c r="NP205" i="5" s="1"/>
  <c r="NF205" i="5"/>
  <c r="RV205" i="5"/>
  <c r="BQ205" i="5"/>
  <c r="NE205" i="5" s="1"/>
  <c r="HK205" i="5" s="1"/>
  <c r="HR205" i="5" s="1"/>
  <c r="DZ205" i="5"/>
  <c r="MM205" i="5"/>
  <c r="EC205" i="5"/>
  <c r="ED205" i="5" s="1"/>
  <c r="CT205" i="5"/>
  <c r="NZ205" i="5"/>
  <c r="NR205" i="5"/>
  <c r="NX206" i="5"/>
  <c r="ET206" i="5"/>
  <c r="GA206" i="5"/>
  <c r="DU206" i="5"/>
  <c r="FL206" i="5"/>
  <c r="FG206" i="5"/>
  <c r="EZ206" i="5"/>
  <c r="GD206" i="5"/>
  <c r="FO206" i="5"/>
  <c r="GG206" i="5"/>
  <c r="FR206" i="5"/>
  <c r="CW206" i="5"/>
  <c r="NN206" i="5"/>
  <c r="NO206" i="5"/>
  <c r="NR206" i="5"/>
  <c r="MY206" i="5"/>
  <c r="IG172" i="5"/>
  <c r="NP172" i="5" s="1"/>
  <c r="DZ172" i="5"/>
  <c r="RV172" i="5"/>
  <c r="NF172" i="5"/>
  <c r="BQ172" i="5"/>
  <c r="NE172" i="5" s="1"/>
  <c r="HK172" i="5" s="1"/>
  <c r="HR172" i="5" s="1"/>
  <c r="MM172" i="5"/>
  <c r="CT172" i="5"/>
  <c r="EC172" i="5"/>
  <c r="ED172" i="5" s="1"/>
  <c r="NZ172" i="5"/>
  <c r="BU172" i="5"/>
  <c r="EZ172" i="5" s="1"/>
  <c r="IE179" i="5"/>
  <c r="NX179" i="5" s="1"/>
  <c r="CW179" i="5"/>
  <c r="GD179" i="5"/>
  <c r="GG179" i="5"/>
  <c r="FL179" i="5"/>
  <c r="FO179" i="5"/>
  <c r="FR179" i="5"/>
  <c r="GA179" i="5"/>
  <c r="DU179" i="5"/>
  <c r="ET179" i="5"/>
  <c r="FG179" i="5"/>
  <c r="NR179" i="5"/>
  <c r="NN179" i="5"/>
  <c r="NO179" i="5"/>
  <c r="MY179" i="5"/>
  <c r="EZ205" i="5"/>
  <c r="MY205" i="5"/>
  <c r="GG188" i="5"/>
  <c r="DU188" i="5"/>
  <c r="IE188" i="5"/>
  <c r="NX188" i="5" s="1"/>
  <c r="ET188" i="5"/>
  <c r="GA188" i="5"/>
  <c r="FO188" i="5"/>
  <c r="FL188" i="5"/>
  <c r="GD188" i="5"/>
  <c r="FR188" i="5"/>
  <c r="CW188" i="5"/>
  <c r="FG188" i="5"/>
  <c r="MY188" i="5"/>
  <c r="NR188" i="5"/>
  <c r="NN188" i="5"/>
  <c r="NO188" i="5"/>
  <c r="IG203" i="5"/>
  <c r="NP203" i="5" s="1"/>
  <c r="NF203" i="5"/>
  <c r="IE203" i="5" s="1"/>
  <c r="NX203" i="5" s="1"/>
  <c r="RV203" i="5"/>
  <c r="BQ203" i="5"/>
  <c r="NE203" i="5" s="1"/>
  <c r="HK203" i="5" s="1"/>
  <c r="HR203" i="5" s="1"/>
  <c r="DZ203" i="5"/>
  <c r="MM203" i="5"/>
  <c r="CT203" i="5"/>
  <c r="EC203" i="5"/>
  <c r="ED203" i="5" s="1"/>
  <c r="NZ203" i="5"/>
  <c r="IE204" i="5"/>
  <c r="NX204" i="5" s="1"/>
  <c r="FO204" i="5"/>
  <c r="EZ204" i="5"/>
  <c r="FG204" i="5"/>
  <c r="MY204" i="5"/>
  <c r="NR203" i="5"/>
  <c r="NN203" i="5"/>
  <c r="NO203" i="5"/>
  <c r="EZ203" i="5"/>
  <c r="MY203" i="5"/>
  <c r="HR202" i="5"/>
  <c r="ND202" i="5"/>
  <c r="HI202" i="5" s="1"/>
  <c r="HI160" i="5"/>
  <c r="FL152" i="5"/>
  <c r="FO152" i="5"/>
  <c r="GD152" i="5"/>
  <c r="IE152" i="5"/>
  <c r="NX152" i="5" s="1"/>
  <c r="GG152" i="5"/>
  <c r="EZ152" i="5"/>
  <c r="FG152" i="5"/>
  <c r="FR152" i="5"/>
  <c r="DU152" i="5"/>
  <c r="GA152" i="5"/>
  <c r="ET152" i="5"/>
  <c r="CW152" i="5"/>
  <c r="NN152" i="5"/>
  <c r="NR152" i="5"/>
  <c r="NO152" i="5"/>
  <c r="MY152" i="5"/>
  <c r="IG144" i="5"/>
  <c r="NP144" i="5" s="1"/>
  <c r="NF144" i="5"/>
  <c r="DZ144" i="5"/>
  <c r="RV144" i="5"/>
  <c r="BQ144" i="5"/>
  <c r="NE144" i="5" s="1"/>
  <c r="HK144" i="5" s="1"/>
  <c r="HR144" i="5" s="1"/>
  <c r="MM144" i="5"/>
  <c r="EC144" i="5"/>
  <c r="ED144" i="5" s="1"/>
  <c r="CT144" i="5"/>
  <c r="NZ144" i="5"/>
  <c r="BU144" i="5"/>
  <c r="EZ144" i="5" s="1"/>
  <c r="IG101" i="5"/>
  <c r="NP101" i="5" s="1"/>
  <c r="BQ101" i="5"/>
  <c r="NE101" i="5" s="1"/>
  <c r="HK101" i="5" s="1"/>
  <c r="HR101" i="5" s="1"/>
  <c r="DZ101" i="5"/>
  <c r="RV101" i="5"/>
  <c r="NF101" i="5"/>
  <c r="MM101" i="5"/>
  <c r="EC101" i="5"/>
  <c r="ED101" i="5" s="1"/>
  <c r="CT101" i="5"/>
  <c r="NZ101" i="5"/>
  <c r="BU101" i="5"/>
  <c r="NN101" i="5" s="1"/>
  <c r="EZ156" i="5"/>
  <c r="NR156" i="5"/>
  <c r="MY156" i="5"/>
  <c r="NN156" i="5"/>
  <c r="NO156" i="5"/>
  <c r="EZ164" i="5"/>
  <c r="NN164" i="5"/>
  <c r="NO164" i="5"/>
  <c r="NR164" i="5"/>
  <c r="MY164" i="5"/>
  <c r="HJ4" i="5"/>
  <c r="HK10" i="5"/>
  <c r="HR10" i="5" s="1"/>
  <c r="HK79" i="5"/>
  <c r="HR79" i="5" s="1"/>
  <c r="HK122" i="5"/>
  <c r="HR122" i="5" s="1"/>
  <c r="HK147" i="5"/>
  <c r="HR147" i="5" s="1"/>
  <c r="HK158" i="5"/>
  <c r="HR158" i="5" s="1"/>
  <c r="HK176" i="5"/>
  <c r="HR176" i="5" s="1"/>
  <c r="HK188" i="5"/>
  <c r="HR188" i="5" s="1"/>
  <c r="HK13" i="5"/>
  <c r="HR13" i="5" s="1"/>
  <c r="HK111" i="5"/>
  <c r="HR111" i="5" s="1"/>
  <c r="PA107" i="5"/>
  <c r="CJ107" i="5"/>
  <c r="HJ5" i="5"/>
  <c r="IG31" i="5"/>
  <c r="BT31" i="5" s="1"/>
  <c r="DZ31" i="5"/>
  <c r="DW31" i="5" s="1"/>
  <c r="IG15" i="5"/>
  <c r="BT15" i="5" s="1"/>
  <c r="DZ15" i="5"/>
  <c r="DW15" i="5" s="1"/>
  <c r="IG34" i="5"/>
  <c r="BT34" i="5" s="1"/>
  <c r="DZ34" i="5"/>
  <c r="DW34" i="5" s="1"/>
  <c r="IG149" i="5"/>
  <c r="DZ149" i="5"/>
  <c r="DW149" i="5" s="1"/>
  <c r="HK69" i="5"/>
  <c r="HR69" i="5" s="1"/>
  <c r="HK85" i="5"/>
  <c r="HR85" i="5" s="1"/>
  <c r="HK102" i="5"/>
  <c r="HR102" i="5" s="1"/>
  <c r="HK113" i="5"/>
  <c r="HR113" i="5" s="1"/>
  <c r="HK142" i="5"/>
  <c r="HR142" i="5" s="1"/>
  <c r="HK148" i="5"/>
  <c r="HR148" i="5" s="1"/>
  <c r="HK162" i="5"/>
  <c r="HK189" i="5"/>
  <c r="HR189" i="5" s="1"/>
  <c r="HK61" i="5"/>
  <c r="HR61" i="5" s="1"/>
  <c r="HK171" i="5"/>
  <c r="HR171" i="5" s="1"/>
  <c r="HK58" i="5"/>
  <c r="HR58" i="5" s="1"/>
  <c r="OD52" i="5"/>
  <c r="IG6" i="5"/>
  <c r="BT6" i="5" s="1"/>
  <c r="DZ6" i="5"/>
  <c r="DW6" i="5" s="1"/>
  <c r="IG14" i="5"/>
  <c r="BT14" i="5" s="1"/>
  <c r="DZ14" i="5"/>
  <c r="DW14" i="5" s="1"/>
  <c r="IG39" i="5"/>
  <c r="BT39" i="5" s="1"/>
  <c r="DZ39" i="5"/>
  <c r="DW39" i="5" s="1"/>
  <c r="IG52" i="5"/>
  <c r="BT52" i="5" s="1"/>
  <c r="DZ52" i="5"/>
  <c r="DW52" i="5" s="1"/>
  <c r="IG131" i="5"/>
  <c r="NP131" i="5" s="1"/>
  <c r="DZ131" i="5"/>
  <c r="DW131" i="5" s="1"/>
  <c r="IG9" i="5"/>
  <c r="BT9" i="5" s="1"/>
  <c r="DZ9" i="5"/>
  <c r="DW9" i="5" s="1"/>
  <c r="HJ167" i="5"/>
  <c r="HK73" i="5"/>
  <c r="HR73" i="5" s="1"/>
  <c r="HK114" i="5"/>
  <c r="HR114" i="5" s="1"/>
  <c r="HK125" i="5"/>
  <c r="HR125" i="5" s="1"/>
  <c r="HK163" i="5"/>
  <c r="HR163" i="5" s="1"/>
  <c r="HK178" i="5"/>
  <c r="HR178" i="5" s="1"/>
  <c r="HK190" i="5"/>
  <c r="HR190" i="5" s="1"/>
  <c r="HK135" i="5"/>
  <c r="HR135" i="5" s="1"/>
  <c r="OJ60" i="5"/>
  <c r="CJ60" i="5"/>
  <c r="IG30" i="5"/>
  <c r="BT30" i="5" s="1"/>
  <c r="DZ30" i="5"/>
  <c r="DW30" i="5" s="1"/>
  <c r="IG20" i="5"/>
  <c r="BT20" i="5" s="1"/>
  <c r="DZ20" i="5"/>
  <c r="DW20" i="5" s="1"/>
  <c r="IG45" i="5"/>
  <c r="BT45" i="5" s="1"/>
  <c r="DZ45" i="5"/>
  <c r="DW45" i="5" s="1"/>
  <c r="IG23" i="5"/>
  <c r="BT23" i="5" s="1"/>
  <c r="DZ23" i="5"/>
  <c r="DW23" i="5" s="1"/>
  <c r="IG129" i="5"/>
  <c r="BT129" i="5" s="1"/>
  <c r="DZ129" i="5"/>
  <c r="DW129" i="5" s="1"/>
  <c r="IG130" i="5"/>
  <c r="NP130" i="5" s="1"/>
  <c r="DZ130" i="5"/>
  <c r="HJ178" i="5"/>
  <c r="HK18" i="5"/>
  <c r="HR18" i="5" s="1"/>
  <c r="HK33" i="5"/>
  <c r="HR33" i="5" s="1"/>
  <c r="HK96" i="5"/>
  <c r="HR96" i="5" s="1"/>
  <c r="HK106" i="5"/>
  <c r="HR106" i="5" s="1"/>
  <c r="HK115" i="5"/>
  <c r="HR115" i="5" s="1"/>
  <c r="HK143" i="5"/>
  <c r="HR143" i="5" s="1"/>
  <c r="HK179" i="5"/>
  <c r="HR179" i="5" s="1"/>
  <c r="HK134" i="5"/>
  <c r="HR134" i="5" s="1"/>
  <c r="HK105" i="5"/>
  <c r="HR105" i="5" s="1"/>
  <c r="OT80" i="5"/>
  <c r="IG42" i="5"/>
  <c r="BT42" i="5" s="1"/>
  <c r="DZ42" i="5"/>
  <c r="DW42" i="5" s="1"/>
  <c r="IG44" i="5"/>
  <c r="BT44" i="5" s="1"/>
  <c r="DZ44" i="5"/>
  <c r="DW44" i="5" s="1"/>
  <c r="IG57" i="5"/>
  <c r="BT57" i="5" s="1"/>
  <c r="DZ57" i="5"/>
  <c r="DW57" i="5" s="1"/>
  <c r="IG95" i="5"/>
  <c r="BT95" i="5" s="1"/>
  <c r="DZ95" i="5"/>
  <c r="DW95" i="5" s="1"/>
  <c r="HI191" i="5"/>
  <c r="HJ187" i="5"/>
  <c r="HJ141" i="5"/>
  <c r="HJ147" i="5"/>
  <c r="HK7" i="5"/>
  <c r="HR7" i="5" s="1"/>
  <c r="HK19" i="5"/>
  <c r="HR19" i="5" s="1"/>
  <c r="HK43" i="5"/>
  <c r="HR43" i="5" s="1"/>
  <c r="HK63" i="5"/>
  <c r="HR63" i="5" s="1"/>
  <c r="HK97" i="5"/>
  <c r="HR97" i="5" s="1"/>
  <c r="HK119" i="5"/>
  <c r="HR119" i="5" s="1"/>
  <c r="HK128" i="5"/>
  <c r="HR128" i="5" s="1"/>
  <c r="HK181" i="5"/>
  <c r="HK136" i="5"/>
  <c r="HR136" i="5" s="1"/>
  <c r="OJ84" i="5"/>
  <c r="IG54" i="5"/>
  <c r="BT54" i="5" s="1"/>
  <c r="DZ54" i="5"/>
  <c r="DW54" i="5" s="1"/>
  <c r="IG62" i="5"/>
  <c r="BT62" i="5" s="1"/>
  <c r="DZ62" i="5"/>
  <c r="DW62" i="5" s="1"/>
  <c r="IG75" i="5"/>
  <c r="BT75" i="5" s="1"/>
  <c r="DZ75" i="5"/>
  <c r="DW75" i="5" s="1"/>
  <c r="IG107" i="5"/>
  <c r="DZ107" i="5"/>
  <c r="DW107" i="5" s="1"/>
  <c r="IG12" i="5"/>
  <c r="NP12" i="5" s="1"/>
  <c r="DZ12" i="5"/>
  <c r="DW12" i="5" s="1"/>
  <c r="HJ160" i="5"/>
  <c r="HJ161" i="5"/>
  <c r="HJ163" i="5"/>
  <c r="HJ151" i="5"/>
  <c r="HK21" i="5"/>
  <c r="HR21" i="5" s="1"/>
  <c r="HK36" i="5"/>
  <c r="HR36" i="5" s="1"/>
  <c r="HK48" i="5"/>
  <c r="HR48" i="5" s="1"/>
  <c r="HK64" i="5"/>
  <c r="HR64" i="5" s="1"/>
  <c r="HK87" i="5"/>
  <c r="HR87" i="5" s="1"/>
  <c r="HK109" i="5"/>
  <c r="HR109" i="5" s="1"/>
  <c r="HK182" i="5"/>
  <c r="HR182" i="5" s="1"/>
  <c r="HK137" i="5"/>
  <c r="HR137" i="5" s="1"/>
  <c r="OP104" i="5"/>
  <c r="IG60" i="5"/>
  <c r="BT60" i="5" s="1"/>
  <c r="DZ60" i="5"/>
  <c r="DW60" i="5" s="1"/>
  <c r="IG80" i="5"/>
  <c r="BT80" i="5" s="1"/>
  <c r="DZ80" i="5"/>
  <c r="DW80" i="5" s="1"/>
  <c r="IG93" i="5"/>
  <c r="BT93" i="5" s="1"/>
  <c r="DZ93" i="5"/>
  <c r="DW93" i="5" s="1"/>
  <c r="HJ182" i="5"/>
  <c r="HK37" i="5"/>
  <c r="HR37" i="5" s="1"/>
  <c r="HK76" i="5"/>
  <c r="HR76" i="5" s="1"/>
  <c r="HK100" i="5"/>
  <c r="HR100" i="5" s="1"/>
  <c r="HK145" i="5"/>
  <c r="HR145" i="5" s="1"/>
  <c r="HK155" i="5"/>
  <c r="HR155" i="5" s="1"/>
  <c r="HK174" i="5"/>
  <c r="HK183" i="5"/>
  <c r="HI183" i="5" s="1"/>
  <c r="HK88" i="5"/>
  <c r="HR88" i="5" s="1"/>
  <c r="HK150" i="5"/>
  <c r="HR150" i="5" s="1"/>
  <c r="OL14" i="5"/>
  <c r="CJ14" i="5"/>
  <c r="HJ7" i="5"/>
  <c r="IG84" i="5"/>
  <c r="BT84" i="5" s="1"/>
  <c r="DZ84" i="5"/>
  <c r="DW84" i="5" s="1"/>
  <c r="IG86" i="5"/>
  <c r="BT86" i="5" s="1"/>
  <c r="DZ86" i="5"/>
  <c r="DW86" i="5" s="1"/>
  <c r="IG16" i="5"/>
  <c r="BT16" i="5" s="1"/>
  <c r="DZ16" i="5"/>
  <c r="DW16" i="5" s="1"/>
  <c r="HJ186" i="5"/>
  <c r="HJ183" i="5"/>
  <c r="HJ184" i="5"/>
  <c r="HK24" i="5"/>
  <c r="HR24" i="5" s="1"/>
  <c r="HK78" i="5"/>
  <c r="HR78" i="5" s="1"/>
  <c r="HK90" i="5"/>
  <c r="HR90" i="5" s="1"/>
  <c r="HK166" i="5"/>
  <c r="HR166" i="5" s="1"/>
  <c r="HK175" i="5"/>
  <c r="HR175" i="5" s="1"/>
  <c r="HK4" i="5"/>
  <c r="HR4" i="5" s="1"/>
  <c r="HK103" i="5"/>
  <c r="HR103" i="5" s="1"/>
  <c r="HK82" i="5"/>
  <c r="HR82" i="5" s="1"/>
  <c r="PB16" i="5"/>
  <c r="CJ16" i="5"/>
  <c r="OW95" i="5"/>
  <c r="IG25" i="5"/>
  <c r="BT25" i="5" s="1"/>
  <c r="DZ25" i="5"/>
  <c r="DW25" i="5" s="1"/>
  <c r="IG104" i="5"/>
  <c r="BT104" i="5" s="1"/>
  <c r="DZ104" i="5"/>
  <c r="DW104" i="5" s="1"/>
  <c r="IG22" i="5"/>
  <c r="BT22" i="5" s="1"/>
  <c r="DZ22" i="5"/>
  <c r="DW22" i="5" s="1"/>
  <c r="BQ6" i="5"/>
  <c r="NE6" i="5" s="1"/>
  <c r="BU6" i="5"/>
  <c r="BQ30" i="5"/>
  <c r="BU30" i="5"/>
  <c r="BQ42" i="5"/>
  <c r="NE42" i="5" s="1"/>
  <c r="BU42" i="5"/>
  <c r="BQ54" i="5"/>
  <c r="NE54" i="5" s="1"/>
  <c r="BU54" i="5"/>
  <c r="BQ60" i="5"/>
  <c r="NE60" i="5" s="1"/>
  <c r="BU60" i="5"/>
  <c r="BQ84" i="5"/>
  <c r="BU84" i="5"/>
  <c r="NO84" i="5" s="1"/>
  <c r="BQ25" i="5"/>
  <c r="NE25" i="5" s="1"/>
  <c r="BU25" i="5"/>
  <c r="BU31" i="5"/>
  <c r="BQ31" i="5"/>
  <c r="BQ14" i="5"/>
  <c r="BU14" i="5"/>
  <c r="BQ20" i="5"/>
  <c r="NE20" i="5" s="1"/>
  <c r="BU20" i="5"/>
  <c r="BQ44" i="5"/>
  <c r="BU44" i="5"/>
  <c r="IP62" i="5"/>
  <c r="NR62" i="5" s="1"/>
  <c r="BQ62" i="5"/>
  <c r="NE62" i="5" s="1"/>
  <c r="BU62" i="5"/>
  <c r="BU80" i="5"/>
  <c r="BQ80" i="5"/>
  <c r="BQ86" i="5"/>
  <c r="NE86" i="5" s="1"/>
  <c r="BU86" i="5"/>
  <c r="BU104" i="5"/>
  <c r="NR104" i="5" s="1"/>
  <c r="BQ104" i="5"/>
  <c r="NE104" i="5" s="1"/>
  <c r="BU15" i="5"/>
  <c r="BQ15" i="5"/>
  <c r="BU39" i="5"/>
  <c r="BQ39" i="5"/>
  <c r="NE39" i="5" s="1"/>
  <c r="HK39" i="5" s="1"/>
  <c r="HI39" i="5" s="1"/>
  <c r="BU45" i="5"/>
  <c r="BQ45" i="5"/>
  <c r="NE45" i="5" s="1"/>
  <c r="BQ57" i="5"/>
  <c r="NE57" i="5" s="1"/>
  <c r="BU57" i="5"/>
  <c r="BQ75" i="5"/>
  <c r="NE75" i="5" s="1"/>
  <c r="BU75" i="5"/>
  <c r="NO75" i="5" s="1"/>
  <c r="BU93" i="5"/>
  <c r="BQ93" i="5"/>
  <c r="BU16" i="5"/>
  <c r="BQ16" i="5"/>
  <c r="BQ22" i="5"/>
  <c r="BU22" i="5"/>
  <c r="BQ34" i="5"/>
  <c r="NE34" i="5" s="1"/>
  <c r="BU34" i="5"/>
  <c r="BQ52" i="5"/>
  <c r="BU52" i="5"/>
  <c r="BU23" i="5"/>
  <c r="BQ23" i="5"/>
  <c r="BU95" i="5"/>
  <c r="BQ95" i="5"/>
  <c r="NE95" i="5" s="1"/>
  <c r="BQ107" i="5"/>
  <c r="BU107" i="5"/>
  <c r="BQ12" i="5"/>
  <c r="NE12" i="5" s="1"/>
  <c r="HK12" i="5" s="1"/>
  <c r="HI12" i="5" s="1"/>
  <c r="BU12" i="5"/>
  <c r="NR12" i="5" s="1"/>
  <c r="BQ131" i="5"/>
  <c r="NE131" i="5" s="1"/>
  <c r="BU131" i="5"/>
  <c r="MY131" i="5" s="1"/>
  <c r="BQ9" i="5"/>
  <c r="NE9" i="5" s="1"/>
  <c r="BU9" i="5"/>
  <c r="MY9" i="5" s="1"/>
  <c r="BQ129" i="5"/>
  <c r="NE129" i="5" s="1"/>
  <c r="BU129" i="5"/>
  <c r="BQ130" i="5"/>
  <c r="NE130" i="5" s="1"/>
  <c r="BU130" i="5"/>
  <c r="BU149" i="5"/>
  <c r="NR149" i="5" s="1"/>
  <c r="BQ149" i="5"/>
  <c r="NE149" i="5" s="1"/>
  <c r="ND192" i="5"/>
  <c r="HI192" i="5" s="1"/>
  <c r="HR192" i="5"/>
  <c r="HR191" i="5"/>
  <c r="NO69" i="5"/>
  <c r="NR69" i="5"/>
  <c r="NX112" i="5"/>
  <c r="NO112" i="5"/>
  <c r="NR112" i="5"/>
  <c r="MY112" i="5"/>
  <c r="HJ112" i="5" s="1"/>
  <c r="NN112" i="5"/>
  <c r="NF149" i="5"/>
  <c r="RV149" i="5"/>
  <c r="MM149" i="5"/>
  <c r="NZ149" i="5"/>
  <c r="OJ16" i="5"/>
  <c r="OG57" i="5"/>
  <c r="OB80" i="5"/>
  <c r="OO80" i="5"/>
  <c r="NX142" i="5"/>
  <c r="NR142" i="5"/>
  <c r="NO142" i="5"/>
  <c r="MY142" i="5"/>
  <c r="HJ142" i="5" s="1"/>
  <c r="NN142" i="5"/>
  <c r="OB107" i="5"/>
  <c r="OX107" i="5"/>
  <c r="OE16" i="5"/>
  <c r="OS16" i="5"/>
  <c r="PE16" i="5"/>
  <c r="OK52" i="5"/>
  <c r="OM107" i="5"/>
  <c r="OI80" i="5"/>
  <c r="PB80" i="5"/>
  <c r="OI107" i="5"/>
  <c r="OA107" i="5"/>
  <c r="OR80" i="5"/>
  <c r="OO107" i="5"/>
  <c r="OC80" i="5"/>
  <c r="OZ107" i="5"/>
  <c r="OG107" i="5"/>
  <c r="OO57" i="5"/>
  <c r="OY57" i="5"/>
  <c r="OD22" i="5"/>
  <c r="OK22" i="5"/>
  <c r="NN105" i="5"/>
  <c r="MY10" i="5"/>
  <c r="HJ10" i="5" s="1"/>
  <c r="NO10" i="5"/>
  <c r="NR105" i="5"/>
  <c r="NO81" i="5"/>
  <c r="NR81" i="5"/>
  <c r="OQ57" i="5"/>
  <c r="PH57" i="5"/>
  <c r="PG60" i="5"/>
  <c r="OD60" i="5"/>
  <c r="OY107" i="5"/>
  <c r="PB22" i="5"/>
  <c r="OQ60" i="5"/>
  <c r="PB107" i="5"/>
  <c r="PH22" i="5"/>
  <c r="PF60" i="5"/>
  <c r="OB95" i="5"/>
  <c r="OP107" i="5"/>
  <c r="OM22" i="5"/>
  <c r="PD107" i="5"/>
  <c r="PC52" i="5"/>
  <c r="RX81" i="5"/>
  <c r="RY81" i="5" s="1"/>
  <c r="OC107" i="5"/>
  <c r="OF107" i="5"/>
  <c r="OM80" i="5"/>
  <c r="OH80" i="5"/>
  <c r="PG107" i="5"/>
  <c r="PH107" i="5"/>
  <c r="PC80" i="5"/>
  <c r="RX33" i="5"/>
  <c r="RY33" i="5" s="1"/>
  <c r="RX69" i="5"/>
  <c r="RY69" i="5" s="1"/>
  <c r="RX105" i="5"/>
  <c r="RY105" i="5" s="1"/>
  <c r="PA80" i="5"/>
  <c r="OI95" i="5"/>
  <c r="OR107" i="5"/>
  <c r="OH107" i="5"/>
  <c r="OL60" i="5"/>
  <c r="OP80" i="5"/>
  <c r="ON80" i="5"/>
  <c r="OT107" i="5"/>
  <c r="PE60" i="5"/>
  <c r="OD107" i="5"/>
  <c r="ON107" i="5"/>
  <c r="OL80" i="5"/>
  <c r="CJ80" i="5" s="1"/>
  <c r="OF80" i="5"/>
  <c r="OU107" i="5"/>
  <c r="PD80" i="5"/>
  <c r="RX63" i="5"/>
  <c r="RY63" i="5" s="1"/>
  <c r="OK57" i="5"/>
  <c r="OF57" i="5"/>
  <c r="OH57" i="5"/>
  <c r="OQ22" i="5"/>
  <c r="OO22" i="5"/>
  <c r="OF22" i="5"/>
  <c r="OW57" i="5"/>
  <c r="PC57" i="5"/>
  <c r="OT57" i="5"/>
  <c r="PF22" i="5"/>
  <c r="OW22" i="5"/>
  <c r="PF16" i="5"/>
  <c r="PC104" i="5"/>
  <c r="NX72" i="5"/>
  <c r="NR72" i="5"/>
  <c r="MY72" i="5"/>
  <c r="HJ72" i="5" s="1"/>
  <c r="NN72" i="5"/>
  <c r="NO72" i="5"/>
  <c r="NX137" i="5"/>
  <c r="NO137" i="5"/>
  <c r="NR137" i="5"/>
  <c r="MY137" i="5"/>
  <c r="HJ137" i="5" s="1"/>
  <c r="NN137" i="5"/>
  <c r="NN91" i="5"/>
  <c r="MY91" i="5"/>
  <c r="NO91" i="5"/>
  <c r="NR91" i="5"/>
  <c r="NX38" i="5"/>
  <c r="NO38" i="5"/>
  <c r="MY38" i="5"/>
  <c r="HJ38" i="5" s="1"/>
  <c r="NR38" i="5"/>
  <c r="NN38" i="5"/>
  <c r="NZ9" i="5"/>
  <c r="CJ9" i="5" s="1"/>
  <c r="NX63" i="5"/>
  <c r="NX81" i="5"/>
  <c r="NF129" i="5"/>
  <c r="RV129" i="5"/>
  <c r="MM129" i="5"/>
  <c r="NX35" i="5"/>
  <c r="NN35" i="5"/>
  <c r="NO35" i="5"/>
  <c r="NR35" i="5"/>
  <c r="MY35" i="5"/>
  <c r="HJ35" i="5" s="1"/>
  <c r="RV12" i="5"/>
  <c r="NF12" i="5"/>
  <c r="MM12" i="5"/>
  <c r="NX55" i="5"/>
  <c r="NR55" i="5"/>
  <c r="NN55" i="5"/>
  <c r="MY55" i="5"/>
  <c r="HJ55" i="5" s="1"/>
  <c r="NO55" i="5"/>
  <c r="NX126" i="5"/>
  <c r="NR126" i="5"/>
  <c r="NN126" i="5"/>
  <c r="NO126" i="5"/>
  <c r="MY126" i="5"/>
  <c r="HJ126" i="5" s="1"/>
  <c r="NX92" i="5"/>
  <c r="NO92" i="5"/>
  <c r="MY92" i="5"/>
  <c r="HJ92" i="5" s="1"/>
  <c r="NR92" i="5"/>
  <c r="NN92" i="5"/>
  <c r="NX127" i="5"/>
  <c r="NO127" i="5"/>
  <c r="MY127" i="5"/>
  <c r="HJ127" i="5" s="1"/>
  <c r="NR127" i="5"/>
  <c r="NN127" i="5"/>
  <c r="NR99" i="5"/>
  <c r="NR134" i="5"/>
  <c r="MY134" i="5"/>
  <c r="NN134" i="5"/>
  <c r="NO134" i="5"/>
  <c r="NX70" i="5"/>
  <c r="NO70" i="5"/>
  <c r="NR70" i="5"/>
  <c r="MY70" i="5"/>
  <c r="HJ70" i="5" s="1"/>
  <c r="NN70" i="5"/>
  <c r="NO106" i="5"/>
  <c r="NR106" i="5"/>
  <c r="NN106" i="5"/>
  <c r="MY106" i="5"/>
  <c r="NZ129" i="5"/>
  <c r="NX157" i="5"/>
  <c r="NO157" i="5"/>
  <c r="MY157" i="5"/>
  <c r="HJ157" i="5" s="1"/>
  <c r="NR157" i="5"/>
  <c r="NN157" i="5"/>
  <c r="OD57" i="5"/>
  <c r="OS57" i="5"/>
  <c r="OM57" i="5"/>
  <c r="OC22" i="5"/>
  <c r="OP22" i="5"/>
  <c r="OG22" i="5"/>
  <c r="PD57" i="5"/>
  <c r="OU57" i="5"/>
  <c r="PG22" i="5"/>
  <c r="OX22" i="5"/>
  <c r="PD22" i="5"/>
  <c r="OL52" i="5"/>
  <c r="CJ52" i="5" s="1"/>
  <c r="PA95" i="5"/>
  <c r="NZ12" i="5"/>
  <c r="CJ12" i="5" s="1"/>
  <c r="NX78" i="5"/>
  <c r="NR78" i="5"/>
  <c r="NO78" i="5"/>
  <c r="MY78" i="5"/>
  <c r="HJ78" i="5" s="1"/>
  <c r="NN78" i="5"/>
  <c r="NO96" i="5"/>
  <c r="NR96" i="5"/>
  <c r="MY96" i="5"/>
  <c r="NN96" i="5"/>
  <c r="NX114" i="5"/>
  <c r="NR114" i="5"/>
  <c r="NN114" i="5"/>
  <c r="NO114" i="5"/>
  <c r="MY114" i="5"/>
  <c r="HJ114" i="5" s="1"/>
  <c r="NX153" i="5"/>
  <c r="NO153" i="5"/>
  <c r="MY153" i="5"/>
  <c r="HJ153" i="5" s="1"/>
  <c r="NR153" i="5"/>
  <c r="NN153" i="5"/>
  <c r="NX97" i="5"/>
  <c r="NR97" i="5"/>
  <c r="NN97" i="5"/>
  <c r="NO97" i="5"/>
  <c r="MY97" i="5"/>
  <c r="HJ97" i="5" s="1"/>
  <c r="NX68" i="5"/>
  <c r="NN68" i="5"/>
  <c r="MY68" i="5"/>
  <c r="HJ68" i="5" s="1"/>
  <c r="NR68" i="5"/>
  <c r="NO68" i="5"/>
  <c r="NX33" i="5"/>
  <c r="NX69" i="5"/>
  <c r="NX105" i="5"/>
  <c r="NX41" i="5"/>
  <c r="NN41" i="5"/>
  <c r="NO41" i="5"/>
  <c r="MY41" i="5"/>
  <c r="HJ41" i="5" s="1"/>
  <c r="NF130" i="5"/>
  <c r="RV130" i="5"/>
  <c r="MM130" i="5"/>
  <c r="OC57" i="5"/>
  <c r="OR57" i="5"/>
  <c r="OI57" i="5"/>
  <c r="OB22" i="5"/>
  <c r="OL22" i="5"/>
  <c r="OR22" i="5"/>
  <c r="OZ57" i="5"/>
  <c r="PF57" i="5"/>
  <c r="PC22" i="5"/>
  <c r="OT22" i="5"/>
  <c r="OZ22" i="5"/>
  <c r="OK60" i="5"/>
  <c r="OV107" i="5"/>
  <c r="NF131" i="5"/>
  <c r="RV131" i="5"/>
  <c r="MM131" i="5"/>
  <c r="NX132" i="5"/>
  <c r="NR132" i="5"/>
  <c r="NN132" i="5"/>
  <c r="NO132" i="5"/>
  <c r="MY132" i="5"/>
  <c r="HJ132" i="5" s="1"/>
  <c r="NN154" i="5"/>
  <c r="NO154" i="5"/>
  <c r="NR154" i="5"/>
  <c r="MY154" i="5"/>
  <c r="NX110" i="5"/>
  <c r="NN110" i="5"/>
  <c r="MY110" i="5"/>
  <c r="HJ110" i="5" s="1"/>
  <c r="NO110" i="5"/>
  <c r="NR110" i="5"/>
  <c r="NR155" i="5"/>
  <c r="NX51" i="5"/>
  <c r="MY51" i="5"/>
  <c r="HJ51" i="5" s="1"/>
  <c r="NR51" i="5"/>
  <c r="NN51" i="5"/>
  <c r="NO51" i="5"/>
  <c r="NX87" i="5"/>
  <c r="NR87" i="5"/>
  <c r="NN87" i="5"/>
  <c r="NO87" i="5"/>
  <c r="MY87" i="5"/>
  <c r="HJ87" i="5" s="1"/>
  <c r="NX140" i="5"/>
  <c r="MY140" i="5"/>
  <c r="HJ140" i="5" s="1"/>
  <c r="NN140" i="5"/>
  <c r="NO140" i="5"/>
  <c r="NR173" i="5"/>
  <c r="MY173" i="5"/>
  <c r="NN173" i="5"/>
  <c r="NO173" i="5"/>
  <c r="NX46" i="5"/>
  <c r="NR46" i="5"/>
  <c r="NN46" i="5"/>
  <c r="NO46" i="5"/>
  <c r="MY46" i="5"/>
  <c r="HJ46" i="5" s="1"/>
  <c r="NR88" i="5"/>
  <c r="NO124" i="5"/>
  <c r="MY124" i="5"/>
  <c r="NR124" i="5"/>
  <c r="NN124" i="5"/>
  <c r="NX135" i="5"/>
  <c r="NO135" i="5"/>
  <c r="MY135" i="5"/>
  <c r="HJ135" i="5" s="1"/>
  <c r="NR135" i="5"/>
  <c r="NN135" i="5"/>
  <c r="NX59" i="5"/>
  <c r="NR59" i="5"/>
  <c r="NN59" i="5"/>
  <c r="MY59" i="5"/>
  <c r="HJ59" i="5" s="1"/>
  <c r="NO59" i="5"/>
  <c r="NX113" i="5"/>
  <c r="NR113" i="5"/>
  <c r="NN113" i="5"/>
  <c r="MY113" i="5"/>
  <c r="HJ113" i="5" s="1"/>
  <c r="NO113" i="5"/>
  <c r="NZ130" i="5"/>
  <c r="NX158" i="5"/>
  <c r="MY158" i="5"/>
  <c r="HJ158" i="5" s="1"/>
  <c r="NN158" i="5"/>
  <c r="NR158" i="5"/>
  <c r="NO158" i="5"/>
  <c r="OB57" i="5"/>
  <c r="ON57" i="5"/>
  <c r="OP57" i="5"/>
  <c r="OE22" i="5"/>
  <c r="OH22" i="5"/>
  <c r="ON22" i="5"/>
  <c r="PE57" i="5"/>
  <c r="OV57" i="5"/>
  <c r="PB57" i="5"/>
  <c r="OY22" i="5"/>
  <c r="PE22" i="5"/>
  <c r="OV22" i="5"/>
  <c r="PE80" i="5"/>
  <c r="NX66" i="5"/>
  <c r="NN66" i="5"/>
  <c r="NO66" i="5"/>
  <c r="NR66" i="5"/>
  <c r="MY66" i="5"/>
  <c r="HJ66" i="5" s="1"/>
  <c r="NX102" i="5"/>
  <c r="NR102" i="5"/>
  <c r="MY102" i="5"/>
  <c r="HJ102" i="5" s="1"/>
  <c r="NN102" i="5"/>
  <c r="NO102" i="5"/>
  <c r="NX120" i="5"/>
  <c r="NO120" i="5"/>
  <c r="NR120" i="5"/>
  <c r="MY120" i="5"/>
  <c r="HJ120" i="5" s="1"/>
  <c r="NN120" i="5"/>
  <c r="NZ131" i="5"/>
  <c r="NR131" i="5"/>
  <c r="NX159" i="5"/>
  <c r="NO159" i="5"/>
  <c r="NR159" i="5"/>
  <c r="MY159" i="5"/>
  <c r="HJ159" i="5" s="1"/>
  <c r="NN159" i="5"/>
  <c r="NN103" i="5"/>
  <c r="NO103" i="5"/>
  <c r="NR103" i="5"/>
  <c r="MY103" i="5"/>
  <c r="NX32" i="5"/>
  <c r="NN32" i="5"/>
  <c r="NO32" i="5"/>
  <c r="NR32" i="5"/>
  <c r="MY32" i="5"/>
  <c r="HJ32" i="5" s="1"/>
  <c r="NX50" i="5"/>
  <c r="NO50" i="5"/>
  <c r="NR50" i="5"/>
  <c r="NN50" i="5"/>
  <c r="MY50" i="5"/>
  <c r="HJ50" i="5" s="1"/>
  <c r="NX10" i="5"/>
  <c r="NR10" i="5"/>
  <c r="NX11" i="5"/>
  <c r="MY11" i="5"/>
  <c r="HJ11" i="5" s="1"/>
  <c r="NR11" i="5"/>
  <c r="NN11" i="5"/>
  <c r="NO11" i="5"/>
  <c r="OA57" i="5"/>
  <c r="OE57" i="5"/>
  <c r="OJ57" i="5"/>
  <c r="OL57" i="5"/>
  <c r="OI22" i="5"/>
  <c r="OS22" i="5"/>
  <c r="OJ22" i="5"/>
  <c r="PA57" i="5"/>
  <c r="PG57" i="5"/>
  <c r="OX57" i="5"/>
  <c r="OU22" i="5"/>
  <c r="PA22" i="5"/>
  <c r="OZ14" i="5"/>
  <c r="OX84" i="5"/>
  <c r="NX49" i="5"/>
  <c r="NN49" i="5"/>
  <c r="NR49" i="5"/>
  <c r="NO49" i="5"/>
  <c r="MY49" i="5"/>
  <c r="HJ49" i="5" s="1"/>
  <c r="NX138" i="5"/>
  <c r="NN138" i="5"/>
  <c r="NO138" i="5"/>
  <c r="NR138" i="5"/>
  <c r="MY138" i="5"/>
  <c r="HJ138" i="5" s="1"/>
  <c r="NX189" i="5"/>
  <c r="NN189" i="5"/>
  <c r="NR189" i="5"/>
  <c r="NO189" i="5"/>
  <c r="MY189" i="5"/>
  <c r="HJ189" i="5" s="1"/>
  <c r="NX116" i="5"/>
  <c r="NR116" i="5"/>
  <c r="NO116" i="5"/>
  <c r="MY116" i="5"/>
  <c r="HJ116" i="5" s="1"/>
  <c r="NN116" i="5"/>
  <c r="NO139" i="5"/>
  <c r="MY139" i="5"/>
  <c r="NR139" i="5"/>
  <c r="NN139" i="5"/>
  <c r="RV9" i="5"/>
  <c r="NF9" i="5"/>
  <c r="MM9" i="5"/>
  <c r="NX128" i="5"/>
  <c r="NR128" i="5"/>
  <c r="MY128" i="5"/>
  <c r="HJ128" i="5" s="1"/>
  <c r="NN128" i="5"/>
  <c r="NO128" i="5"/>
  <c r="NX28" i="5"/>
  <c r="NN28" i="5"/>
  <c r="NO28" i="5"/>
  <c r="MY28" i="5"/>
  <c r="HJ28" i="5" s="1"/>
  <c r="NR28" i="5"/>
  <c r="NX100" i="5"/>
  <c r="NR100" i="5"/>
  <c r="MY100" i="5"/>
  <c r="HJ100" i="5" s="1"/>
  <c r="NN100" i="5"/>
  <c r="NO100" i="5"/>
  <c r="NX145" i="5"/>
  <c r="NO145" i="5"/>
  <c r="MY145" i="5"/>
  <c r="HJ145" i="5" s="1"/>
  <c r="NR145" i="5"/>
  <c r="NN145" i="5"/>
  <c r="NX65" i="5"/>
  <c r="NN65" i="5"/>
  <c r="NO65" i="5"/>
  <c r="NR65" i="5"/>
  <c r="MY65" i="5"/>
  <c r="HJ65" i="5" s="1"/>
  <c r="NX125" i="5"/>
  <c r="NN125" i="5"/>
  <c r="MY125" i="5"/>
  <c r="HJ125" i="5" s="1"/>
  <c r="NR125" i="5"/>
  <c r="NO125" i="5"/>
  <c r="NX136" i="5"/>
  <c r="NR136" i="5"/>
  <c r="NN136" i="5"/>
  <c r="MY136" i="5"/>
  <c r="HJ136" i="5" s="1"/>
  <c r="NO136" i="5"/>
  <c r="BT107" i="5"/>
  <c r="HR152" i="5"/>
  <c r="OV80" i="5"/>
  <c r="PG84" i="5"/>
  <c r="OS84" i="5"/>
  <c r="OV16" i="5"/>
  <c r="OU80" i="5"/>
  <c r="PB104" i="5"/>
  <c r="RV42" i="5"/>
  <c r="RV14" i="5"/>
  <c r="RV104" i="5"/>
  <c r="RV93" i="5"/>
  <c r="RV95" i="5"/>
  <c r="RV54" i="5"/>
  <c r="RV20" i="5"/>
  <c r="RV15" i="5"/>
  <c r="RV16" i="5"/>
  <c r="RV107" i="5"/>
  <c r="RV60" i="5"/>
  <c r="RV44" i="5"/>
  <c r="RV39" i="5"/>
  <c r="RV22" i="5"/>
  <c r="RV84" i="5"/>
  <c r="RV62" i="5"/>
  <c r="RV45" i="5"/>
  <c r="RV34" i="5"/>
  <c r="RV25" i="5"/>
  <c r="RV80" i="5"/>
  <c r="RV57" i="5"/>
  <c r="RV52" i="5"/>
  <c r="RV30" i="5"/>
  <c r="RV31" i="5"/>
  <c r="RV86" i="5"/>
  <c r="RV75" i="5"/>
  <c r="RV23" i="5"/>
  <c r="OA80" i="5"/>
  <c r="OS107" i="5"/>
  <c r="OK107" i="5"/>
  <c r="OQ107" i="5"/>
  <c r="OI16" i="5"/>
  <c r="OO16" i="5"/>
  <c r="OF16" i="5"/>
  <c r="OR52" i="5"/>
  <c r="OD80" i="5"/>
  <c r="OQ80" i="5"/>
  <c r="OK80" i="5"/>
  <c r="OH104" i="5"/>
  <c r="PF95" i="5"/>
  <c r="PF107" i="5"/>
  <c r="OW107" i="5"/>
  <c r="PA16" i="5"/>
  <c r="PG16" i="5"/>
  <c r="OX16" i="5"/>
  <c r="OV60" i="5"/>
  <c r="PH80" i="5"/>
  <c r="PF80" i="5"/>
  <c r="OW80" i="5"/>
  <c r="OT104" i="5"/>
  <c r="OM16" i="5"/>
  <c r="OQ16" i="5"/>
  <c r="OK16" i="5"/>
  <c r="OG104" i="5"/>
  <c r="OW16" i="5"/>
  <c r="PC16" i="5"/>
  <c r="OT16" i="5"/>
  <c r="OD16" i="5"/>
  <c r="OP16" i="5"/>
  <c r="OG16" i="5"/>
  <c r="OB52" i="5"/>
  <c r="ON104" i="5"/>
  <c r="PH16" i="5"/>
  <c r="OY16" i="5"/>
  <c r="PG80" i="5"/>
  <c r="OX80" i="5"/>
  <c r="OC16" i="5"/>
  <c r="OL16" i="5"/>
  <c r="OR16" i="5"/>
  <c r="OI52" i="5"/>
  <c r="OC104" i="5"/>
  <c r="PD16" i="5"/>
  <c r="OU16" i="5"/>
  <c r="OV104" i="5"/>
  <c r="OR95" i="5"/>
  <c r="OE107" i="5"/>
  <c r="OJ107" i="5"/>
  <c r="OL107" i="5"/>
  <c r="OB16" i="5"/>
  <c r="OH16" i="5"/>
  <c r="ON16" i="5"/>
  <c r="OE80" i="5"/>
  <c r="OS80" i="5"/>
  <c r="OJ80" i="5"/>
  <c r="OE104" i="5"/>
  <c r="PC107" i="5"/>
  <c r="PE107" i="5"/>
  <c r="OZ16" i="5"/>
  <c r="OZ80" i="5"/>
  <c r="OY80" i="5"/>
  <c r="OA84" i="5"/>
  <c r="OE95" i="5"/>
  <c r="ON95" i="5"/>
  <c r="OP95" i="5"/>
  <c r="OK14" i="5"/>
  <c r="OM84" i="5"/>
  <c r="OO84" i="5"/>
  <c r="OF84" i="5"/>
  <c r="PB95" i="5"/>
  <c r="PH95" i="5"/>
  <c r="PC84" i="5"/>
  <c r="OT84" i="5"/>
  <c r="OK95" i="5"/>
  <c r="OJ95" i="5"/>
  <c r="OL95" i="5"/>
  <c r="OJ14" i="5"/>
  <c r="OD84" i="5"/>
  <c r="OI84" i="5"/>
  <c r="OK84" i="5"/>
  <c r="OY95" i="5"/>
  <c r="OX95" i="5"/>
  <c r="PD95" i="5"/>
  <c r="PG14" i="5"/>
  <c r="PD84" i="5"/>
  <c r="OY84" i="5"/>
  <c r="PE84" i="5"/>
  <c r="OG95" i="5"/>
  <c r="OF95" i="5"/>
  <c r="OH95" i="5"/>
  <c r="OC84" i="5"/>
  <c r="OP84" i="5"/>
  <c r="OG84" i="5"/>
  <c r="OU95" i="5"/>
  <c r="OT95" i="5"/>
  <c r="OZ95" i="5"/>
  <c r="PF14" i="5"/>
  <c r="OZ84" i="5"/>
  <c r="OU84" i="5"/>
  <c r="PA84" i="5"/>
  <c r="OD95" i="5"/>
  <c r="OS95" i="5"/>
  <c r="OQ95" i="5"/>
  <c r="OD14" i="5"/>
  <c r="OB84" i="5"/>
  <c r="OL84" i="5"/>
  <c r="CJ84" i="5" s="1"/>
  <c r="OR84" i="5"/>
  <c r="PG95" i="5"/>
  <c r="PE95" i="5"/>
  <c r="OV95" i="5"/>
  <c r="PE14" i="5"/>
  <c r="OV84" i="5"/>
  <c r="PF84" i="5"/>
  <c r="OW84" i="5"/>
  <c r="OC95" i="5"/>
  <c r="CJ95" i="5" s="1"/>
  <c r="OO95" i="5"/>
  <c r="OM95" i="5"/>
  <c r="OE14" i="5"/>
  <c r="OE84" i="5"/>
  <c r="OH84" i="5"/>
  <c r="ON84" i="5"/>
  <c r="PC95" i="5"/>
  <c r="PD14" i="5"/>
  <c r="PH84" i="5"/>
  <c r="PB84" i="5"/>
  <c r="PF20" i="5"/>
  <c r="OV20" i="5"/>
  <c r="OD20" i="5"/>
  <c r="OW20" i="5"/>
  <c r="OJ20" i="5"/>
  <c r="OK20" i="5"/>
  <c r="OT20" i="5"/>
  <c r="OL20" i="5"/>
  <c r="OU20" i="5"/>
  <c r="OQ20" i="5"/>
  <c r="OV62" i="5"/>
  <c r="OR62" i="5"/>
  <c r="OL62" i="5"/>
  <c r="OC62" i="5"/>
  <c r="OA62" i="5"/>
  <c r="PD62" i="5"/>
  <c r="OG62" i="5"/>
  <c r="OP62" i="5"/>
  <c r="OI62" i="5"/>
  <c r="OW62" i="5"/>
  <c r="OK62" i="5"/>
  <c r="OM62" i="5"/>
  <c r="OD62" i="5"/>
  <c r="PF62" i="5"/>
  <c r="OF62" i="5"/>
  <c r="OO62" i="5"/>
  <c r="OQ62" i="5"/>
  <c r="OJ62" i="5"/>
  <c r="OS62" i="5"/>
  <c r="OE62" i="5"/>
  <c r="OU62" i="5"/>
  <c r="ON62" i="5"/>
  <c r="OH62" i="5"/>
  <c r="OB62" i="5"/>
  <c r="OU39" i="5"/>
  <c r="PA39" i="5"/>
  <c r="OY39" i="5"/>
  <c r="OH39" i="5"/>
  <c r="OF39" i="5"/>
  <c r="OG39" i="5"/>
  <c r="OV39" i="5"/>
  <c r="PE39" i="5"/>
  <c r="PC39" i="5"/>
  <c r="OL39" i="5"/>
  <c r="OJ39" i="5"/>
  <c r="CJ39" i="5" s="1"/>
  <c r="OE39" i="5"/>
  <c r="OZ39" i="5"/>
  <c r="OX39" i="5"/>
  <c r="PG39" i="5"/>
  <c r="OP39" i="5"/>
  <c r="ON39" i="5"/>
  <c r="OB39" i="5"/>
  <c r="PD39" i="5"/>
  <c r="PB39" i="5"/>
  <c r="OI39" i="5"/>
  <c r="OR39" i="5"/>
  <c r="OC39" i="5"/>
  <c r="PH39" i="5"/>
  <c r="PF39" i="5"/>
  <c r="OM39" i="5"/>
  <c r="OO39" i="5"/>
  <c r="OD39" i="5"/>
  <c r="OW39" i="5"/>
  <c r="OT39" i="5"/>
  <c r="OQ39" i="5"/>
  <c r="OS39" i="5"/>
  <c r="OK39" i="5"/>
  <c r="OT23" i="5"/>
  <c r="PC23" i="5"/>
  <c r="OH23" i="5"/>
  <c r="OF23" i="5"/>
  <c r="OG23" i="5"/>
  <c r="OX23" i="5"/>
  <c r="PG23" i="5"/>
  <c r="OL23" i="5"/>
  <c r="OJ23" i="5"/>
  <c r="OE23" i="5"/>
  <c r="PB23" i="5"/>
  <c r="OV23" i="5"/>
  <c r="OP23" i="5"/>
  <c r="ON23" i="5"/>
  <c r="OK23" i="5"/>
  <c r="OW23" i="5"/>
  <c r="PF23" i="5"/>
  <c r="OZ23" i="5"/>
  <c r="OI23" i="5"/>
  <c r="OR23" i="5"/>
  <c r="OB23" i="5"/>
  <c r="PA23" i="5"/>
  <c r="OU23" i="5"/>
  <c r="PD23" i="5"/>
  <c r="OM23" i="5"/>
  <c r="OO23" i="5"/>
  <c r="OC23" i="5"/>
  <c r="PE23" i="5"/>
  <c r="OY23" i="5"/>
  <c r="PH23" i="5"/>
  <c r="OQ23" i="5"/>
  <c r="OS23" i="5"/>
  <c r="OD23" i="5"/>
  <c r="OE52" i="5"/>
  <c r="OH52" i="5"/>
  <c r="ON52" i="5"/>
  <c r="OM104" i="5"/>
  <c r="OS104" i="5"/>
  <c r="OJ104" i="5"/>
  <c r="PB52" i="5"/>
  <c r="PH104" i="5"/>
  <c r="OY104" i="5"/>
  <c r="PE104" i="5"/>
  <c r="OQ52" i="5"/>
  <c r="OS52" i="5"/>
  <c r="OJ52" i="5"/>
  <c r="OI104" i="5"/>
  <c r="OO104" i="5"/>
  <c r="OF104" i="5"/>
  <c r="OT52" i="5"/>
  <c r="PD104" i="5"/>
  <c r="OU104" i="5"/>
  <c r="PA104" i="5"/>
  <c r="OM52" i="5"/>
  <c r="OO52" i="5"/>
  <c r="OF52" i="5"/>
  <c r="OD104" i="5"/>
  <c r="OQ104" i="5"/>
  <c r="OK104" i="5"/>
  <c r="PA52" i="5"/>
  <c r="OZ104" i="5"/>
  <c r="PF104" i="5"/>
  <c r="OW104" i="5"/>
  <c r="OC52" i="5"/>
  <c r="OP52" i="5"/>
  <c r="OG52" i="5"/>
  <c r="OB104" i="5"/>
  <c r="OL104" i="5"/>
  <c r="CJ104" i="5" s="1"/>
  <c r="OR104" i="5"/>
  <c r="OZ52" i="5"/>
  <c r="PG104" i="5"/>
  <c r="OX104" i="5"/>
  <c r="PC25" i="5"/>
  <c r="PD25" i="5"/>
  <c r="PE25" i="5"/>
  <c r="PF25" i="5"/>
  <c r="OP25" i="5"/>
  <c r="OF25" i="5"/>
  <c r="OS25" i="5"/>
  <c r="OB25" i="5"/>
  <c r="CJ25" i="5" s="1"/>
  <c r="PG25" i="5"/>
  <c r="PH25" i="5"/>
  <c r="OT25" i="5"/>
  <c r="OI25" i="5"/>
  <c r="OJ25" i="5"/>
  <c r="OG25" i="5"/>
  <c r="OC25" i="5"/>
  <c r="OU25" i="5"/>
  <c r="OV25" i="5"/>
  <c r="OW25" i="5"/>
  <c r="OX25" i="5"/>
  <c r="OH25" i="5"/>
  <c r="OM25" i="5"/>
  <c r="ON25" i="5"/>
  <c r="OK25" i="5"/>
  <c r="OO25" i="5"/>
  <c r="OY25" i="5"/>
  <c r="OZ25" i="5"/>
  <c r="PA25" i="5"/>
  <c r="PB25" i="5"/>
  <c r="OL25" i="5"/>
  <c r="OQ25" i="5"/>
  <c r="OR25" i="5"/>
  <c r="OE25" i="5"/>
  <c r="OD25" i="5"/>
  <c r="PA44" i="5"/>
  <c r="PB44" i="5"/>
  <c r="PC44" i="5"/>
  <c r="PH44" i="5"/>
  <c r="OF44" i="5"/>
  <c r="OG44" i="5"/>
  <c r="OH44" i="5"/>
  <c r="OM44" i="5"/>
  <c r="OC44" i="5"/>
  <c r="PE44" i="5"/>
  <c r="PF44" i="5"/>
  <c r="PG44" i="5"/>
  <c r="OV44" i="5"/>
  <c r="OJ44" i="5"/>
  <c r="OK44" i="5"/>
  <c r="OL44" i="5"/>
  <c r="OQ44" i="5"/>
  <c r="OD44" i="5"/>
  <c r="OT44" i="5"/>
  <c r="OU44" i="5"/>
  <c r="OZ44" i="5"/>
  <c r="ON44" i="5"/>
  <c r="OO44" i="5"/>
  <c r="OP44" i="5"/>
  <c r="OE44" i="5"/>
  <c r="OW44" i="5"/>
  <c r="OX44" i="5"/>
  <c r="OY44" i="5"/>
  <c r="PD44" i="5"/>
  <c r="OR44" i="5"/>
  <c r="OS44" i="5"/>
  <c r="OI44" i="5"/>
  <c r="OB44" i="5"/>
  <c r="OB14" i="5"/>
  <c r="OM14" i="5"/>
  <c r="OS14" i="5"/>
  <c r="OR14" i="5"/>
  <c r="OB20" i="5"/>
  <c r="OI20" i="5"/>
  <c r="OS20" i="5"/>
  <c r="OR20" i="5"/>
  <c r="OB60" i="5"/>
  <c r="OI60" i="5"/>
  <c r="OS60" i="5"/>
  <c r="OR60" i="5"/>
  <c r="OY14" i="5"/>
  <c r="OX14" i="5"/>
  <c r="OW14" i="5"/>
  <c r="OV14" i="5"/>
  <c r="PE20" i="5"/>
  <c r="PD20" i="5"/>
  <c r="PC20" i="5"/>
  <c r="PB20" i="5"/>
  <c r="PD60" i="5"/>
  <c r="OY60" i="5"/>
  <c r="OX60" i="5"/>
  <c r="OW60" i="5"/>
  <c r="OI14" i="5"/>
  <c r="OP14" i="5"/>
  <c r="OO14" i="5"/>
  <c r="ON14" i="5"/>
  <c r="OE20" i="5"/>
  <c r="OP20" i="5"/>
  <c r="OO20" i="5"/>
  <c r="ON20" i="5"/>
  <c r="OE60" i="5"/>
  <c r="OP60" i="5"/>
  <c r="OO60" i="5"/>
  <c r="ON60" i="5"/>
  <c r="OU14" i="5"/>
  <c r="OT14" i="5"/>
  <c r="PH14" i="5"/>
  <c r="PA20" i="5"/>
  <c r="OZ20" i="5"/>
  <c r="OY20" i="5"/>
  <c r="OX20" i="5"/>
  <c r="OZ60" i="5"/>
  <c r="OU60" i="5"/>
  <c r="OT60" i="5"/>
  <c r="NZ15" i="5"/>
  <c r="CJ15" i="5" s="1"/>
  <c r="OC14" i="5"/>
  <c r="OQ14" i="5"/>
  <c r="OH14" i="5"/>
  <c r="OG14" i="5"/>
  <c r="OF14" i="5"/>
  <c r="OC20" i="5"/>
  <c r="OM20" i="5"/>
  <c r="OH20" i="5"/>
  <c r="OG20" i="5"/>
  <c r="OF20" i="5"/>
  <c r="OC60" i="5"/>
  <c r="OM60" i="5"/>
  <c r="OH60" i="5"/>
  <c r="OG60" i="5"/>
  <c r="OF60" i="5"/>
  <c r="PC14" i="5"/>
  <c r="PB14" i="5"/>
  <c r="PA14" i="5"/>
  <c r="PH20" i="5"/>
  <c r="PG20" i="5"/>
  <c r="PH60" i="5"/>
  <c r="PC60" i="5"/>
  <c r="PB60" i="5"/>
  <c r="PA60" i="5"/>
  <c r="MY13" i="5"/>
  <c r="HJ13" i="5" s="1"/>
  <c r="NR17" i="5"/>
  <c r="NS47" i="5"/>
  <c r="NU47" i="5" s="1"/>
  <c r="MY36" i="5"/>
  <c r="HJ36" i="5" s="1"/>
  <c r="NS19" i="5"/>
  <c r="NU19" i="5" s="1"/>
  <c r="MY73" i="5"/>
  <c r="HJ73" i="5" s="1"/>
  <c r="MY26" i="5"/>
  <c r="HJ26" i="5" s="1"/>
  <c r="MY67" i="5"/>
  <c r="HJ67" i="5" s="1"/>
  <c r="MY85" i="5"/>
  <c r="HJ85" i="5" s="1"/>
  <c r="MY98" i="5"/>
  <c r="HJ98" i="5" s="1"/>
  <c r="MY56" i="5"/>
  <c r="HJ56" i="5" s="1"/>
  <c r="MY48" i="5"/>
  <c r="HJ48" i="5" s="1"/>
  <c r="MY83" i="5"/>
  <c r="HJ83" i="5" s="1"/>
  <c r="MY109" i="5"/>
  <c r="HJ109" i="5" s="1"/>
  <c r="MY19" i="5"/>
  <c r="HJ19" i="5" s="1"/>
  <c r="MY27" i="5"/>
  <c r="HJ27" i="5" s="1"/>
  <c r="MY53" i="5"/>
  <c r="HJ53" i="5" s="1"/>
  <c r="MY17" i="5"/>
  <c r="MY47" i="5"/>
  <c r="HJ47" i="5" s="1"/>
  <c r="MY18" i="5"/>
  <c r="HJ18" i="5" s="1"/>
  <c r="MY64" i="5"/>
  <c r="HJ64" i="5" s="1"/>
  <c r="MY24" i="5"/>
  <c r="HJ24" i="5" s="1"/>
  <c r="MY77" i="5"/>
  <c r="HJ77" i="5" s="1"/>
  <c r="MY37" i="5"/>
  <c r="HJ37" i="5" s="1"/>
  <c r="MY76" i="5"/>
  <c r="HJ76" i="5" s="1"/>
  <c r="MY82" i="5"/>
  <c r="HJ82" i="5" s="1"/>
  <c r="MY58" i="5"/>
  <c r="HJ58" i="5" s="1"/>
  <c r="MY79" i="5"/>
  <c r="HJ79" i="5" s="1"/>
  <c r="MY89" i="5"/>
  <c r="HJ89" i="5" s="1"/>
  <c r="MY74" i="5"/>
  <c r="HJ74" i="5" s="1"/>
  <c r="MY29" i="5"/>
  <c r="HJ29" i="5" s="1"/>
  <c r="MY115" i="5"/>
  <c r="HJ115" i="5" s="1"/>
  <c r="MY71" i="5"/>
  <c r="HJ71" i="5" s="1"/>
  <c r="NR8" i="5"/>
  <c r="NN8" i="5"/>
  <c r="NO8" i="5"/>
  <c r="RX9" i="5"/>
  <c r="RY9" i="5" s="1"/>
  <c r="NX8" i="5"/>
  <c r="MY8" i="5"/>
  <c r="HJ8" i="5" s="1"/>
  <c r="RV6" i="5"/>
  <c r="PD6" i="5"/>
  <c r="OY6" i="5"/>
  <c r="OE6" i="5"/>
  <c r="OV6" i="5"/>
  <c r="OJ6" i="5"/>
  <c r="OD6" i="5"/>
  <c r="OW6" i="5"/>
  <c r="OK6" i="5"/>
  <c r="OX6" i="5"/>
  <c r="OL6" i="5"/>
  <c r="OB6" i="5"/>
  <c r="OP6" i="5"/>
  <c r="OO6" i="5"/>
  <c r="ON6" i="5"/>
  <c r="PC6" i="5"/>
  <c r="PB6" i="5"/>
  <c r="PA6" i="5"/>
  <c r="OZ6" i="5"/>
  <c r="OC6" i="5"/>
  <c r="OQ6" i="5"/>
  <c r="OH6" i="5"/>
  <c r="OG6" i="5"/>
  <c r="OF6" i="5"/>
  <c r="OU6" i="5"/>
  <c r="OT6" i="5"/>
  <c r="PH6" i="5"/>
  <c r="OI6" i="5"/>
  <c r="OM6" i="5"/>
  <c r="OS6" i="5"/>
  <c r="OR6" i="5"/>
  <c r="PG6" i="5"/>
  <c r="PF6" i="5"/>
  <c r="PE6" i="5"/>
  <c r="MY69" i="5"/>
  <c r="HJ69" i="5" s="1"/>
  <c r="MY105" i="5"/>
  <c r="HJ105" i="5" s="1"/>
  <c r="MY21" i="5"/>
  <c r="HJ21" i="5" s="1"/>
  <c r="MY33" i="5"/>
  <c r="HJ33" i="5" s="1"/>
  <c r="MY81" i="5"/>
  <c r="HJ81" i="5" s="1"/>
  <c r="MY63" i="5"/>
  <c r="HJ63" i="5" s="1"/>
  <c r="PH30" i="5"/>
  <c r="PB30" i="5"/>
  <c r="OR30" i="5"/>
  <c r="OL30" i="5"/>
  <c r="OC30" i="5"/>
  <c r="ON30" i="5"/>
  <c r="OW30" i="5"/>
  <c r="PF30" i="5"/>
  <c r="OG30" i="5"/>
  <c r="OP30" i="5"/>
  <c r="OD30" i="5"/>
  <c r="PA30" i="5"/>
  <c r="OU30" i="5"/>
  <c r="OK30" i="5"/>
  <c r="OM30" i="5"/>
  <c r="OI30" i="5"/>
  <c r="PD30" i="5"/>
  <c r="PG30" i="5"/>
  <c r="OH30" i="5"/>
  <c r="OV30" i="5"/>
  <c r="PE30" i="5"/>
  <c r="OY30" i="5"/>
  <c r="OF30" i="5"/>
  <c r="OO30" i="5"/>
  <c r="OQ30" i="5"/>
  <c r="OX30" i="5"/>
  <c r="OB30" i="5"/>
  <c r="OZ30" i="5"/>
  <c r="OT30" i="5"/>
  <c r="PC30" i="5"/>
  <c r="OJ30" i="5"/>
  <c r="CJ30" i="5" s="1"/>
  <c r="OS30" i="5"/>
  <c r="OE30" i="5"/>
  <c r="OV42" i="5"/>
  <c r="PE42" i="5"/>
  <c r="OR42" i="5"/>
  <c r="OL42" i="5"/>
  <c r="OQ42" i="5"/>
  <c r="OZ42" i="5"/>
  <c r="OX42" i="5"/>
  <c r="OG42" i="5"/>
  <c r="OP42" i="5"/>
  <c r="OC42" i="5"/>
  <c r="OU42" i="5"/>
  <c r="PD42" i="5"/>
  <c r="PB42" i="5"/>
  <c r="OK42" i="5"/>
  <c r="OI42" i="5"/>
  <c r="OD42" i="5"/>
  <c r="PG42" i="5"/>
  <c r="PA42" i="5"/>
  <c r="OH42" i="5"/>
  <c r="OY42" i="5"/>
  <c r="PH42" i="5"/>
  <c r="PF42" i="5"/>
  <c r="OF42" i="5"/>
  <c r="OO42" i="5"/>
  <c r="OM42" i="5"/>
  <c r="OB42" i="5"/>
  <c r="PC42" i="5"/>
  <c r="OW42" i="5"/>
  <c r="OT42" i="5"/>
  <c r="OJ42" i="5"/>
  <c r="OS42" i="5"/>
  <c r="OE42" i="5"/>
  <c r="CJ42" i="5" s="1"/>
  <c r="ON42" i="5"/>
  <c r="OW31" i="5"/>
  <c r="PF31" i="5"/>
  <c r="OZ31" i="5"/>
  <c r="OI31" i="5"/>
  <c r="OR31" i="5"/>
  <c r="OB31" i="5"/>
  <c r="OP31" i="5"/>
  <c r="PA31" i="5"/>
  <c r="OU31" i="5"/>
  <c r="PD31" i="5"/>
  <c r="OM31" i="5"/>
  <c r="OO31" i="5"/>
  <c r="OC31" i="5"/>
  <c r="OV31" i="5"/>
  <c r="PE31" i="5"/>
  <c r="OY31" i="5"/>
  <c r="PH31" i="5"/>
  <c r="OQ31" i="5"/>
  <c r="OS31" i="5"/>
  <c r="OD31" i="5"/>
  <c r="PB31" i="5"/>
  <c r="ON31" i="5"/>
  <c r="OT31" i="5"/>
  <c r="PC31" i="5"/>
  <c r="OH31" i="5"/>
  <c r="OF31" i="5"/>
  <c r="OG31" i="5"/>
  <c r="OX31" i="5"/>
  <c r="PG31" i="5"/>
  <c r="OL31" i="5"/>
  <c r="OJ31" i="5"/>
  <c r="OK31" i="5"/>
  <c r="OE31" i="5"/>
  <c r="CJ31" i="5" s="1"/>
  <c r="OV75" i="5"/>
  <c r="PE75" i="5"/>
  <c r="PC75" i="5"/>
  <c r="OI75" i="5"/>
  <c r="OR75" i="5"/>
  <c r="OC75" i="5"/>
  <c r="OZ75" i="5"/>
  <c r="OT75" i="5"/>
  <c r="PG75" i="5"/>
  <c r="OM75" i="5"/>
  <c r="OG75" i="5"/>
  <c r="OD75" i="5"/>
  <c r="OY75" i="5"/>
  <c r="OP75" i="5"/>
  <c r="PD75" i="5"/>
  <c r="OX75" i="5"/>
  <c r="OU75" i="5"/>
  <c r="OQ75" i="5"/>
  <c r="OK75" i="5"/>
  <c r="OS75" i="5"/>
  <c r="PA75" i="5"/>
  <c r="ON75" i="5"/>
  <c r="PH75" i="5"/>
  <c r="PB75" i="5"/>
  <c r="OH75" i="5"/>
  <c r="OF75" i="5"/>
  <c r="OO75" i="5"/>
  <c r="OB75" i="5"/>
  <c r="OW75" i="5"/>
  <c r="PF75" i="5"/>
  <c r="OL75" i="5"/>
  <c r="OJ75" i="5"/>
  <c r="OE75" i="5"/>
  <c r="CJ75" i="5" s="1"/>
  <c r="PF93" i="5"/>
  <c r="OZ93" i="5"/>
  <c r="OI93" i="5"/>
  <c r="OR93" i="5"/>
  <c r="OG93" i="5"/>
  <c r="PB93" i="5"/>
  <c r="OU93" i="5"/>
  <c r="PD93" i="5"/>
  <c r="OM93" i="5"/>
  <c r="OK93" i="5"/>
  <c r="OC93" i="5"/>
  <c r="OP93" i="5"/>
  <c r="OY93" i="5"/>
  <c r="PH93" i="5"/>
  <c r="OQ93" i="5"/>
  <c r="OO93" i="5"/>
  <c r="OD93" i="5"/>
  <c r="ON93" i="5"/>
  <c r="CJ93" i="5" s="1"/>
  <c r="OT93" i="5"/>
  <c r="PC93" i="5"/>
  <c r="PA93" i="5"/>
  <c r="OH93" i="5"/>
  <c r="OF93" i="5"/>
  <c r="OS93" i="5"/>
  <c r="OV93" i="5"/>
  <c r="OB93" i="5"/>
  <c r="OX93" i="5"/>
  <c r="PG93" i="5"/>
  <c r="PE93" i="5"/>
  <c r="OL93" i="5"/>
  <c r="OJ93" i="5"/>
  <c r="OE93" i="5"/>
  <c r="OW93" i="5"/>
  <c r="PH34" i="5"/>
  <c r="PD34" i="5"/>
  <c r="OU34" i="5"/>
  <c r="OR34" i="5"/>
  <c r="OL34" i="5"/>
  <c r="OC34" i="5"/>
  <c r="OW34" i="5"/>
  <c r="OY34" i="5"/>
  <c r="OG34" i="5"/>
  <c r="OP34" i="5"/>
  <c r="OQ34" i="5"/>
  <c r="PF34" i="5"/>
  <c r="PA34" i="5"/>
  <c r="PG34" i="5"/>
  <c r="OK34" i="5"/>
  <c r="OI34" i="5"/>
  <c r="OD34" i="5"/>
  <c r="CJ34" i="5" s="1"/>
  <c r="OV34" i="5"/>
  <c r="ON34" i="5"/>
  <c r="PE34" i="5"/>
  <c r="OF34" i="5"/>
  <c r="OO34" i="5"/>
  <c r="OM34" i="5"/>
  <c r="OB34" i="5"/>
  <c r="OX34" i="5"/>
  <c r="OJ34" i="5"/>
  <c r="OS34" i="5"/>
  <c r="OE34" i="5"/>
  <c r="OH34" i="5"/>
  <c r="NZ86" i="5"/>
  <c r="PH52" i="5"/>
  <c r="OX62" i="5"/>
  <c r="PC62" i="5"/>
  <c r="NZ54" i="5"/>
  <c r="CJ54" i="5" s="1"/>
  <c r="NZ45" i="5"/>
  <c r="CJ45" i="5" s="1"/>
  <c r="OU52" i="5"/>
  <c r="PE62" i="5"/>
  <c r="PC34" i="5"/>
  <c r="OT34" i="5"/>
  <c r="OZ34" i="5"/>
  <c r="PG52" i="5"/>
  <c r="OX52" i="5"/>
  <c r="OT62" i="5"/>
  <c r="PH62" i="5"/>
  <c r="OY62" i="5"/>
  <c r="PD52" i="5"/>
  <c r="OY52" i="5"/>
  <c r="PE52" i="5"/>
  <c r="PB62" i="5"/>
  <c r="OZ62" i="5"/>
  <c r="PB34" i="5"/>
  <c r="OV52" i="5"/>
  <c r="PF52" i="5"/>
  <c r="OW52" i="5"/>
  <c r="PA62" i="5"/>
  <c r="PG62" i="5"/>
  <c r="NX21" i="5"/>
  <c r="NR33" i="5"/>
  <c r="NN33" i="5"/>
  <c r="NN21" i="5"/>
  <c r="NO63" i="5"/>
  <c r="NN63" i="5"/>
  <c r="NR63" i="5"/>
  <c r="NO33" i="5"/>
  <c r="NS71" i="5"/>
  <c r="NU71" i="5" s="1"/>
  <c r="NS48" i="5"/>
  <c r="NU48" i="5" s="1"/>
  <c r="NS58" i="5"/>
  <c r="NU58" i="5" s="1"/>
  <c r="NT5" i="5"/>
  <c r="NV5" i="5" s="1"/>
  <c r="NS29" i="5"/>
  <c r="NU29" i="5" s="1"/>
  <c r="NS64" i="5"/>
  <c r="NU64" i="5" s="1"/>
  <c r="NS67" i="5"/>
  <c r="NU67" i="5" s="1"/>
  <c r="NS18" i="5"/>
  <c r="NU18" i="5" s="1"/>
  <c r="NS73" i="5"/>
  <c r="NU73" i="5" s="1"/>
  <c r="NF60" i="5"/>
  <c r="MM60" i="5"/>
  <c r="NF25" i="5"/>
  <c r="MM25" i="5"/>
  <c r="NF44" i="5"/>
  <c r="MM44" i="5"/>
  <c r="NF22" i="5"/>
  <c r="MM22" i="5"/>
  <c r="NF52" i="5"/>
  <c r="MM52" i="5"/>
  <c r="NF42" i="5"/>
  <c r="MM42" i="5"/>
  <c r="NF14" i="5"/>
  <c r="MM14" i="5"/>
  <c r="NF86" i="5"/>
  <c r="MM86" i="5"/>
  <c r="NF62" i="5"/>
  <c r="MM62" i="5"/>
  <c r="NF104" i="5"/>
  <c r="MM104" i="5"/>
  <c r="NF15" i="5"/>
  <c r="MM15" i="5"/>
  <c r="NF39" i="5"/>
  <c r="MM39" i="5"/>
  <c r="NF57" i="5"/>
  <c r="MM57" i="5"/>
  <c r="NF107" i="5"/>
  <c r="MM107" i="5"/>
  <c r="NF54" i="5"/>
  <c r="MM54" i="5"/>
  <c r="NF84" i="5"/>
  <c r="MM84" i="5"/>
  <c r="NF31" i="5"/>
  <c r="MM31" i="5"/>
  <c r="NF75" i="5"/>
  <c r="MM75" i="5"/>
  <c r="NF16" i="5"/>
  <c r="MM16" i="5"/>
  <c r="NF34" i="5"/>
  <c r="MM34" i="5"/>
  <c r="NF6" i="5"/>
  <c r="MM6" i="5"/>
  <c r="NF20" i="5"/>
  <c r="MM20" i="5"/>
  <c r="NF80" i="5"/>
  <c r="MM80" i="5"/>
  <c r="NF30" i="5"/>
  <c r="MM30" i="5"/>
  <c r="NF45" i="5"/>
  <c r="MM45" i="5"/>
  <c r="NF93" i="5"/>
  <c r="MM93" i="5"/>
  <c r="NF23" i="5"/>
  <c r="MM23" i="5"/>
  <c r="NF95" i="5"/>
  <c r="MM95" i="5"/>
  <c r="OA31" i="5"/>
  <c r="OA75" i="5"/>
  <c r="OA16" i="5"/>
  <c r="OA52" i="5"/>
  <c r="OA6" i="5"/>
  <c r="OA22" i="5"/>
  <c r="OA39" i="5"/>
  <c r="OA93" i="5"/>
  <c r="OA30" i="5"/>
  <c r="OA23" i="5"/>
  <c r="OA95" i="5"/>
  <c r="OA34" i="5"/>
  <c r="OA20" i="5"/>
  <c r="OA42" i="5"/>
  <c r="OA60" i="5"/>
  <c r="OA25" i="5"/>
  <c r="OA14" i="5"/>
  <c r="OA44" i="5"/>
  <c r="OA104" i="5"/>
  <c r="ND122" i="5"/>
  <c r="ND119" i="5"/>
  <c r="ND117" i="5"/>
  <c r="HI117" i="5" s="1"/>
  <c r="ND123" i="5"/>
  <c r="HI123" i="5" s="1"/>
  <c r="ND118" i="5"/>
  <c r="HI118" i="5" s="1"/>
  <c r="ND111" i="5"/>
  <c r="ND43" i="5"/>
  <c r="ND40" i="5"/>
  <c r="HI40" i="5" s="1"/>
  <c r="NX238" i="5"/>
  <c r="NX224" i="5"/>
  <c r="NR7" i="5"/>
  <c r="NT82" i="5"/>
  <c r="NV82" i="5" s="1"/>
  <c r="NT79" i="5"/>
  <c r="NV79" i="5" s="1"/>
  <c r="NT248" i="5"/>
  <c r="NV248" i="5" s="1"/>
  <c r="NT67" i="5"/>
  <c r="NV67" i="5" s="1"/>
  <c r="NT240" i="5"/>
  <c r="NV240" i="5" s="1"/>
  <c r="NT58" i="5"/>
  <c r="NV58" i="5" s="1"/>
  <c r="NT247" i="5"/>
  <c r="NV247" i="5" s="1"/>
  <c r="NT115" i="5"/>
  <c r="NV115" i="5" s="1"/>
  <c r="NT186" i="5"/>
  <c r="NV186" i="5" s="1"/>
  <c r="NT184" i="5"/>
  <c r="NV184" i="5" s="1"/>
  <c r="NT118" i="5"/>
  <c r="NV118" i="5" s="1"/>
  <c r="NT73" i="5"/>
  <c r="NV73" i="5" s="1"/>
  <c r="NT4" i="5"/>
  <c r="NV4" i="5" s="1"/>
  <c r="NT123" i="5"/>
  <c r="NV123" i="5" s="1"/>
  <c r="NT221" i="5"/>
  <c r="NV221" i="5" s="1"/>
  <c r="NT236" i="5"/>
  <c r="NV236" i="5" s="1"/>
  <c r="NT244" i="5"/>
  <c r="NV244" i="5" s="1"/>
  <c r="NT241" i="5"/>
  <c r="NV241" i="5" s="1"/>
  <c r="NT245" i="5"/>
  <c r="NV245" i="5" s="1"/>
  <c r="NT191" i="5"/>
  <c r="NV191" i="5" s="1"/>
  <c r="NT237" i="5"/>
  <c r="NV237" i="5" s="1"/>
  <c r="NT239" i="5"/>
  <c r="NV239" i="5" s="1"/>
  <c r="NT61" i="5"/>
  <c r="NV61" i="5" s="1"/>
  <c r="NT243" i="5"/>
  <c r="NV243" i="5" s="1"/>
  <c r="NT235" i="5"/>
  <c r="NV235" i="5" s="1"/>
  <c r="NT71" i="5"/>
  <c r="NV71" i="5" s="1"/>
  <c r="NT192" i="5"/>
  <c r="NV192" i="5" s="1"/>
  <c r="NT183" i="5"/>
  <c r="NV183" i="5" s="1"/>
  <c r="NT214" i="5"/>
  <c r="NV214" i="5" s="1"/>
  <c r="NT64" i="5"/>
  <c r="NV64" i="5" s="1"/>
  <c r="NT8" i="5"/>
  <c r="NT161" i="5"/>
  <c r="NV161" i="5" s="1"/>
  <c r="NT122" i="5"/>
  <c r="NV122" i="5" s="1"/>
  <c r="NT109" i="5"/>
  <c r="NV109" i="5" s="1"/>
  <c r="NT167" i="5"/>
  <c r="NV167" i="5" s="1"/>
  <c r="NT21" i="5"/>
  <c r="NV21" i="5" s="1"/>
  <c r="NT29" i="5"/>
  <c r="NV29" i="5" s="1"/>
  <c r="NT217" i="5"/>
  <c r="NV217" i="5" s="1"/>
  <c r="NT218" i="5"/>
  <c r="NV218" i="5" s="1"/>
  <c r="NT215" i="5"/>
  <c r="NV215" i="5" s="1"/>
  <c r="NT246" i="5"/>
  <c r="NV246" i="5" s="1"/>
  <c r="NT40" i="5"/>
  <c r="NV40" i="5" s="1"/>
  <c r="NT166" i="5"/>
  <c r="NV166" i="5" s="1"/>
  <c r="NT18" i="5"/>
  <c r="NV18" i="5" s="1"/>
  <c r="NT178" i="5"/>
  <c r="NV178" i="5" s="1"/>
  <c r="NT48" i="5"/>
  <c r="NV48" i="5" s="1"/>
  <c r="NT160" i="5"/>
  <c r="NV160" i="5" s="1"/>
  <c r="NT216" i="5"/>
  <c r="NV216" i="5" s="1"/>
  <c r="NT43" i="5"/>
  <c r="NV43" i="5" s="1"/>
  <c r="NS245" i="5"/>
  <c r="NU245" i="5" s="1"/>
  <c r="NS221" i="5"/>
  <c r="NU221" i="5" s="1"/>
  <c r="NS237" i="5"/>
  <c r="NU237" i="5" s="1"/>
  <c r="NS79" i="5"/>
  <c r="NU79" i="5" s="1"/>
  <c r="NS4" i="5"/>
  <c r="NU4" i="5" s="1"/>
  <c r="NS178" i="5"/>
  <c r="NU178" i="5" s="1"/>
  <c r="NS166" i="5"/>
  <c r="NU166" i="5" s="1"/>
  <c r="NS82" i="5"/>
  <c r="NU82" i="5" s="1"/>
  <c r="NS217" i="5"/>
  <c r="NU217" i="5" s="1"/>
  <c r="NS240" i="5"/>
  <c r="NU240" i="5" s="1"/>
  <c r="NS236" i="5"/>
  <c r="NU236" i="5" s="1"/>
  <c r="NS115" i="5"/>
  <c r="NU115" i="5" s="1"/>
  <c r="NS183" i="5"/>
  <c r="NU183" i="5" s="1"/>
  <c r="NS160" i="5"/>
  <c r="NU160" i="5" s="1"/>
  <c r="NS246" i="5"/>
  <c r="NU246" i="5" s="1"/>
  <c r="NS214" i="5"/>
  <c r="NU214" i="5" s="1"/>
  <c r="NS241" i="5"/>
  <c r="NU241" i="5" s="1"/>
  <c r="NS243" i="5"/>
  <c r="NU243" i="5" s="1"/>
  <c r="NS184" i="5"/>
  <c r="NU184" i="5" s="1"/>
  <c r="NS118" i="5"/>
  <c r="NU118" i="5" s="1"/>
  <c r="NS167" i="5"/>
  <c r="NU167" i="5" s="1"/>
  <c r="NS123" i="5"/>
  <c r="NU123" i="5" s="1"/>
  <c r="NS218" i="5"/>
  <c r="NU218" i="5" s="1"/>
  <c r="NS235" i="5"/>
  <c r="NU235" i="5" s="1"/>
  <c r="NS215" i="5"/>
  <c r="NU215" i="5" s="1"/>
  <c r="NS161" i="5"/>
  <c r="NU161" i="5" s="1"/>
  <c r="NS122" i="5"/>
  <c r="NU122" i="5" s="1"/>
  <c r="NS109" i="5"/>
  <c r="NU109" i="5" s="1"/>
  <c r="NS244" i="5"/>
  <c r="NU244" i="5" s="1"/>
  <c r="NS192" i="5"/>
  <c r="NU192" i="5" s="1"/>
  <c r="NS247" i="5"/>
  <c r="NU247" i="5" s="1"/>
  <c r="NS216" i="5"/>
  <c r="NU216" i="5" s="1"/>
  <c r="NS186" i="5"/>
  <c r="NU186" i="5" s="1"/>
  <c r="NS191" i="5"/>
  <c r="NU191" i="5" s="1"/>
  <c r="NS248" i="5"/>
  <c r="NU248" i="5" s="1"/>
  <c r="NS239" i="5"/>
  <c r="NU239" i="5" s="1"/>
  <c r="NS27" i="5"/>
  <c r="NU27" i="5" s="1"/>
  <c r="NS56" i="5"/>
  <c r="NU56" i="5" s="1"/>
  <c r="NS24" i="5"/>
  <c r="NU24" i="5" s="1"/>
  <c r="NS26" i="5"/>
  <c r="NU26" i="5" s="1"/>
  <c r="NS77" i="5"/>
  <c r="NU77" i="5" s="1"/>
  <c r="NS76" i="5"/>
  <c r="NU76" i="5" s="1"/>
  <c r="NS37" i="5"/>
  <c r="NU37" i="5" s="1"/>
  <c r="NS53" i="5"/>
  <c r="NU53" i="5" s="1"/>
  <c r="NS36" i="5"/>
  <c r="NU36" i="5" s="1"/>
  <c r="BT101" i="5" l="1"/>
  <c r="BT233" i="5"/>
  <c r="FL233" i="5" s="1"/>
  <c r="BT193" i="5"/>
  <c r="GA193" i="5" s="1"/>
  <c r="BT156" i="5"/>
  <c r="DU156" i="5" s="1"/>
  <c r="BT177" i="5"/>
  <c r="GD177" i="5" s="1"/>
  <c r="BT210" i="5"/>
  <c r="BT144" i="5"/>
  <c r="BT211" i="5"/>
  <c r="DU211" i="5" s="1"/>
  <c r="NT234" i="5"/>
  <c r="NV234" i="5" s="1"/>
  <c r="NT242" i="5"/>
  <c r="NV242" i="5" s="1"/>
  <c r="NS234" i="5"/>
  <c r="NU234" i="5" s="1"/>
  <c r="NO99" i="5"/>
  <c r="NN99" i="5"/>
  <c r="ND174" i="5"/>
  <c r="HI174" i="5" s="1"/>
  <c r="HJ174" i="5"/>
  <c r="ND234" i="5"/>
  <c r="HI234" i="5" s="1"/>
  <c r="HJ234" i="5"/>
  <c r="HJ176" i="5"/>
  <c r="ND176" i="5"/>
  <c r="HI176" i="5" s="1"/>
  <c r="BT209" i="5"/>
  <c r="GA209" i="5" s="1"/>
  <c r="HJ106" i="5"/>
  <c r="NS175" i="5"/>
  <c r="NU175" i="5" s="1"/>
  <c r="NT175" i="5"/>
  <c r="NV175" i="5" s="1"/>
  <c r="HJ175" i="5"/>
  <c r="CN62" i="5"/>
  <c r="CW62" i="5" s="1"/>
  <c r="DW99" i="5"/>
  <c r="NI99" i="5" s="1"/>
  <c r="CN99" i="5"/>
  <c r="QR99" i="5"/>
  <c r="PI99" i="5"/>
  <c r="OT99" i="5"/>
  <c r="OQ99" i="5"/>
  <c r="OS99" i="5"/>
  <c r="OV99" i="5"/>
  <c r="OX99" i="5"/>
  <c r="OF99" i="5"/>
  <c r="OE99" i="5"/>
  <c r="OZ99" i="5"/>
  <c r="PB99" i="5"/>
  <c r="OJ99" i="5"/>
  <c r="OB99" i="5"/>
  <c r="PD99" i="5"/>
  <c r="PF99" i="5"/>
  <c r="OH99" i="5"/>
  <c r="ON99" i="5"/>
  <c r="OC99" i="5"/>
  <c r="PH99" i="5"/>
  <c r="PG99" i="5"/>
  <c r="OL99" i="5"/>
  <c r="OR99" i="5"/>
  <c r="OD99" i="5"/>
  <c r="OA99" i="5"/>
  <c r="OW99" i="5"/>
  <c r="OU99" i="5"/>
  <c r="OP99" i="5"/>
  <c r="OG99" i="5"/>
  <c r="PA99" i="5"/>
  <c r="OY99" i="5"/>
  <c r="OI99" i="5"/>
  <c r="OK99" i="5"/>
  <c r="PE99" i="5"/>
  <c r="PC99" i="5"/>
  <c r="OM99" i="5"/>
  <c r="OO99" i="5"/>
  <c r="BT99" i="5"/>
  <c r="IH99" i="5" s="1"/>
  <c r="II99" i="5" s="1"/>
  <c r="IE99" i="5" s="1"/>
  <c r="NX99" i="5" s="1"/>
  <c r="ND175" i="5"/>
  <c r="HI175" i="5" s="1"/>
  <c r="GD193" i="5"/>
  <c r="NT162" i="5"/>
  <c r="NV162" i="5" s="1"/>
  <c r="NS242" i="5"/>
  <c r="NU242" i="5" s="1"/>
  <c r="ND242" i="5"/>
  <c r="HI242" i="5" s="1"/>
  <c r="HJ242" i="5"/>
  <c r="NN143" i="5"/>
  <c r="NN121" i="5"/>
  <c r="HJ162" i="5"/>
  <c r="NS162" i="5"/>
  <c r="NU162" i="5" s="1"/>
  <c r="ND162" i="5"/>
  <c r="HI162" i="5" s="1"/>
  <c r="NP96" i="5"/>
  <c r="BT139" i="5"/>
  <c r="EY139" i="5" s="1"/>
  <c r="NP17" i="5"/>
  <c r="HJ154" i="5"/>
  <c r="MY121" i="5"/>
  <c r="MY143" i="5"/>
  <c r="NO143" i="5"/>
  <c r="NR143" i="5"/>
  <c r="NN155" i="5"/>
  <c r="NO88" i="5"/>
  <c r="NN88" i="5"/>
  <c r="MY88" i="5"/>
  <c r="HJ134" i="5"/>
  <c r="HJ103" i="5"/>
  <c r="NS74" i="5"/>
  <c r="NU74" i="5" s="1"/>
  <c r="QR239" i="5"/>
  <c r="PI239" i="5"/>
  <c r="DW130" i="5"/>
  <c r="NI130" i="5" s="1"/>
  <c r="DW239" i="5"/>
  <c r="NI239" i="5" s="1"/>
  <c r="CN239" i="5"/>
  <c r="DC239" i="5" s="1"/>
  <c r="HL239" i="5" s="1"/>
  <c r="CJ130" i="5"/>
  <c r="CJ239" i="5"/>
  <c r="NO108" i="5"/>
  <c r="NR108" i="5"/>
  <c r="MY108" i="5"/>
  <c r="NR133" i="5"/>
  <c r="OT193" i="5"/>
  <c r="PA193" i="5"/>
  <c r="PF193" i="5"/>
  <c r="OZ193" i="5"/>
  <c r="OF193" i="5"/>
  <c r="OG193" i="5"/>
  <c r="OI193" i="5"/>
  <c r="OP193" i="5"/>
  <c r="OD193" i="5"/>
  <c r="OX193" i="5"/>
  <c r="PE193" i="5"/>
  <c r="OY193" i="5"/>
  <c r="PD193" i="5"/>
  <c r="OJ193" i="5"/>
  <c r="OK193" i="5"/>
  <c r="OQ193" i="5"/>
  <c r="OE193" i="5"/>
  <c r="OH193" i="5"/>
  <c r="OU193" i="5"/>
  <c r="OW193" i="5"/>
  <c r="PC193" i="5"/>
  <c r="PH193" i="5"/>
  <c r="ON193" i="5"/>
  <c r="OO193" i="5"/>
  <c r="OL193" i="5"/>
  <c r="OB193" i="5"/>
  <c r="OV193" i="5"/>
  <c r="PB193" i="5"/>
  <c r="PG193" i="5"/>
  <c r="OR193" i="5"/>
  <c r="OS193" i="5"/>
  <c r="OM193" i="5"/>
  <c r="OC193" i="5"/>
  <c r="CJ193" i="5" s="1"/>
  <c r="OA193" i="5"/>
  <c r="DW193" i="5"/>
  <c r="NI193" i="5" s="1"/>
  <c r="CN193" i="5"/>
  <c r="QR193" i="5"/>
  <c r="PI193" i="5"/>
  <c r="IE88" i="5"/>
  <c r="NX88" i="5" s="1"/>
  <c r="GU91" i="5"/>
  <c r="GV91" i="5" s="1"/>
  <c r="FI91" i="5"/>
  <c r="FG91" i="5" s="1"/>
  <c r="HJ91" i="5" s="1"/>
  <c r="GP91" i="5"/>
  <c r="FC91" i="5"/>
  <c r="FX91" i="5"/>
  <c r="EO91" i="5"/>
  <c r="EQ91" i="5" s="1"/>
  <c r="HZ91" i="5"/>
  <c r="EY91" i="5"/>
  <c r="FO91" i="5"/>
  <c r="GA91" i="5"/>
  <c r="GD91" i="5"/>
  <c r="DU91" i="5"/>
  <c r="FR91" i="5"/>
  <c r="ET91" i="5"/>
  <c r="FL91" i="5"/>
  <c r="GG91" i="5"/>
  <c r="DW91" i="5"/>
  <c r="NI91" i="5" s="1"/>
  <c r="CN91" i="5"/>
  <c r="QR91" i="5"/>
  <c r="PI91" i="5"/>
  <c r="OX121" i="5"/>
  <c r="OL121" i="5"/>
  <c r="OQ121" i="5"/>
  <c r="OR121" i="5"/>
  <c r="OE121" i="5"/>
  <c r="OD121" i="5"/>
  <c r="CJ121" i="5" s="1"/>
  <c r="OZ121" i="5"/>
  <c r="OP121" i="5"/>
  <c r="OF121" i="5"/>
  <c r="OS121" i="5"/>
  <c r="OB121" i="5"/>
  <c r="OA121" i="5"/>
  <c r="OI121" i="5"/>
  <c r="OJ121" i="5"/>
  <c r="OG121" i="5"/>
  <c r="OC121" i="5"/>
  <c r="OH121" i="5"/>
  <c r="OM121" i="5"/>
  <c r="ON121" i="5"/>
  <c r="OK121" i="5"/>
  <c r="OO121" i="5"/>
  <c r="OV121" i="5"/>
  <c r="PG121" i="5"/>
  <c r="PB121" i="5"/>
  <c r="OT121" i="5"/>
  <c r="PE121" i="5"/>
  <c r="PA121" i="5"/>
  <c r="PH121" i="5"/>
  <c r="PC121" i="5"/>
  <c r="OY121" i="5"/>
  <c r="OW121" i="5"/>
  <c r="PF121" i="5"/>
  <c r="OU121" i="5"/>
  <c r="PD121" i="5"/>
  <c r="IH17" i="5"/>
  <c r="II17" i="5" s="1"/>
  <c r="BT121" i="5"/>
  <c r="IH121" i="5" s="1"/>
  <c r="II121" i="5" s="1"/>
  <c r="FX96" i="5"/>
  <c r="EY96" i="5"/>
  <c r="HZ96" i="5"/>
  <c r="FI96" i="5"/>
  <c r="FG96" i="5" s="1"/>
  <c r="HJ96" i="5" s="1"/>
  <c r="GP96" i="5"/>
  <c r="FC96" i="5"/>
  <c r="GU96" i="5"/>
  <c r="GV96" i="5" s="1"/>
  <c r="EO96" i="5"/>
  <c r="EQ96" i="5" s="1"/>
  <c r="GA96" i="5"/>
  <c r="FO96" i="5"/>
  <c r="GD96" i="5"/>
  <c r="DU96" i="5"/>
  <c r="FL96" i="5"/>
  <c r="FR96" i="5"/>
  <c r="GG96" i="5"/>
  <c r="ET96" i="5"/>
  <c r="BT88" i="5"/>
  <c r="IH88" i="5" s="1"/>
  <c r="II88" i="5" s="1"/>
  <c r="CJ213" i="5"/>
  <c r="OU213" i="5"/>
  <c r="OV213" i="5"/>
  <c r="OW213" i="5"/>
  <c r="PF213" i="5"/>
  <c r="OJ213" i="5"/>
  <c r="OK213" i="5"/>
  <c r="OH213" i="5"/>
  <c r="OE213" i="5"/>
  <c r="OD213" i="5"/>
  <c r="OY213" i="5"/>
  <c r="OZ213" i="5"/>
  <c r="PA213" i="5"/>
  <c r="OT213" i="5"/>
  <c r="ON213" i="5"/>
  <c r="OO213" i="5"/>
  <c r="OP213" i="5"/>
  <c r="OB213" i="5"/>
  <c r="PC213" i="5"/>
  <c r="PD213" i="5"/>
  <c r="PE213" i="5"/>
  <c r="OX213" i="5"/>
  <c r="OR213" i="5"/>
  <c r="OS213" i="5"/>
  <c r="OI213" i="5"/>
  <c r="OL213" i="5"/>
  <c r="PG213" i="5"/>
  <c r="PH213" i="5"/>
  <c r="PB213" i="5"/>
  <c r="OF213" i="5"/>
  <c r="OG213" i="5"/>
  <c r="OM213" i="5"/>
  <c r="OQ213" i="5"/>
  <c r="OC213" i="5"/>
  <c r="OA213" i="5"/>
  <c r="IH91" i="5"/>
  <c r="II91" i="5" s="1"/>
  <c r="IE91" i="5" s="1"/>
  <c r="NX91" i="5" s="1"/>
  <c r="OZ17" i="5"/>
  <c r="OJ17" i="5"/>
  <c r="OB17" i="5"/>
  <c r="OA17" i="5"/>
  <c r="OT17" i="5"/>
  <c r="OL17" i="5"/>
  <c r="OR17" i="5"/>
  <c r="OD17" i="5"/>
  <c r="PG17" i="5"/>
  <c r="OX17" i="5"/>
  <c r="OP17" i="5"/>
  <c r="OS17" i="5"/>
  <c r="OV17" i="5"/>
  <c r="PB17" i="5"/>
  <c r="OI17" i="5"/>
  <c r="OG17" i="5"/>
  <c r="PC17" i="5"/>
  <c r="OU17" i="5"/>
  <c r="OK17" i="5"/>
  <c r="PD17" i="5"/>
  <c r="OC17" i="5"/>
  <c r="PH17" i="5"/>
  <c r="OM17" i="5"/>
  <c r="CJ17" i="5" s="1"/>
  <c r="ON17" i="5"/>
  <c r="PA17" i="5"/>
  <c r="OE17" i="5"/>
  <c r="OO17" i="5"/>
  <c r="OH17" i="5"/>
  <c r="PE17" i="5"/>
  <c r="OY17" i="5"/>
  <c r="OF17" i="5"/>
  <c r="OW17" i="5"/>
  <c r="OQ17" i="5"/>
  <c r="PF17" i="5"/>
  <c r="OZ173" i="5"/>
  <c r="PA173" i="5"/>
  <c r="PB173" i="5"/>
  <c r="OY173" i="5"/>
  <c r="OI173" i="5"/>
  <c r="OJ173" i="5"/>
  <c r="OG173" i="5"/>
  <c r="OB173" i="5"/>
  <c r="OA173" i="5"/>
  <c r="PD173" i="5"/>
  <c r="PE173" i="5"/>
  <c r="PF173" i="5"/>
  <c r="PC173" i="5"/>
  <c r="OH173" i="5"/>
  <c r="OM173" i="5"/>
  <c r="ON173" i="5"/>
  <c r="OK173" i="5"/>
  <c r="OC173" i="5"/>
  <c r="PH173" i="5"/>
  <c r="OT173" i="5"/>
  <c r="PG173" i="5"/>
  <c r="OL173" i="5"/>
  <c r="OQ173" i="5"/>
  <c r="OR173" i="5"/>
  <c r="OO173" i="5"/>
  <c r="OD173" i="5"/>
  <c r="OV173" i="5"/>
  <c r="OW173" i="5"/>
  <c r="CJ173" i="5" s="1"/>
  <c r="OX173" i="5"/>
  <c r="OU173" i="5"/>
  <c r="OP173" i="5"/>
  <c r="OF173" i="5"/>
  <c r="OS173" i="5"/>
  <c r="OE173" i="5"/>
  <c r="IE121" i="5"/>
  <c r="NX121" i="5" s="1"/>
  <c r="BT213" i="5"/>
  <c r="BT173" i="5"/>
  <c r="IH173" i="5" s="1"/>
  <c r="II173" i="5" s="1"/>
  <c r="IE173" i="5" s="1"/>
  <c r="NX173" i="5" s="1"/>
  <c r="DW173" i="5"/>
  <c r="NI173" i="5" s="1"/>
  <c r="CN173" i="5"/>
  <c r="PI173" i="5"/>
  <c r="QR173" i="5"/>
  <c r="IH96" i="5"/>
  <c r="II96" i="5" s="1"/>
  <c r="IE96" i="5" s="1"/>
  <c r="NX96" i="5" s="1"/>
  <c r="DW213" i="5"/>
  <c r="NI213" i="5" s="1"/>
  <c r="CN213" i="5"/>
  <c r="QR213" i="5"/>
  <c r="PI213" i="5"/>
  <c r="HZ17" i="5"/>
  <c r="FL17" i="5"/>
  <c r="EY17" i="5"/>
  <c r="GU17" i="5"/>
  <c r="GV17" i="5" s="1"/>
  <c r="FX17" i="5"/>
  <c r="EO17" i="5"/>
  <c r="EQ17" i="5" s="1"/>
  <c r="GP17" i="5"/>
  <c r="FC17" i="5"/>
  <c r="GA17" i="5"/>
  <c r="FI17" i="5"/>
  <c r="FG17" i="5" s="1"/>
  <c r="HJ17" i="5" s="1"/>
  <c r="GD17" i="5"/>
  <c r="GG17" i="5"/>
  <c r="DU17" i="5"/>
  <c r="FO17" i="5"/>
  <c r="ET17" i="5"/>
  <c r="FR17" i="5"/>
  <c r="DW124" i="5"/>
  <c r="NI124" i="5" s="1"/>
  <c r="CN124" i="5"/>
  <c r="QR124" i="5"/>
  <c r="PI124" i="5"/>
  <c r="OV143" i="5"/>
  <c r="OW143" i="5"/>
  <c r="OX143" i="5"/>
  <c r="OU143" i="5"/>
  <c r="OL143" i="5"/>
  <c r="OQ143" i="5"/>
  <c r="OR143" i="5"/>
  <c r="OO143" i="5"/>
  <c r="OD143" i="5"/>
  <c r="OZ143" i="5"/>
  <c r="PA143" i="5"/>
  <c r="PB143" i="5"/>
  <c r="OY143" i="5"/>
  <c r="OP143" i="5"/>
  <c r="OF143" i="5"/>
  <c r="OS143" i="5"/>
  <c r="OE143" i="5"/>
  <c r="PD143" i="5"/>
  <c r="PE143" i="5"/>
  <c r="PF143" i="5"/>
  <c r="PC143" i="5"/>
  <c r="OI143" i="5"/>
  <c r="OJ143" i="5"/>
  <c r="OG143" i="5"/>
  <c r="CJ143" i="5" s="1"/>
  <c r="OB143" i="5"/>
  <c r="PH143" i="5"/>
  <c r="OT143" i="5"/>
  <c r="PG143" i="5"/>
  <c r="OH143" i="5"/>
  <c r="OM143" i="5"/>
  <c r="ON143" i="5"/>
  <c r="OK143" i="5"/>
  <c r="OC143" i="5"/>
  <c r="OA143" i="5"/>
  <c r="OG88" i="5"/>
  <c r="OI88" i="5"/>
  <c r="OU88" i="5"/>
  <c r="CJ88" i="5" s="1"/>
  <c r="PH88" i="5"/>
  <c r="OP88" i="5"/>
  <c r="PD88" i="5"/>
  <c r="OJ88" i="5"/>
  <c r="OF88" i="5"/>
  <c r="OT88" i="5"/>
  <c r="PG88" i="5"/>
  <c r="PC88" i="5"/>
  <c r="OE88" i="5"/>
  <c r="OW88" i="5"/>
  <c r="OQ88" i="5"/>
  <c r="PF88" i="5"/>
  <c r="ON88" i="5"/>
  <c r="PB88" i="5"/>
  <c r="OZ88" i="5"/>
  <c r="OA88" i="5"/>
  <c r="OM88" i="5"/>
  <c r="PE88" i="5"/>
  <c r="OB88" i="5"/>
  <c r="PA88" i="5"/>
  <c r="OK88" i="5"/>
  <c r="OR88" i="5"/>
  <c r="OD88" i="5"/>
  <c r="OX88" i="5"/>
  <c r="OC88" i="5"/>
  <c r="OS88" i="5"/>
  <c r="OO88" i="5"/>
  <c r="OL88" i="5"/>
  <c r="OH88" i="5"/>
  <c r="OV88" i="5"/>
  <c r="OY88" i="5"/>
  <c r="DW143" i="5"/>
  <c r="NI143" i="5" s="1"/>
  <c r="CN143" i="5"/>
  <c r="PI143" i="5"/>
  <c r="QR143" i="5"/>
  <c r="NP91" i="5"/>
  <c r="OU139" i="5"/>
  <c r="OV139" i="5"/>
  <c r="OW139" i="5"/>
  <c r="PF139" i="5"/>
  <c r="OJ139" i="5"/>
  <c r="OK139" i="5"/>
  <c r="OL139" i="5"/>
  <c r="OQ139" i="5"/>
  <c r="OD139" i="5"/>
  <c r="CJ139" i="5" s="1"/>
  <c r="OY139" i="5"/>
  <c r="OZ139" i="5"/>
  <c r="PA139" i="5"/>
  <c r="OT139" i="5"/>
  <c r="ON139" i="5"/>
  <c r="OO139" i="5"/>
  <c r="OP139" i="5"/>
  <c r="OE139" i="5"/>
  <c r="PC139" i="5"/>
  <c r="PD139" i="5"/>
  <c r="PE139" i="5"/>
  <c r="OX139" i="5"/>
  <c r="OR139" i="5"/>
  <c r="OS139" i="5"/>
  <c r="OI139" i="5"/>
  <c r="OB139" i="5"/>
  <c r="PG139" i="5"/>
  <c r="PH139" i="5"/>
  <c r="PB139" i="5"/>
  <c r="OF139" i="5"/>
  <c r="OG139" i="5"/>
  <c r="OH139" i="5"/>
  <c r="OM139" i="5"/>
  <c r="OC139" i="5"/>
  <c r="OA139" i="5"/>
  <c r="EZ121" i="5"/>
  <c r="NR121" i="5"/>
  <c r="BT124" i="5"/>
  <c r="IH124" i="5" s="1"/>
  <c r="II124" i="5" s="1"/>
  <c r="DW139" i="5"/>
  <c r="NI139" i="5" s="1"/>
  <c r="CN139" i="5"/>
  <c r="QR139" i="5"/>
  <c r="PI139" i="5"/>
  <c r="DW17" i="5"/>
  <c r="NI17" i="5" s="1"/>
  <c r="CN17" i="5"/>
  <c r="QR17" i="5"/>
  <c r="PI17" i="5"/>
  <c r="BT143" i="5"/>
  <c r="IH143" i="5" s="1"/>
  <c r="II143" i="5" s="1"/>
  <c r="IE143" i="5" s="1"/>
  <c r="NX143" i="5" s="1"/>
  <c r="DW121" i="5"/>
  <c r="NI121" i="5" s="1"/>
  <c r="CN121" i="5"/>
  <c r="PI121" i="5"/>
  <c r="QR121" i="5"/>
  <c r="OT96" i="5"/>
  <c r="OU96" i="5"/>
  <c r="PD96" i="5"/>
  <c r="OR96" i="5"/>
  <c r="OS96" i="5"/>
  <c r="OQ96" i="5"/>
  <c r="OB96" i="5"/>
  <c r="OW96" i="5"/>
  <c r="OX96" i="5"/>
  <c r="OY96" i="5"/>
  <c r="PH96" i="5"/>
  <c r="OF96" i="5"/>
  <c r="CJ96" i="5" s="1"/>
  <c r="OG96" i="5"/>
  <c r="OH96" i="5"/>
  <c r="OI96" i="5"/>
  <c r="OC96" i="5"/>
  <c r="PA96" i="5"/>
  <c r="PB96" i="5"/>
  <c r="PC96" i="5"/>
  <c r="OV96" i="5"/>
  <c r="OJ96" i="5"/>
  <c r="OK96" i="5"/>
  <c r="OL96" i="5"/>
  <c r="OE96" i="5"/>
  <c r="OD96" i="5"/>
  <c r="OA96" i="5"/>
  <c r="PE96" i="5"/>
  <c r="PF96" i="5"/>
  <c r="PG96" i="5"/>
  <c r="OZ96" i="5"/>
  <c r="ON96" i="5"/>
  <c r="OO96" i="5"/>
  <c r="OP96" i="5"/>
  <c r="OM96" i="5"/>
  <c r="DW88" i="5"/>
  <c r="NI88" i="5" s="1"/>
  <c r="CN88" i="5"/>
  <c r="QR88" i="5"/>
  <c r="PI88" i="5"/>
  <c r="OS91" i="5"/>
  <c r="OV91" i="5"/>
  <c r="PE91" i="5"/>
  <c r="ON91" i="5"/>
  <c r="OA91" i="5"/>
  <c r="OP91" i="5"/>
  <c r="OB91" i="5"/>
  <c r="CJ91" i="5" s="1"/>
  <c r="OZ91" i="5"/>
  <c r="OJ91" i="5"/>
  <c r="OH91" i="5"/>
  <c r="OQ91" i="5"/>
  <c r="OM91" i="5"/>
  <c r="PC91" i="5"/>
  <c r="OR91" i="5"/>
  <c r="OL91" i="5"/>
  <c r="PF91" i="5"/>
  <c r="PB91" i="5"/>
  <c r="OU91" i="5"/>
  <c r="OI91" i="5"/>
  <c r="PG91" i="5"/>
  <c r="OY91" i="5"/>
  <c r="OO91" i="5"/>
  <c r="OW91" i="5"/>
  <c r="OD91" i="5"/>
  <c r="PH91" i="5"/>
  <c r="OC91" i="5"/>
  <c r="OX91" i="5"/>
  <c r="PD91" i="5"/>
  <c r="OT91" i="5"/>
  <c r="OE91" i="5"/>
  <c r="PA91" i="5"/>
  <c r="OF91" i="5"/>
  <c r="OK91" i="5"/>
  <c r="OG91" i="5"/>
  <c r="CJ124" i="5"/>
  <c r="OT124" i="5"/>
  <c r="OU124" i="5"/>
  <c r="OZ124" i="5"/>
  <c r="OR124" i="5"/>
  <c r="OS124" i="5"/>
  <c r="OI124" i="5"/>
  <c r="OB124" i="5"/>
  <c r="OW124" i="5"/>
  <c r="OX124" i="5"/>
  <c r="OY124" i="5"/>
  <c r="PD124" i="5"/>
  <c r="OF124" i="5"/>
  <c r="OG124" i="5"/>
  <c r="OH124" i="5"/>
  <c r="OM124" i="5"/>
  <c r="OC124" i="5"/>
  <c r="PA124" i="5"/>
  <c r="PB124" i="5"/>
  <c r="PC124" i="5"/>
  <c r="PH124" i="5"/>
  <c r="OJ124" i="5"/>
  <c r="OK124" i="5"/>
  <c r="OL124" i="5"/>
  <c r="OQ124" i="5"/>
  <c r="OD124" i="5"/>
  <c r="OA124" i="5"/>
  <c r="PE124" i="5"/>
  <c r="PF124" i="5"/>
  <c r="PG124" i="5"/>
  <c r="OV124" i="5"/>
  <c r="ON124" i="5"/>
  <c r="OO124" i="5"/>
  <c r="OP124" i="5"/>
  <c r="OE124" i="5"/>
  <c r="DW96" i="5"/>
  <c r="NI96" i="5" s="1"/>
  <c r="CN96" i="5"/>
  <c r="QR96" i="5"/>
  <c r="PI96" i="5"/>
  <c r="NO155" i="5"/>
  <c r="NO133" i="5"/>
  <c r="NN133" i="5"/>
  <c r="CN86" i="5"/>
  <c r="CN52" i="5"/>
  <c r="CW52" i="5" s="1"/>
  <c r="CN44" i="5"/>
  <c r="CW44" i="5" s="1"/>
  <c r="FR156" i="5"/>
  <c r="HI119" i="5"/>
  <c r="GG156" i="5"/>
  <c r="HI111" i="5"/>
  <c r="BT172" i="5"/>
  <c r="ET172" i="5" s="1"/>
  <c r="FO156" i="5"/>
  <c r="CN15" i="5"/>
  <c r="CZ15" i="5" s="1"/>
  <c r="GD156" i="5"/>
  <c r="NS212" i="5"/>
  <c r="NU212" i="5" s="1"/>
  <c r="BT146" i="5"/>
  <c r="GU146" i="5" s="1"/>
  <c r="GV146" i="5" s="1"/>
  <c r="CN20" i="5"/>
  <c r="CW20" i="5" s="1"/>
  <c r="CN54" i="5"/>
  <c r="CW54" i="5" s="1"/>
  <c r="NT212" i="5"/>
  <c r="NV212" i="5" s="1"/>
  <c r="HJ212" i="5"/>
  <c r="ND212" i="5"/>
  <c r="HI212" i="5" s="1"/>
  <c r="HI43" i="5"/>
  <c r="ET156" i="5"/>
  <c r="FL156" i="5"/>
  <c r="NP108" i="5"/>
  <c r="IE133" i="5"/>
  <c r="NX133" i="5" s="1"/>
  <c r="DW133" i="5"/>
  <c r="NI133" i="5" s="1"/>
  <c r="CN133" i="5"/>
  <c r="PI133" i="5"/>
  <c r="QR133" i="5"/>
  <c r="OT133" i="5"/>
  <c r="OV133" i="5"/>
  <c r="OF133" i="5"/>
  <c r="OH133" i="5"/>
  <c r="OC133" i="5"/>
  <c r="OA133" i="5"/>
  <c r="OX133" i="5"/>
  <c r="OZ133" i="5"/>
  <c r="OJ133" i="5"/>
  <c r="OL133" i="5"/>
  <c r="OD133" i="5"/>
  <c r="PB133" i="5"/>
  <c r="PD133" i="5"/>
  <c r="ON133" i="5"/>
  <c r="OP133" i="5"/>
  <c r="PF133" i="5"/>
  <c r="PH133" i="5"/>
  <c r="OR133" i="5"/>
  <c r="OM133" i="5"/>
  <c r="OU133" i="5"/>
  <c r="OG133" i="5"/>
  <c r="CJ133" i="5" s="1"/>
  <c r="OQ133" i="5"/>
  <c r="OW133" i="5"/>
  <c r="OY133" i="5"/>
  <c r="OK133" i="5"/>
  <c r="OE133" i="5"/>
  <c r="PA133" i="5"/>
  <c r="PC133" i="5"/>
  <c r="OO133" i="5"/>
  <c r="OB133" i="5"/>
  <c r="PE133" i="5"/>
  <c r="PG133" i="5"/>
  <c r="OS133" i="5"/>
  <c r="OI133" i="5"/>
  <c r="BT133" i="5"/>
  <c r="HI147" i="5"/>
  <c r="CN25" i="5"/>
  <c r="CZ25" i="5" s="1"/>
  <c r="CN6" i="5"/>
  <c r="CW6" i="5" s="1"/>
  <c r="DW108" i="5"/>
  <c r="NI108" i="5" s="1"/>
  <c r="CN108" i="5"/>
  <c r="QR108" i="5"/>
  <c r="PI108" i="5"/>
  <c r="PF108" i="5"/>
  <c r="OV108" i="5"/>
  <c r="OO108" i="5"/>
  <c r="OE108" i="5"/>
  <c r="OU108" i="5"/>
  <c r="OS108" i="5"/>
  <c r="OB108" i="5"/>
  <c r="OW108" i="5"/>
  <c r="OY108" i="5"/>
  <c r="OF108" i="5"/>
  <c r="OH108" i="5"/>
  <c r="OC108" i="5"/>
  <c r="PA108" i="5"/>
  <c r="PC108" i="5"/>
  <c r="OJ108" i="5"/>
  <c r="OL108" i="5"/>
  <c r="OD108" i="5"/>
  <c r="CJ108" i="5" s="1"/>
  <c r="PE108" i="5"/>
  <c r="PG108" i="5"/>
  <c r="ON108" i="5"/>
  <c r="OP108" i="5"/>
  <c r="OT108" i="5"/>
  <c r="OZ108" i="5"/>
  <c r="OR108" i="5"/>
  <c r="OI108" i="5"/>
  <c r="OA108" i="5"/>
  <c r="OX108" i="5"/>
  <c r="PD108" i="5"/>
  <c r="OG108" i="5"/>
  <c r="OM108" i="5"/>
  <c r="PB108" i="5"/>
  <c r="PH108" i="5"/>
  <c r="OK108" i="5"/>
  <c r="OQ108" i="5"/>
  <c r="IH108" i="5"/>
  <c r="II108" i="5" s="1"/>
  <c r="IE108" i="5" s="1"/>
  <c r="NX108" i="5" s="1"/>
  <c r="GU108" i="5"/>
  <c r="GV108" i="5" s="1"/>
  <c r="GP108" i="5"/>
  <c r="FX108" i="5"/>
  <c r="FC108" i="5"/>
  <c r="FI108" i="5"/>
  <c r="FG108" i="5" s="1"/>
  <c r="EY108" i="5"/>
  <c r="EO108" i="5"/>
  <c r="EQ108" i="5" s="1"/>
  <c r="HZ108" i="5"/>
  <c r="GD108" i="5"/>
  <c r="GG108" i="5"/>
  <c r="FL108" i="5"/>
  <c r="DU108" i="5"/>
  <c r="FO108" i="5"/>
  <c r="FR108" i="5"/>
  <c r="ET108" i="5"/>
  <c r="GA108" i="5"/>
  <c r="NN90" i="5"/>
  <c r="NR90" i="5"/>
  <c r="MY90" i="5"/>
  <c r="NR168" i="5"/>
  <c r="MY168" i="5"/>
  <c r="NO168" i="5"/>
  <c r="NN168" i="5"/>
  <c r="GA156" i="5"/>
  <c r="DW156" i="5"/>
  <c r="NI156" i="5" s="1"/>
  <c r="CN156" i="5"/>
  <c r="PI156" i="5"/>
  <c r="QR156" i="5"/>
  <c r="CJ156" i="5"/>
  <c r="PG156" i="5"/>
  <c r="OQ156" i="5"/>
  <c r="OK156" i="5"/>
  <c r="OT156" i="5"/>
  <c r="OV156" i="5"/>
  <c r="OF156" i="5"/>
  <c r="OE156" i="5"/>
  <c r="OX156" i="5"/>
  <c r="OZ156" i="5"/>
  <c r="OJ156" i="5"/>
  <c r="OB156" i="5"/>
  <c r="PB156" i="5"/>
  <c r="PD156" i="5"/>
  <c r="OH156" i="5"/>
  <c r="ON156" i="5"/>
  <c r="OC156" i="5"/>
  <c r="PF156" i="5"/>
  <c r="PH156" i="5"/>
  <c r="OL156" i="5"/>
  <c r="OR156" i="5"/>
  <c r="OD156" i="5"/>
  <c r="OU156" i="5"/>
  <c r="PE156" i="5"/>
  <c r="OP156" i="5"/>
  <c r="OO156" i="5"/>
  <c r="OA156" i="5"/>
  <c r="OY156" i="5"/>
  <c r="OW156" i="5"/>
  <c r="OI156" i="5"/>
  <c r="OS156" i="5"/>
  <c r="PC156" i="5"/>
  <c r="PA156" i="5"/>
  <c r="OM156" i="5"/>
  <c r="OG156" i="5"/>
  <c r="GU156" i="5"/>
  <c r="GV156" i="5" s="1"/>
  <c r="FC156" i="5"/>
  <c r="GP156" i="5"/>
  <c r="FX156" i="5"/>
  <c r="EO156" i="5"/>
  <c r="EQ156" i="5" s="1"/>
  <c r="EY156" i="5"/>
  <c r="HZ156" i="5"/>
  <c r="FI156" i="5"/>
  <c r="FG156" i="5" s="1"/>
  <c r="ND156" i="5" s="1"/>
  <c r="IH156" i="5"/>
  <c r="II156" i="5" s="1"/>
  <c r="NR94" i="5"/>
  <c r="EZ94" i="5"/>
  <c r="NN94" i="5"/>
  <c r="NO94" i="5"/>
  <c r="DW94" i="5"/>
  <c r="NI94" i="5" s="1"/>
  <c r="CN94" i="5"/>
  <c r="QR94" i="5"/>
  <c r="PI94" i="5"/>
  <c r="PH94" i="5"/>
  <c r="OK94" i="5"/>
  <c r="OE94" i="5"/>
  <c r="CJ94" i="5" s="1"/>
  <c r="OU94" i="5"/>
  <c r="OW94" i="5"/>
  <c r="OO94" i="5"/>
  <c r="OB94" i="5"/>
  <c r="OY94" i="5"/>
  <c r="PA94" i="5"/>
  <c r="OS94" i="5"/>
  <c r="OC94" i="5"/>
  <c r="PC94" i="5"/>
  <c r="PE94" i="5"/>
  <c r="OF94" i="5"/>
  <c r="OH94" i="5"/>
  <c r="OD94" i="5"/>
  <c r="OA94" i="5"/>
  <c r="PG94" i="5"/>
  <c r="PB94" i="5"/>
  <c r="OJ94" i="5"/>
  <c r="OL94" i="5"/>
  <c r="OI94" i="5"/>
  <c r="OV94" i="5"/>
  <c r="PF94" i="5"/>
  <c r="ON94" i="5"/>
  <c r="OP94" i="5"/>
  <c r="OZ94" i="5"/>
  <c r="OT94" i="5"/>
  <c r="OR94" i="5"/>
  <c r="OM94" i="5"/>
  <c r="PD94" i="5"/>
  <c r="OX94" i="5"/>
  <c r="OG94" i="5"/>
  <c r="OQ94" i="5"/>
  <c r="BT94" i="5"/>
  <c r="IH94" i="5" s="1"/>
  <c r="II94" i="5" s="1"/>
  <c r="IE94" i="5" s="1"/>
  <c r="NX94" i="5" s="1"/>
  <c r="CN22" i="5"/>
  <c r="CW22" i="5" s="1"/>
  <c r="CN60" i="5"/>
  <c r="DC60" i="5" s="1"/>
  <c r="HL60" i="5" s="1"/>
  <c r="CN23" i="5"/>
  <c r="DC23" i="5" s="1"/>
  <c r="HL23" i="5" s="1"/>
  <c r="EZ155" i="5"/>
  <c r="IE155" i="5"/>
  <c r="NX155" i="5" s="1"/>
  <c r="OU155" i="5"/>
  <c r="OG155" i="5"/>
  <c r="OQ155" i="5"/>
  <c r="OW155" i="5"/>
  <c r="OY155" i="5"/>
  <c r="OK155" i="5"/>
  <c r="OE155" i="5"/>
  <c r="PA155" i="5"/>
  <c r="PC155" i="5"/>
  <c r="OO155" i="5"/>
  <c r="OB155" i="5"/>
  <c r="PE155" i="5"/>
  <c r="PG155" i="5"/>
  <c r="OS155" i="5"/>
  <c r="OC155" i="5"/>
  <c r="OA155" i="5"/>
  <c r="OT155" i="5"/>
  <c r="PD155" i="5"/>
  <c r="OF155" i="5"/>
  <c r="OH155" i="5"/>
  <c r="OI155" i="5"/>
  <c r="OX155" i="5"/>
  <c r="PH155" i="5"/>
  <c r="OJ155" i="5"/>
  <c r="OL155" i="5"/>
  <c r="OD155" i="5"/>
  <c r="PB155" i="5"/>
  <c r="OV155" i="5"/>
  <c r="ON155" i="5"/>
  <c r="CJ155" i="5" s="1"/>
  <c r="OP155" i="5"/>
  <c r="PF155" i="5"/>
  <c r="OZ155" i="5"/>
  <c r="OR155" i="5"/>
  <c r="OM155" i="5"/>
  <c r="BT155" i="5"/>
  <c r="DW155" i="5"/>
  <c r="NI155" i="5" s="1"/>
  <c r="CN155" i="5"/>
  <c r="PI155" i="5"/>
  <c r="QR155" i="5"/>
  <c r="HJ230" i="5"/>
  <c r="DW164" i="5"/>
  <c r="NI164" i="5" s="1"/>
  <c r="CN164" i="5"/>
  <c r="QR164" i="5"/>
  <c r="PI164" i="5"/>
  <c r="CJ164" i="5"/>
  <c r="PG164" i="5"/>
  <c r="OL164" i="5"/>
  <c r="OR164" i="5"/>
  <c r="OK164" i="5"/>
  <c r="OT164" i="5"/>
  <c r="OV164" i="5"/>
  <c r="OP164" i="5"/>
  <c r="OO164" i="5"/>
  <c r="OX164" i="5"/>
  <c r="OZ164" i="5"/>
  <c r="OI164" i="5"/>
  <c r="OS164" i="5"/>
  <c r="PB164" i="5"/>
  <c r="PD164" i="5"/>
  <c r="OM164" i="5"/>
  <c r="OG164" i="5"/>
  <c r="PF164" i="5"/>
  <c r="PH164" i="5"/>
  <c r="OQ164" i="5"/>
  <c r="OE164" i="5"/>
  <c r="OA164" i="5"/>
  <c r="OU164" i="5"/>
  <c r="OW164" i="5"/>
  <c r="OF164" i="5"/>
  <c r="OB164" i="5"/>
  <c r="OY164" i="5"/>
  <c r="PA164" i="5"/>
  <c r="OJ164" i="5"/>
  <c r="OC164" i="5"/>
  <c r="PC164" i="5"/>
  <c r="PE164" i="5"/>
  <c r="OH164" i="5"/>
  <c r="ON164" i="5"/>
  <c r="OD164" i="5"/>
  <c r="BT164" i="5"/>
  <c r="IH164" i="5" s="1"/>
  <c r="II164" i="5" s="1"/>
  <c r="NP90" i="5"/>
  <c r="DW90" i="5"/>
  <c r="NI90" i="5" s="1"/>
  <c r="CN90" i="5"/>
  <c r="QR90" i="5"/>
  <c r="PI90" i="5"/>
  <c r="PD90" i="5"/>
  <c r="OB90" i="5"/>
  <c r="OA90" i="5"/>
  <c r="PF90" i="5"/>
  <c r="OF90" i="5"/>
  <c r="CJ90" i="5" s="1"/>
  <c r="OC90" i="5"/>
  <c r="OT90" i="5"/>
  <c r="OG90" i="5"/>
  <c r="OO90" i="5"/>
  <c r="OS90" i="5"/>
  <c r="OH90" i="5"/>
  <c r="OM90" i="5"/>
  <c r="OZ90" i="5"/>
  <c r="OE90" i="5"/>
  <c r="OQ90" i="5"/>
  <c r="OY90" i="5"/>
  <c r="OD90" i="5"/>
  <c r="OK90" i="5"/>
  <c r="OL90" i="5"/>
  <c r="OJ90" i="5"/>
  <c r="PB90" i="5"/>
  <c r="OV90" i="5"/>
  <c r="OX90" i="5"/>
  <c r="PG90" i="5"/>
  <c r="PE90" i="5"/>
  <c r="OI90" i="5"/>
  <c r="OP90" i="5"/>
  <c r="OW90" i="5"/>
  <c r="PC90" i="5"/>
  <c r="OR90" i="5"/>
  <c r="PA90" i="5"/>
  <c r="ON90" i="5"/>
  <c r="OU90" i="5"/>
  <c r="PH90" i="5"/>
  <c r="IH90" i="5"/>
  <c r="II90" i="5" s="1"/>
  <c r="IE90" i="5" s="1"/>
  <c r="NX90" i="5" s="1"/>
  <c r="HZ90" i="5"/>
  <c r="EY90" i="5"/>
  <c r="GU90" i="5"/>
  <c r="GV90" i="5" s="1"/>
  <c r="GP90" i="5"/>
  <c r="FX90" i="5"/>
  <c r="GA90" i="5"/>
  <c r="FC90" i="5"/>
  <c r="FI90" i="5"/>
  <c r="FG90" i="5" s="1"/>
  <c r="EO90" i="5"/>
  <c r="EQ90" i="5" s="1"/>
  <c r="FL90" i="5"/>
  <c r="DU90" i="5"/>
  <c r="GD90" i="5"/>
  <c r="ET90" i="5"/>
  <c r="FO90" i="5"/>
  <c r="GG90" i="5"/>
  <c r="FR90" i="5"/>
  <c r="NR146" i="5"/>
  <c r="NO146" i="5"/>
  <c r="NN146" i="5"/>
  <c r="GA177" i="5"/>
  <c r="DW168" i="5"/>
  <c r="NI168" i="5" s="1"/>
  <c r="CN168" i="5"/>
  <c r="DC168" i="5" s="1"/>
  <c r="HL168" i="5" s="1"/>
  <c r="PI168" i="5"/>
  <c r="QR168" i="5"/>
  <c r="GG177" i="5"/>
  <c r="ET177" i="5"/>
  <c r="OU168" i="5"/>
  <c r="PA168" i="5"/>
  <c r="OI168" i="5"/>
  <c r="OK168" i="5"/>
  <c r="OY168" i="5"/>
  <c r="PE168" i="5"/>
  <c r="OM168" i="5"/>
  <c r="OO168" i="5"/>
  <c r="PC168" i="5"/>
  <c r="OW168" i="5"/>
  <c r="OQ168" i="5"/>
  <c r="OE168" i="5"/>
  <c r="PG168" i="5"/>
  <c r="OF168" i="5"/>
  <c r="OB168" i="5"/>
  <c r="OT168" i="5"/>
  <c r="OV168" i="5"/>
  <c r="OJ168" i="5"/>
  <c r="OC168" i="5"/>
  <c r="OX168" i="5"/>
  <c r="OZ168" i="5"/>
  <c r="OH168" i="5"/>
  <c r="ON168" i="5"/>
  <c r="OS168" i="5"/>
  <c r="PB168" i="5"/>
  <c r="PD168" i="5"/>
  <c r="OL168" i="5"/>
  <c r="OR168" i="5"/>
  <c r="OD168" i="5"/>
  <c r="OA168" i="5"/>
  <c r="PF168" i="5"/>
  <c r="PH168" i="5"/>
  <c r="OP168" i="5"/>
  <c r="OG168" i="5"/>
  <c r="CJ168" i="5" s="1"/>
  <c r="BT168" i="5"/>
  <c r="IH168" i="5" s="1"/>
  <c r="II168" i="5" s="1"/>
  <c r="IE168" i="5" s="1"/>
  <c r="NX168" i="5" s="1"/>
  <c r="FO177" i="5"/>
  <c r="FR177" i="5"/>
  <c r="NT222" i="5"/>
  <c r="NV222" i="5" s="1"/>
  <c r="NT223" i="5"/>
  <c r="NV223" i="5" s="1"/>
  <c r="NT228" i="5"/>
  <c r="NV228" i="5" s="1"/>
  <c r="OT177" i="5"/>
  <c r="OM177" i="5"/>
  <c r="OE177" i="5"/>
  <c r="OV177" i="5"/>
  <c r="OX177" i="5"/>
  <c r="OQ177" i="5"/>
  <c r="OF177" i="5"/>
  <c r="OZ177" i="5"/>
  <c r="PB177" i="5"/>
  <c r="OG177" i="5"/>
  <c r="OB177" i="5"/>
  <c r="CJ177" i="5" s="1"/>
  <c r="PD177" i="5"/>
  <c r="PF177" i="5"/>
  <c r="OO177" i="5"/>
  <c r="ON177" i="5"/>
  <c r="PH177" i="5"/>
  <c r="OU177" i="5"/>
  <c r="OH177" i="5"/>
  <c r="OJ177" i="5"/>
  <c r="OC177" i="5"/>
  <c r="OW177" i="5"/>
  <c r="OY177" i="5"/>
  <c r="OL177" i="5"/>
  <c r="OR177" i="5"/>
  <c r="OD177" i="5"/>
  <c r="OA177" i="5"/>
  <c r="PA177" i="5"/>
  <c r="PC177" i="5"/>
  <c r="OP177" i="5"/>
  <c r="OK177" i="5"/>
  <c r="PE177" i="5"/>
  <c r="PG177" i="5"/>
  <c r="OI177" i="5"/>
  <c r="OS177" i="5"/>
  <c r="DW177" i="5"/>
  <c r="NI177" i="5" s="1"/>
  <c r="CN177" i="5"/>
  <c r="QR177" i="5"/>
  <c r="PI177" i="5"/>
  <c r="EO177" i="5"/>
  <c r="EQ177" i="5" s="1"/>
  <c r="HZ177" i="5"/>
  <c r="GU177" i="5"/>
  <c r="GV177" i="5" s="1"/>
  <c r="GP177" i="5"/>
  <c r="FI177" i="5"/>
  <c r="FG177" i="5" s="1"/>
  <c r="HJ177" i="5" s="1"/>
  <c r="FC177" i="5"/>
  <c r="CN14" i="5"/>
  <c r="CW14" i="5" s="1"/>
  <c r="CN9" i="5"/>
  <c r="CW9" i="5" s="1"/>
  <c r="CN30" i="5"/>
  <c r="EZ146" i="5"/>
  <c r="OV146" i="5"/>
  <c r="OX146" i="5"/>
  <c r="OH146" i="5"/>
  <c r="ON146" i="5"/>
  <c r="OD146" i="5"/>
  <c r="OZ146" i="5"/>
  <c r="PB146" i="5"/>
  <c r="OL146" i="5"/>
  <c r="OR146" i="5"/>
  <c r="CJ146" i="5" s="1"/>
  <c r="OG146" i="5"/>
  <c r="OA146" i="5"/>
  <c r="PD146" i="5"/>
  <c r="PF146" i="5"/>
  <c r="OP146" i="5"/>
  <c r="OK146" i="5"/>
  <c r="PH146" i="5"/>
  <c r="OU146" i="5"/>
  <c r="OI146" i="5"/>
  <c r="OO146" i="5"/>
  <c r="OW146" i="5"/>
  <c r="OY146" i="5"/>
  <c r="OM146" i="5"/>
  <c r="OS146" i="5"/>
  <c r="PA146" i="5"/>
  <c r="PC146" i="5"/>
  <c r="OQ146" i="5"/>
  <c r="OE146" i="5"/>
  <c r="PE146" i="5"/>
  <c r="PG146" i="5"/>
  <c r="OF146" i="5"/>
  <c r="OB146" i="5"/>
  <c r="OT146" i="5"/>
  <c r="OJ146" i="5"/>
  <c r="OC146" i="5"/>
  <c r="DW146" i="5"/>
  <c r="NI146" i="5" s="1"/>
  <c r="CN146" i="5"/>
  <c r="CW146" i="5" s="1"/>
  <c r="PI146" i="5"/>
  <c r="QR146" i="5"/>
  <c r="HZ146" i="5"/>
  <c r="NS181" i="5"/>
  <c r="NU181" i="5" s="1"/>
  <c r="NS227" i="5"/>
  <c r="NU227" i="5" s="1"/>
  <c r="NI207" i="5"/>
  <c r="DX207" i="5" s="1"/>
  <c r="MY207" i="5"/>
  <c r="CN207" i="5"/>
  <c r="CZ207" i="5" s="1"/>
  <c r="BT207" i="5"/>
  <c r="GD207" i="5" s="1"/>
  <c r="ET233" i="5"/>
  <c r="NS230" i="5"/>
  <c r="NU230" i="5" s="1"/>
  <c r="NT229" i="5"/>
  <c r="NV229" i="5" s="1"/>
  <c r="NS231" i="5"/>
  <c r="NU231" i="5" s="1"/>
  <c r="CN95" i="5"/>
  <c r="DC95" i="5" s="1"/>
  <c r="HL95" i="5" s="1"/>
  <c r="CN75" i="5"/>
  <c r="DC75" i="5" s="1"/>
  <c r="HL75" i="5" s="1"/>
  <c r="CN80" i="5"/>
  <c r="DC80" i="5" s="1"/>
  <c r="HL80" i="5" s="1"/>
  <c r="NT231" i="5"/>
  <c r="NV231" i="5" s="1"/>
  <c r="HJ181" i="5"/>
  <c r="NT204" i="5"/>
  <c r="NV204" i="5" s="1"/>
  <c r="CN129" i="5"/>
  <c r="DU233" i="5"/>
  <c r="GD233" i="5"/>
  <c r="NT225" i="5"/>
  <c r="NV225" i="5" s="1"/>
  <c r="NT230" i="5"/>
  <c r="NV230" i="5" s="1"/>
  <c r="NT150" i="5"/>
  <c r="NV150" i="5" s="1"/>
  <c r="NS150" i="5"/>
  <c r="NU150" i="5" s="1"/>
  <c r="NT181" i="5"/>
  <c r="NV181" i="5" s="1"/>
  <c r="NS204" i="5"/>
  <c r="NU204" i="5" s="1"/>
  <c r="HJ150" i="5"/>
  <c r="HR233" i="5"/>
  <c r="CN131" i="5"/>
  <c r="CZ131" i="5" s="1"/>
  <c r="GG233" i="5"/>
  <c r="NS223" i="5"/>
  <c r="NU223" i="5" s="1"/>
  <c r="NT227" i="5"/>
  <c r="NV227" i="5" s="1"/>
  <c r="NS229" i="5"/>
  <c r="NU229" i="5" s="1"/>
  <c r="ND181" i="5"/>
  <c r="HI181" i="5" s="1"/>
  <c r="HJ204" i="5"/>
  <c r="ND204" i="5"/>
  <c r="GA233" i="5"/>
  <c r="FR233" i="5"/>
  <c r="DW233" i="5"/>
  <c r="NI233" i="5" s="1"/>
  <c r="CN233" i="5"/>
  <c r="DC233" i="5" s="1"/>
  <c r="HL233" i="5" s="1"/>
  <c r="QR233" i="5"/>
  <c r="PI233" i="5"/>
  <c r="FO233" i="5"/>
  <c r="OV233" i="5"/>
  <c r="OX233" i="5"/>
  <c r="OO233" i="5"/>
  <c r="OE233" i="5"/>
  <c r="OA233" i="5"/>
  <c r="OZ233" i="5"/>
  <c r="PF233" i="5"/>
  <c r="OS233" i="5"/>
  <c r="OB233" i="5"/>
  <c r="PD233" i="5"/>
  <c r="PA233" i="5"/>
  <c r="OF233" i="5"/>
  <c r="OM233" i="5"/>
  <c r="OC233" i="5"/>
  <c r="CJ233" i="5" s="1"/>
  <c r="PH233" i="5"/>
  <c r="OJ233" i="5"/>
  <c r="OH233" i="5"/>
  <c r="OD233" i="5"/>
  <c r="OU233" i="5"/>
  <c r="OT233" i="5"/>
  <c r="ON233" i="5"/>
  <c r="OP233" i="5"/>
  <c r="OY233" i="5"/>
  <c r="PB233" i="5"/>
  <c r="OR233" i="5"/>
  <c r="OI233" i="5"/>
  <c r="PC233" i="5"/>
  <c r="OW233" i="5"/>
  <c r="OG233" i="5"/>
  <c r="OQ233" i="5"/>
  <c r="PG233" i="5"/>
  <c r="PE233" i="5"/>
  <c r="OK233" i="5"/>
  <c r="OL233" i="5"/>
  <c r="GU233" i="5"/>
  <c r="GV233" i="5" s="1"/>
  <c r="EO233" i="5"/>
  <c r="EQ233" i="5" s="1"/>
  <c r="FI233" i="5"/>
  <c r="FG233" i="5" s="1"/>
  <c r="ND233" i="5" s="1"/>
  <c r="HI233" i="5" s="1"/>
  <c r="EY233" i="5"/>
  <c r="GP233" i="5"/>
  <c r="HZ233" i="5"/>
  <c r="FX233" i="5"/>
  <c r="FC233" i="5"/>
  <c r="IH233" i="5"/>
  <c r="II233" i="5" s="1"/>
  <c r="ND150" i="5"/>
  <c r="HI150" i="5" s="1"/>
  <c r="NO232" i="5"/>
  <c r="GU232" i="5"/>
  <c r="GV232" i="5" s="1"/>
  <c r="HZ232" i="5"/>
  <c r="EO232" i="5"/>
  <c r="EQ232" i="5" s="1"/>
  <c r="FC232" i="5"/>
  <c r="FI232" i="5"/>
  <c r="FG232" i="5" s="1"/>
  <c r="EY232" i="5"/>
  <c r="GP232" i="5"/>
  <c r="FX232" i="5"/>
  <c r="GA232" i="5"/>
  <c r="ET232" i="5"/>
  <c r="GD232" i="5"/>
  <c r="FL232" i="5"/>
  <c r="FR232" i="5"/>
  <c r="GG232" i="5"/>
  <c r="FO232" i="5"/>
  <c r="DU232" i="5"/>
  <c r="IE232" i="5"/>
  <c r="NX232" i="5" s="1"/>
  <c r="NR232" i="5"/>
  <c r="NP232" i="5"/>
  <c r="EZ232" i="5"/>
  <c r="PF232" i="5"/>
  <c r="OW232" i="5"/>
  <c r="OI232" i="5"/>
  <c r="CJ232" i="5" s="1"/>
  <c r="OO232" i="5"/>
  <c r="OU232" i="5"/>
  <c r="PE232" i="5"/>
  <c r="OM232" i="5"/>
  <c r="OE232" i="5"/>
  <c r="OY232" i="5"/>
  <c r="PH232" i="5"/>
  <c r="OQ232" i="5"/>
  <c r="OB232" i="5"/>
  <c r="PC232" i="5"/>
  <c r="OZ232" i="5"/>
  <c r="OK232" i="5"/>
  <c r="OJ232" i="5"/>
  <c r="PG232" i="5"/>
  <c r="OS232" i="5"/>
  <c r="OC232" i="5"/>
  <c r="OA232" i="5"/>
  <c r="OT232" i="5"/>
  <c r="PA232" i="5"/>
  <c r="OH232" i="5"/>
  <c r="OF232" i="5"/>
  <c r="OD232" i="5"/>
  <c r="OX232" i="5"/>
  <c r="OV232" i="5"/>
  <c r="OL232" i="5"/>
  <c r="ON232" i="5"/>
  <c r="OR232" i="5"/>
  <c r="PB232" i="5"/>
  <c r="PD232" i="5"/>
  <c r="OP232" i="5"/>
  <c r="OG232" i="5"/>
  <c r="DW232" i="5"/>
  <c r="NI232" i="5" s="1"/>
  <c r="CN232" i="5"/>
  <c r="DC232" i="5" s="1"/>
  <c r="HL232" i="5" s="1"/>
  <c r="QR232" i="5"/>
  <c r="PI232" i="5"/>
  <c r="MY232" i="5"/>
  <c r="IH232" i="5"/>
  <c r="II232" i="5" s="1"/>
  <c r="NN169" i="5"/>
  <c r="ND231" i="5"/>
  <c r="HI231" i="5" s="1"/>
  <c r="HJ231" i="5"/>
  <c r="ND230" i="5"/>
  <c r="HI230" i="5" s="1"/>
  <c r="DW170" i="5"/>
  <c r="NI170" i="5" s="1"/>
  <c r="CN170" i="5"/>
  <c r="DC170" i="5" s="1"/>
  <c r="HL170" i="5" s="1"/>
  <c r="PI170" i="5"/>
  <c r="QR170" i="5"/>
  <c r="OZ170" i="5"/>
  <c r="PB170" i="5"/>
  <c r="OP170" i="5"/>
  <c r="OK170" i="5"/>
  <c r="CJ170" i="5" s="1"/>
  <c r="PD170" i="5"/>
  <c r="PF170" i="5"/>
  <c r="OI170" i="5"/>
  <c r="OO170" i="5"/>
  <c r="OR170" i="5"/>
  <c r="PH170" i="5"/>
  <c r="PC170" i="5"/>
  <c r="OM170" i="5"/>
  <c r="OS170" i="5"/>
  <c r="OA170" i="5"/>
  <c r="OW170" i="5"/>
  <c r="PG170" i="5"/>
  <c r="OQ170" i="5"/>
  <c r="OG170" i="5"/>
  <c r="PA170" i="5"/>
  <c r="OU170" i="5"/>
  <c r="OF170" i="5"/>
  <c r="OE170" i="5"/>
  <c r="PE170" i="5"/>
  <c r="OY170" i="5"/>
  <c r="OJ170" i="5"/>
  <c r="OB170" i="5"/>
  <c r="OL170" i="5"/>
  <c r="OT170" i="5"/>
  <c r="OH170" i="5"/>
  <c r="ON170" i="5"/>
  <c r="OC170" i="5"/>
  <c r="OD170" i="5"/>
  <c r="OV170" i="5"/>
  <c r="OX170" i="5"/>
  <c r="BT170" i="5"/>
  <c r="IH170" i="5" s="1"/>
  <c r="II170" i="5" s="1"/>
  <c r="NS226" i="5"/>
  <c r="NU226" i="5" s="1"/>
  <c r="NS228" i="5"/>
  <c r="NU228" i="5" s="1"/>
  <c r="HI122" i="5"/>
  <c r="MY169" i="5"/>
  <c r="CN45" i="5"/>
  <c r="CW45" i="5" s="1"/>
  <c r="NO169" i="5"/>
  <c r="NR169" i="5"/>
  <c r="CN42" i="5"/>
  <c r="CW42" i="5" s="1"/>
  <c r="BT169" i="5"/>
  <c r="FX169" i="5" s="1"/>
  <c r="ND229" i="5"/>
  <c r="HI229" i="5" s="1"/>
  <c r="HJ229" i="5"/>
  <c r="ND228" i="5"/>
  <c r="HI228" i="5" s="1"/>
  <c r="HJ228" i="5"/>
  <c r="NS225" i="5"/>
  <c r="NU225" i="5" s="1"/>
  <c r="NT226" i="5"/>
  <c r="NV226" i="5" s="1"/>
  <c r="DW169" i="5"/>
  <c r="NI169" i="5" s="1"/>
  <c r="CN169" i="5"/>
  <c r="QR169" i="5"/>
  <c r="PI169" i="5"/>
  <c r="CJ169" i="5"/>
  <c r="OZ169" i="5"/>
  <c r="OT169" i="5"/>
  <c r="ON169" i="5"/>
  <c r="OP169" i="5"/>
  <c r="PD169" i="5"/>
  <c r="OX169" i="5"/>
  <c r="OR169" i="5"/>
  <c r="OI169" i="5"/>
  <c r="OA169" i="5"/>
  <c r="PH169" i="5"/>
  <c r="OG169" i="5"/>
  <c r="OM169" i="5"/>
  <c r="OU169" i="5"/>
  <c r="OW169" i="5"/>
  <c r="OK169" i="5"/>
  <c r="OQ169" i="5"/>
  <c r="OY169" i="5"/>
  <c r="PA169" i="5"/>
  <c r="OO169" i="5"/>
  <c r="OE169" i="5"/>
  <c r="PC169" i="5"/>
  <c r="PE169" i="5"/>
  <c r="OS169" i="5"/>
  <c r="OB169" i="5"/>
  <c r="PG169" i="5"/>
  <c r="PB169" i="5"/>
  <c r="OF169" i="5"/>
  <c r="OH169" i="5"/>
  <c r="OC169" i="5"/>
  <c r="OV169" i="5"/>
  <c r="PF169" i="5"/>
  <c r="OJ169" i="5"/>
  <c r="OL169" i="5"/>
  <c r="OD169" i="5"/>
  <c r="IE169" i="5"/>
  <c r="NX169" i="5" s="1"/>
  <c r="ND227" i="5"/>
  <c r="HI227" i="5" s="1"/>
  <c r="HJ227" i="5"/>
  <c r="HJ226" i="5"/>
  <c r="ND226" i="5"/>
  <c r="HI226" i="5" s="1"/>
  <c r="NS219" i="5"/>
  <c r="NU219" i="5" s="1"/>
  <c r="NS222" i="5"/>
  <c r="NU222" i="5" s="1"/>
  <c r="ND225" i="5"/>
  <c r="HI225" i="5" s="1"/>
  <c r="HJ225" i="5"/>
  <c r="HJ224" i="5"/>
  <c r="ND224" i="5"/>
  <c r="HI224" i="5" s="1"/>
  <c r="NT219" i="5"/>
  <c r="NV219" i="5" s="1"/>
  <c r="HI61" i="5"/>
  <c r="ND223" i="5"/>
  <c r="HI223" i="5" s="1"/>
  <c r="HJ223" i="5"/>
  <c r="HJ222" i="5"/>
  <c r="ND222" i="5"/>
  <c r="HI222" i="5" s="1"/>
  <c r="ND219" i="5"/>
  <c r="HI219" i="5" s="1"/>
  <c r="HJ219" i="5"/>
  <c r="CN84" i="5"/>
  <c r="DC84" i="5" s="1"/>
  <c r="HL84" i="5" s="1"/>
  <c r="CN31" i="5"/>
  <c r="CW31" i="5" s="1"/>
  <c r="CN104" i="5"/>
  <c r="DC104" i="5" s="1"/>
  <c r="HL104" i="5" s="1"/>
  <c r="NT171" i="5"/>
  <c r="NV171" i="5" s="1"/>
  <c r="NR185" i="5"/>
  <c r="NO185" i="5"/>
  <c r="NN185" i="5"/>
  <c r="NS171" i="5"/>
  <c r="NU171" i="5" s="1"/>
  <c r="EZ185" i="5"/>
  <c r="IE185" i="5"/>
  <c r="NX185" i="5" s="1"/>
  <c r="DW185" i="5"/>
  <c r="NI185" i="5" s="1"/>
  <c r="CN185" i="5"/>
  <c r="QR185" i="5"/>
  <c r="PI185" i="5"/>
  <c r="PE185" i="5"/>
  <c r="OY185" i="5"/>
  <c r="OQ185" i="5"/>
  <c r="OE185" i="5"/>
  <c r="OT185" i="5"/>
  <c r="OG185" i="5"/>
  <c r="OB185" i="5"/>
  <c r="OA185" i="5"/>
  <c r="OV185" i="5"/>
  <c r="OX185" i="5"/>
  <c r="OO185" i="5"/>
  <c r="OC185" i="5"/>
  <c r="OZ185" i="5"/>
  <c r="PB185" i="5"/>
  <c r="OH185" i="5"/>
  <c r="OJ185" i="5"/>
  <c r="OF185" i="5"/>
  <c r="PD185" i="5"/>
  <c r="PF185" i="5"/>
  <c r="OL185" i="5"/>
  <c r="OR185" i="5"/>
  <c r="OD185" i="5"/>
  <c r="PH185" i="5"/>
  <c r="PC185" i="5"/>
  <c r="OP185" i="5"/>
  <c r="OK185" i="5"/>
  <c r="OW185" i="5"/>
  <c r="PG185" i="5"/>
  <c r="OI185" i="5"/>
  <c r="OS185" i="5"/>
  <c r="PA185" i="5"/>
  <c r="OU185" i="5"/>
  <c r="OM185" i="5"/>
  <c r="ON185" i="5"/>
  <c r="BT185" i="5"/>
  <c r="IH185" i="5" s="1"/>
  <c r="II185" i="5" s="1"/>
  <c r="HJ180" i="5"/>
  <c r="GG211" i="5"/>
  <c r="EZ207" i="5"/>
  <c r="FO211" i="5"/>
  <c r="ET211" i="5"/>
  <c r="GA211" i="5"/>
  <c r="GD211" i="5"/>
  <c r="CN12" i="5"/>
  <c r="CZ12" i="5" s="1"/>
  <c r="FL211" i="5"/>
  <c r="ND171" i="5"/>
  <c r="HI171" i="5" s="1"/>
  <c r="HJ171" i="5"/>
  <c r="FR211" i="5"/>
  <c r="DW211" i="5"/>
  <c r="NI211" i="5" s="1"/>
  <c r="CN211" i="5"/>
  <c r="DC211" i="5" s="1"/>
  <c r="HL211" i="5" s="1"/>
  <c r="QR211" i="5"/>
  <c r="PI211" i="5"/>
  <c r="PD211" i="5"/>
  <c r="OX211" i="5"/>
  <c r="OF211" i="5"/>
  <c r="OM211" i="5"/>
  <c r="OC211" i="5"/>
  <c r="PH211" i="5"/>
  <c r="OJ211" i="5"/>
  <c r="OH211" i="5"/>
  <c r="OD211" i="5"/>
  <c r="CJ211" i="5" s="1"/>
  <c r="OU211" i="5"/>
  <c r="OW211" i="5"/>
  <c r="ON211" i="5"/>
  <c r="OP211" i="5"/>
  <c r="OY211" i="5"/>
  <c r="PA211" i="5"/>
  <c r="OR211" i="5"/>
  <c r="OI211" i="5"/>
  <c r="PC211" i="5"/>
  <c r="PE211" i="5"/>
  <c r="OG211" i="5"/>
  <c r="OQ211" i="5"/>
  <c r="PG211" i="5"/>
  <c r="PB211" i="5"/>
  <c r="OK211" i="5"/>
  <c r="OE211" i="5"/>
  <c r="OV211" i="5"/>
  <c r="PF211" i="5"/>
  <c r="OO211" i="5"/>
  <c r="OB211" i="5"/>
  <c r="OA211" i="5"/>
  <c r="OZ211" i="5"/>
  <c r="OT211" i="5"/>
  <c r="OS211" i="5"/>
  <c r="OL211" i="5"/>
  <c r="GU211" i="5"/>
  <c r="GV211" i="5" s="1"/>
  <c r="FI211" i="5"/>
  <c r="FG211" i="5" s="1"/>
  <c r="ND211" i="5" s="1"/>
  <c r="GP211" i="5"/>
  <c r="EY211" i="5"/>
  <c r="EO211" i="5"/>
  <c r="EQ211" i="5" s="1"/>
  <c r="FX211" i="5"/>
  <c r="HZ211" i="5"/>
  <c r="FC211" i="5"/>
  <c r="IH211" i="5"/>
  <c r="II211" i="5" s="1"/>
  <c r="ND180" i="5"/>
  <c r="HI180" i="5" s="1"/>
  <c r="NP165" i="5"/>
  <c r="ET210" i="5"/>
  <c r="GD210" i="5"/>
  <c r="FO210" i="5"/>
  <c r="FR210" i="5"/>
  <c r="FL210" i="5"/>
  <c r="GG210" i="5"/>
  <c r="ND190" i="5"/>
  <c r="HI190" i="5" s="1"/>
  <c r="NS148" i="5"/>
  <c r="NU148" i="5" s="1"/>
  <c r="NT208" i="5"/>
  <c r="NV208" i="5" s="1"/>
  <c r="CN130" i="5"/>
  <c r="DW210" i="5"/>
  <c r="NI210" i="5" s="1"/>
  <c r="CN210" i="5"/>
  <c r="DC210" i="5" s="1"/>
  <c r="HL210" i="5" s="1"/>
  <c r="PI210" i="5"/>
  <c r="QR210" i="5"/>
  <c r="PC210" i="5"/>
  <c r="OW210" i="5"/>
  <c r="OK210" i="5"/>
  <c r="OR210" i="5"/>
  <c r="PG210" i="5"/>
  <c r="OS210" i="5"/>
  <c r="OB210" i="5"/>
  <c r="OA210" i="5"/>
  <c r="OT210" i="5"/>
  <c r="OV210" i="5"/>
  <c r="OH210" i="5"/>
  <c r="OF210" i="5"/>
  <c r="OC210" i="5"/>
  <c r="OX210" i="5"/>
  <c r="OZ210" i="5"/>
  <c r="OL210" i="5"/>
  <c r="ON210" i="5"/>
  <c r="OD210" i="5"/>
  <c r="PB210" i="5"/>
  <c r="PD210" i="5"/>
  <c r="OP210" i="5"/>
  <c r="CJ210" i="5" s="1"/>
  <c r="OG210" i="5"/>
  <c r="PF210" i="5"/>
  <c r="PH210" i="5"/>
  <c r="OI210" i="5"/>
  <c r="OO210" i="5"/>
  <c r="OU210" i="5"/>
  <c r="PA210" i="5"/>
  <c r="OM210" i="5"/>
  <c r="OJ210" i="5"/>
  <c r="OY210" i="5"/>
  <c r="PE210" i="5"/>
  <c r="OQ210" i="5"/>
  <c r="OE210" i="5"/>
  <c r="GU210" i="5"/>
  <c r="GV210" i="5" s="1"/>
  <c r="FC210" i="5"/>
  <c r="EY210" i="5"/>
  <c r="FI210" i="5"/>
  <c r="FG210" i="5" s="1"/>
  <c r="HJ210" i="5" s="1"/>
  <c r="GP210" i="5"/>
  <c r="EO210" i="5"/>
  <c r="EQ210" i="5" s="1"/>
  <c r="HZ210" i="5"/>
  <c r="FX210" i="5"/>
  <c r="IH210" i="5"/>
  <c r="II210" i="5" s="1"/>
  <c r="HJ190" i="5"/>
  <c r="QR207" i="5"/>
  <c r="PI207" i="5"/>
  <c r="PH209" i="5"/>
  <c r="OY209" i="5"/>
  <c r="OO209" i="5"/>
  <c r="OB209" i="5"/>
  <c r="OW209" i="5"/>
  <c r="PC209" i="5"/>
  <c r="OH209" i="5"/>
  <c r="OJ209" i="5"/>
  <c r="OC209" i="5"/>
  <c r="PA209" i="5"/>
  <c r="PG209" i="5"/>
  <c r="OL209" i="5"/>
  <c r="OR209" i="5"/>
  <c r="OD209" i="5"/>
  <c r="OA209" i="5"/>
  <c r="PE209" i="5"/>
  <c r="OU209" i="5"/>
  <c r="OP209" i="5"/>
  <c r="OK209" i="5"/>
  <c r="OT209" i="5"/>
  <c r="OI209" i="5"/>
  <c r="OS209" i="5"/>
  <c r="OV209" i="5"/>
  <c r="OX209" i="5"/>
  <c r="OM209" i="5"/>
  <c r="OF209" i="5"/>
  <c r="OZ209" i="5"/>
  <c r="PB209" i="5"/>
  <c r="OQ209" i="5"/>
  <c r="OE209" i="5"/>
  <c r="CJ209" i="5" s="1"/>
  <c r="PD209" i="5"/>
  <c r="PF209" i="5"/>
  <c r="OG209" i="5"/>
  <c r="ON209" i="5"/>
  <c r="GU209" i="5"/>
  <c r="GV209" i="5" s="1"/>
  <c r="HZ209" i="5"/>
  <c r="FC209" i="5"/>
  <c r="FL209" i="5"/>
  <c r="GD209" i="5"/>
  <c r="FI209" i="5"/>
  <c r="FG209" i="5" s="1"/>
  <c r="FR209" i="5"/>
  <c r="EO209" i="5"/>
  <c r="EQ209" i="5" s="1"/>
  <c r="EY209" i="5"/>
  <c r="GG209" i="5"/>
  <c r="DU209" i="5"/>
  <c r="FX209" i="5"/>
  <c r="GP209" i="5"/>
  <c r="FO209" i="5"/>
  <c r="ET209" i="5"/>
  <c r="IH209" i="5"/>
  <c r="II209" i="5" s="1"/>
  <c r="DW209" i="5"/>
  <c r="NI209" i="5" s="1"/>
  <c r="CN209" i="5"/>
  <c r="DC209" i="5" s="1"/>
  <c r="HL209" i="5" s="1"/>
  <c r="QR209" i="5"/>
  <c r="PI209" i="5"/>
  <c r="NT206" i="5"/>
  <c r="NV206" i="5" s="1"/>
  <c r="NS208" i="5"/>
  <c r="NU208" i="5" s="1"/>
  <c r="NO101" i="5"/>
  <c r="OZ165" i="5"/>
  <c r="PF165" i="5"/>
  <c r="OJ165" i="5"/>
  <c r="OL165" i="5"/>
  <c r="OD165" i="5"/>
  <c r="PD165" i="5"/>
  <c r="OT165" i="5"/>
  <c r="ON165" i="5"/>
  <c r="OP165" i="5"/>
  <c r="PH165" i="5"/>
  <c r="OR165" i="5"/>
  <c r="OQ165" i="5"/>
  <c r="OU165" i="5"/>
  <c r="OW165" i="5"/>
  <c r="OG165" i="5"/>
  <c r="CJ165" i="5" s="1"/>
  <c r="OI165" i="5"/>
  <c r="OY165" i="5"/>
  <c r="PA165" i="5"/>
  <c r="OK165" i="5"/>
  <c r="OM165" i="5"/>
  <c r="PC165" i="5"/>
  <c r="PE165" i="5"/>
  <c r="OO165" i="5"/>
  <c r="OE165" i="5"/>
  <c r="PG165" i="5"/>
  <c r="OX165" i="5"/>
  <c r="OS165" i="5"/>
  <c r="OB165" i="5"/>
  <c r="OV165" i="5"/>
  <c r="PB165" i="5"/>
  <c r="OF165" i="5"/>
  <c r="OH165" i="5"/>
  <c r="OC165" i="5"/>
  <c r="OA165" i="5"/>
  <c r="IH165" i="5"/>
  <c r="II165" i="5" s="1"/>
  <c r="GG165" i="5"/>
  <c r="FO165" i="5"/>
  <c r="FR165" i="5"/>
  <c r="GD165" i="5"/>
  <c r="GU165" i="5"/>
  <c r="GV165" i="5" s="1"/>
  <c r="GA165" i="5"/>
  <c r="FI165" i="5"/>
  <c r="FG165" i="5" s="1"/>
  <c r="FL165" i="5"/>
  <c r="ET165" i="5"/>
  <c r="EY165" i="5"/>
  <c r="HZ165" i="5"/>
  <c r="FC165" i="5"/>
  <c r="FX165" i="5"/>
  <c r="GP165" i="5"/>
  <c r="DU165" i="5"/>
  <c r="EO165" i="5"/>
  <c r="EQ165" i="5" s="1"/>
  <c r="DW165" i="5"/>
  <c r="NI165" i="5" s="1"/>
  <c r="CN165" i="5"/>
  <c r="DC165" i="5" s="1"/>
  <c r="HL165" i="5" s="1"/>
  <c r="QR165" i="5"/>
  <c r="PI165" i="5"/>
  <c r="NN172" i="5"/>
  <c r="HI178" i="5"/>
  <c r="OU207" i="5"/>
  <c r="OW207" i="5"/>
  <c r="OM207" i="5"/>
  <c r="OE207" i="5"/>
  <c r="OY207" i="5"/>
  <c r="PA207" i="5"/>
  <c r="OQ207" i="5"/>
  <c r="OJ207" i="5"/>
  <c r="PC207" i="5"/>
  <c r="PE207" i="5"/>
  <c r="OK207" i="5"/>
  <c r="OB207" i="5"/>
  <c r="PG207" i="5"/>
  <c r="OS207" i="5"/>
  <c r="OR207" i="5"/>
  <c r="OT207" i="5"/>
  <c r="OV207" i="5"/>
  <c r="OH207" i="5"/>
  <c r="OF207" i="5"/>
  <c r="OC207" i="5"/>
  <c r="OX207" i="5"/>
  <c r="OZ207" i="5"/>
  <c r="OL207" i="5"/>
  <c r="ON207" i="5"/>
  <c r="OD207" i="5"/>
  <c r="PB207" i="5"/>
  <c r="PD207" i="5"/>
  <c r="OP207" i="5"/>
  <c r="OG207" i="5"/>
  <c r="PF207" i="5"/>
  <c r="PH207" i="5"/>
  <c r="OI207" i="5"/>
  <c r="OO207" i="5"/>
  <c r="OA207" i="5"/>
  <c r="CN16" i="5"/>
  <c r="CW16" i="5" s="1"/>
  <c r="JE62" i="5"/>
  <c r="HJ208" i="5"/>
  <c r="ND208" i="5"/>
  <c r="HI208" i="5" s="1"/>
  <c r="HJ148" i="5"/>
  <c r="NT148" i="5"/>
  <c r="NV148" i="5" s="1"/>
  <c r="ND148" i="5"/>
  <c r="HI148" i="5" s="1"/>
  <c r="DW205" i="5"/>
  <c r="NI205" i="5" s="1"/>
  <c r="CN205" i="5"/>
  <c r="DC205" i="5" s="1"/>
  <c r="HL205" i="5" s="1"/>
  <c r="PI205" i="5"/>
  <c r="QR205" i="5"/>
  <c r="PG205" i="5"/>
  <c r="OT205" i="5"/>
  <c r="OR205" i="5"/>
  <c r="OI205" i="5"/>
  <c r="OV205" i="5"/>
  <c r="OX205" i="5"/>
  <c r="OG205" i="5"/>
  <c r="OQ205" i="5"/>
  <c r="OZ205" i="5"/>
  <c r="PB205" i="5"/>
  <c r="OK205" i="5"/>
  <c r="OL205" i="5"/>
  <c r="PD205" i="5"/>
  <c r="PF205" i="5"/>
  <c r="OO205" i="5"/>
  <c r="OE205" i="5"/>
  <c r="PH205" i="5"/>
  <c r="OS205" i="5"/>
  <c r="OB205" i="5"/>
  <c r="OU205" i="5"/>
  <c r="OW205" i="5"/>
  <c r="OF205" i="5"/>
  <c r="CJ205" i="5" s="1"/>
  <c r="OM205" i="5"/>
  <c r="OC205" i="5"/>
  <c r="OY205" i="5"/>
  <c r="PA205" i="5"/>
  <c r="OJ205" i="5"/>
  <c r="OH205" i="5"/>
  <c r="OD205" i="5"/>
  <c r="PC205" i="5"/>
  <c r="PE205" i="5"/>
  <c r="ON205" i="5"/>
  <c r="OP205" i="5"/>
  <c r="OA205" i="5"/>
  <c r="BT205" i="5"/>
  <c r="IH205" i="5" s="1"/>
  <c r="II205" i="5" s="1"/>
  <c r="IE205" i="5" s="1"/>
  <c r="NX205" i="5" s="1"/>
  <c r="BT203" i="5"/>
  <c r="FL203" i="5" s="1"/>
  <c r="NS206" i="5"/>
  <c r="NU206" i="5" s="1"/>
  <c r="MY172" i="5"/>
  <c r="NR172" i="5"/>
  <c r="NO172" i="5"/>
  <c r="ND206" i="5"/>
  <c r="HI206" i="5" s="1"/>
  <c r="HJ206" i="5"/>
  <c r="ND179" i="5"/>
  <c r="HI179" i="5" s="1"/>
  <c r="PG172" i="5"/>
  <c r="PF172" i="5"/>
  <c r="OJ172" i="5"/>
  <c r="OL172" i="5"/>
  <c r="OD172" i="5"/>
  <c r="OV172" i="5"/>
  <c r="OT172" i="5"/>
  <c r="ON172" i="5"/>
  <c r="OP172" i="5"/>
  <c r="OM172" i="5"/>
  <c r="OZ172" i="5"/>
  <c r="OX172" i="5"/>
  <c r="OR172" i="5"/>
  <c r="OQ172" i="5"/>
  <c r="OA172" i="5"/>
  <c r="PC172" i="5"/>
  <c r="OH172" i="5"/>
  <c r="PD172" i="5"/>
  <c r="PB172" i="5"/>
  <c r="OG172" i="5"/>
  <c r="OI172" i="5"/>
  <c r="PH172" i="5"/>
  <c r="OK172" i="5"/>
  <c r="CJ172" i="5" s="1"/>
  <c r="OE172" i="5"/>
  <c r="OU172" i="5"/>
  <c r="OW172" i="5"/>
  <c r="OO172" i="5"/>
  <c r="OB172" i="5"/>
  <c r="PE172" i="5"/>
  <c r="OY172" i="5"/>
  <c r="PA172" i="5"/>
  <c r="OS172" i="5"/>
  <c r="OC172" i="5"/>
  <c r="OF172" i="5"/>
  <c r="DW172" i="5"/>
  <c r="NI172" i="5" s="1"/>
  <c r="CN172" i="5"/>
  <c r="QR172" i="5"/>
  <c r="PI172" i="5"/>
  <c r="BT131" i="5"/>
  <c r="FI131" i="5" s="1"/>
  <c r="FG131" i="5" s="1"/>
  <c r="CN149" i="5"/>
  <c r="DC149" i="5" s="1"/>
  <c r="HL149" i="5" s="1"/>
  <c r="NR101" i="5"/>
  <c r="HJ179" i="5"/>
  <c r="ND188" i="5"/>
  <c r="HI188" i="5" s="1"/>
  <c r="HJ188" i="5"/>
  <c r="DW203" i="5"/>
  <c r="NI203" i="5" s="1"/>
  <c r="CN203" i="5"/>
  <c r="PI203" i="5"/>
  <c r="QR203" i="5"/>
  <c r="PA203" i="5"/>
  <c r="PC203" i="5"/>
  <c r="OK203" i="5"/>
  <c r="CJ203" i="5" s="1"/>
  <c r="OE203" i="5"/>
  <c r="PE203" i="5"/>
  <c r="PG203" i="5"/>
  <c r="OO203" i="5"/>
  <c r="OP203" i="5"/>
  <c r="OT203" i="5"/>
  <c r="PH203" i="5"/>
  <c r="OS203" i="5"/>
  <c r="OB203" i="5"/>
  <c r="OX203" i="5"/>
  <c r="OV203" i="5"/>
  <c r="OF203" i="5"/>
  <c r="OI203" i="5"/>
  <c r="OC203" i="5"/>
  <c r="PB203" i="5"/>
  <c r="OZ203" i="5"/>
  <c r="OJ203" i="5"/>
  <c r="OQ203" i="5"/>
  <c r="OD203" i="5"/>
  <c r="PF203" i="5"/>
  <c r="PD203" i="5"/>
  <c r="ON203" i="5"/>
  <c r="OL203" i="5"/>
  <c r="OU203" i="5"/>
  <c r="OR203" i="5"/>
  <c r="OM203" i="5"/>
  <c r="OW203" i="5"/>
  <c r="OY203" i="5"/>
  <c r="OG203" i="5"/>
  <c r="OH203" i="5"/>
  <c r="OA203" i="5"/>
  <c r="NO144" i="5"/>
  <c r="NN144" i="5"/>
  <c r="MY144" i="5"/>
  <c r="NR144" i="5"/>
  <c r="MY101" i="5"/>
  <c r="ND152" i="5"/>
  <c r="HJ152" i="5"/>
  <c r="DW144" i="5"/>
  <c r="NI144" i="5" s="1"/>
  <c r="CN144" i="5"/>
  <c r="QR144" i="5"/>
  <c r="PI144" i="5"/>
  <c r="CJ144" i="5"/>
  <c r="PB144" i="5"/>
  <c r="PD144" i="5"/>
  <c r="OL144" i="5"/>
  <c r="OR144" i="5"/>
  <c r="OD144" i="5"/>
  <c r="PF144" i="5"/>
  <c r="PH144" i="5"/>
  <c r="OP144" i="5"/>
  <c r="OG144" i="5"/>
  <c r="OU144" i="5"/>
  <c r="OW144" i="5"/>
  <c r="OI144" i="5"/>
  <c r="OK144" i="5"/>
  <c r="OA144" i="5"/>
  <c r="OY144" i="5"/>
  <c r="PA144" i="5"/>
  <c r="OM144" i="5"/>
  <c r="OO144" i="5"/>
  <c r="PC144" i="5"/>
  <c r="PE144" i="5"/>
  <c r="OQ144" i="5"/>
  <c r="OE144" i="5"/>
  <c r="PG144" i="5"/>
  <c r="OF144" i="5"/>
  <c r="OB144" i="5"/>
  <c r="OT144" i="5"/>
  <c r="OV144" i="5"/>
  <c r="OJ144" i="5"/>
  <c r="OS144" i="5"/>
  <c r="OX144" i="5"/>
  <c r="OZ144" i="5"/>
  <c r="OH144" i="5"/>
  <c r="ON144" i="5"/>
  <c r="OC144" i="5"/>
  <c r="IE144" i="5"/>
  <c r="NX144" i="5" s="1"/>
  <c r="FC144" i="5"/>
  <c r="EO144" i="5"/>
  <c r="EQ144" i="5" s="1"/>
  <c r="HZ144" i="5"/>
  <c r="GU144" i="5"/>
  <c r="GV144" i="5" s="1"/>
  <c r="GP144" i="5"/>
  <c r="FX144" i="5"/>
  <c r="EY144" i="5"/>
  <c r="FI144" i="5"/>
  <c r="FG144" i="5" s="1"/>
  <c r="GA144" i="5"/>
  <c r="FL144" i="5"/>
  <c r="DU144" i="5"/>
  <c r="FO144" i="5"/>
  <c r="ET144" i="5"/>
  <c r="GD144" i="5"/>
  <c r="GG144" i="5"/>
  <c r="FR144" i="5"/>
  <c r="IH144" i="5"/>
  <c r="II144" i="5" s="1"/>
  <c r="EZ101" i="5"/>
  <c r="DW101" i="5"/>
  <c r="NI101" i="5" s="1"/>
  <c r="CN101" i="5"/>
  <c r="QR101" i="5"/>
  <c r="PI101" i="5"/>
  <c r="OU101" i="5"/>
  <c r="OW101" i="5"/>
  <c r="OP101" i="5"/>
  <c r="OK101" i="5"/>
  <c r="OY101" i="5"/>
  <c r="PA101" i="5"/>
  <c r="OI101" i="5"/>
  <c r="OO101" i="5"/>
  <c r="PC101" i="5"/>
  <c r="PE101" i="5"/>
  <c r="OM101" i="5"/>
  <c r="OS101" i="5"/>
  <c r="PG101" i="5"/>
  <c r="OQ101" i="5"/>
  <c r="OE101" i="5"/>
  <c r="OT101" i="5"/>
  <c r="OV101" i="5"/>
  <c r="OF101" i="5"/>
  <c r="OG101" i="5"/>
  <c r="OX101" i="5"/>
  <c r="OZ101" i="5"/>
  <c r="OJ101" i="5"/>
  <c r="OB101" i="5"/>
  <c r="OA101" i="5"/>
  <c r="PB101" i="5"/>
  <c r="PD101" i="5"/>
  <c r="OH101" i="5"/>
  <c r="ON101" i="5"/>
  <c r="OC101" i="5"/>
  <c r="CJ101" i="5" s="1"/>
  <c r="PF101" i="5"/>
  <c r="PH101" i="5"/>
  <c r="OL101" i="5"/>
  <c r="OR101" i="5"/>
  <c r="OD101" i="5"/>
  <c r="FX101" i="5"/>
  <c r="FI101" i="5"/>
  <c r="FG101" i="5" s="1"/>
  <c r="FC101" i="5"/>
  <c r="EY101" i="5"/>
  <c r="EO101" i="5"/>
  <c r="EQ101" i="5" s="1"/>
  <c r="HZ101" i="5"/>
  <c r="GU101" i="5"/>
  <c r="GV101" i="5" s="1"/>
  <c r="GP101" i="5"/>
  <c r="FO101" i="5"/>
  <c r="DU101" i="5"/>
  <c r="ET101" i="5"/>
  <c r="FR101" i="5"/>
  <c r="FL101" i="5"/>
  <c r="GA101" i="5"/>
  <c r="GG101" i="5"/>
  <c r="GD101" i="5"/>
  <c r="IH101" i="5"/>
  <c r="II101" i="5" s="1"/>
  <c r="IE101" i="5" s="1"/>
  <c r="NX101" i="5" s="1"/>
  <c r="HI163" i="5"/>
  <c r="MY149" i="5"/>
  <c r="NN149" i="5"/>
  <c r="NO149" i="5"/>
  <c r="HR162" i="5"/>
  <c r="CN93" i="5"/>
  <c r="CZ93" i="5" s="1"/>
  <c r="NQ61" i="5"/>
  <c r="BT12" i="5"/>
  <c r="EY12" i="5" s="1"/>
  <c r="JO62" i="5"/>
  <c r="BT130" i="5"/>
  <c r="HZ130" i="5" s="1"/>
  <c r="HI182" i="5"/>
  <c r="HR183" i="5"/>
  <c r="HR181" i="5"/>
  <c r="IE130" i="5"/>
  <c r="NX130" i="5" s="1"/>
  <c r="HR174" i="5"/>
  <c r="HK149" i="5"/>
  <c r="HR149" i="5" s="1"/>
  <c r="HK20" i="5"/>
  <c r="HR20" i="5" s="1"/>
  <c r="HK75" i="5"/>
  <c r="HR75" i="5" s="1"/>
  <c r="HK9" i="5"/>
  <c r="HR9" i="5" s="1"/>
  <c r="HK129" i="5"/>
  <c r="HR129" i="5" s="1"/>
  <c r="HI166" i="5"/>
  <c r="OZ86" i="5"/>
  <c r="HK86" i="5"/>
  <c r="HR86" i="5" s="1"/>
  <c r="NR130" i="5"/>
  <c r="IE60" i="5"/>
  <c r="NX60" i="5" s="1"/>
  <c r="HK57" i="5"/>
  <c r="HR57" i="5" s="1"/>
  <c r="HK60" i="5"/>
  <c r="HR60" i="5" s="1"/>
  <c r="IE129" i="5"/>
  <c r="NX129" i="5" s="1"/>
  <c r="HK42" i="5"/>
  <c r="HR42" i="5" s="1"/>
  <c r="HK25" i="5"/>
  <c r="HR25" i="5" s="1"/>
  <c r="CN34" i="5"/>
  <c r="CW34" i="5" s="1"/>
  <c r="NN131" i="5"/>
  <c r="HK6" i="5"/>
  <c r="HR6" i="5" s="1"/>
  <c r="HK54" i="5"/>
  <c r="HR54" i="5" s="1"/>
  <c r="CN107" i="5"/>
  <c r="DC107" i="5" s="1"/>
  <c r="HL107" i="5" s="1"/>
  <c r="CN57" i="5"/>
  <c r="DC57" i="5" s="1"/>
  <c r="HL57" i="5" s="1"/>
  <c r="NO131" i="5"/>
  <c r="IE22" i="5"/>
  <c r="HK34" i="5"/>
  <c r="HR34" i="5" s="1"/>
  <c r="HK95" i="5"/>
  <c r="HR95" i="5" s="1"/>
  <c r="CN39" i="5"/>
  <c r="CW39" i="5" s="1"/>
  <c r="HK131" i="5"/>
  <c r="HR131" i="5" s="1"/>
  <c r="NO130" i="5"/>
  <c r="IE44" i="5"/>
  <c r="HK45" i="5"/>
  <c r="HR45" i="5" s="1"/>
  <c r="MY130" i="5"/>
  <c r="HK62" i="5"/>
  <c r="HR62" i="5" s="1"/>
  <c r="HK104" i="5"/>
  <c r="HR104" i="5" s="1"/>
  <c r="HK130" i="5"/>
  <c r="HR130" i="5" s="1"/>
  <c r="NN130" i="5"/>
  <c r="HZ34" i="5"/>
  <c r="GU34" i="5"/>
  <c r="GV34" i="5" s="1"/>
  <c r="GP34" i="5"/>
  <c r="GA34" i="5"/>
  <c r="FX34" i="5"/>
  <c r="FI34" i="5"/>
  <c r="FG34" i="5" s="1"/>
  <c r="FC34" i="5"/>
  <c r="EY34" i="5"/>
  <c r="EO34" i="5"/>
  <c r="EQ34" i="5" s="1"/>
  <c r="IH34" i="5"/>
  <c r="II34" i="5" s="1"/>
  <c r="HZ22" i="5"/>
  <c r="GU22" i="5"/>
  <c r="GV22" i="5" s="1"/>
  <c r="GP22" i="5"/>
  <c r="FX22" i="5"/>
  <c r="FI22" i="5"/>
  <c r="FG22" i="5" s="1"/>
  <c r="FC22" i="5"/>
  <c r="EY22" i="5"/>
  <c r="EO22" i="5"/>
  <c r="EQ22" i="5" s="1"/>
  <c r="IH22" i="5"/>
  <c r="II22" i="5" s="1"/>
  <c r="IH107" i="5"/>
  <c r="II107" i="5" s="1"/>
  <c r="IE107" i="5" s="1"/>
  <c r="NX107" i="5" s="1"/>
  <c r="HZ107" i="5"/>
  <c r="GU107" i="5"/>
  <c r="GV107" i="5" s="1"/>
  <c r="GP107" i="5"/>
  <c r="GA107" i="5"/>
  <c r="FX107" i="5"/>
  <c r="FI107" i="5"/>
  <c r="FG107" i="5" s="1"/>
  <c r="FC107" i="5"/>
  <c r="EO107" i="5"/>
  <c r="EQ107" i="5" s="1"/>
  <c r="EY107" i="5"/>
  <c r="HZ54" i="5"/>
  <c r="GU54" i="5"/>
  <c r="GV54" i="5" s="1"/>
  <c r="GP54" i="5"/>
  <c r="FX54" i="5"/>
  <c r="FI54" i="5"/>
  <c r="FG54" i="5" s="1"/>
  <c r="FC54" i="5"/>
  <c r="EY54" i="5"/>
  <c r="EO54" i="5"/>
  <c r="EQ54" i="5" s="1"/>
  <c r="IH54" i="5"/>
  <c r="II54" i="5" s="1"/>
  <c r="IH14" i="5"/>
  <c r="II14" i="5" s="1"/>
  <c r="IE14" i="5" s="1"/>
  <c r="HZ14" i="5"/>
  <c r="GU14" i="5"/>
  <c r="GV14" i="5" s="1"/>
  <c r="GP14" i="5"/>
  <c r="FX14" i="5"/>
  <c r="FI14" i="5"/>
  <c r="FG14" i="5" s="1"/>
  <c r="FC14" i="5"/>
  <c r="EY14" i="5"/>
  <c r="EO14" i="5"/>
  <c r="EQ14" i="5" s="1"/>
  <c r="HZ86" i="5"/>
  <c r="GU86" i="5"/>
  <c r="GV86" i="5" s="1"/>
  <c r="GP86" i="5"/>
  <c r="GA86" i="5"/>
  <c r="FX86" i="5"/>
  <c r="FI86" i="5"/>
  <c r="FG86" i="5" s="1"/>
  <c r="EY86" i="5"/>
  <c r="FC86" i="5"/>
  <c r="EO86" i="5"/>
  <c r="EQ86" i="5" s="1"/>
  <c r="IH86" i="5"/>
  <c r="II86" i="5" s="1"/>
  <c r="IE86" i="5" s="1"/>
  <c r="NX86" i="5" s="1"/>
  <c r="HZ57" i="5"/>
  <c r="GP57" i="5"/>
  <c r="GU57" i="5"/>
  <c r="GV57" i="5" s="1"/>
  <c r="FX57" i="5"/>
  <c r="FC57" i="5"/>
  <c r="EY57" i="5"/>
  <c r="FI57" i="5"/>
  <c r="FG57" i="5" s="1"/>
  <c r="EO57" i="5"/>
  <c r="EQ57" i="5" s="1"/>
  <c r="IH57" i="5"/>
  <c r="II57" i="5" s="1"/>
  <c r="IE57" i="5" s="1"/>
  <c r="NX57" i="5" s="1"/>
  <c r="HZ45" i="5"/>
  <c r="GU45" i="5"/>
  <c r="GV45" i="5" s="1"/>
  <c r="GP45" i="5"/>
  <c r="FX45" i="5"/>
  <c r="FI45" i="5"/>
  <c r="FG45" i="5" s="1"/>
  <c r="EY45" i="5"/>
  <c r="FC45" i="5"/>
  <c r="EO45" i="5"/>
  <c r="EQ45" i="5" s="1"/>
  <c r="IH45" i="5"/>
  <c r="II45" i="5" s="1"/>
  <c r="IE45" i="5" s="1"/>
  <c r="IH39" i="5"/>
  <c r="II39" i="5" s="1"/>
  <c r="HZ39" i="5"/>
  <c r="GU39" i="5"/>
  <c r="GV39" i="5" s="1"/>
  <c r="GP39" i="5"/>
  <c r="GA39" i="5"/>
  <c r="FX39" i="5"/>
  <c r="FI39" i="5"/>
  <c r="FG39" i="5" s="1"/>
  <c r="EY39" i="5"/>
  <c r="FC39" i="5"/>
  <c r="EO39" i="5"/>
  <c r="EQ39" i="5" s="1"/>
  <c r="HZ16" i="5"/>
  <c r="GU16" i="5"/>
  <c r="GV16" i="5" s="1"/>
  <c r="GP16" i="5"/>
  <c r="GA16" i="5"/>
  <c r="FX16" i="5"/>
  <c r="EY16" i="5"/>
  <c r="FC16" i="5"/>
  <c r="FI16" i="5"/>
  <c r="FG16" i="5" s="1"/>
  <c r="EO16" i="5"/>
  <c r="EQ16" i="5" s="1"/>
  <c r="IH16" i="5"/>
  <c r="II16" i="5" s="1"/>
  <c r="IE16" i="5" s="1"/>
  <c r="IH95" i="5"/>
  <c r="II95" i="5" s="1"/>
  <c r="HZ95" i="5"/>
  <c r="GU95" i="5"/>
  <c r="GV95" i="5" s="1"/>
  <c r="GP95" i="5"/>
  <c r="FX95" i="5"/>
  <c r="FI95" i="5"/>
  <c r="FG95" i="5" s="1"/>
  <c r="EY95" i="5"/>
  <c r="FC95" i="5"/>
  <c r="EO95" i="5"/>
  <c r="EQ95" i="5" s="1"/>
  <c r="HZ42" i="5"/>
  <c r="GP42" i="5"/>
  <c r="GU42" i="5"/>
  <c r="GV42" i="5" s="1"/>
  <c r="GA42" i="5"/>
  <c r="FX42" i="5"/>
  <c r="FI42" i="5"/>
  <c r="FG42" i="5" s="1"/>
  <c r="EY42" i="5"/>
  <c r="FC42" i="5"/>
  <c r="EO42" i="5"/>
  <c r="EQ42" i="5" s="1"/>
  <c r="IH42" i="5"/>
  <c r="II42" i="5" s="1"/>
  <c r="IH31" i="5"/>
  <c r="II31" i="5" s="1"/>
  <c r="IE31" i="5" s="1"/>
  <c r="HZ31" i="5"/>
  <c r="GU31" i="5"/>
  <c r="GV31" i="5" s="1"/>
  <c r="GP31" i="5"/>
  <c r="FI31" i="5"/>
  <c r="FG31" i="5" s="1"/>
  <c r="FX31" i="5"/>
  <c r="EY31" i="5"/>
  <c r="FC31" i="5"/>
  <c r="EO31" i="5"/>
  <c r="EQ31" i="5" s="1"/>
  <c r="IH80" i="5"/>
  <c r="II80" i="5" s="1"/>
  <c r="HZ80" i="5"/>
  <c r="GU80" i="5"/>
  <c r="GV80" i="5" s="1"/>
  <c r="GP80" i="5"/>
  <c r="GA80" i="5"/>
  <c r="FX80" i="5"/>
  <c r="FI80" i="5"/>
  <c r="FG80" i="5" s="1"/>
  <c r="EY80" i="5"/>
  <c r="FC80" i="5"/>
  <c r="EO80" i="5"/>
  <c r="EQ80" i="5" s="1"/>
  <c r="IH62" i="5"/>
  <c r="II62" i="5" s="1"/>
  <c r="IE62" i="5" s="1"/>
  <c r="NX62" i="5" s="1"/>
  <c r="HZ62" i="5"/>
  <c r="GU62" i="5"/>
  <c r="GV62" i="5" s="1"/>
  <c r="GP62" i="5"/>
  <c r="FX62" i="5"/>
  <c r="FI62" i="5"/>
  <c r="FG62" i="5" s="1"/>
  <c r="FC62" i="5"/>
  <c r="EY62" i="5"/>
  <c r="EO62" i="5"/>
  <c r="EQ62" i="5" s="1"/>
  <c r="HZ44" i="5"/>
  <c r="GU44" i="5"/>
  <c r="GV44" i="5" s="1"/>
  <c r="GP44" i="5"/>
  <c r="FX44" i="5"/>
  <c r="FI44" i="5"/>
  <c r="FG44" i="5" s="1"/>
  <c r="FC44" i="5"/>
  <c r="EY44" i="5"/>
  <c r="EO44" i="5"/>
  <c r="EQ44" i="5" s="1"/>
  <c r="IH44" i="5"/>
  <c r="II44" i="5" s="1"/>
  <c r="IH15" i="5"/>
  <c r="II15" i="5" s="1"/>
  <c r="IE15" i="5" s="1"/>
  <c r="HZ15" i="5"/>
  <c r="GU15" i="5"/>
  <c r="GV15" i="5" s="1"/>
  <c r="GP15" i="5"/>
  <c r="FX15" i="5"/>
  <c r="FI15" i="5"/>
  <c r="FG15" i="5" s="1"/>
  <c r="EY15" i="5"/>
  <c r="FC15" i="5"/>
  <c r="EO15" i="5"/>
  <c r="EQ15" i="5" s="1"/>
  <c r="HZ93" i="5"/>
  <c r="GU93" i="5"/>
  <c r="GV93" i="5" s="1"/>
  <c r="GP93" i="5"/>
  <c r="FX93" i="5"/>
  <c r="FI93" i="5"/>
  <c r="FG93" i="5" s="1"/>
  <c r="FC93" i="5"/>
  <c r="EY93" i="5"/>
  <c r="EO93" i="5"/>
  <c r="EQ93" i="5" s="1"/>
  <c r="IH93" i="5"/>
  <c r="II93" i="5" s="1"/>
  <c r="IH23" i="5"/>
  <c r="II23" i="5" s="1"/>
  <c r="HZ23" i="5"/>
  <c r="GU23" i="5"/>
  <c r="GV23" i="5" s="1"/>
  <c r="GP23" i="5"/>
  <c r="FI23" i="5"/>
  <c r="FG23" i="5" s="1"/>
  <c r="FX23" i="5"/>
  <c r="EY23" i="5"/>
  <c r="FC23" i="5"/>
  <c r="EO23" i="5"/>
  <c r="EQ23" i="5" s="1"/>
  <c r="IH30" i="5"/>
  <c r="II30" i="5" s="1"/>
  <c r="IE30" i="5" s="1"/>
  <c r="HZ30" i="5"/>
  <c r="GU30" i="5"/>
  <c r="GV30" i="5" s="1"/>
  <c r="GP30" i="5"/>
  <c r="GA30" i="5"/>
  <c r="FX30" i="5"/>
  <c r="FI30" i="5"/>
  <c r="FG30" i="5" s="1"/>
  <c r="EY30" i="5"/>
  <c r="FC30" i="5"/>
  <c r="EO30" i="5"/>
  <c r="EQ30" i="5" s="1"/>
  <c r="HZ25" i="5"/>
  <c r="GU25" i="5"/>
  <c r="GV25" i="5" s="1"/>
  <c r="GP25" i="5"/>
  <c r="FX25" i="5"/>
  <c r="FI25" i="5"/>
  <c r="FG25" i="5" s="1"/>
  <c r="FC25" i="5"/>
  <c r="EY25" i="5"/>
  <c r="EO25" i="5"/>
  <c r="EQ25" i="5" s="1"/>
  <c r="IH25" i="5"/>
  <c r="II25" i="5" s="1"/>
  <c r="HZ84" i="5"/>
  <c r="GU84" i="5"/>
  <c r="GV84" i="5" s="1"/>
  <c r="GP84" i="5"/>
  <c r="FX84" i="5"/>
  <c r="FC84" i="5"/>
  <c r="EY84" i="5"/>
  <c r="FI84" i="5"/>
  <c r="FG84" i="5" s="1"/>
  <c r="EO84" i="5"/>
  <c r="EQ84" i="5" s="1"/>
  <c r="IH84" i="5"/>
  <c r="II84" i="5" s="1"/>
  <c r="IE84" i="5" s="1"/>
  <c r="NX84" i="5" s="1"/>
  <c r="HZ60" i="5"/>
  <c r="GU60" i="5"/>
  <c r="GV60" i="5" s="1"/>
  <c r="GP60" i="5"/>
  <c r="FX60" i="5"/>
  <c r="FI60" i="5"/>
  <c r="FG60" i="5" s="1"/>
  <c r="FC60" i="5"/>
  <c r="EY60" i="5"/>
  <c r="EO60" i="5"/>
  <c r="EQ60" i="5" s="1"/>
  <c r="IH60" i="5"/>
  <c r="II60" i="5" s="1"/>
  <c r="HZ9" i="5"/>
  <c r="GU9" i="5"/>
  <c r="GV9" i="5" s="1"/>
  <c r="GP9" i="5"/>
  <c r="FX9" i="5"/>
  <c r="FI9" i="5"/>
  <c r="FG9" i="5" s="1"/>
  <c r="FC9" i="5"/>
  <c r="EY9" i="5"/>
  <c r="EO9" i="5"/>
  <c r="EQ9" i="5" s="1"/>
  <c r="IH9" i="5"/>
  <c r="II9" i="5" s="1"/>
  <c r="IE9" i="5" s="1"/>
  <c r="HZ129" i="5"/>
  <c r="GU129" i="5"/>
  <c r="GV129" i="5" s="1"/>
  <c r="GP129" i="5"/>
  <c r="GA129" i="5"/>
  <c r="FX129" i="5"/>
  <c r="FL129" i="5"/>
  <c r="FC129" i="5"/>
  <c r="EO129" i="5"/>
  <c r="EQ129" i="5" s="1"/>
  <c r="EY129" i="5"/>
  <c r="FI129" i="5"/>
  <c r="FG129" i="5" s="1"/>
  <c r="IH129" i="5"/>
  <c r="II129" i="5" s="1"/>
  <c r="HZ20" i="5"/>
  <c r="GU20" i="5"/>
  <c r="GV20" i="5" s="1"/>
  <c r="GP20" i="5"/>
  <c r="FX20" i="5"/>
  <c r="FI20" i="5"/>
  <c r="FG20" i="5" s="1"/>
  <c r="EY20" i="5"/>
  <c r="FC20" i="5"/>
  <c r="EO20" i="5"/>
  <c r="EQ20" i="5" s="1"/>
  <c r="IH20" i="5"/>
  <c r="II20" i="5" s="1"/>
  <c r="IH104" i="5"/>
  <c r="II104" i="5" s="1"/>
  <c r="IE104" i="5" s="1"/>
  <c r="NX104" i="5" s="1"/>
  <c r="HZ104" i="5"/>
  <c r="GU104" i="5"/>
  <c r="GV104" i="5" s="1"/>
  <c r="GP104" i="5"/>
  <c r="FX104" i="5"/>
  <c r="GA104" i="5"/>
  <c r="FI104" i="5"/>
  <c r="FG104" i="5" s="1"/>
  <c r="FC104" i="5"/>
  <c r="EY104" i="5"/>
  <c r="EO104" i="5"/>
  <c r="EQ104" i="5" s="1"/>
  <c r="IH75" i="5"/>
  <c r="II75" i="5" s="1"/>
  <c r="IE75" i="5" s="1"/>
  <c r="NX75" i="5" s="1"/>
  <c r="HZ75" i="5"/>
  <c r="GU75" i="5"/>
  <c r="GV75" i="5" s="1"/>
  <c r="GP75" i="5"/>
  <c r="GA75" i="5"/>
  <c r="FX75" i="5"/>
  <c r="FI75" i="5"/>
  <c r="FG75" i="5" s="1"/>
  <c r="EY75" i="5"/>
  <c r="FC75" i="5"/>
  <c r="EO75" i="5"/>
  <c r="EQ75" i="5" s="1"/>
  <c r="HZ52" i="5"/>
  <c r="GU52" i="5"/>
  <c r="GV52" i="5" s="1"/>
  <c r="GA52" i="5"/>
  <c r="GP52" i="5"/>
  <c r="FX52" i="5"/>
  <c r="FI52" i="5"/>
  <c r="FG52" i="5" s="1"/>
  <c r="FC52" i="5"/>
  <c r="EY52" i="5"/>
  <c r="EO52" i="5"/>
  <c r="EQ52" i="5" s="1"/>
  <c r="IH52" i="5"/>
  <c r="II52" i="5" s="1"/>
  <c r="HZ6" i="5"/>
  <c r="GU6" i="5"/>
  <c r="GV6" i="5" s="1"/>
  <c r="GP6" i="5"/>
  <c r="FX6" i="5"/>
  <c r="FI6" i="5"/>
  <c r="FG6" i="5" s="1"/>
  <c r="FC6" i="5"/>
  <c r="EY6" i="5"/>
  <c r="EO6" i="5"/>
  <c r="EQ6" i="5" s="1"/>
  <c r="IH6" i="5"/>
  <c r="II6" i="5" s="1"/>
  <c r="GG54" i="5"/>
  <c r="IE54" i="5"/>
  <c r="NX54" i="5" s="1"/>
  <c r="GG9" i="5"/>
  <c r="GG57" i="5"/>
  <c r="GG95" i="5"/>
  <c r="IE95" i="5"/>
  <c r="NX95" i="5" s="1"/>
  <c r="GG42" i="5"/>
  <c r="IE42" i="5"/>
  <c r="NX42" i="5" s="1"/>
  <c r="IE149" i="5"/>
  <c r="NX149" i="5" s="1"/>
  <c r="GG16" i="5"/>
  <c r="GG30" i="5"/>
  <c r="NO12" i="5"/>
  <c r="IE12" i="5"/>
  <c r="NX12" i="5" s="1"/>
  <c r="GG52" i="5"/>
  <c r="IE52" i="5"/>
  <c r="NX52" i="5" s="1"/>
  <c r="GG39" i="5"/>
  <c r="GG80" i="5"/>
  <c r="IE80" i="5"/>
  <c r="NX80" i="5" s="1"/>
  <c r="GG107" i="5"/>
  <c r="GG34" i="5"/>
  <c r="GG75" i="5"/>
  <c r="NO9" i="5"/>
  <c r="GD15" i="5"/>
  <c r="GG15" i="5"/>
  <c r="GD22" i="5"/>
  <c r="GG22" i="5"/>
  <c r="GD31" i="5"/>
  <c r="GG31" i="5"/>
  <c r="GD104" i="5"/>
  <c r="GG104" i="5"/>
  <c r="GD44" i="5"/>
  <c r="GG44" i="5"/>
  <c r="GD25" i="5"/>
  <c r="GG25" i="5"/>
  <c r="GD86" i="5"/>
  <c r="GG86" i="5"/>
  <c r="GD23" i="5"/>
  <c r="GG23" i="5"/>
  <c r="GD45" i="5"/>
  <c r="GG45" i="5"/>
  <c r="GD20" i="5"/>
  <c r="GG20" i="5"/>
  <c r="GD84" i="5"/>
  <c r="GG84" i="5"/>
  <c r="GD93" i="5"/>
  <c r="GG93" i="5"/>
  <c r="GD14" i="5"/>
  <c r="GG14" i="5"/>
  <c r="GD60" i="5"/>
  <c r="GG60" i="5"/>
  <c r="GD6" i="5"/>
  <c r="GG6" i="5"/>
  <c r="GD129" i="5"/>
  <c r="GG129" i="5"/>
  <c r="GD62" i="5"/>
  <c r="GG62" i="5"/>
  <c r="GA54" i="5"/>
  <c r="GD54" i="5"/>
  <c r="GA9" i="5"/>
  <c r="GD9" i="5"/>
  <c r="GA57" i="5"/>
  <c r="GD57" i="5"/>
  <c r="GA95" i="5"/>
  <c r="GD95" i="5"/>
  <c r="FR42" i="5"/>
  <c r="GD42" i="5"/>
  <c r="FR16" i="5"/>
  <c r="GD16" i="5"/>
  <c r="FR30" i="5"/>
  <c r="GD30" i="5"/>
  <c r="FR52" i="5"/>
  <c r="GD52" i="5"/>
  <c r="FR39" i="5"/>
  <c r="GD39" i="5"/>
  <c r="FR80" i="5"/>
  <c r="GD80" i="5"/>
  <c r="FR107" i="5"/>
  <c r="GD107" i="5"/>
  <c r="FR34" i="5"/>
  <c r="GD34" i="5"/>
  <c r="FR75" i="5"/>
  <c r="GD75" i="5"/>
  <c r="FR15" i="5"/>
  <c r="GA15" i="5"/>
  <c r="FR22" i="5"/>
  <c r="GA22" i="5"/>
  <c r="FR31" i="5"/>
  <c r="GA31" i="5"/>
  <c r="FR44" i="5"/>
  <c r="GA44" i="5"/>
  <c r="FR25" i="5"/>
  <c r="GA25" i="5"/>
  <c r="FR23" i="5"/>
  <c r="GA23" i="5"/>
  <c r="FR45" i="5"/>
  <c r="GA45" i="5"/>
  <c r="FR20" i="5"/>
  <c r="GA20" i="5"/>
  <c r="FR84" i="5"/>
  <c r="GA84" i="5"/>
  <c r="FR93" i="5"/>
  <c r="GA93" i="5"/>
  <c r="FR14" i="5"/>
  <c r="GA14" i="5"/>
  <c r="FR6" i="5"/>
  <c r="GA6" i="5"/>
  <c r="FR62" i="5"/>
  <c r="GA62" i="5"/>
  <c r="FO54" i="5"/>
  <c r="FR54" i="5"/>
  <c r="FO9" i="5"/>
  <c r="FR9" i="5"/>
  <c r="FO57" i="5"/>
  <c r="FR57" i="5"/>
  <c r="FO95" i="5"/>
  <c r="FR95" i="5"/>
  <c r="FO104" i="5"/>
  <c r="FR104" i="5"/>
  <c r="FO86" i="5"/>
  <c r="FR86" i="5"/>
  <c r="FO60" i="5"/>
  <c r="FR60" i="5"/>
  <c r="FO129" i="5"/>
  <c r="FR129" i="5"/>
  <c r="FL15" i="5"/>
  <c r="FO15" i="5"/>
  <c r="FL22" i="5"/>
  <c r="FO22" i="5"/>
  <c r="FL31" i="5"/>
  <c r="FO31" i="5"/>
  <c r="FL44" i="5"/>
  <c r="FO44" i="5"/>
  <c r="FL25" i="5"/>
  <c r="FO25" i="5"/>
  <c r="FL42" i="5"/>
  <c r="FO42" i="5"/>
  <c r="FL23" i="5"/>
  <c r="FO23" i="5"/>
  <c r="FL16" i="5"/>
  <c r="FO16" i="5"/>
  <c r="FL45" i="5"/>
  <c r="FO45" i="5"/>
  <c r="FL20" i="5"/>
  <c r="FO20" i="5"/>
  <c r="FL84" i="5"/>
  <c r="FO84" i="5"/>
  <c r="FL30" i="5"/>
  <c r="FO30" i="5"/>
  <c r="FL52" i="5"/>
  <c r="FO52" i="5"/>
  <c r="FL93" i="5"/>
  <c r="FO93" i="5"/>
  <c r="FL39" i="5"/>
  <c r="FO39" i="5"/>
  <c r="FL80" i="5"/>
  <c r="FO80" i="5"/>
  <c r="FL14" i="5"/>
  <c r="FO14" i="5"/>
  <c r="FL6" i="5"/>
  <c r="FO6" i="5"/>
  <c r="FL107" i="5"/>
  <c r="FO107" i="5"/>
  <c r="FL34" i="5"/>
  <c r="FO34" i="5"/>
  <c r="FL75" i="5"/>
  <c r="FO75" i="5"/>
  <c r="FL62" i="5"/>
  <c r="FO62" i="5"/>
  <c r="MY12" i="5"/>
  <c r="FL54" i="5"/>
  <c r="FL9" i="5"/>
  <c r="FL57" i="5"/>
  <c r="FL95" i="5"/>
  <c r="FL104" i="5"/>
  <c r="EZ86" i="5"/>
  <c r="FL86" i="5"/>
  <c r="FL60" i="5"/>
  <c r="EZ15" i="5"/>
  <c r="EZ22" i="5"/>
  <c r="EZ31" i="5"/>
  <c r="EZ44" i="5"/>
  <c r="EZ25" i="5"/>
  <c r="EZ42" i="5"/>
  <c r="EZ131" i="5"/>
  <c r="EZ23" i="5"/>
  <c r="EZ16" i="5"/>
  <c r="EZ45" i="5"/>
  <c r="EZ20" i="5"/>
  <c r="EZ84" i="5"/>
  <c r="EZ30" i="5"/>
  <c r="EZ130" i="5"/>
  <c r="EZ12" i="5"/>
  <c r="EZ52" i="5"/>
  <c r="EZ93" i="5"/>
  <c r="EZ39" i="5"/>
  <c r="EZ80" i="5"/>
  <c r="EZ14" i="5"/>
  <c r="EZ6" i="5"/>
  <c r="EZ129" i="5"/>
  <c r="EZ107" i="5"/>
  <c r="EZ34" i="5"/>
  <c r="EZ75" i="5"/>
  <c r="EZ62" i="5"/>
  <c r="ET54" i="5"/>
  <c r="EZ54" i="5"/>
  <c r="NN9" i="5"/>
  <c r="EZ9" i="5"/>
  <c r="DU129" i="5"/>
  <c r="ET129" i="5"/>
  <c r="DU9" i="5"/>
  <c r="ET9" i="5"/>
  <c r="DU107" i="5"/>
  <c r="ET107" i="5"/>
  <c r="DU95" i="5"/>
  <c r="ET95" i="5"/>
  <c r="DU23" i="5"/>
  <c r="ET23" i="5"/>
  <c r="DU52" i="5"/>
  <c r="ET52" i="5"/>
  <c r="DU34" i="5"/>
  <c r="ET34" i="5"/>
  <c r="DU22" i="5"/>
  <c r="ET22" i="5"/>
  <c r="DU16" i="5"/>
  <c r="ET16" i="5"/>
  <c r="DU93" i="5"/>
  <c r="ET93" i="5"/>
  <c r="DU75" i="5"/>
  <c r="ET75" i="5"/>
  <c r="DU57" i="5"/>
  <c r="ET57" i="5"/>
  <c r="DU45" i="5"/>
  <c r="ET45" i="5"/>
  <c r="DU39" i="5"/>
  <c r="ET39" i="5"/>
  <c r="DU15" i="5"/>
  <c r="ET15" i="5"/>
  <c r="DU104" i="5"/>
  <c r="ET104" i="5"/>
  <c r="DU86" i="5"/>
  <c r="ET86" i="5"/>
  <c r="DU80" i="5"/>
  <c r="ET80" i="5"/>
  <c r="DU62" i="5"/>
  <c r="ET62" i="5"/>
  <c r="DU44" i="5"/>
  <c r="ET44" i="5"/>
  <c r="DU20" i="5"/>
  <c r="ET20" i="5"/>
  <c r="DU14" i="5"/>
  <c r="ET14" i="5"/>
  <c r="DU31" i="5"/>
  <c r="ET31" i="5"/>
  <c r="DU25" i="5"/>
  <c r="ET25" i="5"/>
  <c r="DU84" i="5"/>
  <c r="ET84" i="5"/>
  <c r="DU60" i="5"/>
  <c r="ET60" i="5"/>
  <c r="DU42" i="5"/>
  <c r="ET42" i="5"/>
  <c r="DU30" i="5"/>
  <c r="ET30" i="5"/>
  <c r="DU6" i="5"/>
  <c r="ET6" i="5"/>
  <c r="NN12" i="5"/>
  <c r="NR9" i="5"/>
  <c r="NR54" i="5"/>
  <c r="DU54" i="5"/>
  <c r="CW86" i="5"/>
  <c r="CZ86" i="5"/>
  <c r="CW131" i="5"/>
  <c r="CZ80" i="5"/>
  <c r="CZ22" i="5"/>
  <c r="CW30" i="5"/>
  <c r="CZ30" i="5"/>
  <c r="NP149" i="5"/>
  <c r="BT149" i="5"/>
  <c r="NT112" i="5"/>
  <c r="NV112" i="5" s="1"/>
  <c r="NS68" i="5"/>
  <c r="NU68" i="5" s="1"/>
  <c r="HR12" i="5"/>
  <c r="ND112" i="5"/>
  <c r="NT35" i="5"/>
  <c r="NV35" i="5" s="1"/>
  <c r="NT63" i="5"/>
  <c r="NV63" i="5" s="1"/>
  <c r="NS112" i="5"/>
  <c r="NU112" i="5" s="1"/>
  <c r="NI149" i="5"/>
  <c r="PI149" i="5"/>
  <c r="QR149" i="5"/>
  <c r="OU149" i="5"/>
  <c r="OW149" i="5"/>
  <c r="OF149" i="5"/>
  <c r="OH149" i="5"/>
  <c r="OC149" i="5"/>
  <c r="OY149" i="5"/>
  <c r="PA149" i="5"/>
  <c r="OJ149" i="5"/>
  <c r="OL149" i="5"/>
  <c r="OD149" i="5"/>
  <c r="PC149" i="5"/>
  <c r="PE149" i="5"/>
  <c r="ON149" i="5"/>
  <c r="OP149" i="5"/>
  <c r="PG149" i="5"/>
  <c r="OX149" i="5"/>
  <c r="OR149" i="5"/>
  <c r="OQ149" i="5"/>
  <c r="OA149" i="5"/>
  <c r="OV149" i="5"/>
  <c r="PB149" i="5"/>
  <c r="OG149" i="5"/>
  <c r="OI149" i="5"/>
  <c r="OZ149" i="5"/>
  <c r="PF149" i="5"/>
  <c r="OK149" i="5"/>
  <c r="OE149" i="5"/>
  <c r="PD149" i="5"/>
  <c r="OT149" i="5"/>
  <c r="OO149" i="5"/>
  <c r="OB149" i="5"/>
  <c r="CJ149" i="5" s="1"/>
  <c r="PH149" i="5"/>
  <c r="OS149" i="5"/>
  <c r="OM149" i="5"/>
  <c r="ND87" i="5"/>
  <c r="HI87" i="5" s="1"/>
  <c r="NS78" i="5"/>
  <c r="NU78" i="5" s="1"/>
  <c r="NT55" i="5"/>
  <c r="NV55" i="5" s="1"/>
  <c r="ND142" i="5"/>
  <c r="HI142" i="5" s="1"/>
  <c r="NT138" i="5"/>
  <c r="NV138" i="5" s="1"/>
  <c r="ND102" i="5"/>
  <c r="HI102" i="5" s="1"/>
  <c r="NT70" i="5"/>
  <c r="NV70" i="5" s="1"/>
  <c r="NS159" i="5"/>
  <c r="NU159" i="5" s="1"/>
  <c r="NT159" i="5"/>
  <c r="NV159" i="5" s="1"/>
  <c r="NS46" i="5"/>
  <c r="NU46" i="5" s="1"/>
  <c r="NT106" i="5"/>
  <c r="NV106" i="5" s="1"/>
  <c r="ND46" i="5"/>
  <c r="HI46" i="5" s="1"/>
  <c r="ND97" i="5"/>
  <c r="HI97" i="5" s="1"/>
  <c r="ND11" i="5"/>
  <c r="HI11" i="5" s="1"/>
  <c r="NT114" i="5"/>
  <c r="NV114" i="5" s="1"/>
  <c r="NT66" i="5"/>
  <c r="NV66" i="5" s="1"/>
  <c r="NT10" i="5"/>
  <c r="NV10" i="5" s="1"/>
  <c r="NS134" i="5"/>
  <c r="NU134" i="5" s="1"/>
  <c r="NT154" i="5"/>
  <c r="NV154" i="5" s="1"/>
  <c r="ND70" i="5"/>
  <c r="HI70" i="5" s="1"/>
  <c r="NS138" i="5"/>
  <c r="NU138" i="5" s="1"/>
  <c r="ND113" i="5"/>
  <c r="HI113" i="5" s="1"/>
  <c r="ND59" i="5"/>
  <c r="HI59" i="5" s="1"/>
  <c r="NT136" i="5"/>
  <c r="NV136" i="5" s="1"/>
  <c r="ND28" i="5"/>
  <c r="HI28" i="5" s="1"/>
  <c r="NT189" i="5"/>
  <c r="NV189" i="5" s="1"/>
  <c r="NT49" i="5"/>
  <c r="NV49" i="5" s="1"/>
  <c r="NT11" i="5"/>
  <c r="NV11" i="5" s="1"/>
  <c r="NT32" i="5"/>
  <c r="NV32" i="5" s="1"/>
  <c r="NS120" i="5"/>
  <c r="NU120" i="5" s="1"/>
  <c r="ND66" i="5"/>
  <c r="NT59" i="5"/>
  <c r="NV59" i="5" s="1"/>
  <c r="NS135" i="5"/>
  <c r="NU135" i="5" s="1"/>
  <c r="ND51" i="5"/>
  <c r="HI51" i="5" s="1"/>
  <c r="NS41" i="5"/>
  <c r="NU41" i="5" s="1"/>
  <c r="NS69" i="5"/>
  <c r="NU69" i="5" s="1"/>
  <c r="NT153" i="5"/>
  <c r="NV153" i="5" s="1"/>
  <c r="NS114" i="5"/>
  <c r="NU114" i="5" s="1"/>
  <c r="NT157" i="5"/>
  <c r="NV157" i="5" s="1"/>
  <c r="NT134" i="5"/>
  <c r="NV134" i="5" s="1"/>
  <c r="NS81" i="5"/>
  <c r="NU81" i="5" s="1"/>
  <c r="NS10" i="5"/>
  <c r="NU10" i="5" s="1"/>
  <c r="ND50" i="5"/>
  <c r="HI50" i="5" s="1"/>
  <c r="NS50" i="5"/>
  <c r="NU50" i="5" s="1"/>
  <c r="NT120" i="5"/>
  <c r="NV120" i="5" s="1"/>
  <c r="NS158" i="5"/>
  <c r="NU158" i="5" s="1"/>
  <c r="NT113" i="5"/>
  <c r="NV113" i="5" s="1"/>
  <c r="NS113" i="5"/>
  <c r="NU113" i="5" s="1"/>
  <c r="ND110" i="5"/>
  <c r="HI110" i="5" s="1"/>
  <c r="ND114" i="5"/>
  <c r="HI114" i="5" s="1"/>
  <c r="ND38" i="5"/>
  <c r="HI38" i="5" s="1"/>
  <c r="NT38" i="5"/>
  <c r="NT87" i="5"/>
  <c r="NV87" i="5" s="1"/>
  <c r="ND10" i="5"/>
  <c r="HI10" i="5" s="1"/>
  <c r="NV38" i="5"/>
  <c r="NT140" i="5"/>
  <c r="NV140" i="5" s="1"/>
  <c r="ND68" i="5"/>
  <c r="HI68" i="5" s="1"/>
  <c r="ND37" i="5"/>
  <c r="HI37" i="5" s="1"/>
  <c r="ND13" i="5"/>
  <c r="HI13" i="5" s="1"/>
  <c r="NT51" i="5"/>
  <c r="NV51" i="5" s="1"/>
  <c r="NT132" i="5"/>
  <c r="NV132" i="5" s="1"/>
  <c r="NS132" i="5"/>
  <c r="NU132" i="5" s="1"/>
  <c r="NT105" i="5"/>
  <c r="NV105" i="5" s="1"/>
  <c r="ND92" i="5"/>
  <c r="ND55" i="5"/>
  <c r="HI55" i="5" s="1"/>
  <c r="NT81" i="5"/>
  <c r="NV81" i="5" s="1"/>
  <c r="ND72" i="5"/>
  <c r="HI72" i="5" s="1"/>
  <c r="NT158" i="5"/>
  <c r="NV158" i="5" s="1"/>
  <c r="NT135" i="5"/>
  <c r="NV135" i="5" s="1"/>
  <c r="NS105" i="5"/>
  <c r="NU105" i="5" s="1"/>
  <c r="ND127" i="5"/>
  <c r="HI127" i="5" s="1"/>
  <c r="ND35" i="5"/>
  <c r="HI35" i="5" s="1"/>
  <c r="NS136" i="5"/>
  <c r="NU136" i="5" s="1"/>
  <c r="NV17" i="5"/>
  <c r="NS28" i="5"/>
  <c r="NU28" i="5" s="1"/>
  <c r="NS189" i="5"/>
  <c r="NU189" i="5" s="1"/>
  <c r="NS140" i="5"/>
  <c r="NU140" i="5" s="1"/>
  <c r="NS87" i="5"/>
  <c r="NU87" i="5" s="1"/>
  <c r="NS154" i="5"/>
  <c r="NU154" i="5" s="1"/>
  <c r="ND41" i="5"/>
  <c r="HI41" i="5" s="1"/>
  <c r="NS153" i="5"/>
  <c r="NU153" i="5" s="1"/>
  <c r="ND78" i="5"/>
  <c r="HI78" i="5" s="1"/>
  <c r="NS157" i="5"/>
  <c r="NU157" i="5" s="1"/>
  <c r="NS106" i="5"/>
  <c r="NU106" i="5" s="1"/>
  <c r="OA45" i="5"/>
  <c r="NS72" i="5"/>
  <c r="NU72" i="5" s="1"/>
  <c r="ND65" i="5"/>
  <c r="HI65" i="5" s="1"/>
  <c r="ND103" i="5"/>
  <c r="HI103" i="5" s="1"/>
  <c r="NS65" i="5"/>
  <c r="NU65" i="5" s="1"/>
  <c r="ND49" i="5"/>
  <c r="HI49" i="5" s="1"/>
  <c r="ND32" i="5"/>
  <c r="HI32" i="5" s="1"/>
  <c r="ND189" i="5"/>
  <c r="HI189" i="5" s="1"/>
  <c r="ND116" i="5"/>
  <c r="HI116" i="5" s="1"/>
  <c r="NS51" i="5"/>
  <c r="NU51" i="5" s="1"/>
  <c r="ND106" i="5"/>
  <c r="HI106" i="5" s="1"/>
  <c r="NS38" i="5"/>
  <c r="NU38" i="5" s="1"/>
  <c r="ND125" i="5"/>
  <c r="HI125" i="5" s="1"/>
  <c r="ND153" i="5"/>
  <c r="HI153" i="5" s="1"/>
  <c r="ND47" i="5"/>
  <c r="HI47" i="5" s="1"/>
  <c r="NN54" i="5"/>
  <c r="ND136" i="5"/>
  <c r="HI136" i="5" s="1"/>
  <c r="ND138" i="5"/>
  <c r="HI138" i="5" s="1"/>
  <c r="ND135" i="5"/>
  <c r="HI135" i="5" s="1"/>
  <c r="ND74" i="5"/>
  <c r="HI74" i="5" s="1"/>
  <c r="NO54" i="5"/>
  <c r="ND100" i="5"/>
  <c r="HI100" i="5" s="1"/>
  <c r="ND140" i="5"/>
  <c r="HI140" i="5" s="1"/>
  <c r="ND132" i="5"/>
  <c r="HI132" i="5" s="1"/>
  <c r="ND81" i="5"/>
  <c r="HI81" i="5" s="1"/>
  <c r="NS59" i="5"/>
  <c r="NU59" i="5" s="1"/>
  <c r="ND154" i="5"/>
  <c r="HI154" i="5" s="1"/>
  <c r="NS35" i="5"/>
  <c r="NU35" i="5" s="1"/>
  <c r="ND26" i="5"/>
  <c r="HI26" i="5" s="1"/>
  <c r="ND83" i="5"/>
  <c r="HI83" i="5" s="1"/>
  <c r="ND128" i="5"/>
  <c r="HI128" i="5" s="1"/>
  <c r="NS32" i="5"/>
  <c r="NU32" i="5" s="1"/>
  <c r="ND158" i="5"/>
  <c r="HI158" i="5" s="1"/>
  <c r="ND134" i="5"/>
  <c r="HI134" i="5" s="1"/>
  <c r="ND145" i="5"/>
  <c r="HI145" i="5" s="1"/>
  <c r="NO129" i="5"/>
  <c r="MY129" i="5"/>
  <c r="NN129" i="5"/>
  <c r="PG131" i="5"/>
  <c r="PA131" i="5"/>
  <c r="ON131" i="5"/>
  <c r="OH131" i="5"/>
  <c r="OE131" i="5"/>
  <c r="OV131" i="5"/>
  <c r="PE131" i="5"/>
  <c r="OR131" i="5"/>
  <c r="OL131" i="5"/>
  <c r="OB131" i="5"/>
  <c r="OZ131" i="5"/>
  <c r="OT131" i="5"/>
  <c r="OG131" i="5"/>
  <c r="OP131" i="5"/>
  <c r="OC131" i="5"/>
  <c r="OA131" i="5"/>
  <c r="OU131" i="5"/>
  <c r="PD131" i="5"/>
  <c r="OX131" i="5"/>
  <c r="OK131" i="5"/>
  <c r="OI131" i="5"/>
  <c r="OD131" i="5"/>
  <c r="OY131" i="5"/>
  <c r="PH131" i="5"/>
  <c r="PB131" i="5"/>
  <c r="OF131" i="5"/>
  <c r="OO131" i="5"/>
  <c r="OM131" i="5"/>
  <c r="PC131" i="5"/>
  <c r="OW131" i="5"/>
  <c r="PF131" i="5"/>
  <c r="OJ131" i="5"/>
  <c r="OS131" i="5"/>
  <c r="OQ131" i="5"/>
  <c r="NS70" i="5"/>
  <c r="NU70" i="5" s="1"/>
  <c r="NI12" i="5"/>
  <c r="QR12" i="5"/>
  <c r="PI12" i="5"/>
  <c r="NP9" i="5"/>
  <c r="PD86" i="5"/>
  <c r="OE12" i="5"/>
  <c r="PF12" i="5"/>
  <c r="OZ12" i="5"/>
  <c r="OA12" i="5"/>
  <c r="ON12" i="5"/>
  <c r="OH12" i="5"/>
  <c r="OR12" i="5"/>
  <c r="OJ12" i="5"/>
  <c r="OO12" i="5"/>
  <c r="OF12" i="5"/>
  <c r="OW12" i="5"/>
  <c r="OC12" i="5"/>
  <c r="PE12" i="5"/>
  <c r="PC12" i="5"/>
  <c r="OP12" i="5"/>
  <c r="OV12" i="5"/>
  <c r="PA12" i="5"/>
  <c r="OD12" i="5"/>
  <c r="OT12" i="5"/>
  <c r="OG12" i="5"/>
  <c r="OY12" i="5"/>
  <c r="OB12" i="5"/>
  <c r="PD12" i="5"/>
  <c r="OQ12" i="5"/>
  <c r="PB12" i="5"/>
  <c r="PG12" i="5"/>
  <c r="OI12" i="5"/>
  <c r="OL12" i="5"/>
  <c r="OU12" i="5"/>
  <c r="OS12" i="5"/>
  <c r="OM12" i="5"/>
  <c r="OX12" i="5"/>
  <c r="OK12" i="5"/>
  <c r="PH12" i="5"/>
  <c r="ND157" i="5"/>
  <c r="NR129" i="5"/>
  <c r="OY9" i="5"/>
  <c r="PH9" i="5"/>
  <c r="PB9" i="5"/>
  <c r="OP9" i="5"/>
  <c r="ON9" i="5"/>
  <c r="OO9" i="5"/>
  <c r="PC9" i="5"/>
  <c r="OW9" i="5"/>
  <c r="PF9" i="5"/>
  <c r="OI9" i="5"/>
  <c r="OR9" i="5"/>
  <c r="OB9" i="5"/>
  <c r="OH9" i="5"/>
  <c r="PG9" i="5"/>
  <c r="PA9" i="5"/>
  <c r="OM9" i="5"/>
  <c r="OS9" i="5"/>
  <c r="OC9" i="5"/>
  <c r="OV9" i="5"/>
  <c r="PE9" i="5"/>
  <c r="OQ9" i="5"/>
  <c r="OG9" i="5"/>
  <c r="OD9" i="5"/>
  <c r="OK9" i="5"/>
  <c r="OZ9" i="5"/>
  <c r="OT9" i="5"/>
  <c r="OF9" i="5"/>
  <c r="OU9" i="5"/>
  <c r="PD9" i="5"/>
  <c r="OX9" i="5"/>
  <c r="OL9" i="5"/>
  <c r="OJ9" i="5"/>
  <c r="OE9" i="5"/>
  <c r="OA9" i="5"/>
  <c r="OA86" i="5"/>
  <c r="PH86" i="5"/>
  <c r="ND159" i="5"/>
  <c r="HI159" i="5" s="1"/>
  <c r="NS11" i="5"/>
  <c r="NU11" i="5" s="1"/>
  <c r="NS66" i="5"/>
  <c r="NU66" i="5" s="1"/>
  <c r="ND126" i="5"/>
  <c r="HI126" i="5" s="1"/>
  <c r="NP129" i="5"/>
  <c r="ND137" i="5"/>
  <c r="HI137" i="5" s="1"/>
  <c r="ND120" i="5"/>
  <c r="HI120" i="5" s="1"/>
  <c r="OT130" i="5"/>
  <c r="PC130" i="5"/>
  <c r="OW130" i="5"/>
  <c r="OP130" i="5"/>
  <c r="ON130" i="5"/>
  <c r="OE130" i="5"/>
  <c r="OX130" i="5"/>
  <c r="PG130" i="5"/>
  <c r="PA130" i="5"/>
  <c r="OI130" i="5"/>
  <c r="OR130" i="5"/>
  <c r="OB130" i="5"/>
  <c r="PB130" i="5"/>
  <c r="OV130" i="5"/>
  <c r="PE130" i="5"/>
  <c r="OM130" i="5"/>
  <c r="OG130" i="5"/>
  <c r="OC130" i="5"/>
  <c r="PF130" i="5"/>
  <c r="OZ130" i="5"/>
  <c r="OQ130" i="5"/>
  <c r="OK130" i="5"/>
  <c r="OD130" i="5"/>
  <c r="OA130" i="5"/>
  <c r="OU130" i="5"/>
  <c r="PD130" i="5"/>
  <c r="OH130" i="5"/>
  <c r="OF130" i="5"/>
  <c r="OO130" i="5"/>
  <c r="OY130" i="5"/>
  <c r="PH130" i="5"/>
  <c r="OL130" i="5"/>
  <c r="OJ130" i="5"/>
  <c r="OS130" i="5"/>
  <c r="NI131" i="5"/>
  <c r="PI131" i="5"/>
  <c r="QR131" i="5"/>
  <c r="PI130" i="5"/>
  <c r="QR130" i="5"/>
  <c r="OT129" i="5"/>
  <c r="PC129" i="5"/>
  <c r="ON129" i="5"/>
  <c r="OH129" i="5"/>
  <c r="OB129" i="5"/>
  <c r="OX129" i="5"/>
  <c r="PG129" i="5"/>
  <c r="OR129" i="5"/>
  <c r="OL129" i="5"/>
  <c r="OC129" i="5"/>
  <c r="PB129" i="5"/>
  <c r="PH129" i="5"/>
  <c r="OG129" i="5"/>
  <c r="OP129" i="5"/>
  <c r="OD129" i="5"/>
  <c r="OW129" i="5"/>
  <c r="PF129" i="5"/>
  <c r="OV129" i="5"/>
  <c r="OK129" i="5"/>
  <c r="OI129" i="5"/>
  <c r="OQ129" i="5"/>
  <c r="OA129" i="5"/>
  <c r="PA129" i="5"/>
  <c r="OU129" i="5"/>
  <c r="OZ129" i="5"/>
  <c r="OF129" i="5"/>
  <c r="CJ129" i="5" s="1"/>
  <c r="OO129" i="5"/>
  <c r="OM129" i="5"/>
  <c r="PE129" i="5"/>
  <c r="OY129" i="5"/>
  <c r="PD129" i="5"/>
  <c r="OJ129" i="5"/>
  <c r="OS129" i="5"/>
  <c r="OE129" i="5"/>
  <c r="OA15" i="5"/>
  <c r="PE86" i="5"/>
  <c r="NI9" i="5"/>
  <c r="QR9" i="5"/>
  <c r="PI9" i="5"/>
  <c r="NS49" i="5"/>
  <c r="NU49" i="5" s="1"/>
  <c r="NS55" i="5"/>
  <c r="NU55" i="5" s="1"/>
  <c r="NI129" i="5"/>
  <c r="PI129" i="5"/>
  <c r="QR129" i="5"/>
  <c r="ND67" i="5"/>
  <c r="HI67" i="5" s="1"/>
  <c r="HR39" i="5"/>
  <c r="NI16" i="5"/>
  <c r="NI54" i="5"/>
  <c r="NI23" i="5"/>
  <c r="NI31" i="5"/>
  <c r="NI80" i="5"/>
  <c r="NI84" i="5"/>
  <c r="NI44" i="5"/>
  <c r="NI93" i="5"/>
  <c r="NI15" i="5"/>
  <c r="NI30" i="5"/>
  <c r="NI52" i="5"/>
  <c r="NI25" i="5"/>
  <c r="NI60" i="5"/>
  <c r="NI107" i="5"/>
  <c r="NI20" i="5"/>
  <c r="NI57" i="5"/>
  <c r="NI6" i="5"/>
  <c r="NI62" i="5"/>
  <c r="NI39" i="5"/>
  <c r="NI95" i="5"/>
  <c r="ND98" i="5"/>
  <c r="HI98" i="5" s="1"/>
  <c r="ND33" i="5"/>
  <c r="HI33" i="5" s="1"/>
  <c r="ND89" i="5"/>
  <c r="HI89" i="5" s="1"/>
  <c r="ND17" i="5"/>
  <c r="ND48" i="5"/>
  <c r="HI48" i="5" s="1"/>
  <c r="ND73" i="5"/>
  <c r="HI73" i="5" s="1"/>
  <c r="ND21" i="5"/>
  <c r="HI21" i="5" s="1"/>
  <c r="ND79" i="5"/>
  <c r="HI79" i="5" s="1"/>
  <c r="ND77" i="5"/>
  <c r="HI77" i="5" s="1"/>
  <c r="ND53" i="5"/>
  <c r="HI53" i="5" s="1"/>
  <c r="ND56" i="5"/>
  <c r="HI56" i="5" s="1"/>
  <c r="ND105" i="5"/>
  <c r="HI105" i="5" s="1"/>
  <c r="ND71" i="5"/>
  <c r="HI71" i="5" s="1"/>
  <c r="ND58" i="5"/>
  <c r="HI58" i="5" s="1"/>
  <c r="ND24" i="5"/>
  <c r="HI24" i="5" s="1"/>
  <c r="ND27" i="5"/>
  <c r="HI27" i="5" s="1"/>
  <c r="ND36" i="5"/>
  <c r="HI36" i="5" s="1"/>
  <c r="ND63" i="5"/>
  <c r="HI63" i="5" s="1"/>
  <c r="ND69" i="5"/>
  <c r="HI69" i="5" s="1"/>
  <c r="ND115" i="5"/>
  <c r="HI115" i="5" s="1"/>
  <c r="ND82" i="5"/>
  <c r="HI82" i="5" s="1"/>
  <c r="ND64" i="5"/>
  <c r="HI64" i="5" s="1"/>
  <c r="ND19" i="5"/>
  <c r="HI19" i="5" s="1"/>
  <c r="ND85" i="5"/>
  <c r="HI85" i="5" s="1"/>
  <c r="ND29" i="5"/>
  <c r="HI29" i="5" s="1"/>
  <c r="ND76" i="5"/>
  <c r="HI76" i="5" s="1"/>
  <c r="ND18" i="5"/>
  <c r="HI18" i="5" s="1"/>
  <c r="ND109" i="5"/>
  <c r="HI109" i="5" s="1"/>
  <c r="NN107" i="5"/>
  <c r="MY42" i="5"/>
  <c r="NR80" i="5"/>
  <c r="NO23" i="5"/>
  <c r="NR6" i="5"/>
  <c r="NO42" i="5"/>
  <c r="NR107" i="5"/>
  <c r="NO107" i="5"/>
  <c r="NN6" i="5"/>
  <c r="NR42" i="5"/>
  <c r="NO6" i="5"/>
  <c r="NN42" i="5"/>
  <c r="NU17" i="5"/>
  <c r="NR84" i="5"/>
  <c r="NN80" i="5"/>
  <c r="NR75" i="5"/>
  <c r="NN84" i="5"/>
  <c r="NO80" i="5"/>
  <c r="MY84" i="5"/>
  <c r="NN75" i="5"/>
  <c r="MY80" i="5"/>
  <c r="NN104" i="5"/>
  <c r="NR25" i="5"/>
  <c r="NO22" i="5"/>
  <c r="NO25" i="5"/>
  <c r="NN23" i="5"/>
  <c r="NN86" i="5"/>
  <c r="NR86" i="5"/>
  <c r="NR23" i="5"/>
  <c r="MY57" i="5"/>
  <c r="NR93" i="5"/>
  <c r="NR57" i="5"/>
  <c r="NO31" i="5"/>
  <c r="NN62" i="5"/>
  <c r="NO93" i="5"/>
  <c r="NO57" i="5"/>
  <c r="NN31" i="5"/>
  <c r="NO62" i="5"/>
  <c r="NN93" i="5"/>
  <c r="NN57" i="5"/>
  <c r="NN22" i="5"/>
  <c r="NO86" i="5"/>
  <c r="NR22" i="5"/>
  <c r="NN45" i="5"/>
  <c r="NN25" i="5"/>
  <c r="NR45" i="5"/>
  <c r="NV8" i="5"/>
  <c r="OT86" i="5"/>
  <c r="OY86" i="5"/>
  <c r="PA86" i="5"/>
  <c r="NO45" i="5"/>
  <c r="ND8" i="5"/>
  <c r="HI8" i="5" s="1"/>
  <c r="OW15" i="5"/>
  <c r="OX15" i="5"/>
  <c r="OY15" i="5"/>
  <c r="OZ15" i="5"/>
  <c r="OP15" i="5"/>
  <c r="OF15" i="5"/>
  <c r="OO15" i="5"/>
  <c r="OB15" i="5"/>
  <c r="PA15" i="5"/>
  <c r="PB15" i="5"/>
  <c r="PC15" i="5"/>
  <c r="PD15" i="5"/>
  <c r="OI15" i="5"/>
  <c r="OJ15" i="5"/>
  <c r="OS15" i="5"/>
  <c r="OK15" i="5"/>
  <c r="PE15" i="5"/>
  <c r="PF15" i="5"/>
  <c r="PG15" i="5"/>
  <c r="PH15" i="5"/>
  <c r="OH15" i="5"/>
  <c r="OM15" i="5"/>
  <c r="ON15" i="5"/>
  <c r="OG15" i="5"/>
  <c r="OC15" i="5"/>
  <c r="OT15" i="5"/>
  <c r="OU15" i="5"/>
  <c r="OV15" i="5"/>
  <c r="OL15" i="5"/>
  <c r="OQ15" i="5"/>
  <c r="OR15" i="5"/>
  <c r="OE15" i="5"/>
  <c r="OD15" i="5"/>
  <c r="NS8" i="5"/>
  <c r="NU8" i="5" s="1"/>
  <c r="MY6" i="5"/>
  <c r="MY107" i="5"/>
  <c r="NR15" i="5"/>
  <c r="NO30" i="5"/>
  <c r="NO104" i="5"/>
  <c r="MY45" i="5"/>
  <c r="MY86" i="5"/>
  <c r="NR52" i="5"/>
  <c r="NO44" i="5"/>
  <c r="NO20" i="5"/>
  <c r="NN14" i="5"/>
  <c r="MY62" i="5"/>
  <c r="NR16" i="5"/>
  <c r="NR31" i="5"/>
  <c r="MY95" i="5"/>
  <c r="MY22" i="5"/>
  <c r="MY25" i="5"/>
  <c r="MY93" i="5"/>
  <c r="MY39" i="5"/>
  <c r="NR34" i="5"/>
  <c r="MY54" i="5"/>
  <c r="MY75" i="5"/>
  <c r="MY23" i="5"/>
  <c r="NS33" i="5"/>
  <c r="NU33" i="5" s="1"/>
  <c r="MY52" i="5"/>
  <c r="OZ54" i="5"/>
  <c r="OT54" i="5"/>
  <c r="OR54" i="5"/>
  <c r="OL54" i="5"/>
  <c r="OB54" i="5"/>
  <c r="OU54" i="5"/>
  <c r="PD54" i="5"/>
  <c r="OX54" i="5"/>
  <c r="OG54" i="5"/>
  <c r="OP54" i="5"/>
  <c r="OC54" i="5"/>
  <c r="OV54" i="5"/>
  <c r="PE54" i="5"/>
  <c r="ON54" i="5"/>
  <c r="OY54" i="5"/>
  <c r="PH54" i="5"/>
  <c r="PB54" i="5"/>
  <c r="OK54" i="5"/>
  <c r="OM54" i="5"/>
  <c r="OD54" i="5"/>
  <c r="OE54" i="5"/>
  <c r="PC54" i="5"/>
  <c r="OW54" i="5"/>
  <c r="PF54" i="5"/>
  <c r="OF54" i="5"/>
  <c r="OO54" i="5"/>
  <c r="OQ54" i="5"/>
  <c r="PG54" i="5"/>
  <c r="PA54" i="5"/>
  <c r="OJ54" i="5"/>
  <c r="OS54" i="5"/>
  <c r="OI54" i="5"/>
  <c r="OH54" i="5"/>
  <c r="OA54" i="5"/>
  <c r="PC86" i="5"/>
  <c r="PG86" i="5"/>
  <c r="PB86" i="5"/>
  <c r="PF86" i="5"/>
  <c r="OT45" i="5"/>
  <c r="PC45" i="5"/>
  <c r="PA45" i="5"/>
  <c r="OI45" i="5"/>
  <c r="OR45" i="5"/>
  <c r="OB45" i="5"/>
  <c r="OY45" i="5"/>
  <c r="OX45" i="5"/>
  <c r="PG45" i="5"/>
  <c r="PE45" i="5"/>
  <c r="OM45" i="5"/>
  <c r="OK45" i="5"/>
  <c r="OC45" i="5"/>
  <c r="PB45" i="5"/>
  <c r="OV45" i="5"/>
  <c r="OW45" i="5"/>
  <c r="OQ45" i="5"/>
  <c r="OO45" i="5"/>
  <c r="OD45" i="5"/>
  <c r="PF45" i="5"/>
  <c r="OZ45" i="5"/>
  <c r="OH45" i="5"/>
  <c r="OF45" i="5"/>
  <c r="OS45" i="5"/>
  <c r="ON45" i="5"/>
  <c r="OE45" i="5"/>
  <c r="OU45" i="5"/>
  <c r="PD45" i="5"/>
  <c r="OL45" i="5"/>
  <c r="OJ45" i="5"/>
  <c r="OG45" i="5"/>
  <c r="PH45" i="5"/>
  <c r="OP45" i="5"/>
  <c r="OW86" i="5"/>
  <c r="OR86" i="5"/>
  <c r="OL86" i="5"/>
  <c r="OB86" i="5"/>
  <c r="ON86" i="5"/>
  <c r="OE86" i="5"/>
  <c r="OX86" i="5"/>
  <c r="OG86" i="5"/>
  <c r="CJ86" i="5" s="1"/>
  <c r="OP86" i="5"/>
  <c r="OC86" i="5"/>
  <c r="OK86" i="5"/>
  <c r="OM86" i="5"/>
  <c r="OD86" i="5"/>
  <c r="OV86" i="5"/>
  <c r="OF86" i="5"/>
  <c r="OO86" i="5"/>
  <c r="OQ86" i="5"/>
  <c r="OU86" i="5"/>
  <c r="OJ86" i="5"/>
  <c r="OS86" i="5"/>
  <c r="OI86" i="5"/>
  <c r="OH86" i="5"/>
  <c r="MY44" i="5"/>
  <c r="MY31" i="5"/>
  <c r="MY104" i="5"/>
  <c r="NO34" i="5"/>
  <c r="NR44" i="5"/>
  <c r="NN44" i="5"/>
  <c r="NN34" i="5"/>
  <c r="MY34" i="5"/>
  <c r="NR20" i="5"/>
  <c r="NN16" i="5"/>
  <c r="NO39" i="5"/>
  <c r="MY16" i="5"/>
  <c r="NN30" i="5"/>
  <c r="NO16" i="5"/>
  <c r="NR30" i="5"/>
  <c r="MY30" i="5"/>
  <c r="NN52" i="5"/>
  <c r="NO14" i="5"/>
  <c r="NO52" i="5"/>
  <c r="NR14" i="5"/>
  <c r="MY14" i="5"/>
  <c r="NS21" i="5"/>
  <c r="NU21" i="5" s="1"/>
  <c r="NS63" i="5"/>
  <c r="NU63" i="5" s="1"/>
  <c r="NR39" i="5"/>
  <c r="NN39" i="5"/>
  <c r="MY20" i="5"/>
  <c r="NN20" i="5"/>
  <c r="NO95" i="5"/>
  <c r="MY15" i="5"/>
  <c r="NN15" i="5"/>
  <c r="NR95" i="5"/>
  <c r="NN95" i="5"/>
  <c r="NO15" i="5"/>
  <c r="NP45" i="5"/>
  <c r="NP30" i="5"/>
  <c r="QR20" i="5"/>
  <c r="PI20" i="5"/>
  <c r="NP6" i="5"/>
  <c r="QR16" i="5"/>
  <c r="PI16" i="5"/>
  <c r="NE31" i="5"/>
  <c r="NP54" i="5"/>
  <c r="QR57" i="5"/>
  <c r="PI57" i="5"/>
  <c r="NE15" i="5"/>
  <c r="NP62" i="5"/>
  <c r="QR86" i="5"/>
  <c r="PI86" i="5"/>
  <c r="NI86" i="5"/>
  <c r="NP22" i="5"/>
  <c r="QR25" i="5"/>
  <c r="PI25" i="5"/>
  <c r="NP23" i="5"/>
  <c r="NP93" i="5"/>
  <c r="NO60" i="5"/>
  <c r="MY60" i="5"/>
  <c r="NN60" i="5"/>
  <c r="NR60" i="5"/>
  <c r="QR80" i="5"/>
  <c r="PI80" i="5"/>
  <c r="QR34" i="5"/>
  <c r="PI34" i="5"/>
  <c r="NI34" i="5"/>
  <c r="NP84" i="5"/>
  <c r="QR107" i="5"/>
  <c r="PI107" i="5"/>
  <c r="NP104" i="5"/>
  <c r="NP52" i="5"/>
  <c r="QR44" i="5"/>
  <c r="PI44" i="5"/>
  <c r="NP95" i="5"/>
  <c r="QR45" i="5"/>
  <c r="PI45" i="5"/>
  <c r="NI45" i="5"/>
  <c r="QR30" i="5"/>
  <c r="PI30" i="5"/>
  <c r="QR6" i="5"/>
  <c r="PI6" i="5"/>
  <c r="NE16" i="5"/>
  <c r="NP31" i="5"/>
  <c r="QR54" i="5"/>
  <c r="PI54" i="5"/>
  <c r="NP15" i="5"/>
  <c r="QR62" i="5"/>
  <c r="CQ62" i="5" s="1"/>
  <c r="PI62" i="5"/>
  <c r="NE14" i="5"/>
  <c r="NP42" i="5"/>
  <c r="QR22" i="5"/>
  <c r="PI22" i="5"/>
  <c r="NI22" i="5"/>
  <c r="PI23" i="5"/>
  <c r="QR23" i="5"/>
  <c r="PI93" i="5"/>
  <c r="QR93" i="5"/>
  <c r="NP75" i="5"/>
  <c r="QR84" i="5"/>
  <c r="PI84" i="5"/>
  <c r="NE107" i="5"/>
  <c r="NP39" i="5"/>
  <c r="QR104" i="5"/>
  <c r="PI104" i="5"/>
  <c r="NI104" i="5"/>
  <c r="NP14" i="5"/>
  <c r="PI52" i="5"/>
  <c r="QR52" i="5"/>
  <c r="NP60" i="5"/>
  <c r="QR95" i="5"/>
  <c r="PI95" i="5"/>
  <c r="NE30" i="5"/>
  <c r="NE80" i="5"/>
  <c r="NP20" i="5"/>
  <c r="NP16" i="5"/>
  <c r="QR31" i="5"/>
  <c r="PI31" i="5"/>
  <c r="NP57" i="5"/>
  <c r="QR15" i="5"/>
  <c r="PI15" i="5"/>
  <c r="NP86" i="5"/>
  <c r="QR42" i="5"/>
  <c r="PI42" i="5"/>
  <c r="NI42" i="5"/>
  <c r="NE22" i="5"/>
  <c r="NE44" i="5"/>
  <c r="NP25" i="5"/>
  <c r="NE23" i="5"/>
  <c r="NE93" i="5"/>
  <c r="NP80" i="5"/>
  <c r="NP34" i="5"/>
  <c r="QR75" i="5"/>
  <c r="PI75" i="5"/>
  <c r="NI75" i="5"/>
  <c r="NE84" i="5"/>
  <c r="NP107" i="5"/>
  <c r="QR39" i="5"/>
  <c r="PI39" i="5"/>
  <c r="PI14" i="5"/>
  <c r="QR14" i="5"/>
  <c r="CQ14" i="5" s="1"/>
  <c r="NI14" i="5"/>
  <c r="NE52" i="5"/>
  <c r="NP44" i="5"/>
  <c r="QR60" i="5"/>
  <c r="PI60" i="5"/>
  <c r="NS224" i="5"/>
  <c r="NU224" i="5" s="1"/>
  <c r="NT190" i="5"/>
  <c r="NV190" i="5" s="1"/>
  <c r="NS238" i="5"/>
  <c r="NU238" i="5" s="1"/>
  <c r="NS202" i="5"/>
  <c r="NU202" i="5" s="1"/>
  <c r="NS220" i="5"/>
  <c r="NU220" i="5" s="1"/>
  <c r="NS190" i="5"/>
  <c r="NU190" i="5" s="1"/>
  <c r="NT224" i="5"/>
  <c r="NV224" i="5" s="1"/>
  <c r="NT220" i="5"/>
  <c r="NV220" i="5" s="1"/>
  <c r="NT238" i="5"/>
  <c r="NV238" i="5" s="1"/>
  <c r="NT202" i="5"/>
  <c r="NV202" i="5" s="1"/>
  <c r="NX7" i="5"/>
  <c r="NT116" i="5"/>
  <c r="NV116" i="5" s="1"/>
  <c r="NT68" i="5"/>
  <c r="NV68" i="5" s="1"/>
  <c r="NT65" i="5"/>
  <c r="NV65" i="5" s="1"/>
  <c r="NT179" i="5"/>
  <c r="NV179" i="5" s="1"/>
  <c r="NT137" i="5"/>
  <c r="NV137" i="5" s="1"/>
  <c r="NT100" i="5"/>
  <c r="NV100" i="5" s="1"/>
  <c r="NT36" i="5"/>
  <c r="NV36" i="5" s="1"/>
  <c r="NT176" i="5"/>
  <c r="NV176" i="5" s="1"/>
  <c r="NT128" i="5"/>
  <c r="NV128" i="5" s="1"/>
  <c r="NT103" i="5"/>
  <c r="NV103" i="5" s="1"/>
  <c r="NT97" i="5"/>
  <c r="NV97" i="5" s="1"/>
  <c r="NT83" i="5"/>
  <c r="NV83" i="5" s="1"/>
  <c r="NT53" i="5"/>
  <c r="NV53" i="5" s="1"/>
  <c r="NT37" i="5"/>
  <c r="NV37" i="5" s="1"/>
  <c r="NT76" i="5"/>
  <c r="NV76" i="5" s="1"/>
  <c r="NT50" i="5"/>
  <c r="NV50" i="5" s="1"/>
  <c r="NT182" i="5"/>
  <c r="NV182" i="5" s="1"/>
  <c r="NT117" i="5"/>
  <c r="NV117" i="5" s="1"/>
  <c r="NT69" i="5"/>
  <c r="NV69" i="5" s="1"/>
  <c r="NT163" i="5"/>
  <c r="NV163" i="5" s="1"/>
  <c r="NT141" i="5"/>
  <c r="NV141" i="5" s="1"/>
  <c r="NT127" i="5"/>
  <c r="NV127" i="5" s="1"/>
  <c r="NT151" i="5"/>
  <c r="NV151" i="5" s="1"/>
  <c r="NT126" i="5"/>
  <c r="NV126" i="5" s="1"/>
  <c r="NT74" i="5"/>
  <c r="NV74" i="5" s="1"/>
  <c r="NT56" i="5"/>
  <c r="NV56" i="5" s="1"/>
  <c r="NT47" i="5"/>
  <c r="NV47" i="5" s="1"/>
  <c r="NT27" i="5"/>
  <c r="NV27" i="5" s="1"/>
  <c r="NT33" i="5"/>
  <c r="NV33" i="5" s="1"/>
  <c r="NT19" i="5"/>
  <c r="NV19" i="5" s="1"/>
  <c r="NT98" i="5"/>
  <c r="NV98" i="5" s="1"/>
  <c r="NT72" i="5"/>
  <c r="NV72" i="5" s="1"/>
  <c r="NT174" i="5"/>
  <c r="NV174" i="5" s="1"/>
  <c r="NT85" i="5"/>
  <c r="NV85" i="5" s="1"/>
  <c r="NT92" i="5"/>
  <c r="NV92" i="5" s="1"/>
  <c r="NT78" i="5"/>
  <c r="NV78" i="5" s="1"/>
  <c r="NT46" i="5"/>
  <c r="NV46" i="5" s="1"/>
  <c r="NT188" i="5"/>
  <c r="NV188" i="5" s="1"/>
  <c r="NT180" i="5"/>
  <c r="NV180" i="5" s="1"/>
  <c r="NT152" i="5"/>
  <c r="NV152" i="5" s="1"/>
  <c r="NT111" i="5"/>
  <c r="NV111" i="5" s="1"/>
  <c r="NT145" i="5"/>
  <c r="NV145" i="5" s="1"/>
  <c r="NT125" i="5"/>
  <c r="NV125" i="5" s="1"/>
  <c r="NT26" i="5"/>
  <c r="NV26" i="5" s="1"/>
  <c r="NT13" i="5"/>
  <c r="NV13" i="5" s="1"/>
  <c r="NT77" i="5"/>
  <c r="NV77" i="5" s="1"/>
  <c r="NT41" i="5"/>
  <c r="NV41" i="5" s="1"/>
  <c r="NT187" i="5"/>
  <c r="NV187" i="5" s="1"/>
  <c r="NT147" i="5"/>
  <c r="NV147" i="5" s="1"/>
  <c r="NT28" i="5"/>
  <c r="NV28" i="5" s="1"/>
  <c r="NT142" i="5"/>
  <c r="NV142" i="5" s="1"/>
  <c r="NT119" i="5"/>
  <c r="NV119" i="5" s="1"/>
  <c r="NT110" i="5"/>
  <c r="NV110" i="5" s="1"/>
  <c r="NT102" i="5"/>
  <c r="NV102" i="5" s="1"/>
  <c r="NT89" i="5"/>
  <c r="NV89" i="5" s="1"/>
  <c r="NT24" i="5"/>
  <c r="NV24" i="5" s="1"/>
  <c r="NS92" i="5"/>
  <c r="NU92" i="5" s="1"/>
  <c r="NS152" i="5"/>
  <c r="NU152" i="5" s="1"/>
  <c r="NS147" i="5"/>
  <c r="NU147" i="5" s="1"/>
  <c r="NS119" i="5"/>
  <c r="NU119" i="5" s="1"/>
  <c r="NS102" i="5"/>
  <c r="NU102" i="5" s="1"/>
  <c r="NS151" i="5"/>
  <c r="NU151" i="5" s="1"/>
  <c r="NS137" i="5"/>
  <c r="NU137" i="5" s="1"/>
  <c r="NS176" i="5"/>
  <c r="NU176" i="5" s="1"/>
  <c r="NS97" i="5"/>
  <c r="NU97" i="5" s="1"/>
  <c r="NS117" i="5"/>
  <c r="NU117" i="5" s="1"/>
  <c r="NS174" i="5"/>
  <c r="NU174" i="5" s="1"/>
  <c r="NS141" i="5"/>
  <c r="NU141" i="5" s="1"/>
  <c r="NS163" i="5"/>
  <c r="NU163" i="5" s="1"/>
  <c r="NS180" i="5"/>
  <c r="NU180" i="5" s="1"/>
  <c r="NS111" i="5"/>
  <c r="NU111" i="5" s="1"/>
  <c r="NS116" i="5"/>
  <c r="NU116" i="5" s="1"/>
  <c r="NS125" i="5"/>
  <c r="NU125" i="5" s="1"/>
  <c r="NS187" i="5"/>
  <c r="NU187" i="5" s="1"/>
  <c r="NS142" i="5"/>
  <c r="NU142" i="5" s="1"/>
  <c r="NS110" i="5"/>
  <c r="NU110" i="5" s="1"/>
  <c r="NS89" i="5"/>
  <c r="NU89" i="5" s="1"/>
  <c r="NS98" i="5"/>
  <c r="NU98" i="5" s="1"/>
  <c r="NS126" i="5"/>
  <c r="NU126" i="5" s="1"/>
  <c r="NS85" i="5"/>
  <c r="NU85" i="5" s="1"/>
  <c r="NS179" i="5"/>
  <c r="NU179" i="5" s="1"/>
  <c r="NS100" i="5"/>
  <c r="NU100" i="5" s="1"/>
  <c r="NS103" i="5"/>
  <c r="NU103" i="5" s="1"/>
  <c r="NS83" i="5"/>
  <c r="NU83" i="5" s="1"/>
  <c r="NS145" i="5"/>
  <c r="NU145" i="5" s="1"/>
  <c r="NS182" i="5"/>
  <c r="NU182" i="5" s="1"/>
  <c r="NS128" i="5"/>
  <c r="NU128" i="5" s="1"/>
  <c r="NS127" i="5"/>
  <c r="NU127" i="5" s="1"/>
  <c r="NS188" i="5"/>
  <c r="NU188" i="5" s="1"/>
  <c r="CZ42" i="5" l="1"/>
  <c r="CZ14" i="5"/>
  <c r="CQ42" i="5"/>
  <c r="DU210" i="5"/>
  <c r="GA210" i="5"/>
  <c r="CW80" i="5"/>
  <c r="CZ20" i="5"/>
  <c r="CW25" i="5"/>
  <c r="IH193" i="5"/>
  <c r="II193" i="5" s="1"/>
  <c r="IE193" i="5" s="1"/>
  <c r="NX193" i="5" s="1"/>
  <c r="CZ54" i="5"/>
  <c r="FC193" i="5"/>
  <c r="EO193" i="5"/>
  <c r="EQ193" i="5" s="1"/>
  <c r="HZ193" i="5"/>
  <c r="FX193" i="5"/>
  <c r="GU193" i="5"/>
  <c r="GV193" i="5" s="1"/>
  <c r="GP193" i="5"/>
  <c r="FI193" i="5"/>
  <c r="FG193" i="5" s="1"/>
  <c r="HJ193" i="5" s="1"/>
  <c r="FL193" i="5"/>
  <c r="IH139" i="5"/>
  <c r="II139" i="5" s="1"/>
  <c r="IE139" i="5" s="1"/>
  <c r="NX139" i="5" s="1"/>
  <c r="FX139" i="5"/>
  <c r="DU193" i="5"/>
  <c r="ET193" i="5"/>
  <c r="GG193" i="5"/>
  <c r="NT193" i="5" s="1"/>
  <c r="NV193" i="5" s="1"/>
  <c r="FO193" i="5"/>
  <c r="FR193" i="5"/>
  <c r="EY193" i="5"/>
  <c r="DU177" i="5"/>
  <c r="FL177" i="5"/>
  <c r="NS177" i="5" s="1"/>
  <c r="NU177" i="5" s="1"/>
  <c r="IH177" i="5"/>
  <c r="II177" i="5" s="1"/>
  <c r="EY177" i="5"/>
  <c r="FX177" i="5"/>
  <c r="GA139" i="5"/>
  <c r="CW15" i="5"/>
  <c r="CZ62" i="5"/>
  <c r="EO139" i="5"/>
  <c r="EQ139" i="5" s="1"/>
  <c r="DU146" i="5"/>
  <c r="CZ44" i="5"/>
  <c r="CW104" i="5"/>
  <c r="DU12" i="5"/>
  <c r="NS91" i="5"/>
  <c r="NU91" i="5" s="1"/>
  <c r="FL146" i="5"/>
  <c r="EO146" i="5"/>
  <c r="EQ146" i="5" s="1"/>
  <c r="GD146" i="5"/>
  <c r="EY146" i="5"/>
  <c r="GA146" i="5"/>
  <c r="FC146" i="5"/>
  <c r="IH146" i="5"/>
  <c r="II146" i="5" s="1"/>
  <c r="IE146" i="5" s="1"/>
  <c r="NX146" i="5" s="1"/>
  <c r="FR146" i="5"/>
  <c r="FI146" i="5"/>
  <c r="FG146" i="5" s="1"/>
  <c r="HJ146" i="5" s="1"/>
  <c r="FO146" i="5"/>
  <c r="FX146" i="5"/>
  <c r="GG146" i="5"/>
  <c r="GP146" i="5"/>
  <c r="ET146" i="5"/>
  <c r="ND91" i="5"/>
  <c r="GU139" i="5"/>
  <c r="GV139" i="5" s="1"/>
  <c r="FL139" i="5"/>
  <c r="CZ129" i="5"/>
  <c r="DC129" i="5"/>
  <c r="HL129" i="5" s="1"/>
  <c r="FI99" i="5"/>
  <c r="FG99" i="5" s="1"/>
  <c r="EY99" i="5"/>
  <c r="EO99" i="5"/>
  <c r="EQ99" i="5" s="1"/>
  <c r="FC99" i="5"/>
  <c r="HZ99" i="5"/>
  <c r="GP99" i="5"/>
  <c r="GU99" i="5"/>
  <c r="GV99" i="5" s="1"/>
  <c r="FX99" i="5"/>
  <c r="DU99" i="5"/>
  <c r="ET99" i="5"/>
  <c r="GG99" i="5"/>
  <c r="FR99" i="5"/>
  <c r="GA99" i="5"/>
  <c r="GD99" i="5"/>
  <c r="FL99" i="5"/>
  <c r="FO99" i="5"/>
  <c r="QH99" i="5"/>
  <c r="QM99" i="5"/>
  <c r="PU99" i="5"/>
  <c r="QK99" i="5"/>
  <c r="QL99" i="5"/>
  <c r="PM99" i="5"/>
  <c r="QF99" i="5"/>
  <c r="PT99" i="5"/>
  <c r="PJ99" i="5"/>
  <c r="QP99" i="5"/>
  <c r="PS99" i="5"/>
  <c r="QQ99" i="5"/>
  <c r="QE99" i="5"/>
  <c r="PN99" i="5"/>
  <c r="PL99" i="5"/>
  <c r="PX99" i="5"/>
  <c r="PO99" i="5"/>
  <c r="QO99" i="5"/>
  <c r="PR99" i="5"/>
  <c r="PQ99" i="5"/>
  <c r="QC99" i="5"/>
  <c r="PY99" i="5"/>
  <c r="PV99" i="5"/>
  <c r="PW99" i="5"/>
  <c r="QI99" i="5"/>
  <c r="QJ99" i="5"/>
  <c r="PZ99" i="5"/>
  <c r="QB99" i="5"/>
  <c r="QN99" i="5"/>
  <c r="PP99" i="5"/>
  <c r="QD99" i="5"/>
  <c r="QG99" i="5"/>
  <c r="PK99" i="5"/>
  <c r="QA99" i="5"/>
  <c r="RU99" i="5"/>
  <c r="QU99" i="5"/>
  <c r="RP99" i="5"/>
  <c r="QT99" i="5"/>
  <c r="QY99" i="5"/>
  <c r="RD99" i="5"/>
  <c r="QW99" i="5"/>
  <c r="QX99" i="5"/>
  <c r="RC99" i="5"/>
  <c r="RT99" i="5"/>
  <c r="RA99" i="5"/>
  <c r="RB99" i="5"/>
  <c r="RG99" i="5"/>
  <c r="RH99" i="5"/>
  <c r="RE99" i="5"/>
  <c r="RF99" i="5"/>
  <c r="RK99" i="5"/>
  <c r="QV99" i="5"/>
  <c r="RI99" i="5"/>
  <c r="RJ99" i="5"/>
  <c r="RO99" i="5"/>
  <c r="RL99" i="5"/>
  <c r="RM99" i="5"/>
  <c r="RN99" i="5"/>
  <c r="RS99" i="5"/>
  <c r="RQ99" i="5"/>
  <c r="RR99" i="5"/>
  <c r="QZ99" i="5"/>
  <c r="CZ99" i="5"/>
  <c r="CW99" i="5"/>
  <c r="DC99" i="5"/>
  <c r="HL99" i="5" s="1"/>
  <c r="DX99" i="5"/>
  <c r="HM99" i="5"/>
  <c r="FR139" i="5"/>
  <c r="FO139" i="5"/>
  <c r="GD139" i="5"/>
  <c r="CZ16" i="5"/>
  <c r="FC139" i="5"/>
  <c r="HZ139" i="5"/>
  <c r="DU139" i="5"/>
  <c r="GP139" i="5"/>
  <c r="GG139" i="5"/>
  <c r="ET139" i="5"/>
  <c r="FI139" i="5"/>
  <c r="FG139" i="5" s="1"/>
  <c r="HJ139" i="5" s="1"/>
  <c r="CW130" i="5"/>
  <c r="DC130" i="5"/>
  <c r="HL130" i="5" s="1"/>
  <c r="NS96" i="5"/>
  <c r="NU96" i="5" s="1"/>
  <c r="NS108" i="5"/>
  <c r="NU108" i="5" s="1"/>
  <c r="NT96" i="5"/>
  <c r="NV96" i="5" s="1"/>
  <c r="CZ239" i="5"/>
  <c r="CW239" i="5"/>
  <c r="DX239" i="5"/>
  <c r="HM239" i="5"/>
  <c r="HJ108" i="5"/>
  <c r="ND90" i="5"/>
  <c r="NT91" i="5"/>
  <c r="NV91" i="5" s="1"/>
  <c r="ND96" i="5"/>
  <c r="PL239" i="5"/>
  <c r="QB239" i="5"/>
  <c r="PM239" i="5"/>
  <c r="QC239" i="5"/>
  <c r="PJ239" i="5"/>
  <c r="PZ239" i="5"/>
  <c r="QP239" i="5"/>
  <c r="PW239" i="5"/>
  <c r="QM239" i="5"/>
  <c r="PP239" i="5"/>
  <c r="QF239" i="5"/>
  <c r="PQ239" i="5"/>
  <c r="QG239" i="5"/>
  <c r="PN239" i="5"/>
  <c r="QD239" i="5"/>
  <c r="PK239" i="5"/>
  <c r="QA239" i="5"/>
  <c r="QQ239" i="5"/>
  <c r="PT239" i="5"/>
  <c r="QJ239" i="5"/>
  <c r="PU239" i="5"/>
  <c r="QK239" i="5"/>
  <c r="PR239" i="5"/>
  <c r="QH239" i="5"/>
  <c r="PO239" i="5"/>
  <c r="QE239" i="5"/>
  <c r="PX239" i="5"/>
  <c r="QN239" i="5"/>
  <c r="PY239" i="5"/>
  <c r="QO239" i="5"/>
  <c r="PV239" i="5"/>
  <c r="QL239" i="5"/>
  <c r="PS239" i="5"/>
  <c r="QI239" i="5"/>
  <c r="QT239" i="5"/>
  <c r="RJ239" i="5"/>
  <c r="QY239" i="5"/>
  <c r="RO239" i="5"/>
  <c r="RD239" i="5"/>
  <c r="RT239" i="5"/>
  <c r="RQ239" i="5"/>
  <c r="QX239" i="5"/>
  <c r="RN239" i="5"/>
  <c r="RC239" i="5"/>
  <c r="RS239" i="5"/>
  <c r="RH239" i="5"/>
  <c r="QW239" i="5"/>
  <c r="RE239" i="5"/>
  <c r="RB239" i="5"/>
  <c r="RR239" i="5"/>
  <c r="RG239" i="5"/>
  <c r="QV239" i="5"/>
  <c r="RL239" i="5"/>
  <c r="RM239" i="5"/>
  <c r="RU239" i="5"/>
  <c r="CQ239" i="5" s="1"/>
  <c r="RF239" i="5"/>
  <c r="QU239" i="5"/>
  <c r="RK239" i="5"/>
  <c r="QZ239" i="5"/>
  <c r="RP239" i="5"/>
  <c r="RA239" i="5"/>
  <c r="RI239" i="5"/>
  <c r="HM193" i="5"/>
  <c r="DX193" i="5"/>
  <c r="PP193" i="5"/>
  <c r="QF193" i="5"/>
  <c r="PQ193" i="5"/>
  <c r="PY193" i="5"/>
  <c r="PK193" i="5"/>
  <c r="QK193" i="5"/>
  <c r="QA193" i="5"/>
  <c r="PO193" i="5"/>
  <c r="QM193" i="5"/>
  <c r="PT193" i="5"/>
  <c r="QJ193" i="5"/>
  <c r="PU193" i="5"/>
  <c r="QD193" i="5"/>
  <c r="PS193" i="5"/>
  <c r="QP193" i="5"/>
  <c r="QG193" i="5"/>
  <c r="PW193" i="5"/>
  <c r="PX193" i="5"/>
  <c r="QN193" i="5"/>
  <c r="PJ193" i="5"/>
  <c r="QI193" i="5"/>
  <c r="PZ193" i="5"/>
  <c r="PN193" i="5"/>
  <c r="QL193" i="5"/>
  <c r="QC193" i="5"/>
  <c r="PL193" i="5"/>
  <c r="QB193" i="5"/>
  <c r="PM193" i="5"/>
  <c r="PR193" i="5"/>
  <c r="QO193" i="5"/>
  <c r="QE193" i="5"/>
  <c r="PV193" i="5"/>
  <c r="CO193" i="5" s="1"/>
  <c r="HH193" i="5" s="1"/>
  <c r="QQ193" i="5"/>
  <c r="QH193" i="5"/>
  <c r="RI193" i="5"/>
  <c r="QT193" i="5"/>
  <c r="RJ193" i="5"/>
  <c r="RD193" i="5"/>
  <c r="RG193" i="5"/>
  <c r="RP193" i="5"/>
  <c r="QU193" i="5"/>
  <c r="QW193" i="5"/>
  <c r="RM193" i="5"/>
  <c r="QX193" i="5"/>
  <c r="RN193" i="5"/>
  <c r="RL193" i="5"/>
  <c r="RO193" i="5"/>
  <c r="RC193" i="5"/>
  <c r="RA193" i="5"/>
  <c r="RQ193" i="5"/>
  <c r="RB193" i="5"/>
  <c r="RR193" i="5"/>
  <c r="RT193" i="5"/>
  <c r="QZ193" i="5"/>
  <c r="RK193" i="5"/>
  <c r="RE193" i="5"/>
  <c r="RU193" i="5"/>
  <c r="RF193" i="5"/>
  <c r="QV193" i="5"/>
  <c r="QY193" i="5"/>
  <c r="RH193" i="5"/>
  <c r="RS193" i="5"/>
  <c r="DC193" i="5"/>
  <c r="HL193" i="5" s="1"/>
  <c r="CZ193" i="5"/>
  <c r="CW193" i="5"/>
  <c r="QU96" i="5"/>
  <c r="RK96" i="5"/>
  <c r="CQ96" i="5" s="1"/>
  <c r="QZ96" i="5"/>
  <c r="RP96" i="5"/>
  <c r="RQ96" i="5"/>
  <c r="RR96" i="5"/>
  <c r="RU96" i="5"/>
  <c r="QY96" i="5"/>
  <c r="RO96" i="5"/>
  <c r="RD96" i="5"/>
  <c r="RT96" i="5"/>
  <c r="QT96" i="5"/>
  <c r="QW96" i="5"/>
  <c r="RF96" i="5"/>
  <c r="RC96" i="5"/>
  <c r="RS96" i="5"/>
  <c r="RH96" i="5"/>
  <c r="RA96" i="5"/>
  <c r="RB96" i="5"/>
  <c r="RE96" i="5"/>
  <c r="RN96" i="5"/>
  <c r="RG96" i="5"/>
  <c r="QV96" i="5"/>
  <c r="RL96" i="5"/>
  <c r="RI96" i="5"/>
  <c r="RJ96" i="5"/>
  <c r="RM96" i="5"/>
  <c r="QX96" i="5"/>
  <c r="DX88" i="5"/>
  <c r="HM88" i="5"/>
  <c r="RE121" i="5"/>
  <c r="RU121" i="5"/>
  <c r="RF121" i="5"/>
  <c r="QY121" i="5"/>
  <c r="RH121" i="5"/>
  <c r="RK121" i="5"/>
  <c r="RD121" i="5"/>
  <c r="RI121" i="5"/>
  <c r="QT121" i="5"/>
  <c r="CQ121" i="5" s="1"/>
  <c r="RJ121" i="5"/>
  <c r="RG121" i="5"/>
  <c r="RP121" i="5"/>
  <c r="RS121" i="5"/>
  <c r="RL121" i="5"/>
  <c r="QW121" i="5"/>
  <c r="RM121" i="5"/>
  <c r="QX121" i="5"/>
  <c r="RN121" i="5"/>
  <c r="RO121" i="5"/>
  <c r="QU121" i="5"/>
  <c r="RT121" i="5"/>
  <c r="RA121" i="5"/>
  <c r="RQ121" i="5"/>
  <c r="RB121" i="5"/>
  <c r="RR121" i="5"/>
  <c r="QZ121" i="5"/>
  <c r="RC121" i="5"/>
  <c r="QV121" i="5"/>
  <c r="CZ17" i="5"/>
  <c r="CW17" i="5"/>
  <c r="DC139" i="5"/>
  <c r="HL139" i="5" s="1"/>
  <c r="CZ139" i="5"/>
  <c r="CW139" i="5"/>
  <c r="RC143" i="5"/>
  <c r="RS143" i="5"/>
  <c r="RH143" i="5"/>
  <c r="QW143" i="5"/>
  <c r="RM143" i="5"/>
  <c r="RN143" i="5"/>
  <c r="QT143" i="5"/>
  <c r="RG143" i="5"/>
  <c r="QV143" i="5"/>
  <c r="RL143" i="5"/>
  <c r="RA143" i="5"/>
  <c r="CQ143" i="5" s="1"/>
  <c r="RQ143" i="5"/>
  <c r="RB143" i="5"/>
  <c r="RJ143" i="5"/>
  <c r="QU143" i="5"/>
  <c r="RK143" i="5"/>
  <c r="QZ143" i="5"/>
  <c r="RP143" i="5"/>
  <c r="RE143" i="5"/>
  <c r="RU143" i="5"/>
  <c r="RR143" i="5"/>
  <c r="QY143" i="5"/>
  <c r="RO143" i="5"/>
  <c r="RD143" i="5"/>
  <c r="RT143" i="5"/>
  <c r="RI143" i="5"/>
  <c r="QX143" i="5"/>
  <c r="RF143" i="5"/>
  <c r="CZ124" i="5"/>
  <c r="CW124" i="5"/>
  <c r="NS17" i="5"/>
  <c r="DC213" i="5"/>
  <c r="HL213" i="5" s="1"/>
  <c r="CZ213" i="5"/>
  <c r="CW213" i="5"/>
  <c r="DC173" i="5"/>
  <c r="HL173" i="5" s="1"/>
  <c r="CZ173" i="5"/>
  <c r="CW173" i="5"/>
  <c r="IH213" i="5"/>
  <c r="II213" i="5" s="1"/>
  <c r="FC213" i="5"/>
  <c r="HZ213" i="5"/>
  <c r="GU213" i="5"/>
  <c r="GV213" i="5" s="1"/>
  <c r="FI213" i="5"/>
  <c r="FG213" i="5" s="1"/>
  <c r="GP213" i="5"/>
  <c r="EY213" i="5"/>
  <c r="FX213" i="5"/>
  <c r="EO213" i="5"/>
  <c r="EQ213" i="5" s="1"/>
  <c r="GD213" i="5"/>
  <c r="GG213" i="5"/>
  <c r="ET213" i="5"/>
  <c r="GA213" i="5"/>
  <c r="FL213" i="5"/>
  <c r="FR213" i="5"/>
  <c r="FO213" i="5"/>
  <c r="DU213" i="5"/>
  <c r="FX88" i="5"/>
  <c r="EO88" i="5"/>
  <c r="EQ88" i="5" s="1"/>
  <c r="GU88" i="5"/>
  <c r="GV88" i="5" s="1"/>
  <c r="FC88" i="5"/>
  <c r="FI88" i="5"/>
  <c r="FG88" i="5" s="1"/>
  <c r="EY88" i="5"/>
  <c r="GP88" i="5"/>
  <c r="HZ88" i="5"/>
  <c r="ET88" i="5"/>
  <c r="FL88" i="5"/>
  <c r="GD88" i="5"/>
  <c r="DU88" i="5"/>
  <c r="GG88" i="5"/>
  <c r="FO88" i="5"/>
  <c r="GA88" i="5"/>
  <c r="FR88" i="5"/>
  <c r="RC91" i="5"/>
  <c r="RS91" i="5"/>
  <c r="RH91" i="5"/>
  <c r="CQ91" i="5" s="1"/>
  <c r="QW91" i="5"/>
  <c r="QX91" i="5"/>
  <c r="RI91" i="5"/>
  <c r="RB91" i="5"/>
  <c r="RG91" i="5"/>
  <c r="QV91" i="5"/>
  <c r="RL91" i="5"/>
  <c r="RE91" i="5"/>
  <c r="RF91" i="5"/>
  <c r="RQ91" i="5"/>
  <c r="RJ91" i="5"/>
  <c r="QU91" i="5"/>
  <c r="RK91" i="5"/>
  <c r="QZ91" i="5"/>
  <c r="RP91" i="5"/>
  <c r="RM91" i="5"/>
  <c r="RN91" i="5"/>
  <c r="RR91" i="5"/>
  <c r="QY91" i="5"/>
  <c r="RO91" i="5"/>
  <c r="RD91" i="5"/>
  <c r="RT91" i="5"/>
  <c r="RU91" i="5"/>
  <c r="RA91" i="5"/>
  <c r="QT91" i="5"/>
  <c r="DC96" i="5"/>
  <c r="HL96" i="5" s="1"/>
  <c r="CZ96" i="5"/>
  <c r="CW96" i="5"/>
  <c r="PS88" i="5"/>
  <c r="PT88" i="5"/>
  <c r="QE88" i="5"/>
  <c r="QO88" i="5"/>
  <c r="QK88" i="5"/>
  <c r="QA88" i="5"/>
  <c r="QM88" i="5"/>
  <c r="PY88" i="5"/>
  <c r="PZ88" i="5"/>
  <c r="QP88" i="5"/>
  <c r="QG88" i="5"/>
  <c r="PM88" i="5"/>
  <c r="QB88" i="5"/>
  <c r="QC88" i="5"/>
  <c r="QJ88" i="5"/>
  <c r="QI88" i="5"/>
  <c r="PR88" i="5"/>
  <c r="PW88" i="5"/>
  <c r="QQ88" i="5"/>
  <c r="PX88" i="5"/>
  <c r="PP88" i="5"/>
  <c r="PQ88" i="5"/>
  <c r="PK88" i="5"/>
  <c r="PO88" i="5"/>
  <c r="QN88" i="5"/>
  <c r="QH88" i="5"/>
  <c r="QL88" i="5"/>
  <c r="PN88" i="5"/>
  <c r="QD88" i="5"/>
  <c r="CO88" i="5" s="1"/>
  <c r="HH88" i="5" s="1"/>
  <c r="PU88" i="5"/>
  <c r="PV88" i="5"/>
  <c r="QF88" i="5"/>
  <c r="PL88" i="5"/>
  <c r="PJ88" i="5"/>
  <c r="PN121" i="5"/>
  <c r="QD121" i="5"/>
  <c r="PK121" i="5"/>
  <c r="QF121" i="5"/>
  <c r="PQ121" i="5"/>
  <c r="QM121" i="5"/>
  <c r="PO121" i="5"/>
  <c r="QI121" i="5"/>
  <c r="QC121" i="5"/>
  <c r="PR121" i="5"/>
  <c r="QL121" i="5"/>
  <c r="QA121" i="5"/>
  <c r="PW121" i="5"/>
  <c r="QE121" i="5"/>
  <c r="PM121" i="5"/>
  <c r="CO121" i="5" s="1"/>
  <c r="HH121" i="5" s="1"/>
  <c r="QH121" i="5"/>
  <c r="PT121" i="5"/>
  <c r="PV121" i="5"/>
  <c r="QP121" i="5"/>
  <c r="QK121" i="5"/>
  <c r="QB121" i="5"/>
  <c r="QO121" i="5"/>
  <c r="PS121" i="5"/>
  <c r="PL121" i="5"/>
  <c r="PZ121" i="5"/>
  <c r="PP121" i="5"/>
  <c r="QQ121" i="5"/>
  <c r="QG121" i="5"/>
  <c r="PY121" i="5"/>
  <c r="QN121" i="5"/>
  <c r="PJ121" i="5"/>
  <c r="PU121" i="5"/>
  <c r="QJ121" i="5"/>
  <c r="PX121" i="5"/>
  <c r="GU143" i="5"/>
  <c r="GV143" i="5" s="1"/>
  <c r="EY143" i="5"/>
  <c r="GP143" i="5"/>
  <c r="FI143" i="5"/>
  <c r="FG143" i="5" s="1"/>
  <c r="FX143" i="5"/>
  <c r="EO143" i="5"/>
  <c r="EQ143" i="5" s="1"/>
  <c r="HZ143" i="5"/>
  <c r="FC143" i="5"/>
  <c r="GG143" i="5"/>
  <c r="DU143" i="5"/>
  <c r="FR143" i="5"/>
  <c r="FO143" i="5"/>
  <c r="GA143" i="5"/>
  <c r="FL143" i="5"/>
  <c r="ET143" i="5"/>
  <c r="GD143" i="5"/>
  <c r="DX17" i="5"/>
  <c r="HM17" i="5"/>
  <c r="HM139" i="5"/>
  <c r="DX139" i="5"/>
  <c r="PJ143" i="5"/>
  <c r="PZ143" i="5"/>
  <c r="QP143" i="5"/>
  <c r="QA143" i="5"/>
  <c r="PL143" i="5"/>
  <c r="QG143" i="5"/>
  <c r="QO143" i="5"/>
  <c r="PO143" i="5"/>
  <c r="QC143" i="5"/>
  <c r="PU143" i="5"/>
  <c r="CO143" i="5" s="1"/>
  <c r="HH143" i="5" s="1"/>
  <c r="QE143" i="5"/>
  <c r="PN143" i="5"/>
  <c r="QD143" i="5"/>
  <c r="PK143" i="5"/>
  <c r="QF143" i="5"/>
  <c r="PQ143" i="5"/>
  <c r="QM143" i="5"/>
  <c r="PM143" i="5"/>
  <c r="PY143" i="5"/>
  <c r="QN143" i="5"/>
  <c r="PR143" i="5"/>
  <c r="QH143" i="5"/>
  <c r="PP143" i="5"/>
  <c r="QK143" i="5"/>
  <c r="PW143" i="5"/>
  <c r="PT143" i="5"/>
  <c r="PX143" i="5"/>
  <c r="QJ143" i="5"/>
  <c r="QL143" i="5"/>
  <c r="QQ143" i="5"/>
  <c r="QI143" i="5"/>
  <c r="PV143" i="5"/>
  <c r="QB143" i="5"/>
  <c r="PS143" i="5"/>
  <c r="DX124" i="5"/>
  <c r="HM124" i="5"/>
  <c r="NT17" i="5"/>
  <c r="HM213" i="5"/>
  <c r="DX213" i="5"/>
  <c r="DX173" i="5"/>
  <c r="HM173" i="5"/>
  <c r="DC91" i="5"/>
  <c r="HL91" i="5" s="1"/>
  <c r="CZ91" i="5"/>
  <c r="CW91" i="5"/>
  <c r="DX96" i="5"/>
  <c r="HM96" i="5"/>
  <c r="QU88" i="5"/>
  <c r="RK88" i="5"/>
  <c r="QZ88" i="5"/>
  <c r="RP88" i="5"/>
  <c r="RQ88" i="5"/>
  <c r="RR88" i="5"/>
  <c r="RU88" i="5"/>
  <c r="QY88" i="5"/>
  <c r="RO88" i="5"/>
  <c r="RD88" i="5"/>
  <c r="RT88" i="5"/>
  <c r="QT88" i="5"/>
  <c r="QW88" i="5"/>
  <c r="RF88" i="5"/>
  <c r="RC88" i="5"/>
  <c r="RS88" i="5"/>
  <c r="RH88" i="5"/>
  <c r="RA88" i="5"/>
  <c r="RB88" i="5"/>
  <c r="RE88" i="5"/>
  <c r="RN88" i="5"/>
  <c r="RG88" i="5"/>
  <c r="QV88" i="5"/>
  <c r="RL88" i="5"/>
  <c r="RI88" i="5"/>
  <c r="RJ88" i="5"/>
  <c r="RM88" i="5"/>
  <c r="QX88" i="5"/>
  <c r="CZ121" i="5"/>
  <c r="CW121" i="5"/>
  <c r="QI17" i="5"/>
  <c r="PK17" i="5"/>
  <c r="PN17" i="5"/>
  <c r="QO17" i="5"/>
  <c r="PP17" i="5"/>
  <c r="PY17" i="5"/>
  <c r="PO17" i="5"/>
  <c r="PV17" i="5"/>
  <c r="PR17" i="5"/>
  <c r="PX17" i="5"/>
  <c r="QH17" i="5"/>
  <c r="QQ17" i="5"/>
  <c r="PS17" i="5"/>
  <c r="PZ17" i="5"/>
  <c r="QC17" i="5"/>
  <c r="PJ17" i="5"/>
  <c r="QM17" i="5"/>
  <c r="PT17" i="5"/>
  <c r="QP17" i="5"/>
  <c r="QK17" i="5"/>
  <c r="PQ17" i="5"/>
  <c r="PM17" i="5"/>
  <c r="QD17" i="5"/>
  <c r="PL17" i="5"/>
  <c r="QL17" i="5"/>
  <c r="QA17" i="5"/>
  <c r="PW17" i="5"/>
  <c r="QG17" i="5"/>
  <c r="CO17" i="5" s="1"/>
  <c r="HH17" i="5" s="1"/>
  <c r="HI17" i="5" s="1"/>
  <c r="PU17" i="5"/>
  <c r="QF17" i="5"/>
  <c r="QB17" i="5"/>
  <c r="QE17" i="5"/>
  <c r="QJ17" i="5"/>
  <c r="QN17" i="5"/>
  <c r="PL139" i="5"/>
  <c r="QB139" i="5"/>
  <c r="PJ139" i="5"/>
  <c r="QE139" i="5"/>
  <c r="PQ139" i="5"/>
  <c r="QL139" i="5"/>
  <c r="QI139" i="5"/>
  <c r="QM139" i="5"/>
  <c r="PR139" i="5"/>
  <c r="PP139" i="5"/>
  <c r="QF139" i="5"/>
  <c r="PO139" i="5"/>
  <c r="QK139" i="5"/>
  <c r="PV139" i="5"/>
  <c r="QQ139" i="5"/>
  <c r="PS139" i="5"/>
  <c r="PM139" i="5"/>
  <c r="QD139" i="5"/>
  <c r="PX139" i="5"/>
  <c r="PZ139" i="5"/>
  <c r="PK139" i="5"/>
  <c r="PW139" i="5"/>
  <c r="PT139" i="5"/>
  <c r="QJ139" i="5"/>
  <c r="PU139" i="5"/>
  <c r="QP139" i="5"/>
  <c r="QA139" i="5"/>
  <c r="PN139" i="5"/>
  <c r="QH139" i="5"/>
  <c r="QC139" i="5"/>
  <c r="QN139" i="5"/>
  <c r="PY139" i="5"/>
  <c r="QO139" i="5"/>
  <c r="QG139" i="5"/>
  <c r="DC143" i="5"/>
  <c r="HL143" i="5" s="1"/>
  <c r="CZ143" i="5"/>
  <c r="CW143" i="5"/>
  <c r="PT124" i="5"/>
  <c r="QJ124" i="5"/>
  <c r="PU124" i="5"/>
  <c r="QP124" i="5"/>
  <c r="QA124" i="5"/>
  <c r="PN124" i="5"/>
  <c r="QD124" i="5"/>
  <c r="PW124" i="5"/>
  <c r="QF124" i="5"/>
  <c r="QM124" i="5"/>
  <c r="PX124" i="5"/>
  <c r="QN124" i="5"/>
  <c r="PZ124" i="5"/>
  <c r="PK124" i="5"/>
  <c r="QG124" i="5"/>
  <c r="PY124" i="5"/>
  <c r="QO124" i="5"/>
  <c r="QC124" i="5"/>
  <c r="PP124" i="5"/>
  <c r="PV124" i="5"/>
  <c r="PS124" i="5"/>
  <c r="PL124" i="5"/>
  <c r="QB124" i="5"/>
  <c r="PJ124" i="5"/>
  <c r="QE124" i="5"/>
  <c r="PQ124" i="5"/>
  <c r="QL124" i="5"/>
  <c r="QI124" i="5"/>
  <c r="PR124" i="5"/>
  <c r="PM124" i="5"/>
  <c r="PO124" i="5"/>
  <c r="QQ124" i="5"/>
  <c r="QH124" i="5"/>
  <c r="QK124" i="5"/>
  <c r="PK213" i="5"/>
  <c r="QA213" i="5"/>
  <c r="QQ213" i="5"/>
  <c r="PY213" i="5"/>
  <c r="QO213" i="5"/>
  <c r="QJ213" i="5"/>
  <c r="QL213" i="5"/>
  <c r="QN213" i="5"/>
  <c r="QH213" i="5"/>
  <c r="PZ213" i="5"/>
  <c r="PO213" i="5"/>
  <c r="QE213" i="5"/>
  <c r="PM213" i="5"/>
  <c r="QC213" i="5"/>
  <c r="PL213" i="5"/>
  <c r="PN213" i="5"/>
  <c r="PP213" i="5"/>
  <c r="PJ213" i="5"/>
  <c r="QP213" i="5"/>
  <c r="PW213" i="5"/>
  <c r="PU213" i="5"/>
  <c r="QB213" i="5"/>
  <c r="QF213" i="5"/>
  <c r="PS213" i="5"/>
  <c r="CO213" i="5" s="1"/>
  <c r="HH213" i="5" s="1"/>
  <c r="QI213" i="5"/>
  <c r="PQ213" i="5"/>
  <c r="QG213" i="5"/>
  <c r="PT213" i="5"/>
  <c r="PV213" i="5"/>
  <c r="PX213" i="5"/>
  <c r="PR213" i="5"/>
  <c r="QM213" i="5"/>
  <c r="QK213" i="5"/>
  <c r="QD213" i="5"/>
  <c r="RE173" i="5"/>
  <c r="RU173" i="5"/>
  <c r="CQ173" i="5" s="1"/>
  <c r="RF173" i="5"/>
  <c r="QZ173" i="5"/>
  <c r="RC173" i="5"/>
  <c r="RD173" i="5"/>
  <c r="QY173" i="5"/>
  <c r="RI173" i="5"/>
  <c r="QT173" i="5"/>
  <c r="RJ173" i="5"/>
  <c r="RH173" i="5"/>
  <c r="RK173" i="5"/>
  <c r="RL173" i="5"/>
  <c r="RG173" i="5"/>
  <c r="QW173" i="5"/>
  <c r="RM173" i="5"/>
  <c r="QX173" i="5"/>
  <c r="RN173" i="5"/>
  <c r="RP173" i="5"/>
  <c r="RS173" i="5"/>
  <c r="RT173" i="5"/>
  <c r="RA173" i="5"/>
  <c r="RQ173" i="5"/>
  <c r="RB173" i="5"/>
  <c r="RR173" i="5"/>
  <c r="QU173" i="5"/>
  <c r="QV173" i="5"/>
  <c r="RO173" i="5"/>
  <c r="GP121" i="5"/>
  <c r="EY121" i="5"/>
  <c r="FX121" i="5"/>
  <c r="EO121" i="5"/>
  <c r="EQ121" i="5" s="1"/>
  <c r="HZ121" i="5"/>
  <c r="FC121" i="5"/>
  <c r="GU121" i="5"/>
  <c r="GV121" i="5" s="1"/>
  <c r="FI121" i="5"/>
  <c r="FG121" i="5" s="1"/>
  <c r="FR121" i="5"/>
  <c r="ET121" i="5"/>
  <c r="FL121" i="5"/>
  <c r="GD121" i="5"/>
  <c r="GA121" i="5"/>
  <c r="GG121" i="5"/>
  <c r="FO121" i="5"/>
  <c r="DU121" i="5"/>
  <c r="DX91" i="5"/>
  <c r="HM91" i="5"/>
  <c r="QH96" i="5"/>
  <c r="QB96" i="5"/>
  <c r="QF96" i="5"/>
  <c r="QN96" i="5"/>
  <c r="QC96" i="5"/>
  <c r="PK96" i="5"/>
  <c r="QQ96" i="5"/>
  <c r="QJ96" i="5"/>
  <c r="PN96" i="5"/>
  <c r="QO96" i="5"/>
  <c r="PL96" i="5"/>
  <c r="PT96" i="5"/>
  <c r="PQ96" i="5"/>
  <c r="PM96" i="5"/>
  <c r="PY96" i="5"/>
  <c r="PW96" i="5"/>
  <c r="PO96" i="5"/>
  <c r="QE96" i="5"/>
  <c r="PR96" i="5"/>
  <c r="QP96" i="5"/>
  <c r="QG96" i="5"/>
  <c r="QL96" i="5"/>
  <c r="PS96" i="5"/>
  <c r="QD96" i="5"/>
  <c r="PP96" i="5"/>
  <c r="QA96" i="5"/>
  <c r="PZ96" i="5"/>
  <c r="QK96" i="5"/>
  <c r="PU96" i="5"/>
  <c r="PJ96" i="5"/>
  <c r="QM96" i="5"/>
  <c r="PV96" i="5"/>
  <c r="QI96" i="5"/>
  <c r="PX96" i="5"/>
  <c r="CZ88" i="5"/>
  <c r="CW88" i="5"/>
  <c r="DX121" i="5"/>
  <c r="HM121" i="5"/>
  <c r="QU17" i="5"/>
  <c r="RK17" i="5"/>
  <c r="RD17" i="5"/>
  <c r="QT17" i="5"/>
  <c r="RP17" i="5"/>
  <c r="RB17" i="5"/>
  <c r="RQ17" i="5"/>
  <c r="QY17" i="5"/>
  <c r="RO17" i="5"/>
  <c r="RI17" i="5"/>
  <c r="QZ17" i="5"/>
  <c r="RU17" i="5"/>
  <c r="RM17" i="5"/>
  <c r="RR17" i="5"/>
  <c r="RC17" i="5"/>
  <c r="RS17" i="5"/>
  <c r="RN17" i="5"/>
  <c r="RE17" i="5"/>
  <c r="RA17" i="5"/>
  <c r="QV17" i="5"/>
  <c r="QW17" i="5"/>
  <c r="RG17" i="5"/>
  <c r="QX17" i="5"/>
  <c r="RT17" i="5"/>
  <c r="RJ17" i="5"/>
  <c r="RL17" i="5"/>
  <c r="RF17" i="5"/>
  <c r="RH17" i="5"/>
  <c r="CQ17" i="5"/>
  <c r="RC139" i="5"/>
  <c r="RS139" i="5"/>
  <c r="RH139" i="5"/>
  <c r="QW139" i="5"/>
  <c r="RM139" i="5"/>
  <c r="RJ139" i="5"/>
  <c r="RR139" i="5"/>
  <c r="RG139" i="5"/>
  <c r="QV139" i="5"/>
  <c r="RL139" i="5"/>
  <c r="RA139" i="5"/>
  <c r="RQ139" i="5"/>
  <c r="QX139" i="5"/>
  <c r="RF139" i="5"/>
  <c r="QU139" i="5"/>
  <c r="RK139" i="5"/>
  <c r="QZ139" i="5"/>
  <c r="RP139" i="5"/>
  <c r="RE139" i="5"/>
  <c r="RU139" i="5"/>
  <c r="RN139" i="5"/>
  <c r="QY139" i="5"/>
  <c r="RO139" i="5"/>
  <c r="RD139" i="5"/>
  <c r="RT139" i="5"/>
  <c r="RI139" i="5"/>
  <c r="QT139" i="5"/>
  <c r="RB139" i="5"/>
  <c r="GP124" i="5"/>
  <c r="FI124" i="5"/>
  <c r="FG124" i="5" s="1"/>
  <c r="FX124" i="5"/>
  <c r="EO124" i="5"/>
  <c r="EQ124" i="5" s="1"/>
  <c r="HZ124" i="5"/>
  <c r="EY124" i="5"/>
  <c r="GU124" i="5"/>
  <c r="GV124" i="5" s="1"/>
  <c r="FC124" i="5"/>
  <c r="FR124" i="5"/>
  <c r="FL124" i="5"/>
  <c r="GG124" i="5"/>
  <c r="FO124" i="5"/>
  <c r="GA124" i="5"/>
  <c r="DU124" i="5"/>
  <c r="GD124" i="5"/>
  <c r="ET124" i="5"/>
  <c r="DX143" i="5"/>
  <c r="HM143" i="5"/>
  <c r="CQ124" i="5"/>
  <c r="RE124" i="5"/>
  <c r="RU124" i="5"/>
  <c r="RF124" i="5"/>
  <c r="QU124" i="5"/>
  <c r="QV124" i="5"/>
  <c r="QY124" i="5"/>
  <c r="RH124" i="5"/>
  <c r="RI124" i="5"/>
  <c r="QT124" i="5"/>
  <c r="RJ124" i="5"/>
  <c r="RC124" i="5"/>
  <c r="RD124" i="5"/>
  <c r="RG124" i="5"/>
  <c r="RP124" i="5"/>
  <c r="QW124" i="5"/>
  <c r="RM124" i="5"/>
  <c r="QX124" i="5"/>
  <c r="RN124" i="5"/>
  <c r="RK124" i="5"/>
  <c r="RL124" i="5"/>
  <c r="RO124" i="5"/>
  <c r="RA124" i="5"/>
  <c r="RQ124" i="5"/>
  <c r="RB124" i="5"/>
  <c r="RR124" i="5"/>
  <c r="RS124" i="5"/>
  <c r="RT124" i="5"/>
  <c r="QZ124" i="5"/>
  <c r="RD213" i="5"/>
  <c r="RT213" i="5"/>
  <c r="RI213" i="5"/>
  <c r="QT213" i="5"/>
  <c r="RJ213" i="5"/>
  <c r="RK213" i="5"/>
  <c r="RS213" i="5"/>
  <c r="RH213" i="5"/>
  <c r="QW213" i="5"/>
  <c r="RM213" i="5"/>
  <c r="QX213" i="5"/>
  <c r="RN213" i="5"/>
  <c r="QY213" i="5"/>
  <c r="CQ213" i="5" s="1"/>
  <c r="RG213" i="5"/>
  <c r="QV213" i="5"/>
  <c r="RL213" i="5"/>
  <c r="RA213" i="5"/>
  <c r="RQ213" i="5"/>
  <c r="RB213" i="5"/>
  <c r="RR213" i="5"/>
  <c r="RO213" i="5"/>
  <c r="QZ213" i="5"/>
  <c r="RP213" i="5"/>
  <c r="RE213" i="5"/>
  <c r="RU213" i="5"/>
  <c r="RF213" i="5"/>
  <c r="QU213" i="5"/>
  <c r="RC213" i="5"/>
  <c r="PK173" i="5"/>
  <c r="QA173" i="5"/>
  <c r="QQ173" i="5"/>
  <c r="PX173" i="5"/>
  <c r="QN173" i="5"/>
  <c r="QK173" i="5"/>
  <c r="QL173" i="5"/>
  <c r="QO173" i="5"/>
  <c r="QH173" i="5"/>
  <c r="PT173" i="5"/>
  <c r="PO173" i="5"/>
  <c r="QE173" i="5"/>
  <c r="PL173" i="5"/>
  <c r="QB173" i="5"/>
  <c r="PM173" i="5"/>
  <c r="PN173" i="5"/>
  <c r="PQ173" i="5"/>
  <c r="PJ173" i="5"/>
  <c r="QP173" i="5"/>
  <c r="PW173" i="5"/>
  <c r="QJ173" i="5"/>
  <c r="QD173" i="5"/>
  <c r="PZ173" i="5"/>
  <c r="PS173" i="5"/>
  <c r="QI173" i="5"/>
  <c r="PP173" i="5"/>
  <c r="QF173" i="5"/>
  <c r="PU173" i="5"/>
  <c r="PV173" i="5"/>
  <c r="PY173" i="5"/>
  <c r="PR173" i="5"/>
  <c r="QC173" i="5"/>
  <c r="QM173" i="5"/>
  <c r="QG173" i="5"/>
  <c r="GU173" i="5"/>
  <c r="GV173" i="5" s="1"/>
  <c r="EY173" i="5"/>
  <c r="FX173" i="5"/>
  <c r="FI173" i="5"/>
  <c r="FG173" i="5" s="1"/>
  <c r="HZ173" i="5"/>
  <c r="GA173" i="5"/>
  <c r="EO173" i="5"/>
  <c r="EQ173" i="5" s="1"/>
  <c r="GP173" i="5"/>
  <c r="FC173" i="5"/>
  <c r="FR173" i="5"/>
  <c r="FO173" i="5"/>
  <c r="ET173" i="5"/>
  <c r="GD173" i="5"/>
  <c r="DU173" i="5"/>
  <c r="GG173" i="5"/>
  <c r="FL173" i="5"/>
  <c r="PL91" i="5"/>
  <c r="QB91" i="5"/>
  <c r="CO91" i="5" s="1"/>
  <c r="HH91" i="5" s="1"/>
  <c r="PN91" i="5"/>
  <c r="QI91" i="5"/>
  <c r="PW91" i="5"/>
  <c r="PR91" i="5"/>
  <c r="PV91" i="5"/>
  <c r="QP91" i="5"/>
  <c r="PU91" i="5"/>
  <c r="PK91" i="5"/>
  <c r="PP91" i="5"/>
  <c r="QF91" i="5"/>
  <c r="PS91" i="5"/>
  <c r="QO91" i="5"/>
  <c r="QE91" i="5"/>
  <c r="PZ91" i="5"/>
  <c r="QK91" i="5"/>
  <c r="PO91" i="5"/>
  <c r="QH91" i="5"/>
  <c r="PT91" i="5"/>
  <c r="QJ91" i="5"/>
  <c r="PY91" i="5"/>
  <c r="PJ91" i="5"/>
  <c r="QL91" i="5"/>
  <c r="QG91" i="5"/>
  <c r="PM91" i="5"/>
  <c r="QC91" i="5"/>
  <c r="PX91" i="5"/>
  <c r="QD91" i="5"/>
  <c r="PQ91" i="5"/>
  <c r="QM91" i="5"/>
  <c r="QQ91" i="5"/>
  <c r="QN91" i="5"/>
  <c r="QA91" i="5"/>
  <c r="CZ75" i="5"/>
  <c r="CW75" i="5"/>
  <c r="CZ52" i="5"/>
  <c r="CW93" i="5"/>
  <c r="CZ104" i="5"/>
  <c r="FR172" i="5"/>
  <c r="GP172" i="5"/>
  <c r="GG172" i="5"/>
  <c r="GA172" i="5"/>
  <c r="EY172" i="5"/>
  <c r="IH172" i="5"/>
  <c r="II172" i="5" s="1"/>
  <c r="IE172" i="5" s="1"/>
  <c r="NX172" i="5" s="1"/>
  <c r="GU172" i="5"/>
  <c r="GV172" i="5" s="1"/>
  <c r="CW129" i="5"/>
  <c r="HZ172" i="5"/>
  <c r="DU172" i="5"/>
  <c r="CZ34" i="5"/>
  <c r="EO172" i="5"/>
  <c r="EQ172" i="5" s="1"/>
  <c r="FX172" i="5"/>
  <c r="FI172" i="5"/>
  <c r="FG172" i="5" s="1"/>
  <c r="ND172" i="5" s="1"/>
  <c r="FL172" i="5"/>
  <c r="GD172" i="5"/>
  <c r="FC172" i="5"/>
  <c r="FO172" i="5"/>
  <c r="CZ6" i="5"/>
  <c r="FC131" i="5"/>
  <c r="FO130" i="5"/>
  <c r="FX131" i="5"/>
  <c r="GD131" i="5"/>
  <c r="CZ60" i="5"/>
  <c r="CW60" i="5"/>
  <c r="CZ45" i="5"/>
  <c r="DU131" i="5"/>
  <c r="NS90" i="5"/>
  <c r="NU90" i="5" s="1"/>
  <c r="CZ31" i="5"/>
  <c r="NS156" i="5"/>
  <c r="NU156" i="5" s="1"/>
  <c r="NT156" i="5"/>
  <c r="NV156" i="5" s="1"/>
  <c r="ET130" i="5"/>
  <c r="CW12" i="5"/>
  <c r="CZ95" i="5"/>
  <c r="CW95" i="5"/>
  <c r="CZ84" i="5"/>
  <c r="CW84" i="5"/>
  <c r="CZ23" i="5"/>
  <c r="CW23" i="5"/>
  <c r="QU133" i="5"/>
  <c r="QZ133" i="5"/>
  <c r="RE133" i="5"/>
  <c r="QT133" i="5"/>
  <c r="QY133" i="5"/>
  <c r="RD133" i="5"/>
  <c r="RI133" i="5"/>
  <c r="RJ133" i="5"/>
  <c r="RC133" i="5"/>
  <c r="RH133" i="5"/>
  <c r="RM133" i="5"/>
  <c r="RN133" i="5"/>
  <c r="RG133" i="5"/>
  <c r="RL133" i="5"/>
  <c r="CQ133" i="5" s="1"/>
  <c r="RQ133" i="5"/>
  <c r="QX133" i="5"/>
  <c r="RK133" i="5"/>
  <c r="RP133" i="5"/>
  <c r="RU133" i="5"/>
  <c r="RO133" i="5"/>
  <c r="RT133" i="5"/>
  <c r="RB133" i="5"/>
  <c r="RS133" i="5"/>
  <c r="QW133" i="5"/>
  <c r="RR133" i="5"/>
  <c r="QV133" i="5"/>
  <c r="RA133" i="5"/>
  <c r="RF133" i="5"/>
  <c r="PP133" i="5"/>
  <c r="PQ133" i="5"/>
  <c r="PW133" i="5"/>
  <c r="PY133" i="5"/>
  <c r="QI133" i="5"/>
  <c r="PT133" i="5"/>
  <c r="PV133" i="5"/>
  <c r="QC133" i="5"/>
  <c r="QO133" i="5"/>
  <c r="PN133" i="5"/>
  <c r="QB133" i="5"/>
  <c r="QG133" i="5"/>
  <c r="QM133" i="5"/>
  <c r="QD133" i="5"/>
  <c r="QF133" i="5"/>
  <c r="CO133" i="5" s="1"/>
  <c r="HH133" i="5" s="1"/>
  <c r="QL133" i="5"/>
  <c r="PO133" i="5"/>
  <c r="QP133" i="5"/>
  <c r="QJ133" i="5"/>
  <c r="QQ133" i="5"/>
  <c r="PZ133" i="5"/>
  <c r="PS133" i="5"/>
  <c r="PL133" i="5"/>
  <c r="PK133" i="5"/>
  <c r="PR133" i="5"/>
  <c r="PU133" i="5"/>
  <c r="PX133" i="5"/>
  <c r="QH133" i="5"/>
  <c r="QN133" i="5"/>
  <c r="PM133" i="5"/>
  <c r="QK133" i="5"/>
  <c r="QE133" i="5"/>
  <c r="PJ133" i="5"/>
  <c r="QA133" i="5"/>
  <c r="DC133" i="5"/>
  <c r="HL133" i="5" s="1"/>
  <c r="CZ133" i="5"/>
  <c r="DX133" i="5"/>
  <c r="HM133" i="5"/>
  <c r="FX133" i="5"/>
  <c r="EY133" i="5"/>
  <c r="FC133" i="5"/>
  <c r="EO133" i="5"/>
  <c r="EQ133" i="5" s="1"/>
  <c r="HZ133" i="5"/>
  <c r="GU133" i="5"/>
  <c r="GV133" i="5" s="1"/>
  <c r="GP133" i="5"/>
  <c r="FI133" i="5"/>
  <c r="FG133" i="5" s="1"/>
  <c r="FR133" i="5"/>
  <c r="GA133" i="5"/>
  <c r="GD133" i="5"/>
  <c r="DU133" i="5"/>
  <c r="ET133" i="5"/>
  <c r="GG133" i="5"/>
  <c r="FL133" i="5"/>
  <c r="FO133" i="5"/>
  <c r="IH133" i="5"/>
  <c r="II133" i="5" s="1"/>
  <c r="CW133" i="5"/>
  <c r="ND108" i="5"/>
  <c r="CZ9" i="5"/>
  <c r="HJ156" i="5"/>
  <c r="NT108" i="5"/>
  <c r="NV108" i="5" s="1"/>
  <c r="PX108" i="5"/>
  <c r="PV108" i="5"/>
  <c r="QL108" i="5"/>
  <c r="QB108" i="5"/>
  <c r="PM108" i="5"/>
  <c r="QK108" i="5"/>
  <c r="QM108" i="5"/>
  <c r="PO108" i="5"/>
  <c r="PW108" i="5"/>
  <c r="PY108" i="5"/>
  <c r="QF108" i="5"/>
  <c r="PS108" i="5"/>
  <c r="QC108" i="5"/>
  <c r="QI108" i="5"/>
  <c r="QO108" i="5"/>
  <c r="QG108" i="5"/>
  <c r="QH108" i="5"/>
  <c r="QE108" i="5"/>
  <c r="QA108" i="5"/>
  <c r="PQ108" i="5"/>
  <c r="PN108" i="5"/>
  <c r="PK108" i="5"/>
  <c r="QD108" i="5"/>
  <c r="PP108" i="5"/>
  <c r="PU108" i="5"/>
  <c r="PJ108" i="5"/>
  <c r="QP108" i="5"/>
  <c r="PZ108" i="5"/>
  <c r="PR108" i="5"/>
  <c r="PT108" i="5"/>
  <c r="PL108" i="5"/>
  <c r="QJ108" i="5"/>
  <c r="QN108" i="5"/>
  <c r="QQ108" i="5"/>
  <c r="RU108" i="5"/>
  <c r="QU108" i="5"/>
  <c r="RT108" i="5"/>
  <c r="QT108" i="5"/>
  <c r="QY108" i="5"/>
  <c r="RH108" i="5"/>
  <c r="QW108" i="5"/>
  <c r="QX108" i="5"/>
  <c r="RC108" i="5"/>
  <c r="QV108" i="5"/>
  <c r="RA108" i="5"/>
  <c r="RB108" i="5"/>
  <c r="RG108" i="5"/>
  <c r="RL108" i="5"/>
  <c r="RE108" i="5"/>
  <c r="RF108" i="5"/>
  <c r="RK108" i="5"/>
  <c r="QZ108" i="5"/>
  <c r="RI108" i="5"/>
  <c r="RJ108" i="5"/>
  <c r="RO108" i="5"/>
  <c r="RP108" i="5"/>
  <c r="RM108" i="5"/>
  <c r="RN108" i="5"/>
  <c r="RS108" i="5"/>
  <c r="RQ108" i="5"/>
  <c r="RR108" i="5"/>
  <c r="RD108" i="5"/>
  <c r="DC108" i="5"/>
  <c r="HL108" i="5" s="1"/>
  <c r="CZ108" i="5"/>
  <c r="CW108" i="5"/>
  <c r="DX108" i="5"/>
  <c r="HM108" i="5"/>
  <c r="HJ90" i="5"/>
  <c r="NT90" i="5"/>
  <c r="NV90" i="5" s="1"/>
  <c r="QY156" i="5"/>
  <c r="RE156" i="5"/>
  <c r="RT156" i="5"/>
  <c r="RR156" i="5"/>
  <c r="RC156" i="5"/>
  <c r="RI156" i="5"/>
  <c r="QX156" i="5"/>
  <c r="QT156" i="5"/>
  <c r="RG156" i="5"/>
  <c r="RM156" i="5"/>
  <c r="RF156" i="5"/>
  <c r="RB156" i="5"/>
  <c r="RK156" i="5"/>
  <c r="RQ156" i="5"/>
  <c r="RN156" i="5"/>
  <c r="RO156" i="5"/>
  <c r="RU156" i="5"/>
  <c r="QZ156" i="5"/>
  <c r="RS156" i="5"/>
  <c r="QV156" i="5"/>
  <c r="RH156" i="5"/>
  <c r="QW156" i="5"/>
  <c r="RD156" i="5"/>
  <c r="RP156" i="5"/>
  <c r="QU156" i="5"/>
  <c r="RA156" i="5"/>
  <c r="RL156" i="5"/>
  <c r="RJ156" i="5"/>
  <c r="QB156" i="5"/>
  <c r="QC156" i="5"/>
  <c r="PJ156" i="5"/>
  <c r="QI156" i="5"/>
  <c r="QD156" i="5"/>
  <c r="QH156" i="5"/>
  <c r="QF156" i="5"/>
  <c r="QG156" i="5"/>
  <c r="PR156" i="5"/>
  <c r="QQ156" i="5"/>
  <c r="QN156" i="5"/>
  <c r="QO156" i="5"/>
  <c r="PL156" i="5"/>
  <c r="PM156" i="5"/>
  <c r="PO156" i="5"/>
  <c r="QP156" i="5"/>
  <c r="PN156" i="5"/>
  <c r="QJ156" i="5"/>
  <c r="PP156" i="5"/>
  <c r="PQ156" i="5"/>
  <c r="PW156" i="5"/>
  <c r="PK156" i="5"/>
  <c r="PV156" i="5"/>
  <c r="PZ156" i="5"/>
  <c r="QL156" i="5"/>
  <c r="PT156" i="5"/>
  <c r="PU156" i="5"/>
  <c r="QE156" i="5"/>
  <c r="PS156" i="5"/>
  <c r="PX156" i="5"/>
  <c r="PY156" i="5"/>
  <c r="QM156" i="5"/>
  <c r="QA156" i="5"/>
  <c r="QK156" i="5"/>
  <c r="DC156" i="5"/>
  <c r="HL156" i="5" s="1"/>
  <c r="CZ156" i="5"/>
  <c r="CW156" i="5"/>
  <c r="DX156" i="5"/>
  <c r="HM156" i="5"/>
  <c r="DC94" i="5"/>
  <c r="HL94" i="5" s="1"/>
  <c r="CZ94" i="5"/>
  <c r="CW94" i="5"/>
  <c r="DX94" i="5"/>
  <c r="HM94" i="5"/>
  <c r="EY94" i="5"/>
  <c r="EO94" i="5"/>
  <c r="EQ94" i="5" s="1"/>
  <c r="HZ94" i="5"/>
  <c r="GU94" i="5"/>
  <c r="GV94" i="5" s="1"/>
  <c r="GP94" i="5"/>
  <c r="FX94" i="5"/>
  <c r="FI94" i="5"/>
  <c r="FG94" i="5" s="1"/>
  <c r="FC94" i="5"/>
  <c r="GD94" i="5"/>
  <c r="DU94" i="5"/>
  <c r="ET94" i="5"/>
  <c r="GG94" i="5"/>
  <c r="FR94" i="5"/>
  <c r="GA94" i="5"/>
  <c r="FL94" i="5"/>
  <c r="FO94" i="5"/>
  <c r="PZ94" i="5"/>
  <c r="QC94" i="5"/>
  <c r="PP94" i="5"/>
  <c r="QM94" i="5"/>
  <c r="QD94" i="5"/>
  <c r="QI94" i="5"/>
  <c r="PW94" i="5"/>
  <c r="PL94" i="5"/>
  <c r="QH94" i="5"/>
  <c r="QN94" i="5"/>
  <c r="QE94" i="5"/>
  <c r="QA94" i="5"/>
  <c r="QL94" i="5"/>
  <c r="PO94" i="5"/>
  <c r="QK94" i="5"/>
  <c r="QO94" i="5"/>
  <c r="PJ94" i="5"/>
  <c r="QP94" i="5"/>
  <c r="PU94" i="5"/>
  <c r="PT94" i="5"/>
  <c r="QF94" i="5"/>
  <c r="PN94" i="5"/>
  <c r="PM94" i="5"/>
  <c r="QB94" i="5"/>
  <c r="QG94" i="5"/>
  <c r="PQ94" i="5"/>
  <c r="PR94" i="5"/>
  <c r="PS94" i="5"/>
  <c r="QJ94" i="5"/>
  <c r="CO94" i="5" s="1"/>
  <c r="HH94" i="5" s="1"/>
  <c r="PK94" i="5"/>
  <c r="PV94" i="5"/>
  <c r="PX94" i="5"/>
  <c r="QQ94" i="5"/>
  <c r="PY94" i="5"/>
  <c r="RO94" i="5"/>
  <c r="RT94" i="5"/>
  <c r="QW94" i="5"/>
  <c r="RS94" i="5"/>
  <c r="RA94" i="5"/>
  <c r="RE94" i="5"/>
  <c r="QV94" i="5"/>
  <c r="RI94" i="5"/>
  <c r="RM94" i="5"/>
  <c r="QU94" i="5"/>
  <c r="QZ94" i="5"/>
  <c r="RQ94" i="5"/>
  <c r="RU94" i="5"/>
  <c r="QY94" i="5"/>
  <c r="RD94" i="5"/>
  <c r="QT94" i="5"/>
  <c r="QX94" i="5"/>
  <c r="RC94" i="5"/>
  <c r="RH94" i="5"/>
  <c r="RB94" i="5"/>
  <c r="RF94" i="5"/>
  <c r="RG94" i="5"/>
  <c r="RL94" i="5"/>
  <c r="RJ94" i="5"/>
  <c r="RN94" i="5"/>
  <c r="RK94" i="5"/>
  <c r="RP94" i="5"/>
  <c r="CQ94" i="5" s="1"/>
  <c r="RR94" i="5"/>
  <c r="CZ39" i="5"/>
  <c r="RO155" i="5"/>
  <c r="RU155" i="5"/>
  <c r="QV155" i="5"/>
  <c r="RS155" i="5"/>
  <c r="QZ155" i="5"/>
  <c r="RD155" i="5"/>
  <c r="QW155" i="5"/>
  <c r="RH155" i="5"/>
  <c r="RL155" i="5"/>
  <c r="QU155" i="5"/>
  <c r="RA155" i="5"/>
  <c r="RP155" i="5"/>
  <c r="RT155" i="5"/>
  <c r="QY155" i="5"/>
  <c r="RE155" i="5"/>
  <c r="QT155" i="5"/>
  <c r="RF155" i="5"/>
  <c r="RC155" i="5"/>
  <c r="RI155" i="5"/>
  <c r="RB155" i="5"/>
  <c r="RN155" i="5"/>
  <c r="RG155" i="5"/>
  <c r="RM155" i="5"/>
  <c r="RJ155" i="5"/>
  <c r="QX155" i="5"/>
  <c r="RK155" i="5"/>
  <c r="RQ155" i="5"/>
  <c r="RR155" i="5"/>
  <c r="CQ155" i="5" s="1"/>
  <c r="PJ155" i="5"/>
  <c r="QP155" i="5"/>
  <c r="QM155" i="5"/>
  <c r="QB155" i="5"/>
  <c r="PP155" i="5"/>
  <c r="PN155" i="5"/>
  <c r="PK155" i="5"/>
  <c r="QQ155" i="5"/>
  <c r="QJ155" i="5"/>
  <c r="PX155" i="5"/>
  <c r="PR155" i="5"/>
  <c r="PQ155" i="5"/>
  <c r="PV155" i="5"/>
  <c r="PS155" i="5"/>
  <c r="PY155" i="5"/>
  <c r="PU155" i="5"/>
  <c r="PZ155" i="5"/>
  <c r="PW155" i="5"/>
  <c r="QG155" i="5"/>
  <c r="QC155" i="5"/>
  <c r="PO155" i="5"/>
  <c r="PM155" i="5"/>
  <c r="QD155" i="5"/>
  <c r="QA155" i="5"/>
  <c r="QO155" i="5"/>
  <c r="QK155" i="5"/>
  <c r="QH155" i="5"/>
  <c r="QE155" i="5"/>
  <c r="PL155" i="5"/>
  <c r="QF155" i="5"/>
  <c r="QL155" i="5"/>
  <c r="CO155" i="5" s="1"/>
  <c r="HH155" i="5" s="1"/>
  <c r="QI155" i="5"/>
  <c r="PT155" i="5"/>
  <c r="QN155" i="5"/>
  <c r="DC155" i="5"/>
  <c r="HL155" i="5" s="1"/>
  <c r="CZ155" i="5"/>
  <c r="DX155" i="5"/>
  <c r="HM155" i="5"/>
  <c r="CW155" i="5"/>
  <c r="GP155" i="5"/>
  <c r="GA155" i="5"/>
  <c r="FX155" i="5"/>
  <c r="FI155" i="5"/>
  <c r="FG155" i="5" s="1"/>
  <c r="FC155" i="5"/>
  <c r="EY155" i="5"/>
  <c r="HZ155" i="5"/>
  <c r="EO155" i="5"/>
  <c r="EQ155" i="5" s="1"/>
  <c r="GU155" i="5"/>
  <c r="GV155" i="5" s="1"/>
  <c r="FO155" i="5"/>
  <c r="FR155" i="5"/>
  <c r="DU155" i="5"/>
  <c r="ET155" i="5"/>
  <c r="GG155" i="5"/>
  <c r="GD155" i="5"/>
  <c r="FL155" i="5"/>
  <c r="IH155" i="5"/>
  <c r="II155" i="5" s="1"/>
  <c r="ET131" i="5"/>
  <c r="EY131" i="5"/>
  <c r="GA131" i="5"/>
  <c r="GP131" i="5"/>
  <c r="FR131" i="5"/>
  <c r="GU131" i="5"/>
  <c r="GV131" i="5" s="1"/>
  <c r="FO131" i="5"/>
  <c r="IH131" i="5"/>
  <c r="II131" i="5" s="1"/>
  <c r="IE131" i="5" s="1"/>
  <c r="NX131" i="5" s="1"/>
  <c r="HZ131" i="5"/>
  <c r="FL131" i="5"/>
  <c r="EO131" i="5"/>
  <c r="EQ131" i="5" s="1"/>
  <c r="GG131" i="5"/>
  <c r="QA164" i="5"/>
  <c r="PX164" i="5"/>
  <c r="PY164" i="5"/>
  <c r="QH164" i="5"/>
  <c r="QE164" i="5"/>
  <c r="QB164" i="5"/>
  <c r="QC164" i="5"/>
  <c r="PV164" i="5"/>
  <c r="QI164" i="5"/>
  <c r="QF164" i="5"/>
  <c r="QG164" i="5"/>
  <c r="QL164" i="5"/>
  <c r="QM164" i="5"/>
  <c r="QJ164" i="5"/>
  <c r="QK164" i="5"/>
  <c r="PJ164" i="5"/>
  <c r="PK164" i="5"/>
  <c r="QQ164" i="5"/>
  <c r="QN164" i="5"/>
  <c r="QO164" i="5"/>
  <c r="PZ164" i="5"/>
  <c r="PO164" i="5"/>
  <c r="PL164" i="5"/>
  <c r="PM164" i="5"/>
  <c r="PN164" i="5"/>
  <c r="QP164" i="5"/>
  <c r="PS164" i="5"/>
  <c r="PP164" i="5"/>
  <c r="PQ164" i="5"/>
  <c r="CO164" i="5" s="1"/>
  <c r="HH164" i="5" s="1"/>
  <c r="QD164" i="5"/>
  <c r="PW164" i="5"/>
  <c r="PT164" i="5"/>
  <c r="PU164" i="5"/>
  <c r="PR164" i="5"/>
  <c r="QT164" i="5"/>
  <c r="RF164" i="5"/>
  <c r="RD164" i="5"/>
  <c r="QU164" i="5"/>
  <c r="QZ164" i="5"/>
  <c r="RL164" i="5"/>
  <c r="RI164" i="5"/>
  <c r="QY164" i="5"/>
  <c r="RE164" i="5"/>
  <c r="RQ164" i="5"/>
  <c r="RN164" i="5"/>
  <c r="RC164" i="5"/>
  <c r="RJ164" i="5"/>
  <c r="QW164" i="5"/>
  <c r="CQ164" i="5" s="1"/>
  <c r="QX164" i="5"/>
  <c r="RG164" i="5"/>
  <c r="RP164" i="5"/>
  <c r="RB164" i="5"/>
  <c r="RT164" i="5"/>
  <c r="RK164" i="5"/>
  <c r="RU164" i="5"/>
  <c r="RH164" i="5"/>
  <c r="RO164" i="5"/>
  <c r="QV164" i="5"/>
  <c r="RM164" i="5"/>
  <c r="RS164" i="5"/>
  <c r="RA164" i="5"/>
  <c r="RR164" i="5"/>
  <c r="DC164" i="5"/>
  <c r="HL164" i="5" s="1"/>
  <c r="CZ164" i="5"/>
  <c r="CW164" i="5"/>
  <c r="EY164" i="5"/>
  <c r="FC164" i="5"/>
  <c r="EO164" i="5"/>
  <c r="EQ164" i="5" s="1"/>
  <c r="HZ164" i="5"/>
  <c r="GU164" i="5"/>
  <c r="GV164" i="5" s="1"/>
  <c r="GP164" i="5"/>
  <c r="FX164" i="5"/>
  <c r="FI164" i="5"/>
  <c r="FG164" i="5" s="1"/>
  <c r="FL164" i="5"/>
  <c r="GG164" i="5"/>
  <c r="ET164" i="5"/>
  <c r="GA164" i="5"/>
  <c r="FO164" i="5"/>
  <c r="DU164" i="5"/>
  <c r="GD164" i="5"/>
  <c r="FR164" i="5"/>
  <c r="DX164" i="5"/>
  <c r="HM164" i="5"/>
  <c r="PO90" i="5"/>
  <c r="QK90" i="5"/>
  <c r="PL90" i="5"/>
  <c r="PN90" i="5"/>
  <c r="PQ90" i="5"/>
  <c r="QC90" i="5"/>
  <c r="PV90" i="5"/>
  <c r="PM90" i="5"/>
  <c r="QE90" i="5"/>
  <c r="PU90" i="5"/>
  <c r="QN90" i="5"/>
  <c r="QG90" i="5"/>
  <c r="QO90" i="5"/>
  <c r="QJ90" i="5"/>
  <c r="QB90" i="5"/>
  <c r="PK90" i="5"/>
  <c r="PJ90" i="5"/>
  <c r="PY90" i="5"/>
  <c r="QI90" i="5"/>
  <c r="PS90" i="5"/>
  <c r="PT90" i="5"/>
  <c r="PW90" i="5"/>
  <c r="PZ90" i="5"/>
  <c r="PR90" i="5"/>
  <c r="QL90" i="5"/>
  <c r="CO90" i="5" s="1"/>
  <c r="HH90" i="5" s="1"/>
  <c r="QF90" i="5"/>
  <c r="QP90" i="5"/>
  <c r="QH90" i="5"/>
  <c r="QQ90" i="5"/>
  <c r="QD90" i="5"/>
  <c r="PX90" i="5"/>
  <c r="QA90" i="5"/>
  <c r="PP90" i="5"/>
  <c r="QM90" i="5"/>
  <c r="RC90" i="5"/>
  <c r="RH90" i="5"/>
  <c r="RB90" i="5"/>
  <c r="QX90" i="5"/>
  <c r="RG90" i="5"/>
  <c r="RL90" i="5"/>
  <c r="RJ90" i="5"/>
  <c r="RF90" i="5"/>
  <c r="RK90" i="5"/>
  <c r="RP90" i="5"/>
  <c r="RR90" i="5"/>
  <c r="RO90" i="5"/>
  <c r="RT90" i="5"/>
  <c r="QW90" i="5"/>
  <c r="RS90" i="5"/>
  <c r="RA90" i="5"/>
  <c r="RE90" i="5"/>
  <c r="QV90" i="5"/>
  <c r="RI90" i="5"/>
  <c r="RM90" i="5"/>
  <c r="QU90" i="5"/>
  <c r="QZ90" i="5"/>
  <c r="RQ90" i="5"/>
  <c r="RU90" i="5"/>
  <c r="QY90" i="5"/>
  <c r="RD90" i="5"/>
  <c r="QT90" i="5"/>
  <c r="RN90" i="5"/>
  <c r="DC90" i="5"/>
  <c r="HL90" i="5" s="1"/>
  <c r="CZ90" i="5"/>
  <c r="CW90" i="5"/>
  <c r="DX90" i="5"/>
  <c r="HM90" i="5"/>
  <c r="NT177" i="5"/>
  <c r="NV177" i="5" s="1"/>
  <c r="HZ168" i="5"/>
  <c r="GU168" i="5"/>
  <c r="GV168" i="5" s="1"/>
  <c r="EY168" i="5"/>
  <c r="GP168" i="5"/>
  <c r="FI168" i="5"/>
  <c r="FG168" i="5" s="1"/>
  <c r="FC168" i="5"/>
  <c r="EO168" i="5"/>
  <c r="EQ168" i="5" s="1"/>
  <c r="GA168" i="5"/>
  <c r="FX168" i="5"/>
  <c r="FL168" i="5"/>
  <c r="GG168" i="5"/>
  <c r="GD168" i="5"/>
  <c r="DU168" i="5"/>
  <c r="FR168" i="5"/>
  <c r="FO168" i="5"/>
  <c r="ET168" i="5"/>
  <c r="QT168" i="5"/>
  <c r="QY168" i="5"/>
  <c r="RH168" i="5"/>
  <c r="QW168" i="5"/>
  <c r="QX168" i="5"/>
  <c r="RC168" i="5"/>
  <c r="QV168" i="5"/>
  <c r="RA168" i="5"/>
  <c r="RB168" i="5"/>
  <c r="RG168" i="5"/>
  <c r="RL168" i="5"/>
  <c r="RE168" i="5"/>
  <c r="RF168" i="5"/>
  <c r="RK168" i="5"/>
  <c r="RP168" i="5"/>
  <c r="RI168" i="5"/>
  <c r="RJ168" i="5"/>
  <c r="RO168" i="5"/>
  <c r="QZ168" i="5"/>
  <c r="RM168" i="5"/>
  <c r="RN168" i="5"/>
  <c r="RS168" i="5"/>
  <c r="RQ168" i="5"/>
  <c r="CQ168" i="5" s="1"/>
  <c r="RR168" i="5"/>
  <c r="RD168" i="5"/>
  <c r="RU168" i="5"/>
  <c r="QU168" i="5"/>
  <c r="RT168" i="5"/>
  <c r="PW168" i="5"/>
  <c r="PT168" i="5"/>
  <c r="QG168" i="5"/>
  <c r="PU168" i="5"/>
  <c r="QE168" i="5"/>
  <c r="QK168" i="5"/>
  <c r="CO168" i="5" s="1"/>
  <c r="HH168" i="5" s="1"/>
  <c r="QA168" i="5"/>
  <c r="PX168" i="5"/>
  <c r="QO168" i="5"/>
  <c r="QC168" i="5"/>
  <c r="QM168" i="5"/>
  <c r="QJ168" i="5"/>
  <c r="PZ168" i="5"/>
  <c r="PV168" i="5"/>
  <c r="QB168" i="5"/>
  <c r="PK168" i="5"/>
  <c r="QQ168" i="5"/>
  <c r="QN168" i="5"/>
  <c r="QH168" i="5"/>
  <c r="QD168" i="5"/>
  <c r="PO168" i="5"/>
  <c r="PL168" i="5"/>
  <c r="PQ168" i="5"/>
  <c r="QP168" i="5"/>
  <c r="QL168" i="5"/>
  <c r="PJ168" i="5"/>
  <c r="QI168" i="5"/>
  <c r="PR168" i="5"/>
  <c r="PN168" i="5"/>
  <c r="PS168" i="5"/>
  <c r="PP168" i="5"/>
  <c r="PY168" i="5"/>
  <c r="PM168" i="5"/>
  <c r="QF168" i="5"/>
  <c r="CZ168" i="5"/>
  <c r="CW168" i="5"/>
  <c r="DX168" i="5"/>
  <c r="HM168" i="5"/>
  <c r="ND177" i="5"/>
  <c r="QM177" i="5"/>
  <c r="QP177" i="5"/>
  <c r="PR177" i="5"/>
  <c r="CO177" i="5" s="1"/>
  <c r="HH177" i="5" s="1"/>
  <c r="QD177" i="5"/>
  <c r="PK177" i="5"/>
  <c r="QQ177" i="5"/>
  <c r="PL177" i="5"/>
  <c r="PX177" i="5"/>
  <c r="QJ177" i="5"/>
  <c r="PO177" i="5"/>
  <c r="PJ177" i="5"/>
  <c r="PQ177" i="5"/>
  <c r="QC177" i="5"/>
  <c r="QO177" i="5"/>
  <c r="PS177" i="5"/>
  <c r="PP177" i="5"/>
  <c r="PV177" i="5"/>
  <c r="QH177" i="5"/>
  <c r="PW177" i="5"/>
  <c r="PU177" i="5"/>
  <c r="QB177" i="5"/>
  <c r="QN177" i="5"/>
  <c r="QA177" i="5"/>
  <c r="PZ177" i="5"/>
  <c r="QG177" i="5"/>
  <c r="PN177" i="5"/>
  <c r="QE177" i="5"/>
  <c r="QF177" i="5"/>
  <c r="QL177" i="5"/>
  <c r="PT177" i="5"/>
  <c r="QI177" i="5"/>
  <c r="QK177" i="5"/>
  <c r="PM177" i="5"/>
  <c r="PY177" i="5"/>
  <c r="RI177" i="5"/>
  <c r="RJ177" i="5"/>
  <c r="RK177" i="5"/>
  <c r="RO177" i="5"/>
  <c r="RM177" i="5"/>
  <c r="RN177" i="5"/>
  <c r="RS177" i="5"/>
  <c r="RQ177" i="5"/>
  <c r="RR177" i="5"/>
  <c r="QV177" i="5"/>
  <c r="RU177" i="5"/>
  <c r="QZ177" i="5"/>
  <c r="RD177" i="5"/>
  <c r="QT177" i="5"/>
  <c r="RH177" i="5"/>
  <c r="RL177" i="5"/>
  <c r="QW177" i="5"/>
  <c r="QX177" i="5"/>
  <c r="RP177" i="5"/>
  <c r="RT177" i="5"/>
  <c r="RA177" i="5"/>
  <c r="RB177" i="5"/>
  <c r="QU177" i="5"/>
  <c r="QY177" i="5"/>
  <c r="RE177" i="5"/>
  <c r="RF177" i="5"/>
  <c r="RC177" i="5"/>
  <c r="RG177" i="5"/>
  <c r="DC177" i="5"/>
  <c r="HL177" i="5" s="1"/>
  <c r="CZ177" i="5"/>
  <c r="CW177" i="5"/>
  <c r="HM177" i="5"/>
  <c r="DX177" i="5"/>
  <c r="CZ130" i="5"/>
  <c r="DX146" i="5"/>
  <c r="HM146" i="5"/>
  <c r="QU146" i="5"/>
  <c r="QZ146" i="5"/>
  <c r="RE146" i="5"/>
  <c r="RR146" i="5"/>
  <c r="QY146" i="5"/>
  <c r="RD146" i="5"/>
  <c r="RI146" i="5"/>
  <c r="RF146" i="5"/>
  <c r="RC146" i="5"/>
  <c r="RH146" i="5"/>
  <c r="RM146" i="5"/>
  <c r="QT146" i="5"/>
  <c r="RG146" i="5"/>
  <c r="RL146" i="5"/>
  <c r="RQ146" i="5"/>
  <c r="RJ146" i="5"/>
  <c r="RK146" i="5"/>
  <c r="RP146" i="5"/>
  <c r="RU146" i="5"/>
  <c r="RO146" i="5"/>
  <c r="RT146" i="5"/>
  <c r="QX146" i="5"/>
  <c r="RS146" i="5"/>
  <c r="CQ146" i="5" s="1"/>
  <c r="QW146" i="5"/>
  <c r="RN146" i="5"/>
  <c r="QV146" i="5"/>
  <c r="RA146" i="5"/>
  <c r="RB146" i="5"/>
  <c r="PL146" i="5"/>
  <c r="PM146" i="5"/>
  <c r="PK146" i="5"/>
  <c r="QL146" i="5"/>
  <c r="PJ146" i="5"/>
  <c r="PU146" i="5"/>
  <c r="PP146" i="5"/>
  <c r="PQ146" i="5"/>
  <c r="PS146" i="5"/>
  <c r="PO146" i="5"/>
  <c r="QP146" i="5"/>
  <c r="PT146" i="5"/>
  <c r="QA146" i="5"/>
  <c r="PW146" i="5"/>
  <c r="PX146" i="5"/>
  <c r="PY146" i="5"/>
  <c r="QI146" i="5"/>
  <c r="QE146" i="5"/>
  <c r="QB146" i="5"/>
  <c r="QC146" i="5"/>
  <c r="QQ146" i="5"/>
  <c r="QM146" i="5"/>
  <c r="CO146" i="5" s="1"/>
  <c r="HH146" i="5" s="1"/>
  <c r="QF146" i="5"/>
  <c r="QG146" i="5"/>
  <c r="PN146" i="5"/>
  <c r="PR146" i="5"/>
  <c r="QJ146" i="5"/>
  <c r="QK146" i="5"/>
  <c r="PV146" i="5"/>
  <c r="PZ146" i="5"/>
  <c r="QN146" i="5"/>
  <c r="QO146" i="5"/>
  <c r="QD146" i="5"/>
  <c r="QH146" i="5"/>
  <c r="DC146" i="5"/>
  <c r="HL146" i="5" s="1"/>
  <c r="CZ146" i="5"/>
  <c r="CW149" i="5"/>
  <c r="ET207" i="5"/>
  <c r="IH130" i="5"/>
  <c r="II130" i="5" s="1"/>
  <c r="IH207" i="5"/>
  <c r="II207" i="5" s="1"/>
  <c r="FX207" i="5"/>
  <c r="GP207" i="5"/>
  <c r="FC207" i="5"/>
  <c r="EY207" i="5"/>
  <c r="HZ207" i="5"/>
  <c r="GU207" i="5"/>
  <c r="GV207" i="5" s="1"/>
  <c r="FI207" i="5"/>
  <c r="FG207" i="5" s="1"/>
  <c r="HJ207" i="5" s="1"/>
  <c r="EO207" i="5"/>
  <c r="EQ207" i="5" s="1"/>
  <c r="GA207" i="5"/>
  <c r="FO207" i="5"/>
  <c r="DU207" i="5"/>
  <c r="GG207" i="5"/>
  <c r="FR207" i="5"/>
  <c r="FL207" i="5"/>
  <c r="HM207" i="5"/>
  <c r="DC207" i="5"/>
  <c r="HL207" i="5" s="1"/>
  <c r="CW207" i="5"/>
  <c r="RE207" i="5"/>
  <c r="CQ207" i="5"/>
  <c r="PZ207" i="5"/>
  <c r="PS207" i="5"/>
  <c r="IH203" i="5"/>
  <c r="II203" i="5" s="1"/>
  <c r="GA12" i="5"/>
  <c r="FR12" i="5"/>
  <c r="FO12" i="5"/>
  <c r="FL12" i="5"/>
  <c r="GG12" i="5"/>
  <c r="GD12" i="5"/>
  <c r="ET12" i="5"/>
  <c r="CW107" i="5"/>
  <c r="CZ107" i="5"/>
  <c r="NT233" i="5"/>
  <c r="NV233" i="5" s="1"/>
  <c r="EY203" i="5"/>
  <c r="NS233" i="5"/>
  <c r="NU233" i="5" s="1"/>
  <c r="HJ233" i="5"/>
  <c r="QB233" i="5"/>
  <c r="QC233" i="5"/>
  <c r="PZ233" i="5"/>
  <c r="PW233" i="5"/>
  <c r="QF233" i="5"/>
  <c r="CO233" i="5" s="1"/>
  <c r="HH233" i="5" s="1"/>
  <c r="QG233" i="5"/>
  <c r="QD233" i="5"/>
  <c r="QA233" i="5"/>
  <c r="QK233" i="5"/>
  <c r="QN233" i="5"/>
  <c r="QO233" i="5"/>
  <c r="QL233" i="5"/>
  <c r="QI233" i="5"/>
  <c r="PL233" i="5"/>
  <c r="PM233" i="5"/>
  <c r="PJ233" i="5"/>
  <c r="QP233" i="5"/>
  <c r="QM233" i="5"/>
  <c r="QE233" i="5"/>
  <c r="PP233" i="5"/>
  <c r="PQ233" i="5"/>
  <c r="PN233" i="5"/>
  <c r="PK233" i="5"/>
  <c r="QQ233" i="5"/>
  <c r="PT233" i="5"/>
  <c r="PU233" i="5"/>
  <c r="PR233" i="5"/>
  <c r="PO233" i="5"/>
  <c r="QJ233" i="5"/>
  <c r="PX233" i="5"/>
  <c r="PY233" i="5"/>
  <c r="PV233" i="5"/>
  <c r="PS233" i="5"/>
  <c r="QH233" i="5"/>
  <c r="RJ233" i="5"/>
  <c r="RO233" i="5"/>
  <c r="RT233" i="5"/>
  <c r="RN233" i="5"/>
  <c r="RS233" i="5"/>
  <c r="RE233" i="5"/>
  <c r="RR233" i="5"/>
  <c r="QV233" i="5"/>
  <c r="RU233" i="5"/>
  <c r="QU233" i="5"/>
  <c r="QZ233" i="5"/>
  <c r="RI233" i="5"/>
  <c r="QT233" i="5"/>
  <c r="QY233" i="5"/>
  <c r="RD233" i="5"/>
  <c r="QW233" i="5"/>
  <c r="QX233" i="5"/>
  <c r="RC233" i="5"/>
  <c r="RH233" i="5"/>
  <c r="RM233" i="5"/>
  <c r="RB233" i="5"/>
  <c r="RG233" i="5"/>
  <c r="RL233" i="5"/>
  <c r="CQ233" i="5" s="1"/>
  <c r="RA233" i="5"/>
  <c r="RF233" i="5"/>
  <c r="RK233" i="5"/>
  <c r="RP233" i="5"/>
  <c r="RQ233" i="5"/>
  <c r="CZ233" i="5"/>
  <c r="CW233" i="5"/>
  <c r="HM233" i="5"/>
  <c r="DX233" i="5"/>
  <c r="GP12" i="5"/>
  <c r="ND232" i="5"/>
  <c r="HJ232" i="5"/>
  <c r="DX232" i="5"/>
  <c r="HM232" i="5"/>
  <c r="NS232" i="5"/>
  <c r="NU232" i="5" s="1"/>
  <c r="PR232" i="5"/>
  <c r="PO232" i="5"/>
  <c r="PL232" i="5"/>
  <c r="PM232" i="5"/>
  <c r="PV232" i="5"/>
  <c r="PS232" i="5"/>
  <c r="PP232" i="5"/>
  <c r="PQ232" i="5"/>
  <c r="PZ232" i="5"/>
  <c r="PW232" i="5"/>
  <c r="PT232" i="5"/>
  <c r="PU232" i="5"/>
  <c r="QD232" i="5"/>
  <c r="QA232" i="5"/>
  <c r="PX232" i="5"/>
  <c r="PY232" i="5"/>
  <c r="QH232" i="5"/>
  <c r="QE232" i="5"/>
  <c r="QB232" i="5"/>
  <c r="QC232" i="5"/>
  <c r="QL232" i="5"/>
  <c r="QI232" i="5"/>
  <c r="QF232" i="5"/>
  <c r="QG232" i="5"/>
  <c r="PJ232" i="5"/>
  <c r="QP232" i="5"/>
  <c r="QM232" i="5"/>
  <c r="QJ232" i="5"/>
  <c r="QK232" i="5"/>
  <c r="PN232" i="5"/>
  <c r="PK232" i="5"/>
  <c r="QQ232" i="5"/>
  <c r="QN232" i="5"/>
  <c r="QO232" i="5"/>
  <c r="QT232" i="5"/>
  <c r="QY232" i="5"/>
  <c r="RD232" i="5"/>
  <c r="RU232" i="5"/>
  <c r="QX232" i="5"/>
  <c r="CQ232" i="5" s="1"/>
  <c r="RC232" i="5"/>
  <c r="RH232" i="5"/>
  <c r="RI232" i="5"/>
  <c r="RB232" i="5"/>
  <c r="RG232" i="5"/>
  <c r="RL232" i="5"/>
  <c r="QW232" i="5"/>
  <c r="RF232" i="5"/>
  <c r="RK232" i="5"/>
  <c r="RP232" i="5"/>
  <c r="RM232" i="5"/>
  <c r="RJ232" i="5"/>
  <c r="RO232" i="5"/>
  <c r="RT232" i="5"/>
  <c r="RN232" i="5"/>
  <c r="RS232" i="5"/>
  <c r="RA232" i="5"/>
  <c r="RR232" i="5"/>
  <c r="QV232" i="5"/>
  <c r="RQ232" i="5"/>
  <c r="QU232" i="5"/>
  <c r="QZ232" i="5"/>
  <c r="RE232" i="5"/>
  <c r="CZ232" i="5"/>
  <c r="CW232" i="5"/>
  <c r="NT232" i="5"/>
  <c r="NV232" i="5" s="1"/>
  <c r="QW170" i="5"/>
  <c r="QX170" i="5"/>
  <c r="RC170" i="5"/>
  <c r="RP170" i="5"/>
  <c r="RA170" i="5"/>
  <c r="RB170" i="5"/>
  <c r="RG170" i="5"/>
  <c r="RD170" i="5"/>
  <c r="RE170" i="5"/>
  <c r="RF170" i="5"/>
  <c r="RK170" i="5"/>
  <c r="RT170" i="5"/>
  <c r="RI170" i="5"/>
  <c r="RJ170" i="5"/>
  <c r="RO170" i="5"/>
  <c r="RH170" i="5"/>
  <c r="RM170" i="5"/>
  <c r="RN170" i="5"/>
  <c r="RS170" i="5"/>
  <c r="RQ170" i="5"/>
  <c r="RR170" i="5"/>
  <c r="QV170" i="5"/>
  <c r="RU170" i="5"/>
  <c r="QU170" i="5"/>
  <c r="RL170" i="5"/>
  <c r="QT170" i="5"/>
  <c r="QY170" i="5"/>
  <c r="QZ170" i="5"/>
  <c r="QI170" i="5"/>
  <c r="QF170" i="5"/>
  <c r="PV170" i="5"/>
  <c r="PR170" i="5"/>
  <c r="PK170" i="5"/>
  <c r="QN170" i="5"/>
  <c r="QH170" i="5"/>
  <c r="QB170" i="5"/>
  <c r="PN170" i="5"/>
  <c r="QM170" i="5"/>
  <c r="QJ170" i="5"/>
  <c r="QD170" i="5"/>
  <c r="PZ170" i="5"/>
  <c r="QE170" i="5"/>
  <c r="PJ170" i="5"/>
  <c r="QQ170" i="5"/>
  <c r="QL170" i="5"/>
  <c r="PO170" i="5"/>
  <c r="PL170" i="5"/>
  <c r="PM170" i="5"/>
  <c r="PQ170" i="5"/>
  <c r="QP170" i="5"/>
  <c r="PS170" i="5"/>
  <c r="PP170" i="5"/>
  <c r="PU170" i="5"/>
  <c r="PY170" i="5"/>
  <c r="PW170" i="5"/>
  <c r="PT170" i="5"/>
  <c r="QC170" i="5"/>
  <c r="QG170" i="5"/>
  <c r="QA170" i="5"/>
  <c r="PX170" i="5"/>
  <c r="QK170" i="5"/>
  <c r="QO170" i="5"/>
  <c r="CZ170" i="5"/>
  <c r="CW170" i="5"/>
  <c r="FC170" i="5"/>
  <c r="GP170" i="5"/>
  <c r="GU170" i="5"/>
  <c r="GV170" i="5" s="1"/>
  <c r="EO170" i="5"/>
  <c r="EQ170" i="5" s="1"/>
  <c r="FX170" i="5"/>
  <c r="FI170" i="5"/>
  <c r="FG170" i="5" s="1"/>
  <c r="EY170" i="5"/>
  <c r="HZ170" i="5"/>
  <c r="GG170" i="5"/>
  <c r="FR170" i="5"/>
  <c r="ET170" i="5"/>
  <c r="GD170" i="5"/>
  <c r="GA170" i="5"/>
  <c r="DU170" i="5"/>
  <c r="FO170" i="5"/>
  <c r="FL170" i="5"/>
  <c r="HM170" i="5"/>
  <c r="DX170" i="5"/>
  <c r="FC169" i="5"/>
  <c r="CJ185" i="5"/>
  <c r="GP169" i="5"/>
  <c r="GD169" i="5"/>
  <c r="GU169" i="5"/>
  <c r="GV169" i="5" s="1"/>
  <c r="ET169" i="5"/>
  <c r="GA169" i="5"/>
  <c r="FO169" i="5"/>
  <c r="GG169" i="5"/>
  <c r="EY169" i="5"/>
  <c r="FR169" i="5"/>
  <c r="HZ169" i="5"/>
  <c r="FI169" i="5"/>
  <c r="FG169" i="5" s="1"/>
  <c r="FL169" i="5"/>
  <c r="EO169" i="5"/>
  <c r="EQ169" i="5" s="1"/>
  <c r="IH169" i="5"/>
  <c r="II169" i="5" s="1"/>
  <c r="DU169" i="5"/>
  <c r="EO12" i="5"/>
  <c r="EQ12" i="5" s="1"/>
  <c r="FC12" i="5"/>
  <c r="FI12" i="5"/>
  <c r="FG12" i="5" s="1"/>
  <c r="HJ12" i="5" s="1"/>
  <c r="QC169" i="5"/>
  <c r="PZ169" i="5"/>
  <c r="QM169" i="5"/>
  <c r="QI169" i="5"/>
  <c r="QG169" i="5"/>
  <c r="QD169" i="5"/>
  <c r="PP169" i="5"/>
  <c r="QQ169" i="5"/>
  <c r="QH169" i="5"/>
  <c r="PT169" i="5"/>
  <c r="PM169" i="5"/>
  <c r="PJ169" i="5"/>
  <c r="QP169" i="5"/>
  <c r="QN169" i="5"/>
  <c r="QB169" i="5"/>
  <c r="QK169" i="5"/>
  <c r="PX169" i="5"/>
  <c r="PQ169" i="5"/>
  <c r="PN169" i="5"/>
  <c r="PO169" i="5"/>
  <c r="PK169" i="5"/>
  <c r="QJ169" i="5"/>
  <c r="PU169" i="5"/>
  <c r="PR169" i="5"/>
  <c r="PW169" i="5"/>
  <c r="PS169" i="5"/>
  <c r="CO169" i="5" s="1"/>
  <c r="HH169" i="5" s="1"/>
  <c r="PL169" i="5"/>
  <c r="PY169" i="5"/>
  <c r="PV169" i="5"/>
  <c r="QE169" i="5"/>
  <c r="QA169" i="5"/>
  <c r="QO169" i="5"/>
  <c r="QL169" i="5"/>
  <c r="QF169" i="5"/>
  <c r="QW169" i="5"/>
  <c r="QX169" i="5"/>
  <c r="RC169" i="5"/>
  <c r="QZ169" i="5"/>
  <c r="RA169" i="5"/>
  <c r="RB169" i="5"/>
  <c r="RG169" i="5"/>
  <c r="RP169" i="5"/>
  <c r="RE169" i="5"/>
  <c r="RF169" i="5"/>
  <c r="RK169" i="5"/>
  <c r="RD169" i="5"/>
  <c r="RI169" i="5"/>
  <c r="RJ169" i="5"/>
  <c r="RO169" i="5"/>
  <c r="RT169" i="5"/>
  <c r="RM169" i="5"/>
  <c r="RN169" i="5"/>
  <c r="RS169" i="5"/>
  <c r="RQ169" i="5"/>
  <c r="RR169" i="5"/>
  <c r="RH169" i="5"/>
  <c r="RU169" i="5"/>
  <c r="QU169" i="5"/>
  <c r="QV169" i="5"/>
  <c r="QT169" i="5"/>
  <c r="QY169" i="5"/>
  <c r="CQ169" i="5" s="1"/>
  <c r="RL169" i="5"/>
  <c r="DC169" i="5"/>
  <c r="HL169" i="5" s="1"/>
  <c r="CZ169" i="5"/>
  <c r="CW169" i="5"/>
  <c r="DX169" i="5"/>
  <c r="HM169" i="5"/>
  <c r="NS210" i="5"/>
  <c r="NU210" i="5" s="1"/>
  <c r="HJ211" i="5"/>
  <c r="NT210" i="5"/>
  <c r="NV210" i="5" s="1"/>
  <c r="FR203" i="5"/>
  <c r="GD203" i="5"/>
  <c r="GP203" i="5"/>
  <c r="FC203" i="5"/>
  <c r="EO203" i="5"/>
  <c r="EQ203" i="5" s="1"/>
  <c r="FX203" i="5"/>
  <c r="HZ203" i="5"/>
  <c r="QI185" i="5"/>
  <c r="QK185" i="5"/>
  <c r="PM185" i="5"/>
  <c r="PY185" i="5"/>
  <c r="QM185" i="5"/>
  <c r="QP185" i="5"/>
  <c r="PR185" i="5"/>
  <c r="QD185" i="5"/>
  <c r="PK185" i="5"/>
  <c r="QQ185" i="5"/>
  <c r="PL185" i="5"/>
  <c r="PX185" i="5"/>
  <c r="QJ185" i="5"/>
  <c r="PO185" i="5"/>
  <c r="PJ185" i="5"/>
  <c r="PQ185" i="5"/>
  <c r="QC185" i="5"/>
  <c r="QO185" i="5"/>
  <c r="PS185" i="5"/>
  <c r="PP185" i="5"/>
  <c r="PV185" i="5"/>
  <c r="QH185" i="5"/>
  <c r="PW185" i="5"/>
  <c r="PU185" i="5"/>
  <c r="QB185" i="5"/>
  <c r="QN185" i="5"/>
  <c r="QA185" i="5"/>
  <c r="PZ185" i="5"/>
  <c r="QG185" i="5"/>
  <c r="PN185" i="5"/>
  <c r="QE185" i="5"/>
  <c r="QF185" i="5"/>
  <c r="QL185" i="5"/>
  <c r="PT185" i="5"/>
  <c r="RE185" i="5"/>
  <c r="RF185" i="5"/>
  <c r="RC185" i="5"/>
  <c r="RG185" i="5"/>
  <c r="RI185" i="5"/>
  <c r="RJ185" i="5"/>
  <c r="RK185" i="5"/>
  <c r="RO185" i="5"/>
  <c r="RM185" i="5"/>
  <c r="RN185" i="5"/>
  <c r="RS185" i="5"/>
  <c r="RQ185" i="5"/>
  <c r="RR185" i="5"/>
  <c r="QV185" i="5"/>
  <c r="RU185" i="5"/>
  <c r="QZ185" i="5"/>
  <c r="RD185" i="5"/>
  <c r="QT185" i="5"/>
  <c r="RH185" i="5"/>
  <c r="RL185" i="5"/>
  <c r="QW185" i="5"/>
  <c r="QX185" i="5"/>
  <c r="RP185" i="5"/>
  <c r="RT185" i="5"/>
  <c r="RA185" i="5"/>
  <c r="RB185" i="5"/>
  <c r="QU185" i="5"/>
  <c r="QY185" i="5"/>
  <c r="DC185" i="5"/>
  <c r="HL185" i="5" s="1"/>
  <c r="CZ185" i="5"/>
  <c r="DX185" i="5"/>
  <c r="HM185" i="5"/>
  <c r="ET203" i="5"/>
  <c r="GU185" i="5"/>
  <c r="GV185" i="5" s="1"/>
  <c r="GP185" i="5"/>
  <c r="FX185" i="5"/>
  <c r="FI185" i="5"/>
  <c r="FG185" i="5" s="1"/>
  <c r="EY185" i="5"/>
  <c r="FC185" i="5"/>
  <c r="EO185" i="5"/>
  <c r="EQ185" i="5" s="1"/>
  <c r="HZ185" i="5"/>
  <c r="GA185" i="5"/>
  <c r="FO185" i="5"/>
  <c r="GD185" i="5"/>
  <c r="DU185" i="5"/>
  <c r="FR185" i="5"/>
  <c r="ET185" i="5"/>
  <c r="FL185" i="5"/>
  <c r="GG185" i="5"/>
  <c r="CW185" i="5"/>
  <c r="NT211" i="5"/>
  <c r="NV211" i="5" s="1"/>
  <c r="GU203" i="5"/>
  <c r="GV203" i="5" s="1"/>
  <c r="NS211" i="5"/>
  <c r="NU211" i="5" s="1"/>
  <c r="GG203" i="5"/>
  <c r="QA211" i="5"/>
  <c r="PX211" i="5"/>
  <c r="PY211" i="5"/>
  <c r="PV211" i="5"/>
  <c r="QD211" i="5"/>
  <c r="QE211" i="5"/>
  <c r="QB211" i="5"/>
  <c r="QC211" i="5"/>
  <c r="PZ211" i="5"/>
  <c r="QI211" i="5"/>
  <c r="QM211" i="5"/>
  <c r="QJ211" i="5"/>
  <c r="QK211" i="5"/>
  <c r="QH211" i="5"/>
  <c r="PK211" i="5"/>
  <c r="QQ211" i="5"/>
  <c r="QN211" i="5"/>
  <c r="QO211" i="5"/>
  <c r="QL211" i="5"/>
  <c r="QG211" i="5"/>
  <c r="PO211" i="5"/>
  <c r="PL211" i="5"/>
  <c r="PM211" i="5"/>
  <c r="PJ211" i="5"/>
  <c r="QP211" i="5"/>
  <c r="PS211" i="5"/>
  <c r="PP211" i="5"/>
  <c r="PQ211" i="5"/>
  <c r="PN211" i="5"/>
  <c r="PW211" i="5"/>
  <c r="PT211" i="5"/>
  <c r="PU211" i="5"/>
  <c r="PR211" i="5"/>
  <c r="QF211" i="5"/>
  <c r="RD211" i="5"/>
  <c r="RI211" i="5"/>
  <c r="RJ211" i="5"/>
  <c r="RS211" i="5"/>
  <c r="RH211" i="5"/>
  <c r="RM211" i="5"/>
  <c r="RN211" i="5"/>
  <c r="RG211" i="5"/>
  <c r="RL211" i="5"/>
  <c r="RQ211" i="5"/>
  <c r="RR211" i="5"/>
  <c r="RP211" i="5"/>
  <c r="RU211" i="5"/>
  <c r="QU211" i="5"/>
  <c r="RT211" i="5"/>
  <c r="QT211" i="5"/>
  <c r="RK211" i="5"/>
  <c r="QW211" i="5"/>
  <c r="QX211" i="5"/>
  <c r="QY211" i="5"/>
  <c r="QV211" i="5"/>
  <c r="RA211" i="5"/>
  <c r="RB211" i="5"/>
  <c r="RO211" i="5"/>
  <c r="QZ211" i="5"/>
  <c r="RE211" i="5"/>
  <c r="RF211" i="5"/>
  <c r="RC211" i="5"/>
  <c r="CZ211" i="5"/>
  <c r="CW211" i="5"/>
  <c r="DX211" i="5"/>
  <c r="HM211" i="5"/>
  <c r="GA203" i="5"/>
  <c r="FI203" i="5"/>
  <c r="FG203" i="5" s="1"/>
  <c r="HJ203" i="5" s="1"/>
  <c r="DU203" i="5"/>
  <c r="FO203" i="5"/>
  <c r="PW207" i="5"/>
  <c r="QQ207" i="5"/>
  <c r="PL207" i="5"/>
  <c r="QP207" i="5"/>
  <c r="ND210" i="5"/>
  <c r="QM207" i="5"/>
  <c r="CZ149" i="5"/>
  <c r="QI207" i="5"/>
  <c r="QK207" i="5"/>
  <c r="PX207" i="5"/>
  <c r="QE207" i="5"/>
  <c r="PK207" i="5"/>
  <c r="PP207" i="5"/>
  <c r="QV207" i="5"/>
  <c r="RK207" i="5"/>
  <c r="RP207" i="5"/>
  <c r="QW210" i="5"/>
  <c r="QX210" i="5"/>
  <c r="RK210" i="5"/>
  <c r="QV210" i="5"/>
  <c r="RA210" i="5"/>
  <c r="RB210" i="5"/>
  <c r="QY210" i="5"/>
  <c r="QZ210" i="5"/>
  <c r="RE210" i="5"/>
  <c r="CQ210" i="5" s="1"/>
  <c r="RF210" i="5"/>
  <c r="RO210" i="5"/>
  <c r="RD210" i="5"/>
  <c r="RI210" i="5"/>
  <c r="RJ210" i="5"/>
  <c r="RC210" i="5"/>
  <c r="RH210" i="5"/>
  <c r="RM210" i="5"/>
  <c r="RN210" i="5"/>
  <c r="RS210" i="5"/>
  <c r="RL210" i="5"/>
  <c r="RQ210" i="5"/>
  <c r="RR210" i="5"/>
  <c r="RP210" i="5"/>
  <c r="RU210" i="5"/>
  <c r="RG210" i="5"/>
  <c r="RT210" i="5"/>
  <c r="QT210" i="5"/>
  <c r="QU210" i="5"/>
  <c r="PQ210" i="5"/>
  <c r="PN210" i="5"/>
  <c r="PK210" i="5"/>
  <c r="QQ210" i="5"/>
  <c r="QN210" i="5"/>
  <c r="PU210" i="5"/>
  <c r="PR210" i="5"/>
  <c r="PO210" i="5"/>
  <c r="PL210" i="5"/>
  <c r="PZ210" i="5"/>
  <c r="PV210" i="5"/>
  <c r="PW210" i="5"/>
  <c r="QG210" i="5"/>
  <c r="QD210" i="5"/>
  <c r="QA210" i="5"/>
  <c r="PX210" i="5"/>
  <c r="QK210" i="5"/>
  <c r="QH210" i="5"/>
  <c r="QE210" i="5"/>
  <c r="QB210" i="5"/>
  <c r="QC210" i="5"/>
  <c r="QO210" i="5"/>
  <c r="QL210" i="5"/>
  <c r="QI210" i="5"/>
  <c r="QF210" i="5"/>
  <c r="PP210" i="5"/>
  <c r="PT210" i="5"/>
  <c r="PM210" i="5"/>
  <c r="PJ210" i="5"/>
  <c r="QP210" i="5"/>
  <c r="QM210" i="5"/>
  <c r="QJ210" i="5"/>
  <c r="PY210" i="5"/>
  <c r="CO210" i="5" s="1"/>
  <c r="HH210" i="5" s="1"/>
  <c r="PS210" i="5"/>
  <c r="CZ210" i="5"/>
  <c r="CW210" i="5"/>
  <c r="DX210" i="5"/>
  <c r="HM210" i="5"/>
  <c r="QL207" i="5"/>
  <c r="PV207" i="5"/>
  <c r="PQ207" i="5"/>
  <c r="PT207" i="5"/>
  <c r="PR207" i="5"/>
  <c r="PM207" i="5"/>
  <c r="QA207" i="5"/>
  <c r="PU207" i="5"/>
  <c r="QF207" i="5"/>
  <c r="QD207" i="5"/>
  <c r="PN207" i="5"/>
  <c r="QB207" i="5"/>
  <c r="QC207" i="5"/>
  <c r="RC207" i="5"/>
  <c r="RU207" i="5"/>
  <c r="RH207" i="5"/>
  <c r="RA207" i="5"/>
  <c r="RJ207" i="5"/>
  <c r="RG207" i="5"/>
  <c r="QY207" i="5"/>
  <c r="RL207" i="5"/>
  <c r="QX207" i="5"/>
  <c r="RO207" i="5"/>
  <c r="QU207" i="5"/>
  <c r="RD207" i="5"/>
  <c r="QT207" i="5"/>
  <c r="RS207" i="5"/>
  <c r="RR207" i="5"/>
  <c r="QZ207" i="5"/>
  <c r="PO207" i="5"/>
  <c r="QJ207" i="5"/>
  <c r="QO207" i="5"/>
  <c r="QG207" i="5"/>
  <c r="PY207" i="5"/>
  <c r="QW207" i="5"/>
  <c r="RQ207" i="5"/>
  <c r="RI207" i="5"/>
  <c r="QN207" i="5"/>
  <c r="PJ207" i="5"/>
  <c r="CO207" i="5" s="1"/>
  <c r="HH207" i="5" s="1"/>
  <c r="QH207" i="5"/>
  <c r="RB207" i="5"/>
  <c r="RT207" i="5"/>
  <c r="RN207" i="5"/>
  <c r="RF207" i="5"/>
  <c r="RM207" i="5"/>
  <c r="PQ209" i="5"/>
  <c r="PN209" i="5"/>
  <c r="PK209" i="5"/>
  <c r="QQ209" i="5"/>
  <c r="QN209" i="5"/>
  <c r="PU209" i="5"/>
  <c r="PR209" i="5"/>
  <c r="PO209" i="5"/>
  <c r="PL209" i="5"/>
  <c r="PY209" i="5"/>
  <c r="PV209" i="5"/>
  <c r="PS209" i="5"/>
  <c r="PP209" i="5"/>
  <c r="QC209" i="5"/>
  <c r="PZ209" i="5"/>
  <c r="PW209" i="5"/>
  <c r="PT209" i="5"/>
  <c r="QG209" i="5"/>
  <c r="QD209" i="5"/>
  <c r="QA209" i="5"/>
  <c r="PX209" i="5"/>
  <c r="QK209" i="5"/>
  <c r="QH209" i="5"/>
  <c r="QE209" i="5"/>
  <c r="QB209" i="5"/>
  <c r="QO209" i="5"/>
  <c r="QL209" i="5"/>
  <c r="QI209" i="5"/>
  <c r="QF209" i="5"/>
  <c r="PM209" i="5"/>
  <c r="PJ209" i="5"/>
  <c r="QP209" i="5"/>
  <c r="QM209" i="5"/>
  <c r="QJ209" i="5"/>
  <c r="NS209" i="5"/>
  <c r="NU209" i="5" s="1"/>
  <c r="QZ209" i="5"/>
  <c r="RE209" i="5"/>
  <c r="RF209" i="5"/>
  <c r="RG209" i="5"/>
  <c r="RD209" i="5"/>
  <c r="RI209" i="5"/>
  <c r="RJ209" i="5"/>
  <c r="QU209" i="5"/>
  <c r="RH209" i="5"/>
  <c r="RM209" i="5"/>
  <c r="RN209" i="5"/>
  <c r="RK209" i="5"/>
  <c r="RL209" i="5"/>
  <c r="RQ209" i="5"/>
  <c r="RR209" i="5"/>
  <c r="RP209" i="5"/>
  <c r="RU209" i="5"/>
  <c r="QY209" i="5"/>
  <c r="RT209" i="5"/>
  <c r="QT209" i="5"/>
  <c r="RO209" i="5"/>
  <c r="QW209" i="5"/>
  <c r="QX209" i="5"/>
  <c r="RC209" i="5"/>
  <c r="QV209" i="5"/>
  <c r="RA209" i="5"/>
  <c r="RB209" i="5"/>
  <c r="RS209" i="5"/>
  <c r="CW209" i="5"/>
  <c r="CZ209" i="5"/>
  <c r="NT209" i="5"/>
  <c r="NV209" i="5" s="1"/>
  <c r="HM209" i="5"/>
  <c r="DX209" i="5"/>
  <c r="ND209" i="5"/>
  <c r="HJ209" i="5"/>
  <c r="QO165" i="5"/>
  <c r="QL165" i="5"/>
  <c r="PL165" i="5"/>
  <c r="QQ165" i="5"/>
  <c r="PM165" i="5"/>
  <c r="PJ165" i="5"/>
  <c r="QP165" i="5"/>
  <c r="QB165" i="5"/>
  <c r="PX165" i="5"/>
  <c r="PQ165" i="5"/>
  <c r="PN165" i="5"/>
  <c r="PK165" i="5"/>
  <c r="QM165" i="5"/>
  <c r="QJ165" i="5"/>
  <c r="PU165" i="5"/>
  <c r="PR165" i="5"/>
  <c r="PO165" i="5"/>
  <c r="PP165" i="5"/>
  <c r="PY165" i="5"/>
  <c r="PV165" i="5"/>
  <c r="PS165" i="5"/>
  <c r="QF165" i="5"/>
  <c r="QC165" i="5"/>
  <c r="PZ165" i="5"/>
  <c r="PW165" i="5"/>
  <c r="QN165" i="5"/>
  <c r="QG165" i="5"/>
  <c r="QD165" i="5"/>
  <c r="QA165" i="5"/>
  <c r="PT165" i="5"/>
  <c r="QK165" i="5"/>
  <c r="QH165" i="5"/>
  <c r="QE165" i="5"/>
  <c r="QI165" i="5"/>
  <c r="QY165" i="5"/>
  <c r="RI165" i="5"/>
  <c r="RU165" i="5"/>
  <c r="RB165" i="5"/>
  <c r="RC165" i="5"/>
  <c r="RN165" i="5"/>
  <c r="QV165" i="5"/>
  <c r="RH165" i="5"/>
  <c r="RG165" i="5"/>
  <c r="RT165" i="5"/>
  <c r="RA165" i="5"/>
  <c r="RM165" i="5"/>
  <c r="RK165" i="5"/>
  <c r="QT165" i="5"/>
  <c r="RF165" i="5"/>
  <c r="RO165" i="5"/>
  <c r="QZ165" i="5"/>
  <c r="RL165" i="5"/>
  <c r="RS165" i="5"/>
  <c r="RE165" i="5"/>
  <c r="RQ165" i="5"/>
  <c r="QX165" i="5"/>
  <c r="RJ165" i="5"/>
  <c r="QW165" i="5"/>
  <c r="QU165" i="5"/>
  <c r="RD165" i="5"/>
  <c r="RP165" i="5"/>
  <c r="RR165" i="5"/>
  <c r="CW165" i="5"/>
  <c r="CZ165" i="5"/>
  <c r="HM165" i="5"/>
  <c r="DX165" i="5"/>
  <c r="NS165" i="5"/>
  <c r="NU165" i="5" s="1"/>
  <c r="ND165" i="5"/>
  <c r="HJ165" i="5"/>
  <c r="NT165" i="5"/>
  <c r="NV165" i="5" s="1"/>
  <c r="GU12" i="5"/>
  <c r="GV12" i="5" s="1"/>
  <c r="FX12" i="5"/>
  <c r="IH12" i="5"/>
  <c r="II12" i="5" s="1"/>
  <c r="HZ12" i="5"/>
  <c r="ND144" i="5"/>
  <c r="RP205" i="5"/>
  <c r="RU205" i="5"/>
  <c r="QU205" i="5"/>
  <c r="RT205" i="5"/>
  <c r="QT205" i="5"/>
  <c r="RK205" i="5"/>
  <c r="QW205" i="5"/>
  <c r="QX205" i="5"/>
  <c r="QY205" i="5"/>
  <c r="QV205" i="5"/>
  <c r="RA205" i="5"/>
  <c r="RB205" i="5"/>
  <c r="RO205" i="5"/>
  <c r="QZ205" i="5"/>
  <c r="RE205" i="5"/>
  <c r="RF205" i="5"/>
  <c r="RC205" i="5"/>
  <c r="RD205" i="5"/>
  <c r="RI205" i="5"/>
  <c r="RJ205" i="5"/>
  <c r="RS205" i="5"/>
  <c r="RH205" i="5"/>
  <c r="RM205" i="5"/>
  <c r="RN205" i="5"/>
  <c r="RG205" i="5"/>
  <c r="RL205" i="5"/>
  <c r="RQ205" i="5"/>
  <c r="RR205" i="5"/>
  <c r="QM205" i="5"/>
  <c r="QJ205" i="5"/>
  <c r="QK205" i="5"/>
  <c r="QH205" i="5"/>
  <c r="PO205" i="5"/>
  <c r="QP205" i="5"/>
  <c r="PS205" i="5"/>
  <c r="PN205" i="5"/>
  <c r="PK205" i="5"/>
  <c r="QQ205" i="5"/>
  <c r="QN205" i="5"/>
  <c r="QO205" i="5"/>
  <c r="QL205" i="5"/>
  <c r="PP205" i="5"/>
  <c r="PW205" i="5"/>
  <c r="PT205" i="5"/>
  <c r="PU205" i="5"/>
  <c r="PR205" i="5"/>
  <c r="PM205" i="5"/>
  <c r="QA205" i="5"/>
  <c r="PX205" i="5"/>
  <c r="PY205" i="5"/>
  <c r="PV205" i="5"/>
  <c r="QI205" i="5"/>
  <c r="QG205" i="5"/>
  <c r="QD205" i="5"/>
  <c r="QE205" i="5"/>
  <c r="QB205" i="5"/>
  <c r="QC205" i="5"/>
  <c r="PZ205" i="5"/>
  <c r="PL205" i="5"/>
  <c r="PJ205" i="5"/>
  <c r="PQ205" i="5"/>
  <c r="QF205" i="5"/>
  <c r="CO205" i="5" s="1"/>
  <c r="HH205" i="5" s="1"/>
  <c r="CZ205" i="5"/>
  <c r="CW205" i="5"/>
  <c r="EY205" i="5"/>
  <c r="ET205" i="5"/>
  <c r="GG205" i="5"/>
  <c r="FI205" i="5"/>
  <c r="FG205" i="5" s="1"/>
  <c r="FC205" i="5"/>
  <c r="GD205" i="5"/>
  <c r="HZ205" i="5"/>
  <c r="FO205" i="5"/>
  <c r="EO205" i="5"/>
  <c r="EQ205" i="5" s="1"/>
  <c r="GU205" i="5"/>
  <c r="GV205" i="5" s="1"/>
  <c r="FX205" i="5"/>
  <c r="DU205" i="5"/>
  <c r="GP205" i="5"/>
  <c r="FR205" i="5"/>
  <c r="GA205" i="5"/>
  <c r="FL205" i="5"/>
  <c r="DX205" i="5"/>
  <c r="HM205" i="5"/>
  <c r="NT101" i="5"/>
  <c r="NV101" i="5" s="1"/>
  <c r="NT144" i="5"/>
  <c r="NV144" i="5" s="1"/>
  <c r="RI172" i="5"/>
  <c r="RJ172" i="5"/>
  <c r="RG172" i="5"/>
  <c r="RC172" i="5"/>
  <c r="RM172" i="5"/>
  <c r="RN172" i="5"/>
  <c r="RO172" i="5"/>
  <c r="RQ172" i="5"/>
  <c r="RR172" i="5"/>
  <c r="QZ172" i="5"/>
  <c r="RU172" i="5"/>
  <c r="QV172" i="5"/>
  <c r="RH172" i="5"/>
  <c r="QT172" i="5"/>
  <c r="RD172" i="5"/>
  <c r="RP172" i="5"/>
  <c r="QW172" i="5"/>
  <c r="QX172" i="5"/>
  <c r="RL172" i="5"/>
  <c r="RK172" i="5"/>
  <c r="RA172" i="5"/>
  <c r="RB172" i="5"/>
  <c r="RT172" i="5"/>
  <c r="RS172" i="5"/>
  <c r="RE172" i="5"/>
  <c r="RF172" i="5"/>
  <c r="QY172" i="5"/>
  <c r="QU172" i="5"/>
  <c r="DC172" i="5"/>
  <c r="HL172" i="5" s="1"/>
  <c r="CZ172" i="5"/>
  <c r="CW172" i="5"/>
  <c r="DX172" i="5"/>
  <c r="HM172" i="5"/>
  <c r="PY172" i="5"/>
  <c r="PV172" i="5"/>
  <c r="QE172" i="5"/>
  <c r="QA172" i="5"/>
  <c r="QQ172" i="5"/>
  <c r="QC172" i="5"/>
  <c r="PZ172" i="5"/>
  <c r="QM172" i="5"/>
  <c r="QI172" i="5"/>
  <c r="QD172" i="5"/>
  <c r="PR172" i="5"/>
  <c r="QG172" i="5"/>
  <c r="PP172" i="5"/>
  <c r="QK172" i="5"/>
  <c r="QH172" i="5"/>
  <c r="PX172" i="5"/>
  <c r="PL172" i="5"/>
  <c r="PW172" i="5"/>
  <c r="QO172" i="5"/>
  <c r="QL172" i="5"/>
  <c r="QF172" i="5"/>
  <c r="PT172" i="5"/>
  <c r="PO172" i="5"/>
  <c r="PM172" i="5"/>
  <c r="PJ172" i="5"/>
  <c r="QP172" i="5"/>
  <c r="QN172" i="5"/>
  <c r="QB172" i="5"/>
  <c r="PQ172" i="5"/>
  <c r="QJ172" i="5"/>
  <c r="PU172" i="5"/>
  <c r="PN172" i="5"/>
  <c r="PK172" i="5"/>
  <c r="PS172" i="5"/>
  <c r="RL203" i="5"/>
  <c r="RQ203" i="5"/>
  <c r="RR203" i="5"/>
  <c r="RP203" i="5"/>
  <c r="RU203" i="5"/>
  <c r="RC203" i="5"/>
  <c r="RT203" i="5"/>
  <c r="QT203" i="5"/>
  <c r="RS203" i="5"/>
  <c r="QW203" i="5"/>
  <c r="QX203" i="5"/>
  <c r="RG203" i="5"/>
  <c r="QV203" i="5"/>
  <c r="RA203" i="5"/>
  <c r="RB203" i="5"/>
  <c r="QU203" i="5"/>
  <c r="QZ203" i="5"/>
  <c r="RE203" i="5"/>
  <c r="RF203" i="5"/>
  <c r="RK203" i="5"/>
  <c r="RD203" i="5"/>
  <c r="RI203" i="5"/>
  <c r="RJ203" i="5"/>
  <c r="QY203" i="5"/>
  <c r="RH203" i="5"/>
  <c r="RM203" i="5"/>
  <c r="RN203" i="5"/>
  <c r="RO203" i="5"/>
  <c r="PS203" i="5"/>
  <c r="PP203" i="5"/>
  <c r="PQ203" i="5"/>
  <c r="PN203" i="5"/>
  <c r="PW203" i="5"/>
  <c r="PT203" i="5"/>
  <c r="PU203" i="5"/>
  <c r="PR203" i="5"/>
  <c r="QA203" i="5"/>
  <c r="PX203" i="5"/>
  <c r="PY203" i="5"/>
  <c r="PV203" i="5"/>
  <c r="QE203" i="5"/>
  <c r="QB203" i="5"/>
  <c r="QC203" i="5"/>
  <c r="PZ203" i="5"/>
  <c r="QI203" i="5"/>
  <c r="QF203" i="5"/>
  <c r="QG203" i="5"/>
  <c r="QD203" i="5"/>
  <c r="QM203" i="5"/>
  <c r="QJ203" i="5"/>
  <c r="QK203" i="5"/>
  <c r="QH203" i="5"/>
  <c r="PK203" i="5"/>
  <c r="QQ203" i="5"/>
  <c r="QN203" i="5"/>
  <c r="QO203" i="5"/>
  <c r="QL203" i="5"/>
  <c r="PO203" i="5"/>
  <c r="PL203" i="5"/>
  <c r="PM203" i="5"/>
  <c r="PJ203" i="5"/>
  <c r="QP203" i="5"/>
  <c r="DC203" i="5"/>
  <c r="HL203" i="5" s="1"/>
  <c r="CZ203" i="5"/>
  <c r="CW203" i="5"/>
  <c r="DX203" i="5"/>
  <c r="HM203" i="5"/>
  <c r="HJ144" i="5"/>
  <c r="NS144" i="5"/>
  <c r="NU144" i="5" s="1"/>
  <c r="NS101" i="5"/>
  <c r="NU101" i="5" s="1"/>
  <c r="DU130" i="5"/>
  <c r="FL130" i="5"/>
  <c r="CZ57" i="5"/>
  <c r="GD130" i="5"/>
  <c r="CW57" i="5"/>
  <c r="GA130" i="5"/>
  <c r="FC130" i="5"/>
  <c r="FR130" i="5"/>
  <c r="EY130" i="5"/>
  <c r="PT144" i="5"/>
  <c r="PU144" i="5"/>
  <c r="QE144" i="5"/>
  <c r="QA144" i="5"/>
  <c r="PX144" i="5"/>
  <c r="PY144" i="5"/>
  <c r="QM144" i="5"/>
  <c r="QI144" i="5"/>
  <c r="QB144" i="5"/>
  <c r="QC144" i="5"/>
  <c r="PR144" i="5"/>
  <c r="QQ144" i="5"/>
  <c r="QF144" i="5"/>
  <c r="QG144" i="5"/>
  <c r="PZ144" i="5"/>
  <c r="PV144" i="5"/>
  <c r="QJ144" i="5"/>
  <c r="QK144" i="5"/>
  <c r="QH144" i="5"/>
  <c r="QD144" i="5"/>
  <c r="PJ144" i="5"/>
  <c r="QN144" i="5"/>
  <c r="QO144" i="5"/>
  <c r="QP144" i="5"/>
  <c r="QL144" i="5"/>
  <c r="PL144" i="5"/>
  <c r="PM144" i="5"/>
  <c r="PO144" i="5"/>
  <c r="PK144" i="5"/>
  <c r="PN144" i="5"/>
  <c r="PP144" i="5"/>
  <c r="PQ144" i="5"/>
  <c r="PW144" i="5"/>
  <c r="PS144" i="5"/>
  <c r="RG144" i="5"/>
  <c r="RL144" i="5"/>
  <c r="RQ144" i="5"/>
  <c r="RR144" i="5"/>
  <c r="RK144" i="5"/>
  <c r="RP144" i="5"/>
  <c r="RU144" i="5"/>
  <c r="RO144" i="5"/>
  <c r="RT144" i="5"/>
  <c r="RF144" i="5"/>
  <c r="RS144" i="5"/>
  <c r="QW144" i="5"/>
  <c r="QT144" i="5"/>
  <c r="QV144" i="5"/>
  <c r="RA144" i="5"/>
  <c r="RJ144" i="5"/>
  <c r="QU144" i="5"/>
  <c r="QZ144" i="5"/>
  <c r="RE144" i="5"/>
  <c r="QX144" i="5"/>
  <c r="QY144" i="5"/>
  <c r="RD144" i="5"/>
  <c r="RI144" i="5"/>
  <c r="RN144" i="5"/>
  <c r="RC144" i="5"/>
  <c r="RH144" i="5"/>
  <c r="RM144" i="5"/>
  <c r="RB144" i="5"/>
  <c r="DC144" i="5"/>
  <c r="HL144" i="5" s="1"/>
  <c r="CZ144" i="5"/>
  <c r="CW144" i="5"/>
  <c r="DX144" i="5"/>
  <c r="HM144" i="5"/>
  <c r="HJ101" i="5"/>
  <c r="ND101" i="5"/>
  <c r="QD101" i="5"/>
  <c r="PK101" i="5"/>
  <c r="QB101" i="5"/>
  <c r="PL101" i="5"/>
  <c r="QF101" i="5"/>
  <c r="PV101" i="5"/>
  <c r="QA101" i="5"/>
  <c r="PJ101" i="5"/>
  <c r="PP101" i="5"/>
  <c r="QG101" i="5"/>
  <c r="QK101" i="5"/>
  <c r="PY101" i="5"/>
  <c r="PW101" i="5"/>
  <c r="QQ101" i="5"/>
  <c r="PZ101" i="5"/>
  <c r="PR101" i="5"/>
  <c r="QM101" i="5"/>
  <c r="PN101" i="5"/>
  <c r="QI101" i="5"/>
  <c r="QJ101" i="5"/>
  <c r="QP101" i="5"/>
  <c r="QH101" i="5"/>
  <c r="PO101" i="5"/>
  <c r="PX101" i="5"/>
  <c r="QC101" i="5"/>
  <c r="PS101" i="5"/>
  <c r="QL101" i="5"/>
  <c r="PU101" i="5"/>
  <c r="PM101" i="5"/>
  <c r="PT101" i="5"/>
  <c r="QN101" i="5"/>
  <c r="PQ101" i="5"/>
  <c r="QO101" i="5"/>
  <c r="QE101" i="5"/>
  <c r="RE101" i="5"/>
  <c r="RF101" i="5"/>
  <c r="RK101" i="5"/>
  <c r="RD101" i="5"/>
  <c r="RI101" i="5"/>
  <c r="RJ101" i="5"/>
  <c r="RO101" i="5"/>
  <c r="RT101" i="5"/>
  <c r="RM101" i="5"/>
  <c r="RN101" i="5"/>
  <c r="RS101" i="5"/>
  <c r="RQ101" i="5"/>
  <c r="RR101" i="5"/>
  <c r="RH101" i="5"/>
  <c r="RU101" i="5"/>
  <c r="QU101" i="5"/>
  <c r="QV101" i="5"/>
  <c r="QT101" i="5"/>
  <c r="QY101" i="5"/>
  <c r="RL101" i="5"/>
  <c r="QW101" i="5"/>
  <c r="QX101" i="5"/>
  <c r="RC101" i="5"/>
  <c r="QZ101" i="5"/>
  <c r="RA101" i="5"/>
  <c r="RB101" i="5"/>
  <c r="RG101" i="5"/>
  <c r="RP101" i="5"/>
  <c r="DC101" i="5"/>
  <c r="HL101" i="5" s="1"/>
  <c r="CZ101" i="5"/>
  <c r="CW101" i="5"/>
  <c r="DX101" i="5"/>
  <c r="HM101" i="5"/>
  <c r="HJ86" i="5"/>
  <c r="ND131" i="5"/>
  <c r="EO130" i="5"/>
  <c r="EQ130" i="5" s="1"/>
  <c r="FI130" i="5"/>
  <c r="FG130" i="5" s="1"/>
  <c r="HJ130" i="5" s="1"/>
  <c r="FX130" i="5"/>
  <c r="GG130" i="5"/>
  <c r="GP130" i="5"/>
  <c r="GU130" i="5"/>
  <c r="GV130" i="5" s="1"/>
  <c r="HK15" i="5"/>
  <c r="HR15" i="5" s="1"/>
  <c r="HK93" i="5"/>
  <c r="HR93" i="5" s="1"/>
  <c r="HK30" i="5"/>
  <c r="HR30" i="5" s="1"/>
  <c r="HK84" i="5"/>
  <c r="HR84" i="5" s="1"/>
  <c r="HK16" i="5"/>
  <c r="HR16" i="5" s="1"/>
  <c r="HK14" i="5"/>
  <c r="HR14" i="5" s="1"/>
  <c r="HK23" i="5"/>
  <c r="HR23" i="5" s="1"/>
  <c r="HK52" i="5"/>
  <c r="HR52" i="5" s="1"/>
  <c r="HK44" i="5"/>
  <c r="HR44" i="5" s="1"/>
  <c r="HK80" i="5"/>
  <c r="HR80" i="5" s="1"/>
  <c r="HK22" i="5"/>
  <c r="HR22" i="5" s="1"/>
  <c r="HK107" i="5"/>
  <c r="HR107" i="5" s="1"/>
  <c r="HK31" i="5"/>
  <c r="HR31" i="5" s="1"/>
  <c r="IH149" i="5"/>
  <c r="II149" i="5" s="1"/>
  <c r="HZ149" i="5"/>
  <c r="GU149" i="5"/>
  <c r="GV149" i="5" s="1"/>
  <c r="GP149" i="5"/>
  <c r="FX149" i="5"/>
  <c r="FI149" i="5"/>
  <c r="FG149" i="5" s="1"/>
  <c r="HJ149" i="5" s="1"/>
  <c r="EY149" i="5"/>
  <c r="FC149" i="5"/>
  <c r="EO149" i="5"/>
  <c r="EQ149" i="5" s="1"/>
  <c r="GD149" i="5"/>
  <c r="ET149" i="5"/>
  <c r="GA149" i="5"/>
  <c r="DU149" i="5"/>
  <c r="FR149" i="5"/>
  <c r="FO149" i="5"/>
  <c r="FL149" i="5"/>
  <c r="GG149" i="5"/>
  <c r="IE39" i="5"/>
  <c r="NX39" i="5" s="1"/>
  <c r="NX9" i="5"/>
  <c r="NX16" i="5"/>
  <c r="HJ131" i="5"/>
  <c r="DX107" i="5"/>
  <c r="HM107" i="5"/>
  <c r="DX80" i="5"/>
  <c r="HM80" i="5"/>
  <c r="DX131" i="5"/>
  <c r="HM131" i="5"/>
  <c r="HJ60" i="5"/>
  <c r="HJ95" i="5"/>
  <c r="DX75" i="5"/>
  <c r="HM75" i="5"/>
  <c r="DX14" i="5"/>
  <c r="HM14" i="5"/>
  <c r="DX95" i="5"/>
  <c r="HM95" i="5"/>
  <c r="DX31" i="5"/>
  <c r="HM31" i="5"/>
  <c r="HJ107" i="5"/>
  <c r="HJ80" i="5"/>
  <c r="HJ20" i="5"/>
  <c r="HJ31" i="5"/>
  <c r="DX42" i="5"/>
  <c r="HM42" i="5"/>
  <c r="DX39" i="5"/>
  <c r="HM39" i="5"/>
  <c r="DX60" i="5"/>
  <c r="HM60" i="5"/>
  <c r="DX23" i="5"/>
  <c r="HM23" i="5"/>
  <c r="HJ57" i="5"/>
  <c r="DX62" i="5"/>
  <c r="HM62" i="5"/>
  <c r="DX25" i="5"/>
  <c r="HM25" i="5"/>
  <c r="DX93" i="5"/>
  <c r="HM93" i="5"/>
  <c r="HJ62" i="5"/>
  <c r="HJ129" i="5"/>
  <c r="HJ39" i="5"/>
  <c r="HJ45" i="5"/>
  <c r="HJ42" i="5"/>
  <c r="HJ22" i="5"/>
  <c r="DX34" i="5"/>
  <c r="HM34" i="5"/>
  <c r="DX6" i="5"/>
  <c r="HM6" i="5"/>
  <c r="DX52" i="5"/>
  <c r="HM52" i="5"/>
  <c r="DX129" i="5"/>
  <c r="HM129" i="5"/>
  <c r="HJ9" i="5"/>
  <c r="DX22" i="5"/>
  <c r="HM22" i="5"/>
  <c r="DX86" i="5"/>
  <c r="HM86" i="5"/>
  <c r="DX104" i="5"/>
  <c r="HM104" i="5"/>
  <c r="DX57" i="5"/>
  <c r="HM57" i="5"/>
  <c r="DX30" i="5"/>
  <c r="HM30" i="5"/>
  <c r="DX54" i="5"/>
  <c r="HM54" i="5"/>
  <c r="DX9" i="5"/>
  <c r="HM9" i="5"/>
  <c r="DX130" i="5"/>
  <c r="HM130" i="5"/>
  <c r="DX149" i="5"/>
  <c r="HM149" i="5"/>
  <c r="HJ75" i="5"/>
  <c r="HJ6" i="5"/>
  <c r="HJ93" i="5"/>
  <c r="HJ30" i="5"/>
  <c r="HJ16" i="5"/>
  <c r="HJ25" i="5"/>
  <c r="HJ15" i="5"/>
  <c r="DX45" i="5"/>
  <c r="HM45" i="5"/>
  <c r="DX15" i="5"/>
  <c r="HM15" i="5"/>
  <c r="DX44" i="5"/>
  <c r="HM44" i="5"/>
  <c r="DX16" i="5"/>
  <c r="HM16" i="5"/>
  <c r="DX12" i="5"/>
  <c r="HM12" i="5"/>
  <c r="HJ104" i="5"/>
  <c r="HJ54" i="5"/>
  <c r="DX20" i="5"/>
  <c r="HM20" i="5"/>
  <c r="DX84" i="5"/>
  <c r="HM84" i="5"/>
  <c r="HJ34" i="5"/>
  <c r="HJ14" i="5"/>
  <c r="HJ52" i="5"/>
  <c r="HJ84" i="5"/>
  <c r="HJ23" i="5"/>
  <c r="HJ44" i="5"/>
  <c r="RO149" i="5"/>
  <c r="RI149" i="5"/>
  <c r="RJ149" i="5"/>
  <c r="RS149" i="5"/>
  <c r="RM149" i="5"/>
  <c r="RR149" i="5"/>
  <c r="QV149" i="5"/>
  <c r="RQ149" i="5"/>
  <c r="RB149" i="5"/>
  <c r="QU149" i="5"/>
  <c r="QZ149" i="5"/>
  <c r="RU149" i="5"/>
  <c r="RL149" i="5"/>
  <c r="QY149" i="5"/>
  <c r="RD149" i="5"/>
  <c r="QT149" i="5"/>
  <c r="RT149" i="5"/>
  <c r="RC149" i="5"/>
  <c r="QW149" i="5"/>
  <c r="RH149" i="5"/>
  <c r="RN149" i="5"/>
  <c r="RG149" i="5"/>
  <c r="RA149" i="5"/>
  <c r="RP149" i="5"/>
  <c r="RF149" i="5"/>
  <c r="RK149" i="5"/>
  <c r="RE149" i="5"/>
  <c r="QX149" i="5"/>
  <c r="PZ149" i="5"/>
  <c r="PW149" i="5"/>
  <c r="QC149" i="5"/>
  <c r="QG149" i="5"/>
  <c r="QD149" i="5"/>
  <c r="QA149" i="5"/>
  <c r="QK149" i="5"/>
  <c r="QO149" i="5"/>
  <c r="QH149" i="5"/>
  <c r="QE149" i="5"/>
  <c r="PP149" i="5"/>
  <c r="PL149" i="5"/>
  <c r="QL149" i="5"/>
  <c r="QI149" i="5"/>
  <c r="PX149" i="5"/>
  <c r="PT149" i="5"/>
  <c r="PJ149" i="5"/>
  <c r="QP149" i="5"/>
  <c r="QM149" i="5"/>
  <c r="QF149" i="5"/>
  <c r="QB149" i="5"/>
  <c r="PN149" i="5"/>
  <c r="PK149" i="5"/>
  <c r="QQ149" i="5"/>
  <c r="QN149" i="5"/>
  <c r="QJ149" i="5"/>
  <c r="PR149" i="5"/>
  <c r="PO149" i="5"/>
  <c r="PM149" i="5"/>
  <c r="PQ149" i="5"/>
  <c r="PV149" i="5"/>
  <c r="PS149" i="5"/>
  <c r="PU149" i="5"/>
  <c r="PY149" i="5"/>
  <c r="IE23" i="5"/>
  <c r="PX129" i="5"/>
  <c r="PS129" i="5"/>
  <c r="PO129" i="5"/>
  <c r="PM129" i="5"/>
  <c r="QA129" i="5"/>
  <c r="QQ129" i="5"/>
  <c r="QN129" i="5"/>
  <c r="QL129" i="5"/>
  <c r="QB129" i="5"/>
  <c r="PY129" i="5"/>
  <c r="PU129" i="5"/>
  <c r="PW129" i="5"/>
  <c r="PK129" i="5"/>
  <c r="QO129" i="5"/>
  <c r="QC129" i="5"/>
  <c r="QF129" i="5"/>
  <c r="QD129" i="5"/>
  <c r="PZ129" i="5"/>
  <c r="QH129" i="5"/>
  <c r="QG129" i="5"/>
  <c r="QK129" i="5"/>
  <c r="PL129" i="5"/>
  <c r="QJ129" i="5"/>
  <c r="QI129" i="5"/>
  <c r="QE129" i="5"/>
  <c r="PR129" i="5"/>
  <c r="PQ129" i="5"/>
  <c r="PP129" i="5"/>
  <c r="PT129" i="5"/>
  <c r="PN129" i="5"/>
  <c r="PJ129" i="5"/>
  <c r="QP129" i="5"/>
  <c r="QM129" i="5"/>
  <c r="PV129" i="5"/>
  <c r="PX131" i="5"/>
  <c r="PO131" i="5"/>
  <c r="PK131" i="5"/>
  <c r="QQ131" i="5"/>
  <c r="QI131" i="5"/>
  <c r="QH131" i="5"/>
  <c r="QB131" i="5"/>
  <c r="PU131" i="5"/>
  <c r="PQ131" i="5"/>
  <c r="PS131" i="5"/>
  <c r="PY131" i="5"/>
  <c r="QC131" i="5"/>
  <c r="QF131" i="5"/>
  <c r="PZ131" i="5"/>
  <c r="PV131" i="5"/>
  <c r="QD131" i="5"/>
  <c r="QM131" i="5"/>
  <c r="QN131" i="5"/>
  <c r="PL131" i="5"/>
  <c r="QJ131" i="5"/>
  <c r="QE131" i="5"/>
  <c r="QA131" i="5"/>
  <c r="QO131" i="5"/>
  <c r="PM131" i="5"/>
  <c r="QK131" i="5"/>
  <c r="QG131" i="5"/>
  <c r="PT131" i="5"/>
  <c r="PJ131" i="5"/>
  <c r="QP131" i="5"/>
  <c r="QL131" i="5"/>
  <c r="PW131" i="5"/>
  <c r="PR131" i="5"/>
  <c r="PP131" i="5"/>
  <c r="PN131" i="5"/>
  <c r="RE130" i="5"/>
  <c r="QX130" i="5"/>
  <c r="QY130" i="5"/>
  <c r="QU130" i="5"/>
  <c r="RL130" i="5"/>
  <c r="RI130" i="5"/>
  <c r="RB130" i="5"/>
  <c r="RG130" i="5"/>
  <c r="RC130" i="5"/>
  <c r="RT130" i="5"/>
  <c r="RM130" i="5"/>
  <c r="RF130" i="5"/>
  <c r="RO130" i="5"/>
  <c r="RK130" i="5"/>
  <c r="RQ130" i="5"/>
  <c r="RJ130" i="5"/>
  <c r="QZ130" i="5"/>
  <c r="RS130" i="5"/>
  <c r="QW130" i="5"/>
  <c r="RU130" i="5"/>
  <c r="RN130" i="5"/>
  <c r="RH130" i="5"/>
  <c r="QV130" i="5"/>
  <c r="RA130" i="5"/>
  <c r="QT130" i="5"/>
  <c r="RR130" i="5"/>
  <c r="RP130" i="5"/>
  <c r="RD130" i="5"/>
  <c r="ND129" i="5"/>
  <c r="QI9" i="5"/>
  <c r="PR9" i="5"/>
  <c r="PP9" i="5"/>
  <c r="PU9" i="5"/>
  <c r="QM9" i="5"/>
  <c r="QN9" i="5"/>
  <c r="PQ9" i="5"/>
  <c r="PL9" i="5"/>
  <c r="PT9" i="5"/>
  <c r="QL9" i="5"/>
  <c r="QJ9" i="5"/>
  <c r="CO9" i="5" s="1"/>
  <c r="HH9" i="5" s="1"/>
  <c r="QA9" i="5"/>
  <c r="PX9" i="5"/>
  <c r="PK9" i="5"/>
  <c r="PY9" i="5"/>
  <c r="QP9" i="5"/>
  <c r="QQ9" i="5"/>
  <c r="QG9" i="5"/>
  <c r="PZ9" i="5"/>
  <c r="QE9" i="5"/>
  <c r="PN9" i="5"/>
  <c r="PJ9" i="5"/>
  <c r="QK9" i="5"/>
  <c r="QO9" i="5"/>
  <c r="PV9" i="5"/>
  <c r="QC9" i="5"/>
  <c r="QB9" i="5"/>
  <c r="PO9" i="5"/>
  <c r="PW9" i="5"/>
  <c r="PS9" i="5"/>
  <c r="PM9" i="5"/>
  <c r="QD9" i="5"/>
  <c r="QH9" i="5"/>
  <c r="QF9" i="5"/>
  <c r="PN130" i="5"/>
  <c r="QL130" i="5"/>
  <c r="QG130" i="5"/>
  <c r="QI130" i="5"/>
  <c r="PP130" i="5"/>
  <c r="QO130" i="5"/>
  <c r="PR130" i="5"/>
  <c r="QP130" i="5"/>
  <c r="QM130" i="5"/>
  <c r="QN130" i="5"/>
  <c r="QA130" i="5"/>
  <c r="PY130" i="5"/>
  <c r="PV130" i="5"/>
  <c r="PL130" i="5"/>
  <c r="PM130" i="5"/>
  <c r="PK130" i="5"/>
  <c r="QK130" i="5"/>
  <c r="QE130" i="5"/>
  <c r="PZ130" i="5"/>
  <c r="PQ130" i="5"/>
  <c r="PS130" i="5"/>
  <c r="PU130" i="5"/>
  <c r="PO130" i="5"/>
  <c r="PW130" i="5"/>
  <c r="PX130" i="5"/>
  <c r="QJ130" i="5"/>
  <c r="PJ130" i="5"/>
  <c r="QH130" i="5"/>
  <c r="QB130" i="5"/>
  <c r="QC130" i="5"/>
  <c r="QQ130" i="5"/>
  <c r="PT130" i="5"/>
  <c r="QD130" i="5"/>
  <c r="QF130" i="5"/>
  <c r="QT9" i="5"/>
  <c r="RR9" i="5"/>
  <c r="RO9" i="5"/>
  <c r="RL9" i="5"/>
  <c r="RQ9" i="5"/>
  <c r="QX9" i="5"/>
  <c r="QU9" i="5"/>
  <c r="RS9" i="5"/>
  <c r="RP9" i="5"/>
  <c r="CQ9" i="5" s="1"/>
  <c r="RU9" i="5"/>
  <c r="RB9" i="5"/>
  <c r="QY9" i="5"/>
  <c r="QV9" i="5"/>
  <c r="RT9" i="5"/>
  <c r="RA9" i="5"/>
  <c r="RF9" i="5"/>
  <c r="RC9" i="5"/>
  <c r="QZ9" i="5"/>
  <c r="RI9" i="5"/>
  <c r="RE9" i="5"/>
  <c r="RJ9" i="5"/>
  <c r="RG9" i="5"/>
  <c r="RD9" i="5"/>
  <c r="QW9" i="5"/>
  <c r="RN9" i="5"/>
  <c r="RK9" i="5"/>
  <c r="RH9" i="5"/>
  <c r="RM9" i="5"/>
  <c r="PN12" i="5"/>
  <c r="PX12" i="5"/>
  <c r="QL12" i="5"/>
  <c r="QB12" i="5"/>
  <c r="CO12" i="5" s="1"/>
  <c r="HH12" i="5" s="1"/>
  <c r="QA12" i="5"/>
  <c r="QC12" i="5"/>
  <c r="PP12" i="5"/>
  <c r="PY12" i="5"/>
  <c r="PR12" i="5"/>
  <c r="QQ12" i="5"/>
  <c r="PT12" i="5"/>
  <c r="QI12" i="5"/>
  <c r="PQ12" i="5"/>
  <c r="PM12" i="5"/>
  <c r="QH12" i="5"/>
  <c r="PK12" i="5"/>
  <c r="QO12" i="5"/>
  <c r="QD12" i="5"/>
  <c r="PO12" i="5"/>
  <c r="PS12" i="5"/>
  <c r="PJ12" i="5"/>
  <c r="PL12" i="5"/>
  <c r="QN12" i="5"/>
  <c r="PZ12" i="5"/>
  <c r="QM12" i="5"/>
  <c r="QJ12" i="5"/>
  <c r="PV12" i="5"/>
  <c r="PU12" i="5"/>
  <c r="QK12" i="5"/>
  <c r="QG12" i="5"/>
  <c r="QE12" i="5"/>
  <c r="QP12" i="5"/>
  <c r="QF12" i="5"/>
  <c r="PW12" i="5"/>
  <c r="QT12" i="5"/>
  <c r="RR12" i="5"/>
  <c r="RO12" i="5"/>
  <c r="RL12" i="5"/>
  <c r="QW12" i="5"/>
  <c r="QX12" i="5"/>
  <c r="QU12" i="5"/>
  <c r="RS12" i="5"/>
  <c r="RP12" i="5"/>
  <c r="RA12" i="5"/>
  <c r="RB12" i="5"/>
  <c r="QY12" i="5"/>
  <c r="QV12" i="5"/>
  <c r="RT12" i="5"/>
  <c r="RM12" i="5"/>
  <c r="RF12" i="5"/>
  <c r="RC12" i="5"/>
  <c r="QZ12" i="5"/>
  <c r="RE12" i="5"/>
  <c r="RQ12" i="5"/>
  <c r="RJ12" i="5"/>
  <c r="RG12" i="5"/>
  <c r="RD12" i="5"/>
  <c r="RU12" i="5"/>
  <c r="RN12" i="5"/>
  <c r="RK12" i="5"/>
  <c r="RH12" i="5"/>
  <c r="CQ12" i="5" s="1"/>
  <c r="RI12" i="5"/>
  <c r="QW129" i="5"/>
  <c r="RU129" i="5"/>
  <c r="RN129" i="5"/>
  <c r="QV129" i="5"/>
  <c r="RO129" i="5"/>
  <c r="RA129" i="5"/>
  <c r="QT129" i="5"/>
  <c r="RR129" i="5"/>
  <c r="RD129" i="5"/>
  <c r="QZ129" i="5"/>
  <c r="RE129" i="5"/>
  <c r="QX129" i="5"/>
  <c r="QU129" i="5"/>
  <c r="RL129" i="5"/>
  <c r="RH129" i="5"/>
  <c r="RI129" i="5"/>
  <c r="RB129" i="5"/>
  <c r="RC129" i="5"/>
  <c r="RT129" i="5"/>
  <c r="RP129" i="5"/>
  <c r="RM129" i="5"/>
  <c r="RF129" i="5"/>
  <c r="RK129" i="5"/>
  <c r="QY129" i="5"/>
  <c r="RQ129" i="5"/>
  <c r="RJ129" i="5"/>
  <c r="RS129" i="5"/>
  <c r="RG129" i="5"/>
  <c r="QW131" i="5"/>
  <c r="QT131" i="5"/>
  <c r="RR131" i="5"/>
  <c r="RD131" i="5"/>
  <c r="RU131" i="5"/>
  <c r="RA131" i="5"/>
  <c r="QX131" i="5"/>
  <c r="QU131" i="5"/>
  <c r="RL131" i="5"/>
  <c r="QZ131" i="5"/>
  <c r="RE131" i="5"/>
  <c r="RB131" i="5"/>
  <c r="RC131" i="5"/>
  <c r="RT131" i="5"/>
  <c r="RH131" i="5"/>
  <c r="RI131" i="5"/>
  <c r="RF131" i="5"/>
  <c r="RK131" i="5"/>
  <c r="QY131" i="5"/>
  <c r="RP131" i="5"/>
  <c r="RM131" i="5"/>
  <c r="RJ131" i="5"/>
  <c r="RS131" i="5"/>
  <c r="RG131" i="5"/>
  <c r="RQ131" i="5"/>
  <c r="RN131" i="5"/>
  <c r="QV131" i="5"/>
  <c r="RO131" i="5"/>
  <c r="CQ131" i="5" s="1"/>
  <c r="ND5" i="5"/>
  <c r="HI5" i="5" s="1"/>
  <c r="NS13" i="5"/>
  <c r="NU13" i="5" s="1"/>
  <c r="NS5" i="5"/>
  <c r="NU5" i="5" s="1"/>
  <c r="QD60" i="5"/>
  <c r="PN60" i="5"/>
  <c r="QQ60" i="5"/>
  <c r="QB60" i="5"/>
  <c r="PJ60" i="5"/>
  <c r="QI60" i="5"/>
  <c r="QK60" i="5"/>
  <c r="QM60" i="5"/>
  <c r="PV60" i="5"/>
  <c r="PQ60" i="5"/>
  <c r="QL60" i="5"/>
  <c r="PU60" i="5"/>
  <c r="PZ60" i="5"/>
  <c r="QC60" i="5"/>
  <c r="PW60" i="5"/>
  <c r="PK60" i="5"/>
  <c r="QO60" i="5"/>
  <c r="QP60" i="5"/>
  <c r="PT60" i="5"/>
  <c r="PM60" i="5"/>
  <c r="PO60" i="5"/>
  <c r="QA60" i="5"/>
  <c r="PR60" i="5"/>
  <c r="PY60" i="5"/>
  <c r="QF60" i="5"/>
  <c r="QN60" i="5"/>
  <c r="PL60" i="5"/>
  <c r="QH60" i="5"/>
  <c r="PS60" i="5"/>
  <c r="QE60" i="5"/>
  <c r="PX60" i="5"/>
  <c r="QJ60" i="5"/>
  <c r="QG60" i="5"/>
  <c r="PP60" i="5"/>
  <c r="PX39" i="5"/>
  <c r="PN39" i="5"/>
  <c r="QL39" i="5"/>
  <c r="QD39" i="5"/>
  <c r="QQ39" i="5"/>
  <c r="PP39" i="5"/>
  <c r="PM39" i="5"/>
  <c r="PU39" i="5"/>
  <c r="QC39" i="5"/>
  <c r="QE39" i="5"/>
  <c r="PY39" i="5"/>
  <c r="QM39" i="5"/>
  <c r="PS39" i="5"/>
  <c r="PV39" i="5"/>
  <c r="PT39" i="5"/>
  <c r="QH39" i="5"/>
  <c r="PL39" i="5"/>
  <c r="QI39" i="5"/>
  <c r="QK39" i="5"/>
  <c r="QO39" i="5"/>
  <c r="PJ39" i="5"/>
  <c r="PQ39" i="5"/>
  <c r="QF39" i="5"/>
  <c r="QJ39" i="5"/>
  <c r="PR39" i="5"/>
  <c r="PK39" i="5"/>
  <c r="QP39" i="5"/>
  <c r="QB39" i="5"/>
  <c r="PW39" i="5"/>
  <c r="QG39" i="5"/>
  <c r="QN39" i="5"/>
  <c r="QA39" i="5"/>
  <c r="PZ39" i="5"/>
  <c r="PO39" i="5"/>
  <c r="QJ15" i="5"/>
  <c r="PP15" i="5"/>
  <c r="PK15" i="5"/>
  <c r="PR15" i="5"/>
  <c r="QD15" i="5"/>
  <c r="QK15" i="5"/>
  <c r="QH15" i="5"/>
  <c r="QF15" i="5"/>
  <c r="QA15" i="5"/>
  <c r="PJ15" i="5"/>
  <c r="QC15" i="5"/>
  <c r="QM15" i="5"/>
  <c r="QP15" i="5"/>
  <c r="PY15" i="5"/>
  <c r="QQ15" i="5"/>
  <c r="PZ15" i="5"/>
  <c r="CO15" i="5" s="1"/>
  <c r="HH15" i="5" s="1"/>
  <c r="QE15" i="5"/>
  <c r="PW15" i="5"/>
  <c r="PV15" i="5"/>
  <c r="PX15" i="5"/>
  <c r="PO15" i="5"/>
  <c r="QB15" i="5"/>
  <c r="PT15" i="5"/>
  <c r="PS15" i="5"/>
  <c r="PU15" i="5"/>
  <c r="QN15" i="5"/>
  <c r="PL15" i="5"/>
  <c r="PM15" i="5"/>
  <c r="QG15" i="5"/>
  <c r="QI15" i="5"/>
  <c r="PN15" i="5"/>
  <c r="QO15" i="5"/>
  <c r="PQ15" i="5"/>
  <c r="QL15" i="5"/>
  <c r="QG31" i="5"/>
  <c r="QJ31" i="5"/>
  <c r="PS31" i="5"/>
  <c r="PQ31" i="5"/>
  <c r="PW31" i="5"/>
  <c r="QC31" i="5"/>
  <c r="QA31" i="5"/>
  <c r="QQ31" i="5"/>
  <c r="QL31" i="5"/>
  <c r="QP31" i="5"/>
  <c r="PZ31" i="5"/>
  <c r="PN31" i="5"/>
  <c r="QF31" i="5"/>
  <c r="QE31" i="5"/>
  <c r="CO31" i="5" s="1"/>
  <c r="HH31" i="5" s="1"/>
  <c r="PT31" i="5"/>
  <c r="QN31" i="5"/>
  <c r="QI31" i="5"/>
  <c r="PU31" i="5"/>
  <c r="QM31" i="5"/>
  <c r="PY31" i="5"/>
  <c r="QB31" i="5"/>
  <c r="QK31" i="5"/>
  <c r="PR31" i="5"/>
  <c r="QD31" i="5"/>
  <c r="PP31" i="5"/>
  <c r="PX31" i="5"/>
  <c r="QO31" i="5"/>
  <c r="PJ31" i="5"/>
  <c r="QH31" i="5"/>
  <c r="PM31" i="5"/>
  <c r="PK31" i="5"/>
  <c r="PO31" i="5"/>
  <c r="PV31" i="5"/>
  <c r="PL31" i="5"/>
  <c r="PX95" i="5"/>
  <c r="QM95" i="5"/>
  <c r="PM95" i="5"/>
  <c r="PV95" i="5"/>
  <c r="PL95" i="5"/>
  <c r="PN95" i="5"/>
  <c r="PU95" i="5"/>
  <c r="QQ95" i="5"/>
  <c r="QB95" i="5"/>
  <c r="QH95" i="5"/>
  <c r="PP95" i="5"/>
  <c r="QK95" i="5"/>
  <c r="PK95" i="5"/>
  <c r="PZ95" i="5"/>
  <c r="PQ95" i="5"/>
  <c r="QN95" i="5"/>
  <c r="PS95" i="5"/>
  <c r="QE95" i="5"/>
  <c r="QG95" i="5"/>
  <c r="QF95" i="5"/>
  <c r="QD95" i="5"/>
  <c r="QA95" i="5"/>
  <c r="PT95" i="5"/>
  <c r="QP95" i="5"/>
  <c r="PW95" i="5"/>
  <c r="QL95" i="5"/>
  <c r="QC95" i="5"/>
  <c r="PO95" i="5"/>
  <c r="PJ95" i="5"/>
  <c r="QJ95" i="5"/>
  <c r="QI95" i="5"/>
  <c r="PR95" i="5"/>
  <c r="PY95" i="5"/>
  <c r="QO95" i="5"/>
  <c r="QB104" i="5"/>
  <c r="QA104" i="5"/>
  <c r="PU104" i="5"/>
  <c r="PT104" i="5"/>
  <c r="PV104" i="5"/>
  <c r="QE104" i="5"/>
  <c r="QN104" i="5"/>
  <c r="PK104" i="5"/>
  <c r="PL104" i="5"/>
  <c r="PW104" i="5"/>
  <c r="QD104" i="5"/>
  <c r="PQ104" i="5"/>
  <c r="PX104" i="5"/>
  <c r="PM104" i="5"/>
  <c r="QI104" i="5"/>
  <c r="QM104" i="5"/>
  <c r="QQ104" i="5"/>
  <c r="QJ104" i="5"/>
  <c r="PY104" i="5"/>
  <c r="QK104" i="5"/>
  <c r="PJ104" i="5"/>
  <c r="PR104" i="5"/>
  <c r="QO104" i="5"/>
  <c r="PN104" i="5"/>
  <c r="PO104" i="5"/>
  <c r="QL104" i="5"/>
  <c r="QF104" i="5"/>
  <c r="PS104" i="5"/>
  <c r="QH104" i="5"/>
  <c r="CO104" i="5" s="1"/>
  <c r="HH104" i="5" s="1"/>
  <c r="QG104" i="5"/>
  <c r="QP104" i="5"/>
  <c r="PZ104" i="5"/>
  <c r="PP104" i="5"/>
  <c r="QC104" i="5"/>
  <c r="QW23" i="5"/>
  <c r="RU23" i="5"/>
  <c r="RN23" i="5"/>
  <c r="RH23" i="5"/>
  <c r="RL23" i="5"/>
  <c r="RA23" i="5"/>
  <c r="QT23" i="5"/>
  <c r="RR23" i="5"/>
  <c r="RP23" i="5"/>
  <c r="CQ23" i="5" s="1"/>
  <c r="RT23" i="5"/>
  <c r="RE23" i="5"/>
  <c r="QX23" i="5"/>
  <c r="QY23" i="5"/>
  <c r="QU23" i="5"/>
  <c r="QV23" i="5"/>
  <c r="RI23" i="5"/>
  <c r="RB23" i="5"/>
  <c r="RG23" i="5"/>
  <c r="RC23" i="5"/>
  <c r="RD23" i="5"/>
  <c r="RM23" i="5"/>
  <c r="RF23" i="5"/>
  <c r="RO23" i="5"/>
  <c r="RK23" i="5"/>
  <c r="RQ23" i="5"/>
  <c r="RJ23" i="5"/>
  <c r="QZ23" i="5"/>
  <c r="RS23" i="5"/>
  <c r="PM62" i="5"/>
  <c r="PL62" i="5"/>
  <c r="QH62" i="5"/>
  <c r="QL62" i="5"/>
  <c r="PZ62" i="5"/>
  <c r="PY62" i="5"/>
  <c r="QJ62" i="5"/>
  <c r="QM62" i="5"/>
  <c r="PW62" i="5"/>
  <c r="QC62" i="5"/>
  <c r="QP62" i="5"/>
  <c r="PP62" i="5"/>
  <c r="PT62" i="5"/>
  <c r="QI62" i="5"/>
  <c r="PX62" i="5"/>
  <c r="QA62" i="5"/>
  <c r="QB62" i="5"/>
  <c r="PQ62" i="5"/>
  <c r="PU62" i="5"/>
  <c r="QE62" i="5"/>
  <c r="PR62" i="5"/>
  <c r="PS62" i="5"/>
  <c r="QF62" i="5"/>
  <c r="PO62" i="5"/>
  <c r="QQ62" i="5"/>
  <c r="QG62" i="5"/>
  <c r="QN62" i="5"/>
  <c r="QD62" i="5"/>
  <c r="PV62" i="5"/>
  <c r="PN62" i="5"/>
  <c r="QK62" i="5"/>
  <c r="QO62" i="5"/>
  <c r="PJ62" i="5"/>
  <c r="CO62" i="5" s="1"/>
  <c r="HH62" i="5" s="1"/>
  <c r="PK62" i="5"/>
  <c r="PO54" i="5"/>
  <c r="PU54" i="5"/>
  <c r="QG54" i="5"/>
  <c r="PQ54" i="5"/>
  <c r="QQ54" i="5"/>
  <c r="PR54" i="5"/>
  <c r="QM54" i="5"/>
  <c r="QO54" i="5"/>
  <c r="PT54" i="5"/>
  <c r="PZ54" i="5"/>
  <c r="PL54" i="5"/>
  <c r="PN54" i="5"/>
  <c r="PV54" i="5"/>
  <c r="QJ54" i="5"/>
  <c r="PK54" i="5"/>
  <c r="QA54" i="5"/>
  <c r="PM54" i="5"/>
  <c r="QN54" i="5"/>
  <c r="QF54" i="5"/>
  <c r="PS54" i="5"/>
  <c r="QL54" i="5"/>
  <c r="QC54" i="5"/>
  <c r="PP54" i="5"/>
  <c r="PY54" i="5"/>
  <c r="QH54" i="5"/>
  <c r="QB54" i="5"/>
  <c r="QK54" i="5"/>
  <c r="PJ54" i="5"/>
  <c r="QI54" i="5"/>
  <c r="QP54" i="5"/>
  <c r="QD54" i="5"/>
  <c r="PW54" i="5"/>
  <c r="PX54" i="5"/>
  <c r="QE54" i="5"/>
  <c r="QE30" i="5"/>
  <c r="QN30" i="5"/>
  <c r="PN30" i="5"/>
  <c r="QO30" i="5"/>
  <c r="PP30" i="5"/>
  <c r="QM30" i="5"/>
  <c r="QH30" i="5"/>
  <c r="PO30" i="5"/>
  <c r="PQ30" i="5"/>
  <c r="PK30" i="5"/>
  <c r="QJ30" i="5"/>
  <c r="QK30" i="5"/>
  <c r="QP30" i="5"/>
  <c r="PR30" i="5"/>
  <c r="PT30" i="5"/>
  <c r="QA30" i="5"/>
  <c r="QG30" i="5"/>
  <c r="CO30" i="5" s="1"/>
  <c r="HH30" i="5" s="1"/>
  <c r="QB30" i="5"/>
  <c r="QC30" i="5"/>
  <c r="PX30" i="5"/>
  <c r="QQ30" i="5"/>
  <c r="QL30" i="5"/>
  <c r="PV30" i="5"/>
  <c r="PL30" i="5"/>
  <c r="QF30" i="5"/>
  <c r="PZ30" i="5"/>
  <c r="PS30" i="5"/>
  <c r="QD30" i="5"/>
  <c r="PW30" i="5"/>
  <c r="PJ30" i="5"/>
  <c r="PM30" i="5"/>
  <c r="QI30" i="5"/>
  <c r="PY30" i="5"/>
  <c r="PU30" i="5"/>
  <c r="QG44" i="5"/>
  <c r="QF44" i="5"/>
  <c r="PO44" i="5"/>
  <c r="QN44" i="5"/>
  <c r="PX44" i="5"/>
  <c r="PM44" i="5"/>
  <c r="QQ44" i="5"/>
  <c r="PS44" i="5"/>
  <c r="QJ44" i="5"/>
  <c r="QH44" i="5"/>
  <c r="PJ44" i="5"/>
  <c r="QC44" i="5"/>
  <c r="QA44" i="5"/>
  <c r="PQ44" i="5"/>
  <c r="PY44" i="5"/>
  <c r="QD44" i="5"/>
  <c r="QE44" i="5"/>
  <c r="PN44" i="5"/>
  <c r="PP44" i="5"/>
  <c r="PV44" i="5"/>
  <c r="QI44" i="5"/>
  <c r="PR44" i="5"/>
  <c r="QO44" i="5"/>
  <c r="QB44" i="5"/>
  <c r="PU44" i="5"/>
  <c r="PW44" i="5"/>
  <c r="PT44" i="5"/>
  <c r="PL44" i="5"/>
  <c r="QM44" i="5"/>
  <c r="PK44" i="5"/>
  <c r="QK44" i="5"/>
  <c r="QL44" i="5"/>
  <c r="QP44" i="5"/>
  <c r="PZ44" i="5"/>
  <c r="QA80" i="5"/>
  <c r="QQ80" i="5"/>
  <c r="QM80" i="5"/>
  <c r="QH80" i="5"/>
  <c r="QF80" i="5"/>
  <c r="PX80" i="5"/>
  <c r="QO80" i="5"/>
  <c r="QG80" i="5"/>
  <c r="QB80" i="5"/>
  <c r="PO80" i="5"/>
  <c r="QD80" i="5"/>
  <c r="PY80" i="5"/>
  <c r="QN80" i="5"/>
  <c r="PJ80" i="5"/>
  <c r="QK80" i="5"/>
  <c r="CO80" i="5" s="1"/>
  <c r="HH80" i="5" s="1"/>
  <c r="QE80" i="5"/>
  <c r="QJ80" i="5"/>
  <c r="QI80" i="5"/>
  <c r="PT80" i="5"/>
  <c r="PZ80" i="5"/>
  <c r="PU80" i="5"/>
  <c r="PL80" i="5"/>
  <c r="PV80" i="5"/>
  <c r="PK80" i="5"/>
  <c r="QL80" i="5"/>
  <c r="PS80" i="5"/>
  <c r="QP80" i="5"/>
  <c r="PM80" i="5"/>
  <c r="PP80" i="5"/>
  <c r="PN80" i="5"/>
  <c r="PQ80" i="5"/>
  <c r="PW80" i="5"/>
  <c r="PR80" i="5"/>
  <c r="QC80" i="5"/>
  <c r="PN25" i="5"/>
  <c r="QQ25" i="5"/>
  <c r="QG25" i="5"/>
  <c r="QP25" i="5"/>
  <c r="QB25" i="5"/>
  <c r="QN25" i="5"/>
  <c r="PP25" i="5"/>
  <c r="PT25" i="5"/>
  <c r="QL25" i="5"/>
  <c r="PY25" i="5"/>
  <c r="QE25" i="5"/>
  <c r="PL25" i="5"/>
  <c r="PV25" i="5"/>
  <c r="PM25" i="5"/>
  <c r="PQ25" i="5"/>
  <c r="PZ25" i="5"/>
  <c r="QA25" i="5"/>
  <c r="PX25" i="5"/>
  <c r="PK25" i="5"/>
  <c r="PJ25" i="5"/>
  <c r="QK25" i="5"/>
  <c r="QJ25" i="5"/>
  <c r="QO25" i="5"/>
  <c r="QF25" i="5"/>
  <c r="PR25" i="5"/>
  <c r="PU25" i="5"/>
  <c r="QM25" i="5"/>
  <c r="PO25" i="5"/>
  <c r="PS25" i="5"/>
  <c r="QH25" i="5"/>
  <c r="QD25" i="5"/>
  <c r="QI25" i="5"/>
  <c r="PW25" i="5"/>
  <c r="QC25" i="5"/>
  <c r="RQ20" i="5"/>
  <c r="RJ20" i="5"/>
  <c r="RS20" i="5"/>
  <c r="RG20" i="5"/>
  <c r="QW20" i="5"/>
  <c r="RU20" i="5"/>
  <c r="RN20" i="5"/>
  <c r="QV20" i="5"/>
  <c r="RO20" i="5"/>
  <c r="RA20" i="5"/>
  <c r="QT20" i="5"/>
  <c r="RR20" i="5"/>
  <c r="RD20" i="5"/>
  <c r="QZ20" i="5"/>
  <c r="RE20" i="5"/>
  <c r="QX20" i="5"/>
  <c r="QU20" i="5"/>
  <c r="RL20" i="5"/>
  <c r="RH20" i="5"/>
  <c r="RI20" i="5"/>
  <c r="CQ20" i="5" s="1"/>
  <c r="RB20" i="5"/>
  <c r="RC20" i="5"/>
  <c r="RT20" i="5"/>
  <c r="RP20" i="5"/>
  <c r="RM20" i="5"/>
  <c r="RF20" i="5"/>
  <c r="RK20" i="5"/>
  <c r="QY20" i="5"/>
  <c r="RF42" i="5"/>
  <c r="RC42" i="5"/>
  <c r="QZ42" i="5"/>
  <c r="RE42" i="5"/>
  <c r="RA42" i="5"/>
  <c r="RJ42" i="5"/>
  <c r="RG42" i="5"/>
  <c r="RD42" i="5"/>
  <c r="RU42" i="5"/>
  <c r="RN42" i="5"/>
  <c r="RK42" i="5"/>
  <c r="RH42" i="5"/>
  <c r="RI42" i="5"/>
  <c r="QT42" i="5"/>
  <c r="RR42" i="5"/>
  <c r="RO42" i="5"/>
  <c r="RL42" i="5"/>
  <c r="QW42" i="5"/>
  <c r="QX42" i="5"/>
  <c r="QU42" i="5"/>
  <c r="RS42" i="5"/>
  <c r="RP42" i="5"/>
  <c r="RM42" i="5"/>
  <c r="RB42" i="5"/>
  <c r="QY42" i="5"/>
  <c r="QV42" i="5"/>
  <c r="RT42" i="5"/>
  <c r="RQ42" i="5"/>
  <c r="RU15" i="5"/>
  <c r="RF15" i="5"/>
  <c r="CQ15" i="5" s="1"/>
  <c r="RC15" i="5"/>
  <c r="QZ15" i="5"/>
  <c r="RQ15" i="5"/>
  <c r="RJ15" i="5"/>
  <c r="RG15" i="5"/>
  <c r="RD15" i="5"/>
  <c r="RE15" i="5"/>
  <c r="RN15" i="5"/>
  <c r="RK15" i="5"/>
  <c r="RH15" i="5"/>
  <c r="RT15" i="5"/>
  <c r="QT15" i="5"/>
  <c r="RR15" i="5"/>
  <c r="RO15" i="5"/>
  <c r="RL15" i="5"/>
  <c r="RI15" i="5"/>
  <c r="QX15" i="5"/>
  <c r="QU15" i="5"/>
  <c r="RS15" i="5"/>
  <c r="RP15" i="5"/>
  <c r="RM15" i="5"/>
  <c r="RB15" i="5"/>
  <c r="QY15" i="5"/>
  <c r="QV15" i="5"/>
  <c r="RA15" i="5"/>
  <c r="QW15" i="5"/>
  <c r="QW31" i="5"/>
  <c r="RU31" i="5"/>
  <c r="RO31" i="5"/>
  <c r="RH31" i="5"/>
  <c r="QV31" i="5"/>
  <c r="RA31" i="5"/>
  <c r="QU31" i="5"/>
  <c r="RS31" i="5"/>
  <c r="RP31" i="5"/>
  <c r="RD31" i="5"/>
  <c r="RE31" i="5"/>
  <c r="QY31" i="5"/>
  <c r="QX31" i="5"/>
  <c r="QT31" i="5"/>
  <c r="RL31" i="5"/>
  <c r="RI31" i="5"/>
  <c r="RC31" i="5"/>
  <c r="RF31" i="5"/>
  <c r="RB31" i="5"/>
  <c r="RT31" i="5"/>
  <c r="RM31" i="5"/>
  <c r="RG31" i="5"/>
  <c r="RN31" i="5"/>
  <c r="RJ31" i="5"/>
  <c r="RQ31" i="5"/>
  <c r="RK31" i="5"/>
  <c r="CQ31" i="5" s="1"/>
  <c r="QZ31" i="5"/>
  <c r="RR31" i="5"/>
  <c r="RK95" i="5"/>
  <c r="RH95" i="5"/>
  <c r="RM95" i="5"/>
  <c r="RI95" i="5"/>
  <c r="RO95" i="5"/>
  <c r="RL95" i="5"/>
  <c r="RU95" i="5"/>
  <c r="RQ95" i="5"/>
  <c r="QU95" i="5"/>
  <c r="RS95" i="5"/>
  <c r="RP95" i="5"/>
  <c r="QX95" i="5"/>
  <c r="RB95" i="5"/>
  <c r="QY95" i="5"/>
  <c r="QV95" i="5"/>
  <c r="RT95" i="5"/>
  <c r="RF95" i="5"/>
  <c r="RJ95" i="5"/>
  <c r="RC95" i="5"/>
  <c r="QZ95" i="5"/>
  <c r="QW95" i="5"/>
  <c r="RN95" i="5"/>
  <c r="RR95" i="5"/>
  <c r="RG95" i="5"/>
  <c r="RD95" i="5"/>
  <c r="RE95" i="5"/>
  <c r="RA95" i="5"/>
  <c r="QT95" i="5"/>
  <c r="PQ52" i="5"/>
  <c r="QO52" i="5"/>
  <c r="QN52" i="5"/>
  <c r="PJ52" i="5"/>
  <c r="PZ52" i="5"/>
  <c r="QH52" i="5"/>
  <c r="QL52" i="5"/>
  <c r="PU52" i="5"/>
  <c r="PN52" i="5"/>
  <c r="PO52" i="5"/>
  <c r="PP52" i="5"/>
  <c r="QM52" i="5"/>
  <c r="PR52" i="5"/>
  <c r="QJ52" i="5"/>
  <c r="PY52" i="5"/>
  <c r="PS52" i="5"/>
  <c r="PV52" i="5"/>
  <c r="PW52" i="5"/>
  <c r="PL52" i="5"/>
  <c r="PT52" i="5"/>
  <c r="QC52" i="5"/>
  <c r="PX52" i="5"/>
  <c r="QB52" i="5"/>
  <c r="QE52" i="5"/>
  <c r="QA52" i="5"/>
  <c r="QG52" i="5"/>
  <c r="QD52" i="5"/>
  <c r="PM52" i="5"/>
  <c r="QK52" i="5"/>
  <c r="QI52" i="5"/>
  <c r="QQ52" i="5"/>
  <c r="PK52" i="5"/>
  <c r="QF52" i="5"/>
  <c r="QP52" i="5"/>
  <c r="RA104" i="5"/>
  <c r="QT104" i="5"/>
  <c r="RR104" i="5"/>
  <c r="RO104" i="5"/>
  <c r="RL104" i="5"/>
  <c r="RE104" i="5"/>
  <c r="QX104" i="5"/>
  <c r="QU104" i="5"/>
  <c r="RS104" i="5"/>
  <c r="QZ104" i="5"/>
  <c r="RI104" i="5"/>
  <c r="RB104" i="5"/>
  <c r="QY104" i="5"/>
  <c r="RD104" i="5"/>
  <c r="RP104" i="5"/>
  <c r="RM104" i="5"/>
  <c r="RF104" i="5"/>
  <c r="RC104" i="5"/>
  <c r="RT104" i="5"/>
  <c r="RQ104" i="5"/>
  <c r="RJ104" i="5"/>
  <c r="RG104" i="5"/>
  <c r="RH104" i="5"/>
  <c r="QW104" i="5"/>
  <c r="RU104" i="5"/>
  <c r="RN104" i="5"/>
  <c r="CQ104" i="5" s="1"/>
  <c r="RK104" i="5"/>
  <c r="QV104" i="5"/>
  <c r="QD84" i="5"/>
  <c r="QN84" i="5"/>
  <c r="QG84" i="5"/>
  <c r="QI84" i="5"/>
  <c r="QP84" i="5"/>
  <c r="QE84" i="5"/>
  <c r="PL84" i="5"/>
  <c r="PX84" i="5"/>
  <c r="QJ84" i="5"/>
  <c r="QO84" i="5"/>
  <c r="PM84" i="5"/>
  <c r="QC84" i="5"/>
  <c r="QB84" i="5"/>
  <c r="PN84" i="5"/>
  <c r="QL84" i="5"/>
  <c r="PV84" i="5"/>
  <c r="PR84" i="5"/>
  <c r="QF84" i="5"/>
  <c r="PT84" i="5"/>
  <c r="PW84" i="5"/>
  <c r="QH84" i="5"/>
  <c r="CO84" i="5" s="1"/>
  <c r="HH84" i="5" s="1"/>
  <c r="PY84" i="5"/>
  <c r="PO84" i="5"/>
  <c r="PP84" i="5"/>
  <c r="PK84" i="5"/>
  <c r="PQ84" i="5"/>
  <c r="PJ84" i="5"/>
  <c r="QQ84" i="5"/>
  <c r="PS84" i="5"/>
  <c r="PU84" i="5"/>
  <c r="QM84" i="5"/>
  <c r="PZ84" i="5"/>
  <c r="QK84" i="5"/>
  <c r="QA84" i="5"/>
  <c r="PO23" i="5"/>
  <c r="QM23" i="5"/>
  <c r="QG23" i="5"/>
  <c r="QO23" i="5"/>
  <c r="PY23" i="5"/>
  <c r="PU23" i="5"/>
  <c r="QD23" i="5"/>
  <c r="PS23" i="5"/>
  <c r="QQ23" i="5"/>
  <c r="QL23" i="5"/>
  <c r="PN23" i="5"/>
  <c r="QJ23" i="5"/>
  <c r="CO23" i="5" s="1"/>
  <c r="HH23" i="5" s="1"/>
  <c r="QK23" i="5"/>
  <c r="QP23" i="5"/>
  <c r="PW23" i="5"/>
  <c r="PL23" i="5"/>
  <c r="PM23" i="5"/>
  <c r="PX23" i="5"/>
  <c r="QC23" i="5"/>
  <c r="QN23" i="5"/>
  <c r="PV23" i="5"/>
  <c r="QA23" i="5"/>
  <c r="PQ23" i="5"/>
  <c r="PT23" i="5"/>
  <c r="QF23" i="5"/>
  <c r="PJ23" i="5"/>
  <c r="PZ23" i="5"/>
  <c r="PK23" i="5"/>
  <c r="QI23" i="5"/>
  <c r="QB23" i="5"/>
  <c r="QH23" i="5"/>
  <c r="PP23" i="5"/>
  <c r="PR23" i="5"/>
  <c r="QE23" i="5"/>
  <c r="RA62" i="5"/>
  <c r="QT62" i="5"/>
  <c r="RR62" i="5"/>
  <c r="RK62" i="5"/>
  <c r="QY62" i="5"/>
  <c r="RE62" i="5"/>
  <c r="QX62" i="5"/>
  <c r="QZ62" i="5"/>
  <c r="RS62" i="5"/>
  <c r="RG62" i="5"/>
  <c r="RI62" i="5"/>
  <c r="RB62" i="5"/>
  <c r="RH62" i="5"/>
  <c r="QV62" i="5"/>
  <c r="RO62" i="5"/>
  <c r="RM62" i="5"/>
  <c r="RF62" i="5"/>
  <c r="RP62" i="5"/>
  <c r="RD62" i="5"/>
  <c r="RQ62" i="5"/>
  <c r="RJ62" i="5"/>
  <c r="QU62" i="5"/>
  <c r="RL62" i="5"/>
  <c r="QW62" i="5"/>
  <c r="RU62" i="5"/>
  <c r="RN62" i="5"/>
  <c r="RC62" i="5"/>
  <c r="RT62" i="5"/>
  <c r="RF54" i="5"/>
  <c r="RI54" i="5"/>
  <c r="RK54" i="5"/>
  <c r="RG54" i="5"/>
  <c r="RL54" i="5"/>
  <c r="RJ54" i="5"/>
  <c r="RO54" i="5"/>
  <c r="RP54" i="5"/>
  <c r="RQ54" i="5"/>
  <c r="RN54" i="5"/>
  <c r="RT54" i="5"/>
  <c r="RU54" i="5"/>
  <c r="QW54" i="5"/>
  <c r="QT54" i="5"/>
  <c r="RR54" i="5"/>
  <c r="QU54" i="5"/>
  <c r="RC54" i="5"/>
  <c r="RH54" i="5"/>
  <c r="QX54" i="5"/>
  <c r="QY54" i="5"/>
  <c r="QZ54" i="5"/>
  <c r="RM54" i="5"/>
  <c r="RS54" i="5"/>
  <c r="RB54" i="5"/>
  <c r="RD54" i="5"/>
  <c r="RE54" i="5"/>
  <c r="QV54" i="5"/>
  <c r="RA54" i="5"/>
  <c r="RQ30" i="5"/>
  <c r="QY30" i="5"/>
  <c r="QZ30" i="5"/>
  <c r="RF30" i="5"/>
  <c r="QW30" i="5"/>
  <c r="RU30" i="5"/>
  <c r="RC30" i="5"/>
  <c r="RJ30" i="5"/>
  <c r="RN30" i="5"/>
  <c r="RA30" i="5"/>
  <c r="QT30" i="5"/>
  <c r="RG30" i="5"/>
  <c r="RR30" i="5"/>
  <c r="QV30" i="5"/>
  <c r="RE30" i="5"/>
  <c r="QX30" i="5"/>
  <c r="RK30" i="5"/>
  <c r="RD30" i="5"/>
  <c r="RH30" i="5"/>
  <c r="RI30" i="5"/>
  <c r="RB30" i="5"/>
  <c r="RO30" i="5"/>
  <c r="RL30" i="5"/>
  <c r="RP30" i="5"/>
  <c r="RM30" i="5"/>
  <c r="CQ30" i="5" s="1"/>
  <c r="QU30" i="5"/>
  <c r="RS30" i="5"/>
  <c r="RT30" i="5"/>
  <c r="RF44" i="5"/>
  <c r="RD44" i="5"/>
  <c r="RG44" i="5"/>
  <c r="RC44" i="5"/>
  <c r="RU44" i="5"/>
  <c r="RJ44" i="5"/>
  <c r="RH44" i="5"/>
  <c r="RO44" i="5"/>
  <c r="RK44" i="5"/>
  <c r="RN44" i="5"/>
  <c r="RL44" i="5"/>
  <c r="CQ44" i="5" s="1"/>
  <c r="RA44" i="5"/>
  <c r="RS44" i="5"/>
  <c r="QT44" i="5"/>
  <c r="RR44" i="5"/>
  <c r="RP44" i="5"/>
  <c r="RI44" i="5"/>
  <c r="QW44" i="5"/>
  <c r="QX44" i="5"/>
  <c r="QV44" i="5"/>
  <c r="RT44" i="5"/>
  <c r="RQ44" i="5"/>
  <c r="RE44" i="5"/>
  <c r="RB44" i="5"/>
  <c r="QZ44" i="5"/>
  <c r="QY44" i="5"/>
  <c r="QU44" i="5"/>
  <c r="RM44" i="5"/>
  <c r="PS107" i="5"/>
  <c r="PR107" i="5"/>
  <c r="QN107" i="5"/>
  <c r="PU107" i="5"/>
  <c r="PW107" i="5"/>
  <c r="QE107" i="5"/>
  <c r="PZ107" i="5"/>
  <c r="PN107" i="5"/>
  <c r="PQ107" i="5"/>
  <c r="QC107" i="5"/>
  <c r="PO107" i="5"/>
  <c r="QL107" i="5"/>
  <c r="PP107" i="5"/>
  <c r="QH107" i="5"/>
  <c r="PJ107" i="5"/>
  <c r="QP107" i="5"/>
  <c r="PK107" i="5"/>
  <c r="PV107" i="5"/>
  <c r="PX107" i="5"/>
  <c r="QM107" i="5"/>
  <c r="QK107" i="5"/>
  <c r="QG107" i="5"/>
  <c r="QA107" i="5"/>
  <c r="PT107" i="5"/>
  <c r="QI107" i="5"/>
  <c r="QJ107" i="5"/>
  <c r="PL107" i="5"/>
  <c r="QO107" i="5"/>
  <c r="QQ107" i="5"/>
  <c r="QB107" i="5"/>
  <c r="PY107" i="5"/>
  <c r="PM107" i="5"/>
  <c r="QF107" i="5"/>
  <c r="QD107" i="5"/>
  <c r="RO80" i="5"/>
  <c r="RL80" i="5"/>
  <c r="RI80" i="5"/>
  <c r="RB80" i="5"/>
  <c r="QU80" i="5"/>
  <c r="RS80" i="5"/>
  <c r="RP80" i="5"/>
  <c r="RM80" i="5"/>
  <c r="RR80" i="5"/>
  <c r="QY80" i="5"/>
  <c r="QV80" i="5"/>
  <c r="RT80" i="5"/>
  <c r="RQ80" i="5"/>
  <c r="CQ80" i="5" s="1"/>
  <c r="RF80" i="5"/>
  <c r="RC80" i="5"/>
  <c r="QZ80" i="5"/>
  <c r="QW80" i="5"/>
  <c r="RU80" i="5"/>
  <c r="QT80" i="5"/>
  <c r="RG80" i="5"/>
  <c r="RD80" i="5"/>
  <c r="RA80" i="5"/>
  <c r="QX80" i="5"/>
  <c r="RJ80" i="5"/>
  <c r="RK80" i="5"/>
  <c r="RH80" i="5"/>
  <c r="RE80" i="5"/>
  <c r="RN80" i="5"/>
  <c r="QN86" i="5"/>
  <c r="PM86" i="5"/>
  <c r="PR86" i="5"/>
  <c r="QB86" i="5"/>
  <c r="CO86" i="5" s="1"/>
  <c r="HH86" i="5" s="1"/>
  <c r="QO86" i="5"/>
  <c r="PN86" i="5"/>
  <c r="PJ86" i="5"/>
  <c r="QL86" i="5"/>
  <c r="QD86" i="5"/>
  <c r="PT86" i="5"/>
  <c r="PX86" i="5"/>
  <c r="PZ86" i="5"/>
  <c r="QM86" i="5"/>
  <c r="QI86" i="5"/>
  <c r="PS86" i="5"/>
  <c r="QH86" i="5"/>
  <c r="PY86" i="5"/>
  <c r="QP86" i="5"/>
  <c r="PK86" i="5"/>
  <c r="PV86" i="5"/>
  <c r="QQ86" i="5"/>
  <c r="QK86" i="5"/>
  <c r="PP86" i="5"/>
  <c r="QE86" i="5"/>
  <c r="PO86" i="5"/>
  <c r="QC86" i="5"/>
  <c r="QF86" i="5"/>
  <c r="PQ86" i="5"/>
  <c r="QJ86" i="5"/>
  <c r="PW86" i="5"/>
  <c r="QA86" i="5"/>
  <c r="PL86" i="5"/>
  <c r="PU86" i="5"/>
  <c r="QG86" i="5"/>
  <c r="RI60" i="5"/>
  <c r="RB60" i="5"/>
  <c r="RH60" i="5"/>
  <c r="QV60" i="5"/>
  <c r="RO60" i="5"/>
  <c r="RM60" i="5"/>
  <c r="RF60" i="5"/>
  <c r="RP60" i="5"/>
  <c r="RD60" i="5"/>
  <c r="RQ60" i="5"/>
  <c r="RJ60" i="5"/>
  <c r="QU60" i="5"/>
  <c r="RL60" i="5"/>
  <c r="QW60" i="5"/>
  <c r="RU60" i="5"/>
  <c r="RN60" i="5"/>
  <c r="RC60" i="5"/>
  <c r="RT60" i="5"/>
  <c r="RA60" i="5"/>
  <c r="QT60" i="5"/>
  <c r="RR60" i="5"/>
  <c r="RK60" i="5"/>
  <c r="QY60" i="5"/>
  <c r="RE60" i="5"/>
  <c r="QX60" i="5"/>
  <c r="QZ60" i="5"/>
  <c r="RS60" i="5"/>
  <c r="RG60" i="5"/>
  <c r="RE39" i="5"/>
  <c r="QZ39" i="5"/>
  <c r="RG39" i="5"/>
  <c r="RN39" i="5"/>
  <c r="RD39" i="5"/>
  <c r="RI39" i="5"/>
  <c r="RF39" i="5"/>
  <c r="RL39" i="5"/>
  <c r="RS39" i="5"/>
  <c r="RJ39" i="5"/>
  <c r="RM39" i="5"/>
  <c r="RK39" i="5"/>
  <c r="RR39" i="5"/>
  <c r="QT39" i="5"/>
  <c r="RQ39" i="5"/>
  <c r="RP39" i="5"/>
  <c r="QX39" i="5"/>
  <c r="RO39" i="5"/>
  <c r="CQ39" i="5" s="1"/>
  <c r="QW39" i="5"/>
  <c r="RU39" i="5"/>
  <c r="QV39" i="5"/>
  <c r="RC39" i="5"/>
  <c r="QY39" i="5"/>
  <c r="RA39" i="5"/>
  <c r="QU39" i="5"/>
  <c r="RB39" i="5"/>
  <c r="RH39" i="5"/>
  <c r="RT39" i="5"/>
  <c r="QJ75" i="5"/>
  <c r="QD75" i="5"/>
  <c r="PP75" i="5"/>
  <c r="QH75" i="5"/>
  <c r="QN75" i="5"/>
  <c r="QG75" i="5"/>
  <c r="PL75" i="5"/>
  <c r="PJ75" i="5"/>
  <c r="PS75" i="5"/>
  <c r="PX75" i="5"/>
  <c r="PK75" i="5"/>
  <c r="PQ75" i="5"/>
  <c r="PM75" i="5"/>
  <c r="QK75" i="5"/>
  <c r="PR75" i="5"/>
  <c r="QP75" i="5"/>
  <c r="QF75" i="5"/>
  <c r="PN75" i="5"/>
  <c r="QB75" i="5"/>
  <c r="QI75" i="5"/>
  <c r="CO75" i="5" s="1"/>
  <c r="HH75" i="5" s="1"/>
  <c r="PW75" i="5"/>
  <c r="QL75" i="5"/>
  <c r="QM75" i="5"/>
  <c r="QA75" i="5"/>
  <c r="QC75" i="5"/>
  <c r="PO75" i="5"/>
  <c r="QO75" i="5"/>
  <c r="PZ75" i="5"/>
  <c r="QE75" i="5"/>
  <c r="QQ75" i="5"/>
  <c r="PT75" i="5"/>
  <c r="PU75" i="5"/>
  <c r="PY75" i="5"/>
  <c r="PV75" i="5"/>
  <c r="NX14" i="5"/>
  <c r="RC93" i="5"/>
  <c r="QZ93" i="5"/>
  <c r="QW93" i="5"/>
  <c r="RN93" i="5"/>
  <c r="RJ93" i="5"/>
  <c r="RG93" i="5"/>
  <c r="RD93" i="5"/>
  <c r="RE93" i="5"/>
  <c r="RA93" i="5"/>
  <c r="RR93" i="5"/>
  <c r="RK93" i="5"/>
  <c r="RH93" i="5"/>
  <c r="RM93" i="5"/>
  <c r="RI93" i="5"/>
  <c r="CQ93" i="5" s="1"/>
  <c r="RO93" i="5"/>
  <c r="RL93" i="5"/>
  <c r="RU93" i="5"/>
  <c r="RQ93" i="5"/>
  <c r="QU93" i="5"/>
  <c r="RS93" i="5"/>
  <c r="RP93" i="5"/>
  <c r="QX93" i="5"/>
  <c r="QT93" i="5"/>
  <c r="QY93" i="5"/>
  <c r="QV93" i="5"/>
  <c r="RT93" i="5"/>
  <c r="RF93" i="5"/>
  <c r="RB93" i="5"/>
  <c r="NX15" i="5"/>
  <c r="PX6" i="5"/>
  <c r="PQ6" i="5"/>
  <c r="QO6" i="5"/>
  <c r="QP6" i="5"/>
  <c r="PU6" i="5"/>
  <c r="QD6" i="5"/>
  <c r="PM6" i="5"/>
  <c r="QN6" i="5"/>
  <c r="QK6" i="5"/>
  <c r="PW6" i="5"/>
  <c r="PN6" i="5"/>
  <c r="QA6" i="5"/>
  <c r="PS6" i="5"/>
  <c r="PV6" i="5"/>
  <c r="PR6" i="5"/>
  <c r="QM6" i="5"/>
  <c r="QE6" i="5"/>
  <c r="PK6" i="5"/>
  <c r="QF6" i="5"/>
  <c r="QH6" i="5"/>
  <c r="PT6" i="5"/>
  <c r="PY6" i="5"/>
  <c r="QJ6" i="5"/>
  <c r="QI6" i="5"/>
  <c r="PO6" i="5"/>
  <c r="PJ6" i="5"/>
  <c r="PL6" i="5"/>
  <c r="QB6" i="5"/>
  <c r="QQ6" i="5"/>
  <c r="PP6" i="5"/>
  <c r="PZ6" i="5"/>
  <c r="QG6" i="5"/>
  <c r="QC6" i="5"/>
  <c r="QL6" i="5"/>
  <c r="QM34" i="5"/>
  <c r="QE34" i="5"/>
  <c r="PS34" i="5"/>
  <c r="QC34" i="5"/>
  <c r="QA34" i="5"/>
  <c r="QI34" i="5"/>
  <c r="QJ34" i="5"/>
  <c r="QG34" i="5"/>
  <c r="QN34" i="5"/>
  <c r="PL34" i="5"/>
  <c r="PP34" i="5"/>
  <c r="QP34" i="5"/>
  <c r="PR34" i="5"/>
  <c r="PK34" i="5"/>
  <c r="PJ34" i="5"/>
  <c r="QH34" i="5"/>
  <c r="PU34" i="5"/>
  <c r="QQ34" i="5"/>
  <c r="QF34" i="5"/>
  <c r="PY34" i="5"/>
  <c r="PZ34" i="5"/>
  <c r="PX34" i="5"/>
  <c r="QK34" i="5"/>
  <c r="CO34" i="5" s="1"/>
  <c r="HH34" i="5" s="1"/>
  <c r="QL34" i="5"/>
  <c r="PQ34" i="5"/>
  <c r="QO34" i="5"/>
  <c r="PO34" i="5"/>
  <c r="PT34" i="5"/>
  <c r="PW34" i="5"/>
  <c r="QD34" i="5"/>
  <c r="QB34" i="5"/>
  <c r="PM34" i="5"/>
  <c r="PV34" i="5"/>
  <c r="PN34" i="5"/>
  <c r="RQ25" i="5"/>
  <c r="RR25" i="5"/>
  <c r="QT25" i="5"/>
  <c r="RF25" i="5"/>
  <c r="QW25" i="5"/>
  <c r="RU25" i="5"/>
  <c r="QX25" i="5"/>
  <c r="QY25" i="5"/>
  <c r="RK25" i="5"/>
  <c r="CQ25" i="5" s="1"/>
  <c r="RA25" i="5"/>
  <c r="QV25" i="5"/>
  <c r="RC25" i="5"/>
  <c r="RD25" i="5"/>
  <c r="QU25" i="5"/>
  <c r="RE25" i="5"/>
  <c r="RB25" i="5"/>
  <c r="RH25" i="5"/>
  <c r="RJ25" i="5"/>
  <c r="RP25" i="5"/>
  <c r="RI25" i="5"/>
  <c r="RG25" i="5"/>
  <c r="RN25" i="5"/>
  <c r="RO25" i="5"/>
  <c r="QZ25" i="5"/>
  <c r="RM25" i="5"/>
  <c r="RL25" i="5"/>
  <c r="RS25" i="5"/>
  <c r="RT25" i="5"/>
  <c r="QY86" i="5"/>
  <c r="QV86" i="5"/>
  <c r="RT86" i="5"/>
  <c r="RJ86" i="5"/>
  <c r="QX86" i="5"/>
  <c r="RC86" i="5"/>
  <c r="QZ86" i="5"/>
  <c r="RA86" i="5"/>
  <c r="RR86" i="5"/>
  <c r="RF86" i="5"/>
  <c r="RG86" i="5"/>
  <c r="RD86" i="5"/>
  <c r="RI86" i="5"/>
  <c r="QW86" i="5"/>
  <c r="RN86" i="5"/>
  <c r="RK86" i="5"/>
  <c r="RH86" i="5"/>
  <c r="CQ86" i="5" s="1"/>
  <c r="RQ86" i="5"/>
  <c r="RE86" i="5"/>
  <c r="RO86" i="5"/>
  <c r="RL86" i="5"/>
  <c r="QT86" i="5"/>
  <c r="RM86" i="5"/>
  <c r="QU86" i="5"/>
  <c r="RS86" i="5"/>
  <c r="RP86" i="5"/>
  <c r="RB86" i="5"/>
  <c r="RU86" i="5"/>
  <c r="NX30" i="5"/>
  <c r="QT14" i="5"/>
  <c r="RR14" i="5"/>
  <c r="RO14" i="5"/>
  <c r="RL14" i="5"/>
  <c r="RQ14" i="5"/>
  <c r="QX14" i="5"/>
  <c r="QU14" i="5"/>
  <c r="RS14" i="5"/>
  <c r="RP14" i="5"/>
  <c r="RE14" i="5"/>
  <c r="RB14" i="5"/>
  <c r="QY14" i="5"/>
  <c r="QV14" i="5"/>
  <c r="RT14" i="5"/>
  <c r="RI14" i="5"/>
  <c r="RF14" i="5"/>
  <c r="RC14" i="5"/>
  <c r="QZ14" i="5"/>
  <c r="QW14" i="5"/>
  <c r="RU14" i="5"/>
  <c r="RJ14" i="5"/>
  <c r="RG14" i="5"/>
  <c r="RD14" i="5"/>
  <c r="RM14" i="5"/>
  <c r="RN14" i="5"/>
  <c r="RK14" i="5"/>
  <c r="RH14" i="5"/>
  <c r="RA14" i="5"/>
  <c r="QY84" i="5"/>
  <c r="QV84" i="5"/>
  <c r="RT84" i="5"/>
  <c r="RJ84" i="5"/>
  <c r="QX84" i="5"/>
  <c r="RC84" i="5"/>
  <c r="QZ84" i="5"/>
  <c r="RA84" i="5"/>
  <c r="RR84" i="5"/>
  <c r="RF84" i="5"/>
  <c r="RG84" i="5"/>
  <c r="RD84" i="5"/>
  <c r="RI84" i="5"/>
  <c r="QW84" i="5"/>
  <c r="RN84" i="5"/>
  <c r="CQ84" i="5" s="1"/>
  <c r="RK84" i="5"/>
  <c r="RH84" i="5"/>
  <c r="RQ84" i="5"/>
  <c r="RE84" i="5"/>
  <c r="RO84" i="5"/>
  <c r="RL84" i="5"/>
  <c r="QT84" i="5"/>
  <c r="RM84" i="5"/>
  <c r="QU84" i="5"/>
  <c r="RS84" i="5"/>
  <c r="RP84" i="5"/>
  <c r="RB84" i="5"/>
  <c r="RU84" i="5"/>
  <c r="QF93" i="5"/>
  <c r="PZ93" i="5"/>
  <c r="QA93" i="5"/>
  <c r="QI93" i="5"/>
  <c r="QD93" i="5"/>
  <c r="PO93" i="5"/>
  <c r="PL93" i="5"/>
  <c r="QJ93" i="5"/>
  <c r="QE93" i="5"/>
  <c r="QH93" i="5"/>
  <c r="QQ93" i="5"/>
  <c r="PR93" i="5"/>
  <c r="QM93" i="5"/>
  <c r="PP93" i="5"/>
  <c r="QN93" i="5"/>
  <c r="QK93" i="5"/>
  <c r="QO93" i="5"/>
  <c r="PK93" i="5"/>
  <c r="QG93" i="5"/>
  <c r="PX93" i="5"/>
  <c r="PT93" i="5"/>
  <c r="PJ93" i="5"/>
  <c r="QP93" i="5"/>
  <c r="PN93" i="5"/>
  <c r="PY93" i="5"/>
  <c r="PW93" i="5"/>
  <c r="PV93" i="5"/>
  <c r="QB93" i="5"/>
  <c r="PU93" i="5"/>
  <c r="PS93" i="5"/>
  <c r="QC93" i="5"/>
  <c r="CO93" i="5" s="1"/>
  <c r="HH93" i="5" s="1"/>
  <c r="PQ93" i="5"/>
  <c r="PM93" i="5"/>
  <c r="QL93" i="5"/>
  <c r="PY22" i="5"/>
  <c r="PS22" i="5"/>
  <c r="PR22" i="5"/>
  <c r="QB22" i="5"/>
  <c r="PW22" i="5"/>
  <c r="QJ22" i="5"/>
  <c r="QG22" i="5"/>
  <c r="CO22" i="5" s="1"/>
  <c r="HH22" i="5" s="1"/>
  <c r="PJ22" i="5"/>
  <c r="QC22" i="5"/>
  <c r="PX22" i="5"/>
  <c r="PZ22" i="5"/>
  <c r="QL22" i="5"/>
  <c r="QQ22" i="5"/>
  <c r="QD22" i="5"/>
  <c r="QF22" i="5"/>
  <c r="PL22" i="5"/>
  <c r="QA22" i="5"/>
  <c r="PQ22" i="5"/>
  <c r="PP22" i="5"/>
  <c r="PM22" i="5"/>
  <c r="QK22" i="5"/>
  <c r="QI22" i="5"/>
  <c r="QM22" i="5"/>
  <c r="PV22" i="5"/>
  <c r="PO22" i="5"/>
  <c r="QN22" i="5"/>
  <c r="PU22" i="5"/>
  <c r="PN22" i="5"/>
  <c r="PK22" i="5"/>
  <c r="PT22" i="5"/>
  <c r="QP22" i="5"/>
  <c r="QH22" i="5"/>
  <c r="QO22" i="5"/>
  <c r="QE22" i="5"/>
  <c r="NX31" i="5"/>
  <c r="QX6" i="5"/>
  <c r="QU6" i="5"/>
  <c r="RS6" i="5"/>
  <c r="RP6" i="5"/>
  <c r="RE6" i="5"/>
  <c r="RB6" i="5"/>
  <c r="QY6" i="5"/>
  <c r="QV6" i="5"/>
  <c r="RT6" i="5"/>
  <c r="RI6" i="5"/>
  <c r="RF6" i="5"/>
  <c r="RC6" i="5"/>
  <c r="QZ6" i="5"/>
  <c r="QW6" i="5"/>
  <c r="RU6" i="5"/>
  <c r="RJ6" i="5"/>
  <c r="RG6" i="5"/>
  <c r="RD6" i="5"/>
  <c r="RM6" i="5"/>
  <c r="RN6" i="5"/>
  <c r="RK6" i="5"/>
  <c r="RH6" i="5"/>
  <c r="RA6" i="5"/>
  <c r="QT6" i="5"/>
  <c r="RR6" i="5"/>
  <c r="RO6" i="5"/>
  <c r="CQ6" i="5" s="1"/>
  <c r="RL6" i="5"/>
  <c r="RQ6" i="5"/>
  <c r="RI107" i="5"/>
  <c r="RB107" i="5"/>
  <c r="QY107" i="5"/>
  <c r="QZ107" i="5"/>
  <c r="QV107" i="5"/>
  <c r="RM107" i="5"/>
  <c r="RF107" i="5"/>
  <c r="RC107" i="5"/>
  <c r="RP107" i="5"/>
  <c r="RQ107" i="5"/>
  <c r="RJ107" i="5"/>
  <c r="RG107" i="5"/>
  <c r="RD107" i="5"/>
  <c r="QW107" i="5"/>
  <c r="RU107" i="5"/>
  <c r="RN107" i="5"/>
  <c r="RK107" i="5"/>
  <c r="RT107" i="5"/>
  <c r="RA107" i="5"/>
  <c r="QT107" i="5"/>
  <c r="RR107" i="5"/>
  <c r="RO107" i="5"/>
  <c r="RH107" i="5"/>
  <c r="RE107" i="5"/>
  <c r="QX107" i="5"/>
  <c r="QU107" i="5"/>
  <c r="RS107" i="5"/>
  <c r="RL107" i="5"/>
  <c r="RA34" i="5"/>
  <c r="QV34" i="5"/>
  <c r="RC34" i="5"/>
  <c r="RD34" i="5"/>
  <c r="QU34" i="5"/>
  <c r="RE34" i="5"/>
  <c r="RB34" i="5"/>
  <c r="RH34" i="5"/>
  <c r="RJ34" i="5"/>
  <c r="RP34" i="5"/>
  <c r="RI34" i="5"/>
  <c r="RG34" i="5"/>
  <c r="RN34" i="5"/>
  <c r="RO34" i="5"/>
  <c r="QZ34" i="5"/>
  <c r="RM34" i="5"/>
  <c r="RL34" i="5"/>
  <c r="RS34" i="5"/>
  <c r="RT34" i="5"/>
  <c r="RQ34" i="5"/>
  <c r="CQ34" i="5" s="1"/>
  <c r="RR34" i="5"/>
  <c r="QT34" i="5"/>
  <c r="RF34" i="5"/>
  <c r="QW34" i="5"/>
  <c r="RU34" i="5"/>
  <c r="QX34" i="5"/>
  <c r="QY34" i="5"/>
  <c r="RK34" i="5"/>
  <c r="NX22" i="5"/>
  <c r="QD57" i="5"/>
  <c r="QI57" i="5"/>
  <c r="PV57" i="5"/>
  <c r="QN57" i="5"/>
  <c r="QJ57" i="5"/>
  <c r="QH57" i="5"/>
  <c r="QM57" i="5"/>
  <c r="PQ57" i="5"/>
  <c r="QO57" i="5"/>
  <c r="PL57" i="5"/>
  <c r="PU57" i="5"/>
  <c r="PN57" i="5"/>
  <c r="PM57" i="5"/>
  <c r="QF57" i="5"/>
  <c r="PR57" i="5"/>
  <c r="QP57" i="5"/>
  <c r="QE57" i="5"/>
  <c r="QL57" i="5"/>
  <c r="QB57" i="5"/>
  <c r="QG57" i="5"/>
  <c r="PS57" i="5"/>
  <c r="PZ57" i="5"/>
  <c r="PO57" i="5"/>
  <c r="PJ57" i="5"/>
  <c r="QA57" i="5"/>
  <c r="PK57" i="5"/>
  <c r="PT57" i="5"/>
  <c r="PX57" i="5"/>
  <c r="PP57" i="5"/>
  <c r="PW57" i="5"/>
  <c r="QQ57" i="5"/>
  <c r="QK57" i="5"/>
  <c r="QC57" i="5"/>
  <c r="PY57" i="5"/>
  <c r="NX44" i="5"/>
  <c r="PY14" i="5"/>
  <c r="PN14" i="5"/>
  <c r="QL14" i="5"/>
  <c r="QQ14" i="5"/>
  <c r="PL14" i="5"/>
  <c r="QF14" i="5"/>
  <c r="PQ14" i="5"/>
  <c r="QA14" i="5"/>
  <c r="QC14" i="5"/>
  <c r="PR14" i="5"/>
  <c r="QP14" i="5"/>
  <c r="PO14" i="5"/>
  <c r="QB14" i="5"/>
  <c r="QO14" i="5"/>
  <c r="QG14" i="5"/>
  <c r="PV14" i="5"/>
  <c r="PK14" i="5"/>
  <c r="PX14" i="5"/>
  <c r="QN14" i="5"/>
  <c r="PM14" i="5"/>
  <c r="QK14" i="5"/>
  <c r="PZ14" i="5"/>
  <c r="PS14" i="5"/>
  <c r="QJ14" i="5"/>
  <c r="PP14" i="5"/>
  <c r="PU14" i="5"/>
  <c r="PJ14" i="5"/>
  <c r="QH14" i="5"/>
  <c r="QI14" i="5"/>
  <c r="QM14" i="5"/>
  <c r="QE14" i="5"/>
  <c r="QD14" i="5"/>
  <c r="PW14" i="5"/>
  <c r="PT14" i="5"/>
  <c r="RO75" i="5"/>
  <c r="CQ75" i="5" s="1"/>
  <c r="RL75" i="5"/>
  <c r="RI75" i="5"/>
  <c r="QX75" i="5"/>
  <c r="QU75" i="5"/>
  <c r="RS75" i="5"/>
  <c r="RP75" i="5"/>
  <c r="RM75" i="5"/>
  <c r="RN75" i="5"/>
  <c r="QY75" i="5"/>
  <c r="QV75" i="5"/>
  <c r="RT75" i="5"/>
  <c r="RQ75" i="5"/>
  <c r="RB75" i="5"/>
  <c r="RC75" i="5"/>
  <c r="QZ75" i="5"/>
  <c r="QW75" i="5"/>
  <c r="RU75" i="5"/>
  <c r="RR75" i="5"/>
  <c r="RG75" i="5"/>
  <c r="RD75" i="5"/>
  <c r="RA75" i="5"/>
  <c r="QT75" i="5"/>
  <c r="RF75" i="5"/>
  <c r="RK75" i="5"/>
  <c r="RH75" i="5"/>
  <c r="RE75" i="5"/>
  <c r="RJ75" i="5"/>
  <c r="PW45" i="5"/>
  <c r="CO45" i="5" s="1"/>
  <c r="HH45" i="5" s="1"/>
  <c r="QC45" i="5"/>
  <c r="QQ45" i="5"/>
  <c r="PY45" i="5"/>
  <c r="PL45" i="5"/>
  <c r="QP45" i="5"/>
  <c r="QN45" i="5"/>
  <c r="QB45" i="5"/>
  <c r="QE45" i="5"/>
  <c r="PX45" i="5"/>
  <c r="PM45" i="5"/>
  <c r="PN45" i="5"/>
  <c r="PS45" i="5"/>
  <c r="QO45" i="5"/>
  <c r="PR45" i="5"/>
  <c r="QG45" i="5"/>
  <c r="QF45" i="5"/>
  <c r="PV45" i="5"/>
  <c r="QI45" i="5"/>
  <c r="QK45" i="5"/>
  <c r="PT45" i="5"/>
  <c r="QD45" i="5"/>
  <c r="PZ45" i="5"/>
  <c r="QH45" i="5"/>
  <c r="PQ45" i="5"/>
  <c r="PK45" i="5"/>
  <c r="PU45" i="5"/>
  <c r="PP45" i="5"/>
  <c r="QM45" i="5"/>
  <c r="PJ45" i="5"/>
  <c r="QL45" i="5"/>
  <c r="QA45" i="5"/>
  <c r="QJ45" i="5"/>
  <c r="PO45" i="5"/>
  <c r="RQ57" i="5"/>
  <c r="RJ57" i="5"/>
  <c r="RT57" i="5"/>
  <c r="RP57" i="5"/>
  <c r="QW57" i="5"/>
  <c r="RU57" i="5"/>
  <c r="RN57" i="5"/>
  <c r="QY57" i="5"/>
  <c r="RK57" i="5"/>
  <c r="RA57" i="5"/>
  <c r="QT57" i="5"/>
  <c r="RR57" i="5"/>
  <c r="RG57" i="5"/>
  <c r="RS57" i="5"/>
  <c r="RE57" i="5"/>
  <c r="QX57" i="5"/>
  <c r="QV57" i="5"/>
  <c r="RO57" i="5"/>
  <c r="QU57" i="5"/>
  <c r="RI57" i="5"/>
  <c r="RB57" i="5"/>
  <c r="RD57" i="5"/>
  <c r="QZ57" i="5"/>
  <c r="RC57" i="5"/>
  <c r="RM57" i="5"/>
  <c r="RF57" i="5"/>
  <c r="RL57" i="5"/>
  <c r="RH57" i="5"/>
  <c r="PY16" i="5"/>
  <c r="PN16" i="5"/>
  <c r="QL16" i="5"/>
  <c r="PK16" i="5"/>
  <c r="QN16" i="5"/>
  <c r="CO16" i="5" s="1"/>
  <c r="HH16" i="5" s="1"/>
  <c r="PX16" i="5"/>
  <c r="PL16" i="5"/>
  <c r="QC16" i="5"/>
  <c r="PR16" i="5"/>
  <c r="QP16" i="5"/>
  <c r="PT16" i="5"/>
  <c r="PP16" i="5"/>
  <c r="QE16" i="5"/>
  <c r="QG16" i="5"/>
  <c r="PV16" i="5"/>
  <c r="PO16" i="5"/>
  <c r="QF16" i="5"/>
  <c r="QB16" i="5"/>
  <c r="PQ16" i="5"/>
  <c r="PM16" i="5"/>
  <c r="QK16" i="5"/>
  <c r="PZ16" i="5"/>
  <c r="PW16" i="5"/>
  <c r="QQ16" i="5"/>
  <c r="QI16" i="5"/>
  <c r="QO16" i="5"/>
  <c r="QD16" i="5"/>
  <c r="PU16" i="5"/>
  <c r="PJ16" i="5"/>
  <c r="QH16" i="5"/>
  <c r="QM16" i="5"/>
  <c r="QA16" i="5"/>
  <c r="PS16" i="5"/>
  <c r="QJ16" i="5"/>
  <c r="NX45" i="5"/>
  <c r="QB42" i="5"/>
  <c r="QO42" i="5"/>
  <c r="PS42" i="5"/>
  <c r="QK42" i="5"/>
  <c r="PT42" i="5"/>
  <c r="PO42" i="5"/>
  <c r="PZ42" i="5"/>
  <c r="QQ42" i="5"/>
  <c r="QN42" i="5"/>
  <c r="PW42" i="5"/>
  <c r="PM42" i="5"/>
  <c r="QA42" i="5"/>
  <c r="QF42" i="5"/>
  <c r="PY42" i="5"/>
  <c r="PN42" i="5"/>
  <c r="QC42" i="5"/>
  <c r="PK42" i="5"/>
  <c r="PQ42" i="5"/>
  <c r="QI42" i="5"/>
  <c r="PL42" i="5"/>
  <c r="QP42" i="5"/>
  <c r="PR42" i="5"/>
  <c r="PV42" i="5"/>
  <c r="QJ42" i="5"/>
  <c r="QH42" i="5"/>
  <c r="CO42" i="5" s="1"/>
  <c r="HH42" i="5" s="1"/>
  <c r="QG42" i="5"/>
  <c r="QD42" i="5"/>
  <c r="PP42" i="5"/>
  <c r="QE42" i="5"/>
  <c r="PU42" i="5"/>
  <c r="PJ42" i="5"/>
  <c r="PX42" i="5"/>
  <c r="QM42" i="5"/>
  <c r="QL42" i="5"/>
  <c r="RB52" i="5"/>
  <c r="RA52" i="5"/>
  <c r="RH52" i="5"/>
  <c r="QY52" i="5"/>
  <c r="RD52" i="5"/>
  <c r="RF52" i="5"/>
  <c r="RG52" i="5"/>
  <c r="RM52" i="5"/>
  <c r="RI52" i="5"/>
  <c r="RO52" i="5"/>
  <c r="RJ52" i="5"/>
  <c r="RL52" i="5"/>
  <c r="RS52" i="5"/>
  <c r="RT52" i="5"/>
  <c r="RN52" i="5"/>
  <c r="RQ52" i="5"/>
  <c r="QU52" i="5"/>
  <c r="QZ52" i="5"/>
  <c r="QT52" i="5"/>
  <c r="RR52" i="5"/>
  <c r="QW52" i="5"/>
  <c r="RE52" i="5"/>
  <c r="RK52" i="5"/>
  <c r="QX52" i="5"/>
  <c r="QV52" i="5"/>
  <c r="RC52" i="5"/>
  <c r="RP52" i="5"/>
  <c r="CQ52" i="5" s="1"/>
  <c r="RU52" i="5"/>
  <c r="RE22" i="5"/>
  <c r="QX22" i="5"/>
  <c r="QU22" i="5"/>
  <c r="RL22" i="5"/>
  <c r="RP22" i="5"/>
  <c r="RI22" i="5"/>
  <c r="RB22" i="5"/>
  <c r="RC22" i="5"/>
  <c r="RT22" i="5"/>
  <c r="QZ22" i="5"/>
  <c r="RM22" i="5"/>
  <c r="CQ22" i="5" s="1"/>
  <c r="RF22" i="5"/>
  <c r="RK22" i="5"/>
  <c r="QY22" i="5"/>
  <c r="RQ22" i="5"/>
  <c r="RJ22" i="5"/>
  <c r="RS22" i="5"/>
  <c r="RG22" i="5"/>
  <c r="QW22" i="5"/>
  <c r="RU22" i="5"/>
  <c r="RN22" i="5"/>
  <c r="QV22" i="5"/>
  <c r="RO22" i="5"/>
  <c r="RA22" i="5"/>
  <c r="QT22" i="5"/>
  <c r="RR22" i="5"/>
  <c r="RD22" i="5"/>
  <c r="RH22" i="5"/>
  <c r="RB45" i="5"/>
  <c r="QZ45" i="5"/>
  <c r="QU45" i="5"/>
  <c r="RM45" i="5"/>
  <c r="RI45" i="5"/>
  <c r="RF45" i="5"/>
  <c r="RD45" i="5"/>
  <c r="RC45" i="5"/>
  <c r="CQ45" i="5" s="1"/>
  <c r="RU45" i="5"/>
  <c r="RQ45" i="5"/>
  <c r="RJ45" i="5"/>
  <c r="RH45" i="5"/>
  <c r="RK45" i="5"/>
  <c r="QY45" i="5"/>
  <c r="RN45" i="5"/>
  <c r="RL45" i="5"/>
  <c r="RS45" i="5"/>
  <c r="RG45" i="5"/>
  <c r="QT45" i="5"/>
  <c r="RR45" i="5"/>
  <c r="RP45" i="5"/>
  <c r="QW45" i="5"/>
  <c r="RO45" i="5"/>
  <c r="QX45" i="5"/>
  <c r="QV45" i="5"/>
  <c r="RT45" i="5"/>
  <c r="RE45" i="5"/>
  <c r="RA45" i="5"/>
  <c r="RJ16" i="5"/>
  <c r="RG16" i="5"/>
  <c r="RM16" i="5"/>
  <c r="RQ16" i="5"/>
  <c r="RN16" i="5"/>
  <c r="RK16" i="5"/>
  <c r="RU16" i="5"/>
  <c r="RD16" i="5"/>
  <c r="QT16" i="5"/>
  <c r="RR16" i="5"/>
  <c r="RO16" i="5"/>
  <c r="QZ16" i="5"/>
  <c r="RT16" i="5"/>
  <c r="CQ16" i="5" s="1"/>
  <c r="QX16" i="5"/>
  <c r="QU16" i="5"/>
  <c r="RS16" i="5"/>
  <c r="RH16" i="5"/>
  <c r="RI16" i="5"/>
  <c r="RB16" i="5"/>
  <c r="QY16" i="5"/>
  <c r="QW16" i="5"/>
  <c r="RP16" i="5"/>
  <c r="QV16" i="5"/>
  <c r="RF16" i="5"/>
  <c r="RC16" i="5"/>
  <c r="RE16" i="5"/>
  <c r="RA16" i="5"/>
  <c r="RL16" i="5"/>
  <c r="PY20" i="5"/>
  <c r="PR20" i="5"/>
  <c r="PV20" i="5"/>
  <c r="PK20" i="5"/>
  <c r="QD20" i="5"/>
  <c r="QK20" i="5"/>
  <c r="QL20" i="5"/>
  <c r="PS20" i="5"/>
  <c r="QO20" i="5"/>
  <c r="QB20" i="5"/>
  <c r="PT20" i="5"/>
  <c r="PW20" i="5"/>
  <c r="QG20" i="5"/>
  <c r="QM20" i="5"/>
  <c r="PM20" i="5"/>
  <c r="PX20" i="5"/>
  <c r="PO20" i="5"/>
  <c r="QE20" i="5"/>
  <c r="QA20" i="5"/>
  <c r="QC20" i="5"/>
  <c r="QI20" i="5"/>
  <c r="QQ20" i="5"/>
  <c r="QJ20" i="5"/>
  <c r="PJ20" i="5"/>
  <c r="PL20" i="5"/>
  <c r="PZ20" i="5"/>
  <c r="QN20" i="5"/>
  <c r="PQ20" i="5"/>
  <c r="QF20" i="5"/>
  <c r="PN20" i="5"/>
  <c r="PP20" i="5"/>
  <c r="QH20" i="5"/>
  <c r="PU20" i="5"/>
  <c r="QP20" i="5"/>
  <c r="ND7" i="5"/>
  <c r="HI7" i="5" s="1"/>
  <c r="NT7" i="5"/>
  <c r="NV7" i="5" s="1"/>
  <c r="NS7" i="5"/>
  <c r="NU7" i="5" s="1"/>
  <c r="MJ25" i="5"/>
  <c r="MJ34" i="5"/>
  <c r="MJ60" i="5"/>
  <c r="MJ69" i="5"/>
  <c r="MJ78" i="5"/>
  <c r="MJ87" i="5"/>
  <c r="MJ101" i="5"/>
  <c r="MJ112" i="5"/>
  <c r="MJ121" i="5"/>
  <c r="MJ129" i="5"/>
  <c r="MJ138" i="5"/>
  <c r="MJ145" i="5"/>
  <c r="MJ154" i="5"/>
  <c r="MJ163" i="5"/>
  <c r="MJ171" i="5"/>
  <c r="MJ180" i="5"/>
  <c r="MJ189" i="5"/>
  <c r="MJ204" i="5"/>
  <c r="MJ211" i="5"/>
  <c r="MJ5" i="5"/>
  <c r="MJ14" i="5"/>
  <c r="MJ37" i="5"/>
  <c r="MJ46" i="5"/>
  <c r="MJ93" i="5"/>
  <c r="MJ217" i="5"/>
  <c r="MJ230" i="5"/>
  <c r="MJ239" i="5"/>
  <c r="MJ248" i="5"/>
  <c r="MJ7" i="5"/>
  <c r="MJ26" i="5"/>
  <c r="MJ35" i="5"/>
  <c r="MJ61" i="5"/>
  <c r="MJ70" i="5"/>
  <c r="MJ79" i="5"/>
  <c r="MJ88" i="5"/>
  <c r="MJ107" i="5"/>
  <c r="MJ116" i="5"/>
  <c r="MJ125" i="5"/>
  <c r="MJ133" i="5"/>
  <c r="MJ142" i="5"/>
  <c r="MJ149" i="5"/>
  <c r="MJ158" i="5"/>
  <c r="MJ167" i="5"/>
  <c r="MJ175" i="5"/>
  <c r="MJ184" i="5"/>
  <c r="MJ192" i="5"/>
  <c r="MJ207" i="5"/>
  <c r="MJ15" i="5"/>
  <c r="MJ41" i="5"/>
  <c r="MJ50" i="5"/>
  <c r="MJ102" i="5"/>
  <c r="MJ214" i="5"/>
  <c r="MJ219" i="5"/>
  <c r="MJ225" i="5"/>
  <c r="MJ234" i="5"/>
  <c r="MJ243" i="5"/>
  <c r="MJ21" i="5"/>
  <c r="MJ30" i="5"/>
  <c r="MJ56" i="5"/>
  <c r="MJ65" i="5"/>
  <c r="MJ74" i="5"/>
  <c r="MJ83" i="5"/>
  <c r="MJ100" i="5"/>
  <c r="MJ114" i="5"/>
  <c r="MJ123" i="5"/>
  <c r="MJ131" i="5"/>
  <c r="MJ140" i="5"/>
  <c r="MJ147" i="5"/>
  <c r="MJ156" i="5"/>
  <c r="MJ165" i="5"/>
  <c r="MJ173" i="5"/>
  <c r="MJ182" i="5"/>
  <c r="MJ191" i="5"/>
  <c r="MJ206" i="5"/>
  <c r="MJ16" i="5"/>
  <c r="MJ39" i="5"/>
  <c r="MJ48" i="5"/>
  <c r="MJ95" i="5"/>
  <c r="MJ223" i="5"/>
  <c r="MJ232" i="5"/>
  <c r="MJ241" i="5"/>
  <c r="MJ10" i="5"/>
  <c r="MJ28" i="5"/>
  <c r="MJ54" i="5"/>
  <c r="MJ63" i="5"/>
  <c r="MJ72" i="5"/>
  <c r="MJ81" i="5"/>
  <c r="MJ90" i="5"/>
  <c r="MJ106" i="5"/>
  <c r="MJ115" i="5"/>
  <c r="MJ124" i="5"/>
  <c r="MJ132" i="5"/>
  <c r="MJ141" i="5"/>
  <c r="MJ148" i="5"/>
  <c r="MJ157" i="5"/>
  <c r="MJ166" i="5"/>
  <c r="MJ174" i="5"/>
  <c r="MJ183" i="5"/>
  <c r="MJ17" i="5"/>
  <c r="MJ40" i="5"/>
  <c r="MJ49" i="5"/>
  <c r="MJ96" i="5"/>
  <c r="MJ224" i="5"/>
  <c r="MJ233" i="5"/>
  <c r="MJ242" i="5"/>
  <c r="MJ8" i="5"/>
  <c r="MJ29" i="5"/>
  <c r="MJ55" i="5"/>
  <c r="MJ64" i="5"/>
  <c r="MJ73" i="5"/>
  <c r="MJ82" i="5"/>
  <c r="MJ91" i="5"/>
  <c r="MJ110" i="5"/>
  <c r="MJ119" i="5"/>
  <c r="MJ127" i="5"/>
  <c r="MJ136" i="5"/>
  <c r="MJ152" i="5"/>
  <c r="MJ161" i="5"/>
  <c r="MJ170" i="5"/>
  <c r="MJ178" i="5"/>
  <c r="MJ187" i="5"/>
  <c r="MJ202" i="5"/>
  <c r="MJ18" i="5"/>
  <c r="MJ44" i="5"/>
  <c r="MJ94" i="5"/>
  <c r="MJ105" i="5"/>
  <c r="MJ228" i="5"/>
  <c r="MJ237" i="5"/>
  <c r="MJ246" i="5"/>
  <c r="MJ12" i="5"/>
  <c r="MJ24" i="5"/>
  <c r="MJ33" i="5"/>
  <c r="MJ59" i="5"/>
  <c r="MJ68" i="5"/>
  <c r="MJ77" i="5"/>
  <c r="MJ86" i="5"/>
  <c r="MJ108" i="5"/>
  <c r="MJ117" i="5"/>
  <c r="MJ134" i="5"/>
  <c r="MJ150" i="5"/>
  <c r="MJ159" i="5"/>
  <c r="MJ168" i="5"/>
  <c r="MJ176" i="5"/>
  <c r="MJ185" i="5"/>
  <c r="MJ193" i="5"/>
  <c r="MJ208" i="5"/>
  <c r="MJ6" i="5"/>
  <c r="MJ19" i="5"/>
  <c r="MJ42" i="5"/>
  <c r="MJ51" i="5"/>
  <c r="MJ103" i="5"/>
  <c r="MJ220" i="5"/>
  <c r="MJ226" i="5"/>
  <c r="MJ235" i="5"/>
  <c r="MJ244" i="5"/>
  <c r="MJ22" i="5"/>
  <c r="MJ31" i="5"/>
  <c r="MJ57" i="5"/>
  <c r="MJ66" i="5"/>
  <c r="MJ75" i="5"/>
  <c r="MJ84" i="5"/>
  <c r="MJ98" i="5"/>
  <c r="MJ109" i="5"/>
  <c r="MJ118" i="5"/>
  <c r="MJ126" i="5"/>
  <c r="MJ135" i="5"/>
  <c r="MJ143" i="5"/>
  <c r="MJ151" i="5"/>
  <c r="MJ160" i="5"/>
  <c r="MJ169" i="5"/>
  <c r="MJ177" i="5"/>
  <c r="MJ186" i="5"/>
  <c r="MJ209" i="5"/>
  <c r="MJ9" i="5"/>
  <c r="MJ20" i="5"/>
  <c r="MJ43" i="5"/>
  <c r="MJ52" i="5"/>
  <c r="MJ104" i="5"/>
  <c r="MJ215" i="5"/>
  <c r="MJ221" i="5"/>
  <c r="MJ227" i="5"/>
  <c r="MJ236" i="5"/>
  <c r="MJ245" i="5"/>
  <c r="MJ4" i="5"/>
  <c r="MJ23" i="5"/>
  <c r="MJ32" i="5"/>
  <c r="MJ58" i="5"/>
  <c r="MJ67" i="5"/>
  <c r="MJ76" i="5"/>
  <c r="MJ85" i="5"/>
  <c r="MJ99" i="5"/>
  <c r="MJ113" i="5"/>
  <c r="MJ122" i="5"/>
  <c r="MJ130" i="5"/>
  <c r="MJ139" i="5"/>
  <c r="MJ146" i="5"/>
  <c r="MJ155" i="5"/>
  <c r="MJ164" i="5"/>
  <c r="MJ172" i="5"/>
  <c r="MJ181" i="5"/>
  <c r="MJ190" i="5"/>
  <c r="MJ205" i="5"/>
  <c r="MJ212" i="5"/>
  <c r="MJ38" i="5"/>
  <c r="MJ47" i="5"/>
  <c r="MJ97" i="5"/>
  <c r="MJ213" i="5"/>
  <c r="MJ218" i="5"/>
  <c r="MJ222" i="5"/>
  <c r="MJ231" i="5"/>
  <c r="MJ240" i="5"/>
  <c r="MJ13" i="5"/>
  <c r="MJ27" i="5"/>
  <c r="MJ53" i="5"/>
  <c r="MJ62" i="5"/>
  <c r="MJ71" i="5"/>
  <c r="MJ80" i="5"/>
  <c r="MJ89" i="5"/>
  <c r="MJ111" i="5"/>
  <c r="MJ120" i="5"/>
  <c r="MJ128" i="5"/>
  <c r="MJ137" i="5"/>
  <c r="MJ144" i="5"/>
  <c r="MJ153" i="5"/>
  <c r="MJ162" i="5"/>
  <c r="MJ179" i="5"/>
  <c r="MJ188" i="5"/>
  <c r="MJ203" i="5"/>
  <c r="MJ210" i="5"/>
  <c r="MJ11" i="5"/>
  <c r="MJ36" i="5"/>
  <c r="MJ45" i="5"/>
  <c r="MJ92" i="5"/>
  <c r="MJ216" i="5"/>
  <c r="MJ229" i="5"/>
  <c r="MJ238" i="5"/>
  <c r="MJ247" i="5"/>
  <c r="N3" i="5"/>
  <c r="ND193" i="5" l="1"/>
  <c r="HI193" i="5" s="1"/>
  <c r="NS193" i="5"/>
  <c r="NU193" i="5" s="1"/>
  <c r="ND146" i="5"/>
  <c r="HI146" i="5" s="1"/>
  <c r="CQ99" i="5"/>
  <c r="CQ170" i="5"/>
  <c r="CO99" i="5"/>
  <c r="HH99" i="5" s="1"/>
  <c r="CQ193" i="5"/>
  <c r="CO144" i="5"/>
  <c r="HH144" i="5" s="1"/>
  <c r="CO232" i="5"/>
  <c r="HH232" i="5" s="1"/>
  <c r="HI232" i="5" s="1"/>
  <c r="HI91" i="5"/>
  <c r="NT146" i="5"/>
  <c r="NV146" i="5" s="1"/>
  <c r="NS146" i="5"/>
  <c r="NU146" i="5" s="1"/>
  <c r="CQ108" i="5"/>
  <c r="CO108" i="5"/>
  <c r="HH108" i="5" s="1"/>
  <c r="CQ129" i="5"/>
  <c r="NS99" i="5"/>
  <c r="NU99" i="5" s="1"/>
  <c r="NT99" i="5"/>
  <c r="NV99" i="5" s="1"/>
  <c r="HJ99" i="5"/>
  <c r="ND99" i="5"/>
  <c r="NS139" i="5"/>
  <c r="NU139" i="5" s="1"/>
  <c r="CQ139" i="5"/>
  <c r="NT139" i="5"/>
  <c r="NV139" i="5" s="1"/>
  <c r="CO139" i="5"/>
  <c r="HH139" i="5" s="1"/>
  <c r="CO172" i="5"/>
  <c r="HH172" i="5" s="1"/>
  <c r="HI172" i="5" s="1"/>
  <c r="ND139" i="5"/>
  <c r="CO173" i="5"/>
  <c r="HH173" i="5" s="1"/>
  <c r="CO239" i="5"/>
  <c r="HH239" i="5" s="1"/>
  <c r="HI239" i="5" s="1"/>
  <c r="HI90" i="5"/>
  <c r="CO129" i="5"/>
  <c r="HH129" i="5" s="1"/>
  <c r="HI129" i="5" s="1"/>
  <c r="CO124" i="5"/>
  <c r="HH124" i="5" s="1"/>
  <c r="NT173" i="5"/>
  <c r="NV173" i="5" s="1"/>
  <c r="NS121" i="5"/>
  <c r="NU121" i="5" s="1"/>
  <c r="HJ143" i="5"/>
  <c r="ND143" i="5"/>
  <c r="HI143" i="5" s="1"/>
  <c r="NT213" i="5"/>
  <c r="NV213" i="5" s="1"/>
  <c r="ND213" i="5"/>
  <c r="HI213" i="5" s="1"/>
  <c r="HJ213" i="5"/>
  <c r="NT88" i="5"/>
  <c r="NV88" i="5" s="1"/>
  <c r="NS173" i="5"/>
  <c r="NU173" i="5" s="1"/>
  <c r="HJ173" i="5"/>
  <c r="ND173" i="5"/>
  <c r="NS124" i="5"/>
  <c r="NU124" i="5" s="1"/>
  <c r="HJ124" i="5"/>
  <c r="ND124" i="5"/>
  <c r="CO96" i="5"/>
  <c r="HH96" i="5" s="1"/>
  <c r="HI96" i="5" s="1"/>
  <c r="NT121" i="5"/>
  <c r="NV121" i="5" s="1"/>
  <c r="CQ88" i="5"/>
  <c r="NS143" i="5"/>
  <c r="NU143" i="5" s="1"/>
  <c r="NS88" i="5"/>
  <c r="NU88" i="5" s="1"/>
  <c r="NT124" i="5"/>
  <c r="NV124" i="5" s="1"/>
  <c r="HJ121" i="5"/>
  <c r="ND121" i="5"/>
  <c r="HI121" i="5" s="1"/>
  <c r="NT143" i="5"/>
  <c r="NV143" i="5" s="1"/>
  <c r="ND88" i="5"/>
  <c r="HI88" i="5" s="1"/>
  <c r="HJ88" i="5"/>
  <c r="NS213" i="5"/>
  <c r="NU213" i="5" s="1"/>
  <c r="HJ172" i="5"/>
  <c r="NT172" i="5"/>
  <c r="NV172" i="5" s="1"/>
  <c r="NS172" i="5"/>
  <c r="NU172" i="5" s="1"/>
  <c r="CO149" i="5"/>
  <c r="HH149" i="5" s="1"/>
  <c r="CQ149" i="5"/>
  <c r="CQ107" i="5"/>
  <c r="CQ211" i="5"/>
  <c r="NT133" i="5"/>
  <c r="NV133" i="5" s="1"/>
  <c r="HJ133" i="5"/>
  <c r="ND133" i="5"/>
  <c r="HI133" i="5" s="1"/>
  <c r="NS133" i="5"/>
  <c r="NU133" i="5" s="1"/>
  <c r="HI108" i="5"/>
  <c r="CO101" i="5"/>
  <c r="HH101" i="5" s="1"/>
  <c r="HI101" i="5" s="1"/>
  <c r="CO185" i="5"/>
  <c r="HH185" i="5" s="1"/>
  <c r="CQ185" i="5"/>
  <c r="NS131" i="5"/>
  <c r="NU131" i="5" s="1"/>
  <c r="CO156" i="5"/>
  <c r="HH156" i="5" s="1"/>
  <c r="HI156" i="5" s="1"/>
  <c r="CQ156" i="5"/>
  <c r="NT94" i="5"/>
  <c r="NV94" i="5" s="1"/>
  <c r="NS94" i="5"/>
  <c r="NU94" i="5" s="1"/>
  <c r="HJ94" i="5"/>
  <c r="ND94" i="5"/>
  <c r="HI94" i="5" s="1"/>
  <c r="NT131" i="5"/>
  <c r="NV131" i="5" s="1"/>
  <c r="NT155" i="5"/>
  <c r="NV155" i="5" s="1"/>
  <c r="NS155" i="5"/>
  <c r="NU155" i="5" s="1"/>
  <c r="ND155" i="5"/>
  <c r="HI155" i="5" s="1"/>
  <c r="HJ155" i="5"/>
  <c r="NT164" i="5"/>
  <c r="NV164" i="5" s="1"/>
  <c r="NS164" i="5"/>
  <c r="NU164" i="5" s="1"/>
  <c r="HJ164" i="5"/>
  <c r="ND164" i="5"/>
  <c r="HI164" i="5" s="1"/>
  <c r="CQ90" i="5"/>
  <c r="NT168" i="5"/>
  <c r="NV168" i="5" s="1"/>
  <c r="ND168" i="5"/>
  <c r="HI168" i="5" s="1"/>
  <c r="HJ168" i="5"/>
  <c r="NS168" i="5"/>
  <c r="NU168" i="5" s="1"/>
  <c r="CQ177" i="5"/>
  <c r="NS207" i="5"/>
  <c r="NU207" i="5" s="1"/>
  <c r="CO60" i="5"/>
  <c r="HH60" i="5" s="1"/>
  <c r="CQ60" i="5"/>
  <c r="NT207" i="5"/>
  <c r="NV207" i="5" s="1"/>
  <c r="NS12" i="5"/>
  <c r="NU12" i="5" s="1"/>
  <c r="NT12" i="5"/>
  <c r="NV12" i="5" s="1"/>
  <c r="CO170" i="5"/>
  <c r="HH170" i="5" s="1"/>
  <c r="ND12" i="5"/>
  <c r="NS170" i="5"/>
  <c r="NU170" i="5" s="1"/>
  <c r="HJ170" i="5"/>
  <c r="ND170" i="5"/>
  <c r="NT170" i="5"/>
  <c r="NV170" i="5" s="1"/>
  <c r="CQ203" i="5"/>
  <c r="CO203" i="5"/>
  <c r="HH203" i="5" s="1"/>
  <c r="NT169" i="5"/>
  <c r="NV169" i="5" s="1"/>
  <c r="NS169" i="5"/>
  <c r="NU169" i="5" s="1"/>
  <c r="HJ169" i="5"/>
  <c r="ND169" i="5"/>
  <c r="HI169" i="5" s="1"/>
  <c r="CO130" i="5"/>
  <c r="HH130" i="5" s="1"/>
  <c r="CQ130" i="5"/>
  <c r="NS203" i="5"/>
  <c r="NU203" i="5" s="1"/>
  <c r="NT185" i="5"/>
  <c r="NV185" i="5" s="1"/>
  <c r="NS185" i="5"/>
  <c r="NU185" i="5" s="1"/>
  <c r="ND185" i="5"/>
  <c r="HJ185" i="5"/>
  <c r="HI210" i="5"/>
  <c r="CO95" i="5"/>
  <c r="HH95" i="5" s="1"/>
  <c r="NT203" i="5"/>
  <c r="NV203" i="5" s="1"/>
  <c r="NS205" i="5"/>
  <c r="NU205" i="5" s="1"/>
  <c r="CO211" i="5"/>
  <c r="HH211" i="5" s="1"/>
  <c r="HI211" i="5" s="1"/>
  <c r="ND203" i="5"/>
  <c r="CO209" i="5"/>
  <c r="HH209" i="5" s="1"/>
  <c r="HI209" i="5" s="1"/>
  <c r="CQ209" i="5"/>
  <c r="CQ165" i="5"/>
  <c r="CO165" i="5"/>
  <c r="HH165" i="5" s="1"/>
  <c r="HI165" i="5" s="1"/>
  <c r="CQ95" i="5"/>
  <c r="NT205" i="5"/>
  <c r="NV205" i="5" s="1"/>
  <c r="HI144" i="5"/>
  <c r="CQ172" i="5"/>
  <c r="HJ205" i="5"/>
  <c r="ND205" i="5"/>
  <c r="HI205" i="5" s="1"/>
  <c r="CQ101" i="5"/>
  <c r="NT130" i="5"/>
  <c r="NV130" i="5" s="1"/>
  <c r="NS130" i="5"/>
  <c r="NU130" i="5" s="1"/>
  <c r="ND130" i="5"/>
  <c r="CQ144" i="5"/>
  <c r="CQ54" i="5"/>
  <c r="CQ57" i="5"/>
  <c r="CO57" i="5"/>
  <c r="HH57" i="5" s="1"/>
  <c r="IE6" i="5"/>
  <c r="NX6" i="5" s="1"/>
  <c r="IE25" i="5"/>
  <c r="NX25" i="5" s="1"/>
  <c r="IE34" i="5"/>
  <c r="NX34" i="5" s="1"/>
  <c r="IE93" i="5"/>
  <c r="NX93" i="5" s="1"/>
  <c r="IE20" i="5"/>
  <c r="NX20" i="5" s="1"/>
  <c r="CO44" i="5"/>
  <c r="HH44" i="5" s="1"/>
  <c r="CO107" i="5"/>
  <c r="HH107" i="5" s="1"/>
  <c r="CO6" i="5"/>
  <c r="HH6" i="5" s="1"/>
  <c r="CO14" i="5"/>
  <c r="HH14" i="5" s="1"/>
  <c r="CO54" i="5"/>
  <c r="HH54" i="5" s="1"/>
  <c r="CO52" i="5"/>
  <c r="HH52" i="5" s="1"/>
  <c r="CO131" i="5"/>
  <c r="HH131" i="5" s="1"/>
  <c r="HI131" i="5" s="1"/>
  <c r="CO20" i="5"/>
  <c r="HH20" i="5" s="1"/>
  <c r="CO25" i="5"/>
  <c r="HH25" i="5" s="1"/>
  <c r="CO39" i="5"/>
  <c r="HH39" i="5" s="1"/>
  <c r="NS149" i="5"/>
  <c r="NU149" i="5" s="1"/>
  <c r="NT149" i="5"/>
  <c r="NV149" i="5" s="1"/>
  <c r="ND149" i="5"/>
  <c r="ND9" i="5"/>
  <c r="HI9" i="5" s="1"/>
  <c r="NT9" i="5"/>
  <c r="NV9" i="5" s="1"/>
  <c r="NT129" i="5"/>
  <c r="NV129" i="5" s="1"/>
  <c r="NS9" i="5"/>
  <c r="NU9" i="5" s="1"/>
  <c r="NS129" i="5"/>
  <c r="NU129" i="5" s="1"/>
  <c r="ND4" i="5"/>
  <c r="HI4" i="5" s="1"/>
  <c r="NX23" i="5"/>
  <c r="NS84" i="5"/>
  <c r="NU84" i="5" s="1"/>
  <c r="NT25" i="5"/>
  <c r="NV25" i="5" s="1"/>
  <c r="NT31" i="5"/>
  <c r="NV31" i="5" s="1"/>
  <c r="NT15" i="5"/>
  <c r="NV15" i="5" s="1"/>
  <c r="NT57" i="5"/>
  <c r="NV57" i="5" s="1"/>
  <c r="NT75" i="5"/>
  <c r="NV75" i="5" s="1"/>
  <c r="NT20" i="5"/>
  <c r="NV20" i="5" s="1"/>
  <c r="NS20" i="5"/>
  <c r="NU20" i="5" s="1"/>
  <c r="NS39" i="5"/>
  <c r="NU39" i="5" s="1"/>
  <c r="NS42" i="5"/>
  <c r="NU42" i="5" s="1"/>
  <c r="NS54" i="5"/>
  <c r="NU54" i="5" s="1"/>
  <c r="NT14" i="5"/>
  <c r="NV14" i="5" s="1"/>
  <c r="NS86" i="5"/>
  <c r="NU86" i="5" s="1"/>
  <c r="NT52" i="5"/>
  <c r="NV52" i="5" s="1"/>
  <c r="ND104" i="5"/>
  <c r="HI104" i="5" s="1"/>
  <c r="NT16" i="5"/>
  <c r="NV16" i="5" s="1"/>
  <c r="ND52" i="5"/>
  <c r="ND15" i="5"/>
  <c r="HI15" i="5" s="1"/>
  <c r="NT39" i="5"/>
  <c r="NV39" i="5" s="1"/>
  <c r="ND14" i="5"/>
  <c r="NS75" i="5"/>
  <c r="NU75" i="5" s="1"/>
  <c r="ND25" i="5"/>
  <c r="ND34" i="5"/>
  <c r="HI34" i="5" s="1"/>
  <c r="NT44" i="5"/>
  <c r="NV44" i="5" s="1"/>
  <c r="NS44" i="5"/>
  <c r="NU44" i="5" s="1"/>
  <c r="NS62" i="5"/>
  <c r="NU62" i="5" s="1"/>
  <c r="NT22" i="5"/>
  <c r="NV22" i="5" s="1"/>
  <c r="NS6" i="5"/>
  <c r="NU6" i="5" s="1"/>
  <c r="ND6" i="5"/>
  <c r="NT60" i="5"/>
  <c r="NV60" i="5" s="1"/>
  <c r="NS60" i="5"/>
  <c r="NU60" i="5" s="1"/>
  <c r="ND80" i="5"/>
  <c r="HI80" i="5" s="1"/>
  <c r="NS93" i="5"/>
  <c r="NU93" i="5" s="1"/>
  <c r="ND54" i="5"/>
  <c r="NT34" i="5"/>
  <c r="NV34" i="5" s="1"/>
  <c r="NT45" i="5"/>
  <c r="NV45" i="5" s="1"/>
  <c r="ND23" i="5"/>
  <c r="HI23" i="5" s="1"/>
  <c r="ND84" i="5"/>
  <c r="HI84" i="5" s="1"/>
  <c r="ND20" i="5"/>
  <c r="NT62" i="5"/>
  <c r="NV62" i="5" s="1"/>
  <c r="ND31" i="5"/>
  <c r="HI31" i="5" s="1"/>
  <c r="NS57" i="5"/>
  <c r="NU57" i="5" s="1"/>
  <c r="NS107" i="5"/>
  <c r="NU107" i="5" s="1"/>
  <c r="NT30" i="5"/>
  <c r="NV30" i="5" s="1"/>
  <c r="ND30" i="5"/>
  <c r="HI30" i="5" s="1"/>
  <c r="NS52" i="5"/>
  <c r="NU52" i="5" s="1"/>
  <c r="NS15" i="5"/>
  <c r="NU15" i="5" s="1"/>
  <c r="ND93" i="5"/>
  <c r="HI93" i="5" s="1"/>
  <c r="ND95" i="5"/>
  <c r="NS25" i="5"/>
  <c r="NU25" i="5" s="1"/>
  <c r="NT23" i="5"/>
  <c r="NV23" i="5" s="1"/>
  <c r="NS23" i="5"/>
  <c r="NU23" i="5" s="1"/>
  <c r="ND57" i="5"/>
  <c r="ND86" i="5"/>
  <c r="HI86" i="5" s="1"/>
  <c r="ND107" i="5"/>
  <c r="NT6" i="5"/>
  <c r="NV6" i="5" s="1"/>
  <c r="NS80" i="5"/>
  <c r="NU80" i="5" s="1"/>
  <c r="NT54" i="5"/>
  <c r="NV54" i="5" s="1"/>
  <c r="NT42" i="5"/>
  <c r="NV42" i="5" s="1"/>
  <c r="ND75" i="5"/>
  <c r="HI75" i="5" s="1"/>
  <c r="NT84" i="5"/>
  <c r="NV84" i="5" s="1"/>
  <c r="ND44" i="5"/>
  <c r="ND62" i="5"/>
  <c r="HI62" i="5" s="1"/>
  <c r="ND16" i="5"/>
  <c r="HI16" i="5" s="1"/>
  <c r="ND39" i="5"/>
  <c r="NT80" i="5"/>
  <c r="NV80" i="5" s="1"/>
  <c r="ND42" i="5"/>
  <c r="HI42" i="5" s="1"/>
  <c r="NT104" i="5"/>
  <c r="NV104" i="5" s="1"/>
  <c r="NS104" i="5"/>
  <c r="NU104" i="5" s="1"/>
  <c r="NS34" i="5"/>
  <c r="NU34" i="5" s="1"/>
  <c r="NS45" i="5"/>
  <c r="NU45" i="5" s="1"/>
  <c r="ND45" i="5"/>
  <c r="HI45" i="5" s="1"/>
  <c r="NS22" i="5"/>
  <c r="NU22" i="5" s="1"/>
  <c r="ND22" i="5"/>
  <c r="HI22" i="5" s="1"/>
  <c r="NS31" i="5"/>
  <c r="NU31" i="5" s="1"/>
  <c r="NS16" i="5"/>
  <c r="NU16" i="5" s="1"/>
  <c r="NT86" i="5"/>
  <c r="NV86" i="5" s="1"/>
  <c r="NT107" i="5"/>
  <c r="NV107" i="5" s="1"/>
  <c r="NS30" i="5"/>
  <c r="NU30" i="5" s="1"/>
  <c r="NS14" i="5"/>
  <c r="NU14" i="5" s="1"/>
  <c r="ND60" i="5"/>
  <c r="HI60" i="5" s="1"/>
  <c r="NT93" i="5"/>
  <c r="NV93" i="5" s="1"/>
  <c r="NT95" i="5"/>
  <c r="NV95" i="5" s="1"/>
  <c r="NS95" i="5"/>
  <c r="NU95" i="5" s="1"/>
  <c r="HI99" i="5" l="1"/>
  <c r="HI139" i="5"/>
  <c r="HI173" i="5"/>
  <c r="HI124" i="5"/>
  <c r="HI149" i="5"/>
  <c r="HI95" i="5"/>
  <c r="HI185" i="5"/>
  <c r="HI130" i="5"/>
  <c r="HI170" i="5"/>
  <c r="HI203" i="5"/>
  <c r="HI57" i="5"/>
  <c r="HI107" i="5"/>
  <c r="HI25" i="5"/>
  <c r="HI44" i="5"/>
  <c r="HI20" i="5"/>
  <c r="HI52" i="5"/>
  <c r="HI54" i="5"/>
  <c r="HI14" i="5"/>
  <c r="HI6" i="5"/>
  <c r="P3" i="5"/>
  <c r="BR3" i="5"/>
  <c r="CI3" i="5"/>
  <c r="CM3" i="5"/>
  <c r="DY3" i="5"/>
  <c r="DZ3" i="5" s="1"/>
  <c r="DW3" i="5" s="1"/>
  <c r="EA3" i="5"/>
  <c r="EP3" i="5"/>
  <c r="BT3" i="5"/>
  <c r="BU3" i="5" l="1"/>
  <c r="EZ3" i="5" s="1"/>
  <c r="RX3" i="5"/>
  <c r="RY3" i="5" s="1"/>
  <c r="GD3" i="5"/>
  <c r="FI3" i="5"/>
  <c r="FL3" i="5"/>
  <c r="IE3" i="5"/>
  <c r="NX3" i="5" s="1"/>
  <c r="GU3" i="5"/>
  <c r="GV3" i="5" s="1"/>
  <c r="FC3" i="5"/>
  <c r="GP3" i="5"/>
  <c r="HZ3" i="5"/>
  <c r="FX3" i="5"/>
  <c r="IH3" i="5"/>
  <c r="II3" i="5" s="1"/>
  <c r="EY3" i="5"/>
  <c r="GG3" i="5"/>
  <c r="FR3" i="5"/>
  <c r="GA3" i="5"/>
  <c r="FO3" i="5"/>
  <c r="NR3" i="5"/>
  <c r="B30" i="30"/>
  <c r="B29" i="30"/>
  <c r="B27" i="30"/>
  <c r="B26" i="30"/>
  <c r="D29" i="30"/>
  <c r="D26" i="30"/>
  <c r="D27" i="30"/>
  <c r="D30" i="30"/>
  <c r="ET3" i="5"/>
  <c r="DU3" i="5"/>
  <c r="EO3" i="5"/>
  <c r="CK3" i="5"/>
  <c r="QR3" i="5"/>
  <c r="OD3" i="5"/>
  <c r="OC3" i="5"/>
  <c r="PF3" i="5"/>
  <c r="PH3" i="5"/>
  <c r="PD3" i="5"/>
  <c r="PE3" i="5"/>
  <c r="OA3" i="5"/>
  <c r="PC3" i="5"/>
  <c r="OX3" i="5"/>
  <c r="OW3" i="5"/>
  <c r="OY3" i="5"/>
  <c r="OE3" i="5"/>
  <c r="OV3" i="5"/>
  <c r="OS3" i="5"/>
  <c r="PB3" i="5"/>
  <c r="OT3" i="5"/>
  <c r="OB3" i="5"/>
  <c r="PA3" i="5"/>
  <c r="OU3" i="5"/>
  <c r="PG3" i="5"/>
  <c r="OZ3" i="5"/>
  <c r="OH3" i="5"/>
  <c r="CJ3" i="5" s="1"/>
  <c r="OI3" i="5"/>
  <c r="ON3" i="5"/>
  <c r="OO3" i="5"/>
  <c r="OK3" i="5"/>
  <c r="OL3" i="5"/>
  <c r="OM3" i="5"/>
  <c r="OR3" i="5"/>
  <c r="OP3" i="5"/>
  <c r="OQ3" i="5"/>
  <c r="OG3" i="5"/>
  <c r="OF3" i="5"/>
  <c r="OJ3" i="5"/>
  <c r="NP3" i="5"/>
  <c r="EB3" i="5"/>
  <c r="EC3" i="5"/>
  <c r="FG3" i="5" l="1"/>
  <c r="C29" i="30"/>
  <c r="C26" i="30"/>
  <c r="E29" i="30"/>
  <c r="E26" i="30"/>
  <c r="QU3" i="5"/>
  <c r="QT3" i="5"/>
  <c r="QW3" i="5"/>
  <c r="QV3" i="5"/>
  <c r="QY3" i="5"/>
  <c r="QX3" i="5"/>
  <c r="RA3" i="5"/>
  <c r="QZ3" i="5"/>
  <c r="RC3" i="5"/>
  <c r="RB3" i="5"/>
  <c r="RE3" i="5"/>
  <c r="RD3" i="5"/>
  <c r="RG3" i="5"/>
  <c r="RF3" i="5"/>
  <c r="RI3" i="5"/>
  <c r="RH3" i="5"/>
  <c r="RK3" i="5"/>
  <c r="RJ3" i="5"/>
  <c r="RM3" i="5"/>
  <c r="RL3" i="5"/>
  <c r="RO3" i="5"/>
  <c r="RN3" i="5"/>
  <c r="RQ3" i="5"/>
  <c r="RP3" i="5"/>
  <c r="RS3" i="5"/>
  <c r="RR3" i="5"/>
  <c r="RU3" i="5"/>
  <c r="RT3" i="5"/>
  <c r="PI3" i="5"/>
  <c r="CN3" i="5"/>
  <c r="NI3" i="5"/>
  <c r="DX3" i="5" s="1"/>
  <c r="EQ3" i="5"/>
  <c r="ED3" i="5"/>
  <c r="HL3" i="5" l="1"/>
  <c r="HM3" i="5"/>
  <c r="CQ3" i="5"/>
  <c r="CW3" i="5"/>
  <c r="PN3" i="5"/>
  <c r="QG3" i="5"/>
  <c r="QF3" i="5"/>
  <c r="QI3" i="5"/>
  <c r="QH3" i="5"/>
  <c r="QK3" i="5"/>
  <c r="QJ3" i="5"/>
  <c r="QM3" i="5"/>
  <c r="QL3" i="5"/>
  <c r="QO3" i="5"/>
  <c r="QN3" i="5"/>
  <c r="QQ3" i="5"/>
  <c r="QP3" i="5"/>
  <c r="QD3" i="5"/>
  <c r="QE3" i="5"/>
  <c r="QB3" i="5"/>
  <c r="QC3" i="5"/>
  <c r="PZ3" i="5"/>
  <c r="QA3" i="5"/>
  <c r="PX3" i="5"/>
  <c r="PY3" i="5"/>
  <c r="PV3" i="5"/>
  <c r="PW3" i="5"/>
  <c r="PT3" i="5"/>
  <c r="PU3" i="5"/>
  <c r="PR3" i="5"/>
  <c r="PS3" i="5"/>
  <c r="PP3" i="5"/>
  <c r="PQ3" i="5"/>
  <c r="PO3" i="5"/>
  <c r="PL3" i="5"/>
  <c r="PM3" i="5"/>
  <c r="PJ3" i="5"/>
  <c r="PK3" i="5"/>
  <c r="NT3" i="5"/>
  <c r="NV3" i="5" s="1"/>
  <c r="B23" i="30" s="1"/>
  <c r="C23" i="30" s="1"/>
  <c r="NS3" i="5"/>
  <c r="NU3" i="5" s="1"/>
  <c r="B20" i="30" s="1"/>
  <c r="C20" i="30" s="1"/>
  <c r="D23" i="30" l="1"/>
  <c r="E23" i="30" s="1"/>
  <c r="D20" i="30"/>
  <c r="E20" i="30" s="1"/>
  <c r="CO3" i="5"/>
  <c r="HH3" i="5" s="1"/>
  <c r="NH3" i="5"/>
  <c r="NK3" i="5" l="1"/>
  <c r="NJ3" i="5"/>
  <c r="B126" i="30" l="1"/>
  <c r="M81" i="30"/>
  <c r="G81" i="30"/>
  <c r="C81" i="30"/>
  <c r="F81" i="30"/>
  <c r="B81" i="30"/>
  <c r="I81" i="30"/>
  <c r="D81" i="30"/>
  <c r="L81" i="30"/>
  <c r="K81" i="30"/>
  <c r="H81" i="30"/>
  <c r="J81" i="30"/>
  <c r="B83" i="30"/>
  <c r="E81" i="30"/>
  <c r="B61" i="30"/>
  <c r="B115" i="30"/>
  <c r="B58" i="30"/>
  <c r="B117" i="30"/>
  <c r="D83" i="30"/>
  <c r="L121" i="30"/>
  <c r="H121" i="30"/>
  <c r="D121" i="30"/>
  <c r="M119" i="30"/>
  <c r="I119" i="30"/>
  <c r="E119" i="30"/>
  <c r="K83" i="30"/>
  <c r="G83" i="30"/>
  <c r="C83" i="30"/>
  <c r="J121" i="30"/>
  <c r="G119" i="30"/>
  <c r="C119" i="30"/>
  <c r="E83" i="30"/>
  <c r="M121" i="30"/>
  <c r="J119" i="30"/>
  <c r="B119" i="30"/>
  <c r="K121" i="30"/>
  <c r="G121" i="30"/>
  <c r="C121" i="30"/>
  <c r="L119" i="30"/>
  <c r="H119" i="30"/>
  <c r="D119" i="30"/>
  <c r="J83" i="30"/>
  <c r="F83" i="30"/>
  <c r="F121" i="30"/>
  <c r="K119" i="30"/>
  <c r="M83" i="30"/>
  <c r="I83" i="30"/>
  <c r="B79" i="30"/>
  <c r="I121" i="30"/>
  <c r="F119" i="30"/>
  <c r="L83" i="30"/>
  <c r="B121" i="30"/>
  <c r="E121" i="30"/>
  <c r="H83" i="30"/>
  <c r="K79" i="30"/>
  <c r="G79" i="30"/>
  <c r="C79" i="30"/>
  <c r="J79" i="30"/>
  <c r="F79" i="30"/>
  <c r="H79" i="30"/>
  <c r="D79" i="30"/>
  <c r="M79" i="30"/>
  <c r="I79" i="30"/>
  <c r="E79" i="30"/>
  <c r="L79" i="30"/>
  <c r="J77" i="30"/>
  <c r="F77" i="30"/>
  <c r="I77" i="30"/>
  <c r="E77" i="30"/>
  <c r="G77" i="30"/>
  <c r="M77" i="30"/>
  <c r="H77" i="30"/>
  <c r="L77" i="30"/>
  <c r="K77" i="30"/>
  <c r="D77" i="30"/>
  <c r="C77" i="30"/>
  <c r="B77" i="30"/>
  <c r="B75" i="30"/>
  <c r="J75" i="30"/>
  <c r="F75" i="30"/>
  <c r="K73" i="30"/>
  <c r="G73" i="30"/>
  <c r="C73" i="30"/>
  <c r="C75" i="30"/>
  <c r="M75" i="30"/>
  <c r="I75" i="30"/>
  <c r="E75" i="30"/>
  <c r="B73" i="30"/>
  <c r="J73" i="30"/>
  <c r="F73" i="30"/>
  <c r="H73" i="30"/>
  <c r="L75" i="30"/>
  <c r="H75" i="30"/>
  <c r="D75" i="30"/>
  <c r="M73" i="30"/>
  <c r="I73" i="30"/>
  <c r="E73" i="30"/>
  <c r="L73" i="30"/>
  <c r="D73" i="30"/>
  <c r="K75" i="30"/>
  <c r="G75" i="30"/>
  <c r="B67" i="30"/>
  <c r="J71" i="30"/>
  <c r="F71" i="30"/>
  <c r="B71" i="30"/>
  <c r="M71" i="30"/>
  <c r="I71" i="30"/>
  <c r="E71" i="30"/>
  <c r="L71" i="30"/>
  <c r="H71" i="30"/>
  <c r="D71" i="30"/>
  <c r="K71" i="30"/>
  <c r="G71" i="30"/>
  <c r="C71" i="30"/>
  <c r="M112" i="30"/>
  <c r="I112" i="30"/>
  <c r="E112" i="30"/>
  <c r="D112" i="30"/>
  <c r="F112" i="30"/>
  <c r="L112" i="30"/>
  <c r="H112" i="30"/>
  <c r="J112" i="30"/>
  <c r="K112" i="30"/>
  <c r="G112" i="30"/>
  <c r="C112" i="30"/>
  <c r="B112" i="30"/>
  <c r="M113" i="30"/>
  <c r="M114" i="30" s="1"/>
  <c r="I113" i="30"/>
  <c r="G113" i="30"/>
  <c r="J113" i="30"/>
  <c r="J114" i="30" s="1"/>
  <c r="D113" i="30"/>
  <c r="L113" i="30"/>
  <c r="L114" i="30" s="1"/>
  <c r="H113" i="30"/>
  <c r="F113" i="30"/>
  <c r="K113" i="30"/>
  <c r="C113" i="30"/>
  <c r="E113" i="30"/>
  <c r="B113" i="30"/>
  <c r="M110" i="30"/>
  <c r="M111" i="30" s="1"/>
  <c r="I110" i="30"/>
  <c r="I111" i="30" s="1"/>
  <c r="E110" i="30"/>
  <c r="J110" i="30"/>
  <c r="J111" i="30" s="1"/>
  <c r="L110" i="30"/>
  <c r="L111" i="30" s="1"/>
  <c r="H110" i="30"/>
  <c r="D110" i="30"/>
  <c r="B110" i="30"/>
  <c r="K110" i="30"/>
  <c r="K111" i="30" s="1"/>
  <c r="G110" i="30"/>
  <c r="G111" i="30" s="1"/>
  <c r="C110" i="30"/>
  <c r="F110" i="30"/>
  <c r="B65" i="30"/>
  <c r="L109" i="30"/>
  <c r="H109" i="30"/>
  <c r="D109" i="30"/>
  <c r="L53" i="30"/>
  <c r="L49" i="30" s="1"/>
  <c r="H53" i="30"/>
  <c r="D53" i="30"/>
  <c r="M53" i="30"/>
  <c r="M49" i="30" s="1"/>
  <c r="C109" i="30"/>
  <c r="K109" i="30"/>
  <c r="G109" i="30"/>
  <c r="B109" i="30"/>
  <c r="K53" i="30"/>
  <c r="K49" i="30" s="1"/>
  <c r="G53" i="30"/>
  <c r="C53" i="30"/>
  <c r="F53" i="30"/>
  <c r="B53" i="30"/>
  <c r="I109" i="30"/>
  <c r="E109" i="30"/>
  <c r="I53" i="30"/>
  <c r="B60" i="30"/>
  <c r="B62" i="30" s="1"/>
  <c r="J109" i="30"/>
  <c r="F109" i="30"/>
  <c r="B104" i="30"/>
  <c r="J53" i="30"/>
  <c r="J49" i="30" s="1"/>
  <c r="M109" i="30"/>
  <c r="E53" i="30"/>
  <c r="M69" i="30"/>
  <c r="I69" i="30"/>
  <c r="E69" i="30"/>
  <c r="J107" i="30"/>
  <c r="F107" i="30"/>
  <c r="M106" i="30"/>
  <c r="I106" i="30"/>
  <c r="E106" i="30"/>
  <c r="B106" i="30"/>
  <c r="C126" i="30"/>
  <c r="K104" i="30"/>
  <c r="G104" i="30"/>
  <c r="C104" i="30"/>
  <c r="K107" i="30"/>
  <c r="J106" i="30"/>
  <c r="D104" i="30"/>
  <c r="L69" i="30"/>
  <c r="H69" i="30"/>
  <c r="D69" i="30"/>
  <c r="M107" i="30"/>
  <c r="I107" i="30"/>
  <c r="E107" i="30"/>
  <c r="L106" i="30"/>
  <c r="H106" i="30"/>
  <c r="D106" i="30"/>
  <c r="J104" i="30"/>
  <c r="F104" i="30"/>
  <c r="B69" i="30"/>
  <c r="C107" i="30"/>
  <c r="B107" i="30"/>
  <c r="H104" i="30"/>
  <c r="K69" i="30"/>
  <c r="G69" i="30"/>
  <c r="C69" i="30"/>
  <c r="L107" i="30"/>
  <c r="H107" i="30"/>
  <c r="D107" i="30"/>
  <c r="K106" i="30"/>
  <c r="G106" i="30"/>
  <c r="C106" i="30"/>
  <c r="M104" i="30"/>
  <c r="I104" i="30"/>
  <c r="E104" i="30"/>
  <c r="J69" i="30"/>
  <c r="F69" i="30"/>
  <c r="G107" i="30"/>
  <c r="F106" i="30"/>
  <c r="L104" i="30"/>
  <c r="J58" i="30"/>
  <c r="F58" i="30"/>
  <c r="K56" i="30"/>
  <c r="G56" i="30"/>
  <c r="C56" i="30"/>
  <c r="M58" i="30"/>
  <c r="I58" i="30"/>
  <c r="E58" i="30"/>
  <c r="B56" i="30"/>
  <c r="J56" i="30"/>
  <c r="F56" i="30"/>
  <c r="L58" i="30"/>
  <c r="H58" i="30"/>
  <c r="D58" i="30"/>
  <c r="M56" i="30"/>
  <c r="I56" i="30"/>
  <c r="E56" i="30"/>
  <c r="K58" i="30"/>
  <c r="G58" i="30"/>
  <c r="C58" i="30"/>
  <c r="L56" i="30"/>
  <c r="H56" i="30"/>
  <c r="D56" i="30"/>
  <c r="B55" i="30"/>
  <c r="M55" i="30"/>
  <c r="I55" i="30"/>
  <c r="E55" i="30"/>
  <c r="B90" i="30"/>
  <c r="L55" i="30"/>
  <c r="H55" i="30"/>
  <c r="D55" i="30"/>
  <c r="J55" i="30"/>
  <c r="G55" i="30"/>
  <c r="F55" i="30"/>
  <c r="K55" i="30"/>
  <c r="C55" i="30"/>
  <c r="L61" i="30"/>
  <c r="K61" i="30"/>
  <c r="F61" i="30"/>
  <c r="B89" i="30"/>
  <c r="H61" i="30"/>
  <c r="G61" i="30"/>
  <c r="D61" i="30"/>
  <c r="C61" i="30"/>
  <c r="M61" i="30"/>
  <c r="I61" i="30"/>
  <c r="J61" i="30"/>
  <c r="E61" i="30"/>
  <c r="K117" i="30"/>
  <c r="G117" i="30"/>
  <c r="C117" i="30"/>
  <c r="M115" i="30"/>
  <c r="I115" i="30"/>
  <c r="E115" i="30"/>
  <c r="B123" i="30"/>
  <c r="K67" i="30"/>
  <c r="G67" i="30"/>
  <c r="C67" i="30"/>
  <c r="C115" i="30"/>
  <c r="H117" i="30"/>
  <c r="F115" i="30"/>
  <c r="D67" i="30"/>
  <c r="J117" i="30"/>
  <c r="F117" i="30"/>
  <c r="L115" i="30"/>
  <c r="H115" i="30"/>
  <c r="D115" i="30"/>
  <c r="M67" i="30"/>
  <c r="J67" i="30"/>
  <c r="F67" i="30"/>
  <c r="G115" i="30"/>
  <c r="E67" i="30"/>
  <c r="D117" i="30"/>
  <c r="M117" i="30"/>
  <c r="I117" i="30"/>
  <c r="E117" i="30"/>
  <c r="B125" i="30"/>
  <c r="K115" i="30"/>
  <c r="I67" i="30"/>
  <c r="L117" i="30"/>
  <c r="J115" i="30"/>
  <c r="L67" i="30"/>
  <c r="H67" i="30"/>
  <c r="H139" i="30"/>
  <c r="C136" i="30"/>
  <c r="J136" i="30"/>
  <c r="J138" i="30" s="1"/>
  <c r="E136" i="30"/>
  <c r="E138" i="30" s="1"/>
  <c r="I139" i="30"/>
  <c r="C134" i="30"/>
  <c r="E134" i="30"/>
  <c r="L134" i="30"/>
  <c r="B139" i="30"/>
  <c r="I125" i="30"/>
  <c r="E126" i="30"/>
  <c r="D125" i="30"/>
  <c r="F126" i="30"/>
  <c r="K126" i="30"/>
  <c r="F125" i="30"/>
  <c r="E65" i="30"/>
  <c r="J132" i="30"/>
  <c r="K63" i="30"/>
  <c r="L65" i="30"/>
  <c r="I63" i="30"/>
  <c r="E60" i="30"/>
  <c r="H132" i="30"/>
  <c r="G60" i="30"/>
  <c r="L63" i="30"/>
  <c r="H60" i="30"/>
  <c r="C63" i="30"/>
  <c r="G123" i="30"/>
  <c r="D123" i="30"/>
  <c r="B134" i="30"/>
  <c r="J134" i="30"/>
  <c r="D139" i="30"/>
  <c r="M134" i="30"/>
  <c r="J139" i="30"/>
  <c r="H134" i="30"/>
  <c r="L136" i="30"/>
  <c r="L138" i="30" s="1"/>
  <c r="D134" i="30"/>
  <c r="D136" i="30"/>
  <c r="D138" i="30" s="1"/>
  <c r="E125" i="30"/>
  <c r="D126" i="30"/>
  <c r="L126" i="30"/>
  <c r="K125" i="30"/>
  <c r="G126" i="30"/>
  <c r="J126" i="30"/>
  <c r="B63" i="30"/>
  <c r="J60" i="30"/>
  <c r="J54" i="30" s="1"/>
  <c r="F132" i="30"/>
  <c r="K60" i="30"/>
  <c r="K54" i="30" s="1"/>
  <c r="H65" i="30"/>
  <c r="E63" i="30"/>
  <c r="M132" i="30"/>
  <c r="D132" i="30"/>
  <c r="C132" i="30"/>
  <c r="H63" i="30"/>
  <c r="D60" i="30"/>
  <c r="K132" i="30"/>
  <c r="M123" i="30"/>
  <c r="C123" i="30"/>
  <c r="K123" i="30"/>
  <c r="E139" i="30"/>
  <c r="K136" i="30"/>
  <c r="K138" i="30" s="1"/>
  <c r="F134" i="30"/>
  <c r="G139" i="30"/>
  <c r="I134" i="30"/>
  <c r="F139" i="30"/>
  <c r="H136" i="30"/>
  <c r="H138" i="30" s="1"/>
  <c r="K139" i="30"/>
  <c r="C139" i="30"/>
  <c r="G134" i="30"/>
  <c r="M126" i="30"/>
  <c r="L125" i="30"/>
  <c r="H126" i="30"/>
  <c r="G125" i="30"/>
  <c r="M65" i="30"/>
  <c r="J63" i="30"/>
  <c r="F60" i="30"/>
  <c r="B132" i="30"/>
  <c r="C60" i="30"/>
  <c r="D65" i="30"/>
  <c r="M60" i="30"/>
  <c r="M54" i="30" s="1"/>
  <c r="I132" i="30"/>
  <c r="K65" i="30"/>
  <c r="D63" i="30"/>
  <c r="L132" i="30"/>
  <c r="I123" i="30"/>
  <c r="L123" i="30"/>
  <c r="J123" i="30"/>
  <c r="C65" i="30"/>
  <c r="L139" i="30"/>
  <c r="G136" i="30"/>
  <c r="G138" i="30" s="1"/>
  <c r="B136" i="30"/>
  <c r="I136" i="30"/>
  <c r="I138" i="30" s="1"/>
  <c r="K134" i="30"/>
  <c r="F136" i="30"/>
  <c r="F138" i="30" s="1"/>
  <c r="M136" i="30"/>
  <c r="M138" i="30" s="1"/>
  <c r="M139" i="30"/>
  <c r="M125" i="30"/>
  <c r="I126" i="30"/>
  <c r="H125" i="30"/>
  <c r="C125" i="30"/>
  <c r="J125" i="30"/>
  <c r="I65" i="30"/>
  <c r="F63" i="30"/>
  <c r="B96" i="30"/>
  <c r="J65" i="30"/>
  <c r="G132" i="30"/>
  <c r="M63" i="30"/>
  <c r="I60" i="30"/>
  <c r="E132" i="30"/>
  <c r="G63" i="30"/>
  <c r="G65" i="30"/>
  <c r="L60" i="30"/>
  <c r="L54" i="30" s="1"/>
  <c r="F65" i="30"/>
  <c r="E123" i="30"/>
  <c r="H123" i="30"/>
  <c r="F123" i="30"/>
  <c r="M102" i="30"/>
  <c r="I102" i="30"/>
  <c r="E102" i="30"/>
  <c r="L102" i="30"/>
  <c r="H102" i="30"/>
  <c r="D102" i="30"/>
  <c r="K102" i="30"/>
  <c r="G102" i="30"/>
  <c r="C102" i="30"/>
  <c r="J102" i="30"/>
  <c r="F102" i="30"/>
  <c r="B102" i="30"/>
  <c r="I130" i="30"/>
  <c r="E130" i="30"/>
  <c r="M130" i="30"/>
  <c r="B129" i="30"/>
  <c r="I129" i="30"/>
  <c r="E129" i="30"/>
  <c r="B128" i="30"/>
  <c r="J130" i="30"/>
  <c r="F129" i="30"/>
  <c r="L130" i="30"/>
  <c r="H130" i="30"/>
  <c r="D130" i="30"/>
  <c r="L129" i="30"/>
  <c r="H129" i="30"/>
  <c r="D129" i="30"/>
  <c r="F130" i="30"/>
  <c r="J129" i="30"/>
  <c r="K130" i="30"/>
  <c r="G130" i="30"/>
  <c r="B130" i="30"/>
  <c r="K129" i="30"/>
  <c r="G129" i="30"/>
  <c r="C129" i="30"/>
  <c r="B98" i="30"/>
  <c r="C130" i="30"/>
  <c r="M129" i="30"/>
  <c r="L128" i="30"/>
  <c r="H128" i="30"/>
  <c r="D128" i="30"/>
  <c r="K128" i="30"/>
  <c r="G128" i="30"/>
  <c r="C128" i="30"/>
  <c r="F128" i="30"/>
  <c r="J128" i="30"/>
  <c r="I128" i="30"/>
  <c r="E128" i="30"/>
  <c r="M128" i="30"/>
  <c r="J94" i="30"/>
  <c r="F94" i="30"/>
  <c r="B94" i="30"/>
  <c r="E96" i="30"/>
  <c r="I96" i="30"/>
  <c r="M96" i="30"/>
  <c r="F98" i="30"/>
  <c r="J98" i="30"/>
  <c r="E100" i="30"/>
  <c r="I100" i="30"/>
  <c r="M94" i="30"/>
  <c r="I94" i="30"/>
  <c r="E94" i="30"/>
  <c r="F96" i="30"/>
  <c r="J96" i="30"/>
  <c r="C98" i="30"/>
  <c r="G98" i="30"/>
  <c r="K98" i="30"/>
  <c r="F100" i="30"/>
  <c r="J100" i="30"/>
  <c r="L94" i="30"/>
  <c r="H94" i="30"/>
  <c r="D94" i="30"/>
  <c r="C96" i="30"/>
  <c r="G96" i="30"/>
  <c r="K96" i="30"/>
  <c r="D98" i="30"/>
  <c r="H98" i="30"/>
  <c r="L98" i="30"/>
  <c r="G100" i="30"/>
  <c r="K100" i="30"/>
  <c r="K94" i="30"/>
  <c r="G94" i="30"/>
  <c r="C94" i="30"/>
  <c r="D96" i="30"/>
  <c r="H96" i="30"/>
  <c r="L96" i="30"/>
  <c r="E98" i="30"/>
  <c r="I98" i="30"/>
  <c r="M98" i="30"/>
  <c r="H100" i="30"/>
  <c r="L100" i="30"/>
  <c r="C90" i="30"/>
  <c r="G90" i="30"/>
  <c r="K90" i="30"/>
  <c r="C89" i="30"/>
  <c r="G89" i="30"/>
  <c r="K89" i="30"/>
  <c r="F90" i="30"/>
  <c r="J89" i="30"/>
  <c r="D90" i="30"/>
  <c r="H90" i="30"/>
  <c r="L90" i="30"/>
  <c r="D89" i="30"/>
  <c r="H89" i="30"/>
  <c r="L89" i="30"/>
  <c r="J90" i="30"/>
  <c r="F89" i="30"/>
  <c r="E90" i="30"/>
  <c r="I90" i="30"/>
  <c r="M90" i="30"/>
  <c r="E89" i="30"/>
  <c r="I89" i="30"/>
  <c r="M89" i="30"/>
  <c r="C120" i="30" l="1"/>
  <c r="E54" i="30"/>
  <c r="I114" i="30"/>
  <c r="E114" i="30"/>
  <c r="H114" i="30"/>
  <c r="D54" i="30"/>
  <c r="I54" i="30"/>
  <c r="F54" i="30"/>
  <c r="I131" i="30"/>
  <c r="D111" i="30"/>
  <c r="G114" i="30"/>
  <c r="E111" i="30"/>
  <c r="F114" i="30"/>
  <c r="F111" i="30"/>
  <c r="G54" i="30"/>
  <c r="H54" i="30"/>
  <c r="H111" i="30"/>
  <c r="B108" i="30"/>
  <c r="B105" i="30"/>
  <c r="B116" i="30"/>
  <c r="B54" i="30"/>
  <c r="B64" i="30"/>
  <c r="B66" i="30"/>
  <c r="N81" i="30"/>
  <c r="H105" i="30"/>
  <c r="H120" i="30"/>
  <c r="M105" i="30"/>
  <c r="M120" i="30"/>
  <c r="D108" i="30"/>
  <c r="D122" i="30"/>
  <c r="D118" i="30"/>
  <c r="C122" i="30"/>
  <c r="C118" i="30"/>
  <c r="I108" i="30"/>
  <c r="I122" i="30"/>
  <c r="I118" i="30"/>
  <c r="K108" i="30"/>
  <c r="K122" i="30"/>
  <c r="K118" i="30"/>
  <c r="N83" i="30"/>
  <c r="G105" i="30"/>
  <c r="G120" i="30"/>
  <c r="H108" i="30"/>
  <c r="H118" i="30"/>
  <c r="H122" i="30"/>
  <c r="M108" i="30"/>
  <c r="M118" i="30"/>
  <c r="M122" i="30"/>
  <c r="F108" i="30"/>
  <c r="F118" i="30"/>
  <c r="F122" i="30"/>
  <c r="L105" i="30"/>
  <c r="L120" i="30"/>
  <c r="F105" i="30"/>
  <c r="F120" i="30"/>
  <c r="K105" i="30"/>
  <c r="K120" i="30"/>
  <c r="E105" i="30"/>
  <c r="E120" i="30"/>
  <c r="L108" i="30"/>
  <c r="L122" i="30"/>
  <c r="L118" i="30"/>
  <c r="J108" i="30"/>
  <c r="J118" i="30"/>
  <c r="J122" i="30"/>
  <c r="B120" i="30"/>
  <c r="N119" i="30"/>
  <c r="J105" i="30"/>
  <c r="J120" i="30"/>
  <c r="D105" i="30"/>
  <c r="D120" i="30"/>
  <c r="I105" i="30"/>
  <c r="I120" i="30"/>
  <c r="G108" i="30"/>
  <c r="G122" i="30"/>
  <c r="G118" i="30"/>
  <c r="E108" i="30"/>
  <c r="E122" i="30"/>
  <c r="E118" i="30"/>
  <c r="B122" i="30"/>
  <c r="N121" i="30"/>
  <c r="B118" i="30"/>
  <c r="N79" i="30"/>
  <c r="N77" i="30"/>
  <c r="N73" i="30"/>
  <c r="N75" i="30"/>
  <c r="C138" i="30"/>
  <c r="N71" i="30"/>
  <c r="N113" i="30"/>
  <c r="C111" i="30"/>
  <c r="B111" i="30"/>
  <c r="N110" i="30"/>
  <c r="N112" i="30"/>
  <c r="C105" i="30"/>
  <c r="C108" i="30"/>
  <c r="N53" i="30"/>
  <c r="N109" i="30"/>
  <c r="C64" i="30"/>
  <c r="C54" i="30"/>
  <c r="N104" i="30"/>
  <c r="N106" i="30"/>
  <c r="N107" i="30"/>
  <c r="K114" i="30"/>
  <c r="D114" i="30"/>
  <c r="C114" i="30"/>
  <c r="N56" i="30"/>
  <c r="N58" i="30"/>
  <c r="F59" i="30"/>
  <c r="F57" i="30"/>
  <c r="H57" i="30"/>
  <c r="H59" i="30"/>
  <c r="I59" i="30"/>
  <c r="I57" i="30"/>
  <c r="G59" i="30"/>
  <c r="G57" i="30"/>
  <c r="L57" i="30"/>
  <c r="L59" i="30"/>
  <c r="M59" i="30"/>
  <c r="M57" i="30"/>
  <c r="C59" i="30"/>
  <c r="C57" i="30"/>
  <c r="J59" i="30"/>
  <c r="J57" i="30"/>
  <c r="K59" i="30"/>
  <c r="K57" i="30"/>
  <c r="D57" i="30"/>
  <c r="D59" i="30"/>
  <c r="E59" i="30"/>
  <c r="E57" i="30"/>
  <c r="B59" i="30"/>
  <c r="B57" i="30"/>
  <c r="N55" i="30"/>
  <c r="C124" i="30"/>
  <c r="C116" i="30"/>
  <c r="H124" i="30"/>
  <c r="H116" i="30"/>
  <c r="M124" i="30"/>
  <c r="M116" i="30"/>
  <c r="I127" i="30"/>
  <c r="N65" i="30"/>
  <c r="C62" i="30"/>
  <c r="C66" i="30"/>
  <c r="M127" i="30"/>
  <c r="K62" i="30"/>
  <c r="K66" i="30"/>
  <c r="K64" i="30"/>
  <c r="J127" i="30"/>
  <c r="D127" i="30"/>
  <c r="E127" i="30"/>
  <c r="N69" i="30"/>
  <c r="B114" i="30"/>
  <c r="B124" i="30"/>
  <c r="L124" i="30"/>
  <c r="L116" i="30"/>
  <c r="L62" i="30"/>
  <c r="L66" i="30"/>
  <c r="L64" i="30"/>
  <c r="I62" i="30"/>
  <c r="I64" i="30"/>
  <c r="I66" i="30"/>
  <c r="B138" i="30"/>
  <c r="N136" i="30"/>
  <c r="D62" i="30"/>
  <c r="D66" i="30"/>
  <c r="D64" i="30"/>
  <c r="G127" i="30"/>
  <c r="H62" i="30"/>
  <c r="H66" i="30"/>
  <c r="H64" i="30"/>
  <c r="E62" i="30"/>
  <c r="E64" i="30"/>
  <c r="E66" i="30"/>
  <c r="K127" i="30"/>
  <c r="N123" i="30"/>
  <c r="G124" i="30"/>
  <c r="G116" i="30"/>
  <c r="F124" i="30"/>
  <c r="F116" i="30"/>
  <c r="K124" i="30"/>
  <c r="K116" i="30"/>
  <c r="E124" i="30"/>
  <c r="E116" i="30"/>
  <c r="C127" i="30"/>
  <c r="B127" i="30"/>
  <c r="N126" i="30"/>
  <c r="N61" i="30"/>
  <c r="M62" i="30"/>
  <c r="M64" i="30"/>
  <c r="M66" i="30"/>
  <c r="F62" i="30"/>
  <c r="F66" i="30"/>
  <c r="F64" i="30"/>
  <c r="H127" i="30"/>
  <c r="J62" i="30"/>
  <c r="J66" i="30"/>
  <c r="J64" i="30"/>
  <c r="N60" i="30"/>
  <c r="F127" i="30"/>
  <c r="B140" i="30"/>
  <c r="N139" i="30"/>
  <c r="N125" i="30"/>
  <c r="N117" i="30"/>
  <c r="J124" i="30"/>
  <c r="J116" i="30"/>
  <c r="D124" i="30"/>
  <c r="D116" i="30"/>
  <c r="I124" i="30"/>
  <c r="I116" i="30"/>
  <c r="N63" i="30"/>
  <c r="L127" i="30"/>
  <c r="G62" i="30"/>
  <c r="G66" i="30"/>
  <c r="G64" i="30"/>
  <c r="N115" i="30"/>
  <c r="N67" i="30"/>
  <c r="B91" i="30"/>
  <c r="B68" i="30" s="1"/>
  <c r="M131" i="30"/>
  <c r="L131" i="30"/>
  <c r="K131" i="30"/>
  <c r="J131" i="30"/>
  <c r="H131" i="30"/>
  <c r="G131" i="30"/>
  <c r="F131" i="30"/>
  <c r="E131" i="30"/>
  <c r="C131" i="30"/>
  <c r="D131" i="30"/>
  <c r="N132" i="30"/>
  <c r="K91" i="30"/>
  <c r="K84" i="30" s="1"/>
  <c r="N134" i="30"/>
  <c r="N130" i="30"/>
  <c r="N129" i="30"/>
  <c r="B131" i="30"/>
  <c r="F91" i="30"/>
  <c r="C91" i="30"/>
  <c r="C84" i="30" s="1"/>
  <c r="N94" i="30"/>
  <c r="N128" i="30"/>
  <c r="N102" i="30"/>
  <c r="N96" i="30"/>
  <c r="N98" i="30"/>
  <c r="J91" i="30"/>
  <c r="N90" i="30"/>
  <c r="N89" i="30"/>
  <c r="L91" i="30"/>
  <c r="H91" i="30"/>
  <c r="G91" i="30"/>
  <c r="M91" i="30"/>
  <c r="I91" i="30"/>
  <c r="E91" i="30"/>
  <c r="D91" i="30"/>
  <c r="D84" i="30" s="1"/>
  <c r="N54" i="30" l="1"/>
  <c r="N135" i="30"/>
  <c r="N57" i="30"/>
  <c r="N59" i="30"/>
  <c r="K82" i="30"/>
  <c r="C82" i="30"/>
  <c r="E82" i="30"/>
  <c r="E84" i="30"/>
  <c r="H84" i="30"/>
  <c r="H82" i="30"/>
  <c r="J84" i="30"/>
  <c r="J82" i="30"/>
  <c r="B80" i="30"/>
  <c r="B84" i="30"/>
  <c r="B82" i="30"/>
  <c r="D82" i="30"/>
  <c r="G82" i="30"/>
  <c r="G84" i="30"/>
  <c r="N120" i="30"/>
  <c r="F84" i="30"/>
  <c r="F82" i="30"/>
  <c r="I82" i="30"/>
  <c r="I84" i="30"/>
  <c r="L82" i="30"/>
  <c r="L84" i="30"/>
  <c r="M82" i="30"/>
  <c r="M84" i="30"/>
  <c r="N122" i="30"/>
  <c r="N118" i="30"/>
  <c r="F78" i="30"/>
  <c r="F80" i="30"/>
  <c r="M78" i="30"/>
  <c r="M80" i="30"/>
  <c r="C76" i="30"/>
  <c r="C80" i="30"/>
  <c r="D76" i="30"/>
  <c r="D80" i="30"/>
  <c r="G78" i="30"/>
  <c r="G80" i="30"/>
  <c r="E78" i="30"/>
  <c r="E80" i="30"/>
  <c r="H78" i="30"/>
  <c r="H80" i="30"/>
  <c r="J78" i="30"/>
  <c r="J80" i="30"/>
  <c r="K76" i="30"/>
  <c r="K80" i="30"/>
  <c r="I78" i="30"/>
  <c r="I80" i="30"/>
  <c r="L78" i="30"/>
  <c r="L80" i="30"/>
  <c r="B78" i="30"/>
  <c r="B74" i="30"/>
  <c r="B76" i="30"/>
  <c r="K78" i="30"/>
  <c r="D78" i="30"/>
  <c r="C78" i="30"/>
  <c r="D72" i="30"/>
  <c r="D74" i="30"/>
  <c r="E72" i="30"/>
  <c r="E74" i="30"/>
  <c r="E76" i="30"/>
  <c r="I72" i="30"/>
  <c r="I76" i="30"/>
  <c r="I74" i="30"/>
  <c r="M72" i="30"/>
  <c r="M74" i="30"/>
  <c r="M76" i="30"/>
  <c r="G72" i="30"/>
  <c r="G76" i="30"/>
  <c r="G74" i="30"/>
  <c r="H72" i="30"/>
  <c r="H74" i="30"/>
  <c r="H76" i="30"/>
  <c r="L72" i="30"/>
  <c r="L76" i="30"/>
  <c r="L74" i="30"/>
  <c r="J72" i="30"/>
  <c r="J76" i="30"/>
  <c r="J74" i="30"/>
  <c r="C72" i="30"/>
  <c r="C74" i="30"/>
  <c r="F72" i="30"/>
  <c r="F76" i="30"/>
  <c r="F74" i="30"/>
  <c r="K72" i="30"/>
  <c r="K74" i="30"/>
  <c r="B72" i="30"/>
  <c r="N111" i="30"/>
  <c r="N105" i="30"/>
  <c r="N108" i="30"/>
  <c r="B70" i="30"/>
  <c r="B93" i="30"/>
  <c r="N138" i="30"/>
  <c r="N140" i="30"/>
  <c r="N62" i="30"/>
  <c r="N66" i="30"/>
  <c r="N64" i="30"/>
  <c r="N114" i="30"/>
  <c r="N127" i="30"/>
  <c r="N124" i="30"/>
  <c r="N116" i="30"/>
  <c r="F103" i="30"/>
  <c r="F70" i="30"/>
  <c r="F68" i="30"/>
  <c r="G68" i="30"/>
  <c r="G70" i="30"/>
  <c r="E70" i="30"/>
  <c r="E68" i="30"/>
  <c r="J92" i="30"/>
  <c r="J70" i="30"/>
  <c r="J68" i="30"/>
  <c r="K101" i="30"/>
  <c r="K68" i="30"/>
  <c r="K70" i="30"/>
  <c r="M70" i="30"/>
  <c r="M68" i="30"/>
  <c r="C92" i="30"/>
  <c r="C68" i="30"/>
  <c r="C70" i="30"/>
  <c r="D68" i="30"/>
  <c r="D70" i="30"/>
  <c r="H68" i="30"/>
  <c r="H70" i="30"/>
  <c r="I70" i="30"/>
  <c r="I68" i="30"/>
  <c r="L68" i="30"/>
  <c r="L70" i="30"/>
  <c r="B95" i="30"/>
  <c r="B103" i="30"/>
  <c r="B99" i="30"/>
  <c r="N137" i="30"/>
  <c r="K93" i="30"/>
  <c r="B97" i="30"/>
  <c r="N131" i="30"/>
  <c r="C93" i="30"/>
  <c r="B92" i="30"/>
  <c r="F93" i="30"/>
  <c r="F95" i="30"/>
  <c r="F92" i="30"/>
  <c r="F101" i="30"/>
  <c r="F99" i="30"/>
  <c r="K92" i="30"/>
  <c r="K95" i="30"/>
  <c r="F97" i="30"/>
  <c r="K99" i="30"/>
  <c r="J93" i="30"/>
  <c r="K103" i="30"/>
  <c r="K97" i="30"/>
  <c r="L99" i="30"/>
  <c r="L101" i="30"/>
  <c r="L95" i="30"/>
  <c r="L103" i="30"/>
  <c r="L97" i="30"/>
  <c r="J99" i="30"/>
  <c r="J95" i="30"/>
  <c r="J101" i="30"/>
  <c r="J103" i="30"/>
  <c r="J97" i="30"/>
  <c r="I103" i="30"/>
  <c r="I97" i="30"/>
  <c r="I101" i="30"/>
  <c r="I99" i="30"/>
  <c r="I95" i="30"/>
  <c r="M103" i="30"/>
  <c r="M97" i="30"/>
  <c r="M99" i="30"/>
  <c r="M95" i="30"/>
  <c r="C103" i="30"/>
  <c r="C99" i="30"/>
  <c r="C95" i="30"/>
  <c r="C97" i="30"/>
  <c r="D99" i="30"/>
  <c r="D103" i="30"/>
  <c r="D95" i="30"/>
  <c r="D97" i="30"/>
  <c r="G101" i="30"/>
  <c r="G97" i="30"/>
  <c r="G99" i="30"/>
  <c r="G95" i="30"/>
  <c r="G103" i="30"/>
  <c r="N133" i="30"/>
  <c r="E103" i="30"/>
  <c r="E97" i="30"/>
  <c r="E101" i="30"/>
  <c r="E99" i="30"/>
  <c r="E95" i="30"/>
  <c r="H95" i="30"/>
  <c r="H103" i="30"/>
  <c r="H97" i="30"/>
  <c r="H101" i="30"/>
  <c r="H99" i="30"/>
  <c r="L93" i="30"/>
  <c r="L92" i="30"/>
  <c r="I92" i="30"/>
  <c r="I93" i="30"/>
  <c r="H92" i="30"/>
  <c r="H93" i="30"/>
  <c r="E93" i="30"/>
  <c r="E92" i="30"/>
  <c r="D93" i="30"/>
  <c r="D92" i="30"/>
  <c r="M93" i="30"/>
  <c r="M92" i="30"/>
  <c r="G93" i="30"/>
  <c r="G92" i="30"/>
  <c r="N91" i="30"/>
  <c r="N80" i="30" l="1"/>
  <c r="N84" i="30"/>
  <c r="N82" i="30"/>
  <c r="N74" i="30"/>
  <c r="N78" i="30"/>
  <c r="N72" i="30"/>
  <c r="N76" i="30"/>
  <c r="N70" i="30"/>
  <c r="N68" i="30"/>
  <c r="N99" i="30"/>
  <c r="N103" i="30"/>
  <c r="N97" i="30"/>
  <c r="N95" i="30"/>
  <c r="N92" i="30"/>
  <c r="N93" i="30"/>
  <c r="MH3" i="5" l="1"/>
  <c r="MK3" i="5"/>
  <c r="ML3" i="5"/>
  <c r="MN3" i="5"/>
  <c r="MP3" i="5" s="1"/>
  <c r="MO3" i="5"/>
  <c r="E43" i="30" s="1"/>
  <c r="MQ3" i="5"/>
  <c r="NE3" i="5" s="1"/>
  <c r="HK3" i="5" s="1"/>
  <c r="HR3" i="5" s="1"/>
  <c r="MU3" i="5"/>
  <c r="MW3" i="5"/>
  <c r="MX3" i="5"/>
  <c r="NL3" i="5"/>
  <c r="NM3" i="5"/>
  <c r="NN3" i="5"/>
  <c r="NO3" i="5"/>
  <c r="J48" i="30" l="1"/>
  <c r="F48" i="30"/>
  <c r="F49" i="30" s="1"/>
  <c r="M48" i="30"/>
  <c r="I48" i="30"/>
  <c r="I49" i="30" s="1"/>
  <c r="E48" i="30"/>
  <c r="E49" i="30" s="1"/>
  <c r="C48" i="30"/>
  <c r="C49" i="30" s="1"/>
  <c r="L48" i="30"/>
  <c r="H48" i="30"/>
  <c r="H49" i="30" s="1"/>
  <c r="D48" i="30"/>
  <c r="D49" i="30" s="1"/>
  <c r="B48" i="30"/>
  <c r="K48" i="30"/>
  <c r="G48" i="30"/>
  <c r="G49" i="30" s="1"/>
  <c r="B40" i="30"/>
  <c r="L50" i="30"/>
  <c r="H50" i="30"/>
  <c r="D50" i="30"/>
  <c r="M51" i="30"/>
  <c r="M52" i="30" s="1"/>
  <c r="I51" i="30"/>
  <c r="E51" i="30"/>
  <c r="K50" i="30"/>
  <c r="G50" i="30"/>
  <c r="C50" i="30"/>
  <c r="L51" i="30"/>
  <c r="L52" i="30" s="1"/>
  <c r="H51" i="30"/>
  <c r="D51" i="30"/>
  <c r="J50" i="30"/>
  <c r="F50" i="30"/>
  <c r="B50" i="30"/>
  <c r="K51" i="30"/>
  <c r="K52" i="30" s="1"/>
  <c r="G51" i="30"/>
  <c r="C51" i="30"/>
  <c r="M50" i="30"/>
  <c r="I50" i="30"/>
  <c r="E50" i="30"/>
  <c r="B51" i="30"/>
  <c r="J51" i="30"/>
  <c r="J52" i="30" s="1"/>
  <c r="F51" i="30"/>
  <c r="C43" i="30"/>
  <c r="J43" i="30"/>
  <c r="F43" i="30"/>
  <c r="B43" i="30"/>
  <c r="M43" i="30"/>
  <c r="I43" i="30"/>
  <c r="C40" i="30"/>
  <c r="L43" i="30"/>
  <c r="K43" i="30"/>
  <c r="G43" i="30"/>
  <c r="D43" i="30"/>
  <c r="B41" i="30"/>
  <c r="H43" i="30"/>
  <c r="MR3" i="5"/>
  <c r="MS3" i="5"/>
  <c r="I52" i="30" l="1"/>
  <c r="G52" i="30"/>
  <c r="H52" i="30"/>
  <c r="F52" i="30"/>
  <c r="E52" i="30"/>
  <c r="N48" i="30"/>
  <c r="N49" i="30" s="1"/>
  <c r="B49" i="30"/>
  <c r="B52" i="30"/>
  <c r="D52" i="30"/>
  <c r="C52" i="30"/>
  <c r="N50" i="30"/>
  <c r="N51" i="30"/>
  <c r="B42" i="30"/>
  <c r="C44" i="30"/>
  <c r="B44" i="30"/>
  <c r="MY3" i="5"/>
  <c r="ND3" i="5" l="1"/>
  <c r="HI3" i="5" s="1"/>
  <c r="HJ3" i="5"/>
  <c r="N52" i="30"/>
  <c r="N8" i="30"/>
  <c r="N11" i="30" s="1"/>
  <c r="B37" i="30"/>
  <c r="F38" i="30"/>
  <c r="D38" i="30"/>
  <c r="I38" i="30"/>
  <c r="L37" i="30"/>
  <c r="L39" i="30" s="1"/>
  <c r="G37" i="30"/>
  <c r="G39" i="30" s="1"/>
  <c r="H38" i="30"/>
  <c r="M37" i="30"/>
  <c r="M39" i="30" s="1"/>
  <c r="K38" i="30"/>
  <c r="J37" i="30"/>
  <c r="J39" i="30" s="1"/>
  <c r="E37" i="30"/>
  <c r="C38" i="30"/>
  <c r="K37" i="30"/>
  <c r="K39" i="30" s="1"/>
  <c r="M38" i="30"/>
  <c r="H37" i="30"/>
  <c r="H39" i="30" s="1"/>
  <c r="C37" i="30"/>
  <c r="E38" i="30"/>
  <c r="J38" i="30"/>
  <c r="D37" i="30"/>
  <c r="F37" i="30"/>
  <c r="B38" i="30"/>
  <c r="G38" i="30"/>
  <c r="L38" i="30"/>
  <c r="I37" i="30"/>
  <c r="I39" i="30" s="1"/>
  <c r="D14" i="30" l="1"/>
  <c r="B14" i="30"/>
  <c r="D15" i="30"/>
  <c r="B15" i="30"/>
  <c r="B39" i="30"/>
  <c r="N43" i="30"/>
  <c r="B46" i="30"/>
  <c r="B45" i="30"/>
  <c r="C14" i="30" l="1"/>
  <c r="E14" i="30"/>
  <c r="B47" i="30"/>
  <c r="D39" i="30"/>
  <c r="G146" i="30"/>
  <c r="M85" i="30"/>
  <c r="F87" i="30"/>
  <c r="B146" i="30"/>
  <c r="C144" i="30"/>
  <c r="K87" i="30"/>
  <c r="F144" i="30"/>
  <c r="D144" i="30"/>
  <c r="L85" i="30"/>
  <c r="D146" i="30"/>
  <c r="L87" i="30"/>
  <c r="F85" i="30"/>
  <c r="L144" i="30"/>
  <c r="H87" i="30"/>
  <c r="B85" i="30"/>
  <c r="I144" i="30"/>
  <c r="F146" i="30"/>
  <c r="M87" i="30"/>
  <c r="G85" i="30"/>
  <c r="I146" i="30"/>
  <c r="G87" i="30"/>
  <c r="H85" i="30"/>
  <c r="K144" i="30"/>
  <c r="C146" i="30"/>
  <c r="D85" i="30"/>
  <c r="G144" i="30"/>
  <c r="L146" i="30"/>
  <c r="I85" i="30"/>
  <c r="B87" i="30"/>
  <c r="E144" i="30"/>
  <c r="J144" i="30"/>
  <c r="I87" i="30"/>
  <c r="C85" i="30"/>
  <c r="E146" i="30"/>
  <c r="C87" i="30"/>
  <c r="B144" i="30"/>
  <c r="M146" i="30"/>
  <c r="K85" i="30"/>
  <c r="J146" i="30"/>
  <c r="H144" i="30"/>
  <c r="D87" i="30"/>
  <c r="H146" i="30"/>
  <c r="E85" i="30"/>
  <c r="J85" i="30"/>
  <c r="K146" i="30"/>
  <c r="M144" i="30"/>
  <c r="E87" i="30"/>
  <c r="J87" i="30"/>
  <c r="I40" i="30"/>
  <c r="D40" i="30"/>
  <c r="L41" i="30"/>
  <c r="L46" i="30" s="1"/>
  <c r="E40" i="30"/>
  <c r="K40" i="30"/>
  <c r="H41" i="30"/>
  <c r="H46" i="30" s="1"/>
  <c r="J41" i="30"/>
  <c r="J46" i="30" s="1"/>
  <c r="K41" i="30"/>
  <c r="K46" i="30" s="1"/>
  <c r="L40" i="30"/>
  <c r="I41" i="30"/>
  <c r="I46" i="30" s="1"/>
  <c r="J40" i="30"/>
  <c r="G40" i="30"/>
  <c r="M40" i="30"/>
  <c r="F41" i="30"/>
  <c r="H40" i="30"/>
  <c r="F40" i="30"/>
  <c r="G41" i="30"/>
  <c r="G46" i="30" s="1"/>
  <c r="F44" i="30" l="1"/>
  <c r="E44" i="30"/>
  <c r="D45" i="30"/>
  <c r="D44" i="30"/>
  <c r="M45" i="30"/>
  <c r="M44" i="30"/>
  <c r="L45" i="30"/>
  <c r="L47" i="30" s="1"/>
  <c r="L44" i="30"/>
  <c r="K45" i="30"/>
  <c r="K47" i="30" s="1"/>
  <c r="K44" i="30"/>
  <c r="I45" i="30"/>
  <c r="I47" i="30" s="1"/>
  <c r="I44" i="30"/>
  <c r="G45" i="30"/>
  <c r="G47" i="30" s="1"/>
  <c r="G44" i="30"/>
  <c r="H45" i="30"/>
  <c r="H47" i="30" s="1"/>
  <c r="H44" i="30"/>
  <c r="J45" i="30"/>
  <c r="J47" i="30" s="1"/>
  <c r="J44" i="30"/>
  <c r="E39" i="30"/>
  <c r="E45" i="30"/>
  <c r="N38" i="30"/>
  <c r="F46" i="30"/>
  <c r="F39" i="30"/>
  <c r="B145" i="30"/>
  <c r="B147" i="30"/>
  <c r="B88" i="30"/>
  <c r="B86" i="30"/>
  <c r="N85" i="30"/>
  <c r="N146" i="30"/>
  <c r="N87" i="30"/>
  <c r="N144" i="30"/>
  <c r="L147" i="30"/>
  <c r="L145" i="30"/>
  <c r="K147" i="30"/>
  <c r="K145" i="30"/>
  <c r="D147" i="30"/>
  <c r="D145" i="30"/>
  <c r="H147" i="30"/>
  <c r="H145" i="30"/>
  <c r="G145" i="30"/>
  <c r="G147" i="30"/>
  <c r="C147" i="30"/>
  <c r="C145" i="30"/>
  <c r="J145" i="30"/>
  <c r="J147" i="30"/>
  <c r="E145" i="30"/>
  <c r="E147" i="30"/>
  <c r="I145" i="30"/>
  <c r="I147" i="30"/>
  <c r="F145" i="30"/>
  <c r="F147" i="30"/>
  <c r="M147" i="30"/>
  <c r="M145" i="30"/>
  <c r="L42" i="30"/>
  <c r="L88" i="30"/>
  <c r="L86" i="30"/>
  <c r="K42" i="30"/>
  <c r="K88" i="30"/>
  <c r="K86" i="30"/>
  <c r="D86" i="30"/>
  <c r="D88" i="30"/>
  <c r="H42" i="30"/>
  <c r="H86" i="30"/>
  <c r="H88" i="30"/>
  <c r="G42" i="30"/>
  <c r="G88" i="30"/>
  <c r="G86" i="30"/>
  <c r="C88" i="30"/>
  <c r="C86" i="30"/>
  <c r="N40" i="30"/>
  <c r="J42" i="30"/>
  <c r="J86" i="30"/>
  <c r="J88" i="30"/>
  <c r="E88" i="30"/>
  <c r="E86" i="30"/>
  <c r="I42" i="30"/>
  <c r="I86" i="30"/>
  <c r="I88" i="30"/>
  <c r="F42" i="30"/>
  <c r="F88" i="30"/>
  <c r="F86" i="30"/>
  <c r="M88" i="30"/>
  <c r="M86" i="30"/>
  <c r="N44" i="30" l="1"/>
  <c r="F45" i="30"/>
  <c r="F47" i="30" s="1"/>
  <c r="C39" i="30"/>
  <c r="N37" i="30"/>
  <c r="N39" i="30" s="1"/>
  <c r="C45" i="30"/>
  <c r="N145" i="30"/>
  <c r="N147" i="30"/>
  <c r="N86" i="30"/>
  <c r="N88" i="30"/>
  <c r="N45" i="30" l="1"/>
  <c r="MJ3" i="5"/>
  <c r="M148" i="30" l="1"/>
  <c r="M149" i="30" s="1"/>
  <c r="M150" i="30"/>
  <c r="M151" i="30" s="1"/>
  <c r="M152" i="30"/>
  <c r="M153" i="30" s="1"/>
  <c r="L148" i="30"/>
  <c r="L149" i="30" s="1"/>
  <c r="L150" i="30"/>
  <c r="L151" i="30" s="1"/>
  <c r="L152" i="30"/>
  <c r="L153" i="30" s="1"/>
  <c r="K152" i="30"/>
  <c r="K153" i="30" s="1"/>
  <c r="K148" i="30"/>
  <c r="K149" i="30" s="1"/>
  <c r="K150" i="30"/>
  <c r="K151" i="30" s="1"/>
  <c r="J150" i="30"/>
  <c r="J151" i="30" s="1"/>
  <c r="J148" i="30"/>
  <c r="J149" i="30" s="1"/>
  <c r="J152" i="30"/>
  <c r="J153" i="30" s="1"/>
  <c r="I150" i="30"/>
  <c r="I151" i="30" s="1"/>
  <c r="I152" i="30"/>
  <c r="I153" i="30" s="1"/>
  <c r="I148" i="30"/>
  <c r="I149" i="30" s="1"/>
  <c r="H152" i="30"/>
  <c r="H153" i="30" s="1"/>
  <c r="H150" i="30"/>
  <c r="H151" i="30" s="1"/>
  <c r="H148" i="30"/>
  <c r="H149" i="30" s="1"/>
  <c r="G150" i="30"/>
  <c r="G151" i="30" s="1"/>
  <c r="G148" i="30"/>
  <c r="G149" i="30" s="1"/>
  <c r="G152" i="30"/>
  <c r="G153" i="30" s="1"/>
  <c r="F152" i="30"/>
  <c r="F153" i="30" s="1"/>
  <c r="F148" i="30"/>
  <c r="F149" i="30" s="1"/>
  <c r="F150" i="30"/>
  <c r="F151" i="30" s="1"/>
  <c r="E41" i="30" l="1"/>
  <c r="D41" i="30"/>
  <c r="M41" i="30"/>
  <c r="M46" i="30" s="1"/>
  <c r="M47" i="30" s="1"/>
  <c r="C41" i="30"/>
  <c r="M42" i="30" l="1"/>
  <c r="C42" i="30"/>
  <c r="C46" i="30"/>
  <c r="C47" i="30" s="1"/>
  <c r="D42" i="30"/>
  <c r="D46" i="30"/>
  <c r="D47" i="30" s="1"/>
  <c r="E42" i="30"/>
  <c r="E46" i="30"/>
  <c r="E47" i="30" s="1"/>
  <c r="N41" i="30"/>
  <c r="N42" i="30" s="1"/>
  <c r="N46" i="30" l="1"/>
  <c r="N47" i="30" s="1"/>
  <c r="C100" i="30"/>
  <c r="C101" i="30" s="1"/>
  <c r="B100" i="30"/>
  <c r="B101" i="30" s="1"/>
  <c r="D100" i="30"/>
  <c r="D101" i="30" s="1"/>
  <c r="M100" i="30" l="1"/>
  <c r="N100" i="30" l="1"/>
  <c r="N101" i="30" s="1"/>
  <c r="M101" i="30"/>
  <c r="M11" i="30"/>
  <c r="I11" i="30"/>
  <c r="E11" i="30"/>
  <c r="B11" i="30"/>
  <c r="J11" i="30"/>
  <c r="F11" i="30"/>
  <c r="K11" i="30"/>
  <c r="G11" i="30"/>
  <c r="C11" i="30"/>
  <c r="L11" i="30"/>
  <c r="H11" i="30"/>
  <c r="D11" i="30"/>
  <c r="B152" i="30" l="1"/>
  <c r="B153" i="30" s="1"/>
  <c r="B150" i="30"/>
  <c r="B151" i="30" s="1"/>
  <c r="B148" i="30"/>
  <c r="B149" i="30" s="1"/>
  <c r="D150" i="30"/>
  <c r="D151" i="30" s="1"/>
  <c r="D148" i="30"/>
  <c r="D149" i="30" s="1"/>
  <c r="D152" i="30"/>
  <c r="D153" i="30" s="1"/>
  <c r="E150" i="30"/>
  <c r="E151" i="30" s="1"/>
  <c r="E152" i="30"/>
  <c r="E153" i="30" s="1"/>
  <c r="E148" i="30"/>
  <c r="E149" i="30" s="1"/>
  <c r="C150" i="30"/>
  <c r="C148" i="30"/>
  <c r="C152" i="30"/>
  <c r="N152" i="30" l="1"/>
  <c r="N153" i="30" s="1"/>
  <c r="C153" i="30"/>
  <c r="N148" i="30"/>
  <c r="N149" i="30" s="1"/>
  <c r="C149" i="30"/>
  <c r="N150" i="30"/>
  <c r="N151" i="30" s="1"/>
  <c r="C151" i="30"/>
  <c r="N195" i="5"/>
</calcChain>
</file>

<file path=xl/sharedStrings.xml><?xml version="1.0" encoding="utf-8"?>
<sst xmlns="http://schemas.openxmlformats.org/spreadsheetml/2006/main" count="24402" uniqueCount="2062">
  <si>
    <t>NOMBRE 1</t>
  </si>
  <si>
    <t>NOMBRE 2</t>
  </si>
  <si>
    <t>TIPO DE DOCUMENTO</t>
  </si>
  <si>
    <t>No DE IDENTIFICACION</t>
  </si>
  <si>
    <t>FECHA DE NACIMIENTO</t>
  </si>
  <si>
    <t>EDAD ACTUAL</t>
  </si>
  <si>
    <t>ASEGURADORA</t>
  </si>
  <si>
    <t>ZONA DE RESIDENCIA</t>
  </si>
  <si>
    <t>TELEFONO FIJO O CELULAR</t>
  </si>
  <si>
    <t>ESTUDIOS</t>
  </si>
  <si>
    <t>APOYO FAMILIAR</t>
  </si>
  <si>
    <t>SEMANAS DE GESTACION AL INGRESO</t>
  </si>
  <si>
    <t>TRIMESTRE DE  INGRESO AL CPN</t>
  </si>
  <si>
    <t>SEMANAS DE GESTACION ACTUALIZADAS</t>
  </si>
  <si>
    <t>SEMANAS DE GESTACION A LA CONSULTA ODONTOLOGICA</t>
  </si>
  <si>
    <t>LUGAR DE ATENCION DEL PARTO</t>
  </si>
  <si>
    <t>PROFESIONAL O PERSONA QUE ATIENDE EL PARTO</t>
  </si>
  <si>
    <t>IMC</t>
  </si>
  <si>
    <t>AÑO</t>
  </si>
  <si>
    <t>ESTADO CIVIL</t>
  </si>
  <si>
    <t>OCUPACION</t>
  </si>
  <si>
    <t>APELLIDO 2</t>
  </si>
  <si>
    <t>CITA PROXIMO CONTROL</t>
  </si>
  <si>
    <t>SALE DEL PROGRAMA POR</t>
  </si>
  <si>
    <t>RESULTADO ULTIMA CITOLOGIA (SEGÚN NORMA Y VIGENTE)</t>
  </si>
  <si>
    <t>TIPO DE ETNIA</t>
  </si>
  <si>
    <t>HA SIDO VICTIMA DE VIOLENCIA FISICA O PSICOLOGICA</t>
  </si>
  <si>
    <t xml:space="preserve">FECHA DE SALIDA </t>
  </si>
  <si>
    <t>REGIMEN</t>
  </si>
  <si>
    <t>GRUPO DE POBLACION ESPECIAL</t>
  </si>
  <si>
    <t>GRUPO INDIGENA ESPECIFICO</t>
  </si>
  <si>
    <t>PUNTO O CENTRO DE ATENCION</t>
  </si>
  <si>
    <t>ADHERENCIA AL CPN</t>
  </si>
  <si>
    <t>FECHA CONSULTA DE 1RA VEZ POR ODONTOLOGIA</t>
  </si>
  <si>
    <t>PERIODO INTERGENESICO (MESES)</t>
  </si>
  <si>
    <t>NUMERO NACIDOS VIVOS</t>
  </si>
  <si>
    <t>FUM FORMULA CONFIABLE</t>
  </si>
  <si>
    <t>APLICACIÓN DE VIT K</t>
  </si>
  <si>
    <t>GRUPO SANGUINEO RN</t>
  </si>
  <si>
    <t>TOTAL CONTROLES</t>
  </si>
  <si>
    <t>PESO AL NACER POR EDAD GESTACIONAL</t>
  </si>
  <si>
    <t>TALLA EN Mts       (Coma para decimal)</t>
  </si>
  <si>
    <t>EFECTIVIDAD DEMANDA</t>
  </si>
  <si>
    <t>FECHA INDUCCION A LA DEMANDA CPN</t>
  </si>
  <si>
    <t>GESTANTES ACTUALES</t>
  </si>
  <si>
    <t>RESGUARDO O CORREGIMIENTO</t>
  </si>
  <si>
    <t xml:space="preserve">NOVEDAD AL MOMENTO CAPTACION </t>
  </si>
  <si>
    <t xml:space="preserve">CONTROLES PROGRAMADOS </t>
  </si>
  <si>
    <t>VEREDA/BARRIO</t>
  </si>
  <si>
    <t>RIESGO PSICOSOCIAL</t>
  </si>
  <si>
    <t>FECHA ECO 1</t>
  </si>
  <si>
    <t>SEMANAS GESTACION ECO 1</t>
  </si>
  <si>
    <t>FUM X ECO 1</t>
  </si>
  <si>
    <t>FECHA ECO 2</t>
  </si>
  <si>
    <t>SEMANAS GESTACION ECO 2</t>
  </si>
  <si>
    <t>FECHA C2</t>
  </si>
  <si>
    <t>FECHA C3</t>
  </si>
  <si>
    <t>FECHA C4</t>
  </si>
  <si>
    <t>FECHA C5</t>
  </si>
  <si>
    <t>FECHA C6</t>
  </si>
  <si>
    <t>FECHA C7</t>
  </si>
  <si>
    <t>FECHA C8</t>
  </si>
  <si>
    <t>FECHA C9</t>
  </si>
  <si>
    <t>FECHA C10</t>
  </si>
  <si>
    <t>FECHA C11</t>
  </si>
  <si>
    <t>% CUMPLIM INDIVIDUAL</t>
  </si>
  <si>
    <t>FECHA  REMISION PSICOLOGIA</t>
  </si>
  <si>
    <t>FECHA ASISTENCIA A CONSULTA PSICOLOGIA</t>
  </si>
  <si>
    <t>FECHA  REMISION NUTRICION</t>
  </si>
  <si>
    <t>FECHA ASISTENCIA A CONSULTA NUTRICION</t>
  </si>
  <si>
    <t>FECHA  REMISION GINECOLOGO</t>
  </si>
  <si>
    <t>FECHA RESULTADO HB</t>
  </si>
  <si>
    <t>EDAD GESTACIONAL HB</t>
  </si>
  <si>
    <t xml:space="preserve">RESULTADO UROCULTIVO </t>
  </si>
  <si>
    <t>FECHA RESULTADO UROCULTIVO</t>
  </si>
  <si>
    <t>EDAD GESTACIONAL UROCULTIVO</t>
  </si>
  <si>
    <t>RESULTADO HEP B ANTIGENO SUPERFICIE</t>
  </si>
  <si>
    <t>FECHA RESULTADO H ASB</t>
  </si>
  <si>
    <t>RESULTADO Toxoplasma IgG</t>
  </si>
  <si>
    <t>FECHA RESULTADO TOXO</t>
  </si>
  <si>
    <t>RESULTADO CONFIRM. TOXO. IgM</t>
  </si>
  <si>
    <t>EDAD GESTACIONAL SALIDA PROGRAMA</t>
  </si>
  <si>
    <t>SEXO RN</t>
  </si>
  <si>
    <t>RESULTADO TSH</t>
  </si>
  <si>
    <t xml:space="preserve"> FECHA RESULTADO TSH</t>
  </si>
  <si>
    <t>SEXO RN 2</t>
  </si>
  <si>
    <t>PESO AL NACER POR EDAD GESTACIONAL RN 2</t>
  </si>
  <si>
    <t>TOMA  TSH 2</t>
  </si>
  <si>
    <t>RESULTADO TSH 2</t>
  </si>
  <si>
    <t xml:space="preserve"> FECHA RESULTADO TSH 2</t>
  </si>
  <si>
    <t>APLICACIÓN DE VIT K 2</t>
  </si>
  <si>
    <t>GRUPO SANGUINEO RN 2</t>
  </si>
  <si>
    <t xml:space="preserve">CONTROL RN FECHA ASISTIO </t>
  </si>
  <si>
    <t>CONTROL DE PUERPERIO FECHA</t>
  </si>
  <si>
    <t>APELLIDO</t>
  </si>
  <si>
    <t>RESULTADO HEMOGLOBINA SEMANA 28</t>
  </si>
  <si>
    <t>FECHA APLICACIÓN VACUNA BCG</t>
  </si>
  <si>
    <t>FECHA APLICACIÓN VACUNA BCG 2</t>
  </si>
  <si>
    <t>PTOG. carga 75 gr - RESULTADO</t>
  </si>
  <si>
    <t>EDAD GESTACIONAL HB - SEM 28</t>
  </si>
  <si>
    <t>FECHA RESULTADO HB SEM 28</t>
  </si>
  <si>
    <t>PTOG. carga 75 gr PRE - VALOR</t>
  </si>
  <si>
    <t>PTOG. carga 75 gr 1 HORA - VALOR</t>
  </si>
  <si>
    <t>PTOG. carga 75 gr 2 HORA - VALOR</t>
  </si>
  <si>
    <t>FECHA TOMA EXAMEN PTOG</t>
  </si>
  <si>
    <t>FECHA RESULTADO PR-  II TRIM</t>
  </si>
  <si>
    <t>FECHA RESULTADO PR-  III TRIM</t>
  </si>
  <si>
    <t>FECHA RESULTADO PR INTRAPARTO</t>
  </si>
  <si>
    <t>FECHA VACUNA ANTI INFLUENZA</t>
  </si>
  <si>
    <t>FECHA VACUNA DPT ACELULAR</t>
  </si>
  <si>
    <t>ALARMA TOXOPLASMOSIS</t>
  </si>
  <si>
    <t>NUMERO VECES TOMA TOXOPLASMA IgM - Control</t>
  </si>
  <si>
    <t>ANTECEDENTE GRAVIDA</t>
  </si>
  <si>
    <t>No CONSULTAS GINECOLOGO</t>
  </si>
  <si>
    <t>FECHA ULTIMA ASISTENCIA A CONSULTA GINECO</t>
  </si>
  <si>
    <t>CONDUCTA HEMOGLOBINA</t>
  </si>
  <si>
    <t>FECHA APLICACIÓN VACUNA HEPATITIS B</t>
  </si>
  <si>
    <t>FECHA APLICACIÓN VACUNA HEPATITIS B 2</t>
  </si>
  <si>
    <t>FECHA INSCRIPCION A PLANIFICACION FAMILIAR</t>
  </si>
  <si>
    <t>T.A. SISTOLICA - ANTES DE SEMANA 12</t>
  </si>
  <si>
    <t>T.A. DIASTOLICA - ANTES DE SEMANA 12</t>
  </si>
  <si>
    <t>ALARMA CASOS SIFILIS GESTACIONAL</t>
  </si>
  <si>
    <t>EDAD GESTACIONAL P.T.O.G</t>
  </si>
  <si>
    <t>TA. SISTOLICA SEM 30 A 34</t>
  </si>
  <si>
    <t>METODO DE ANTICONCEPCION INICIADO</t>
  </si>
  <si>
    <t>COMPLICACIONES POSTPARTO</t>
  </si>
  <si>
    <t>TA. DIASTOLICA SEM 30 A 34</t>
  </si>
  <si>
    <t>MUNICIPIO DE RESIDENCIA</t>
  </si>
  <si>
    <t>ANTE. 3 ABORTOS SEGUIDOS O INFERTILIDAD</t>
  </si>
  <si>
    <t>ALARMA 1 T.A.  ANTES 12 SEMANAS</t>
  </si>
  <si>
    <t>ANSIEDAD (Tensión emocional, Humor depresivo y sx angustia).</t>
  </si>
  <si>
    <t>EMBARAZO ACEPTADO Y/O  DESEADO</t>
  </si>
  <si>
    <t>FECHA GLICEMIA</t>
  </si>
  <si>
    <t>TIENE ENFERMEDADES AUTOINMUNES</t>
  </si>
  <si>
    <t>TIENE DIABETES MELLITUS</t>
  </si>
  <si>
    <t>TIENE ENFERMEDAD CARDIACA</t>
  </si>
  <si>
    <t>TIENE HTA CRONICA</t>
  </si>
  <si>
    <t>TIENE POLIHIDRAMNIOS</t>
  </si>
  <si>
    <t>EN EMB ACTUAL HEMORRAGIA VAGINAL &lt; 20 SEM</t>
  </si>
  <si>
    <t xml:space="preserve"> EN EMB ACTUAL HEMORRAGIA VAGINAL &gt; 20 SEM</t>
  </si>
  <si>
    <t>CONDUCTA HEMOGLOBINA10</t>
  </si>
  <si>
    <t>EDAD GESTACIONAL18</t>
  </si>
  <si>
    <t>EDAD GESTACIONAL21</t>
  </si>
  <si>
    <t>T.A. SISTOLICA (Entre semana 20 y 26)</t>
  </si>
  <si>
    <t>T.A. DIATOLICA (Entre semana 20 y 26)</t>
  </si>
  <si>
    <t>EN EMB ACTUAL ENFERMEDADES INFECCIOSAS AGUDAS(BACTERIANAS)2</t>
  </si>
  <si>
    <t>TIENE ENF RENAL CRONICA</t>
  </si>
  <si>
    <t>TRIMESTRE DE GESTACION A LA TOMA EXAMEN</t>
  </si>
  <si>
    <t>TRIMESTRE DE GESTACION A LA TOMA EXAMEN52</t>
  </si>
  <si>
    <t>EDAD GESTACIONAL GLICEMIA</t>
  </si>
  <si>
    <t xml:space="preserve">FECHA CONSULTA PRIMERA VEZ PROGRAMA CPN </t>
  </si>
  <si>
    <t xml:space="preserve">ALARMA 2 T.A.  ENTRE SEMANA 20 Y 26 </t>
  </si>
  <si>
    <t>NOMBRE DE LA INSTITUCION DONDE SE ATENDIO EL PARTO O LUGAR ESPECIFICO DEL PARTO SI APLICA</t>
  </si>
  <si>
    <t>ALARMA 1 CONTROL RN</t>
  </si>
  <si>
    <t>ALARMA CONTROL PUERPERIO</t>
  </si>
  <si>
    <t>PESO RN 2 EN GRAMOS2</t>
  </si>
  <si>
    <t>PESO RN  EN GRAMOS</t>
  </si>
  <si>
    <t>Se registra el primer apellido de la gestante como aparece en el documento de identidad</t>
  </si>
  <si>
    <t>Se registra el segundo apellido de la gestante como aparece en el documento de identidad</t>
  </si>
  <si>
    <t>Se registra el primer nombre de la gestante como aparece en el documento de identidad</t>
  </si>
  <si>
    <t>Se registra el segundo nombre de la gestante como aparece en el documento de identidad</t>
  </si>
  <si>
    <r>
      <t xml:space="preserve">Lista desplegable: </t>
    </r>
    <r>
      <rPr>
        <sz val="11"/>
        <color theme="1"/>
        <rFont val="Calibri"/>
        <family val="2"/>
        <scheme val="minor"/>
      </rPr>
      <t xml:space="preserve">Elegir de las opciones según corresponda al documento que presente la gestante para el ingreso: Cédula de ciudadanía, Tarjeta de identidad, Registro Civil, Cedula de extranjería, Menor sin identificación, adulto sin identificación, otro, sin Dato </t>
    </r>
  </si>
  <si>
    <t>Registrar el número del documento que presenta la gestante</t>
  </si>
  <si>
    <r>
      <t xml:space="preserve">Lista desplegable: </t>
    </r>
    <r>
      <rPr>
        <sz val="11"/>
        <color theme="1"/>
        <rFont val="Calibri"/>
        <family val="2"/>
        <scheme val="minor"/>
      </rPr>
      <t xml:space="preserve">Elegir de la lista desplegable según corresponda por los datos  suministrados por la gestante: </t>
    </r>
    <r>
      <rPr>
        <b/>
        <sz val="11"/>
        <color theme="1"/>
        <rFont val="Calibri"/>
        <family val="2"/>
        <scheme val="minor"/>
      </rPr>
      <t>Soltera, Casada, Viuda, Unión Libre y Sin Dato</t>
    </r>
  </si>
  <si>
    <r>
      <t xml:space="preserve">Formula,  </t>
    </r>
    <r>
      <rPr>
        <sz val="11"/>
        <color theme="1"/>
        <rFont val="Calibri"/>
        <family val="2"/>
        <scheme val="minor"/>
      </rPr>
      <t>automáticamente sale el dato de la edad actual luego de registrar correctamente la fecha de nacimiento</t>
    </r>
    <r>
      <rPr>
        <b/>
        <sz val="11"/>
        <color theme="1"/>
        <rFont val="Calibri"/>
        <family val="2"/>
        <scheme val="minor"/>
      </rPr>
      <t xml:space="preserve"> </t>
    </r>
  </si>
  <si>
    <t>FECHA INDUCCION A LA DEMANDA CPN: registrar fecha de inducción a la demanda de la gestante, Importante sea en el siguiente orden: DIA/MES/AÑO usando el  /  para  sepáralas ejemplo: 01/09/2014</t>
  </si>
  <si>
    <r>
      <t xml:space="preserve">Registrar fecha de nacimiento de la gestante, </t>
    </r>
    <r>
      <rPr>
        <b/>
        <sz val="11"/>
        <color theme="1"/>
        <rFont val="Calibri"/>
        <family val="2"/>
        <scheme val="minor"/>
      </rPr>
      <t xml:space="preserve">Importante </t>
    </r>
    <r>
      <rPr>
        <sz val="11"/>
        <color theme="1"/>
        <rFont val="Calibri"/>
        <family val="2"/>
        <scheme val="minor"/>
      </rPr>
      <t xml:space="preserve">sea en el siguiente orden: </t>
    </r>
    <r>
      <rPr>
        <b/>
        <sz val="11"/>
        <color theme="1"/>
        <rFont val="Calibri"/>
        <family val="2"/>
        <scheme val="minor"/>
      </rPr>
      <t xml:space="preserve">DIA/MES/AÑO </t>
    </r>
    <r>
      <rPr>
        <sz val="11"/>
        <color theme="1"/>
        <rFont val="Calibri"/>
        <family val="2"/>
        <scheme val="minor"/>
      </rPr>
      <t>usando el</t>
    </r>
    <r>
      <rPr>
        <b/>
        <sz val="11"/>
        <color theme="1"/>
        <rFont val="Calibri"/>
        <family val="2"/>
        <scheme val="minor"/>
      </rPr>
      <t xml:space="preserve"> </t>
    </r>
    <r>
      <rPr>
        <sz val="11"/>
        <color theme="1"/>
        <rFont val="Calibri"/>
        <family val="2"/>
        <scheme val="minor"/>
      </rPr>
      <t xml:space="preserve"> /  para  sepáralas ejemplo:</t>
    </r>
    <r>
      <rPr>
        <b/>
        <sz val="11"/>
        <color theme="1"/>
        <rFont val="Calibri"/>
        <family val="2"/>
        <scheme val="minor"/>
      </rPr>
      <t xml:space="preserve"> 01/04/1979</t>
    </r>
  </si>
  <si>
    <r>
      <rPr>
        <sz val="11"/>
        <color rgb="FFFF0000"/>
        <rFont val="Calibri"/>
        <family val="2"/>
        <scheme val="minor"/>
      </rPr>
      <t>Lista desplegable</t>
    </r>
    <r>
      <rPr>
        <sz val="11"/>
        <color theme="1"/>
        <rFont val="Calibri"/>
        <family val="2"/>
        <scheme val="minor"/>
      </rPr>
      <t xml:space="preserve"> Elegir de las opciones según corresponda: Subsidiado, Contributivo, Régimen Especial, Particular, No Afiliado, Sin dato</t>
    </r>
  </si>
  <si>
    <r>
      <rPr>
        <sz val="11"/>
        <color rgb="FFFF0000"/>
        <rFont val="Calibri"/>
        <family val="2"/>
        <scheme val="minor"/>
      </rPr>
      <t xml:space="preserve"> Lista desplegable </t>
    </r>
    <r>
      <rPr>
        <sz val="11"/>
        <color theme="1"/>
        <rFont val="Calibri"/>
        <family val="2"/>
        <scheme val="minor"/>
      </rPr>
      <t xml:space="preserve">Elegir de las opciones según corresponda la Aseguradora a la que pertence la gestante </t>
    </r>
  </si>
  <si>
    <r>
      <rPr>
        <sz val="11"/>
        <color rgb="FFFF0000"/>
        <rFont val="Calibri"/>
        <family val="2"/>
        <scheme val="minor"/>
      </rPr>
      <t xml:space="preserve"> Lista desplegable </t>
    </r>
    <r>
      <rPr>
        <sz val="11"/>
        <color theme="1"/>
        <rFont val="Calibri"/>
        <family val="2"/>
        <scheme val="minor"/>
      </rPr>
      <t xml:space="preserve">Elegir de las opciones según corresponda al municipio en que resida la gestante </t>
    </r>
  </si>
  <si>
    <r>
      <rPr>
        <sz val="11"/>
        <color rgb="FFFF0000"/>
        <rFont val="Calibri"/>
        <family val="2"/>
        <scheme val="minor"/>
      </rPr>
      <t>Lista desplegable</t>
    </r>
    <r>
      <rPr>
        <sz val="11"/>
        <color theme="1"/>
        <rFont val="Calibri"/>
        <family val="2"/>
        <scheme val="minor"/>
      </rPr>
      <t xml:space="preserve"> Elegir de las opciones según corresponda: opciones: URBANO, RUAL,  SIN DATO </t>
    </r>
  </si>
  <si>
    <r>
      <t xml:space="preserve">Registrar el nombre de la vereda o Barrio de residencia de la gestante. Se debe </t>
    </r>
    <r>
      <rPr>
        <sz val="11"/>
        <color rgb="FFFF0000"/>
        <rFont val="Calibri"/>
        <family val="2"/>
        <scheme val="minor"/>
      </rPr>
      <t>elaborar lista desplegable</t>
    </r>
    <r>
      <rPr>
        <sz val="11"/>
        <color theme="1"/>
        <rFont val="Calibri"/>
        <family val="2"/>
        <scheme val="minor"/>
      </rPr>
      <t xml:space="preserve"> en cada municipio</t>
    </r>
  </si>
  <si>
    <t>Registrar dirección especifica de residencia de la gestante o datos de como ubicarla</t>
  </si>
  <si>
    <t>Registrar el nombre del  resguardo o corregimiento de residencia de la gestante</t>
  </si>
  <si>
    <t>Registrar el número de teléfono de contacto, ubicación de la gestante o pariente más cercano</t>
  </si>
  <si>
    <t>DIRECCION -(ESPECIFICAR UBICACIÓN EN VEREDA)</t>
  </si>
  <si>
    <t>DIRECCION - (ESPECIFICAR UBICACIÓN EN VEREDA)</t>
  </si>
  <si>
    <r>
      <rPr>
        <sz val="11"/>
        <color rgb="FFFF0000"/>
        <rFont val="Calibri"/>
        <family val="2"/>
        <scheme val="minor"/>
      </rPr>
      <t>Lista desplegable</t>
    </r>
    <r>
      <rPr>
        <sz val="11"/>
        <color theme="1"/>
        <rFont val="Calibri"/>
        <family val="2"/>
        <scheme val="minor"/>
      </rPr>
      <t xml:space="preserve"> Elegir de las opciones según corresponda: INDEGENA – ROM GITANO – RAIZAL – PALENQUERO – AFRODESCENDIENTE – MESTIZA - OTRO</t>
    </r>
  </si>
  <si>
    <r>
      <rPr>
        <sz val="11"/>
        <color rgb="FFFF0000"/>
        <rFont val="Calibri"/>
        <family val="2"/>
        <scheme val="minor"/>
      </rPr>
      <t>Lista desplegable</t>
    </r>
    <r>
      <rPr>
        <sz val="11"/>
        <color theme="1"/>
        <rFont val="Calibri"/>
        <family val="2"/>
        <scheme val="minor"/>
      </rPr>
      <t xml:space="preserve"> Elegir de las opciones según corresponda: Nasa/Paez. Misak/ Guambianos, Yanaconas, Coconucos, Totoroez, Epedara/ Siapidara, Inga, Polindaras, Embera, Quilacingas, Jambaleños, Guanacas, Pubenences, Otros.</t>
    </r>
  </si>
  <si>
    <r>
      <rPr>
        <sz val="11"/>
        <color rgb="FFFF0000"/>
        <rFont val="Calibri"/>
        <family val="2"/>
        <scheme val="minor"/>
      </rPr>
      <t>Lista desplegable</t>
    </r>
    <r>
      <rPr>
        <sz val="11"/>
        <color theme="1"/>
        <rFont val="Calibri"/>
        <family val="2"/>
        <scheme val="minor"/>
      </rPr>
      <t xml:space="preserve"> Elegir de las opciones según corresponda: Analfabeta, Primaria incompleta  primaria completa, Secundaria incompleta, Secundaria completa,  Técnico, Universitario, Sabe leer y Escribir, esta última opción es para personas que no han recibido estudio formal pero saben leer y escribir.</t>
    </r>
  </si>
  <si>
    <r>
      <rPr>
        <sz val="11"/>
        <color rgb="FFFF0000"/>
        <rFont val="Calibri"/>
        <family val="2"/>
        <scheme val="minor"/>
      </rPr>
      <t xml:space="preserve">Lista desplegable </t>
    </r>
    <r>
      <rPr>
        <sz val="11"/>
        <color theme="1"/>
        <rFont val="Calibri"/>
        <family val="2"/>
        <scheme val="minor"/>
      </rPr>
      <t>Opciones: SI, si la gestante  Acepta o desea este embarazo;   NO  si la gestante no desea o no acepta este embarazo o  SIN DATO  si no se tiene información, Cabe aclarar que si la paciente no desea este embarazo debe hacer interconsulta con psicología y si no se tiene el dato preguntarlo en la siguiente consulta</t>
    </r>
  </si>
  <si>
    <r>
      <rPr>
        <sz val="11"/>
        <color rgb="FFFF0000"/>
        <rFont val="Calibri"/>
        <family val="2"/>
        <scheme val="minor"/>
      </rPr>
      <t>Lista desplegable</t>
    </r>
    <r>
      <rPr>
        <sz val="11"/>
        <color theme="1"/>
        <rFont val="Calibri"/>
        <family val="2"/>
        <scheme val="minor"/>
      </rPr>
      <t xml:space="preserve"> Opciones: SI cuando la gestante manifieste que recibe apoyo de su familia;  NO  cuando la paciente manifiesta no recibir apoyo familiar o  SIN DATO  cuando no se dispone del dato, Igual que el anterior si la respuesta es NO tiene apoyo familiar se deberá intervenir con psicología y en lo posible con trabajadora social. De no disponer del dato   se debe preguntar por el en la siguiente consulta</t>
    </r>
  </si>
  <si>
    <r>
      <rPr>
        <sz val="11"/>
        <color rgb="FFFF0000"/>
        <rFont val="Calibri"/>
        <family val="2"/>
        <scheme val="minor"/>
      </rPr>
      <t>Lista desplegable</t>
    </r>
    <r>
      <rPr>
        <sz val="11"/>
        <color theme="1"/>
        <rFont val="Calibri"/>
        <family val="2"/>
        <scheme val="minor"/>
      </rPr>
      <t xml:space="preserve"> Opciones  SI  cuando la mujer sea la responsable  del sostenimiento económico y social de la familia; NO  cuando la mujer no sea la responsable principal del sostenimiento económico de la familia y  SIN DATO cuando no se disponga del dato preguntarlo en la siguiente consulta</t>
    </r>
  </si>
  <si>
    <r>
      <rPr>
        <sz val="11"/>
        <color rgb="FFFF0000"/>
        <rFont val="Calibri"/>
        <family val="2"/>
        <scheme val="minor"/>
      </rPr>
      <t>Lista desplegable</t>
    </r>
    <r>
      <rPr>
        <sz val="11"/>
        <color theme="1"/>
        <rFont val="Calibri"/>
        <family val="2"/>
        <scheme val="minor"/>
      </rPr>
      <t xml:space="preserve"> Opciones: SI cuando la gestante manifieste tension emocional, depresion o angustia ;  NO  cuando la paciente  no manifiesta ninguno de los items anterioes  o  SIN DATO  cuando no se dispone del dato. De no disponer del dato  se debe interrogar por el en la siguiente consulta de acuerdo a los lineamientos establecidos en la GAI de CPN del MPS</t>
    </r>
  </si>
  <si>
    <r>
      <rPr>
        <sz val="11"/>
        <color rgb="FFFF0000"/>
        <rFont val="Calibri"/>
        <family val="2"/>
        <scheme val="minor"/>
      </rPr>
      <t>Lista desplegable</t>
    </r>
    <r>
      <rPr>
        <sz val="11"/>
        <color theme="1"/>
        <rFont val="Calibri"/>
        <family val="2"/>
        <scheme val="minor"/>
      </rPr>
      <t xml:space="preserve"> opciones SI cuando la gestante manifiesta que ha sido victima de violencia física o psicológica;  NO cuando no ha sido víctima de Violencia física o psicológica o SIN DATO, consultar en la guía del ministerio como preguntar adecuadamente a la gestante acerca de este evento</t>
    </r>
  </si>
  <si>
    <r>
      <rPr>
        <sz val="11"/>
        <color rgb="FFFF0000"/>
        <rFont val="Calibri"/>
        <family val="2"/>
        <scheme val="minor"/>
      </rPr>
      <t>Formula,</t>
    </r>
    <r>
      <rPr>
        <sz val="11"/>
        <color theme="1"/>
        <rFont val="Calibri"/>
        <family val="2"/>
        <scheme val="minor"/>
      </rPr>
      <t xml:space="preserve">  evalúa la efectividad entre la fecha de inducción de la demanda y la fecha en que la gestante es inscrita y las opciones que saldrán automáticamente según corresponda son: SI, cuando la gestante fue inducida y acude al CPN;  NO  cuando la gestante se induce pero no acude al CPN es decir toda gestante a la que se le realice inducción debe estar registrada en la base de datos, DEMANDA ESPONTANEA, cuando la paciente acude espontáneamente y no existió demanda por parte de la IPS </t>
    </r>
  </si>
  <si>
    <r>
      <rPr>
        <sz val="11"/>
        <color rgb="FFFF0000"/>
        <rFont val="Calibri"/>
        <family val="2"/>
        <scheme val="minor"/>
      </rPr>
      <t>Formula automatica</t>
    </r>
    <r>
      <rPr>
        <sz val="11"/>
        <color theme="1"/>
        <rFont val="Calibri"/>
        <family val="2"/>
        <scheme val="minor"/>
      </rPr>
      <t xml:space="preserve">: Evalua Riesgo Psicosocial de acuerdo a los datos registrados en las columnas anteriores, con las Opciones : SIN RIESGO: cuando la gestante por valoracion no presenta riesgo psicosocial, CON RIESGO :cuando la paciente Tiene Riesgo psicosocial y debe ser valorada por psicologia y SIN DATO: Cuando no se han diligenciado completamente las casillas anteriores  </t>
    </r>
  </si>
  <si>
    <t>En estas columnas, se registra  segun corresponda y hacen relación a  los antecedentes o diagnósticos  patológicos y obstétricos de la gestante y las opciones de acuerdo a lo registrado en la historia clínica de la gestante con las opciones  SI o NO  de acuerdo a los eventos de cada columna ante respuesta SI  se consideran gestantes de Alto Riesgo Obstétrico y deben tener remisión a Ginecologia. La opcion Sin DATO  se registrara cuando no se dispone del dato                                                                                                                                                                                                                        Para la Casilla ANTECEDENTE FAMILIAR DE PREECLAMPSIA: Registrar SI o No Según Corresponda. SI aplica para gestantes con Madre o hermana con antecedente de preeclampsia</t>
  </si>
  <si>
    <t xml:space="preserve">Elegir el numero de según corresponda al número de partos que la gestante haya tenido. Esta columna esta semaorizada y aparecera en rojo luego del cuarto parto, es decir multiparas </t>
  </si>
  <si>
    <t xml:space="preserve">Elegir según corresponda al número de Abortos que la gestante haya tenido como antecedente. Esta columna esta semaorizada y aparecera en rojo luego del tercer aborto </t>
  </si>
  <si>
    <t xml:space="preserve">Elegir según corresponda al número de cesareas que la gestante haya tenido como antecedente. Esta columna esta semaorizada y aparecera en rojo luego de la tercera cesarea </t>
  </si>
  <si>
    <t xml:space="preserve">TIENE EMB. MUTIPLE ACTUAL </t>
  </si>
  <si>
    <t>Registrar SI  o NO según corresponda. La opción SI estará semaforizada en rojo pues se considera antecedente de Riesgo Obstétrico  y la gestante debe ser valorada por ginecólogo</t>
  </si>
  <si>
    <r>
      <t xml:space="preserve">Registrar SI  o NO según corresponda. La opción SI estará semaforizada en rojo pues se considera antecedente de Riesgo Obstétrico  y la gestante debe ser valorada por ginecólogo </t>
    </r>
    <r>
      <rPr>
        <b/>
        <sz val="11"/>
        <color theme="1"/>
        <rFont val="Calibri"/>
        <family val="2"/>
        <scheme val="minor"/>
      </rPr>
      <t xml:space="preserve">y especialista </t>
    </r>
  </si>
  <si>
    <r>
      <t xml:space="preserve">Elegir el número de </t>
    </r>
    <r>
      <rPr>
        <b/>
        <sz val="11"/>
        <color theme="1"/>
        <rFont val="Calibri"/>
        <family val="2"/>
        <scheme val="minor"/>
      </rPr>
      <t>embarazos anteriores</t>
    </r>
    <r>
      <rPr>
        <sz val="11"/>
        <color theme="1"/>
        <rFont val="Calibri"/>
        <family val="2"/>
        <scheme val="minor"/>
      </rPr>
      <t xml:space="preserve"> a este.Es el Antecedente, no se incluye este embarazo actual;  Es decir que si este es el primer embarazo se elige la opción del número 0, si es el segundo embarazo, se elige la opción  del número 1.  Esta columna semaforiza en rojo luego del cuarto embarazo, es decir las de riesgo por  multígravidez</t>
    </r>
  </si>
  <si>
    <t>Registrar SI  o NO según corresponda al embarazo actual. La opción SI estará semaforizada en rojo pues se considera antecedente de Riesgo Obstétrico  y la gestante debe ser valorada por ginecólogo</t>
  </si>
  <si>
    <r>
      <t xml:space="preserve">Registrar SI  o NO según corresponda como patologia de base. La opción SI estará semaforizada en rojo pues se considera antecedente de Riesgo Obstétrico  y la gestante debe ser valorada por ginecólogo y </t>
    </r>
    <r>
      <rPr>
        <b/>
        <sz val="11"/>
        <color theme="1"/>
        <rFont val="Calibri"/>
        <family val="2"/>
        <scheme val="minor"/>
      </rPr>
      <t>nutricionista</t>
    </r>
  </si>
  <si>
    <r>
      <t>Registrar SI  o NO según corresponda como patologia de base. La opción SI estará semaforizada en rojo pues se considera antecedente de Riesgo Obstétrico  y la gestante debe ser valorada por ginecólogo</t>
    </r>
    <r>
      <rPr>
        <b/>
        <sz val="11"/>
        <color theme="1"/>
        <rFont val="Calibri"/>
        <family val="2"/>
        <scheme val="minor"/>
      </rPr>
      <t xml:space="preserve"> y cardiologo</t>
    </r>
  </si>
  <si>
    <r>
      <t>Registrar SI  o NO según corresponda como patologia de base. La opción SI estará semaforizada en rojo pues se considera antecedente de Riesgo Obstétrico  y la gestante debe ser valorada por ginecólogo</t>
    </r>
    <r>
      <rPr>
        <b/>
        <sz val="11"/>
        <color theme="1"/>
        <rFont val="Calibri"/>
        <family val="2"/>
        <scheme val="minor"/>
      </rPr>
      <t xml:space="preserve"> y nefrologo</t>
    </r>
  </si>
  <si>
    <t>Registrar fecha ultimo parto o aborto  D/ M / A</t>
  </si>
  <si>
    <r>
      <rPr>
        <sz val="11"/>
        <color rgb="FFFF0000"/>
        <rFont val="Calibri"/>
        <family val="2"/>
        <scheme val="minor"/>
      </rPr>
      <t xml:space="preserve">Formula automatica </t>
    </r>
    <r>
      <rPr>
        <sz val="11"/>
        <color theme="1"/>
        <rFont val="Calibri"/>
        <family val="2"/>
        <scheme val="minor"/>
      </rPr>
      <t>con el resultado del periodo intergenesico</t>
    </r>
  </si>
  <si>
    <t>Registrar fecha ultima mestruación  D/ M / A</t>
  </si>
  <si>
    <t xml:space="preserve">Formula automatica de las semanas de gestacion actualizadas  </t>
  </si>
  <si>
    <t>Registrar fecha PRIMERA ECOGRAFIA D/ M / A</t>
  </si>
  <si>
    <t xml:space="preserve">Registrar Semanas de gestaciónsegun  PRIMERA ECOGRAFIA </t>
  </si>
  <si>
    <t>Registrar fecha SEGUNDA ECOGRAFIA D/ M / A</t>
  </si>
  <si>
    <t xml:space="preserve">Registrar Semanas de gestación segun  SEGUNDA ECOGRAFIA </t>
  </si>
  <si>
    <t xml:space="preserve">registre Talla en Metros con coma para decimal </t>
  </si>
  <si>
    <t xml:space="preserve">Formula automatica según corresponda al IMC con las Opciones : Bajo Peso, Normal, Sobrepeso y Obesidad, Si aparece otro opcion revisar casillas DK y DL </t>
  </si>
  <si>
    <t>Formula automatica según corresponda a las TA Sistolica y Diastolica anotadas. Opciones: Pre HTA Seguimiento, Aparentemente Normal , Definir estadio HTA</t>
  </si>
  <si>
    <t>Formula automatica según corresponda a las TA Sistolica y Diastolica anotadas. Opciones: ALTO RIESGO PREECLAMPSIA,DEFINIR ESTADIO HTA"PRE HTA SEGUIMIENTO,RIESGO HIPERTENSION INDUCIDA POR EL EMBARAZO""PRE HTA SEGUIMIENTO, RIESGO HIPERTENSION INDUCIDA POR EL EMBARAZO";VIGILAR CIFRAS PRESION ARTERIAL";"PRE HTA SEGUIMIENTO""APARENTEMENTE NORMAL;"APARENTEMENTE NORMAL;"APARENTEMENTE NORMAL";</t>
  </si>
  <si>
    <t>Reguistre en numeros la TA Sistolica entre las 30 y 34 semanas de gestacion</t>
  </si>
  <si>
    <t>Reguistre en numeros la TA Diastolica entre las 30 y 34 semanas de gestacion</t>
  </si>
  <si>
    <t>Formula automatica del numero de controles prenatales realizados</t>
  </si>
  <si>
    <t xml:space="preserve">Formula automatica de la adherencia según controles prenatales realizados con las Opciones SI y NO </t>
  </si>
  <si>
    <t>Formula automatica según numero de controles proyectados a realizar según semanas de gestacion al ingreso</t>
  </si>
  <si>
    <t>Registrar fechas de remision y controles a Psicologia, Nutrición y Ginecologia</t>
  </si>
  <si>
    <t>Fecha en D M A del Resultado de la HB</t>
  </si>
  <si>
    <t>Formula automatica de la edad gestacional al momento del resultado de la HB</t>
  </si>
  <si>
    <t>Formula Automatica según reporte de HB:  MANEJO MD POR ANEMIA FERROPENICA, NORMAL- SUMINISTRAR SULFATO FERROSO, NO DAR SULFATO FERROSO</t>
  </si>
  <si>
    <t>Formula Automatica según trimestre de gestacion de la toma de HB</t>
  </si>
  <si>
    <t>Reporte el resultado de la hemoglobina de la semana 28</t>
  </si>
  <si>
    <t>Fecha en D M A del Resultado del GS</t>
  </si>
  <si>
    <t>Formula automatica: de la edad gestacional al momento de la toma del GS</t>
  </si>
  <si>
    <t>Registre resultado de la glicemia pre</t>
  </si>
  <si>
    <t>Registre resultado de la PTOG con 75 gr pre</t>
  </si>
  <si>
    <t>Registre resultado de la PTOG con 75 gr a la hora</t>
  </si>
  <si>
    <t>Registre resultado de la PTOG con 75 gr a la segunda hora</t>
  </si>
  <si>
    <t>Formula automatica: NO APLICA REPETIR EXAMEN &gt; SEMANA 24, ORDENAR PTOG, DIABETES, REMITIR, NORMAL</t>
  </si>
  <si>
    <t>Formula automatica: de la edad gestacional al momento de la toma de la PTOG</t>
  </si>
  <si>
    <t>Fecha en D M A del Resultado de la Prueba Rapida</t>
  </si>
  <si>
    <t>Fecha en D M A del Resultado de la Prueba Rapida intraparto</t>
  </si>
  <si>
    <t>Formula automatica: de la edad gestacional al momento de la toma del Urocultivo</t>
  </si>
  <si>
    <t>Lista desplegable del resultado del urocultivo según corresponda : Positivo, Negativo, Sin Dato</t>
  </si>
  <si>
    <t>Fecha en D M A del Resultado del Urocultivo</t>
  </si>
  <si>
    <t>Fecha en D M A del Resultado del la Prueba de  ELISA</t>
  </si>
  <si>
    <t>Formula automatica para indicar toma de laboratorios</t>
  </si>
  <si>
    <t>Formula automatica: de la edad gestacional al momento del HASB</t>
  </si>
  <si>
    <t>Formula automatica: de la edad gestacional al momento del  Toxo</t>
  </si>
  <si>
    <t xml:space="preserve">Formula automatica </t>
  </si>
  <si>
    <t xml:space="preserve">Fecha en D M A </t>
  </si>
  <si>
    <t>Fecha en D M A de la consulta con odontologo primera vez</t>
  </si>
  <si>
    <t>Lista desplegable , elegir la opcion por la cual sale la paciente del programa</t>
  </si>
  <si>
    <t>Formula automatica de  la edad gestacional al salir del programa</t>
  </si>
  <si>
    <t xml:space="preserve">Registre en numeros el peso en gramos </t>
  </si>
  <si>
    <t>Registre fecha en formato D/ M / A</t>
  </si>
  <si>
    <t xml:space="preserve">Registrar si existe un segundo nacido vivo </t>
  </si>
  <si>
    <t>Formula interna de alarma para control de RN</t>
  </si>
  <si>
    <t>Formula interna de alarma para control la puerpera</t>
  </si>
  <si>
    <t>RESULTADO TOXOPLASMOSIS ULTIMO IgM - SI APLICA SEGÚN GPC</t>
  </si>
  <si>
    <t>FECHA ULTIMA REMISION URG</t>
  </si>
  <si>
    <t>METODO DE ANTICONCEPCION INICIADO POSTPARTO</t>
  </si>
  <si>
    <t>TOTAL SEGUIMIENTOS POR MEDICINA TRADICIONAL</t>
  </si>
  <si>
    <t>TOTAL SEGUIMIENTOS POR PARTERA</t>
  </si>
  <si>
    <t>OPORTUNIDAD EN DIAS, INGRESO AL CONTROL PRENATAL DESDE EL MOMENDO DE LA IDENTIFICACIÓN</t>
  </si>
  <si>
    <t xml:space="preserve">TALLA EN Mts     </t>
  </si>
  <si>
    <t>FECHA ULTIMO CPN</t>
  </si>
  <si>
    <t>EDAD GESTACIONAL ÚLTIMO CPN</t>
  </si>
  <si>
    <t xml:space="preserve">SUMINISTRO DE ACIDO FOLICO </t>
  </si>
  <si>
    <t xml:space="preserve">SUMINISTRO CALCIO </t>
  </si>
  <si>
    <t>FECHA TOMA TSH</t>
  </si>
  <si>
    <t>FECHA TOMA TSH 2</t>
  </si>
  <si>
    <t>NECESIDAD O DESARMONIA DESDE LO PROPIO 1</t>
  </si>
  <si>
    <t>TIPO DE SABEDOR</t>
  </si>
  <si>
    <t xml:space="preserve">SUMINISTRO DE SULFATO FERROSO </t>
  </si>
  <si>
    <t>FECHA PRIMER ACOMPAÑAMIENTO SABEDOR ANCESTRAL</t>
  </si>
  <si>
    <t>TIPO DE SABEDOR3</t>
  </si>
  <si>
    <t>FECHA  ACOMPAÑAMIENTO SABEDOR ANCESTRAL2</t>
  </si>
  <si>
    <t>TIPO DE SABEDOR2</t>
  </si>
  <si>
    <t>FECHA ACOMPAÑAMIENTO SABEDOR ANCESTRAL3</t>
  </si>
  <si>
    <t>FECHA ACOMPAÑAMIENTO SABEDOR ANCESTRAL4</t>
  </si>
  <si>
    <t>TIPO DE SABEDOR4</t>
  </si>
  <si>
    <t>FECHA ACOMPAÑAMIENTO SABEDOR ANCESTRAL5</t>
  </si>
  <si>
    <t>TIPO DE SABEDOR5</t>
  </si>
  <si>
    <t>TIPO DE SABEDOR6</t>
  </si>
  <si>
    <t>ACTIVIDAD O RITUALIDAD REALIZADA 6</t>
  </si>
  <si>
    <t>TIPO DE SABEDOR7</t>
  </si>
  <si>
    <t>FECHA DE IDENTIFICACION DE LA GESTANTE</t>
  </si>
  <si>
    <t xml:space="preserve"> RESPONSABLE DE LA ZONA</t>
  </si>
  <si>
    <t>RANGO DE EDAD INICIO7</t>
  </si>
  <si>
    <t>PARTOS23</t>
  </si>
  <si>
    <t>CESAREAS34</t>
  </si>
  <si>
    <t>EMB ECTOP CX UTER5</t>
  </si>
  <si>
    <t>PUNT. RIESGO MODERADO COMPL HIPERTENSIVAS2</t>
  </si>
  <si>
    <t>ENFERMEDADES PROPIAS O CULTURALES</t>
  </si>
  <si>
    <t>CUENTA RIESGO PSICOSOCIAL</t>
  </si>
  <si>
    <t>DIAS GESTACION ECO 12</t>
  </si>
  <si>
    <t>ALARMA FACTORES DE RIESGO COMPLICACIONES HIPERTENSIVAS3</t>
  </si>
  <si>
    <t>SUMINISTRO DE ASA SEGÚN GPC</t>
  </si>
  <si>
    <t>FECHA C12</t>
  </si>
  <si>
    <t>ALERTA SEGUIMIENTO</t>
  </si>
  <si>
    <t>FECHA ACOMPAÑAMIENTO SABEDOR ANCESTRAL PUERPERIO Y RECIEN NACIDO</t>
  </si>
  <si>
    <t>NECESIDAD O DESARMONIA DESDE LO PROPIO 12</t>
  </si>
  <si>
    <t>ACTIVIDAD O RITUALIDAD REALIZADA1</t>
  </si>
  <si>
    <t>ACTIVIDAD O RITUALIDAD REALIZADA13</t>
  </si>
  <si>
    <t>NECESIDAD O DESARMONIA DESDE LO PROPIO 13</t>
  </si>
  <si>
    <t>ACTIVIDAD O RITUALIDAD REALIZADA14</t>
  </si>
  <si>
    <t>NECESIDAD O DESARMONIA DESDE LO PROPIO 14</t>
  </si>
  <si>
    <t>ACTIVIDAD O RITUALIDAD REALIZADA15</t>
  </si>
  <si>
    <t>NECESIDAD O DESARMONIA DESDE LO PROPIO 15</t>
  </si>
  <si>
    <t>ACTIVIDAD O RITUALIDAD REALIZADA16</t>
  </si>
  <si>
    <t>NECESIDAD O DESARMONIA DESDE LO PROPIO 16</t>
  </si>
  <si>
    <t>NECESIDAD O DESARMONIA DESDE LO PROPIO 17</t>
  </si>
  <si>
    <t>ACTIVIDAD O RITUALIDAD REALIZADA18</t>
  </si>
  <si>
    <t>TAMIZAJE  PARA VIH II TRIM</t>
  </si>
  <si>
    <t>FECHA RESULTADO ELISA O PR II TRIM</t>
  </si>
  <si>
    <t>SEGUNDA PRUEBA ELISA O PR PARA DEFINIR DIAGNOSTICO VIH SEGÚN PROTOCOLO INS</t>
  </si>
  <si>
    <t>FECHA RESULTADO SEGUNDA PRUEBA ELISA O PR PARA DEFINIR DIAGNOSTICO VIH SEGÚN PROTOCOLO INS</t>
  </si>
  <si>
    <t>RESULTADO CARGA VIRAL SEGÚN PROTOCOLO INS</t>
  </si>
  <si>
    <t>FECHA RESULTADO CARGA VIRAL SEGÚN PROTOCOLO INS</t>
  </si>
  <si>
    <t xml:space="preserve">GESTANTES CON RESULTADO DE EXAMENES DE INGRESO </t>
  </si>
  <si>
    <t>GESTANTES CON RESULTADOS DE EXAMENES II TRIMESTRE</t>
  </si>
  <si>
    <t>GESTANTES CON RESULTADOS DE EXAMENES III TRIMESTRE2</t>
  </si>
  <si>
    <t>FECHA INSCRIPCION A PLANIFICACION FAMILIAR2</t>
  </si>
  <si>
    <t>FECHA ASISTENCIA PRIMERA VEZ CON GINECOLOGÍA</t>
  </si>
  <si>
    <t>OPORTUNIDAD CONSULTA GINECOLOGÍA (DIAS)</t>
  </si>
  <si>
    <t>ACOMPAÑAMIENTO POR PERSONA DE CONFIANZA DURANTE TRABAJO DE PARTO Y PARTO</t>
  </si>
  <si>
    <t>MANEJO ACTIVO DEL TERCER PERIODO DEL PARTO (USO OXITOCINA,MASAJE UTERINO Y TRACCIÓN SOSTENIDA DE CORDÓN)2</t>
  </si>
  <si>
    <t>DILIGENCIAMIENTO DE PARTOGRAMA (NO APLICA EN EXPULSIVO)</t>
  </si>
  <si>
    <t>MONITORIA CADA 15 MINUTOS DE SIGNOS VITALES DURANTES LAS PRIMERAS DOS HORAS POSTPARTO (SOPORTE EN HC)</t>
  </si>
  <si>
    <t>FECHA ASESORIA EN LACTANCIA MATERNA DURANTE CPN</t>
  </si>
  <si>
    <t>FECHA ASESORIA EN ANTICONCEPCION DURANTE CPN</t>
  </si>
  <si>
    <t>PUEBLO INDIGENA ESPECIFICO</t>
  </si>
  <si>
    <t>FECHA TERMINACIÓN ÚLTIMO EMBARAZO</t>
  </si>
  <si>
    <t>HA SIDO VICTIMA DE VIOLENCIA BASADA EN GENERO</t>
  </si>
  <si>
    <t xml:space="preserve"> EN EMB ACTUAL HEMORRAGIA VAGINAL &gt; 20 SEM22</t>
  </si>
  <si>
    <t>ALARMA DPT ACELULAR</t>
  </si>
  <si>
    <t>EN EMB ACTUAL ENFERMEDADES INFECCIOSAS AGUDAS(BACTERIANAS)</t>
  </si>
  <si>
    <t>TAMIZAJE  PARA VIH III TRIM</t>
  </si>
  <si>
    <t>ALARMA POR SEGUIMIENTO CIFRAS PRESIÓN ARTERIAL ÚLTIMO REGISTRO.</t>
  </si>
  <si>
    <t>MOTIVOS PARA LA CLASIFICACION DEL RIESGO BIOPSICOSOCIAL</t>
  </si>
  <si>
    <t>FECHA ACOMPAÑAMIENTO SABEDOR ANCESTRAL PUERPERIO Y RECIEN NACIDO2</t>
  </si>
  <si>
    <t xml:space="preserve">GLICEMIA PRE </t>
  </si>
  <si>
    <t>DIAS PARA EL PARTO2</t>
  </si>
  <si>
    <t>ALERTA PARA PARTO3</t>
  </si>
  <si>
    <t>FPP2</t>
  </si>
  <si>
    <t>GESTANTES ACTUALES22</t>
  </si>
  <si>
    <t>ALERTA SEGUIMIENTO2</t>
  </si>
  <si>
    <t>FECHA ÚLTIMO SEGUIMIENTO</t>
  </si>
  <si>
    <t>NÚMERO DE SEGUIMIENTOS CPN</t>
  </si>
  <si>
    <t>RIESGO BIOPSICOSOCIAL</t>
  </si>
  <si>
    <t>PUNTAJE ANEMIA RBPS</t>
  </si>
  <si>
    <t>PUNTAJE EMBARAZO PROLONGADO RBPS2</t>
  </si>
  <si>
    <t>FECHA RESULTADO TAMIZAJE INTRAPARTO</t>
  </si>
  <si>
    <t xml:space="preserve">OTROS FACTORES DE RIESGO </t>
  </si>
  <si>
    <t>FECHA SEGUIMIENTO INICIAL POR PERSONAL DE SALUD EN TERRENO</t>
  </si>
  <si>
    <t>HALLAZGO5 GESTACIÓN</t>
  </si>
  <si>
    <t>NÚMERO DE SEGUIMIENTOS EN PUERPERIO</t>
  </si>
  <si>
    <t>HALLAZGOS ACOMPAÑAMIENTO PERSONAL DE SALUD PUERPERA</t>
  </si>
  <si>
    <t>FECHA ULTIMO SEGUIMIENTO POR PERSONAL DE SALUD EN TERRENO 112</t>
  </si>
  <si>
    <t>HALLAZGOS ACOMPAÑAMIENTO PERSONAL DE SALUD RECIEN NACIDO</t>
  </si>
  <si>
    <t>EDAD GESTACIONAL PRIMER ACOMPAÑAMIENTO SABEDOR ANCESTRAL</t>
  </si>
  <si>
    <t>CONTACTO PIEL A PIEL DURANTE 30 MINUTOS</t>
  </si>
  <si>
    <t>INICIO DE LACTANCIA MATERNA DURANTE EL CONTACTO PIEL A PIEL</t>
  </si>
  <si>
    <t>ASESORIA EN PLANIFICACIÓN FAMILIAR POST EVENTO OBSTETRICO EN AMBITO HOSPITALARIO</t>
  </si>
  <si>
    <t xml:space="preserve">PUERPERA SALE CON PLANIFICACIÓN FAMILIAR POST EVENTO OBSTETRICO </t>
  </si>
  <si>
    <t>LA CLASIFICACIÓN DEL RIESGO ES ADECUADA</t>
  </si>
  <si>
    <t>ENE</t>
  </si>
  <si>
    <t>FEB</t>
  </si>
  <si>
    <t>MAR</t>
  </si>
  <si>
    <t>ABR</t>
  </si>
  <si>
    <t>MAY</t>
  </si>
  <si>
    <t>JUN</t>
  </si>
  <si>
    <t>JUL</t>
  </si>
  <si>
    <t>AGO</t>
  </si>
  <si>
    <t>SEP</t>
  </si>
  <si>
    <t>OCT</t>
  </si>
  <si>
    <t>NOV</t>
  </si>
  <si>
    <t>DIC</t>
  </si>
  <si>
    <t>INDICADORES</t>
  </si>
  <si>
    <t>Total mujeres adolescentes menores de 19 años</t>
  </si>
  <si>
    <t>% GESTANTES ADOLESCENTES &lt; 19 AÑOS</t>
  </si>
  <si>
    <t>Mujeres menores de 14 años que ingresan al CPN</t>
  </si>
  <si>
    <t xml:space="preserve">% MUJERES gestantes &lt; 14 años </t>
  </si>
  <si>
    <t>TOTAL PARTOS</t>
  </si>
  <si>
    <t>% DE PARTOS VAGINALES</t>
  </si>
  <si>
    <t>% DE PARTOS POR CESAREA</t>
  </si>
  <si>
    <t>NÚMERO IVE</t>
  </si>
  <si>
    <t>% IVE</t>
  </si>
  <si>
    <t>ATENCION INSTITUCIONAL DEL PARTO</t>
  </si>
  <si>
    <t>% ATECIÓN INSTITUCIONAL DE PARTO</t>
  </si>
  <si>
    <t>PARTOS EN DOMICILIO</t>
  </si>
  <si>
    <t>% ATENCIÓN DE PARTO EN DOMICILIO</t>
  </si>
  <si>
    <t>ADHERENCIA CPN:MUJERES CON 4 O MAS CPN AL TERMINAR PARTO/CESAREA</t>
  </si>
  <si>
    <t xml:space="preserve">% ADHERENCIA AL CPN </t>
  </si>
  <si>
    <t>Número nacidos vivos</t>
  </si>
  <si>
    <t>Número de nacidos vivos a Término.</t>
  </si>
  <si>
    <t>Número de nacidos vivos a Término con bajo peso al nacer.</t>
  </si>
  <si>
    <t>% BAJO PESO AL NACER RN A TERMINO</t>
  </si>
  <si>
    <t>RAZÓN MUERTES PERINATALES X 1000 NV</t>
  </si>
  <si>
    <t>Numero casos de morbilidad materna extrema</t>
  </si>
  <si>
    <t>RAZÓN MORBILIDAD MATERNA EXTREMA X 1000 NV</t>
  </si>
  <si>
    <t>MUJERES ACTIVAS INASISTENTES</t>
  </si>
  <si>
    <t>FIJAR MENSUALMENTE</t>
  </si>
  <si>
    <t>TABLERO DE INDICADORES BÁSICOS PARA SEGUIMIENTO PROGRAMA DE GESTANTES</t>
  </si>
  <si>
    <t>NÚMERO DE GESTANTES CON ATENCION INICIAL POR SABEDOR I TRIM GESTACIÓN</t>
  </si>
  <si>
    <t>NÚMERO DE GESTANTES CON ATENCION INICIAL POR SABEDOR II TRIM GESTACIÓN</t>
  </si>
  <si>
    <t>INDICADORES SEGUIMIENTO SABEDORES</t>
  </si>
  <si>
    <t>ACTIVA EN CPN</t>
  </si>
  <si>
    <t>ACTIVA SIN CPN</t>
  </si>
  <si>
    <t>SALE SIN INGRESO A CPN</t>
  </si>
  <si>
    <t>% MUJERES INASITENTES AL CPN</t>
  </si>
  <si>
    <t>MESES</t>
  </si>
  <si>
    <t>MES PARTO</t>
  </si>
  <si>
    <t>AÑO PARTO</t>
  </si>
  <si>
    <t>NÚMERO DE GESTANTES  CON SEGUIMIENTO POR PARTERA, SEGÚN MES DEL AÑO DE INGRESO AL PROGRAMA</t>
  </si>
  <si>
    <t>NÚMERO DE GESTANTES CON SEGUIMIENTO POR MEDICO TRADICIONAL, SEGÚN MES DEL AÑO DE INGRESO AL PROGRAMA</t>
  </si>
  <si>
    <t>TRIMESTRE DE GESTACIÓN AL PRIMER SEGUIMIENTO POR SABEDOR</t>
  </si>
  <si>
    <t>NÚMERO DE GESTANTES CON ATENCION INICIAL POR SABEDOR III TRIM GESTACIÓN</t>
  </si>
  <si>
    <t>% GESTANTES CON SEGUIMIENTO POR PARTERA</t>
  </si>
  <si>
    <t>% GESTANTES CON SEGUIMIENTO POR MEDICO TRADICIONAL</t>
  </si>
  <si>
    <t>% GESTANTES ATENDIDAS EN I TRIM POR SABEDOR.</t>
  </si>
  <si>
    <t>% GESTANTES ATENDIDAS EN II TRIM POR SABEDOR.</t>
  </si>
  <si>
    <t>% GESTANTES ATENDIDAS EN III TRIM POR SABEDOR.</t>
  </si>
  <si>
    <t>TOTAL</t>
  </si>
  <si>
    <t>RAZÓN MORTALIDAD MATERNA X 100000 NV</t>
  </si>
  <si>
    <t>ASESORIA EN LACTANCIA MATERNA EXCLUSIVA EN AMBITO HOSPITALARIO</t>
  </si>
  <si>
    <t>NIVEL DE COMPLEJIDAD DE LA ATENCION DE LA INSTITUCION DONDE SE ATENDIO EL PARTO</t>
  </si>
  <si>
    <t>EDAD GESTACIONAL AL MOMENTO DE LA IDENTIFICACIÓN</t>
  </si>
  <si>
    <t>MES2 INGRESO CPN</t>
  </si>
  <si>
    <t>AÑO3 INGRESO CPN</t>
  </si>
  <si>
    <t>TRIM DEL AÑOS4 INGRESO CPN</t>
  </si>
  <si>
    <t>AÑOS AL INICIO5 CPN</t>
  </si>
  <si>
    <t>PUNTAJE ERBPS6 EDAD</t>
  </si>
  <si>
    <t>PUNTAJE TOTAL ERBPS2</t>
  </si>
  <si>
    <t xml:space="preserve">DIAS2 </t>
  </si>
  <si>
    <t>EDAD GESTACIÓN DPT ACELULAR</t>
  </si>
  <si>
    <t>TAMIZAJE  PARA VIH INTRAPARTO SEGÚN GPC.</t>
  </si>
  <si>
    <t>TAMIZAJE  PARA SIFILIS  SEGÚN GPC SIFILIS II TRIMESTRE</t>
  </si>
  <si>
    <t>TAMIZAJE  PARA SIFILIS  SEGÚN GPC SIFILIS III TRIMESTRE</t>
  </si>
  <si>
    <t>TAMIZAJE  PARA SIFILIS  SEGÚN GPC SIFILIS INTRAPARTO</t>
  </si>
  <si>
    <t>Se registran aspectos de seguimiento a tener en cuenta, como por ejemplo, acciones pendientes a verificar en los proximos controles u otros aspectos relevantes a juicio de quien diligencia la información.</t>
  </si>
  <si>
    <t>Se registra el nombre de la persona encargada de hacer el seguimiento de la gestante en las diferentes zonas del municipio.</t>
  </si>
  <si>
    <t>A este formato, deben ingresar todas las mujeres identificadas con gestación, incluyendo las mujeres que apliquen para IVE.</t>
  </si>
  <si>
    <r>
      <t>Registrar el nombre del punto de atención, cada Municipio debe</t>
    </r>
    <r>
      <rPr>
        <sz val="11"/>
        <color rgb="FFFF0000"/>
        <rFont val="Calibri"/>
        <family val="2"/>
        <scheme val="minor"/>
      </rPr>
      <t xml:space="preserve"> generar una lista desplegable </t>
    </r>
    <r>
      <rPr>
        <sz val="11"/>
        <color theme="1"/>
        <rFont val="Calibri"/>
        <family val="2"/>
        <scheme val="minor"/>
      </rPr>
      <t>para esta columna según los puntos de atención de los que dispongan.</t>
    </r>
  </si>
  <si>
    <t>ANTECEDENTE. HIPERTENSION INDUCIDA POR EL EMBARAZO O PREECLAMPSIA/ECLAMPSIA</t>
  </si>
  <si>
    <t>ANTECEDENTE. Trabajo de Parto PROLONGADO/PARTO DIFICIL</t>
  </si>
  <si>
    <t>ANTECEDENTE. FLIAR PREECLAMPSIA</t>
  </si>
  <si>
    <t>ANTECEDENTE PARTOS</t>
  </si>
  <si>
    <t>ANTECEDENTE ABORTOS</t>
  </si>
  <si>
    <t>ANTECEDENTE OBITO FETAL Y/O MUERTE PERINATAL NEONATAL TEMPRANA</t>
  </si>
  <si>
    <t>ANTECEDENTE EMBARAZO MOLAR</t>
  </si>
  <si>
    <t>ANTECEDENTE MUERTE NEONATAL TARDIA</t>
  </si>
  <si>
    <t>Registrar SI  o NO según corresponda. La opción SI estará semaforizada en rojo. El obito fetal corresponde a la muerte del feto in utero y la muerte perinatal temprana es la muerte del feto o recién nacido hasta los 7 dias de nacido.</t>
  </si>
  <si>
    <t xml:space="preserve">Elegir  SI o NO según corresponda a si la gestante tiene un embarazo molar  como antecedente </t>
  </si>
  <si>
    <t>Elegir  SI o NO según corresponda a si la gestante tiene un antecedente de embarzo con muerte neonatal tardía; corresponde a la muerte del niño o niña desde los 8 a 29 días de nacido.</t>
  </si>
  <si>
    <t>Elegir  de las opciones  SI, NO, Sin Dato según corresponda . Si en la columna anterior se anoto 3 o mas abortos  definir si estos fueron seguidos y esponteneos o existe historia de infertilidad en la  mujer, para anotar SI.</t>
  </si>
  <si>
    <t>ANTECEDENTE CESAREAS</t>
  </si>
  <si>
    <r>
      <t xml:space="preserve">Registrar SI  o NO según corresponda. La opción SI estará semaforizada en rojo pues se considera antecedente de Riesgo Obstétrico  y la gestante debe ser valorada por ginecólogo. </t>
    </r>
    <r>
      <rPr>
        <u/>
        <sz val="11"/>
        <color theme="1"/>
        <rFont val="Calibri"/>
        <family val="2"/>
        <scheme val="minor"/>
      </rPr>
      <t>REVISAR EN REPORTES DE ECOGRAFÍAS O EVOLUCIÓN EN HC SEGÚN CRITERIO DEL MEDICO.</t>
    </r>
  </si>
  <si>
    <r>
      <t xml:space="preserve">Registrar SI  o NO según corresponda. La opción SI estará semaforizada en rojo pues se considera antecedente de Riesgo Obstétrico  y la gestante debe ser valorada por ginecólogo. </t>
    </r>
    <r>
      <rPr>
        <u/>
        <sz val="11"/>
        <color theme="1"/>
        <rFont val="Calibri"/>
        <family val="2"/>
        <scheme val="minor"/>
      </rPr>
      <t>REVISAR EN ECOGRAFIAS O SI NO LAS TIENE SEGÚN CRITERIO DEL MEDICO.</t>
    </r>
  </si>
  <si>
    <r>
      <t xml:space="preserve">Registrar SI  o NO según corresponda al embarazo actual. La opción SI estará semaforizada en rojo pues se considera antecedente de Riesgo Obstétrico  y la gestante debe ser valorada por ginecólogo. </t>
    </r>
    <r>
      <rPr>
        <u/>
        <sz val="11"/>
        <color theme="1"/>
        <rFont val="Calibri"/>
        <family val="2"/>
        <scheme val="minor"/>
      </rPr>
      <t>REVISAR EN REPORTE DE ECOGRAFIAS.</t>
    </r>
  </si>
  <si>
    <r>
      <t xml:space="preserve">Reguistre en numeros la TA Sistolica antes de las 12 semanas de gestacion. </t>
    </r>
    <r>
      <rPr>
        <u/>
        <sz val="11"/>
        <color theme="1"/>
        <rFont val="Calibri"/>
        <family val="2"/>
        <scheme val="minor"/>
      </rPr>
      <t>SI NO SE TIENE DATO SE DEBE DEJAR ESTA CASILLA EN BLANCO</t>
    </r>
  </si>
  <si>
    <r>
      <t xml:space="preserve">Reguistre en numeros la TA diastolica antes de las 12 semanas de gestacion. </t>
    </r>
    <r>
      <rPr>
        <u/>
        <sz val="11"/>
        <color theme="1"/>
        <rFont val="Calibri"/>
        <family val="2"/>
        <scheme val="minor"/>
      </rPr>
      <t>SI NO SE TIENE DATO SE DEBE DEJAR ESTA CASILLA EN BLANCO</t>
    </r>
  </si>
  <si>
    <r>
      <t xml:space="preserve">Reguistre en numeros la TA Sistolica entre las 20 y 26 semanas de gestacion. </t>
    </r>
    <r>
      <rPr>
        <u/>
        <sz val="11"/>
        <color theme="1"/>
        <rFont val="Calibri"/>
        <family val="2"/>
        <scheme val="minor"/>
      </rPr>
      <t>SI NO SE TIENE DATO SE DEBE DEJAR ESTA CASILLA EN BLANCO</t>
    </r>
  </si>
  <si>
    <r>
      <t xml:space="preserve">Reguistre en numeros la TA Diastolica entre las 20 y 26 semanas de gestacion. </t>
    </r>
    <r>
      <rPr>
        <u/>
        <sz val="11"/>
        <color theme="1"/>
        <rFont val="Calibri"/>
        <family val="2"/>
        <scheme val="minor"/>
      </rPr>
      <t>SI NO SE TIENE DATO SE DEBE DEJAR ESTA CASILLA EN BLANCO</t>
    </r>
  </si>
  <si>
    <t>solo se debe colocar dato de Fecha de la asesoría realizada.</t>
  </si>
  <si>
    <t>La información aquí registrada, debe aparecer soportada en la historia Clínica, de lo contrario el dato no es valido.</t>
  </si>
  <si>
    <r>
      <t xml:space="preserve">Registrar fecha de inicio de CPN de la gestante, Importante sea en el siguiente orden: DIA/MES/AÑO usando el  /  para  sepáralas ejemplo: 18/09/2014.  </t>
    </r>
    <r>
      <rPr>
        <u/>
        <sz val="11"/>
        <color theme="1"/>
        <rFont val="Calibri"/>
        <family val="2"/>
        <scheme val="minor"/>
      </rPr>
      <t xml:space="preserve"> EN CASO DE GESTANTES CON INICIO CPN EN OTRA INSTITUCIÓN: se debe registrar el dato de ingreso real de la mujer en la otra institución.</t>
    </r>
  </si>
  <si>
    <r>
      <t xml:space="preserve">Registrar fechas de los controles realizados según corresponde en secuencia D M A. </t>
    </r>
    <r>
      <rPr>
        <u/>
        <sz val="11"/>
        <color theme="1"/>
        <rFont val="Calibri"/>
        <family val="2"/>
        <scheme val="minor"/>
      </rPr>
      <t>EN CASO DE GESTANTE QUE REALIZO CONTROLES EN OTRA INSTITUCIÓN, SE DEBE COLOCAR LA INFORMACIÓN DE LAS FECHAS DE CONTROLES PREVIAMENTE REALIZADOS.</t>
    </r>
  </si>
  <si>
    <t xml:space="preserve">Formula automática que define una fecha aproximada del proximo control. </t>
  </si>
  <si>
    <t>FORMULA AUTOMATICA: CON LAS OPCIONES CAMBIO DE RESIDENCIA, SEGUIMIENTO REPORTE EPS, SALIO PROGRAMA, SALE SIN INGRESO CPN; SIN CPN, ACTIVA INGRESO A CPN, ACTIVA SIN INGRESO A CPN.</t>
  </si>
  <si>
    <t>Formula, muestra de cada mujer la fecha de su último control.</t>
  </si>
  <si>
    <t>Formula que calcula la edad gestaciónal de la última vez que vino al CPN</t>
  </si>
  <si>
    <t>Formula automatica del % de cumplimiento de controles prenatales</t>
  </si>
  <si>
    <t>Se debe registrar dato de la fecha en que acude por primera vez la mujer a cita con ginecologo; esta información debe aparecer en la evolución de la HC de seguimiento realizda por el Medico general.</t>
  </si>
  <si>
    <r>
      <t xml:space="preserve">Registro de fecha de la útima asistencia a ginecología, si aplica; este dato se debe </t>
    </r>
    <r>
      <rPr>
        <u/>
        <sz val="11"/>
        <color theme="1"/>
        <rFont val="Calibri"/>
        <family val="2"/>
        <scheme val="minor"/>
      </rPr>
      <t>actualizar periodicamente según corresponda.</t>
    </r>
  </si>
  <si>
    <r>
      <t xml:space="preserve">Registro de numero de consultas con ginecologo. </t>
    </r>
    <r>
      <rPr>
        <u/>
        <sz val="11"/>
        <color theme="1"/>
        <rFont val="Calibri"/>
        <family val="2"/>
        <scheme val="minor"/>
      </rPr>
      <t>Este dato se debe actualizar periodicamente según corresponda.</t>
    </r>
  </si>
  <si>
    <t>Fecha en D M A del Resultado del la Glicemia.</t>
  </si>
  <si>
    <t>Diligencie la lista desplegable, aparecen las opciones para Prueba Rápida o para Elisa, según sea la técnica utilizada e informada en el resultado del examen, que debe estar soportado en HC o en resultado de laboratorio.</t>
  </si>
  <si>
    <t>Fecha en D M A del Resultado del la Prueba de  ELISA o Pueba Rápida.</t>
  </si>
  <si>
    <t>FECHA RESULTADO ELISA O PR III TRIM</t>
  </si>
  <si>
    <r>
      <t xml:space="preserve">Diligencie la lista desplegable, según corresponda al resultado resportado de la Carga Viral. </t>
    </r>
    <r>
      <rPr>
        <u/>
        <sz val="11"/>
        <color theme="1"/>
        <rFont val="Calibri"/>
        <family val="2"/>
        <scheme val="minor"/>
      </rPr>
      <t>Se coloca SIN DATO: En el caso de que algunas de las columnas FU,FX,FZ y GC sean Reactivas y no se tenga información de este exámen. Se coloca NO APLICA: En caso de en caso de que los resultados de las columnas FU, FX, FZ Y GC; sean No Reactivos.</t>
    </r>
  </si>
  <si>
    <t>Diligencie la lista desplegable, aparecen las opciones para Prueba Rápida o para Elisa, según sea la técnica utilizada e informada en el resultado del examen, que debe estar soportado en HC o en resultado de laboratorio. Se coloca SIN DATO: En el caso de que algunas de las columnas FU,FX,FZ y GC sean Reactivas y no se tenga información de este exámen. Se coloca NO APLICA: En caso de en caso de que los resultados de las columnas FU, FX, FZ Y GC; sean No Reactivos.</t>
  </si>
  <si>
    <r>
      <t xml:space="preserve">Fecha en D M A del Resultado del la Prueba de  ELISA o Pueba Rápida. </t>
    </r>
    <r>
      <rPr>
        <u/>
        <sz val="11"/>
        <color theme="1"/>
        <rFont val="Calibri"/>
        <family val="2"/>
        <scheme val="minor"/>
      </rPr>
      <t>En caso de que la columna GE sea No aplica o Sin Dato, esta casilla debe permanecer vacia.</t>
    </r>
  </si>
  <si>
    <t>Fecha en D M A del Resultado de la Carga Viral. En caso de que la columna GG sea No aplica o Sin Dato, esta casilla debe permanecer vacia.</t>
  </si>
  <si>
    <r>
      <t xml:space="preserve">Fecha en D M A del Resultado del la Prueba del Antigeno de superficie para HB. En caso de que la columna GI sea </t>
    </r>
    <r>
      <rPr>
        <u/>
        <sz val="11"/>
        <color theme="1"/>
        <rFont val="Calibri"/>
        <family val="2"/>
        <scheme val="minor"/>
      </rPr>
      <t>Sin Dato, esta casilla debe permanecer vacia.</t>
    </r>
  </si>
  <si>
    <t>Lista desplegable, según corresponda. SIN DATO: se debe colocar en caso de que la mujer este incluida en la base de datos y no se tenga información del resultado de este exámen.</t>
  </si>
  <si>
    <t>Alarma y Evaluacion según reportes de Ig G e IgM, indica si se "excluye la infección" , si hay "Toxoplasmosis" o si se debe continuar con "Control Igm".</t>
  </si>
  <si>
    <t>Fecha en D M A del Resultado del la Prueba las pruebas de Toxoplasma. En caso de que las columnas GL y GM sea Sin Dato, esta casilla debe permanecer vacia.</t>
  </si>
  <si>
    <r>
      <t>Lista desplegable según corresponda,</t>
    </r>
    <r>
      <rPr>
        <u/>
        <sz val="11"/>
        <color theme="1"/>
        <rFont val="Calibri"/>
        <family val="2"/>
        <scheme val="minor"/>
      </rPr>
      <t xml:space="preserve"> EL RESULTADO DEBE CORRESPONDER A LOS CONTROLES REALIZADOS DESPUES DE HABER RESPORTADO EL IgM INICIAL . Se coloca SIN DATO: En caso de que la columna GN indique "Control IgM". Se coloca NO APLICA: En caso de que la columna GN indique "Se excluye infección" o "Toxoplasmosis".</t>
    </r>
  </si>
  <si>
    <t>Lista desplegable según correponda. Se debe colocar el número de Controles realizados de IgM, soportados en HC de cero (0) a Nueve (9). Se coloca NO APLICA: En caso de que la columna GR indique " NO APLICA".</t>
  </si>
  <si>
    <t>Lista desplegable según corresponda. Se coloca SIN DATO: en caso de no tener ninguna información al respecto o que no este vigente el resultado de la Citología.</t>
  </si>
  <si>
    <t>Formula que consolida las enfermedades identificadas en las columnas KI,KM,KQ,KU,KY,LC Y LG, que corresponde a necesidad o desarmonia desde lo propio.</t>
  </si>
  <si>
    <t>Formula automatica que reune riegos no evaluados en la escala de riesgo biopsicosocial de Julian Herrera.</t>
  </si>
  <si>
    <t>Formula que define si hay o no Riesgo Biopsicosocial, según el puntaje que maneja dicha escala de Julian Herrera.</t>
  </si>
  <si>
    <t>Formula que reune, las condiciones de riesgo que tiene algún puntaje dentro de la escala de riesgo biopsicosocial de Julian Herrera.</t>
  </si>
  <si>
    <t>Formula que identifica las gestantes con riesgo de complicación Hiertensivas, según los parametros de la GPC de embarazo, parto y postparto de Ministerio.</t>
  </si>
  <si>
    <t>Formula que consolida el último dato de cada mujer del seguimiento se las cifras de presión arterial reportados en las columnas CR, CU o CZ.</t>
  </si>
  <si>
    <r>
      <t xml:space="preserve">Lista desplegable según Corresponda. </t>
    </r>
    <r>
      <rPr>
        <u/>
        <sz val="11"/>
        <color theme="1"/>
        <rFont val="Calibri"/>
        <family val="2"/>
        <scheme val="minor"/>
      </rPr>
      <t>ESTA VARIABLE DEBE SER TRABAJADA POR EL PROFESIONAL QUE LIDERA EL PROGRAMA DE SALUD MATERNA DE LA INSTITUCIÓN.</t>
    </r>
  </si>
  <si>
    <t>Lista desplegable según corresponda.</t>
  </si>
  <si>
    <t xml:space="preserve">FECHA VACUNA 1  Td </t>
  </si>
  <si>
    <t>Fecha en D M A.  Incluye la fecha de la vacuna que sea vigente, según lineamientos del programa de vacunación, aunque la vacuna no haya sido colocada en esta gestación.</t>
  </si>
  <si>
    <t>Formula automatica de la Fecha Probable de parto.</t>
  </si>
  <si>
    <t>Formula que cuenta los días que faltan para el nacimiento del bebe, si la cifra aparece con número NEGATIVO, significa los días que van de más despues de la fecha probable de parto.</t>
  </si>
  <si>
    <t>Formula que genera alerta del tiempo en semanas para el parto, según dato de la Fecha Probable de Parto.</t>
  </si>
  <si>
    <t>Fecha en D M A - Se debe actualizar, debe aparecer la última fecha.</t>
  </si>
  <si>
    <r>
      <t xml:space="preserve">Lista desplegable, elegir la opcion la condicion asociada a la salida de la madre. </t>
    </r>
    <r>
      <rPr>
        <u/>
        <sz val="11"/>
        <color theme="1"/>
        <rFont val="Calibri"/>
        <family val="2"/>
        <scheme val="minor"/>
      </rPr>
      <t>LOS EVENTOS DE MORBILIDAD MATERNA EXTREMA Y MORTALIDAD MATERNA, deben coincidir con lo reportado en SIVIGILA.</t>
    </r>
  </si>
  <si>
    <r>
      <t xml:space="preserve">Fecha en D M A de la salida del programa. </t>
    </r>
    <r>
      <rPr>
        <u/>
        <sz val="11"/>
        <color theme="1"/>
        <rFont val="Calibri"/>
        <family val="2"/>
        <scheme val="minor"/>
      </rPr>
      <t>ESTA VARIABLE DEBE DILIGENCIARSE SIEMPRE QUE LA COLUMNA HZ ESTE DILIGENCIADA.</t>
    </r>
  </si>
  <si>
    <t>FECHA DE SALIDA  DEL PROGRAMA</t>
  </si>
  <si>
    <r>
      <t xml:space="preserve">Lista desplegable, elegir la opcion la condicion asociada a la salida del Recien nacido. Se debe colocar "NO APLICA" ; cuando en la Columna HZ, se coloca Aborto o IVE.  </t>
    </r>
    <r>
      <rPr>
        <u/>
        <sz val="11"/>
        <color theme="1"/>
        <rFont val="Calibri"/>
        <family val="2"/>
        <scheme val="minor"/>
      </rPr>
      <t>LOS EVENTOS DE MUERTE PERINATAL Y NEONATAL TEMPRANA, MUERTE NEONATAL TARDÍA, deben coincidir con lo reportado en SIVIGILA.</t>
    </r>
  </si>
  <si>
    <t>LUGAR DE ATENCION DEL PARTO, ABORTO, IVE.</t>
  </si>
  <si>
    <r>
      <t xml:space="preserve">Lista desplegable, según corresponda. </t>
    </r>
    <r>
      <rPr>
        <u/>
        <sz val="11"/>
        <color theme="1"/>
        <rFont val="Calibri"/>
        <family val="2"/>
        <scheme val="minor"/>
      </rPr>
      <t>Se debe colocar NO APLICA: Cuando en la columna HZ, se coloca; Cambio de Residencia o Cambio de IPS.</t>
    </r>
  </si>
  <si>
    <t xml:space="preserve">NOMBRE DE LA INSTITUCION DONDE SE ATENDIO EL PARTO,ABORTO, IVE. </t>
  </si>
  <si>
    <r>
      <t xml:space="preserve">Lista desplegable, según corresponda.  Esta columna se debe diligenciar si en la columna ID se coloca: INSTITUCIONAL. </t>
    </r>
    <r>
      <rPr>
        <u/>
        <sz val="11"/>
        <color theme="1"/>
        <rFont val="Calibri"/>
        <family val="2"/>
        <scheme val="minor"/>
      </rPr>
      <t>Se coloca NO APLICA: Si en la columna ID aparece DOMICILIO, OTRO, NO APLICA.</t>
    </r>
  </si>
  <si>
    <r>
      <t xml:space="preserve">Lista desplegable, según corresponda. </t>
    </r>
    <r>
      <rPr>
        <u/>
        <sz val="11"/>
        <color theme="1"/>
        <rFont val="Calibri"/>
        <family val="2"/>
        <scheme val="minor"/>
      </rPr>
      <t>Se debe colocar NO APLICA, si en la columna ID aparece NO APLICA.</t>
    </r>
  </si>
  <si>
    <r>
      <t xml:space="preserve">Lista desplegable, según corresponda. Colocar SI: </t>
    </r>
    <r>
      <rPr>
        <u/>
        <sz val="11"/>
        <color theme="1"/>
        <rFont val="Calibri"/>
        <family val="2"/>
        <scheme val="minor"/>
      </rPr>
      <t>cuando existe soporte en HC claro del acompañamiento en ambos momentos TRABAJO DE PARTO Y PARTO.</t>
    </r>
    <r>
      <rPr>
        <sz val="11"/>
        <color theme="1"/>
        <rFont val="Calibri"/>
        <family val="2"/>
        <scheme val="minor"/>
      </rPr>
      <t xml:space="preserve"> Colocar NO: Cuando no existe soporte en HC del acompañamiento o este solo se realiza unicamente en el TRABAJO DE PARTO o en EL PARTO.  Se coloca NO APLICA: Cuando en la columna ID el parto es en DOMICILIO, en OTRO lugar o NO APLICA. Se coloca SD: Cuando el la columna ID aparece institucional y en la Columna IG aparece el nivel de complejidad MEDINA Y ALTA. </t>
    </r>
  </si>
  <si>
    <t xml:space="preserve">Lista desplegable según corresponda. Colocar SI: Cuando aparece soporte de partograma completamente diligenciado, con datos completos, línea de dilatación, curva de alerta, esta graficado el descenso de la presentación y se evidencia el cambio de curva de alerta al cambiar condiciones de la gestante. Colocar NO: Cuando no existe el partograma o esta parcialmente diligenciado. Se coloca NO APLICA: Cuando en la columna ID el parto es en DOMICILIO, en OTRO lugar o NO APLICA. Se coloca SD: Cuando el la columna ID aparece institucional y en la Columna IG aparece el nivel de complejidad MEDINA Y ALTA. </t>
  </si>
  <si>
    <t xml:space="preserve">Lista desplegable según corresponda. Colocar SI: En la HC esta documentado en la nota de atención de parto, uso de oxitocina según GPC, masaje uterino y que se realiza la tracción sostenida de cordón.  Colocar NO: Cuando alguna de estas tres acciones NO aparece documentada en la HC o la Oxitocina no se aplica según lo definido en la GPC o ninguna de estas acciones aparece documentada. Se coloca NO APLICA: Cuando en la columna ID el parto es en DOMICILIO, en OTRO lugar o NO APLICA. Se coloca SD: Cuando el la columna ID aparece institucional y en la Columna IG aparece el nivel de complejidad MEDINA Y ALTA. </t>
  </si>
  <si>
    <t xml:space="preserve">Lista desplegable según corresponda. Colocar SI: En la HC debe estar documentado que se realiza contacto piel a piel y el tiempo de duración de dicho contacto es de 30 o más minutos. Colocar NO: Cuando solo se documenta el contacto piel a piel y no aparece el tiempo o cuando no se registra dicho contacto. Se coloca NO APLICA: Cuando en la columna ID el parto es en DOMICILIO, en OTRO lugar o NO APLICA. Se coloca SD: Cuando el la columna ID aparece institucional y en la Columna IG aparece el nivel de complejidad MEDINA Y ALTA. </t>
  </si>
  <si>
    <t xml:space="preserve">Lista desplegable según corresponda. Colocar SI: En la HC debe estar documentado que se realiza contacto piel a piel y durante el contacto se inicia la lactancia materna efectiva, debe estar claramente registrada la hora de inicio de la Lactancia Materna. Colocar NO: Cuando no hay contacto piel a piel, no hay claridad del inicio de la lactancia materna efectiva o dicho inicio no ocurre durante el contacto piel a piel. Se coloca NO APLICA: Cuando en la columna ID el parto es en DOMICILIO, en OTRO lugar o NO APLICA. Se coloca SD: Cuando el la columna ID aparece institucional y en la Columna IG aparece el nivel de complejidad MEDINA Y ALTA. </t>
  </si>
  <si>
    <t xml:space="preserve">Lista desplegable según corresponda. Colocar SI: Cuando aparecen documentados los OCHO controles postparto, durante las dos primeras horas del parto, contados a partir de la Hora del alumbramiento de la Placenta; cada control debe incluir registro de Signos vitales, valoración estado de conciencia, valoración hemorragía vaginal, valoración tono uterino como mínimo. Colocar NO: Cuando se documentan menos de OCHO controles en el intervalo definido de las dos horas postparto contadas a partir del alumbramiento de la placenta, o cuando alguno de los controles no soportan las actividades minimas descritas en el SI. Se coloca NO APLICA: Cuando en la columna ID el parto es en DOMICILIO, en OTRO lugar o NO APLICA. Se coloca SD: Cuando el la columna ID aparece institucional y en la Columna IG aparece el nivel de complejidad MEDINA Y ALTA. </t>
  </si>
  <si>
    <t>Lista desplegable según corresponda. Se coloca NO APLICA: Cuando en la columna HZ, sale del programa por: Aborto, IVE, Cambio de residencia o Cambio de IPS.</t>
  </si>
  <si>
    <t>Formula automatica de la clasificación por peso al nacer del neonato</t>
  </si>
  <si>
    <t>FECHA TOMA  TSH</t>
  </si>
  <si>
    <t>Lista desplegable según corresponda.   Se coloca NO APLICA: Cuando en la columna HZ, sale del programa por: Aborto, IVE, Cambio de residencia o Cambio de IPS.</t>
  </si>
  <si>
    <r>
      <t xml:space="preserve">Registre fecha en formato D/ M / A. </t>
    </r>
    <r>
      <rPr>
        <u/>
        <sz val="11"/>
        <color theme="1"/>
        <rFont val="Calibri"/>
        <family val="2"/>
        <scheme val="minor"/>
      </rPr>
      <t>DEBE ESTAR DOCUMENTADO EN LA HC DE LA ATENCIÓN DEL PARTO Y RN</t>
    </r>
  </si>
  <si>
    <r>
      <t xml:space="preserve">Registre fecha en formato D/ M / A. </t>
    </r>
    <r>
      <rPr>
        <u/>
        <sz val="11"/>
        <color theme="1"/>
        <rFont val="Calibri"/>
        <family val="2"/>
        <scheme val="minor"/>
      </rPr>
      <t>DEBE ESTAR DOCUMENTADO EN LA HC DE LA ATENCIÓN DEL PARTO, RN Y/O PUERPERIO.</t>
    </r>
  </si>
  <si>
    <t>Lista desplegable según corresponda.   Se registra SI: Cuando aparece registro en la HC de que se hace la asesoría durante la hospitalización en postparto. coloca NO APLICA: Cuando en la columna HZ, sale del programa por: Aborto, IVE, Cambio de residencia o Cambio de IPS. Coloca SD: cuando es atención de parto institucional y no se tiene información al respecto.</t>
  </si>
  <si>
    <t>Lista desplegable según corresponda. Se coloca SI: Cuando hay registro en la HC de puerperio, del metodo de PF con el cual sale planificando la mujer.</t>
  </si>
  <si>
    <t>Lista desplegable según corresponda al método escogido por la mujer.</t>
  </si>
  <si>
    <t>Registre fecha en formato D/ M / A, del primer seguimiento durante el embarazo.</t>
  </si>
  <si>
    <t>Registre información relevante detectada en el seguimiento y que no este incluida en los Hallazgos anteriores.</t>
  </si>
  <si>
    <t>Registre fecha en formato D/ M / A, del último seguimiento durante el embarazo. ESTA INFORMACIÓN SE DEBE IR ACTUALIZANDO CADA MES SEGÚN CORREPONDA.</t>
  </si>
  <si>
    <t>FECHA SEGUIMIENTO POR PERSONAL DE SALUD EN TERRENO  EN PUERPERIO</t>
  </si>
  <si>
    <t>FECHA ULTIMO SEGUIMIENTO POR PERSONAL DE SALUD EN TERRENO  EN PUERPERIO</t>
  </si>
  <si>
    <t>Registre fecha en formato D/ M / A, del primer seguimiento durante el Puerperio.</t>
  </si>
  <si>
    <t>Registre información  relevante detectada en el seguimiento a la Puerpera.</t>
  </si>
  <si>
    <t>Registre información  relevante detectada en el seguimiento al Neonato.</t>
  </si>
  <si>
    <t>Registre fecha en formato D/ M / A, del último seguimiento durante el Puerperio. ESTA INFORMACIÓN SE DEBE IR ACTUALIZANDO CADA MES SEGÚN CORREPONDA.</t>
  </si>
  <si>
    <t>Registre el Número se veces que se le ha realizado seguimiento a la mujer durante el Puerperio. ESTA INFORMACIÓN SE DEBE IR ACTUALIZANDO CADA MES SEGÚN CORREPONDA.</t>
  </si>
  <si>
    <t>Lista desplegable según corresponda al tipo de sabedor que realiza el acompañamiento inicial durante la gestación.</t>
  </si>
  <si>
    <t>Registre las actividades o ritualidades realizadas por el sabedor, durante la gestación</t>
  </si>
  <si>
    <t>Registre la Desarmonia o desarmonias identificadas por el Sabedor en el seguimiento inicial durante la gestación.</t>
  </si>
  <si>
    <t>Registre fecha en formato D/ M / A, del primer Acompañamiento durante la gestación.</t>
  </si>
  <si>
    <t>Registre fecha en formato D/ M / A, del segundo Acompañamiento durante la gestación.</t>
  </si>
  <si>
    <t>Lista desplegable según corresponda al tipo de sabedor que realiza el acompañamiento durante la gestación.</t>
  </si>
  <si>
    <t>Registre la Desarmonia o desarmonias identificadas por el Sabedor en el acompañamiento durante la gestación.</t>
  </si>
  <si>
    <t>Registre fecha en formato D/ M / A, del tercer Acompañamiento durante la gestación.</t>
  </si>
  <si>
    <t>Registre fecha en formato D/ M / A, del cuarto Acompañamiento durante la gestación.</t>
  </si>
  <si>
    <t>Registre fecha en formato D/ M / A, del quinto Acompañamiento durante la gestación.</t>
  </si>
  <si>
    <t>Registre fecha en formato D/ M / A, del  Acompañamiento durante el Puerperio</t>
  </si>
  <si>
    <t>Lista desplegable según corresponda al tipo de sabedor que realiza el acompañamiento durante el puerperio.</t>
  </si>
  <si>
    <t>Registre la Desarmonia o desarmonias identificadas por el Sabedor en el acompañamiento durante el puerperio.</t>
  </si>
  <si>
    <t>Registre las actividades o ritualidades realizadas por el sabedor, durante el puerperio.</t>
  </si>
  <si>
    <t>FECHA INICIO SUMINISTRO CALCIO</t>
  </si>
  <si>
    <t xml:space="preserve">FECHA INICIO SUMINISTRO ACIDO FOLICO </t>
  </si>
  <si>
    <t xml:space="preserve">FECHA INICIO SUMINISTRO SULFATO FERROSO </t>
  </si>
  <si>
    <t>FECHA SEGUIMIENTOS TELÉFONICOS</t>
  </si>
  <si>
    <t>NÚMERO SEGUIMIENTOS TELÉFONCOS</t>
  </si>
  <si>
    <t>OBSERVACIÓN SEGUIMIENTO TELÉFONCO</t>
  </si>
  <si>
    <t>HALLAZGO GESTACIÓN SEGUIMIENTO POR VISITA DOMICILIARIA</t>
  </si>
  <si>
    <t>TIPO DE APOYO REALIZADO POR LA EPS</t>
  </si>
  <si>
    <t>TIPO DE APOYO REALIZADO POR LA IPS PRIMARIA</t>
  </si>
  <si>
    <t>La información registrada aquí es confidencial, este documento se asimila como una Historía Clinica, debe estar bajo un manejo reservado y confidencial, para manejo exclusivo del personal de salud.</t>
  </si>
  <si>
    <t>OBSERVACIONES PARA SEGUIMIENTO</t>
  </si>
  <si>
    <t>Fecha en D M A de la primera formulación de Calcio.</t>
  </si>
  <si>
    <t>Fecha en D M A de la primera formulación de Acido Folico.</t>
  </si>
  <si>
    <t>Fecha en D M A de la primera formulación de Sulfato Ferroso.</t>
  </si>
  <si>
    <t>Registre el Número se veces que se le ha realizado seguimientos teléfonicos a la mujer durante la gestación. ESTA INFORMACIÓN SE DEBE IR ACTUALIZANDO CADA MES SEGÚN CORRESPONDA.</t>
  </si>
  <si>
    <t>Registre el Número se veces que se le ha realizado seguimiento a la mujer durante la gestación. ESTA INFORMACIÓN SE DEBE IR ACTUALIZANDO CADA MES SEGÚN CORRESPONDA.</t>
  </si>
  <si>
    <t>FECHA C13</t>
  </si>
  <si>
    <t># fila</t>
  </si>
  <si>
    <t xml:space="preserve">NOVEDAD AL MOMENTO DE LA IDENTIFICACIÓN Y/O CAPTACIÓN </t>
  </si>
  <si>
    <t>Total general de mujeres gestantes que ingresan al progama</t>
  </si>
  <si>
    <t>FECHA ACOMPAÑAMIENTO SABEDOR ANCESTRAL PUERPERIO Y RECIEN NACIDO22</t>
  </si>
  <si>
    <t>TIPO DE SABEDOR73</t>
  </si>
  <si>
    <t>NECESIDAD O DESARMONIA DESDE LO PROPIO 174</t>
  </si>
  <si>
    <t>ACTIVIDAD O RITUALIDAD REALIZADA185</t>
  </si>
  <si>
    <t>FECHA ACOMPAÑAMIENTO SABEDOR ANCESTRAL PUERPERIO Y RECIEN NACIDO222</t>
  </si>
  <si>
    <t>TIPO DE SABEDOR733</t>
  </si>
  <si>
    <t>NECESIDAD O DESARMONIA DESDE LO PROPIO 1744</t>
  </si>
  <si>
    <t>ACTIVIDAD O RITUALIDAD REALIZADA1855</t>
  </si>
  <si>
    <t>FECHA ACOMPAÑAMIENTO SABEDOR ANCESTRAL PUERPERIO Y RECIEN NACIDO2222</t>
  </si>
  <si>
    <t>TIPO DE SABEDOR7333</t>
  </si>
  <si>
    <t>NECESIDAD O DESARMONIA DESDE LO PROPIO 17444</t>
  </si>
  <si>
    <t>ACTIVIDAD O RITUALIDAD REALIZADA18555</t>
  </si>
  <si>
    <t>DIAGNOSTICO POSITIVO COVID19 - INFECCIÓN POR SARS CoV2</t>
  </si>
  <si>
    <t>Curso de Maternidad y Paternidad</t>
  </si>
  <si>
    <t>Alerta Plan de Parto</t>
  </si>
  <si>
    <t>TAMIZAJE  PARA SIFILIS  SEGÚN GPC SIFILIS I TRIMESTRE</t>
  </si>
  <si>
    <t>TAMIZAJE  PARA VIH I TRIM</t>
  </si>
  <si>
    <t>RESGUARDO / CORREGIMIENTO / COMUNA / LOCALIDAD</t>
  </si>
  <si>
    <t>ATENCIÓN PRECONCEPCIONAL</t>
  </si>
  <si>
    <t>ALARMA TAMIZAJE SIFILIS I TRIMESTRE</t>
  </si>
  <si>
    <t>ALARMA TAMIZAJE SIFILIS II TRIMESTRE2</t>
  </si>
  <si>
    <t>ALARMA TAMIZAJE SIFILIS III TRIMESTRE22</t>
  </si>
  <si>
    <t>ALARMA CONSOLIDADA CASOS SIFILIS GESTACIONAL</t>
  </si>
  <si>
    <t>ALARMA TAMIZAJE VIH - I TRIM</t>
  </si>
  <si>
    <t>ALARMA TAMIZAJE VIH - II TRIM</t>
  </si>
  <si>
    <t>ALARMA TAMIZAJE VIH - III TRIM</t>
  </si>
  <si>
    <t>TAMIZAJE PARA CHAGAS (ELISA para detección de anticuerpos IgG anti T. cruzi de antígenos totales)</t>
  </si>
  <si>
    <t>FECHA RESULTADO TAMIZAJE CHAGAS</t>
  </si>
  <si>
    <t>TAMIZAJE INICIAL DE GOTA GRUESA PARA MALARIA (En zonas endémicas)</t>
  </si>
  <si>
    <t>FECHA RESULTADO TAMIZAJE INICIAL GOTA GRUESA PARA MALARIA</t>
  </si>
  <si>
    <t>RESULTADO ULTIMO TAMIZAJE GOTA GRUESA (Para Zonas endémicas)</t>
  </si>
  <si>
    <t>NUMERO TAMIZAJES TOMADOS DE GOTA GRUESA PARA MALARIA (Debe ser mensual para zonas endémicas)</t>
  </si>
  <si>
    <t>INICIO TRABAJO DE PARTO</t>
  </si>
  <si>
    <t>PUNTAJE PRESENTACIÓN RBPS4</t>
  </si>
  <si>
    <t>PUNTAJE TAMIZAJE CHAGAS RBPS5</t>
  </si>
  <si>
    <t>PUNTAJE TAMIZAJE MALARIA RBPS6</t>
  </si>
  <si>
    <t>Puntaje ROBSON</t>
  </si>
  <si>
    <t>FECHA PLAN DE PARTO  (Soporte en HC)</t>
  </si>
  <si>
    <t>FECHA RESULTADO PR- I TRIM</t>
  </si>
  <si>
    <t>FECHA RESULTADO ELISA O PR I TRIM</t>
  </si>
  <si>
    <t>NUMERO TAMIZAJES TOMADOS DE GOTA GRUESA PARA MALARIA (Debe ser mensual para zons endémicas)</t>
  </si>
  <si>
    <r>
      <t xml:space="preserve">Registrar: CEFÁLICO, PODÁLICO, TRANSVERSA,OBLICUA, según corresponda al embarazo actual; se debe ACTUALIZAR según hallazgos en los controles. Las opciónes que estaran semaforizadas en rojo  se consideran de Riesgo Obstétrico  y la gestante debe ser valorada por ginecólogo. </t>
    </r>
    <r>
      <rPr>
        <u/>
        <sz val="11"/>
        <color theme="1"/>
        <rFont val="Calibri"/>
        <family val="2"/>
        <scheme val="minor"/>
      </rPr>
      <t>ESTA VARIABLE DEBE SER TOMADA EN CUENTA Y SEGUIDA A PARTIR DEL ÚLTIMO TRIMESTRE DE GESTACIÓN Y PUEDE SER TOMADA DE LA ECOGRAFÍA O DEL EXÁMEN FISICO EN HC.</t>
    </r>
  </si>
  <si>
    <t>solo se debe colocar dato de Fecha que soporta la HC en la cual se realiza el plan de parto concertado.</t>
  </si>
  <si>
    <t>Formula automatica: Donde aparece además de la edad gestacional al momento ADECUADO para realizar el plan de partos, las siguientes alertas: PLAN REALIZADO ANTES III TRIM (se realiza el plan antes del tiempo esperado, que es en III Trimestre), PLANEAR PLAN DE PARTO (Iniciar proceso de información, para definir la construcción del plan de parto), CONCERTAR PLAN DE PARTO INMEDIATO (Debe estar definido el plan de parto concertado), EN ESPERA (Se encuentra en I o II Trimestre de gestación, en espera para iniciar proceso en III Trimestre), NO APLICA SALE PROGRAMA ANTES III TRIM, SALE PROGRAMA ANTES SEMANA 35 (Sale del programa durante el proceso de construcción del plan, sin finalizarlo), SALE SIN PLAN DE PARTO (sale en la etapa que debería haber tenido el plan de parto ya concertado).</t>
  </si>
  <si>
    <r>
      <t>Lista desplegable segun resultado del Tamizaje soportado en HC y/o resultado de laboratorio de la Prueba rapida de sifilis  tomada en el I  Trimestre de la gestación : P.R Negativa (Prueba Rápida), P.R Positiva Caso Sífilis (Prueba Rápida) y P.R Positiva Cicatriz. -</t>
    </r>
    <r>
      <rPr>
        <b/>
        <u/>
        <sz val="11"/>
        <rFont val="Calibri"/>
        <family val="2"/>
        <scheme val="minor"/>
      </rPr>
      <t>NO SE DEBE REGISTAR INFORMACIÓN EN ESTA CASILLA CASO DE INGRESO TARDÍO MAYOR A 12 SEMANAS, O DE HABER TOMADO EL EXAMEN DESPUES DE LA SEMANA 12.</t>
    </r>
  </si>
  <si>
    <t>Fecha en D M A del Resultado de la Prueba Rápida</t>
  </si>
  <si>
    <r>
      <t xml:space="preserve">Formula automatica: Donde aparece además de la edad gestacional al momento de la toma de la Prueba Rapida, las siguientes alertas: </t>
    </r>
    <r>
      <rPr>
        <b/>
        <u/>
        <sz val="11"/>
        <rFont val="Calibri"/>
        <family val="2"/>
        <scheme val="minor"/>
      </rPr>
      <t>REGISTRAR EN II TRIMESTRE,REGISTRAR EN III TRIMESTRE (Colocar datos en las columnas que corresponden y quitarlo de esta casilla),EN RANGO PARA TOMAR EXAMEN (Esta dentro del I TRIM de gestación),TOMA INMEDIATA DE TAMIZAJE (Faltan dos semanas para cambio de Trimestre),PIERDE TOMA DE TAMIZAJE (Paso al otro Trim de gestación sin reporte de tamizaje),NO APLICA-INGRESO TARDIO (No se deben registrar datos de Tamizaje)</t>
    </r>
    <r>
      <rPr>
        <sz val="11"/>
        <color theme="1"/>
        <rFont val="Calibri"/>
        <family val="2"/>
        <scheme val="minor"/>
      </rPr>
      <t>. Para apoyar el seguimiento de la gestante y el registro adecuado de información.</t>
    </r>
  </si>
  <si>
    <r>
      <t xml:space="preserve">Lista desplegable segun resultado del Tamizaje soportado en HC y/o resultado de laboratorio de la Prueba rapida de sifilis  tomada en el II  Trimestre de la gestación : P.R Negativa (Prueba Rápida), P.R Positiva Caso Sífilis (Prueba Rápida </t>
    </r>
    <r>
      <rPr>
        <u/>
        <sz val="11"/>
        <color rgb="FFFF0000"/>
        <rFont val="Calibri"/>
        <family val="2"/>
        <scheme val="minor"/>
      </rPr>
      <t>No aplica</t>
    </r>
    <r>
      <rPr>
        <sz val="11"/>
        <rFont val="Calibri"/>
        <family val="2"/>
        <scheme val="minor"/>
      </rPr>
      <t xml:space="preserve"> si Tamizaje anterior fue </t>
    </r>
    <r>
      <rPr>
        <sz val="11"/>
        <color rgb="FFFF0000"/>
        <rFont val="Calibri"/>
        <family val="2"/>
        <scheme val="minor"/>
      </rPr>
      <t>POSITIVO</t>
    </r>
    <r>
      <rPr>
        <sz val="11"/>
        <rFont val="Calibri"/>
        <family val="2"/>
        <scheme val="minor"/>
      </rPr>
      <t xml:space="preserve">), P.R Positiva Cicatriz(Prueba Rápida </t>
    </r>
    <r>
      <rPr>
        <u/>
        <sz val="11"/>
        <color rgb="FFFF0000"/>
        <rFont val="Calibri"/>
        <family val="2"/>
        <scheme val="minor"/>
      </rPr>
      <t>No aplica</t>
    </r>
    <r>
      <rPr>
        <sz val="11"/>
        <rFont val="Calibri"/>
        <family val="2"/>
        <scheme val="minor"/>
      </rPr>
      <t xml:space="preserve"> si Tamizaje anterior fue </t>
    </r>
    <r>
      <rPr>
        <sz val="11"/>
        <color rgb="FFFF0000"/>
        <rFont val="Calibri"/>
        <family val="2"/>
        <scheme val="minor"/>
      </rPr>
      <t>POSITIVO</t>
    </r>
    <r>
      <rPr>
        <sz val="11"/>
        <rFont val="Calibri"/>
        <family val="2"/>
        <scheme val="minor"/>
      </rPr>
      <t xml:space="preserve">), </t>
    </r>
    <r>
      <rPr>
        <b/>
        <u/>
        <sz val="11"/>
        <rFont val="Calibri"/>
        <family val="2"/>
        <scheme val="minor"/>
      </rPr>
      <t>Diluciones estables</t>
    </r>
    <r>
      <rPr>
        <sz val="11"/>
        <rFont val="Calibri"/>
        <family val="2"/>
        <scheme val="minor"/>
      </rPr>
      <t xml:space="preserve"> (VDRL o RPR seguimiento si tamizaje anterior con PR fue </t>
    </r>
    <r>
      <rPr>
        <b/>
        <u/>
        <sz val="11"/>
        <color rgb="FFFF0000"/>
        <rFont val="Calibri"/>
        <family val="2"/>
        <scheme val="minor"/>
      </rPr>
      <t>POSITIVO y permanece la misma Dilución del Trim anterior</t>
    </r>
    <r>
      <rPr>
        <sz val="11"/>
        <rFont val="Calibri"/>
        <family val="2"/>
        <scheme val="minor"/>
      </rPr>
      <t xml:space="preserve">), </t>
    </r>
    <r>
      <rPr>
        <b/>
        <u/>
        <sz val="11"/>
        <rFont val="Calibri"/>
        <family val="2"/>
        <scheme val="minor"/>
      </rPr>
      <t>Diluciones disminuyen</t>
    </r>
    <r>
      <rPr>
        <sz val="11"/>
        <rFont val="Calibri"/>
        <family val="2"/>
        <scheme val="minor"/>
      </rPr>
      <t xml:space="preserve"> (VDRL o RPR, </t>
    </r>
    <r>
      <rPr>
        <b/>
        <u/>
        <sz val="11"/>
        <color rgb="FFFF0000"/>
        <rFont val="Calibri"/>
        <family val="2"/>
        <scheme val="minor"/>
      </rPr>
      <t>las diluciones con menores comparadas con las del Trim Anterio</t>
    </r>
    <r>
      <rPr>
        <sz val="11"/>
        <rFont val="Calibri"/>
        <family val="2"/>
        <scheme val="minor"/>
      </rPr>
      <t xml:space="preserve">r), </t>
    </r>
    <r>
      <rPr>
        <b/>
        <u/>
        <sz val="11"/>
        <rFont val="Calibri"/>
        <family val="2"/>
        <scheme val="minor"/>
      </rPr>
      <t>Diluciones aumentan</t>
    </r>
    <r>
      <rPr>
        <sz val="11"/>
        <rFont val="Calibri"/>
        <family val="2"/>
        <scheme val="minor"/>
      </rPr>
      <t xml:space="preserve">  (VDRL o RPR, </t>
    </r>
    <r>
      <rPr>
        <b/>
        <u/>
        <sz val="11"/>
        <color rgb="FFFF0000"/>
        <rFont val="Calibri"/>
        <family val="2"/>
        <scheme val="minor"/>
      </rPr>
      <t>las diluciones se elevan comparadas con los resulatdos del trimestre anterior</t>
    </r>
    <r>
      <rPr>
        <sz val="11"/>
        <rFont val="Calibri"/>
        <family val="2"/>
        <scheme val="minor"/>
      </rPr>
      <t>) -</t>
    </r>
    <r>
      <rPr>
        <b/>
        <u/>
        <sz val="11"/>
        <rFont val="Calibri"/>
        <family val="2"/>
        <scheme val="minor"/>
      </rPr>
      <t>NO SE DEBE REGISTAR INFORMACIÓN EN ESTA CASILLA CASO DE INGRESO TARDÍO MAYOR A 28 SEMANAS, O DE HABER TOMADO EL EXAMEN ANTES DE LA SEMANA 12 O DESPUÉS DE LA SEMANA 28</t>
    </r>
  </si>
  <si>
    <r>
      <t xml:space="preserve">Formula automatica: Donde aparece además de la edad gestacional al momento de la toma de la Prueba Rapida, las siguientes alertas: </t>
    </r>
    <r>
      <rPr>
        <b/>
        <u/>
        <sz val="11"/>
        <rFont val="Calibri"/>
        <family val="2"/>
        <scheme val="minor"/>
      </rPr>
      <t>EN ESPERA-ESTÁ I TRIM (Le falta tiempo para la toma del tamizaje), NO APLICA-SALIO DEL PROGRAMA I TRIM (No se toma tamizaje sale antes del II Trim), REGISTRAR EN I TRIMESTRE,REGISTRAR EN III TRIMESTRE (Colocar datos en las columnas que corresponden y quitarlo de esta casilla),EN RANGO PARA TOMAR EXAMEN (Esta dentro del II TRIM de gestación),TOMA INMEDIATA DE TAMIZAJE (Faltan tres semanas para cambio de Trimestre),PIERDE TOMA DE TAMIZAJE (Paso al otro Trim de gestación sin reporte de tamizaje),NO APLICA-INGRESO TARDIO (No se deben registrar datos de Tamizaje)</t>
    </r>
    <r>
      <rPr>
        <sz val="11"/>
        <color theme="1"/>
        <rFont val="Calibri"/>
        <family val="2"/>
        <scheme val="minor"/>
      </rPr>
      <t>. Para apoyar el seguimiento de la gestante y el registro adecuado de información.</t>
    </r>
  </si>
  <si>
    <r>
      <t xml:space="preserve">Lista desplegable segun resultado del Tamizaje soportado en HC y/o resultado de laboratorio de la Prueba rapida de sifilis  tomada en el II  Trimestre de la gestación : P.R Negativa (Prueba Rápida), P.R Positiva Caso Sífilis (Prueba Rápida </t>
    </r>
    <r>
      <rPr>
        <u/>
        <sz val="11"/>
        <color rgb="FFFF0000"/>
        <rFont val="Calibri"/>
        <family val="2"/>
        <scheme val="minor"/>
      </rPr>
      <t>No aplica</t>
    </r>
    <r>
      <rPr>
        <sz val="11"/>
        <rFont val="Calibri"/>
        <family val="2"/>
        <scheme val="minor"/>
      </rPr>
      <t xml:space="preserve"> si Tamizaje anterior fue </t>
    </r>
    <r>
      <rPr>
        <sz val="11"/>
        <color rgb="FFFF0000"/>
        <rFont val="Calibri"/>
        <family val="2"/>
        <scheme val="minor"/>
      </rPr>
      <t>POSITIVO</t>
    </r>
    <r>
      <rPr>
        <sz val="11"/>
        <rFont val="Calibri"/>
        <family val="2"/>
        <scheme val="minor"/>
      </rPr>
      <t xml:space="preserve">), P.R Positiva Cicatriz(Prueba Rápida </t>
    </r>
    <r>
      <rPr>
        <u/>
        <sz val="11"/>
        <color rgb="FFFF0000"/>
        <rFont val="Calibri"/>
        <family val="2"/>
        <scheme val="minor"/>
      </rPr>
      <t>No aplica</t>
    </r>
    <r>
      <rPr>
        <sz val="11"/>
        <rFont val="Calibri"/>
        <family val="2"/>
        <scheme val="minor"/>
      </rPr>
      <t xml:space="preserve"> si Tamizaje anterior fue </t>
    </r>
    <r>
      <rPr>
        <sz val="11"/>
        <color rgb="FFFF0000"/>
        <rFont val="Calibri"/>
        <family val="2"/>
        <scheme val="minor"/>
      </rPr>
      <t>POSITIVO</t>
    </r>
    <r>
      <rPr>
        <sz val="11"/>
        <rFont val="Calibri"/>
        <family val="2"/>
        <scheme val="minor"/>
      </rPr>
      <t xml:space="preserve">), </t>
    </r>
    <r>
      <rPr>
        <b/>
        <u/>
        <sz val="11"/>
        <rFont val="Calibri"/>
        <family val="2"/>
        <scheme val="minor"/>
      </rPr>
      <t>Diluciones estables</t>
    </r>
    <r>
      <rPr>
        <sz val="11"/>
        <rFont val="Calibri"/>
        <family val="2"/>
        <scheme val="minor"/>
      </rPr>
      <t xml:space="preserve"> (VDRL o RPR seguimiento si tamizaje anterior con PR fue </t>
    </r>
    <r>
      <rPr>
        <b/>
        <u/>
        <sz val="11"/>
        <color rgb="FFFF0000"/>
        <rFont val="Calibri"/>
        <family val="2"/>
        <scheme val="minor"/>
      </rPr>
      <t>POSITIVO y permanece la misma Dilución del Trim anterior</t>
    </r>
    <r>
      <rPr>
        <sz val="11"/>
        <rFont val="Calibri"/>
        <family val="2"/>
        <scheme val="minor"/>
      </rPr>
      <t xml:space="preserve">), </t>
    </r>
    <r>
      <rPr>
        <b/>
        <u/>
        <sz val="11"/>
        <rFont val="Calibri"/>
        <family val="2"/>
        <scheme val="minor"/>
      </rPr>
      <t>Diluciones disminuyen</t>
    </r>
    <r>
      <rPr>
        <sz val="11"/>
        <rFont val="Calibri"/>
        <family val="2"/>
        <scheme val="minor"/>
      </rPr>
      <t xml:space="preserve"> (VDRL o RPR, </t>
    </r>
    <r>
      <rPr>
        <b/>
        <u/>
        <sz val="11"/>
        <color rgb="FFFF0000"/>
        <rFont val="Calibri"/>
        <family val="2"/>
        <scheme val="minor"/>
      </rPr>
      <t>las diluciones con menores comparadas con las del Trim Anterio</t>
    </r>
    <r>
      <rPr>
        <sz val="11"/>
        <rFont val="Calibri"/>
        <family val="2"/>
        <scheme val="minor"/>
      </rPr>
      <t xml:space="preserve">r), </t>
    </r>
    <r>
      <rPr>
        <b/>
        <u/>
        <sz val="11"/>
        <rFont val="Calibri"/>
        <family val="2"/>
        <scheme val="minor"/>
      </rPr>
      <t>Diluciones aumentan</t>
    </r>
    <r>
      <rPr>
        <sz val="11"/>
        <rFont val="Calibri"/>
        <family val="2"/>
        <scheme val="minor"/>
      </rPr>
      <t xml:space="preserve">  (VDRL o RPR, </t>
    </r>
    <r>
      <rPr>
        <b/>
        <u/>
        <sz val="11"/>
        <color rgb="FFFF0000"/>
        <rFont val="Calibri"/>
        <family val="2"/>
        <scheme val="minor"/>
      </rPr>
      <t>las diluciones se elevan comparadas con los resulatdos del trimestre anterior</t>
    </r>
    <r>
      <rPr>
        <sz val="11"/>
        <rFont val="Calibri"/>
        <family val="2"/>
        <scheme val="minor"/>
      </rPr>
      <t>) -</t>
    </r>
    <r>
      <rPr>
        <b/>
        <u/>
        <sz val="11"/>
        <rFont val="Calibri"/>
        <family val="2"/>
        <scheme val="minor"/>
      </rPr>
      <t>NO SE DEBE REGISTAR INFORMACIÓN EN ESTA CASILLA CASO DE HABER TOMADO EL EXAMEN ANTES DE LA SEMANA 28.</t>
    </r>
  </si>
  <si>
    <r>
      <t xml:space="preserve">Formula automatica: Donde aparece además de la edad gestacional al momento de la toma de la Prueba Rapida, las siguientes alertas: </t>
    </r>
    <r>
      <rPr>
        <b/>
        <u/>
        <sz val="11"/>
        <rFont val="Calibri"/>
        <family val="2"/>
        <scheme val="minor"/>
      </rPr>
      <t>EN ESPERA-ESTÁ I TRIM O II TRIM (Le falta tiempo para la toma del tamizaje), NO APLICA-SALIO DEL PROGRAMA I O II TRIM (No se toma tamizaje sale antes del II Trim), REGISTRAR EN I TRIMESTRE,REGISTRAR EN II TRIMESTRE (Colocar datos en las columnas que corresponden y quitarlo de esta casilla),EN RANGO PARA TOMAR EXAMEN (Esta dentro del II TRIM de gestación),TOMA INMEDIATA DE TAMIZAJE (Faltan tres semanas para cambio de Trimestre),PIERDE TOMA DE TAMIZAJE (Llega al parto sin reporte de tamizaje),NO APLICA-SIN CPN (No se deben registrar datos de Tamizaje)</t>
    </r>
    <r>
      <rPr>
        <sz val="11"/>
        <color theme="1"/>
        <rFont val="Calibri"/>
        <family val="2"/>
        <scheme val="minor"/>
      </rPr>
      <t>. Para apoyar el seguimiento de la gestante y el registro adecuado de información.</t>
    </r>
  </si>
  <si>
    <r>
      <t xml:space="preserve">Formula Automatica que reporta los casos de </t>
    </r>
    <r>
      <rPr>
        <u/>
        <sz val="11"/>
        <color rgb="FFFF0000"/>
        <rFont val="Calibri"/>
        <family val="2"/>
        <scheme val="minor"/>
      </rPr>
      <t>sifilis gestacional</t>
    </r>
    <r>
      <rPr>
        <sz val="11"/>
        <color theme="1"/>
        <rFont val="Calibri"/>
        <family val="2"/>
        <scheme val="minor"/>
      </rPr>
      <t xml:space="preserve"> que se presenten independiente del trimestre de gestación en que se diagnostique</t>
    </r>
  </si>
  <si>
    <t>Aparece la siguiente lista desplegable: NO APLICA (Sin factor de riesgo);NEGATIVO (Resultado del examen);POSITIVO (Resultado del examen);INDETERMINADO(Resultado del examen);SOLICICTADO Y NO TOMADO</t>
  </si>
  <si>
    <t>Fecha en D M A del Resultado del la Prueba ELISA para detección de anticuerpos IgG anti T. cruzi de antígenos totales para Chagas</t>
  </si>
  <si>
    <t>NO APLICA (Sin factor de riesgo, no zona endémica);NEGATIVO; POSITIVO;SOLICITADO NO TOMADO</t>
  </si>
  <si>
    <t>Fecha en D M A del Resultado del la Prueba Gota Gruesa para Malaría aplicada en zonas endémicas o en gestantes con factores de riesgo</t>
  </si>
  <si>
    <t>Lista desplegable según correponda. Se debe colocar el número de pruebas para gota gruesa realizadas (1 mensual), soportados en HC de cero (0) a Nueve (9). Se coloca NO APLICA: En caso de que la columna HF Y HH indique " NO APLICA".</t>
  </si>
  <si>
    <t>Listado desplegable, opciones de diagnóstico semaforizado para SARS CoV2. Elegir entre las opciones, no dejar en blanco  SIN INFECCIÓN POR SARS-CoV2; NO SE EVALUA RIESGO INFECCIÓN COVID19; FACTOR DE RIESGO PARA COVID19; COVID19 PRIMER TRIMESTRE;  COVID19 SEGUNDO TRIMESTRE;  COVID19 TERCER TRIMESTRE;  COVID19 PUERPERIO</t>
  </si>
  <si>
    <t>Elegir la opción que corresponda frente al inicio del trabajo de parto: INICIO ESPONTÁNEO (Opción básica para baja complejidad); LE HACEN INDUCCIÓN (Para nivel complementario); LE HACEN CESÁREA SIN INICIO TRABAJO DE PARTO (Puede corresponder a casos de cesáreas programadas);SIN DATO</t>
  </si>
  <si>
    <t>FECHA DE CONCERTACIÓN PLAN DE PARTO (Soporte HC)</t>
  </si>
  <si>
    <t>PROCESO COMPLETO DE ATENCIÓN: Debe incluir con soporte en HC de: Consulta inicial con formulación de laboratorios, Consulta de control con manejo según protocolo - al menos 3 meses antes de la FUM. PROCESO PARCIAL DE ATENCIÓN: No completa todas las actividades que se definene parael proceso completo SIN ATENCIÓN: Cuando el proceso de atención ha sido incompleto o no se ha realizado.  SIN DATO: No se tiene información clara del proceso</t>
  </si>
  <si>
    <r>
      <t xml:space="preserve">Aparece </t>
    </r>
    <r>
      <rPr>
        <sz val="11"/>
        <color rgb="FFFF0000"/>
        <rFont val="Calibri"/>
        <family val="2"/>
        <scheme val="minor"/>
      </rPr>
      <t>lista desplegable</t>
    </r>
    <r>
      <rPr>
        <sz val="11"/>
        <color theme="1"/>
        <rFont val="Calibri"/>
        <family val="2"/>
        <scheme val="minor"/>
      </rPr>
      <t xml:space="preserve"> del 0 al 7 - Elija el número de sesiones realizadas a la gestante y su familia, según corresponda - Casilla debe ser actualizada cada nueva sesión.</t>
    </r>
  </si>
  <si>
    <t>Formula Automatica con las opciones : MES DE CONTROL, SEMANA DE CONTROL, DIA DE CONTROL, INASISTENTE, SEGUIMIENTO FUERA MUNICIPIO, BUSCAR PARA INGRESO A CPN; DILIGENCIAR FECHA SALIDA PROGRAMA</t>
  </si>
  <si>
    <t>Formula Automatica con las opciones : MES DE CONTROL, SEMANA DE CONTROL, DIA DE CONTROL, INASISTENTE, SEGUIMIENTO FUERA MUNICIPIO, BUSCAR PARA INGRESO A CPN;DILIGENCIAR FECHA SALIDA PROGRAMA</t>
  </si>
  <si>
    <r>
      <t>Formula que muestra las siguiente alertas: .- "EN ESPERA PARA VACUNAR"; Mujeres con edad gestacional menor a 20 semanas, aun no aplican para la Vacuna. "COLOCAR VACUNA"; Mujeres entre semana 20 a 26, se les aplica vacuna S</t>
    </r>
    <r>
      <rPr>
        <u/>
        <sz val="11"/>
        <color theme="1"/>
        <rFont val="Calibri"/>
        <family val="2"/>
        <scheme val="minor"/>
      </rPr>
      <t>EGÚN LINEAMIENTOS DE VACUNACIÓN PARA DPT ACELULAR</t>
    </r>
    <r>
      <rPr>
        <sz val="11"/>
        <color theme="1"/>
        <rFont val="Calibri"/>
        <family val="2"/>
        <scheme val="minor"/>
      </rPr>
      <t>". .- "INASISTENTE"; Mujer con mas de 26 semanas de gestación sin vacuna DPT acelular. .- "VACUNA APLICADA CON OPORTUNIDAD"; Mujer vacunada en el intervalo de 20 a 26 semanas según lineamientos de vacunación. .- "VACUNA APLICADA FUERA DE RANGO"; Mujer vacunada despue de la semana 26. .- "SALE SIN VACUNA"; Mujer que ya salio del programa por parto o cesárea, sin vacuna DPT acelular.</t>
    </r>
  </si>
  <si>
    <t>NÚMERO DE GESTANTES QUE SALEN CON PLANIFICACIÓN POST EVENTO OBSTÉTRICO ATENDIDAS EN BAJA COMPELJIDAD</t>
  </si>
  <si>
    <t>PRESENTACION DEL FETO - ACTUALIZAR DESPUÉS DE LA SEMANA 32</t>
  </si>
  <si>
    <t>ALERTA DE PLAN DE PARTO</t>
  </si>
  <si>
    <t>Número muertes perinales/neonatales tempranas y tardías</t>
  </si>
  <si>
    <t># Gestantes con 37 o más semanas de gestación al momento del parto</t>
  </si>
  <si>
    <t># Gestantes con 37 o más semanas de gestación al momento del parto y con 7 sesiones del curso de maternidad y paternidad</t>
  </si>
  <si>
    <t># Gestantes con 37 o más semanas de gestación al momento del parto y con plan de parto establecido</t>
  </si>
  <si>
    <t>CURSO DE MATERNIDAD Y PATERNIDAD</t>
  </si>
  <si>
    <t>Relación Morbilidad Materna Extrema(MME) / Muerte Materna temprana (MM)</t>
  </si>
  <si>
    <t xml:space="preserve">Índice de mortalidad materna de los casos de MME </t>
  </si>
  <si>
    <t>Número de casos de Muerte Materna Temprana</t>
  </si>
  <si>
    <t>(Morbilidad Materna Extrema(MME) + Muerte Materna temprana (MM))</t>
  </si>
  <si>
    <t xml:space="preserve">CONTACTO PIEL A PIEL DURANTE MÍNIMO 30 MINUTOS </t>
  </si>
  <si>
    <t>INICIO DE LACTANCIA MATERNA DURANTE EL CONTACTO PIEL A PIEL O EN LA PRIMERA HORA DE VIDA</t>
  </si>
  <si>
    <t>Proporción de gestantes con valoración de la salud bucal</t>
  </si>
  <si>
    <t xml:space="preserve">Número de mujeres atendidas en la baja complejidad que durante el alumbramiento reciben 10 unidades de oxitocina </t>
  </si>
  <si>
    <t xml:space="preserve">Número de mujeres atendidas en nivel complementario que durante el alumbramiento reciben 10 unidades de oxitocina </t>
  </si>
  <si>
    <t>Porcentaje de partos con manejo activo del tercer período de parto en nivel complementario</t>
  </si>
  <si>
    <t xml:space="preserve"># DE TAMIZAJES SIFILIS TOMADOS </t>
  </si>
  <si>
    <t xml:space="preserve"># DE TAMIZAJES VIH TOMADOS </t>
  </si>
  <si>
    <t>FECHA RESULTADO TAMIZAJE VIH I TRIMESTRE</t>
  </si>
  <si>
    <t>FECHA RESULTADO TAMIZAJE VIH II TRIM</t>
  </si>
  <si>
    <t>FECHA RESULTADO TAMIZAJE VIH III TRIM</t>
  </si>
  <si>
    <t>Lista despleglable según corresponda:  .- "ADECUADO SEGÚN GPC" : Revisar condiciones GPC, dar 300 mg al día y en caso de dx de anemia o hemoglobina menor de 11,5 mg/dl dar 2 tabletas al día. en semanas de gestació, dosis y/o restricciones.  .- "SUMINSTRO IRREGULAR": NO Aparece sopore de la formulación de este micronutriente en todos los controles y no hay contraindicación. .- "NO SE FORMULA" : No hay soporte de la formulación de este micronutriente en ningún control y no hay contraindicación. .- "SUMINISTRO DE OTRO COMPLEMENTO NUTRICIONAL" Cuando aparece el soporte en la HC de que la mujer esta consumiento otro tipo de complemento en vez del micronutriente. SIN DATO: En la HC no se soporta de una forma adecuada la formulación de micronutrientes, no hay dato de dosis, se utilizan siglas o no hay soporte alguno de que se formulo. NO APLICA: Por tener resultado de hemoglobina mayor a 14 mg/dl.</t>
  </si>
  <si>
    <t>MONITORIA CADA 15 MINUTOS DE SIGNOS VITALES DURANTES LAS PRIMERAS DOS HORAS POSTPARTO (SOPORTE EN HC - 8 VALORACIONES EN LAS PRIMERAS 2 HORAS)</t>
  </si>
  <si>
    <t xml:space="preserve"> EVENTO DE INTERES EN SALUD PÚBLICA DE LA MADRE</t>
  </si>
  <si>
    <t xml:space="preserve"> EVENTO DE INTERES EN SALUD PÚBLICA DEL RECIÉN NACIDO2</t>
  </si>
  <si>
    <t>Registre el nombre la Institucion donde se atendio el parto, aborto o IVE. En el caso de los partos en DOMICILIO o extrainstitucionales se debe colocar "NO APLICA"</t>
  </si>
  <si>
    <t>Lista despleglable según corresponda:  .- "ADECUADO SEGÚN GPC" : Revisar condiciones GPC, iniciar formulación a partir de semana 12 (1200 mg - 2 tabletas al día) en semanas de gestació, dosis y/o restricciones.  .- "SUMINSTRO IRREGULAR": NO Aparece sopore de la formulación de este micronutriente en todos los controles a partir de la semana 12. .- "NO SE FORMULA" : No hay soporte de la formulación de este micronutriente en ningún control realizado a partir de la semana 14. .- "SUMINISTRO DE OTRO COMPLEMENTO NUTRICIONAL" Cuando aparece al soporte en la HC de que la mujer esta consumiento otro tipo de complemento en vez del micronutriente. .- SIN DATO: En la HC no se soporta de una forma adecuada la formulación de micronutrientes, no hay dato de dosis, se utilizan siglas o no hay soporte alguno de que se formulo. NO APLICA: Por tener edad gestacional menor a 12 semanas</t>
  </si>
  <si>
    <t>Lista desplegable según corresponda. Se coloca "SD": si en la columna HO aparece alguna alerta de "Riesgo de complicaciones Hipertensivas" y NO APLICA: Si  la columna HO aparece "Sin atecedentes de riesgo".</t>
  </si>
  <si>
    <t>REQUIRIO MANEJO ODONTOLOGICO DURANTE LA GESTACIÓN</t>
  </si>
  <si>
    <t>Lista desplegable según corresponda. SI: Cuando a la valoración odontológica requiere manejo. NO: Cuando a la valoración odontológica no require manejo. SD: cuando no ha recibido valoración odontologica o no hay información sobre manejo o no odontológico en la HC</t>
  </si>
  <si>
    <t>Porcentaje de partos con manejo activo del tercer período de parto en nivel primario</t>
  </si>
  <si>
    <t>ATENCION INSTITUCIONAL DEL PARTO NIVEL PRIMARIO</t>
  </si>
  <si>
    <t>% ATENCIÓN PARTO EN NIVEL PRIMARIO</t>
  </si>
  <si>
    <t>% DE GESTANTES CON PLANIFICACIÓN POST EVENTO OBSTERICO NIVEL PRIMARIO</t>
  </si>
  <si>
    <t>% DE GESTANTES CON PLANIFICACIÓN POST EVENTO OBSTERICO NIVEL COMPLEMENTARIO</t>
  </si>
  <si>
    <t>NÚMERO DE GESTANTES QUE SALEN CON PLANIFICACIÓN POST EVENTO OBSTÉTRICO ATENDIDAS EN NIVEL COMPLEMENTARIO</t>
  </si>
  <si>
    <t xml:space="preserve">% MUJERES GESTANTES CON ATENCIÓN PRECONCEPCIONAL </t>
  </si>
  <si>
    <t>Mujeres gestantes que han realizado proceso completo de atención preconcepcional</t>
  </si>
  <si>
    <t>Proporción de gestantes de alto riesgo con al menos una atención prenatal realizada por especialista</t>
  </si>
  <si>
    <t>Número de mujeres gestantes de alto riesgo según mes de ingreso que han tenido al menos una consulta con ginecologo</t>
  </si>
  <si>
    <t># DE TAMIZAJES VIH Y SIFILIS A TOMAR SEGÚN TRIM INICIO CPN Y SALIDA DEL PROGRAMA</t>
  </si>
  <si>
    <t>COMPLICACIONES POSTPARTO - HASTA 42 DÍAS</t>
  </si>
  <si>
    <t>Proporción de gestantes que terminan gestación con tamizaje para sífilis completo según Trimestre de ingreso y salida de la atención prental</t>
  </si>
  <si>
    <t>Número de mujeres que terminan gestación por cualquier causa</t>
  </si>
  <si>
    <t>Número de mujeres que terminan gestación por cualquier causa y tienen Tamizaje completo de Sífilis según edad gestacional de ingreso y salida de la ruta</t>
  </si>
  <si>
    <t>Alarma de apoyo Tamizaje Sífilis</t>
  </si>
  <si>
    <t>Alarma de apoyo Tamizaje VIH</t>
  </si>
  <si>
    <t>Número de mujeres que terminan gestación por cualquier causa y tienen Tamizaje completo de VIH según edad gestacional de ingreso y salida de la ruta</t>
  </si>
  <si>
    <t xml:space="preserve">Proporción de gestantes con tamizaje para VIH </t>
  </si>
  <si>
    <t xml:space="preserve">Número de mujeres gestantes de alto riesgo según mes de ingreso </t>
  </si>
  <si>
    <t>Número de gestantes que acceden a consulta por profesional de odontología durante la etapa prenatal que han tenido parto a término</t>
  </si>
  <si>
    <t>FECHA VACUNA TD</t>
  </si>
  <si>
    <t>Número de partos en los que se diligencia el partograma en el nivel primario</t>
  </si>
  <si>
    <t>Número de gestantes con atención de parto, que aplican para diligenciamiento de partograma en el nivel primario</t>
  </si>
  <si>
    <t>Porcentaje de partos en los que se diligencia el partograma del total de partos atendidos  nivel primario</t>
  </si>
  <si>
    <t>Número de partos en los que se diligencia el partograma en el nivel complementario</t>
  </si>
  <si>
    <t>Número de gestantes con atención de parto, que aplican para diligenciamiento de partograma en el nivel complementario</t>
  </si>
  <si>
    <t>Porcentaje de partos en los que se diligencia el partograma del total de partos atendidos en el nivel complementario</t>
  </si>
  <si>
    <t># DE MUJERES CON SUMINISTRO ADECUADO DE MICRONUTRIENTES</t>
  </si>
  <si>
    <t>AIC</t>
  </si>
  <si>
    <t>ACTIVA EN CPN ALTO RIESGO</t>
  </si>
  <si>
    <t>ACTIVA EN CPN ALTO RIESGO CON CONSULTA GINECOLOGIA</t>
  </si>
  <si>
    <t>NÚMERO DE GESTANTES ATENDIDAS EN MEDIANA Y ALTA COMPLEJIDAD QUE SALEN DEL PROGRAMA POR CUALQUIER CAUSA</t>
  </si>
  <si>
    <t>Número de mujeres gestantes con atención de parto o cesárea en nivel complementario</t>
  </si>
  <si>
    <t>Proporcion de gestantes con asesoria en anticoncepción durante el CPN</t>
  </si>
  <si>
    <t>Cobertura de gestantes con consulta de nutrición gestaciones a término</t>
  </si>
  <si>
    <t>Número de gestantes que acceden a consulta por profesional de nutrición y dietética durante la etapa prenatal con gestaciones a término</t>
  </si>
  <si>
    <t>Proporción de mujeres con suministro adecuado de micronutrientes que salen del programa por parto o cesárea</t>
  </si>
  <si>
    <t>Número de mujeres con suministro adecuado de micronutrientes según la GPC que salen del programa por parto o cesárea</t>
  </si>
  <si>
    <t>ACTIVA CON SUMINISTRO ADECUADO DE MICRONUTRIENTES</t>
  </si>
  <si>
    <t>EPS</t>
  </si>
  <si>
    <t xml:space="preserve">Proporción de mujeres que reciben consulta de control del puerperio </t>
  </si>
  <si>
    <t xml:space="preserve">Número de mujeres que reciben atención del puerperio entre el tercer y quinto día posparto </t>
  </si>
  <si>
    <t xml:space="preserve">Proporción de recién nacidos con atención para el seguimiento entre 3 y 5 días </t>
  </si>
  <si>
    <t>Número de recién nacidos que reciben atención para el seguimiento entre el tercer y quinto día después de su nacimiento</t>
  </si>
  <si>
    <t>Proporcion de mujeres gestantes que terminan su gestación con parto o cesáres vacunadas con DPT Acelular</t>
  </si>
  <si>
    <t>Número de mujeres gestantes que terminan su gestación con parto o cesáres vacunadas con DPT Acelular</t>
  </si>
  <si>
    <t>Alarma apoyo DPT Acelular vacunadas</t>
  </si>
  <si>
    <t>Número de mujeres gestantes que terminan su gestación con parto o cesáres vacunadas con Anti Influenza</t>
  </si>
  <si>
    <t>Proporcion de mujeres gestantes que terminan su gestación con parto o cesáres vacunadas con Anti Influenza</t>
  </si>
  <si>
    <t>Número de mujeres gestantes que terminan su gestación con parto o cesáres vacunadas con Anti COVID19 2 DOSIS</t>
  </si>
  <si>
    <t>Proporcion de mujeres gestantes que terminan su gestación con parto o cesáres vacunadas con Anti COVID19 2 DOSIS</t>
  </si>
  <si>
    <t>Número de mujeres gestantes que terminan su gestación con parto o cesáres vacunadas con TD</t>
  </si>
  <si>
    <t>Proporcion de mujeres gestantes que terminan su gestación con parto o cesáres vacunadas con TD</t>
  </si>
  <si>
    <t>Porcentaje de partos con monitoría de signos vitales (cada 15 minutos) durante el puerperio inmediato en nivel primario</t>
  </si>
  <si>
    <t>Porcentaje de partos con monitoría de signos vitales (cada 15 minutos) durante el puerperio inmediato en nivel complementario</t>
  </si>
  <si>
    <t>Número demujeres en posparto con monitoría de signos vitales (cada 15 minutos) durante el puerperio inmediato en nivel primario</t>
  </si>
  <si>
    <t>Número demujeres en posparto con monitoría de signos vitales (cada 15 minutos) durante el puerperio inmediato en nivel complementario</t>
  </si>
  <si>
    <t>ACTIVA CON TAMIZAJE DE SÍFILIS COMPLETO A LA EDAD GESTACIONAL</t>
  </si>
  <si>
    <t>TOTAL BASE</t>
  </si>
  <si>
    <t>ACTIVA EN CPN ENTRE SEMANA 37 Y 42</t>
  </si>
  <si>
    <t>ACTIVA ENTRE SEMANA 37 Y 42  CON PLAN DE PARTO ESTABLECIDO</t>
  </si>
  <si>
    <t>ACTIVA CON TAMIZAJE DE VIH COMPLETO A LA EDAD GESTACIONAL</t>
  </si>
  <si>
    <t>Proporcion de gestantes con Plan de parto establecido a las 37 o más semanas al momento del parto</t>
  </si>
  <si>
    <t>% Cobertura de gestantes con asistencia a curso de preparación de la maternidad y la paternidad (7 sesiones) que tiene 37 o más semanas al momento del parto</t>
  </si>
  <si>
    <t>NÚMERO DE PARTOS VAGINALES</t>
  </si>
  <si>
    <t>NÚMERO DE PARTOS POR CESÁREAS</t>
  </si>
  <si>
    <t>Número de gestantes que reciben asesoría en anticoncepción durante la gestación reportadas por Historía Clínica</t>
  </si>
  <si>
    <t>Número de gestantes que reciben consejeria en lactancia materna durante la gestación reportadas por Historia Clínica y que salen del programa por parto o cesárea</t>
  </si>
  <si>
    <t>Proporción de gestantes con consejería de lactancia materna durante la gestación que han salido del programa por parto o cesárea</t>
  </si>
  <si>
    <t>Número de mujeres que tienen soporte en Historia Clínica de haber iniciado lactancia materna en la primera hora de nacido nivel primario</t>
  </si>
  <si>
    <t>Número de mujeres que tienen soporte en Historia Clinica de haber iniciado lactancia materna en la primera hora de nacido nivel complementario</t>
  </si>
  <si>
    <t>Porcentaje de mujeres que tienen reporte por Historia Clinica de haber iniciado lactancia materna al recién nacido en la primera hora después del nacimiento nivel complementario</t>
  </si>
  <si>
    <t>Porcentaje de mujeres que tienen reporte por Historia Clínica de haber iniciado lactancia materna al recién nacido en la primera hora después del nacimiento nivel primario</t>
  </si>
  <si>
    <t>ACTIVA ENTRE SEMANA 37 Y 42  CON VACUNACIÓN PARA DPT ACELULAR</t>
  </si>
  <si>
    <t>NO USAR FILA 2</t>
  </si>
  <si>
    <t>FECHA RESULTADO I TRIM</t>
  </si>
  <si>
    <t> Total de mujeres gestantes captadas a semana 12</t>
  </si>
  <si>
    <t>CAPTACIÓN A SEMANA 12</t>
  </si>
  <si>
    <t>% CAPTACIÓN GENERAL ANTES  SEMANA 10</t>
  </si>
  <si>
    <t xml:space="preserve"> Total de mujeres gestantes captadas antes de las 10 ss  x </t>
  </si>
  <si>
    <t>USO DE SUSTANCIAS PSICOACTIVAS</t>
  </si>
  <si>
    <t>NIVEL SOCIO ECONOMICO BAJO</t>
  </si>
  <si>
    <t>ANTECEDENTE. PESO BEBE MAYOR A 4000</t>
  </si>
  <si>
    <t>ANTECEDENTE. PESO BEBE MENOR A  2500</t>
  </si>
  <si>
    <t>ANTECEDENTE EMBARAZO ECTOPICO, RECANALIZACION DE TROMPAS O CX UTERINA (MIOMECTOMIA)</t>
  </si>
  <si>
    <t xml:space="preserve">EMB ACTUAL REPRODUCCIÓN ASISTIDA </t>
  </si>
  <si>
    <t>FUM x AMENORREA</t>
  </si>
  <si>
    <t>EN EMB. ACTUAL  RESTRICCIÓN DEL CRECIMIENTO INTRAUTERINO</t>
  </si>
  <si>
    <t>ACUERDO POSIBLE LUGAR DE NACIMIENTO (SEGÚN PLAN DE PARTO)</t>
  </si>
  <si>
    <t>ACTUAL</t>
  </si>
  <si>
    <t>Acumulado</t>
  </si>
  <si>
    <t>v23.03</t>
  </si>
  <si>
    <t>VACUNACION COVID19</t>
  </si>
  <si>
    <t>Tipo de ECO 1</t>
  </si>
  <si>
    <t>Tipo de ECO 2</t>
  </si>
  <si>
    <t>POBLACIÓN INMIGRANTE</t>
  </si>
  <si>
    <t>% CAPTACIÓN POBLACIÓN INMIGRANTE</t>
  </si>
  <si>
    <t>Mujeres gestantes inmigrantes que ingresan al progama</t>
  </si>
  <si>
    <t> Total de mujeres gestantes inmigrantes captadas  antes de las 10 semanas</t>
  </si>
  <si>
    <t>Mujeres gestantes que ingresan al progama (No incluye Población Inmigrante)</t>
  </si>
  <si>
    <t>ANTECEDENTE PARTO PRETERMINO</t>
  </si>
  <si>
    <t>ANTECEDENTE. PLACENTA PREVIA, ABRUPTIO DE PLACENTA, RETENCION PLACENTARIA, O HEMORRAGIA POSTPARTO</t>
  </si>
  <si>
    <t>EN EMB ACTUAL ANOMALIA CONGÉNITA</t>
  </si>
  <si>
    <t>TIENE EPILEPSIA</t>
  </si>
  <si>
    <t>RESULTADO DE HEMOCLASIFICACIÓN RH Y RIESGO DE ISOINMUNIZACIÓN</t>
  </si>
  <si>
    <t>FECHA RESULTADO DE HEMOCLASIFICACIÓN RH Y RIESGO DE ISOINMUNIZACIÓN</t>
  </si>
  <si>
    <t>EDAD GESTACIONAL HEMOCLASIFICACIÓN RH</t>
  </si>
  <si>
    <t>OBITO MUERTE PERINAT Y NEONATAL TARDIA</t>
  </si>
  <si>
    <t>PUNTAJE VIH DX ACTUAL O ANTIGUO RBPS3</t>
  </si>
  <si>
    <t>TIENE VIH PRE GESTACIONAL</t>
  </si>
  <si>
    <t>RESULTADO HEMOGLOBINA INGRESO, ANTES DEL III TRIMESTRE</t>
  </si>
  <si>
    <t>SEMANAS DE GESTACION ULTIMO CPN</t>
  </si>
  <si>
    <t>IMC ÚLTIMO CPN</t>
  </si>
  <si>
    <t>CLASIFICACION SEGÚN CURVA ATALAH - ÚLTIMO CPN</t>
  </si>
  <si>
    <t>PESO EN Kg INGRESO O PRE GESTACIONAL</t>
  </si>
  <si>
    <t>FORMULA APOYO SEM GEST INICIO</t>
  </si>
  <si>
    <t>Menor</t>
  </si>
  <si>
    <t>CLASIFICACION NUTRICIONAL INGRESO</t>
  </si>
  <si>
    <t>MOMENTO EN QUE SE REALIZA EL PESO AL INGRESO A CPN</t>
  </si>
  <si>
    <t>ALARMA ALTURA UTERINA</t>
  </si>
  <si>
    <t>ALARMA 3 T.A SEMANA 30 A 34</t>
  </si>
  <si>
    <t>FECHA DEL ÚLTIMO CONTROL</t>
  </si>
  <si>
    <r>
      <t xml:space="preserve">ALTURA UTERINA  (En cm) </t>
    </r>
    <r>
      <rPr>
        <sz val="10"/>
        <color rgb="FFFF0000"/>
        <rFont val="Calibri"/>
        <family val="2"/>
        <scheme val="minor"/>
      </rPr>
      <t>ACTUALIZAR CADA MES</t>
    </r>
  </si>
  <si>
    <t>ALARMA T. A. MENSUAL</t>
  </si>
  <si>
    <t>FORMULA APOYO SEM GEST ÚLTIMO CPN</t>
  </si>
  <si>
    <t>FECHA INICIO DE SUMINISTRO DE ASA</t>
  </si>
  <si>
    <t>ALERTA SUMINISTRO DE ASA</t>
  </si>
  <si>
    <t>Lista despleglable según corresponda:  .- "ADECUADO SEGÚN GPC" : Revisar condiciones GPC, si hay antecedente de hijo anterior con defecto de tubo neural, consumo de anticonvulsivante y obesidad materna morbida IMC mayor o igual a 35 se debe incrementar la dosis a 4 mcgr al día - para las demás 1 mcgr al día. en semanas de gestació, dosis y/o restricciones.  .- "SUMINSTRO IRREGULAR": NO Aparece sopore de la formulación de este micronutriente en todos los controles especialmente antes de la semana 14. .- "NO SE FORMULA" : No hay soporte de la formulación de este micronutriente en ningún control realizado antes de de la semana 14. .- "SUMINISTRO DE OTRO COMPLEMENTO NUTRICIONAL" Cuando aparece el soporte en la HC de que la mujer esta consumiento otro tipo de complemento en vez del micronutriente. SIN DATO: En la HC no se soporta de una forma adecuada la formulación de micronutrientes, no hay dato de dosis, se utilizan siglas o no hay soporte alguno de que se formulo. NO APLICA: Ingreso después de la semana 12</t>
  </si>
  <si>
    <r>
      <t xml:space="preserve">PESO EN Kg  </t>
    </r>
    <r>
      <rPr>
        <sz val="11"/>
        <color rgb="FFFF0000"/>
        <rFont val="Calibri"/>
        <family val="2"/>
        <scheme val="minor"/>
      </rPr>
      <t>(ACTUALIZAR CADA MES)</t>
    </r>
  </si>
  <si>
    <r>
      <t>TA SISTOLICA (</t>
    </r>
    <r>
      <rPr>
        <sz val="11"/>
        <color rgb="FFFF0000"/>
        <rFont val="Calibri"/>
        <family val="2"/>
        <scheme val="minor"/>
      </rPr>
      <t>ACTUALIZAR CADA MES)</t>
    </r>
  </si>
  <si>
    <r>
      <t>TA DIASTOLICA (</t>
    </r>
    <r>
      <rPr>
        <sz val="11"/>
        <color rgb="FFFF0000"/>
        <rFont val="Calibri"/>
        <family val="2"/>
        <scheme val="minor"/>
      </rPr>
      <t>ACTUALIZAR CADA MES)</t>
    </r>
  </si>
  <si>
    <r>
      <rPr>
        <sz val="11"/>
        <color rgb="FFFF0000"/>
        <rFont val="Calibri"/>
        <family val="2"/>
        <scheme val="minor"/>
      </rPr>
      <t>Lista desplegable</t>
    </r>
    <r>
      <rPr>
        <sz val="11"/>
        <color theme="1"/>
        <rFont val="Calibri"/>
        <family val="2"/>
        <scheme val="minor"/>
      </rPr>
      <t xml:space="preserve"> Elegir de acuerdo a las condiciones visibles o manifestadas por la gestante: Desplazada, </t>
    </r>
    <r>
      <rPr>
        <sz val="11"/>
        <color rgb="FFFF0000"/>
        <rFont val="Calibri"/>
        <family val="2"/>
        <scheme val="minor"/>
      </rPr>
      <t>Habitante de Calle</t>
    </r>
    <r>
      <rPr>
        <sz val="11"/>
        <color theme="1"/>
        <rFont val="Calibri"/>
        <family val="2"/>
        <scheme val="minor"/>
      </rPr>
      <t>,Migratoria,Ninguna, Discapacitad Fisica, Disapacidad conductual, discapacidad auditiva, discapacidad visual, discapacidades multiples, discapacidad sistemica.</t>
    </r>
  </si>
  <si>
    <t xml:space="preserve">Registre el peso en Kilogramos pregestacional o de la consulta de ingreso a la atención prenatal. </t>
  </si>
  <si>
    <t>Formula que regista automáticamente la fecha del último control, a partir del dato registrado en las columnas de fecha de controles.</t>
  </si>
  <si>
    <t>PESO EN Kg  (ACTUALIZAR CADA MES)</t>
  </si>
  <si>
    <t xml:space="preserve">Formula Automatica del Indice de Masa Corporal según datos registrados de Peso que debe actualizarse cada mes y talla </t>
  </si>
  <si>
    <t>Formula Automática de las semanas de gestación según el dato de fecha del último control</t>
  </si>
  <si>
    <t>Registre en numeros la TA Sistolica cada mes</t>
  </si>
  <si>
    <t>Registre en numeros la TA Diastolica cada mes</t>
  </si>
  <si>
    <t>Lista desplegable: Sin Acuerdo; Domiciliario; IPS dentro Mpio; IPS Remisión fuera Mpio; Sin Dato</t>
  </si>
  <si>
    <t>Mayor</t>
  </si>
  <si>
    <t>Edad Gestacional, suministro de ASA</t>
  </si>
  <si>
    <t>FUM ELEGIDA</t>
  </si>
  <si>
    <t>EN EMB. ACTUAL RCIU" por "EN EMB. ACTUAL RESTRICCIÓN DEL CRECIMIENTO INTRAUTERINO</t>
  </si>
  <si>
    <t>FECHA APLICACIÓN DE RHESUMAN</t>
  </si>
  <si>
    <t>Registrar la ocupación de la gestante según indique en el interrogatorio de historia clínica de ingreso ; clasificandolas en la siguiente lista desplegable: Hogar Con apoyo; Hogar sin apoyo; Actualmente desempleada; Empleada formalmente sin riesgo; Empleada formalmente por jornada laboral extensa; Empleada formalmente con riesgo de accidente laboral; Empleada formalmente con riesgo a tóxicos; Empleo informal</t>
  </si>
  <si>
    <t>Lista desplegable Elegir de la lista desplegable según corresponda,  CPN OTRA IPS;VIENE DE OTRO MUNICIPIO;VIENE DE OTRO DPTO;SE TRASLADO DE EPS;TRAMITE DE PORTABILIDAD;SIN DOCUMENTO IDENTIDAD;SIN AFILIACIÓN A EPS;SIN NOVEDAD;POBLACIÓN INMIGRANTE. Esta ultima opción prima sobre las otras, de presentarse múltiples novedades, se debe registrar POBLACIÓN INMIGRANTE en esa casilla y las demás novedasdes en la Columna A, Novedades al momento de la captación</t>
  </si>
  <si>
    <t>Las sustancias psicoactivas incluyen: Alcohol, chicha, chirrincho, cigarrillo, mariguana, cocaina, heroína y demás sustancias afines. Diligenciar esta variable, según la siguiente Lista Desplegable:  Consumo Actual; Hasta Antes de la Gestación; No Consume;SD</t>
  </si>
  <si>
    <r>
      <t xml:space="preserve">Elegir  SI o NO según corresponda a si la gestante tiene un embarazo ectopico como antecedente, </t>
    </r>
    <r>
      <rPr>
        <sz val="11"/>
        <color rgb="FFFF0000"/>
        <rFont val="Calibri"/>
        <family val="2"/>
        <scheme val="minor"/>
      </rPr>
      <t>recanalización de trompas</t>
    </r>
    <r>
      <rPr>
        <sz val="11"/>
        <color theme="1"/>
        <rFont val="Calibri"/>
        <family val="2"/>
        <scheme val="minor"/>
      </rPr>
      <t xml:space="preserve"> o se le ha realizado una cirugía para manejo de miomas.</t>
    </r>
  </si>
  <si>
    <t>Registrar SI  o NO según corresponda. La opción SI estará semaforizada en rojo pues se considera antecedente de Riesgo Obstétrico  y la gestante debe ser valorada por ginecólogo y especialista y grupo interdisciplinario.</t>
  </si>
  <si>
    <t>Registrar: NO; SI, CONTROLADA; SI, SIN MANEJO; SI, NO CONTROLADA;SD según corresponda. La opción SI, SIN MANEJO; SI, NO CONTROLADA estará semaforizada en rojo pues se considera antecedente de Riesgo Obstétrico  y la gestante debe ser manejada por ginecólogo y especialista y grupo interdisciplinario.</t>
  </si>
  <si>
    <r>
      <rPr>
        <sz val="11"/>
        <color rgb="FFFF0000"/>
        <rFont val="Calibri"/>
        <family val="2"/>
        <scheme val="minor"/>
      </rPr>
      <t>Lista desplegable:</t>
    </r>
    <r>
      <rPr>
        <sz val="11"/>
        <color theme="1"/>
        <rFont val="Calibri"/>
        <family val="2"/>
        <scheme val="minor"/>
      </rPr>
      <t xml:space="preserve"> elegir Si No Sin Dato o</t>
    </r>
    <r>
      <rPr>
        <u/>
        <sz val="11"/>
        <color theme="1"/>
        <rFont val="Calibri"/>
        <family val="2"/>
        <scheme val="minor"/>
      </rPr>
      <t xml:space="preserve"> CORREGIDA, </t>
    </r>
    <r>
      <rPr>
        <u/>
        <sz val="11"/>
        <color rgb="FFFF0000"/>
        <rFont val="Calibri"/>
        <family val="2"/>
        <scheme val="minor"/>
      </rPr>
      <t>esta última se debe colocar cuando el dato de la FUM por amenorrea no es confiable o la Ecografía se toma antes de la semana 21 y hay una diferentecia mayor a 1 semana entre la FUM x amenorrea y la FUM por eco</t>
    </r>
    <r>
      <rPr>
        <u/>
        <sz val="11"/>
        <color theme="1"/>
        <rFont val="Calibri"/>
        <family val="2"/>
        <scheme val="minor"/>
      </rPr>
      <t>. En los casos de tener una ECO mayor a 20 semanas y diferencias mayores a 1 semana entre la FUM x amenorrea y la FUM por ECO; queda a criterio médico definir con cual de los datos se continuara realizando el seguimiento; para toma de decisiones.</t>
    </r>
  </si>
  <si>
    <r>
      <t xml:space="preserve">Formula automática, calcula la FUM por ecografía y se activa, cuando se digitan los datos de las columnas Bw (Fecha eco 1) y Bx (Semanas gestación eco 1), respectivamente.EN CASO DE QUE LA FUM NO SEA CONFIABLE, DEBE COLOCARSE EN LA COLUMNA BP (FUM FORMULA CONFIABLE) </t>
    </r>
    <r>
      <rPr>
        <sz val="11"/>
        <color rgb="FFFF0000"/>
        <rFont val="Calibri"/>
        <family val="2"/>
        <scheme val="minor"/>
      </rPr>
      <t xml:space="preserve">CORREGIDA. - </t>
    </r>
    <r>
      <rPr>
        <sz val="10"/>
        <color rgb="FFFF0000"/>
        <rFont val="Calibri"/>
        <family val="2"/>
        <scheme val="minor"/>
      </rPr>
      <t>ESTA ACCIÓN RECALCULARA EN FORMA AUTOMÁTICA TODOS LOS DATOS DE EDAD GESTACIONAL DE LA BASE. DE ACUERDO A LA FUM X ECO.</t>
    </r>
  </si>
  <si>
    <t>Formula automatica de las semanas de gestacion al ingreso; calculada a partir de la columna BO (FUM x Amenorrea) si en la Columna BP(FUM formula confiable) aparce "SI", o recalculada a partir de la Columna BS (si la ECO es tomada antes de la semana 21 y la diferencia entres la FUM x eco y FUM x amenorrea es mayor a 1 semana) y en la Columna  BP(FUM formula confiable) aparce "CORREGIDA"</t>
  </si>
  <si>
    <r>
      <t>Formula automatica del trimestres de gestacion al ingreso. el Trim I calcula el dato de ingreso hasta semana 10 - Cuando aparezca:</t>
    </r>
    <r>
      <rPr>
        <u/>
        <sz val="11"/>
        <color theme="1"/>
        <rFont val="Calibri"/>
        <family val="2"/>
        <scheme val="minor"/>
      </rPr>
      <t xml:space="preserve"> ERROR FUM O INGRESO Revisar coherencia entre los datos respectivos y hacer la corrección pertinente. Si aparece: DEFINIR FPP POR ECO; Completar la información una vez se tenga el dato de la Ecografía.</t>
    </r>
  </si>
  <si>
    <t>Lista deslegable: Temprana (&lt;10,6 Sem); Tamizaje Genético (11,0 a 13,6 Sem); Detalle anatómico (18,0 a 23,6 Sem); Otro tipo de ECO Obst (corresponde a la ECO obstetrica básica) - En caso de tener una eco Temprana y posteriormente la de tamizaje genético, se debe priorizar el dato de la eco genética.</t>
  </si>
  <si>
    <t>Lista desplegable: Detalle anatómico (18,0 a 23,6 Sem);  Otro tipo de ECO Obst (corresponde a la ECO obstetrica básica)</t>
  </si>
  <si>
    <r>
      <t xml:space="preserve">Lista desplegable: </t>
    </r>
    <r>
      <rPr>
        <b/>
        <sz val="11"/>
        <color rgb="FFFF0000"/>
        <rFont val="Calibri"/>
        <family val="2"/>
        <scheme val="minor"/>
      </rPr>
      <t>Esta variable no debe quedar vacia</t>
    </r>
    <r>
      <rPr>
        <sz val="11"/>
        <color theme="1"/>
        <rFont val="Calibri"/>
        <family val="2"/>
        <scheme val="minor"/>
      </rPr>
      <t xml:space="preserve"> PREGESTACIÓN: Debe aparecer registro en la HC, y aplica especialmente para las gestantes que ingresen tardiamente a partir de la seman 16 - según la norma debe indagarse el peso pregestacional para calcular la ganancia de peso; GESTACIÓN: Si ingresa en primer trimetre o por alguna razón; no se tiene dato pregestacional y se debe evaluar con el dato de la consulta de inicio.</t>
    </r>
  </si>
  <si>
    <t>Formula Automatica del Indice de Masa Corporal según datos registrados de Peso y talla de las 2 colunmas anteriores</t>
  </si>
  <si>
    <t>Registre el peso en Kilogramos cada mes, es necesario actualizar el dato, porque las alarmas funcionan automáticamente con los datos de  fecha de último control y el dato de edad gestacional, al actualizar el dato de fecha de control y no actualizar el dato de peso de la fecha respectiva, las alarmas marcarian un dato errado y en rojo, o irreal de la gestante.</t>
  </si>
  <si>
    <r>
      <t>Formula automatica según corresponda al IMC  del dato de último control, con las Opciones : Bajo Peso, Normal, Sobrepeso y Obesidad</t>
    </r>
    <r>
      <rPr>
        <u/>
        <sz val="11"/>
        <color theme="1"/>
        <rFont val="Calibri"/>
        <family val="2"/>
        <scheme val="minor"/>
      </rPr>
      <t>. RECUERDE ESTE DATO ES VERIDICO, SI SE REGISTRA CADA MES EL DATO DE PESO</t>
    </r>
  </si>
  <si>
    <t>Registre el dato de altura uterina en centimetros, cada mes, es necesario actualizar el dato, porque las alarmas funcionan automáticamente con los datos de  fecha de último control y el dato de edad gestacional correspondiente a dicha fecha, de no actualizar este dato, las alarmas marcarian un dato errado y en rojo, o irreal de la gestante.</t>
  </si>
  <si>
    <t>Formula automática que genera las siguientes alarmas: BAJO PARA EDAD GESTACIONAL(Dato AU se encuentra por debajo del percentil 10);ADECUADO PARA EDAD(Dato AU se encuentra entre percentil 10 y 90);ALTO PARA EDAD GESTACIONAL (Dato AU se encuentra por encima del percentil 90) NO APLICA-MENOR 13 SEM (aparece cuando sem gestación es menor a 13);NO APLICA- GEMELAR (Aparece cuando se ha colocado que es un embarazo multiple en la columna CC - Tiene embarazo multiple)</t>
  </si>
  <si>
    <t>Reporte el resultado de la hemoglobina de ingreso antes del III trimestre - Si ingresa en el III Trim, se debe colocar el dato en la columna ER (RESULTADO HEMOGLOBINA SEMANA 28)</t>
  </si>
  <si>
    <t>Formula automatica de la edad gestacional al momento del resultado de la HB y muestra las siguientes alarmas: ERROR FUM O INGRESO;CORREGIR FECHA RESULTADO;EN ESPERA PARA TOMA EXAMEN;PROGRAMAR TOMA HEMOGLOBINA A SEM 28;TOMA HEMOGLOBINA A SEM 28 EN 1 SEMANA;EN SEMANA 28 TOMA INMEDIATA DE EXAMEN;NO APLICA-SALE ANTES SEM 28;SALE SIN TAMIZAJE HEMOGLOBINA SEM 28;TOMA DE HEMOGLOBINA TARDÍA.</t>
  </si>
  <si>
    <t xml:space="preserve">EDAD GESTACIONAL HEMOCLASIFICACIÓN RH </t>
  </si>
  <si>
    <t>OBSERVACION RESULTADO DE HEMOCLASIFICACIÓN RH Y RIESGO DE ISOINMUNIZACIÓN/ SEMANA APLICACIÓN RHESUMAN</t>
  </si>
  <si>
    <t>Fecha en D M A del Resultado de la columna EV</t>
  </si>
  <si>
    <t>Elija de la lista desplegable según corresponda al análisis del resultado de RH: RH POSITIVO;RH NEGATIVO SIN COOMBS; RH NEGATIVO CON COOMBS NEGATIVO;RH NEGATIVO CON COOMBS POSITIVO</t>
  </si>
  <si>
    <t>Fecha en D M A del Resultado de la columna EV, cuando el resultado del examen sea: RH NEGATIVO CON COOMBS NEGATIVO, que implica colocar la vacuna Rhesuman.</t>
  </si>
  <si>
    <t>Formula automatica según resultado Rh: SIN RIESGO DE ISOINMUNIZACIÓN - COOMBS C/MES Y RESUMAN SEM 28 - TOMAR COOMBS CUANTITATIVO Y REMISIÓN - FALTAN DE 4 A 2 SEMANAS PARA APLICAR RHESUMAN A SEM 28;FALTAN 1 SEMANAS PARA APLICAR RHESUMAN A SEM 28;SEMANA 28 APLICAR DE INMEDIATO RHESUMAN;DEBE APLICAR RHESUMAN, ES NO OPORTUNO &gt; 28 SEMANAS;TOMAR COOMBS INMEDIATO PARA DEFINIR MANEJO.</t>
  </si>
  <si>
    <t>Formula automatica: de la edad gestacional al momento de la toma de la glicemia y además aparecen las siguietes alarmas: PIERDE TOMA TAMIZAJE- INGRESO TARDIO;NO APLICA &gt; 23 SEM -TOMAR PTOG;DIABETES PREGESTACIONAL- REMITIR.</t>
  </si>
  <si>
    <t>% CAPTACIÓN A  SEMANA 10 (sin inmigrantes Población Migrante)</t>
  </si>
  <si>
    <t>Diligencie la lista desplegable, aparecen las opciones para Prueba Rápida o para Elisa, según sea la técnica utilizada e informada en el resultado del examen, que debe estar soportado en HC o en resultado de laboratorio. NO SE DEBE REGISTAR INFORMACIÓN EN ESTA CASILLA CASO DE INGRESO TARDÍO MAYOR A 12 SEMANAS, O DE HABER TOMADO EL EXAMEN DESPUES DE LA SEMANA 12.</t>
  </si>
  <si>
    <t>Diligencie la lista desplegable, aparecen las opciones para Prueba Rápida o para Elisa, según sea la técnica utilizada e informada en el resultado del examen, que debe estar soportado en HC o en resultado de laboratorio. NO SE DEBE REGISTAR INFORMACIÓN EN ESTA CASILLA CASO DE INGRESO TARDÍO MAYOR A 28 SEMANAS, O DE HABER TOMADO EL EXAMEN ANTES DE LA SEMANA 12 O DESPUÉS DE LA SEMANA 28</t>
  </si>
  <si>
    <t>Diligencie la lista desplegable, aparecen las opciones para Prueba Rápida o para Elisa, según sea la técnica utilizada e informada en el resultado del examen, que debe estar soportado en HC o en resultado de laboratorio. NO SE DEBE REGISTAR INFORMACIÓN EN ESTA CASILLA CASO DE HABER TOMADO EL EXAMEN ANTES DE LA SEMANA 28.</t>
  </si>
  <si>
    <t>Fecha en D M A de la primera formulación de ASA</t>
  </si>
  <si>
    <t>Lista desplegable según corresponda: No Aplica para suministro de ASA; Inicia ASA ANTES de Sem 12;Inicio oportuno de ASA;Inicio no oportuno mayor a 16 semanas;Pendiente Inicio de ASA a la semana 12;Iniciar de inmediato ASA;Pierde Oportunidad, Inicio tardío de ASA.</t>
  </si>
  <si>
    <t>Lista desplegable según corresponda: No Vacunada;1 Dosis;2 Dosis;Refuerzo 1;Refuerzo 2;Sin Dato;Firma Disentimiento;NO Firma Disentimiento</t>
  </si>
  <si>
    <t>DIFERENCIA FUM X ANEMORREA Y FUM X ECO</t>
  </si>
  <si>
    <t>Diferencia mayor a 6 dias</t>
  </si>
  <si>
    <t>% CAPTACIÓN GENERAL A SEMANA 12</t>
  </si>
  <si>
    <t>SE SUGIERE REALIZACION DE ECOCARDIOGRAMA FETAL PRIORITARIO</t>
  </si>
  <si>
    <t>IPSI-CRIC MORALES</t>
  </si>
  <si>
    <t>SIN DATO</t>
  </si>
  <si>
    <t xml:space="preserve"> CALAMBAS </t>
  </si>
  <si>
    <t>CHOCUE</t>
  </si>
  <si>
    <t>YENNY</t>
  </si>
  <si>
    <t>NONE</t>
  </si>
  <si>
    <t>CEDULA DE CIUDADANIA</t>
  </si>
  <si>
    <t>UNION LIBRE</t>
  </si>
  <si>
    <t>AMA DE CASA</t>
  </si>
  <si>
    <t>SI</t>
  </si>
  <si>
    <t>SIN NOVEDAD</t>
  </si>
  <si>
    <t>SUBSIDIADO</t>
  </si>
  <si>
    <t>MORALES</t>
  </si>
  <si>
    <t>RURAL</t>
  </si>
  <si>
    <t>HONDURAS</t>
  </si>
  <si>
    <t>INDIGENA</t>
  </si>
  <si>
    <t>NASA/PAEZ</t>
  </si>
  <si>
    <t>PRIMARIA INCOMPLETA</t>
  </si>
  <si>
    <t>NINGUNO</t>
  </si>
  <si>
    <t>NO</t>
  </si>
  <si>
    <t>SD</t>
  </si>
  <si>
    <t>O+</t>
  </si>
  <si>
    <t>P. R NEGATIVA</t>
  </si>
  <si>
    <t>P.R NO REACTIVA</t>
  </si>
  <si>
    <t>NEGATIVO</t>
  </si>
  <si>
    <t>ADECUADO SEGÚN GPC</t>
  </si>
  <si>
    <t>SE REALIZO VISITA DOMICILIARIA POR PARTE DEL DINAMIZADOR DE SALUD  MANUEL DIZU EL DIA 08/12/2021 Y SE DIRECCIONO AL CONTROL PERINATAL.</t>
  </si>
  <si>
    <t>zc08 DORA LILIA MUELAS VIVAS</t>
  </si>
  <si>
    <t>TOMBE</t>
  </si>
  <si>
    <t>TUNUBALA</t>
  </si>
  <si>
    <t>ERMILA</t>
  </si>
  <si>
    <t>BODEGA</t>
  </si>
  <si>
    <t>PRIMARIA COMPLETA</t>
  </si>
  <si>
    <t>CEFÁLICA</t>
  </si>
  <si>
    <t>NO APLICA</t>
  </si>
  <si>
    <t>POSITIVO</t>
  </si>
  <si>
    <t xml:space="preserve">03/02/2023 REGURGITACION TRICUSPIDEA, COARTACION AORTICA A DESCARTAR. REPORTE DE ECOGRAFIA. </t>
  </si>
  <si>
    <t>YESIKA PEREZ MISAK</t>
  </si>
  <si>
    <t>TROCHEZ</t>
  </si>
  <si>
    <t>CAMPO</t>
  </si>
  <si>
    <t>JOCABED</t>
  </si>
  <si>
    <t>ESTUDIANTE</t>
  </si>
  <si>
    <t>SAN ANTONIO</t>
  </si>
  <si>
    <t>SECUNDARIA COMPLETA</t>
  </si>
  <si>
    <t>29+/07/2022</t>
  </si>
  <si>
    <t>ISABEL SANCHEZ</t>
  </si>
  <si>
    <t xml:space="preserve"> SANCHEZ</t>
  </si>
  <si>
    <t>BERSAYDA</t>
  </si>
  <si>
    <t>CHIRRIADERO</t>
  </si>
  <si>
    <t xml:space="preserve">NO TIENE </t>
  </si>
  <si>
    <t>ZC07 DEIVER JEISON SIERRA LEAL</t>
  </si>
  <si>
    <t xml:space="preserve">YANDI </t>
  </si>
  <si>
    <t>SECUNDARIA INCOMPLETA</t>
  </si>
  <si>
    <t>PARTO</t>
  </si>
  <si>
    <t>AFILIADA AL MUNICIPIO DE SILVIA VEREDA PITAYO----9/08/2022 REPORTE POSITIVO DE TEST DE EMBARAZO EN TOTOGUAMPA.</t>
  </si>
  <si>
    <t>YESIKA PEREZ</t>
  </si>
  <si>
    <t>COLLO</t>
  </si>
  <si>
    <t>CUETIA</t>
  </si>
  <si>
    <t>VANESSA</t>
  </si>
  <si>
    <t>SOLTERA</t>
  </si>
  <si>
    <t>CARPINTERO</t>
  </si>
  <si>
    <t>NEGATIVA PARA NEOPLASIA</t>
  </si>
  <si>
    <t>pte q manifiesta q la esposa es rh O- Y los resultados de laboratorio reportan o+ del dia 19/11/2022</t>
  </si>
  <si>
    <t xml:space="preserve">MOSQUERA </t>
  </si>
  <si>
    <t>MOSQUERA</t>
  </si>
  <si>
    <t>KENVERLY</t>
  </si>
  <si>
    <t xml:space="preserve">LOS ANDES </t>
  </si>
  <si>
    <t>LOS ANDES</t>
  </si>
  <si>
    <t>YAKELINE ZAMBRANO</t>
  </si>
  <si>
    <t>ZAMBRANO</t>
  </si>
  <si>
    <t>COMETA</t>
  </si>
  <si>
    <t>JEISURY</t>
  </si>
  <si>
    <t>CAVICHE</t>
  </si>
  <si>
    <t>YEINI</t>
  </si>
  <si>
    <t>PAOLA</t>
  </si>
  <si>
    <t>CHIMBORAZO</t>
  </si>
  <si>
    <t xml:space="preserve">YESIKA PEREZ CAMPESINA </t>
  </si>
  <si>
    <t xml:space="preserve"> CHATE</t>
  </si>
  <si>
    <t>GEMBUEL</t>
  </si>
  <si>
    <t>MARIBEL</t>
  </si>
  <si>
    <t>EL DANUBIO</t>
  </si>
  <si>
    <t>A+</t>
  </si>
  <si>
    <t>YESENIA CUCUÑAME</t>
  </si>
  <si>
    <t>ZUÑIGA</t>
  </si>
  <si>
    <t>DAZA</t>
  </si>
  <si>
    <t>DERLY</t>
  </si>
  <si>
    <t>NORFANI</t>
  </si>
  <si>
    <t>CASADA</t>
  </si>
  <si>
    <t>CHORRERA BLANCA</t>
  </si>
  <si>
    <t>58.5</t>
  </si>
  <si>
    <t>SUMINISTRO IRREGULAR</t>
  </si>
  <si>
    <t>ALBEIRO PLAZAS</t>
  </si>
  <si>
    <t xml:space="preserve">CAMPO </t>
  </si>
  <si>
    <t>MARIA</t>
  </si>
  <si>
    <t>ROSSANA</t>
  </si>
  <si>
    <t>VERANERAS</t>
  </si>
  <si>
    <t>PLACER</t>
  </si>
  <si>
    <t>YEISON SIERRA LEAL</t>
  </si>
  <si>
    <t>RIVERA</t>
  </si>
  <si>
    <t>CHATE</t>
  </si>
  <si>
    <t xml:space="preserve">YENNY </t>
  </si>
  <si>
    <t xml:space="preserve">LORENA VELASCO </t>
  </si>
  <si>
    <t xml:space="preserve">OROZCO </t>
  </si>
  <si>
    <t xml:space="preserve">VIVAS </t>
  </si>
  <si>
    <t xml:space="preserve">MARIA </t>
  </si>
  <si>
    <t>DARLY</t>
  </si>
  <si>
    <t xml:space="preserve">AGUA NEGRA </t>
  </si>
  <si>
    <t>REVISAR HOSTORIA CLINICA DE LA EXTRA</t>
  </si>
  <si>
    <t>CAMAYO</t>
  </si>
  <si>
    <t xml:space="preserve">LEIDY </t>
  </si>
  <si>
    <t>AGUA NEGRA</t>
  </si>
  <si>
    <t xml:space="preserve">SACAR DEL PROGRAMA POR LEGRADO , CUANDO BAJE DE POPYAN </t>
  </si>
  <si>
    <t xml:space="preserve">MARTHA </t>
  </si>
  <si>
    <t>YOELI</t>
  </si>
  <si>
    <t>ABORTO INDUCIDO</t>
  </si>
  <si>
    <t>DESCARTAR EMBARAZO CONTROL ECOGRAFICO POR AUSENCIA DE EMBRION 30/9/2022, ESTAR PTE DE AUTORIZACION INF, A LA PTE .</t>
  </si>
  <si>
    <t>ARBOLEDA</t>
  </si>
  <si>
    <t>VIVAS</t>
  </si>
  <si>
    <t>MARBEL</t>
  </si>
  <si>
    <t>SUAREZ</t>
  </si>
  <si>
    <t>BUENA VISTA</t>
  </si>
  <si>
    <t>3187293609-3172260959</t>
  </si>
  <si>
    <t>VALENCIA</t>
  </si>
  <si>
    <t xml:space="preserve">COCUÑAME </t>
  </si>
  <si>
    <t>ARGENI</t>
  </si>
  <si>
    <t>LOMITAS</t>
  </si>
  <si>
    <t>3114339892-3206301601</t>
  </si>
  <si>
    <t>TRANSVERSA</t>
  </si>
  <si>
    <t>DIANA ZAMBRANO</t>
  </si>
  <si>
    <t>DIAGO</t>
  </si>
  <si>
    <t>BELCI</t>
  </si>
  <si>
    <t>YULIETH</t>
  </si>
  <si>
    <t xml:space="preserve">FLORIDA </t>
  </si>
  <si>
    <t>FLORIDA</t>
  </si>
  <si>
    <t xml:space="preserve">RIVERA </t>
  </si>
  <si>
    <t>SANCHEZ</t>
  </si>
  <si>
    <t>KAREN</t>
  </si>
  <si>
    <t xml:space="preserve">VIVIANA </t>
  </si>
  <si>
    <t>WILSON CAMPO</t>
  </si>
  <si>
    <t>LULIGO</t>
  </si>
  <si>
    <t xml:space="preserve">ANA </t>
  </si>
  <si>
    <t>YERLINA</t>
  </si>
  <si>
    <t>TIERRADENTRO</t>
  </si>
  <si>
    <t>Otro tipo de ECO Obst.</t>
  </si>
  <si>
    <t>Detalle anatómico (18,0 a 23,6 Sem)</t>
  </si>
  <si>
    <t xml:space="preserve">DESCONOCE FUM , PTE LABORATORIOS </t>
  </si>
  <si>
    <t xml:space="preserve"> PILLIMUE </t>
  </si>
  <si>
    <t>PECHENE</t>
  </si>
  <si>
    <t xml:space="preserve">OLIVIA </t>
  </si>
  <si>
    <t>FALTAN LABORARORIOS, POR TOMAR</t>
  </si>
  <si>
    <t>ZC01 LUCI NENE YANDE</t>
  </si>
  <si>
    <t>NENE</t>
  </si>
  <si>
    <t>NILDE</t>
  </si>
  <si>
    <t>LICEIDA</t>
  </si>
  <si>
    <t>LIBERIA</t>
  </si>
  <si>
    <t>ELLA VIVE EN POPAYAN</t>
  </si>
  <si>
    <t>ORTIZ</t>
  </si>
  <si>
    <t>YESICA</t>
  </si>
  <si>
    <t xml:space="preserve">BELLO HORIZONTE </t>
  </si>
  <si>
    <t>POPAYAN</t>
  </si>
  <si>
    <t>20 DE ENERO SE REALIZA FROTIS VAGINAL Y UROANALISIS .RESLTADO NORMAL.</t>
  </si>
  <si>
    <t xml:space="preserve">ALBEIRO PLAZAS </t>
  </si>
  <si>
    <t>URRUTIA</t>
  </si>
  <si>
    <t>YADIRA</t>
  </si>
  <si>
    <t>URBANO</t>
  </si>
  <si>
    <t>NUEVA ESPERANZA</t>
  </si>
  <si>
    <t xml:space="preserve">NUEVA FLORESTA </t>
  </si>
  <si>
    <t>3215640353-3145670606</t>
  </si>
  <si>
    <t>SANTIAGO CUCUÑAME</t>
  </si>
  <si>
    <t xml:space="preserve">CUCUÑAME </t>
  </si>
  <si>
    <t xml:space="preserve">DORADO </t>
  </si>
  <si>
    <t xml:space="preserve">DALIDA   </t>
  </si>
  <si>
    <t>NO  TIENE</t>
  </si>
  <si>
    <t>GLUCOSA ALTERADA, PENDIENTE VALORACION POR GINECOLOGIA</t>
  </si>
  <si>
    <t>ALBEIRO  PLAZAS</t>
  </si>
  <si>
    <t xml:space="preserve">ZAMBRANO </t>
  </si>
  <si>
    <t>CELIA</t>
  </si>
  <si>
    <t xml:space="preserve">LA FLORESTA </t>
  </si>
  <si>
    <t>PACIENTE INASISTE EN EL MES DE NOVIEMBRE Y DICIEMBRE, EL DIA DE HOY 03/02/2023, REFIERE QUE PUDO ASISTIR A LOS CONTROLES PRENATALES POR QUE SE ENCONTRABA EN EL PAISPMABA SOTARA.</t>
  </si>
  <si>
    <t>CLARA INES GUEJIA</t>
  </si>
  <si>
    <t>GUEJIA</t>
  </si>
  <si>
    <t>MENDEZ</t>
  </si>
  <si>
    <t>DANNA</t>
  </si>
  <si>
    <t>CAROLINA</t>
  </si>
  <si>
    <t>MUSSE UKWE</t>
  </si>
  <si>
    <t>B+</t>
  </si>
  <si>
    <t>PENDIENTE DE AUTORIZACIONES CON DEISY</t>
  </si>
  <si>
    <t xml:space="preserve">VANESA RIVERA </t>
  </si>
  <si>
    <t xml:space="preserve">EPE </t>
  </si>
  <si>
    <t>ARANDA</t>
  </si>
  <si>
    <t>OLIBEYI</t>
  </si>
  <si>
    <t>3136289864-3127719619</t>
  </si>
  <si>
    <t xml:space="preserve">OSNAS </t>
  </si>
  <si>
    <t>LEYDA</t>
  </si>
  <si>
    <t>CERO A SIEMPRE</t>
  </si>
  <si>
    <t>GESTANTE CON 2 CONTROLES PREVIOS EN LA ESE CENTRO 1 MORALES 20/08/2022---8,5 SEMANAS---21/09/2022…13,1 SEMANAS---ECOGRAFIA 28/10/2022: QUIZTE DE PLEXO COROIDEO</t>
  </si>
  <si>
    <t xml:space="preserve">QUINA </t>
  </si>
  <si>
    <t xml:space="preserve">JEIDE </t>
  </si>
  <si>
    <t>JOHANA</t>
  </si>
  <si>
    <t>LA FLORESTA</t>
  </si>
  <si>
    <t>ECOGRAFIA 28/10/2022 VENTRICULOMEGALIA LEVE SIMETRICA/ QUIZTE DE PLEXO  COROIDEO</t>
  </si>
  <si>
    <t>DEYSI</t>
  </si>
  <si>
    <t>YAMILETH</t>
  </si>
  <si>
    <t>BODEGA PARTE BAJA CERCA DEL COLEGIO</t>
  </si>
  <si>
    <t>FAMILIAS ACCIÓN</t>
  </si>
  <si>
    <t>24/01/2023 SE REALIZA HEMOGRMA Y FRESCO VAGINAL.</t>
  </si>
  <si>
    <t>YESICA PEREZ</t>
  </si>
  <si>
    <t xml:space="preserve">ORDOÑEZ </t>
  </si>
  <si>
    <t xml:space="preserve">VALENTINA  </t>
  </si>
  <si>
    <t xml:space="preserve">SAN ROQUE </t>
  </si>
  <si>
    <t xml:space="preserve">YAQUELIN  </t>
  </si>
  <si>
    <t>EL DIVISO</t>
  </si>
  <si>
    <t>DORA LILIA MUELAS</t>
  </si>
  <si>
    <t xml:space="preserve"> ALMENDRA </t>
  </si>
  <si>
    <t xml:space="preserve">LUZ </t>
  </si>
  <si>
    <t xml:space="preserve"> ANGELA </t>
  </si>
  <si>
    <t xml:space="preserve">PUERTO LIMON </t>
  </si>
  <si>
    <t xml:space="preserve">MORALES </t>
  </si>
  <si>
    <t xml:space="preserve">DEYANIRA </t>
  </si>
  <si>
    <t xml:space="preserve">CAÑAVERAL </t>
  </si>
  <si>
    <t xml:space="preserve">NO </t>
  </si>
  <si>
    <t>SANTE CON DIABETES GESTACIONAL SE ENVIA TRATAMIENTO Y CONTROL EN 15 DIAS FECHA ULTIMO CONTROL 15 DE FEBRERO DE 2023</t>
  </si>
  <si>
    <t xml:space="preserve">YESICA PEREZ CAMPESINA </t>
  </si>
  <si>
    <t xml:space="preserve">BERNAL </t>
  </si>
  <si>
    <t xml:space="preserve">VIDAL </t>
  </si>
  <si>
    <t xml:space="preserve">BERONICA </t>
  </si>
  <si>
    <t xml:space="preserve"> LILIANA</t>
  </si>
  <si>
    <t xml:space="preserve">ROSAL </t>
  </si>
  <si>
    <t xml:space="preserve">PACIENTE CON AFILIACION EN LA ESE POPAYAN </t>
  </si>
  <si>
    <t xml:space="preserve">DIDA  </t>
  </si>
  <si>
    <t>CHOZAS</t>
  </si>
  <si>
    <t>PTE LABORATORIOS GESTANTE INGRESA TARDIO DE 31 SEMANAS,PTE FPP LA DESCONOCE CON DOMICILIO ANTERIOR EN GARZON HUILA</t>
  </si>
  <si>
    <t xml:space="preserve"> INSECA </t>
  </si>
  <si>
    <t xml:space="preserve"> ANDELA</t>
  </si>
  <si>
    <t xml:space="preserve">ALBA  </t>
  </si>
  <si>
    <t xml:space="preserve"> MERY</t>
  </si>
  <si>
    <t>NO RESPONDE</t>
  </si>
  <si>
    <t>UNION ATILLO</t>
  </si>
  <si>
    <t>YILMER</t>
  </si>
  <si>
    <t xml:space="preserve">CRUZ </t>
  </si>
  <si>
    <t>DILMA</t>
  </si>
  <si>
    <t>VALLLENUEVO</t>
  </si>
  <si>
    <t>PODÁLICA</t>
  </si>
  <si>
    <t xml:space="preserve">PACIENTE CON AFILIACION DE LA ESE EL  TAMBO </t>
  </si>
  <si>
    <t>ALEXANDRA KWESX KIWE</t>
  </si>
  <si>
    <t xml:space="preserve"> CHANDILLO </t>
  </si>
  <si>
    <t>YANDI</t>
  </si>
  <si>
    <t xml:space="preserve">ERIKA </t>
  </si>
  <si>
    <t>JINETH</t>
  </si>
  <si>
    <t>TARJETA DE IDENTIDAD</t>
  </si>
  <si>
    <t>KWESX KIWE</t>
  </si>
  <si>
    <t>02/11/202</t>
  </si>
  <si>
    <t>PTE RESULTADO CITOLOGIA</t>
  </si>
  <si>
    <t xml:space="preserve"> IBARRA</t>
  </si>
  <si>
    <t xml:space="preserve">YUDY </t>
  </si>
  <si>
    <t xml:space="preserve"> ANDREA </t>
  </si>
  <si>
    <t xml:space="preserve">AGUA BLANCA </t>
  </si>
  <si>
    <t>ECO DE 03/02/2023 RESULTADO CON CORAZON IZQUIERDO HIPOPLASICO A DESARTAR SE ENVIA ORDEN MEDICA CON RESULTADO DE ECO  A LA EPS GESTION DE CITA EN LA IPS I MINGA.</t>
  </si>
  <si>
    <t xml:space="preserve"> QUINTANA </t>
  </si>
  <si>
    <t xml:space="preserve"> CAICEDO</t>
  </si>
  <si>
    <t xml:space="preserve">ALEXANDRA </t>
  </si>
  <si>
    <t xml:space="preserve">MESON </t>
  </si>
  <si>
    <t>TECNICO</t>
  </si>
  <si>
    <t>POSITIVA SIFILIS 12/11/2022 VIVE EN SUAREZ . PACIENTE CON TRATAMIENTO COMPLETO PARA SIFILIS.</t>
  </si>
  <si>
    <t xml:space="preserve"> CAMAYO </t>
  </si>
  <si>
    <t xml:space="preserve"> TROCHEZ</t>
  </si>
  <si>
    <t>RAQUEL</t>
  </si>
  <si>
    <t>RUBI</t>
  </si>
  <si>
    <t>P. R POSITIVA CASO SIFILIS</t>
  </si>
  <si>
    <t>VIVE EN CALI</t>
  </si>
  <si>
    <t xml:space="preserve"> PECHENE </t>
  </si>
  <si>
    <t>LOPEZ</t>
  </si>
  <si>
    <t xml:space="preserve">MARIA  </t>
  </si>
  <si>
    <t xml:space="preserve"> LIBIA </t>
  </si>
  <si>
    <t xml:space="preserve">CALI </t>
  </si>
  <si>
    <t>25 SE REALIZA EXAMEN DE GLICEMIA Y UROANALISS.</t>
  </si>
  <si>
    <t xml:space="preserve">JACKELINE </t>
  </si>
  <si>
    <t xml:space="preserve"> MENESES </t>
  </si>
  <si>
    <t xml:space="preserve"> ZUÑIGA</t>
  </si>
  <si>
    <t xml:space="preserve">SARAID  </t>
  </si>
  <si>
    <t xml:space="preserve">CHIMBORAZO </t>
  </si>
  <si>
    <t xml:space="preserve"> RIVERA </t>
  </si>
  <si>
    <t xml:space="preserve"> ZAMBRANO</t>
  </si>
  <si>
    <t>DEYI</t>
  </si>
  <si>
    <t xml:space="preserve">DAYANA </t>
  </si>
  <si>
    <t xml:space="preserve">SIN DATO </t>
  </si>
  <si>
    <t xml:space="preserve">SI </t>
  </si>
  <si>
    <t xml:space="preserve">PACIENTE INASISTENT EN EL MES DE DICIEMBRE Y ENERO EL DIA DE HOY 03/02/2023, REFIERE QUE DURANTE ESTE TIEMPO ESTUVO EN EL HUILA. </t>
  </si>
  <si>
    <t>ZULY YATACUE</t>
  </si>
  <si>
    <t xml:space="preserve"> CAMAYO</t>
  </si>
  <si>
    <t xml:space="preserve"> TUNUBALA</t>
  </si>
  <si>
    <t xml:space="preserve">YIBEL </t>
  </si>
  <si>
    <t xml:space="preserve">BELEN </t>
  </si>
  <si>
    <t>DURFAY</t>
  </si>
  <si>
    <t>PUEBLILLO</t>
  </si>
  <si>
    <t xml:space="preserve">  PECHENE</t>
  </si>
  <si>
    <t xml:space="preserve"> CAVICHE</t>
  </si>
  <si>
    <t xml:space="preserve">SULEIDA  </t>
  </si>
  <si>
    <t>LUCY NENE</t>
  </si>
  <si>
    <t>YANDE</t>
  </si>
  <si>
    <t>IRENE</t>
  </si>
  <si>
    <t xml:space="preserve">FALTA LOS EXAMNENES DE LABO, SE LLAMO A LA PTE PARA Q VENGA A REALIZARSELOS </t>
  </si>
  <si>
    <t>CRUZ</t>
  </si>
  <si>
    <t>ESTEFANI</t>
  </si>
  <si>
    <t>B/ MODELO</t>
  </si>
  <si>
    <t xml:space="preserve">RIESGO DE INCOMPATIBILIDAD, HIDRONEFROSIS </t>
  </si>
  <si>
    <t xml:space="preserve"> MAÑUNGA</t>
  </si>
  <si>
    <t xml:space="preserve">MAGALY </t>
  </si>
  <si>
    <t>O-</t>
  </si>
  <si>
    <t>21/01/2023 SE RALIZA TOMA DE FRESCO CON RESULTADO NORMAL.</t>
  </si>
  <si>
    <t xml:space="preserve">MOLANO </t>
  </si>
  <si>
    <t>EPE</t>
  </si>
  <si>
    <t>VANESA</t>
  </si>
  <si>
    <t xml:space="preserve">PLAYON </t>
  </si>
  <si>
    <t>JERSON ZAMBRANO</t>
  </si>
  <si>
    <t xml:space="preserve">  CORPUS </t>
  </si>
  <si>
    <t xml:space="preserve"> GUETIO</t>
  </si>
  <si>
    <t xml:space="preserve">ELVIA </t>
  </si>
  <si>
    <t>LOS QUINGOS</t>
  </si>
  <si>
    <t>NO SE HA REALIZADO LA TOMA DE LABORATORIOS, SE LLAMO A PTE PARA Q SE LOS TOME 09/12/2022</t>
  </si>
  <si>
    <t>VELASCO</t>
  </si>
  <si>
    <t xml:space="preserve">HURTADO </t>
  </si>
  <si>
    <t>MARLENY</t>
  </si>
  <si>
    <t xml:space="preserve">LA LORENA </t>
  </si>
  <si>
    <t>RIESGO DE INCOMPATIBILIDAD</t>
  </si>
  <si>
    <t>CUCUÑAME</t>
  </si>
  <si>
    <t xml:space="preserve">YECI </t>
  </si>
  <si>
    <t xml:space="preserve">KARINA </t>
  </si>
  <si>
    <t>A-</t>
  </si>
  <si>
    <t xml:space="preserve">PTE FALTAN LABORATORIOS </t>
  </si>
  <si>
    <t xml:space="preserve"> PILCUE</t>
  </si>
  <si>
    <t>MABECHATE</t>
  </si>
  <si>
    <t xml:space="preserve">MABER </t>
  </si>
  <si>
    <t xml:space="preserve">MAYENSI  </t>
  </si>
  <si>
    <t>HURTADO</t>
  </si>
  <si>
    <t xml:space="preserve"> QUITUMBO</t>
  </si>
  <si>
    <t xml:space="preserve">LAURA  </t>
  </si>
  <si>
    <t xml:space="preserve">FERNANDA </t>
  </si>
  <si>
    <t xml:space="preserve">DANUBIO </t>
  </si>
  <si>
    <t>3113656757- 3218700815</t>
  </si>
  <si>
    <t>ABORTO ESPONTANEO</t>
  </si>
  <si>
    <t>INSTITUCIONAL</t>
  </si>
  <si>
    <t xml:space="preserve">BASTO </t>
  </si>
  <si>
    <t xml:space="preserve"> TUMBO</t>
  </si>
  <si>
    <t xml:space="preserve">ERLY </t>
  </si>
  <si>
    <t xml:space="preserve">ONEIDY </t>
  </si>
  <si>
    <t>SANTA ROSA</t>
  </si>
  <si>
    <t>DIANA</t>
  </si>
  <si>
    <t>PATRICIA</t>
  </si>
  <si>
    <t>AGUA CLARA</t>
  </si>
  <si>
    <t>SAN ROQUE</t>
  </si>
  <si>
    <t xml:space="preserve">CUENE </t>
  </si>
  <si>
    <t xml:space="preserve"> RIVERA</t>
  </si>
  <si>
    <t>DORA</t>
  </si>
  <si>
    <t xml:space="preserve"> ALICIA </t>
  </si>
  <si>
    <t>SAMARIA</t>
  </si>
  <si>
    <t xml:space="preserve"> SOTO</t>
  </si>
  <si>
    <t xml:space="preserve">MARY </t>
  </si>
  <si>
    <t>LISANDRA</t>
  </si>
  <si>
    <t xml:space="preserve">LIBERIA </t>
  </si>
  <si>
    <t>DANA</t>
  </si>
  <si>
    <t xml:space="preserve">CAROLINA </t>
  </si>
  <si>
    <t xml:space="preserve"> PECHENE</t>
  </si>
  <si>
    <t>NEFRECTOMIA RENAL DERECHA HACE 2 AÑOS</t>
  </si>
  <si>
    <t xml:space="preserve">TAQUINAS </t>
  </si>
  <si>
    <t>SOSCUE</t>
  </si>
  <si>
    <t xml:space="preserve">SAMBONI </t>
  </si>
  <si>
    <t>ANACELMA</t>
  </si>
  <si>
    <t>ASTAIZA</t>
  </si>
  <si>
    <t>MIYANY</t>
  </si>
  <si>
    <t>LUCIA</t>
  </si>
  <si>
    <t>NO RECUERDA</t>
  </si>
  <si>
    <t>LUZ</t>
  </si>
  <si>
    <t xml:space="preserve"> FARY</t>
  </si>
  <si>
    <t xml:space="preserve"> CAMPO </t>
  </si>
  <si>
    <t xml:space="preserve"> MARCELA</t>
  </si>
  <si>
    <t>LIBEERIA</t>
  </si>
  <si>
    <t>TAMIZAJE POSITIVO PARA PREECLAMSIA YTCIU</t>
  </si>
  <si>
    <t xml:space="preserve"> MORALES </t>
  </si>
  <si>
    <t xml:space="preserve"> VELASCO</t>
  </si>
  <si>
    <t>NANCY</t>
  </si>
  <si>
    <t xml:space="preserve">LILIANA </t>
  </si>
  <si>
    <t xml:space="preserve">CAMPO ALEGRE </t>
  </si>
  <si>
    <t xml:space="preserve">CAMAYO </t>
  </si>
  <si>
    <t xml:space="preserve">LADY </t>
  </si>
  <si>
    <t xml:space="preserve"> ALEXANDRA </t>
  </si>
  <si>
    <t xml:space="preserve">QUINGOS </t>
  </si>
  <si>
    <t>GLORIA</t>
  </si>
  <si>
    <t xml:space="preserve">MEDELLIN </t>
  </si>
  <si>
    <t>LUPUS ERITEMATOSO</t>
  </si>
  <si>
    <t>ASTUDILLO</t>
  </si>
  <si>
    <t>CRUCERO PAN DE AZUCAR</t>
  </si>
  <si>
    <t xml:space="preserve">TOMBE </t>
  </si>
  <si>
    <t xml:space="preserve"> CHOCUE</t>
  </si>
  <si>
    <t xml:space="preserve">DEYCI </t>
  </si>
  <si>
    <t xml:space="preserve">JOANA </t>
  </si>
  <si>
    <t xml:space="preserve">BODEGA </t>
  </si>
  <si>
    <t xml:space="preserve"> EPE </t>
  </si>
  <si>
    <t xml:space="preserve">MILENA </t>
  </si>
  <si>
    <t>ALEYDA</t>
  </si>
  <si>
    <t xml:space="preserve"> YANDY </t>
  </si>
  <si>
    <t xml:space="preserve">COMETA </t>
  </si>
  <si>
    <t xml:space="preserve">BIBIANA </t>
  </si>
  <si>
    <t xml:space="preserve"> DIANEY</t>
  </si>
  <si>
    <t>GUETIO</t>
  </si>
  <si>
    <t>ISABEL</t>
  </si>
  <si>
    <t>SEMILLAS DE VIDA</t>
  </si>
  <si>
    <t xml:space="preserve">NURY </t>
  </si>
  <si>
    <t xml:space="preserve">AIDE </t>
  </si>
  <si>
    <t>LA BOGEGA</t>
  </si>
  <si>
    <t xml:space="preserve">SANCHEZ </t>
  </si>
  <si>
    <t xml:space="preserve"> FLOR</t>
  </si>
  <si>
    <t>DARLIN</t>
  </si>
  <si>
    <t xml:space="preserve">YULIETH </t>
  </si>
  <si>
    <t>SAN JOSE</t>
  </si>
  <si>
    <t>INGRESO TARDIO POR DOMICILIO EN VEREDA SAN ADOLFO, LA PLATA HUILA</t>
  </si>
  <si>
    <t xml:space="preserve">  FAJARDO</t>
  </si>
  <si>
    <t xml:space="preserve"> MOSQUERA</t>
  </si>
  <si>
    <t>ESMERALDA</t>
  </si>
  <si>
    <t>TENDENCIA A LA TAQUICARDIA</t>
  </si>
  <si>
    <t xml:space="preserve">YUNDA </t>
  </si>
  <si>
    <t xml:space="preserve">YONEIDA  </t>
  </si>
  <si>
    <t>3218076499 - 3147750282</t>
  </si>
  <si>
    <t xml:space="preserve"> BECOCHE</t>
  </si>
  <si>
    <t>ALBANI</t>
  </si>
  <si>
    <t>AGRICULTURA</t>
  </si>
  <si>
    <t>USUARIA CON PUNTO DE ATENCION SE POPAYAN. SE REMITE POR HEMORRAGIA.</t>
  </si>
  <si>
    <t>YINA</t>
  </si>
  <si>
    <t>YANNET</t>
  </si>
  <si>
    <t xml:space="preserve">UNION LIBRE </t>
  </si>
  <si>
    <t>QUINTANA</t>
  </si>
  <si>
    <t>TENEBUEL</t>
  </si>
  <si>
    <t>LILIANA</t>
  </si>
  <si>
    <t xml:space="preserve">SAN ANTONIO </t>
  </si>
  <si>
    <t>ABORO HACE 4 MESES POR POR TRAUMA PELVICO</t>
  </si>
  <si>
    <t>NOHEMI</t>
  </si>
  <si>
    <t>ANDREA</t>
  </si>
  <si>
    <t xml:space="preserve">PILCUE </t>
  </si>
  <si>
    <t xml:space="preserve">ROMELIA </t>
  </si>
  <si>
    <t>LINA</t>
  </si>
  <si>
    <t>MARCELA</t>
  </si>
  <si>
    <t>BECOCHE</t>
  </si>
  <si>
    <t>LEIDY</t>
  </si>
  <si>
    <t>AGUA SUCIA</t>
  </si>
  <si>
    <t>AMPARO</t>
  </si>
  <si>
    <t>FERNANDEZ</t>
  </si>
  <si>
    <t>KATHERINE</t>
  </si>
  <si>
    <t>LA PRIMAVERA</t>
  </si>
  <si>
    <t>YERIS</t>
  </si>
  <si>
    <t>DAYANA</t>
  </si>
  <si>
    <t>DALIDA</t>
  </si>
  <si>
    <t>NAYIVE</t>
  </si>
  <si>
    <t xml:space="preserve">GALILEA </t>
  </si>
  <si>
    <t>MOLANO</t>
  </si>
  <si>
    <t>YESLI</t>
  </si>
  <si>
    <t>ALEXAIDA</t>
  </si>
  <si>
    <t>1059594773</t>
  </si>
  <si>
    <t>SAN ISIDRO</t>
  </si>
  <si>
    <t>HERLINDA</t>
  </si>
  <si>
    <t>ELVIA</t>
  </si>
  <si>
    <t>FLOR</t>
  </si>
  <si>
    <t>MILEYDI</t>
  </si>
  <si>
    <t>DALLYVE</t>
  </si>
  <si>
    <t>MODELO</t>
  </si>
  <si>
    <t>QUILCUE</t>
  </si>
  <si>
    <t>CUCHA</t>
  </si>
  <si>
    <t>LEUCOCITOS MICROSCO 0-2 XC JIRIARTE</t>
  </si>
  <si>
    <t>CORPUS</t>
  </si>
  <si>
    <t>UMENZA</t>
  </si>
  <si>
    <t>YUREIDY</t>
  </si>
  <si>
    <t>HEMATIES 0-2 XC JIRIARTE</t>
  </si>
  <si>
    <t>GONZALEZ</t>
  </si>
  <si>
    <t>INGRID</t>
  </si>
  <si>
    <t>HUILA</t>
  </si>
  <si>
    <t>YAISENI</t>
  </si>
  <si>
    <t>1002846584</t>
  </si>
  <si>
    <t>UNION RISARALDA</t>
  </si>
  <si>
    <t>MUELAS</t>
  </si>
  <si>
    <t>ERICA</t>
  </si>
  <si>
    <t>YERALDIN</t>
  </si>
  <si>
    <t>1059603200</t>
  </si>
  <si>
    <t>MENZA</t>
  </si>
  <si>
    <t>MUMUCUE</t>
  </si>
  <si>
    <t>YELSY</t>
  </si>
  <si>
    <t>KHATERINE</t>
  </si>
  <si>
    <t>OMAIRA</t>
  </si>
  <si>
    <t>EL MESON</t>
  </si>
  <si>
    <t>CHANDILLO</t>
  </si>
  <si>
    <t>MILENA</t>
  </si>
  <si>
    <t>VALLE NUEVO</t>
  </si>
  <si>
    <t>1007201778</t>
  </si>
  <si>
    <t>GUEGIA</t>
  </si>
  <si>
    <t>UTANY</t>
  </si>
  <si>
    <t>MEDELLIN</t>
  </si>
  <si>
    <t xml:space="preserve">QUISTE </t>
  </si>
  <si>
    <t>MAYERLI</t>
  </si>
  <si>
    <t>BELEN</t>
  </si>
  <si>
    <t>VASQUEZ</t>
  </si>
  <si>
    <t>LOZADA</t>
  </si>
  <si>
    <t>EUGENIA</t>
  </si>
  <si>
    <t>BELALCAZAR</t>
  </si>
  <si>
    <t>BIYANE</t>
  </si>
  <si>
    <t>1002846706</t>
  </si>
  <si>
    <t>ESTER</t>
  </si>
  <si>
    <t>JIMENEZ</t>
  </si>
  <si>
    <t>PILCUE</t>
  </si>
  <si>
    <t>EMILSE</t>
  </si>
  <si>
    <t>YOJANA</t>
  </si>
  <si>
    <t>25546612</t>
  </si>
  <si>
    <t>NERY</t>
  </si>
  <si>
    <t>LA  FLORIDA</t>
  </si>
  <si>
    <t>NOSCUE</t>
  </si>
  <si>
    <t>DANIELA</t>
  </si>
  <si>
    <t>1059063332</t>
  </si>
  <si>
    <t>CAÑAVERAL</t>
  </si>
  <si>
    <t>GOMEZ</t>
  </si>
  <si>
    <t>PILLIMUE</t>
  </si>
  <si>
    <t>ALICIA</t>
  </si>
  <si>
    <t>1059594951</t>
  </si>
  <si>
    <t>INES</t>
  </si>
  <si>
    <t>CALAMBAS</t>
  </si>
  <si>
    <t>ALEJANDRA</t>
  </si>
  <si>
    <t>ASESORA</t>
  </si>
  <si>
    <t>GRIJALBA</t>
  </si>
  <si>
    <t>VLADEZ</t>
  </si>
  <si>
    <t>LEYDI</t>
  </si>
  <si>
    <t>EL MORAL</t>
  </si>
  <si>
    <t>FRANCIA</t>
  </si>
  <si>
    <t>YINETH</t>
  </si>
  <si>
    <t>PIENDAMO</t>
  </si>
  <si>
    <t>LA VENTA</t>
  </si>
  <si>
    <t>YURANI</t>
  </si>
  <si>
    <t>QUIERE CONTINUAR CON CONTROLES EN IPS CRIC</t>
  </si>
  <si>
    <t>PAJA</t>
  </si>
  <si>
    <t>NOHEMY</t>
  </si>
  <si>
    <t>CORREGIDA</t>
  </si>
  <si>
    <t>CRIC MORALES</t>
  </si>
  <si>
    <t>ACOSTA</t>
  </si>
  <si>
    <t>JENNY</t>
  </si>
  <si>
    <t>FATIMA</t>
  </si>
  <si>
    <t>URBANIZACION</t>
  </si>
  <si>
    <t>BALTAZAR</t>
  </si>
  <si>
    <t>ORCUE</t>
  </si>
  <si>
    <t>CARMENZA</t>
  </si>
  <si>
    <t>ESTRELLA</t>
  </si>
  <si>
    <t>PORVENIR</t>
  </si>
  <si>
    <t>USA</t>
  </si>
  <si>
    <t>JULIA</t>
  </si>
  <si>
    <t xml:space="preserve">QUISTES DEL PLEXO COROIDEO </t>
  </si>
  <si>
    <t>CAICEDO</t>
  </si>
  <si>
    <t>FAJARDO</t>
  </si>
  <si>
    <t>MEGA VEJIGA                            ONDA A REVERSA DE DUCTUS VENOSO        HEMATOMA RETROCORIAL DESCRITO, ALTO RIESGO DE ANEUPLIOIDIA</t>
  </si>
  <si>
    <t>MARTHA</t>
  </si>
  <si>
    <t>ENEIDA</t>
  </si>
  <si>
    <t>ROSA</t>
  </si>
  <si>
    <t>DELIA</t>
  </si>
  <si>
    <t xml:space="preserve">AMA DE CASA </t>
  </si>
  <si>
    <t xml:space="preserve">CHANDI </t>
  </si>
  <si>
    <t>MAYELY</t>
  </si>
  <si>
    <t>EL TAMBO</t>
  </si>
  <si>
    <t>MUÑOZ</t>
  </si>
  <si>
    <t>YIDI</t>
  </si>
  <si>
    <t>SIRLEY</t>
  </si>
  <si>
    <t xml:space="preserve">CIELO </t>
  </si>
  <si>
    <t>MAGOG</t>
  </si>
  <si>
    <t>RODRIGUEZ</t>
  </si>
  <si>
    <t>SOLARTE</t>
  </si>
  <si>
    <t xml:space="preserve">YEICI </t>
  </si>
  <si>
    <t>DURI</t>
  </si>
  <si>
    <t>EDISNEIDA</t>
  </si>
  <si>
    <t>VELARDE</t>
  </si>
  <si>
    <t>YATACUE</t>
  </si>
  <si>
    <t xml:space="preserve">MAYERLI </t>
  </si>
  <si>
    <t>TATIANA</t>
  </si>
  <si>
    <t>ROSLIA</t>
  </si>
  <si>
    <t>YERLY</t>
  </si>
  <si>
    <t>NILFA</t>
  </si>
  <si>
    <t>HONDA A AUSENTE DE DUCTUS VENOSO</t>
  </si>
  <si>
    <t>MADLEY</t>
  </si>
  <si>
    <t xml:space="preserve">ULCUE </t>
  </si>
  <si>
    <t>DIZU</t>
  </si>
  <si>
    <t>CASCO URBANO</t>
  </si>
  <si>
    <t>CASSO</t>
  </si>
  <si>
    <t>CASTRO</t>
  </si>
  <si>
    <t xml:space="preserve">YINA </t>
  </si>
  <si>
    <t xml:space="preserve">MARCELA </t>
  </si>
  <si>
    <t>LAS GUACAS</t>
  </si>
  <si>
    <t>YUDI</t>
  </si>
  <si>
    <t>LISBETH</t>
  </si>
  <si>
    <t>ANALFABETA</t>
  </si>
  <si>
    <t>USSA</t>
  </si>
  <si>
    <t>NELLY</t>
  </si>
  <si>
    <t>CECILIA</t>
  </si>
  <si>
    <t>EL PORVENIR</t>
  </si>
  <si>
    <t>PAJOY</t>
  </si>
  <si>
    <t>LESBY</t>
  </si>
  <si>
    <t xml:space="preserve">QUINTANA </t>
  </si>
  <si>
    <t>MILDRED</t>
  </si>
  <si>
    <t>CHANGUENO</t>
  </si>
  <si>
    <t>COTAZO</t>
  </si>
  <si>
    <t>YAHINI</t>
  </si>
  <si>
    <t>CANTERO</t>
  </si>
  <si>
    <t>YALNDA</t>
  </si>
  <si>
    <t>NESLY</t>
  </si>
  <si>
    <t>CAIMITO</t>
  </si>
  <si>
    <t>CORDOBA</t>
  </si>
  <si>
    <t>ELIANET</t>
  </si>
  <si>
    <t>MARI</t>
  </si>
  <si>
    <t>LAS VEGAS</t>
  </si>
  <si>
    <t>ODILIA</t>
  </si>
  <si>
    <t>VIDAL</t>
  </si>
  <si>
    <t>LISBANY</t>
  </si>
  <si>
    <t xml:space="preserve">FABIOLA </t>
  </si>
  <si>
    <t>LAME</t>
  </si>
  <si>
    <t>IPIA</t>
  </si>
  <si>
    <t xml:space="preserve">KAREN </t>
  </si>
  <si>
    <t xml:space="preserve">MENOR </t>
  </si>
  <si>
    <t>BUENOS AIRES</t>
  </si>
  <si>
    <t>LEIDI</t>
  </si>
  <si>
    <t>LORENA</t>
  </si>
  <si>
    <t>OTERO</t>
  </si>
  <si>
    <t>UBRENI</t>
  </si>
  <si>
    <t>28/06/203</t>
  </si>
  <si>
    <t>PAULA</t>
  </si>
  <si>
    <t xml:space="preserve">AGUA SUCIA </t>
  </si>
  <si>
    <t>ROSERO</t>
  </si>
  <si>
    <t>MERY</t>
  </si>
  <si>
    <t>MARYURY</t>
  </si>
  <si>
    <t>LA BONANZA</t>
  </si>
  <si>
    <t>MONTILLA</t>
  </si>
  <si>
    <t>YOSELIN</t>
  </si>
  <si>
    <t>NATALY</t>
  </si>
  <si>
    <t>NUEVO HORIZONTE</t>
  </si>
  <si>
    <t>Temprana (&lt;10,6 Sem)</t>
  </si>
  <si>
    <t>ANII</t>
  </si>
  <si>
    <t>DAYELI</t>
  </si>
  <si>
    <t>NIDIA</t>
  </si>
  <si>
    <t>VIANEY</t>
  </si>
  <si>
    <t>1002847557</t>
  </si>
  <si>
    <t>EVILA</t>
  </si>
  <si>
    <t>RINA</t>
  </si>
  <si>
    <t>1002846445</t>
  </si>
  <si>
    <t>DARY</t>
  </si>
  <si>
    <t>1059598429</t>
  </si>
  <si>
    <t>17/05/20232</t>
  </si>
  <si>
    <t>DARI</t>
  </si>
  <si>
    <t>25552127</t>
  </si>
  <si>
    <t>NELCI</t>
  </si>
  <si>
    <t>1059596429</t>
  </si>
  <si>
    <t>ANA</t>
  </si>
  <si>
    <t>LEIBY</t>
  </si>
  <si>
    <t>1059602313</t>
  </si>
  <si>
    <t>LAS BRISAS</t>
  </si>
  <si>
    <t>COLLAZOS</t>
  </si>
  <si>
    <t>HELENA</t>
  </si>
  <si>
    <t>25547215</t>
  </si>
  <si>
    <t>ANYI</t>
  </si>
  <si>
    <t>1002846245</t>
  </si>
  <si>
    <t>FLORESTA</t>
  </si>
  <si>
    <t>CAREN</t>
  </si>
  <si>
    <t>INICIA A ANTES DE LA SEMANA 14</t>
  </si>
  <si>
    <t>SOLO PRIMERAS 12SEM</t>
  </si>
  <si>
    <t>TENEGUEL</t>
  </si>
  <si>
    <t>LUCEIDA</t>
  </si>
  <si>
    <t>Hogar Con apoyo</t>
  </si>
  <si>
    <t>RH POSITIVO</t>
  </si>
  <si>
    <t>Suministro Profilaxis Hb&lt;14 (1Tab)</t>
  </si>
  <si>
    <t>YULEIDY</t>
  </si>
  <si>
    <t>ACALO</t>
  </si>
  <si>
    <t>ALOS</t>
  </si>
  <si>
    <t>YENIFER</t>
  </si>
  <si>
    <t>Actualmente desempleada</t>
  </si>
  <si>
    <t>GESTACIÓN</t>
  </si>
  <si>
    <t>INICIA A PARTIR DE LA SEMANA 14</t>
  </si>
  <si>
    <t>CASO</t>
  </si>
  <si>
    <t>HANYILA</t>
  </si>
  <si>
    <t>LISNE</t>
  </si>
  <si>
    <t>UNION</t>
  </si>
  <si>
    <t>SUMINISTRO OTRO COMPLEMENTO</t>
  </si>
  <si>
    <t>ARCE</t>
  </si>
  <si>
    <t>Tamizaje Genético (11,0 a 13,6 Sem)</t>
  </si>
  <si>
    <t xml:space="preserve">PAJOY </t>
  </si>
  <si>
    <t>CRUCES</t>
  </si>
  <si>
    <t>YULI</t>
  </si>
  <si>
    <t>Suministro otro complemento Nutricional</t>
  </si>
  <si>
    <t xml:space="preserve">LUISA </t>
  </si>
  <si>
    <t>MARIXA</t>
  </si>
  <si>
    <t>SUMINISTRO OTRO COMPLEMENTO NUTRICIONAL</t>
  </si>
  <si>
    <t>P.R REACTIVA</t>
  </si>
  <si>
    <t>NELY</t>
  </si>
  <si>
    <t>MARLENI</t>
  </si>
  <si>
    <t xml:space="preserve">CHIRRIADERO </t>
  </si>
  <si>
    <t>se fue para putumayo</t>
  </si>
  <si>
    <t>RUBY</t>
  </si>
  <si>
    <t>1059840033</t>
  </si>
  <si>
    <t>GUETOTO</t>
  </si>
  <si>
    <t>LENY</t>
  </si>
  <si>
    <t>NATALIA</t>
  </si>
  <si>
    <t>BARRIO BOLIVAR</t>
  </si>
  <si>
    <t>PREGESTACIONAL  Y PRIMERAS 12SEM</t>
  </si>
  <si>
    <t>FRANCELINA</t>
  </si>
  <si>
    <t>No Consume</t>
  </si>
  <si>
    <t>GLADEVIS</t>
  </si>
  <si>
    <t>1002847310</t>
  </si>
  <si>
    <t>OYOLA</t>
  </si>
  <si>
    <t>GELDI</t>
  </si>
  <si>
    <t>YORELI</t>
  </si>
  <si>
    <t>PIEDRA GRANDE</t>
  </si>
  <si>
    <t>ELISA</t>
  </si>
  <si>
    <t>3215923619 / 3206075528</t>
  </si>
  <si>
    <t>ALCIA CAMAYO</t>
  </si>
  <si>
    <t>YANCELI</t>
  </si>
  <si>
    <t>3226315785 / 3154119506</t>
  </si>
  <si>
    <t xml:space="preserve">JOSE PLAZAS </t>
  </si>
  <si>
    <t>GARZON</t>
  </si>
  <si>
    <t>MARIVEL</t>
  </si>
  <si>
    <t>DEBE TENER ASA, HABLAR CON MEDICO</t>
  </si>
  <si>
    <t>3217772746 / 3205131071</t>
  </si>
  <si>
    <t>TIENE POLIHIDRAMNIO LEVE</t>
  </si>
  <si>
    <t>3152859900 / 3117971147</t>
  </si>
  <si>
    <t>LIRBANI</t>
  </si>
  <si>
    <t>3126885774 / 323479425</t>
  </si>
  <si>
    <t>3116795628 / 3137774436</t>
  </si>
  <si>
    <t>3163202348 / 3116330261</t>
  </si>
  <si>
    <t>EL MACO</t>
  </si>
  <si>
    <t>3137131871 / 3226216656</t>
  </si>
  <si>
    <t>ALICIA CAMAYO</t>
  </si>
  <si>
    <t>No Aplica</t>
  </si>
  <si>
    <t>31.1</t>
  </si>
  <si>
    <t>1002847113</t>
  </si>
  <si>
    <t>NELDA</t>
  </si>
  <si>
    <t>1059605775</t>
  </si>
  <si>
    <t>SUÑIGA</t>
  </si>
  <si>
    <t>1059594553</t>
  </si>
  <si>
    <t>YICELA</t>
  </si>
  <si>
    <t>QUITUMBO</t>
  </si>
  <si>
    <t>SANDRA</t>
  </si>
  <si>
    <t>1003150179</t>
  </si>
  <si>
    <t>YALANDA</t>
  </si>
  <si>
    <t>BERNARDITA</t>
  </si>
  <si>
    <t>VIVIANA</t>
  </si>
  <si>
    <t>1059597005</t>
  </si>
  <si>
    <t>YAMILE</t>
  </si>
  <si>
    <t>LOMA DE OSO</t>
  </si>
  <si>
    <t>1002846250</t>
  </si>
  <si>
    <t>CAPOTE</t>
  </si>
  <si>
    <t>HELIZABETH</t>
  </si>
  <si>
    <t>SAN RAFAEL</t>
  </si>
  <si>
    <t>1059595940</t>
  </si>
  <si>
    <t>YUNDA</t>
  </si>
  <si>
    <t>HODURAS</t>
  </si>
  <si>
    <t>22.2</t>
  </si>
  <si>
    <t>MARYOLI</t>
  </si>
  <si>
    <t>USNAS</t>
  </si>
  <si>
    <t>GUACHETA</t>
  </si>
  <si>
    <t>YARUMAL</t>
  </si>
  <si>
    <t>BELANCAZAR</t>
  </si>
  <si>
    <t>ZULENY</t>
  </si>
  <si>
    <t>VIENE DE OTRO MUNICIPIO</t>
  </si>
  <si>
    <t>SANTA ANA</t>
  </si>
  <si>
    <t>POMORROSO</t>
  </si>
  <si>
    <t>MISAK/GUAMBIANOS</t>
  </si>
  <si>
    <t>MALI</t>
  </si>
  <si>
    <t>BRISILA</t>
  </si>
  <si>
    <t>Hogar sin apoyo</t>
  </si>
  <si>
    <t>MEDILLIN</t>
  </si>
  <si>
    <t>YENY GUETIO</t>
  </si>
  <si>
    <t>BLANCA</t>
  </si>
  <si>
    <t>IRIS</t>
  </si>
  <si>
    <t>BRICEIDA</t>
  </si>
  <si>
    <t>JULIANA ZAMBRANO</t>
  </si>
  <si>
    <t>FRANCY</t>
  </si>
  <si>
    <t>ELIANA</t>
  </si>
  <si>
    <t>EL JORDAN</t>
  </si>
  <si>
    <t>LUYI</t>
  </si>
  <si>
    <t>MARYELLY</t>
  </si>
  <si>
    <t xml:space="preserve">TORRIJOS </t>
  </si>
  <si>
    <t>ROJAS</t>
  </si>
  <si>
    <t>JUANITA</t>
  </si>
  <si>
    <t>LA CONCORDIA</t>
  </si>
  <si>
    <t>PACIENTE CON DOMICILIO EN EL MUNICIPIO DE SUAREZ, SE LE EXPLICA LA OPCION DE PORTABILIDAD, SIN EMBARGO REFIERE QUE DESEA CONTINUAR LOS CONTROLES EN LA INSTITUCION, ALTO RIESGO OBSTETRICO POR ANTECEDENTE DE PREENCLAMSIA, ABORTO ESPONTANEO.</t>
  </si>
  <si>
    <t>Si entre SEM 12 y 16</t>
  </si>
  <si>
    <t>SIN ATENCIÓN</t>
  </si>
  <si>
    <t>RH NEGATIVO SIN COOMBS</t>
  </si>
  <si>
    <t>OSNAS</t>
  </si>
  <si>
    <t>YURLANI</t>
  </si>
  <si>
    <t>1067467422</t>
  </si>
  <si>
    <t>LIPONCE</t>
  </si>
  <si>
    <t>LISBEY</t>
  </si>
  <si>
    <t>EMELIAS</t>
  </si>
  <si>
    <t>MAIRA</t>
  </si>
  <si>
    <t>VALORADA, PERO SIN DATO</t>
  </si>
  <si>
    <t xml:space="preserve">MAMIAM </t>
  </si>
  <si>
    <t>PAZ</t>
  </si>
  <si>
    <t>MORBILIDAD MATERNA EXTREMA</t>
  </si>
  <si>
    <t>DOMICILIO</t>
  </si>
  <si>
    <t>PARTERA</t>
  </si>
  <si>
    <t>INICIO ESPONTÁNEO</t>
  </si>
  <si>
    <t>FEMENINO</t>
  </si>
  <si>
    <t xml:space="preserve">CENTRO DE SALUD MORALES E.S.E </t>
  </si>
  <si>
    <t>BAJA</t>
  </si>
  <si>
    <t>PERSONAL DE SALUD PROFESIONAL O ESPECIALISTA</t>
  </si>
  <si>
    <t>MASCULINO</t>
  </si>
  <si>
    <t>OTRO</t>
  </si>
  <si>
    <t>ALTA</t>
  </si>
  <si>
    <t xml:space="preserve">HOSPITAL SUSANA LOPEZ DE VALENCIA </t>
  </si>
  <si>
    <t>MEDIANA</t>
  </si>
  <si>
    <t>CESAREA</t>
  </si>
  <si>
    <t xml:space="preserve">CLINICA LA ESTANCIA </t>
  </si>
  <si>
    <t xml:space="preserve">HOSPITAL UNIVERSITARIO SAN JOSE </t>
  </si>
  <si>
    <t xml:space="preserve">CLINICA NUESTRA SEÑORA DE LOS REMEDIOS </t>
  </si>
  <si>
    <t xml:space="preserve">CENTRO UNO TOTORO E.S.E </t>
  </si>
  <si>
    <t>GEIDY</t>
  </si>
  <si>
    <t>49.3</t>
  </si>
  <si>
    <t>LUCINDA</t>
  </si>
  <si>
    <t>ZAMRANO</t>
  </si>
  <si>
    <t>AIDA</t>
  </si>
  <si>
    <t>DOLY</t>
  </si>
  <si>
    <t>POLANCO</t>
  </si>
  <si>
    <t>MOZQUERA</t>
  </si>
  <si>
    <t>EDILMA</t>
  </si>
  <si>
    <t>BERMUDEZ</t>
  </si>
  <si>
    <t>PETECHE</t>
  </si>
  <si>
    <t>CUENE</t>
  </si>
  <si>
    <t>IDABA</t>
  </si>
  <si>
    <t>MIGUEL</t>
  </si>
  <si>
    <t>BEATRIZ</t>
  </si>
  <si>
    <t>1061689361</t>
  </si>
  <si>
    <t>NASLY</t>
  </si>
  <si>
    <t>AUDILIA</t>
  </si>
  <si>
    <t>VALORADA PERO SIN FECHA</t>
  </si>
  <si>
    <t>1023390806</t>
  </si>
  <si>
    <t>ERAZO</t>
  </si>
  <si>
    <t>SARA</t>
  </si>
  <si>
    <t>VALENTINA</t>
  </si>
  <si>
    <t>25546851</t>
  </si>
  <si>
    <t>DORITA</t>
  </si>
  <si>
    <t>1059597833</t>
  </si>
  <si>
    <t>YULIANA</t>
  </si>
  <si>
    <t>ALTO RIESGO</t>
  </si>
  <si>
    <t>CON RIESGO</t>
  </si>
  <si>
    <t>BAJO RIESGO</t>
  </si>
  <si>
    <t>PRE HTA,RIESGO ALTO PREECLAMPSIA</t>
  </si>
  <si>
    <t>INSISTENTES</t>
  </si>
  <si>
    <t>HEMOCLASIFICACIÓN RH</t>
  </si>
  <si>
    <t>P.T.O.G</t>
  </si>
  <si>
    <t>SÍFILIS SEGÚN GPC SÍFILIS I TRIMESTRE</t>
  </si>
  <si>
    <t>SÍFILIS SEGÚN GPC SÍFILIS II TRIMESTRE</t>
  </si>
  <si>
    <t>SÍFILIS SEGÚN GPC SÍFILIS III TRIMESTRE</t>
  </si>
  <si>
    <t>TAMIZAJE PARA VIH I TRIM</t>
  </si>
  <si>
    <t>TAMIZAJE PARA VIH II TRIM</t>
  </si>
  <si>
    <t>TAMIZAJE PARA VIH III TRIM</t>
  </si>
  <si>
    <t>HEP B ANTÍGENO SUPERFICIE</t>
  </si>
  <si>
    <t>TOXOPLASMA IGG, TOXO. IGM</t>
  </si>
  <si>
    <t>Suministro calcio</t>
  </si>
  <si>
    <t xml:space="preserve">Suministro de sulfato ferroso </t>
  </si>
  <si>
    <t>Bajo peso</t>
  </si>
  <si>
    <t>Sobrepeso</t>
  </si>
  <si>
    <t>Obesidad</t>
  </si>
  <si>
    <t>Pre hta, riesgo alto preeclampsia</t>
  </si>
  <si>
    <t>REGISTRE DATO PRESIÓN ARTERIAL MENSUAL</t>
  </si>
  <si>
    <t>Gestantes sin vacuna td</t>
  </si>
  <si>
    <t>Gestantes sin vacunas dpt acelular</t>
  </si>
  <si>
    <t>Gestantes sin vacunas influenza</t>
  </si>
  <si>
    <t>Ecografia</t>
  </si>
  <si>
    <t>Ginecología</t>
  </si>
  <si>
    <t>Odontología</t>
  </si>
  <si>
    <t>Psicología</t>
  </si>
  <si>
    <t>Nutrición</t>
  </si>
  <si>
    <t>Curso de maternidad y paternidad</t>
  </si>
  <si>
    <t xml:space="preserve">Gestantes que ya terminaron la gestación por fum sin dato de fecha y lugar de parto </t>
  </si>
  <si>
    <t>No evidencia método anticonceptivo post parto, Valoración del recién nacido, Valoración del puerperio</t>
  </si>
  <si>
    <t>Observaciones Seguimiento</t>
  </si>
  <si>
    <t>Responsable zona</t>
  </si>
  <si>
    <t>Punto Atencion</t>
  </si>
  <si>
    <t>Atencion_Preconcepcional</t>
  </si>
  <si>
    <t>Primer nombre</t>
  </si>
  <si>
    <t>Segundo nombre</t>
  </si>
  <si>
    <t>Primer apellido</t>
  </si>
  <si>
    <t>Segundo apellido</t>
  </si>
  <si>
    <t>Tipo de documento</t>
  </si>
  <si>
    <t>Documento de identificación</t>
  </si>
  <si>
    <t>Estado Civil</t>
  </si>
  <si>
    <t>Ocupacion</t>
  </si>
  <si>
    <t>Fecha de nacimiento</t>
  </si>
  <si>
    <t>Edad actual</t>
  </si>
  <si>
    <t>Fecha Identificacion Gestante</t>
  </si>
  <si>
    <t>Efectividad Demanda</t>
  </si>
  <si>
    <t>Novedad Momento Captacion</t>
  </si>
  <si>
    <t>Fecha Consulta PrimeraVez CPN</t>
  </si>
  <si>
    <t>Regimen</t>
  </si>
  <si>
    <t>Aseguradora</t>
  </si>
  <si>
    <t>Municipio Residencia</t>
  </si>
  <si>
    <t>Zona Residencia</t>
  </si>
  <si>
    <t>Vereda y/o Barrio</t>
  </si>
  <si>
    <t>Direcion</t>
  </si>
  <si>
    <t>Resguardo</t>
  </si>
  <si>
    <t>Telefono</t>
  </si>
  <si>
    <t>Tipo Etnia</t>
  </si>
  <si>
    <t>Pueblo Indigena</t>
  </si>
  <si>
    <t>Estudios</t>
  </si>
  <si>
    <t>Uso Sustancias Psicoactivas</t>
  </si>
  <si>
    <t>Embarazo Aceptado Deseado</t>
  </si>
  <si>
    <t>Apoyo Familiar</t>
  </si>
  <si>
    <t>Nivel Socioeconomico Bajo</t>
  </si>
  <si>
    <t>Ansiedad</t>
  </si>
  <si>
    <t>Grupo Poblacional Especial</t>
  </si>
  <si>
    <t>Victima Violencia Genero</t>
  </si>
  <si>
    <t>Riesgo Psicosocial</t>
  </si>
  <si>
    <t>Antecedente Hipertension Inducida por Embarazo</t>
  </si>
  <si>
    <t>Antecedente Placenta Previa</t>
  </si>
  <si>
    <t>Antecedente Peso Bebe Menor A 2500</t>
  </si>
  <si>
    <t>Antecedente Peso Bebe Mayor A 4000</t>
  </si>
  <si>
    <t>Antecedente Parto Pretermino</t>
  </si>
  <si>
    <t>Antecedente Trabajo Parto Prolongado</t>
  </si>
  <si>
    <t>Antecedente Fliar Preeclamsia</t>
  </si>
  <si>
    <t>Antecedente Gravida</t>
  </si>
  <si>
    <t>Antecedente Partos</t>
  </si>
  <si>
    <t>Antecedente Abortos</t>
  </si>
  <si>
    <t>Antecedente Tres Abortos Seguidos</t>
  </si>
  <si>
    <t>Antecedente Cesareas</t>
  </si>
  <si>
    <t>Antecedente Obito Fetal Muerte Perinatal</t>
  </si>
  <si>
    <t>Antecedente Embarazo Ectopico Recanalizacion</t>
  </si>
  <si>
    <t>Antecedente Embarazo Molar</t>
  </si>
  <si>
    <t>Antecedente_ Muerte_Neonatal_Tardia</t>
  </si>
  <si>
    <t>Tiene_VIH_Pregestacional</t>
  </si>
  <si>
    <t>Tiene_Epilepsia</t>
  </si>
  <si>
    <t>Tiene_Enfermedades_Autoinmunes</t>
  </si>
  <si>
    <t>Tiene_Diabetes_Mellitus</t>
  </si>
  <si>
    <t>Tiene_Enfermedad_Cardiaca</t>
  </si>
  <si>
    <t>Tiene_HTA_Cronica</t>
  </si>
  <si>
    <t>Tiene_Enfermedad_Renal_Cronica</t>
  </si>
  <si>
    <t>Embarazo_Actual_Enfermedades_Infecciosas</t>
  </si>
  <si>
    <t>Embarazo_Actual_Reproduccion_Asistida</t>
  </si>
  <si>
    <t>Embarazo_Actual_Anomalia_Congenita</t>
  </si>
  <si>
    <t>Embarazo_Actual_Hemorragia_Vaginal_</t>
  </si>
  <si>
    <t>Embarazo_Actual_Hemorragia_Vaginal</t>
  </si>
  <si>
    <t>Fecha_Terminacion_ultimo_Embarazo</t>
  </si>
  <si>
    <t>Fum Por Amenorrea</t>
  </si>
  <si>
    <t>Fum_Formula_Confiable</t>
  </si>
  <si>
    <t>Periodo Intergenesico</t>
  </si>
  <si>
    <t>Fum Por Eco</t>
  </si>
  <si>
    <t>Semanas Gestacion al Ingreso</t>
  </si>
  <si>
    <t>Trimestre Ingreso</t>
  </si>
  <si>
    <t>Semanas Gestacion Actualizadas</t>
  </si>
  <si>
    <t>Tipo Eco Uno</t>
  </si>
  <si>
    <t>Fecha Eco Uno</t>
  </si>
  <si>
    <t>Semanas Gestacion Eco Uno</t>
  </si>
  <si>
    <t>Tipo Eco Dos</t>
  </si>
  <si>
    <t>Fecha Eco Dos</t>
  </si>
  <si>
    <t>Semanas Gestacion Eco Dos</t>
  </si>
  <si>
    <t>Embarazo_Actual_Restriccion_Crecimiento</t>
  </si>
  <si>
    <t>Embarazo_Multiple_Actual</t>
  </si>
  <si>
    <t>Presentacion_Feto</t>
  </si>
  <si>
    <t>Polihidramnios</t>
  </si>
  <si>
    <t>Momento Peso al ingreso CPN</t>
  </si>
  <si>
    <t>Talla_Metros</t>
  </si>
  <si>
    <t>Peso_Kilogramos_Ingreso_Pregestacional</t>
  </si>
  <si>
    <t>Clasificación_Nutricional_Ingreso</t>
  </si>
  <si>
    <t>Fecha_Ultimo_Control</t>
  </si>
  <si>
    <t>Peso_Kilogramos</t>
  </si>
  <si>
    <t>IMC_Ultimo_CPN</t>
  </si>
  <si>
    <t>Semanas_Gestacion_Ultimo_CPN</t>
  </si>
  <si>
    <t>Clasificacion_Curva_Atalah_Ultimo_CPN</t>
  </si>
  <si>
    <t>Altura_Uterina</t>
  </si>
  <si>
    <t>Alarma_ Altura_Uterina</t>
  </si>
  <si>
    <t>TA_Sistolica_Antes_Semana_Doce</t>
  </si>
  <si>
    <t>TA_Diastolica_Antes_Semana_Doce</t>
  </si>
  <si>
    <t>Alarma_Uno_TA_Antes_Doce_Semanas</t>
  </si>
  <si>
    <t>TA_Sistolica_Semana_Veinte_VeintiSeis</t>
  </si>
  <si>
    <t>TA_Diastolica_Semana_20 y 26</t>
  </si>
  <si>
    <t>Alarma_Dos_TA_Entre_Semana_20_A_Veintiseis</t>
  </si>
  <si>
    <t>TA_Sistolica_Sem_Treinta_A_TreintayCuatro</t>
  </si>
  <si>
    <t>TA_Diastolica_Sem_Treinta_A_TreintayCuatro</t>
  </si>
  <si>
    <t>Alarma_Tres_TA_Semana_Treinta_A_TreintayCuatro</t>
  </si>
  <si>
    <t>TA_Sistolica</t>
  </si>
  <si>
    <t>TA_Diastolica</t>
  </si>
  <si>
    <t>Alarma_TA_Mensual</t>
  </si>
  <si>
    <t>Fecha_Lactancia_Materna_Durante_CPN</t>
  </si>
  <si>
    <t>Fecha_Asesoria_Anticoncepcion_Durante_CPN</t>
  </si>
  <si>
    <t>Fecha_C2</t>
  </si>
  <si>
    <t>Fecha_C3</t>
  </si>
  <si>
    <t>Fecha_C4</t>
  </si>
  <si>
    <t>Fecha_C5</t>
  </si>
  <si>
    <t>Fecha_C6</t>
  </si>
  <si>
    <t>Fecha_C7</t>
  </si>
  <si>
    <t>Fecha_C8</t>
  </si>
  <si>
    <t>Fecha_C9</t>
  </si>
  <si>
    <t>Fecha_C10</t>
  </si>
  <si>
    <t>Fecha_C11</t>
  </si>
  <si>
    <t>Fecha_C12</t>
  </si>
  <si>
    <t>Fecha_C13</t>
  </si>
  <si>
    <t>Curso_Maternidad_Paternidad</t>
  </si>
  <si>
    <t>Fecha_Concentracion_Plan_Parto</t>
  </si>
  <si>
    <t>Acuerdo_Posible_Lugar_Nacimiento</t>
  </si>
  <si>
    <t>Alerta_Plan_Parto</t>
  </si>
  <si>
    <t>Gestante_Actuales</t>
  </si>
  <si>
    <t>Cita_Proximo_Control</t>
  </si>
  <si>
    <t>Alerta_Seguiimiento</t>
  </si>
  <si>
    <t>Fecha_Ultimo_CPN</t>
  </si>
  <si>
    <t>Edad_Gestacional_Ultimo_CPN</t>
  </si>
  <si>
    <t>Total_Controles</t>
  </si>
  <si>
    <t>Adherencia_al_CPN</t>
  </si>
  <si>
    <t>Controles_Programados</t>
  </si>
  <si>
    <t>Porcentaje_Cumplimiento_Individual</t>
  </si>
  <si>
    <t>Fecha_Remision_Psicologia</t>
  </si>
  <si>
    <t>Fecha_Asistencia_Consulta_Psicologia</t>
  </si>
  <si>
    <t>Fecha_Remision_Nutricion</t>
  </si>
  <si>
    <t>Fecha_Asistencia_Consulta_Nutricion</t>
  </si>
  <si>
    <t>Fecha_Remision_Ginecologo</t>
  </si>
  <si>
    <t>Fecha_Asistencia_Primera_Vez_Ginecologia</t>
  </si>
  <si>
    <t>Fecha_Ultima_Asistencia_Consulta_Gineco</t>
  </si>
  <si>
    <t>Numero_Consultas_Ginecologo</t>
  </si>
  <si>
    <t>Resultado_Hemogl Antes_Tercer_Trimestre</t>
  </si>
  <si>
    <t>Fecha_Resultado_HB</t>
  </si>
  <si>
    <t>Edad_Gestacional_HB</t>
  </si>
  <si>
    <t>Conducta_Hemoglobina</t>
  </si>
  <si>
    <t>Trimestre_Gestacion_Toma_Examen</t>
  </si>
  <si>
    <t>Resultado_Hemoglobina_Semana_Veintiocho</t>
  </si>
  <si>
    <t>Fecha_Resultado_HB_Semana_Veintiocho</t>
  </si>
  <si>
    <t>Edad_Gestacional_HB_Semana_Veintiocho</t>
  </si>
  <si>
    <t>Conducta_Hemoglobina_Diez</t>
  </si>
  <si>
    <t>Resultado_Hemoclasificacion_RH_Riesgo_</t>
  </si>
  <si>
    <t>FECHA RESULTADO DE HEMOCL</t>
  </si>
  <si>
    <t>Fecha_Aplicación_Rhesuman</t>
  </si>
  <si>
    <t>Edad_Gestacional_Hemoclasificacion_RH</t>
  </si>
  <si>
    <t>Observacion_Resultado_De_Hemoclasificacion_RH_</t>
  </si>
  <si>
    <t>Glicemia_Pre</t>
  </si>
  <si>
    <t>Fecha_Glicemia</t>
  </si>
  <si>
    <t>Edad_Gestacional_Glicemia</t>
  </si>
  <si>
    <t>PTOG_Carga_SeteintayCinco_Pre_Valor</t>
  </si>
  <si>
    <t>PTOG_Carga_SeteintayCinco_Uno_Hora_Valor</t>
  </si>
  <si>
    <t>PTOG_Carga_SeteintayCinco_Dos_Hora_Valor</t>
  </si>
  <si>
    <t>PTOG_Carga_SeteintayCinco_Resultado</t>
  </si>
  <si>
    <t>Fecha_Toma_Examen_PTOG</t>
  </si>
  <si>
    <t>Edad_Gestacional_PTOG</t>
  </si>
  <si>
    <t>Tamizaje_Para_Sifilis_Segun_GPC_Sifilis_</t>
  </si>
  <si>
    <t>Fecha_Resultado_Primer_Trimestre</t>
  </si>
  <si>
    <t>Alarma_Tamizaje_Sifilis_Primer_Trimestre</t>
  </si>
  <si>
    <t>Tamizaje_Sifilis_Segun_GPC_Sifilis_Segundo_Trimestre</t>
  </si>
  <si>
    <t>Fecha_Resultado_PR_Segundo_Trimestre</t>
  </si>
  <si>
    <t>Alarma_Tamizaje_Sifilis_Segundo_Trimestre_</t>
  </si>
  <si>
    <t>Tamizaje_Sifilis_Segun_GPC_Sifilis_Tercer_</t>
  </si>
  <si>
    <t>Fecha_Resultado_PR_Tercer_Trimestre</t>
  </si>
  <si>
    <t>Alarma_Tamizaje_Sifilis_Tercer_Trimest</t>
  </si>
  <si>
    <t>Tamizaje_Sifilis_Segun_GPC_Sifilis_</t>
  </si>
  <si>
    <t>Fecha_Resultado_PR_Intraparto</t>
  </si>
  <si>
    <t>Alarma_Consolidada_Casos_Sifilis_</t>
  </si>
  <si>
    <t>Resultado_Urocultivo</t>
  </si>
  <si>
    <t>Fecha_Resultado_Urocultivo</t>
  </si>
  <si>
    <t>Edad_Gestacional_Uroculltivo</t>
  </si>
  <si>
    <t>Tamizaje_VIH_Primer_Trimestre</t>
  </si>
  <si>
    <t>Fecha_Resultado_Tamizaje_VIH_Primer_Trimestre</t>
  </si>
  <si>
    <t>Alarma_Tamizaje_VIH_Primer_Trimestre</t>
  </si>
  <si>
    <t>Tamizaje_VIH_Segundo_Trimestre</t>
  </si>
  <si>
    <t>Fecha_Resultado_Tamizaje_VIH_Segundo_</t>
  </si>
  <si>
    <t>Alarma_Tamizaje_VIH_Segundo_Trimestre</t>
  </si>
  <si>
    <t>Tamizaje_VIH_Tercer_Trimestre</t>
  </si>
  <si>
    <t>Fecha_Resultado_Tamizaje_VIH_Tercer_</t>
  </si>
  <si>
    <t>Alarma_Tamizaje_VIH_Tercer_Trimestre</t>
  </si>
  <si>
    <t>Tamizaje_VIH_Intraparto_Segun_GPC</t>
  </si>
  <si>
    <t>Fecha_Resultado_Tamizaje_Intraparto</t>
  </si>
  <si>
    <t>Segunda_Prueba_PR_Definir_Diagnostico_VIH_Segun_</t>
  </si>
  <si>
    <t>Fecha_Resultado_Segunda_Prueba_Elisa_PR_Definir_</t>
  </si>
  <si>
    <t>Resultado_Carga_Viral_Segun_Protocolo_INS</t>
  </si>
  <si>
    <t>Fecha_Resultado_Carga_Viral_Segun_Protocolo_INS</t>
  </si>
  <si>
    <t>Resultado_HEP_B_Antigeno_Sperficie</t>
  </si>
  <si>
    <t>Fecha_Resultado_HASB</t>
  </si>
  <si>
    <t>Edad_Gestacional_Dieciocho</t>
  </si>
  <si>
    <t>Resultado_Toxoplasma_IgG</t>
  </si>
  <si>
    <t>Resultado_Confir_Toxoplasma_IgM</t>
  </si>
  <si>
    <t>Alarma_Toxoplasmosis</t>
  </si>
  <si>
    <t>Fecha_Resultado_Toxo</t>
  </si>
  <si>
    <t>Edad_Gestacional_Veinituno</t>
  </si>
  <si>
    <t>Trimestre_Gestacion_Toma_Examen_CincuentayDos</t>
  </si>
  <si>
    <t>Resultado_Toxoplasmosis_Ultimo_IgM_Si_</t>
  </si>
  <si>
    <t>Numero_Veces_Toma_Toxoplasma_IgM_Control</t>
  </si>
  <si>
    <t>Resultado_Ultima_Citologia</t>
  </si>
  <si>
    <t>Tamizaje_Para_Chagas</t>
  </si>
  <si>
    <t>Fecha_Resultado_Tamizaje_Chagas</t>
  </si>
  <si>
    <t>Tamizaje_Inicial_Gota_Gruesa_Malaria</t>
  </si>
  <si>
    <t>Fecha_Resultado_Tamizaje_Inicial_Gota_Gruesa</t>
  </si>
  <si>
    <t>Resultado_Ultimo_Tamizaje_Gota_Gruesa</t>
  </si>
  <si>
    <t>Numero_Tamizajes_Tomados_Gota_Gruesa_Malaria</t>
  </si>
  <si>
    <t>Diagnostico_Positivo_Covid_Infeccion_SARS</t>
  </si>
  <si>
    <t>Enfermedades_Propias_Culturales</t>
  </si>
  <si>
    <t>Otros_Factores_Riesgo</t>
  </si>
  <si>
    <t>Riesgo_Biopsicosocial</t>
  </si>
  <si>
    <t>Motivos_Clasificacion_Riesgo_Biopsicosocial</t>
  </si>
  <si>
    <t>Alarma_Factores_Riesgo_Complicaciones_</t>
  </si>
  <si>
    <t>Alarma_Seguimiento_Cifras_Presion_Arterial_</t>
  </si>
  <si>
    <t>Alerta_Seguimiento_Dos</t>
  </si>
  <si>
    <t>Gestantes_Actuales_VeintiDos</t>
  </si>
  <si>
    <t>Clasificacion_Riesgo_Adecuada</t>
  </si>
  <si>
    <t>Suministro_ASA_Segun_GPC</t>
  </si>
  <si>
    <t>Fecha_Inicio_Suministro_ASA</t>
  </si>
  <si>
    <t>Alerta_Suministro_ASA</t>
  </si>
  <si>
    <t>Fecha_Inicio_Suministro_Calcio</t>
  </si>
  <si>
    <t>Suministro_Calcio</t>
  </si>
  <si>
    <t>Fecha_Inicio_Suministro_Acido_Folico</t>
  </si>
  <si>
    <t>Suministro_Acido_Folico</t>
  </si>
  <si>
    <t>Fecha_Inicio_Suministro_Sulfato_Ferroso</t>
  </si>
  <si>
    <t>Suministro_Sulfato_Ferroso</t>
  </si>
  <si>
    <t>Fecha_Consulta_Primera_Vez_Odontologia</t>
  </si>
  <si>
    <t>Semanas de gestacion al cnslta odontol</t>
  </si>
  <si>
    <t>Manejo_Odontologico_Durante_Gestacion</t>
  </si>
  <si>
    <t>Vacunacion_Covid</t>
  </si>
  <si>
    <t>Fecha_Vacuna_Anti_Influenza</t>
  </si>
  <si>
    <t>Fecha_Vacuna_DPT_Acelular</t>
  </si>
  <si>
    <t>Alarma_DPT_Acelular</t>
  </si>
  <si>
    <t>Fecha_Vacuna_TD</t>
  </si>
  <si>
    <t>Días_Parto_Dos</t>
  </si>
  <si>
    <t>Alerta_Parto_Tres</t>
  </si>
  <si>
    <t>Fecha_Ultima_Remision_URG</t>
  </si>
  <si>
    <t>Sale_Programa_Por</t>
  </si>
  <si>
    <t>Eventos_Interes_Salud_Publica_Madre</t>
  </si>
  <si>
    <t>Eventos_Interes_Salud_Publica_RecienNacido</t>
  </si>
  <si>
    <t>Fecha_Salida_Programa</t>
  </si>
  <si>
    <t>Lugar_Atencion_Parto</t>
  </si>
  <si>
    <t>Edad_Gestacional_Salida_Programa</t>
  </si>
  <si>
    <t>Nombre_Institucion_Atendio_Parto</t>
  </si>
  <si>
    <t>Nivel_Complejidad_Atencion_Institucion_Atencion</t>
  </si>
  <si>
    <t>Profesional_Atencion_Parto</t>
  </si>
  <si>
    <t>Inicio_Trabajo_Parto</t>
  </si>
  <si>
    <t>Acompañamiento_Persona_Confianza_Durante</t>
  </si>
  <si>
    <t>Diligenciamiento_Partograma</t>
  </si>
  <si>
    <t>Manejo_Activo_Tercer_Periodo_Parto</t>
  </si>
  <si>
    <t>Contacto_Piel_A_Piel</t>
  </si>
  <si>
    <t>Inicio_Lactancia_Materna_Durante_Contacto</t>
  </si>
  <si>
    <t>Monitoria_Cada_Quince_Minutos_Signos_Vitales</t>
  </si>
  <si>
    <t>Complicaciones_Postparto</t>
  </si>
  <si>
    <t>Numero_Nacidos_Vivos</t>
  </si>
  <si>
    <t>Sexo_RN</t>
  </si>
  <si>
    <t>Peso_RN_Gramos</t>
  </si>
  <si>
    <t>Peso_Nacer</t>
  </si>
  <si>
    <t>Fecha_Toma_TSH</t>
  </si>
  <si>
    <t>Resultado_TSH</t>
  </si>
  <si>
    <t>Fecha_Resultado_TSH</t>
  </si>
  <si>
    <t>Aplicacion_VIT_K</t>
  </si>
  <si>
    <t>Grupo_Sanguineo_RN</t>
  </si>
  <si>
    <t>Fecha_Aplicacion_Vacuna_HepatitisB</t>
  </si>
  <si>
    <t>Fecha_Aplicacion_Vacuna_BCG</t>
  </si>
  <si>
    <t>Sexo_RN_Dos</t>
  </si>
  <si>
    <t>Peso_RN_Dos</t>
  </si>
  <si>
    <t>Peso_Nacer_Edad_Gestacional_RN_Dos</t>
  </si>
  <si>
    <t>Fecha_Toma_TSH_Dos</t>
  </si>
  <si>
    <t>Resultado_TSH_Dos</t>
  </si>
  <si>
    <t>Fecha_Resultado_TSH_Dos1</t>
  </si>
  <si>
    <t>Aplicacion_VIT_K_Dos</t>
  </si>
  <si>
    <t>Grupo_Sanguineo_RN_Dos</t>
  </si>
  <si>
    <t>Fecha_Resultado_TSH_Dos</t>
  </si>
  <si>
    <t>Fecha_Aplicacion_Vacuna_BCG_Dos</t>
  </si>
  <si>
    <t>Control_RN_Fecha_Asistio</t>
  </si>
  <si>
    <t>Alarma_Uno_Control_RN</t>
  </si>
  <si>
    <t>Control_Puerperio_Fecha</t>
  </si>
  <si>
    <t>Alarma_Control_Puerperio</t>
  </si>
  <si>
    <t>Asesoria_Lactancia_Materna_Exlusiva_</t>
  </si>
  <si>
    <t>Asesoria_Planificacion_Familiar_PostEvento_</t>
  </si>
  <si>
    <t>Puerpera_Planificacion_Familiar_PostEvento_</t>
  </si>
  <si>
    <t>Fecha_Inscripcion_Planificacion_Familiar_Dos</t>
  </si>
  <si>
    <t>Metodo_Anticonceptivo_Inciado_Postparto</t>
  </si>
  <si>
    <t>Tipo_Apoyo_Realizado_Por_EPS</t>
  </si>
  <si>
    <t>Tipo_Apoyo_Realizado_Por_IPS_Primaria</t>
  </si>
  <si>
    <t>Fecha_Seguimiento_Inicial_Por_Personal_Salud_Terreno</t>
  </si>
  <si>
    <t>Fecha_Ultimo_Seguimiento</t>
  </si>
  <si>
    <t>Numero_Seguimientos_CPN</t>
  </si>
  <si>
    <t>Hallazgo_Gestacion_Seguimiento_Visita_Domiciliaria</t>
  </si>
  <si>
    <t>Fecha_Seguimientos_Telefonicos</t>
  </si>
  <si>
    <t>Numero_Seguimientos_Telefonicos</t>
  </si>
  <si>
    <t>Observacion_Seguimientos_Telefonicos</t>
  </si>
  <si>
    <t>Fecha_Seguimiento_Personal_Salud_Terreno_Puerperio</t>
  </si>
  <si>
    <t>Hallazgos_Acompañamiento_Personal_Salud__Puerpera</t>
  </si>
  <si>
    <t>Hallazgos_Acompañamiento_Personal_Salud__</t>
  </si>
  <si>
    <t>Fecha_Ultimo_Seguimiento_Personal_Salud_Terreno</t>
  </si>
  <si>
    <t>Numero_Seguimiento_Puerperio</t>
  </si>
  <si>
    <t>Fecha_Primer_Acompañamiento_SabedorAncestral</t>
  </si>
  <si>
    <t>Tipo_Sabedor</t>
  </si>
  <si>
    <t>Necesidad_Desarmonia_Desde_Lo_Propio_Uno</t>
  </si>
  <si>
    <t>Actividad_Ritualidad_Realizada_Uno</t>
  </si>
  <si>
    <t>Fecha_Acompañamiento_Sabedor_Ancestral_Dos</t>
  </si>
  <si>
    <t>Tipo_Sabedor_Dos</t>
  </si>
  <si>
    <t>Necesidad_Desarmonia_Desde_Lo_Propio_Dos</t>
  </si>
  <si>
    <t>Actividad_Ritualidad_Realizada_Dos</t>
  </si>
  <si>
    <t>Fecha_Acompañamiento_Sabedor_Ancestral_Tres</t>
  </si>
  <si>
    <t>Tipo_Sabedor_Tres</t>
  </si>
  <si>
    <t>Necesidad_Desarmonia_Desde_Lo_Propio_Tres</t>
  </si>
  <si>
    <t>Actividad_Ritualidad_Realizada_Cuatro</t>
  </si>
  <si>
    <t>Fecha_Acompañamiento_Sabedor_Ancestral_Cuatro</t>
  </si>
  <si>
    <t>Tipo_Sabedor_Cuatro</t>
  </si>
  <si>
    <t>Necesidad_Desarmonia_Desde_Lo_Propio_Cuatro</t>
  </si>
  <si>
    <t>Actividad_Ritualidad_Realizada_Cinco</t>
  </si>
  <si>
    <t>Fecha_Acompañamiento_Sabedor_Ancestral_Cinco</t>
  </si>
  <si>
    <t>Tipo_Sabedor_Cinco</t>
  </si>
  <si>
    <t>Necesidad_Desarmonia_Desde_Lo_Propio_Cinco</t>
  </si>
  <si>
    <t>Actividad_Ritualidad_Realizada_Seis</t>
  </si>
  <si>
    <t>Fecha_Acompañamiento_Sabedor_Ancest</t>
  </si>
  <si>
    <t>Tipo_Sabedor_Seis</t>
  </si>
  <si>
    <t>Necesidad_Desarmonia_Desde_Lo_Propio_Seis</t>
  </si>
  <si>
    <t>Actividad_Ritualidad_Realizada_Siete</t>
  </si>
  <si>
    <t>Fecha_Acompañamiento_Sabedor_Puerperio</t>
  </si>
  <si>
    <t>Tipo_Sabedor_Siete</t>
  </si>
  <si>
    <t>Necesidad_Desarmonia_Desde_Lo_Propio_Siete</t>
  </si>
  <si>
    <t>Actividad_Ritualidad_Realizada_Ocho</t>
  </si>
  <si>
    <t>Fecha_Acompañamiento_Sabedor_Puerperio22</t>
  </si>
  <si>
    <t>Tipo_Sabedor_Ocho</t>
  </si>
  <si>
    <t>Necesidad_Desarmonia_Desde_Lo_Propio_Ocho</t>
  </si>
  <si>
    <t>Actividad_Ritualidad_Realizada_Nueve</t>
  </si>
  <si>
    <t>Fecha_Acompañamiento_Sabedor_Ancestral1</t>
  </si>
  <si>
    <t>Tipo_Sabedor_Nueve</t>
  </si>
  <si>
    <t>Necesidad_Desarmonia_Desde_Lo_Propio_Nueve</t>
  </si>
  <si>
    <t>Actividad_Ritualidad_Realizada_Diez</t>
  </si>
  <si>
    <t>Fecha_Acompañamiento_Sabedor_Ancestral</t>
  </si>
  <si>
    <t>Tipo_Sabedor_Diez</t>
  </si>
  <si>
    <t>Necesidad_Desarmonia_Desde_Lo_Propio_Diez</t>
  </si>
  <si>
    <t>Actividad_Ritualidad_Realizada_Once</t>
  </si>
  <si>
    <t>narvaez</t>
  </si>
  <si>
    <t>ARNOL NARAVEZ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</si>
</sst>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0.0"/>
    <numFmt numFmtId="165" formatCode="yyyy\-mm\-dd;@"/>
    <numFmt numFmtId="166" formatCode="dd/mm/yyyy"/>
    <numFmt numFmtId="167" formatCode="0.0%"/>
    <numFmt numFmtId="168" formatCode="dd/mm/yyyy;@"/>
  </numFmts>
  <fonts count="59" x14ac:knownFonts="1">
    <font>
      <sz val="11"/>
      <color theme="1"/>
      <name val="Calibri"/>
      <family val="2"/>
      <scheme val="minor"/>
    </font>
    <font>
      <b/>
      <sz val="11"/>
      <color theme="1"/>
      <name val="Calibri"/>
      <family val="2"/>
      <scheme val="minor"/>
    </font>
    <font>
      <sz val="11"/>
      <color indexed="8"/>
      <name val="Calibri"/>
      <family val="2"/>
    </font>
    <font>
      <sz val="10"/>
      <name val="Arial"/>
      <family val="2"/>
    </font>
    <font>
      <b/>
      <sz val="11"/>
      <color theme="0"/>
      <name val="Calibri"/>
      <family val="2"/>
      <scheme val="minor"/>
    </font>
    <font>
      <sz val="10"/>
      <color theme="1"/>
      <name val="Calibri"/>
      <family val="2"/>
      <scheme val="minor"/>
    </font>
    <font>
      <sz val="11"/>
      <color theme="1"/>
      <name val="Calibri"/>
      <family val="2"/>
      <scheme val="minor"/>
    </font>
    <font>
      <sz val="11"/>
      <color theme="0"/>
      <name val="Calibri"/>
      <family val="2"/>
      <scheme val="minor"/>
    </font>
    <font>
      <b/>
      <sz val="10"/>
      <color theme="1"/>
      <name val="Calibri"/>
      <family val="2"/>
      <scheme val="minor"/>
    </font>
    <font>
      <b/>
      <sz val="11"/>
      <color theme="5" tint="-0.499984740745262"/>
      <name val="Calibri"/>
      <family val="2"/>
      <scheme val="minor"/>
    </font>
    <font>
      <sz val="9"/>
      <color theme="1"/>
      <name val="Calibri"/>
      <family val="2"/>
      <scheme val="minor"/>
    </font>
    <font>
      <sz val="9"/>
      <color theme="1"/>
      <name val="Arial"/>
      <family val="2"/>
    </font>
    <font>
      <sz val="10"/>
      <color theme="1"/>
      <name val="Arial"/>
      <family val="2"/>
    </font>
    <font>
      <sz val="11"/>
      <color theme="1"/>
      <name val="Arial"/>
      <family val="2"/>
    </font>
    <font>
      <sz val="8"/>
      <color theme="1"/>
      <name val="Arial"/>
      <family val="2"/>
    </font>
    <font>
      <b/>
      <sz val="11"/>
      <color theme="1"/>
      <name val="Arial"/>
      <family val="2"/>
    </font>
    <font>
      <sz val="10"/>
      <color rgb="FF000000"/>
      <name val="Calibri"/>
      <family val="2"/>
      <scheme val="minor"/>
    </font>
    <font>
      <sz val="11"/>
      <color rgb="FFFF0000"/>
      <name val="Calibri"/>
      <family val="2"/>
      <scheme val="minor"/>
    </font>
    <font>
      <b/>
      <sz val="11"/>
      <color rgb="FFFF0000"/>
      <name val="Calibri"/>
      <family val="2"/>
      <scheme val="minor"/>
    </font>
    <font>
      <b/>
      <sz val="9"/>
      <color theme="1"/>
      <name val="Arial"/>
      <family val="2"/>
    </font>
    <font>
      <sz val="10"/>
      <color theme="1"/>
      <name val="Calibri"/>
      <family val="2"/>
      <scheme val="minor"/>
    </font>
    <font>
      <sz val="10"/>
      <color indexed="8"/>
      <name val="Arial"/>
      <family val="2"/>
    </font>
    <font>
      <b/>
      <i/>
      <sz val="11"/>
      <color theme="0"/>
      <name val="Calibri"/>
      <family val="2"/>
      <scheme val="minor"/>
    </font>
    <font>
      <b/>
      <u/>
      <sz val="10"/>
      <color theme="1"/>
      <name val="Calibri"/>
      <family val="2"/>
      <scheme val="minor"/>
    </font>
    <font>
      <b/>
      <sz val="12"/>
      <color theme="1"/>
      <name val="Calibri"/>
      <family val="2"/>
      <scheme val="minor"/>
    </font>
    <font>
      <b/>
      <sz val="10"/>
      <color theme="1"/>
      <name val="Times New Roman"/>
      <family val="1"/>
    </font>
    <font>
      <sz val="18"/>
      <color theme="1"/>
      <name val="Calibri"/>
      <family val="2"/>
      <scheme val="minor"/>
    </font>
    <font>
      <b/>
      <sz val="14"/>
      <color theme="1"/>
      <name val="Calibri"/>
      <family val="2"/>
      <scheme val="minor"/>
    </font>
    <font>
      <sz val="14"/>
      <color theme="1"/>
      <name val="Calibri"/>
      <family val="2"/>
      <scheme val="minor"/>
    </font>
    <font>
      <u/>
      <sz val="11"/>
      <color theme="1"/>
      <name val="Calibri"/>
      <family val="2"/>
      <scheme val="minor"/>
    </font>
    <font>
      <u/>
      <sz val="11"/>
      <color rgb="FFFF0000"/>
      <name val="Calibri"/>
      <family val="2"/>
      <scheme val="minor"/>
    </font>
    <font>
      <b/>
      <sz val="10"/>
      <color theme="0"/>
      <name val="Calibri"/>
      <family val="2"/>
      <scheme val="minor"/>
    </font>
    <font>
      <b/>
      <sz val="10"/>
      <color theme="0"/>
      <name val="Times New Roman"/>
      <family val="1"/>
    </font>
    <font>
      <sz val="8"/>
      <name val="Calibri"/>
      <family val="2"/>
      <scheme val="minor"/>
    </font>
    <font>
      <sz val="10"/>
      <color indexed="8"/>
      <name val="Arial"/>
      <family val="2"/>
    </font>
    <font>
      <b/>
      <i/>
      <sz val="11"/>
      <color rgb="FFFF0000"/>
      <name val="Calibri"/>
      <family val="2"/>
      <scheme val="minor"/>
    </font>
    <font>
      <sz val="11"/>
      <name val="Calibri"/>
      <family val="2"/>
      <scheme val="minor"/>
    </font>
    <font>
      <b/>
      <u/>
      <sz val="11"/>
      <name val="Calibri"/>
      <family val="2"/>
      <scheme val="minor"/>
    </font>
    <font>
      <b/>
      <u/>
      <sz val="11"/>
      <color rgb="FFFF0000"/>
      <name val="Calibri"/>
      <family val="2"/>
      <scheme val="minor"/>
    </font>
    <font>
      <sz val="10"/>
      <color theme="1"/>
      <name val="Calibri"/>
      <family val="2"/>
      <scheme val="minor"/>
    </font>
    <font>
      <b/>
      <sz val="11"/>
      <name val="Calibri"/>
      <family val="2"/>
      <scheme val="minor"/>
    </font>
    <font>
      <b/>
      <sz val="10"/>
      <name val="Times New Roman"/>
      <family val="1"/>
    </font>
    <font>
      <b/>
      <sz val="16"/>
      <color theme="1"/>
      <name val="Calibri"/>
      <family val="2"/>
      <scheme val="minor"/>
    </font>
    <font>
      <sz val="11"/>
      <name val="Arial"/>
      <family val="2"/>
    </font>
    <font>
      <sz val="10"/>
      <color theme="1"/>
      <name val="Calibri"/>
      <family val="2"/>
      <scheme val="minor"/>
    </font>
    <font>
      <sz val="10"/>
      <color rgb="FFFF0000"/>
      <name val="Calibri"/>
      <family val="2"/>
      <scheme val="minor"/>
    </font>
    <font>
      <sz val="10"/>
      <color theme="0"/>
      <name val="Calibri"/>
      <family val="2"/>
      <scheme val="minor"/>
    </font>
    <font>
      <b/>
      <i/>
      <sz val="11"/>
      <name val="Calibri"/>
      <family val="2"/>
      <scheme val="minor"/>
    </font>
    <font>
      <sz val="10"/>
      <color theme="1"/>
      <name val="Calibri"/>
      <family val="2"/>
      <scheme val="minor"/>
    </font>
    <font>
      <sz val="12"/>
      <color theme="1"/>
      <name val="Calibri"/>
      <family val="2"/>
      <scheme val="minor"/>
    </font>
    <font>
      <sz val="8"/>
      <color theme="1"/>
      <name val="Century Gothic"/>
      <family val="2"/>
    </font>
    <font>
      <sz val="11"/>
      <color theme="1"/>
      <name val="Calibri"/>
      <family val="2"/>
    </font>
    <font>
      <sz val="10"/>
      <color rgb="FFFF0000"/>
      <name val="Arial"/>
      <family val="2"/>
    </font>
    <font>
      <sz val="10"/>
      <color theme="1"/>
      <name val="Calibri"/>
      <family val="2"/>
      <scheme val="minor"/>
    </font>
    <font>
      <b/>
      <sz val="11"/>
      <color rgb="FF333333"/>
      <name val="Arial"/>
      <family val="2"/>
    </font>
    <font>
      <sz val="10"/>
      <color indexed="8"/>
      <name val="Calibri"/>
      <family val="2"/>
      <scheme val="minor"/>
    </font>
    <font>
      <sz val="11"/>
      <color indexed="8"/>
      <name val="Calibri"/>
      <family val="2"/>
      <scheme val="minor"/>
    </font>
    <font>
      <b/>
      <sz val="9"/>
      <color rgb="FF000000"/>
      <name val="Century Gothic"/>
      <family val="2"/>
    </font>
    <font>
      <sz val="11"/>
      <color rgb="FFCE9178"/>
      <name val="Consolas"/>
      <family val="3"/>
    </font>
  </fonts>
  <fills count="37">
    <fill>
      <patternFill patternType="none"/>
    </fill>
    <fill>
      <patternFill patternType="gray125"/>
    </fill>
    <fill>
      <patternFill patternType="solid">
        <fgColor rgb="FFFFFF00"/>
        <bgColor indexed="64"/>
      </patternFill>
    </fill>
    <fill>
      <patternFill patternType="solid">
        <fgColor theme="5" tint="0.39997558519241921"/>
        <bgColor indexed="65"/>
      </patternFill>
    </fill>
    <fill>
      <patternFill patternType="solid">
        <fgColor theme="5" tint="0.39994506668294322"/>
        <bgColor indexed="64"/>
      </patternFill>
    </fill>
    <fill>
      <patternFill patternType="solid">
        <fgColor theme="8" tint="0.59996337778862885"/>
        <bgColor indexed="64"/>
      </patternFill>
    </fill>
    <fill>
      <patternFill patternType="solid">
        <fgColor theme="8"/>
      </patternFill>
    </fill>
    <fill>
      <patternFill patternType="solid">
        <fgColor theme="9" tint="-0.249977111117893"/>
        <bgColor indexed="64"/>
      </patternFill>
    </fill>
    <fill>
      <patternFill patternType="solid">
        <fgColor theme="9" tint="0.39997558519241921"/>
        <bgColor indexed="64"/>
      </patternFill>
    </fill>
    <fill>
      <patternFill patternType="solid">
        <fgColor rgb="FFF0EE8A"/>
        <bgColor indexed="64"/>
      </patternFill>
    </fill>
    <fill>
      <patternFill patternType="solid">
        <fgColor theme="2" tint="-9.9978637043366805E-2"/>
        <bgColor indexed="64"/>
      </patternFill>
    </fill>
    <fill>
      <patternFill patternType="solid">
        <fgColor theme="8"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theme="6" tint="0.39997558519241921"/>
        <bgColor indexed="64"/>
      </patternFill>
    </fill>
    <fill>
      <patternFill patternType="solid">
        <fgColor theme="6" tint="-0.499984740745262"/>
        <bgColor indexed="64"/>
      </patternFill>
    </fill>
    <fill>
      <patternFill patternType="solid">
        <fgColor theme="0"/>
        <bgColor indexed="64"/>
      </patternFill>
    </fill>
    <fill>
      <patternFill patternType="solid">
        <fgColor theme="9"/>
        <bgColor indexed="64"/>
      </patternFill>
    </fill>
    <fill>
      <patternFill patternType="solid">
        <fgColor rgb="FFFFFFCC"/>
        <bgColor indexed="64"/>
      </patternFill>
    </fill>
    <fill>
      <patternFill patternType="solid">
        <fgColor theme="4" tint="0.79998168889431442"/>
        <bgColor indexed="64"/>
      </patternFill>
    </fill>
    <fill>
      <patternFill patternType="solid">
        <fgColor theme="8" tint="0.59999389629810485"/>
        <bgColor indexed="64"/>
      </patternFill>
    </fill>
    <fill>
      <patternFill patternType="solid">
        <fgColor theme="2" tint="-0.249977111117893"/>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5" tint="-0.499984740745262"/>
        <bgColor indexed="64"/>
      </patternFill>
    </fill>
    <fill>
      <patternFill patternType="solid">
        <fgColor theme="4" tint="0.39997558519241921"/>
        <bgColor indexed="64"/>
      </patternFill>
    </fill>
    <fill>
      <patternFill patternType="solid">
        <fgColor rgb="FFFFC000"/>
        <bgColor indexed="64"/>
      </patternFill>
    </fill>
    <fill>
      <patternFill patternType="solid">
        <fgColor theme="4"/>
        <bgColor indexed="64"/>
      </patternFill>
    </fill>
    <fill>
      <patternFill patternType="solid">
        <fgColor theme="9" tint="0.79998168889431442"/>
        <bgColor theme="9" tint="0.79998168889431442"/>
      </patternFill>
    </fill>
    <fill>
      <patternFill patternType="solid">
        <fgColor theme="9" tint="-0.249977111117893"/>
        <bgColor theme="9" tint="0.79998168889431442"/>
      </patternFill>
    </fill>
    <fill>
      <patternFill patternType="solid">
        <fgColor rgb="FF2BE7E7"/>
        <bgColor indexed="64"/>
      </patternFill>
    </fill>
    <fill>
      <patternFill patternType="solid">
        <fgColor theme="4" tint="-0.249977111117893"/>
        <bgColor indexed="64"/>
      </patternFill>
    </fill>
    <fill>
      <patternFill patternType="solid">
        <fgColor rgb="FF31869B"/>
        <bgColor indexed="64"/>
      </patternFill>
    </fill>
    <fill>
      <patternFill patternType="solid">
        <fgColor theme="8"/>
        <bgColor indexed="64"/>
      </patternFill>
    </fill>
    <fill>
      <patternFill patternType="solid">
        <fgColor theme="7" tint="0.59999389629810485"/>
        <bgColor indexed="64"/>
      </patternFill>
    </fill>
    <fill>
      <patternFill patternType="solid">
        <fgColor theme="8" tint="0.79998168889431442"/>
        <bgColor indexed="64"/>
      </patternFill>
    </fill>
    <fill>
      <patternFill patternType="solid">
        <fgColor theme="5"/>
        <bgColor indexed="64"/>
      </patternFill>
    </fill>
  </fills>
  <borders count="52">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double">
        <color rgb="FF3F3F3F"/>
      </left>
      <right style="double">
        <color rgb="FF3F3F3F"/>
      </right>
      <top style="double">
        <color rgb="FF3F3F3F"/>
      </top>
      <bottom style="double">
        <color rgb="FF3F3F3F"/>
      </bottom>
      <diagonal/>
    </border>
    <border>
      <left style="thin">
        <color theme="3"/>
      </left>
      <right style="thin">
        <color theme="3"/>
      </right>
      <top style="thin">
        <color theme="3"/>
      </top>
      <bottom style="double">
        <color theme="3"/>
      </bottom>
      <diagonal/>
    </border>
    <border>
      <left style="thin">
        <color theme="5" tint="-0.499984740745262"/>
      </left>
      <right style="thin">
        <color theme="5" tint="-0.499984740745262"/>
      </right>
      <top style="thin">
        <color theme="5" tint="-0.499984740745262"/>
      </top>
      <bottom style="double">
        <color theme="5" tint="-0.499984740745262"/>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diagonal/>
    </border>
    <border>
      <left style="medium">
        <color indexed="64"/>
      </left>
      <right/>
      <top style="medium">
        <color indexed="64"/>
      </top>
      <bottom/>
      <diagonal/>
    </border>
    <border>
      <left style="medium">
        <color indexed="64"/>
      </left>
      <right/>
      <top style="medium">
        <color indexed="64"/>
      </top>
      <bottom style="medium">
        <color indexed="64"/>
      </bottom>
      <diagonal/>
    </border>
    <border>
      <left/>
      <right style="thin">
        <color indexed="64"/>
      </right>
      <top style="medium">
        <color indexed="64"/>
      </top>
      <bottom/>
      <diagonal/>
    </border>
    <border>
      <left style="thin">
        <color indexed="64"/>
      </left>
      <right style="medium">
        <color indexed="64"/>
      </right>
      <top style="medium">
        <color indexed="64"/>
      </top>
      <bottom/>
      <diagonal/>
    </border>
    <border>
      <left/>
      <right/>
      <top/>
      <bottom style="thin">
        <color indexed="64"/>
      </bottom>
      <diagonal/>
    </border>
    <border>
      <left style="thin">
        <color indexed="64"/>
      </left>
      <right style="thin">
        <color indexed="64"/>
      </right>
      <top style="thin">
        <color indexed="64"/>
      </top>
      <bottom style="medium">
        <color theme="9"/>
      </bottom>
      <diagonal/>
    </border>
    <border>
      <left style="medium">
        <color indexed="64"/>
      </left>
      <right/>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diagonal/>
    </border>
    <border>
      <left style="thin">
        <color indexed="64"/>
      </left>
      <right style="thin">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style="thin">
        <color indexed="64"/>
      </bottom>
      <diagonal/>
    </border>
    <border>
      <left style="thin">
        <color indexed="64"/>
      </left>
      <right/>
      <top style="thin">
        <color indexed="64"/>
      </top>
      <bottom/>
      <diagonal/>
    </border>
    <border>
      <left style="medium">
        <color indexed="64"/>
      </left>
      <right style="thin">
        <color indexed="64"/>
      </right>
      <top style="medium">
        <color indexed="64"/>
      </top>
      <bottom/>
      <diagonal/>
    </border>
    <border>
      <left style="thin">
        <color indexed="64"/>
      </left>
      <right style="thin">
        <color indexed="64"/>
      </right>
      <top/>
      <bottom style="medium">
        <color indexed="64"/>
      </bottom>
      <diagonal/>
    </border>
    <border>
      <left/>
      <right/>
      <top style="thin">
        <color indexed="64"/>
      </top>
      <bottom/>
      <diagonal/>
    </border>
    <border>
      <left style="medium">
        <color indexed="64"/>
      </left>
      <right/>
      <top style="thin">
        <color indexed="64"/>
      </top>
      <bottom/>
      <diagonal/>
    </border>
    <border>
      <left style="medium">
        <color indexed="64"/>
      </left>
      <right/>
      <top/>
      <bottom style="medium">
        <color indexed="64"/>
      </bottom>
      <diagonal/>
    </border>
    <border>
      <left style="thin">
        <color indexed="64"/>
      </left>
      <right/>
      <top/>
      <bottom style="thin">
        <color indexed="64"/>
      </bottom>
      <diagonal/>
    </border>
    <border>
      <left/>
      <right style="thin">
        <color indexed="64"/>
      </right>
      <top style="thin">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thin">
        <color indexed="64"/>
      </left>
      <right/>
      <top style="medium">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bottom style="thin">
        <color indexed="64"/>
      </bottom>
      <diagonal/>
    </border>
  </borders>
  <cellStyleXfs count="21">
    <xf numFmtId="0" fontId="0" fillId="0" borderId="0"/>
    <xf numFmtId="0" fontId="2" fillId="0" borderId="0"/>
    <xf numFmtId="0" fontId="3" fillId="0" borderId="0"/>
    <xf numFmtId="0" fontId="2" fillId="0" borderId="0"/>
    <xf numFmtId="0" fontId="2" fillId="0" borderId="0"/>
    <xf numFmtId="9" fontId="3" fillId="0" borderId="0" applyFont="0" applyFill="0" applyBorder="0" applyAlignment="0" applyProtection="0"/>
    <xf numFmtId="9" fontId="6" fillId="0" borderId="0" applyFont="0" applyFill="0" applyBorder="0" applyAlignment="0" applyProtection="0"/>
    <xf numFmtId="0" fontId="4" fillId="4" borderId="4" applyAlignment="0">
      <alignment horizontal="center" vertical="center" wrapText="1"/>
    </xf>
    <xf numFmtId="0" fontId="1" fillId="5" borderId="5"/>
    <xf numFmtId="0" fontId="9" fillId="3" borderId="6">
      <alignment vertical="center" wrapText="1"/>
    </xf>
    <xf numFmtId="0" fontId="7" fillId="6" borderId="0" applyNumberFormat="0" applyBorder="0" applyAlignment="0" applyProtection="0"/>
    <xf numFmtId="0" fontId="21" fillId="0" borderId="0" applyNumberFormat="0" applyFill="0" applyBorder="0" applyAlignment="0" applyProtection="0"/>
    <xf numFmtId="0" fontId="34" fillId="0" borderId="0"/>
    <xf numFmtId="0" fontId="34" fillId="0" borderId="0"/>
    <xf numFmtId="0" fontId="49" fillId="0" borderId="0"/>
    <xf numFmtId="0" fontId="6" fillId="0" borderId="0"/>
    <xf numFmtId="0" fontId="50" fillId="0" borderId="0"/>
    <xf numFmtId="0" fontId="6" fillId="0" borderId="0"/>
    <xf numFmtId="0" fontId="51" fillId="0" borderId="0"/>
    <xf numFmtId="0" fontId="6" fillId="0" borderId="0"/>
    <xf numFmtId="0" fontId="21" fillId="0" borderId="0"/>
  </cellStyleXfs>
  <cellXfs count="426">
    <xf numFmtId="0" fontId="0" fillId="0" borderId="0" xfId="0"/>
    <xf numFmtId="0" fontId="5" fillId="0" borderId="0" xfId="1" applyFont="1" applyAlignment="1">
      <alignment horizontal="center" vertical="center" wrapText="1"/>
    </xf>
    <xf numFmtId="164" fontId="5" fillId="0" borderId="0" xfId="1" applyNumberFormat="1" applyFont="1" applyAlignment="1">
      <alignment horizontal="center" vertical="center" wrapText="1"/>
    </xf>
    <xf numFmtId="1" fontId="5" fillId="0" borderId="0" xfId="1" applyNumberFormat="1" applyFont="1" applyAlignment="1">
      <alignment horizontal="center" vertical="center" wrapText="1"/>
    </xf>
    <xf numFmtId="14" fontId="5" fillId="0" borderId="0" xfId="1" applyNumberFormat="1" applyFont="1" applyAlignment="1">
      <alignment horizontal="center" vertical="center" wrapText="1"/>
    </xf>
    <xf numFmtId="2" fontId="5" fillId="0" borderId="0" xfId="1" applyNumberFormat="1" applyFont="1" applyAlignment="1">
      <alignment horizontal="center" vertical="center" wrapText="1"/>
    </xf>
    <xf numFmtId="0" fontId="8" fillId="0" borderId="0" xfId="1" applyFont="1" applyAlignment="1">
      <alignment horizontal="center" vertical="center" wrapText="1"/>
    </xf>
    <xf numFmtId="0" fontId="6" fillId="8" borderId="1" xfId="10" applyFont="1" applyFill="1" applyBorder="1" applyAlignment="1">
      <alignment horizontal="center" vertical="center" wrapText="1"/>
    </xf>
    <xf numFmtId="0" fontId="0" fillId="8" borderId="1" xfId="10" applyFont="1" applyFill="1" applyBorder="1" applyAlignment="1">
      <alignment horizontal="center" vertical="center" wrapText="1"/>
    </xf>
    <xf numFmtId="0" fontId="0" fillId="7" borderId="1" xfId="10" applyFont="1" applyFill="1" applyBorder="1" applyAlignment="1">
      <alignment horizontal="center" vertical="center" wrapText="1"/>
    </xf>
    <xf numFmtId="14" fontId="6" fillId="8" borderId="1" xfId="10" applyNumberFormat="1" applyFont="1" applyFill="1" applyBorder="1" applyAlignment="1">
      <alignment horizontal="center" vertical="center" wrapText="1"/>
    </xf>
    <xf numFmtId="0" fontId="0" fillId="0" borderId="1" xfId="0" applyBorder="1" applyAlignment="1">
      <alignment vertical="top" wrapText="1"/>
    </xf>
    <xf numFmtId="0" fontId="17" fillId="0" borderId="1" xfId="0" applyFont="1" applyBorder="1" applyAlignment="1">
      <alignment horizontal="justify" vertical="top"/>
    </xf>
    <xf numFmtId="0" fontId="0" fillId="0" borderId="1" xfId="0" applyBorder="1" applyAlignment="1">
      <alignment horizontal="justify" vertical="top"/>
    </xf>
    <xf numFmtId="0" fontId="18" fillId="0" borderId="1" xfId="0" applyFont="1" applyBorder="1" applyAlignment="1">
      <alignment vertical="top" wrapText="1"/>
    </xf>
    <xf numFmtId="14" fontId="8" fillId="0" borderId="0" xfId="1" applyNumberFormat="1" applyFont="1" applyAlignment="1">
      <alignment horizontal="center" vertical="center" wrapText="1"/>
    </xf>
    <xf numFmtId="165" fontId="5" fillId="0" borderId="0" xfId="1" applyNumberFormat="1" applyFont="1" applyAlignment="1">
      <alignment horizontal="center" vertical="center" wrapText="1"/>
    </xf>
    <xf numFmtId="0" fontId="1" fillId="8" borderId="1" xfId="10" applyFont="1" applyFill="1" applyBorder="1" applyAlignment="1">
      <alignment horizontal="center" vertical="center" wrapText="1"/>
    </xf>
    <xf numFmtId="14" fontId="0" fillId="8" borderId="1" xfId="10" applyNumberFormat="1" applyFont="1" applyFill="1" applyBorder="1" applyAlignment="1">
      <alignment horizontal="center" vertical="center" wrapText="1"/>
    </xf>
    <xf numFmtId="0" fontId="22" fillId="11" borderId="1" xfId="10" applyFont="1" applyFill="1" applyBorder="1" applyAlignment="1">
      <alignment horizontal="center" vertical="center" wrapText="1"/>
    </xf>
    <xf numFmtId="0" fontId="6" fillId="2" borderId="1" xfId="10" applyFont="1" applyFill="1" applyBorder="1" applyAlignment="1">
      <alignment horizontal="center" vertical="center" wrapText="1"/>
    </xf>
    <xf numFmtId="0" fontId="5" fillId="0" borderId="1" xfId="1" applyFont="1" applyBorder="1" applyAlignment="1">
      <alignment horizontal="center" vertical="center" wrapText="1"/>
    </xf>
    <xf numFmtId="14" fontId="5" fillId="0" borderId="1" xfId="1" applyNumberFormat="1" applyFont="1" applyBorder="1" applyAlignment="1">
      <alignment horizontal="center" vertical="center" wrapText="1"/>
    </xf>
    <xf numFmtId="0" fontId="16" fillId="0" borderId="1" xfId="0" applyFont="1" applyBorder="1" applyAlignment="1" applyProtection="1">
      <alignment horizontal="center" vertical="center" wrapText="1"/>
      <protection locked="0"/>
    </xf>
    <xf numFmtId="0" fontId="5" fillId="0" borderId="1" xfId="0" applyFont="1" applyBorder="1" applyAlignment="1">
      <alignment horizontal="center" vertical="center" wrapText="1"/>
    </xf>
    <xf numFmtId="164" fontId="5" fillId="0" borderId="1" xfId="1" applyNumberFormat="1" applyFont="1" applyBorder="1" applyAlignment="1">
      <alignment horizontal="center" vertical="center" wrapText="1"/>
    </xf>
    <xf numFmtId="0" fontId="5" fillId="0" borderId="1" xfId="0" applyFont="1" applyBorder="1" applyAlignment="1" applyProtection="1">
      <alignment horizontal="center" vertical="center" wrapText="1"/>
      <protection locked="0"/>
    </xf>
    <xf numFmtId="0" fontId="5" fillId="0" borderId="1" xfId="0" applyFont="1" applyBorder="1" applyAlignment="1">
      <alignment horizontal="center" vertical="center"/>
    </xf>
    <xf numFmtId="1" fontId="5" fillId="0" borderId="1" xfId="1" applyNumberFormat="1" applyFont="1" applyBorder="1" applyAlignment="1">
      <alignment horizontal="center" vertical="center" wrapText="1"/>
    </xf>
    <xf numFmtId="2" fontId="5" fillId="0" borderId="1" xfId="1" applyNumberFormat="1" applyFont="1" applyBorder="1" applyAlignment="1">
      <alignment horizontal="center" vertical="center" wrapText="1"/>
    </xf>
    <xf numFmtId="0" fontId="11" fillId="0" borderId="1" xfId="1" applyFont="1" applyBorder="1" applyAlignment="1">
      <alignment horizontal="center" vertical="center" wrapText="1"/>
    </xf>
    <xf numFmtId="14" fontId="12" fillId="0" borderId="1" xfId="0" applyNumberFormat="1" applyFont="1" applyBorder="1" applyAlignment="1">
      <alignment horizontal="center" vertical="center" wrapText="1"/>
    </xf>
    <xf numFmtId="14" fontId="5" fillId="0" borderId="1" xfId="0" applyNumberFormat="1" applyFont="1" applyBorder="1" applyAlignment="1">
      <alignment horizontal="center" vertical="center" wrapText="1"/>
    </xf>
    <xf numFmtId="14" fontId="13" fillId="0" borderId="1" xfId="1" applyNumberFormat="1" applyFont="1" applyBorder="1" applyAlignment="1">
      <alignment horizontal="center" vertical="center" wrapText="1"/>
    </xf>
    <xf numFmtId="0" fontId="14" fillId="0" borderId="1" xfId="1" applyFont="1" applyBorder="1" applyAlignment="1">
      <alignment horizontal="center" vertical="center" wrapText="1"/>
    </xf>
    <xf numFmtId="0" fontId="13" fillId="0" borderId="1" xfId="1" applyFont="1" applyBorder="1" applyAlignment="1">
      <alignment horizontal="center" vertical="center" wrapText="1"/>
    </xf>
    <xf numFmtId="0" fontId="15" fillId="0" borderId="1" xfId="1" applyFont="1" applyBorder="1" applyAlignment="1">
      <alignment horizontal="center" vertical="center" wrapText="1"/>
    </xf>
    <xf numFmtId="14" fontId="19" fillId="0" borderId="1" xfId="1" applyNumberFormat="1" applyFont="1" applyBorder="1" applyAlignment="1">
      <alignment horizontal="center" vertical="center" wrapText="1"/>
    </xf>
    <xf numFmtId="0" fontId="20" fillId="0" borderId="1" xfId="1" applyFont="1" applyBorder="1" applyAlignment="1">
      <alignment horizontal="center" vertical="center" wrapText="1"/>
    </xf>
    <xf numFmtId="14" fontId="20" fillId="0" borderId="1" xfId="1" applyNumberFormat="1" applyFont="1" applyBorder="1" applyAlignment="1">
      <alignment horizontal="center" vertical="center" wrapText="1"/>
    </xf>
    <xf numFmtId="2" fontId="22" fillId="11" borderId="1" xfId="10" applyNumberFormat="1" applyFont="1" applyFill="1" applyBorder="1" applyAlignment="1">
      <alignment horizontal="center" vertical="center" wrapText="1"/>
    </xf>
    <xf numFmtId="0" fontId="25" fillId="13" borderId="12" xfId="0" applyFont="1" applyFill="1" applyBorder="1" applyAlignment="1">
      <alignment vertical="center" wrapText="1"/>
    </xf>
    <xf numFmtId="0" fontId="25" fillId="16" borderId="13" xfId="0" applyFont="1" applyFill="1" applyBorder="1" applyAlignment="1">
      <alignment vertical="center" wrapText="1"/>
    </xf>
    <xf numFmtId="0" fontId="0" fillId="0" borderId="1" xfId="0" applyBorder="1"/>
    <xf numFmtId="0" fontId="25" fillId="16" borderId="0" xfId="0" applyFont="1" applyFill="1" applyAlignment="1">
      <alignment vertical="center" wrapText="1"/>
    </xf>
    <xf numFmtId="0" fontId="26" fillId="0" borderId="0" xfId="0" applyFont="1"/>
    <xf numFmtId="9" fontId="0" fillId="0" borderId="1" xfId="6" applyFont="1" applyBorder="1"/>
    <xf numFmtId="0" fontId="25" fillId="0" borderId="0" xfId="0" applyFont="1" applyAlignment="1">
      <alignment vertical="center" wrapText="1"/>
    </xf>
    <xf numFmtId="9" fontId="0" fillId="0" borderId="0" xfId="6" applyFont="1" applyFill="1" applyBorder="1"/>
    <xf numFmtId="0" fontId="25" fillId="2" borderId="1" xfId="0" applyFont="1" applyFill="1" applyBorder="1" applyAlignment="1">
      <alignment horizontal="center" vertical="center" wrapText="1"/>
    </xf>
    <xf numFmtId="0" fontId="25" fillId="8" borderId="1" xfId="0" applyFont="1" applyFill="1" applyBorder="1" applyAlignment="1">
      <alignment vertical="center" wrapText="1"/>
    </xf>
    <xf numFmtId="0" fontId="25" fillId="13" borderId="1" xfId="0" applyFont="1" applyFill="1" applyBorder="1" applyAlignment="1">
      <alignment vertical="center" wrapText="1"/>
    </xf>
    <xf numFmtId="0" fontId="27" fillId="0" borderId="1" xfId="0" applyFont="1" applyBorder="1"/>
    <xf numFmtId="0" fontId="25" fillId="0" borderId="1" xfId="0" applyFont="1" applyBorder="1" applyAlignment="1">
      <alignment vertical="center" wrapText="1"/>
    </xf>
    <xf numFmtId="0" fontId="0" fillId="0" borderId="1" xfId="0" applyBorder="1" applyAlignment="1">
      <alignment horizontal="center" vertical="center"/>
    </xf>
    <xf numFmtId="14" fontId="1" fillId="8" borderId="1" xfId="10" applyNumberFormat="1" applyFont="1" applyFill="1" applyBorder="1" applyAlignment="1">
      <alignment horizontal="center" vertical="center" wrapText="1"/>
    </xf>
    <xf numFmtId="0" fontId="1" fillId="9" borderId="1" xfId="10" applyFont="1" applyFill="1" applyBorder="1" applyAlignment="1">
      <alignment horizontal="center" vertical="center" wrapText="1"/>
    </xf>
    <xf numFmtId="14" fontId="4" fillId="15" borderId="1" xfId="10" applyNumberFormat="1" applyFont="1" applyFill="1" applyBorder="1" applyAlignment="1">
      <alignment horizontal="center" vertical="center" wrapText="1"/>
    </xf>
    <xf numFmtId="0" fontId="1" fillId="2" borderId="1" xfId="10" applyFont="1" applyFill="1" applyBorder="1" applyAlignment="1">
      <alignment horizontal="center" vertical="center" wrapText="1"/>
    </xf>
    <xf numFmtId="165" fontId="1" fillId="8" borderId="1" xfId="10" applyNumberFormat="1" applyFont="1" applyFill="1" applyBorder="1" applyAlignment="1">
      <alignment horizontal="center" vertical="center" wrapText="1"/>
    </xf>
    <xf numFmtId="0" fontId="1" fillId="18" borderId="1" xfId="10" applyFont="1" applyFill="1" applyBorder="1" applyAlignment="1">
      <alignment horizontal="center" vertical="center" wrapText="1"/>
    </xf>
    <xf numFmtId="0" fontId="4" fillId="15" borderId="1" xfId="10" applyFont="1" applyFill="1" applyBorder="1" applyAlignment="1">
      <alignment horizontal="center" vertical="center" wrapText="1"/>
    </xf>
    <xf numFmtId="0" fontId="1" fillId="13" borderId="1" xfId="10" applyFont="1" applyFill="1" applyBorder="1" applyAlignment="1">
      <alignment horizontal="center" vertical="center" wrapText="1"/>
    </xf>
    <xf numFmtId="14" fontId="1" fillId="19" borderId="2" xfId="10" applyNumberFormat="1" applyFont="1" applyFill="1" applyBorder="1" applyAlignment="1">
      <alignment horizontal="center" vertical="center" wrapText="1"/>
    </xf>
    <xf numFmtId="14" fontId="1" fillId="20" borderId="2" xfId="10" applyNumberFormat="1" applyFont="1" applyFill="1" applyBorder="1" applyAlignment="1">
      <alignment horizontal="center" vertical="center" wrapText="1"/>
    </xf>
    <xf numFmtId="14" fontId="1" fillId="19" borderId="17" xfId="10" applyNumberFormat="1" applyFont="1" applyFill="1" applyBorder="1" applyAlignment="1">
      <alignment horizontal="center" vertical="center" wrapText="1"/>
    </xf>
    <xf numFmtId="1" fontId="20" fillId="0" borderId="1" xfId="1" applyNumberFormat="1" applyFont="1" applyBorder="1" applyAlignment="1">
      <alignment horizontal="center" vertical="center" wrapText="1"/>
    </xf>
    <xf numFmtId="0" fontId="1" fillId="26" borderId="1" xfId="10" applyFont="1" applyFill="1" applyBorder="1" applyAlignment="1">
      <alignment horizontal="center" vertical="center" wrapText="1"/>
    </xf>
    <xf numFmtId="0" fontId="0" fillId="0" borderId="3" xfId="0" applyBorder="1"/>
    <xf numFmtId="9" fontId="0" fillId="0" borderId="0" xfId="6" applyFont="1" applyBorder="1"/>
    <xf numFmtId="0" fontId="5" fillId="28" borderId="1" xfId="0" applyFont="1" applyFill="1" applyBorder="1" applyAlignment="1">
      <alignment horizontal="center" vertical="center" wrapText="1"/>
    </xf>
    <xf numFmtId="0" fontId="25" fillId="13" borderId="18" xfId="0" applyFont="1" applyFill="1" applyBorder="1" applyAlignment="1">
      <alignment vertical="center" wrapText="1"/>
    </xf>
    <xf numFmtId="0" fontId="31" fillId="29" borderId="10" xfId="0" applyFont="1" applyFill="1" applyBorder="1" applyAlignment="1">
      <alignment horizontal="center" vertical="center" wrapText="1"/>
    </xf>
    <xf numFmtId="0" fontId="32" fillId="17" borderId="10" xfId="0" applyFont="1" applyFill="1" applyBorder="1" applyAlignment="1">
      <alignment vertical="center" wrapText="1"/>
    </xf>
    <xf numFmtId="0" fontId="25" fillId="13" borderId="10" xfId="0" applyFont="1" applyFill="1" applyBorder="1" applyAlignment="1">
      <alignment vertical="center" wrapText="1"/>
    </xf>
    <xf numFmtId="0" fontId="24" fillId="0" borderId="10" xfId="0" applyFont="1" applyBorder="1"/>
    <xf numFmtId="0" fontId="1" fillId="0" borderId="10" xfId="0" applyFont="1" applyBorder="1"/>
    <xf numFmtId="0" fontId="1" fillId="0" borderId="20" xfId="0" applyFont="1" applyBorder="1"/>
    <xf numFmtId="0" fontId="1" fillId="0" borderId="21" xfId="0" applyFont="1" applyBorder="1"/>
    <xf numFmtId="0" fontId="1" fillId="0" borderId="22" xfId="0" applyFont="1" applyBorder="1"/>
    <xf numFmtId="0" fontId="1" fillId="0" borderId="23" xfId="0" applyFont="1" applyBorder="1"/>
    <xf numFmtId="0" fontId="0" fillId="0" borderId="19" xfId="0" applyBorder="1"/>
    <xf numFmtId="0" fontId="0" fillId="0" borderId="2" xfId="0" applyBorder="1"/>
    <xf numFmtId="9" fontId="0" fillId="0" borderId="20" xfId="6" applyFont="1" applyBorder="1"/>
    <xf numFmtId="9" fontId="0" fillId="0" borderId="21" xfId="6" applyFont="1" applyBorder="1"/>
    <xf numFmtId="9" fontId="0" fillId="0" borderId="22" xfId="6" applyFont="1" applyBorder="1"/>
    <xf numFmtId="0" fontId="25" fillId="0" borderId="26" xfId="0" applyFont="1" applyBorder="1" applyAlignment="1">
      <alignment vertical="center" wrapText="1"/>
    </xf>
    <xf numFmtId="0" fontId="0" fillId="0" borderId="27" xfId="0" applyBorder="1" applyAlignment="1">
      <alignment horizontal="center" vertical="center"/>
    </xf>
    <xf numFmtId="0" fontId="25" fillId="0" borderId="28" xfId="0" applyFont="1" applyBorder="1" applyAlignment="1">
      <alignment vertical="center" wrapText="1"/>
    </xf>
    <xf numFmtId="0" fontId="0" fillId="0" borderId="29" xfId="0" applyBorder="1" applyAlignment="1">
      <alignment horizontal="center" vertical="center"/>
    </xf>
    <xf numFmtId="0" fontId="0" fillId="0" borderId="27" xfId="0" applyBorder="1"/>
    <xf numFmtId="0" fontId="0" fillId="0" borderId="29" xfId="0" applyBorder="1"/>
    <xf numFmtId="0" fontId="0" fillId="0" borderId="30" xfId="0" applyBorder="1"/>
    <xf numFmtId="0" fontId="25" fillId="0" borderId="31" xfId="0" applyFont="1" applyBorder="1" applyAlignment="1">
      <alignment vertical="center" wrapText="1"/>
    </xf>
    <xf numFmtId="0" fontId="0" fillId="0" borderId="32" xfId="0" applyBorder="1"/>
    <xf numFmtId="0" fontId="25" fillId="22" borderId="31" xfId="0" applyFont="1" applyFill="1" applyBorder="1" applyAlignment="1">
      <alignment vertical="center" wrapText="1"/>
    </xf>
    <xf numFmtId="9" fontId="0" fillId="0" borderId="32" xfId="6" applyFont="1" applyBorder="1"/>
    <xf numFmtId="0" fontId="25" fillId="23" borderId="31" xfId="0" applyFont="1" applyFill="1" applyBorder="1" applyAlignment="1">
      <alignment vertical="center" wrapText="1"/>
    </xf>
    <xf numFmtId="0" fontId="25" fillId="16" borderId="31" xfId="0" applyFont="1" applyFill="1" applyBorder="1" applyAlignment="1">
      <alignment vertical="center" wrapText="1"/>
    </xf>
    <xf numFmtId="0" fontId="25" fillId="9" borderId="31" xfId="0" applyFont="1" applyFill="1" applyBorder="1" applyAlignment="1">
      <alignment vertical="center" wrapText="1"/>
    </xf>
    <xf numFmtId="0" fontId="25" fillId="9" borderId="33" xfId="0" applyFont="1" applyFill="1" applyBorder="1" applyAlignment="1">
      <alignment vertical="center" wrapText="1"/>
    </xf>
    <xf numFmtId="0" fontId="0" fillId="0" borderId="34" xfId="0" applyBorder="1"/>
    <xf numFmtId="0" fontId="0" fillId="2" borderId="14" xfId="0" applyFill="1" applyBorder="1"/>
    <xf numFmtId="0" fontId="0" fillId="2" borderId="11" xfId="0" applyFill="1" applyBorder="1"/>
    <xf numFmtId="0" fontId="25" fillId="0" borderId="35" xfId="0" applyFont="1" applyBorder="1" applyAlignment="1">
      <alignment vertical="center" wrapText="1"/>
    </xf>
    <xf numFmtId="0" fontId="25" fillId="16" borderId="33" xfId="0" applyFont="1" applyFill="1" applyBorder="1" applyAlignment="1">
      <alignment vertical="center" wrapText="1"/>
    </xf>
    <xf numFmtId="0" fontId="0" fillId="0" borderId="36" xfId="0" applyBorder="1"/>
    <xf numFmtId="1" fontId="0" fillId="0" borderId="3" xfId="6" applyNumberFormat="1" applyFont="1" applyBorder="1"/>
    <xf numFmtId="0" fontId="32" fillId="27" borderId="20" xfId="0" applyFont="1" applyFill="1" applyBorder="1" applyAlignment="1">
      <alignment vertical="center" wrapText="1"/>
    </xf>
    <xf numFmtId="0" fontId="0" fillId="0" borderId="1" xfId="0" applyBorder="1" applyAlignment="1">
      <alignment wrapText="1"/>
    </xf>
    <xf numFmtId="0" fontId="0" fillId="0" borderId="1" xfId="0" applyBorder="1" applyAlignment="1">
      <alignment horizontal="center"/>
    </xf>
    <xf numFmtId="14" fontId="0" fillId="0" borderId="1" xfId="1" applyNumberFormat="1" applyFont="1" applyBorder="1" applyAlignment="1">
      <alignment horizontal="center" vertical="center" wrapText="1"/>
    </xf>
    <xf numFmtId="0" fontId="0" fillId="0" borderId="7" xfId="0" applyBorder="1" applyAlignment="1">
      <alignment horizontal="center" vertical="top" wrapText="1"/>
    </xf>
    <xf numFmtId="0" fontId="0" fillId="0" borderId="1" xfId="0" applyBorder="1" applyAlignment="1">
      <alignment horizontal="left" vertical="top" wrapText="1"/>
    </xf>
    <xf numFmtId="0" fontId="18" fillId="8" borderId="1" xfId="10" applyFont="1" applyFill="1" applyBorder="1" applyAlignment="1">
      <alignment horizontal="center" vertical="center" wrapText="1"/>
    </xf>
    <xf numFmtId="0" fontId="17" fillId="8" borderId="1" xfId="10" applyFont="1" applyFill="1" applyBorder="1" applyAlignment="1">
      <alignment horizontal="center" vertical="center" wrapText="1"/>
    </xf>
    <xf numFmtId="14" fontId="1" fillId="7" borderId="1" xfId="10" applyNumberFormat="1" applyFont="1" applyFill="1" applyBorder="1" applyAlignment="1">
      <alignment horizontal="center" vertical="center" wrapText="1"/>
    </xf>
    <xf numFmtId="14" fontId="4" fillId="32" borderId="1" xfId="10" applyNumberFormat="1" applyFont="1" applyFill="1" applyBorder="1" applyAlignment="1">
      <alignment horizontal="center" vertical="center" wrapText="1"/>
    </xf>
    <xf numFmtId="0" fontId="35" fillId="11" borderId="1" xfId="10" applyFont="1" applyFill="1" applyBorder="1" applyAlignment="1">
      <alignment horizontal="center" vertical="center" wrapText="1"/>
    </xf>
    <xf numFmtId="0" fontId="18" fillId="2" borderId="1" xfId="10" applyFont="1" applyFill="1" applyBorder="1" applyAlignment="1">
      <alignment horizontal="center" vertical="center" wrapText="1"/>
    </xf>
    <xf numFmtId="0" fontId="1" fillId="7" borderId="1" xfId="10" applyFont="1" applyFill="1" applyBorder="1" applyAlignment="1">
      <alignment horizontal="center" vertical="center" wrapText="1"/>
    </xf>
    <xf numFmtId="0" fontId="0" fillId="0" borderId="3" xfId="0" applyBorder="1" applyAlignment="1">
      <alignment vertical="top" wrapText="1"/>
    </xf>
    <xf numFmtId="0" fontId="0" fillId="0" borderId="8" xfId="0" applyBorder="1" applyAlignment="1">
      <alignment vertical="top" wrapText="1"/>
    </xf>
    <xf numFmtId="0" fontId="36" fillId="0" borderId="1" xfId="0" applyFont="1" applyBorder="1" applyAlignment="1">
      <alignment vertical="top" wrapText="1"/>
    </xf>
    <xf numFmtId="0" fontId="0" fillId="0" borderId="1" xfId="0" applyBorder="1" applyAlignment="1">
      <alignment horizontal="center" vertical="center" wrapText="1"/>
    </xf>
    <xf numFmtId="0" fontId="25" fillId="23" borderId="38" xfId="0" applyFont="1" applyFill="1" applyBorder="1" applyAlignment="1">
      <alignment vertical="center" wrapText="1"/>
    </xf>
    <xf numFmtId="0" fontId="25" fillId="0" borderId="39" xfId="0" applyFont="1" applyBorder="1" applyAlignment="1">
      <alignment vertical="center" wrapText="1"/>
    </xf>
    <xf numFmtId="0" fontId="25" fillId="0" borderId="10" xfId="0" applyFont="1" applyBorder="1" applyAlignment="1">
      <alignment vertical="center" wrapText="1"/>
    </xf>
    <xf numFmtId="9" fontId="0" fillId="0" borderId="40" xfId="6" applyFont="1" applyBorder="1"/>
    <xf numFmtId="9" fontId="0" fillId="0" borderId="11" xfId="6" applyFont="1" applyBorder="1"/>
    <xf numFmtId="9" fontId="0" fillId="0" borderId="15" xfId="6" applyFont="1" applyBorder="1"/>
    <xf numFmtId="0" fontId="25" fillId="0" borderId="13" xfId="0" applyFont="1" applyBorder="1" applyAlignment="1">
      <alignment vertical="center" wrapText="1"/>
    </xf>
    <xf numFmtId="0" fontId="0" fillId="0" borderId="21" xfId="0" applyBorder="1"/>
    <xf numFmtId="0" fontId="0" fillId="0" borderId="11" xfId="0" applyBorder="1"/>
    <xf numFmtId="0" fontId="0" fillId="0" borderId="15" xfId="0" applyBorder="1"/>
    <xf numFmtId="0" fontId="0" fillId="0" borderId="41" xfId="0" applyBorder="1"/>
    <xf numFmtId="0" fontId="25" fillId="33" borderId="12" xfId="0" applyFont="1" applyFill="1" applyBorder="1" applyAlignment="1">
      <alignment vertical="center" wrapText="1"/>
    </xf>
    <xf numFmtId="0" fontId="25" fillId="9" borderId="43" xfId="0" applyFont="1" applyFill="1" applyBorder="1" applyAlignment="1">
      <alignment vertical="center" wrapText="1"/>
    </xf>
    <xf numFmtId="0" fontId="25" fillId="9" borderId="44" xfId="0" applyFont="1" applyFill="1" applyBorder="1" applyAlignment="1">
      <alignment vertical="center" wrapText="1"/>
    </xf>
    <xf numFmtId="9" fontId="0" fillId="0" borderId="10" xfId="6" applyFont="1" applyBorder="1"/>
    <xf numFmtId="164" fontId="0" fillId="0" borderId="10" xfId="0" applyNumberFormat="1" applyBorder="1"/>
    <xf numFmtId="0" fontId="0" fillId="0" borderId="10" xfId="0" applyBorder="1"/>
    <xf numFmtId="0" fontId="0" fillId="0" borderId="46" xfId="0" applyBorder="1"/>
    <xf numFmtId="0" fontId="25" fillId="33" borderId="10" xfId="0" applyFont="1" applyFill="1" applyBorder="1" applyAlignment="1">
      <alignment vertical="center" wrapText="1"/>
    </xf>
    <xf numFmtId="0" fontId="0" fillId="0" borderId="20" xfId="0" applyBorder="1"/>
    <xf numFmtId="0" fontId="0" fillId="0" borderId="22" xfId="0" applyBorder="1"/>
    <xf numFmtId="0" fontId="25" fillId="33" borderId="13" xfId="0" applyFont="1" applyFill="1" applyBorder="1" applyAlignment="1">
      <alignment vertical="center" wrapText="1"/>
    </xf>
    <xf numFmtId="9" fontId="0" fillId="0" borderId="37" xfId="6" applyFont="1" applyBorder="1"/>
    <xf numFmtId="0" fontId="0" fillId="0" borderId="14" xfId="0" applyBorder="1"/>
    <xf numFmtId="0" fontId="25" fillId="0" borderId="47" xfId="0" applyFont="1" applyBorder="1" applyAlignment="1">
      <alignment vertical="center" wrapText="1"/>
    </xf>
    <xf numFmtId="0" fontId="25" fillId="34" borderId="12" xfId="0" applyFont="1" applyFill="1" applyBorder="1" applyAlignment="1">
      <alignment vertical="center" wrapText="1"/>
    </xf>
    <xf numFmtId="0" fontId="25" fillId="34" borderId="13" xfId="0" applyFont="1" applyFill="1" applyBorder="1" applyAlignment="1">
      <alignment vertical="center" wrapText="1"/>
    </xf>
    <xf numFmtId="0" fontId="25" fillId="33" borderId="47" xfId="0" applyFont="1" applyFill="1" applyBorder="1" applyAlignment="1">
      <alignment vertical="center" wrapText="1"/>
    </xf>
    <xf numFmtId="0" fontId="25" fillId="33" borderId="18" xfId="0" applyFont="1" applyFill="1" applyBorder="1" applyAlignment="1">
      <alignment vertical="center" wrapText="1"/>
    </xf>
    <xf numFmtId="0" fontId="41" fillId="33" borderId="13" xfId="0" applyFont="1" applyFill="1" applyBorder="1" applyAlignment="1">
      <alignment vertical="center" wrapText="1"/>
    </xf>
    <xf numFmtId="0" fontId="25" fillId="8" borderId="8" xfId="0" applyFont="1" applyFill="1" applyBorder="1" applyAlignment="1">
      <alignment vertical="center" wrapText="1"/>
    </xf>
    <xf numFmtId="9" fontId="0" fillId="0" borderId="2" xfId="6" applyFont="1" applyFill="1" applyBorder="1"/>
    <xf numFmtId="0" fontId="40" fillId="26" borderId="10" xfId="0" applyFont="1" applyFill="1" applyBorder="1" applyAlignment="1">
      <alignment horizontal="center" vertical="center"/>
    </xf>
    <xf numFmtId="0" fontId="24" fillId="33" borderId="8" xfId="0" applyFont="1" applyFill="1" applyBorder="1" applyAlignment="1">
      <alignment horizontal="center" vertical="center" wrapText="1"/>
    </xf>
    <xf numFmtId="14" fontId="43" fillId="0" borderId="1" xfId="1" applyNumberFormat="1" applyFont="1" applyBorder="1" applyAlignment="1">
      <alignment horizontal="center" vertical="center" wrapText="1"/>
    </xf>
    <xf numFmtId="0" fontId="18" fillId="13" borderId="1" xfId="10" applyFont="1" applyFill="1" applyBorder="1" applyAlignment="1">
      <alignment horizontal="center" vertical="center" wrapText="1"/>
    </xf>
    <xf numFmtId="0" fontId="25" fillId="35" borderId="28" xfId="0" applyFont="1" applyFill="1" applyBorder="1" applyAlignment="1">
      <alignment vertical="center" wrapText="1"/>
    </xf>
    <xf numFmtId="0" fontId="25" fillId="35" borderId="1" xfId="0" applyFont="1" applyFill="1" applyBorder="1" applyAlignment="1">
      <alignment vertical="center" wrapText="1"/>
    </xf>
    <xf numFmtId="0" fontId="1" fillId="0" borderId="0" xfId="0" applyFont="1"/>
    <xf numFmtId="0" fontId="41" fillId="8" borderId="8" xfId="0" applyFont="1" applyFill="1" applyBorder="1" applyAlignment="1">
      <alignment vertical="center" wrapText="1"/>
    </xf>
    <xf numFmtId="0" fontId="1" fillId="0" borderId="1" xfId="0" applyFont="1" applyBorder="1"/>
    <xf numFmtId="0" fontId="0" fillId="2" borderId="49" xfId="0" applyFill="1" applyBorder="1"/>
    <xf numFmtId="0" fontId="1" fillId="0" borderId="8" xfId="0" applyFont="1" applyBorder="1"/>
    <xf numFmtId="0" fontId="0" fillId="0" borderId="8" xfId="0" applyBorder="1"/>
    <xf numFmtId="0" fontId="0" fillId="0" borderId="24" xfId="0" applyBorder="1" applyAlignment="1">
      <alignment horizontal="center"/>
    </xf>
    <xf numFmtId="0" fontId="0" fillId="2" borderId="50" xfId="0" applyFill="1" applyBorder="1"/>
    <xf numFmtId="0" fontId="0" fillId="2" borderId="25" xfId="0" applyFill="1" applyBorder="1"/>
    <xf numFmtId="9" fontId="0" fillId="0" borderId="8" xfId="6" applyFont="1" applyBorder="1"/>
    <xf numFmtId="0" fontId="1" fillId="2" borderId="51" xfId="0" applyFont="1" applyFill="1" applyBorder="1"/>
    <xf numFmtId="0" fontId="0" fillId="0" borderId="25" xfId="0" applyBorder="1" applyAlignment="1">
      <alignment horizontal="center"/>
    </xf>
    <xf numFmtId="0" fontId="0" fillId="0" borderId="1" xfId="0" applyBorder="1" applyAlignment="1">
      <alignment vertical="center" wrapText="1"/>
    </xf>
    <xf numFmtId="0" fontId="22" fillId="2" borderId="1" xfId="10" applyFont="1" applyFill="1" applyBorder="1" applyAlignment="1">
      <alignment horizontal="center" vertical="center" wrapText="1"/>
    </xf>
    <xf numFmtId="0" fontId="8" fillId="2" borderId="1" xfId="1" applyFont="1" applyFill="1" applyBorder="1" applyAlignment="1">
      <alignment horizontal="center" vertical="center" wrapText="1"/>
    </xf>
    <xf numFmtId="0" fontId="22" fillId="2" borderId="1" xfId="1" applyFont="1" applyFill="1" applyBorder="1" applyAlignment="1">
      <alignment horizontal="center" vertical="center" wrapText="1"/>
    </xf>
    <xf numFmtId="0" fontId="0" fillId="0" borderId="7" xfId="0" applyBorder="1" applyAlignment="1">
      <alignment vertical="top" wrapText="1"/>
    </xf>
    <xf numFmtId="14" fontId="1" fillId="2" borderId="1" xfId="10" applyNumberFormat="1" applyFont="1" applyFill="1" applyBorder="1" applyAlignment="1">
      <alignment horizontal="center" vertical="center" wrapText="1"/>
    </xf>
    <xf numFmtId="0" fontId="31" fillId="32" borderId="1" xfId="1" applyFont="1" applyFill="1" applyBorder="1" applyAlignment="1">
      <alignment horizontal="center" vertical="center" wrapText="1"/>
    </xf>
    <xf numFmtId="0" fontId="0" fillId="2" borderId="1" xfId="0" applyFill="1" applyBorder="1" applyAlignment="1">
      <alignment vertical="top" wrapText="1"/>
    </xf>
    <xf numFmtId="0" fontId="47" fillId="2" borderId="1" xfId="10" applyFont="1" applyFill="1" applyBorder="1" applyAlignment="1">
      <alignment horizontal="center" vertical="center" wrapText="1"/>
    </xf>
    <xf numFmtId="0" fontId="0" fillId="2" borderId="1" xfId="0" applyFill="1" applyBorder="1" applyAlignment="1">
      <alignment horizontal="left" vertical="top" wrapText="1"/>
    </xf>
    <xf numFmtId="14" fontId="20" fillId="0" borderId="19" xfId="1" applyNumberFormat="1" applyFont="1" applyBorder="1" applyAlignment="1">
      <alignment horizontal="center" vertical="center" wrapText="1"/>
    </xf>
    <xf numFmtId="0" fontId="20" fillId="0" borderId="19" xfId="1" applyFont="1" applyBorder="1" applyAlignment="1">
      <alignment horizontal="center" vertical="center" wrapText="1"/>
    </xf>
    <xf numFmtId="0" fontId="0" fillId="12" borderId="21" xfId="10" applyFont="1" applyFill="1" applyBorder="1" applyAlignment="1">
      <alignment horizontal="center" vertical="center" wrapText="1"/>
    </xf>
    <xf numFmtId="0" fontId="7" fillId="24" borderId="21" xfId="10" applyFill="1" applyBorder="1" applyAlignment="1">
      <alignment horizontal="center" vertical="center" wrapText="1"/>
    </xf>
    <xf numFmtId="0" fontId="0" fillId="10" borderId="21" xfId="10" applyFont="1" applyFill="1" applyBorder="1" applyAlignment="1">
      <alignment horizontal="center" vertical="center" wrapText="1"/>
    </xf>
    <xf numFmtId="0" fontId="0" fillId="21" borderId="21" xfId="10" applyFont="1" applyFill="1" applyBorder="1" applyAlignment="1">
      <alignment horizontal="center" vertical="center" wrapText="1"/>
    </xf>
    <xf numFmtId="0" fontId="1" fillId="21" borderId="20" xfId="10" applyFont="1" applyFill="1" applyBorder="1" applyAlignment="1">
      <alignment horizontal="center" vertical="center" wrapText="1"/>
    </xf>
    <xf numFmtId="0" fontId="1" fillId="21" borderId="21" xfId="10" applyFont="1" applyFill="1" applyBorder="1" applyAlignment="1">
      <alignment horizontal="center" vertical="center" wrapText="1"/>
    </xf>
    <xf numFmtId="0" fontId="4" fillId="24" borderId="21" xfId="10" applyFont="1" applyFill="1" applyBorder="1" applyAlignment="1">
      <alignment horizontal="center" vertical="center" wrapText="1"/>
    </xf>
    <xf numFmtId="0" fontId="1" fillId="21" borderId="22" xfId="10" applyFont="1" applyFill="1" applyBorder="1" applyAlignment="1">
      <alignment horizontal="center" vertical="center" wrapText="1"/>
    </xf>
    <xf numFmtId="0" fontId="1" fillId="12" borderId="20" xfId="10" applyFont="1" applyFill="1" applyBorder="1" applyAlignment="1">
      <alignment horizontal="center" vertical="center" wrapText="1"/>
    </xf>
    <xf numFmtId="0" fontId="1" fillId="12" borderId="21" xfId="10" applyFont="1" applyFill="1" applyBorder="1" applyAlignment="1">
      <alignment horizontal="center" vertical="center" wrapText="1"/>
    </xf>
    <xf numFmtId="0" fontId="1" fillId="12" borderId="22" xfId="10" applyFont="1" applyFill="1" applyBorder="1" applyAlignment="1">
      <alignment horizontal="center" vertical="center" wrapText="1"/>
    </xf>
    <xf numFmtId="0" fontId="0" fillId="0" borderId="19" xfId="0" applyBorder="1" applyAlignment="1">
      <alignment horizontal="left" vertical="top" wrapText="1"/>
    </xf>
    <xf numFmtId="14" fontId="1" fillId="20" borderId="39" xfId="10" applyNumberFormat="1" applyFont="1" applyFill="1" applyBorder="1" applyAlignment="1">
      <alignment horizontal="center" vertical="center" wrapText="1"/>
    </xf>
    <xf numFmtId="0" fontId="1" fillId="10" borderId="20" xfId="10" applyFont="1" applyFill="1" applyBorder="1" applyAlignment="1">
      <alignment horizontal="center" vertical="center" wrapText="1"/>
    </xf>
    <xf numFmtId="0" fontId="1" fillId="10" borderId="21" xfId="10" applyFont="1" applyFill="1" applyBorder="1" applyAlignment="1">
      <alignment horizontal="center" vertical="center" wrapText="1"/>
    </xf>
    <xf numFmtId="0" fontId="1" fillId="10" borderId="22" xfId="10" applyFont="1" applyFill="1" applyBorder="1" applyAlignment="1">
      <alignment horizontal="center" vertical="center" wrapText="1"/>
    </xf>
    <xf numFmtId="0" fontId="46" fillId="0" borderId="1" xfId="0" applyFont="1" applyBorder="1" applyAlignment="1" applyProtection="1">
      <alignment horizontal="center" vertical="center" wrapText="1"/>
      <protection locked="0"/>
    </xf>
    <xf numFmtId="0" fontId="5" fillId="30" borderId="1" xfId="1" applyFont="1" applyFill="1" applyBorder="1" applyAlignment="1">
      <alignment horizontal="center" vertical="center" wrapText="1"/>
    </xf>
    <xf numFmtId="0" fontId="0" fillId="0" borderId="1" xfId="0" applyBorder="1" applyAlignment="1">
      <alignment vertical="center"/>
    </xf>
    <xf numFmtId="0" fontId="39" fillId="0" borderId="1" xfId="1" applyFont="1" applyBorder="1" applyAlignment="1">
      <alignment horizontal="center" vertical="center" wrapText="1"/>
    </xf>
    <xf numFmtId="0" fontId="44" fillId="0" borderId="1" xfId="1" applyFont="1" applyBorder="1" applyAlignment="1">
      <alignment horizontal="center" vertical="center" wrapText="1"/>
    </xf>
    <xf numFmtId="0" fontId="0" fillId="0" borderId="19" xfId="0" applyBorder="1" applyAlignment="1">
      <alignment horizontal="center" vertical="center" wrapText="1"/>
    </xf>
    <xf numFmtId="0" fontId="0" fillId="0" borderId="19" xfId="0" applyBorder="1" applyAlignment="1">
      <alignment wrapText="1"/>
    </xf>
    <xf numFmtId="0" fontId="0" fillId="0" borderId="19" xfId="0" applyBorder="1" applyAlignment="1">
      <alignment horizontal="center"/>
    </xf>
    <xf numFmtId="0" fontId="0" fillId="0" borderId="19" xfId="0" applyBorder="1" applyAlignment="1">
      <alignment vertical="center" wrapText="1"/>
    </xf>
    <xf numFmtId="14" fontId="5" fillId="0" borderId="19" xfId="1" applyNumberFormat="1" applyFont="1" applyBorder="1" applyAlignment="1">
      <alignment horizontal="center" vertical="center" wrapText="1"/>
    </xf>
    <xf numFmtId="164" fontId="5" fillId="0" borderId="19" xfId="1" applyNumberFormat="1" applyFont="1" applyBorder="1" applyAlignment="1">
      <alignment horizontal="left" vertical="center" wrapText="1"/>
    </xf>
    <xf numFmtId="164" fontId="5" fillId="0" borderId="19" xfId="1" applyNumberFormat="1" applyFont="1" applyBorder="1" applyAlignment="1">
      <alignment horizontal="center" vertical="center" wrapText="1"/>
    </xf>
    <xf numFmtId="0" fontId="5" fillId="0" borderId="19" xfId="0" applyFont="1" applyBorder="1" applyAlignment="1" applyProtection="1">
      <alignment horizontal="center" vertical="center" wrapText="1"/>
      <protection locked="0"/>
    </xf>
    <xf numFmtId="0" fontId="5" fillId="0" borderId="19" xfId="1" applyFont="1" applyBorder="1" applyAlignment="1">
      <alignment horizontal="center" vertical="center" wrapText="1"/>
    </xf>
    <xf numFmtId="0" fontId="5" fillId="0" borderId="19" xfId="0" applyFont="1" applyBorder="1" applyAlignment="1">
      <alignment horizontal="center" vertical="center" wrapText="1"/>
    </xf>
    <xf numFmtId="0" fontId="5" fillId="0" borderId="19" xfId="0" applyFont="1" applyBorder="1" applyAlignment="1">
      <alignment horizontal="center" vertical="center"/>
    </xf>
    <xf numFmtId="0" fontId="16" fillId="0" borderId="19" xfId="0" applyFont="1" applyBorder="1" applyAlignment="1" applyProtection="1">
      <alignment horizontal="center" vertical="center" wrapText="1"/>
      <protection locked="0"/>
    </xf>
    <xf numFmtId="2" fontId="5" fillId="0" borderId="19" xfId="0" applyNumberFormat="1" applyFont="1" applyBorder="1" applyAlignment="1">
      <alignment horizontal="center" vertical="center" wrapText="1"/>
    </xf>
    <xf numFmtId="0" fontId="46" fillId="0" borderId="19" xfId="0" applyFont="1" applyBorder="1" applyAlignment="1" applyProtection="1">
      <alignment horizontal="center" vertical="center" wrapText="1"/>
      <protection locked="0"/>
    </xf>
    <xf numFmtId="1" fontId="5" fillId="0" borderId="19" xfId="1" applyNumberFormat="1" applyFont="1" applyBorder="1" applyAlignment="1">
      <alignment horizontal="center" vertical="center" wrapText="1"/>
    </xf>
    <xf numFmtId="14" fontId="23" fillId="0" borderId="19" xfId="1" applyNumberFormat="1" applyFont="1" applyBorder="1" applyAlignment="1">
      <alignment horizontal="center" vertical="center" wrapText="1"/>
    </xf>
    <xf numFmtId="2" fontId="5" fillId="0" borderId="19" xfId="1" applyNumberFormat="1" applyFont="1" applyBorder="1" applyAlignment="1">
      <alignment horizontal="center" vertical="center" wrapText="1"/>
    </xf>
    <xf numFmtId="0" fontId="10" fillId="0" borderId="19" xfId="1" applyFont="1" applyBorder="1" applyAlignment="1">
      <alignment horizontal="center" vertical="center" wrapText="1"/>
    </xf>
    <xf numFmtId="0" fontId="11" fillId="0" borderId="19" xfId="1" applyFont="1" applyBorder="1" applyAlignment="1">
      <alignment horizontal="center" vertical="center" wrapText="1"/>
    </xf>
    <xf numFmtId="9" fontId="5" fillId="0" borderId="19" xfId="6" applyFont="1" applyFill="1" applyBorder="1" applyAlignment="1">
      <alignment horizontal="center" vertical="center" wrapText="1"/>
    </xf>
    <xf numFmtId="0" fontId="5" fillId="30" borderId="19" xfId="1" applyFont="1" applyFill="1" applyBorder="1" applyAlignment="1">
      <alignment horizontal="center" vertical="center" wrapText="1"/>
    </xf>
    <xf numFmtId="0" fontId="0" fillId="0" borderId="19" xfId="0" applyBorder="1" applyAlignment="1">
      <alignment vertical="center"/>
    </xf>
    <xf numFmtId="0" fontId="39" fillId="0" borderId="19" xfId="1" applyFont="1" applyBorder="1" applyAlignment="1">
      <alignment horizontal="center" vertical="center" wrapText="1"/>
    </xf>
    <xf numFmtId="0" fontId="44" fillId="0" borderId="19" xfId="1" applyFont="1" applyBorder="1" applyAlignment="1">
      <alignment horizontal="center" vertical="center" wrapText="1"/>
    </xf>
    <xf numFmtId="0" fontId="0" fillId="7" borderId="20" xfId="10" applyFont="1" applyFill="1" applyBorder="1" applyAlignment="1">
      <alignment horizontal="center" vertical="center" wrapText="1"/>
    </xf>
    <xf numFmtId="0" fontId="0" fillId="8" borderId="21" xfId="10" applyFont="1" applyFill="1" applyBorder="1" applyAlignment="1">
      <alignment horizontal="center" vertical="center" wrapText="1"/>
    </xf>
    <xf numFmtId="0" fontId="6" fillId="8" borderId="21" xfId="10" applyFont="1" applyFill="1" applyBorder="1" applyAlignment="1">
      <alignment horizontal="center" vertical="center" wrapText="1"/>
    </xf>
    <xf numFmtId="0" fontId="22" fillId="11" borderId="21" xfId="10" applyFont="1" applyFill="1" applyBorder="1" applyAlignment="1">
      <alignment horizontal="center" vertical="center" wrapText="1"/>
    </xf>
    <xf numFmtId="14" fontId="0" fillId="8" borderId="21" xfId="10" applyNumberFormat="1" applyFont="1" applyFill="1" applyBorder="1" applyAlignment="1">
      <alignment horizontal="center" vertical="center" wrapText="1"/>
    </xf>
    <xf numFmtId="0" fontId="1" fillId="8" borderId="21" xfId="10" applyFont="1" applyFill="1" applyBorder="1" applyAlignment="1">
      <alignment horizontal="center" vertical="center" wrapText="1"/>
    </xf>
    <xf numFmtId="0" fontId="0" fillId="9" borderId="21" xfId="10" applyFont="1" applyFill="1" applyBorder="1" applyAlignment="1">
      <alignment horizontal="center" vertical="center" wrapText="1"/>
    </xf>
    <xf numFmtId="0" fontId="5" fillId="9" borderId="21" xfId="10" applyFont="1" applyFill="1" applyBorder="1" applyAlignment="1">
      <alignment horizontal="center" vertical="center" wrapText="1"/>
    </xf>
    <xf numFmtId="0" fontId="6" fillId="9" borderId="21" xfId="10" applyFont="1" applyFill="1" applyBorder="1" applyAlignment="1">
      <alignment horizontal="center" vertical="center" wrapText="1"/>
    </xf>
    <xf numFmtId="0" fontId="6" fillId="17" borderId="21" xfId="10" applyFont="1" applyFill="1" applyBorder="1" applyAlignment="1">
      <alignment horizontal="center" vertical="center" wrapText="1"/>
    </xf>
    <xf numFmtId="0" fontId="0" fillId="17" borderId="21" xfId="10" applyFont="1" applyFill="1" applyBorder="1" applyAlignment="1">
      <alignment horizontal="center" vertical="center" wrapText="1"/>
    </xf>
    <xf numFmtId="0" fontId="36" fillId="21" borderId="21" xfId="10" applyFont="1" applyFill="1" applyBorder="1" applyAlignment="1">
      <alignment horizontal="center" vertical="center" wrapText="1"/>
    </xf>
    <xf numFmtId="0" fontId="5" fillId="21" borderId="21" xfId="1" applyFont="1" applyFill="1" applyBorder="1" applyAlignment="1">
      <alignment horizontal="center" vertical="center" wrapText="1"/>
    </xf>
    <xf numFmtId="14" fontId="0" fillId="21" borderId="21" xfId="10" applyNumberFormat="1" applyFont="1" applyFill="1" applyBorder="1" applyAlignment="1">
      <alignment horizontal="center" vertical="center" wrapText="1"/>
    </xf>
    <xf numFmtId="14" fontId="0" fillId="7" borderId="21" xfId="10" applyNumberFormat="1" applyFont="1" applyFill="1" applyBorder="1" applyAlignment="1">
      <alignment horizontal="center" vertical="center" wrapText="1"/>
    </xf>
    <xf numFmtId="0" fontId="22" fillId="25" borderId="21" xfId="10" applyFont="1" applyFill="1" applyBorder="1" applyAlignment="1">
      <alignment horizontal="center" vertical="center" wrapText="1"/>
    </xf>
    <xf numFmtId="14" fontId="6" fillId="8" borderId="21" xfId="10" applyNumberFormat="1" applyFont="1" applyFill="1" applyBorder="1" applyAlignment="1">
      <alignment horizontal="center" vertical="center" wrapText="1"/>
    </xf>
    <xf numFmtId="14" fontId="7" fillId="15" borderId="21" xfId="10" applyNumberFormat="1" applyFill="1" applyBorder="1" applyAlignment="1">
      <alignment horizontal="center" vertical="center" wrapText="1"/>
    </xf>
    <xf numFmtId="0" fontId="17" fillId="2" borderId="21" xfId="10" applyFont="1" applyFill="1" applyBorder="1" applyAlignment="1">
      <alignment horizontal="center" vertical="center" wrapText="1"/>
    </xf>
    <xf numFmtId="0" fontId="0" fillId="2" borderId="21" xfId="10" applyFont="1" applyFill="1" applyBorder="1" applyAlignment="1">
      <alignment horizontal="center" vertical="center" wrapText="1"/>
    </xf>
    <xf numFmtId="0" fontId="6" fillId="2" borderId="21" xfId="10" applyFont="1" applyFill="1" applyBorder="1" applyAlignment="1">
      <alignment horizontal="center" vertical="center" wrapText="1"/>
    </xf>
    <xf numFmtId="14" fontId="5" fillId="2" borderId="21" xfId="1" applyNumberFormat="1" applyFont="1" applyFill="1" applyBorder="1" applyAlignment="1">
      <alignment horizontal="center" vertical="center" wrapText="1"/>
    </xf>
    <xf numFmtId="165" fontId="0" fillId="8" borderId="21" xfId="10" applyNumberFormat="1" applyFont="1" applyFill="1" applyBorder="1" applyAlignment="1">
      <alignment horizontal="center" vertical="center" wrapText="1"/>
    </xf>
    <xf numFmtId="0" fontId="6" fillId="18" borderId="21" xfId="10" applyFont="1" applyFill="1" applyBorder="1" applyAlignment="1">
      <alignment horizontal="center" vertical="center" wrapText="1"/>
    </xf>
    <xf numFmtId="0" fontId="0" fillId="18" borderId="21" xfId="10" applyFont="1" applyFill="1" applyBorder="1" applyAlignment="1">
      <alignment horizontal="center" vertical="center" wrapText="1"/>
    </xf>
    <xf numFmtId="0" fontId="22" fillId="11" borderId="21" xfId="10" applyFont="1" applyFill="1" applyBorder="1" applyAlignment="1" applyProtection="1">
      <alignment horizontal="center" vertical="center" wrapText="1"/>
    </xf>
    <xf numFmtId="0" fontId="7" fillId="15" borderId="21" xfId="10" applyFill="1" applyBorder="1" applyAlignment="1">
      <alignment horizontal="center" vertical="center" wrapText="1"/>
    </xf>
    <xf numFmtId="0" fontId="0" fillId="7" borderId="21" xfId="10" applyFont="1" applyFill="1" applyBorder="1" applyAlignment="1">
      <alignment horizontal="center" vertical="center" wrapText="1"/>
    </xf>
    <xf numFmtId="2" fontId="22" fillId="11" borderId="21" xfId="10" applyNumberFormat="1" applyFont="1" applyFill="1" applyBorder="1" applyAlignment="1">
      <alignment horizontal="center" vertical="center" wrapText="1"/>
    </xf>
    <xf numFmtId="0" fontId="0" fillId="13" borderId="21" xfId="10" applyFont="1" applyFill="1" applyBorder="1" applyAlignment="1">
      <alignment horizontal="center" vertical="center" wrapText="1"/>
    </xf>
    <xf numFmtId="0" fontId="6" fillId="13" borderId="21" xfId="10" applyFont="1" applyFill="1" applyBorder="1" applyAlignment="1">
      <alignment horizontal="center" vertical="center" wrapText="1"/>
    </xf>
    <xf numFmtId="0" fontId="6" fillId="14" borderId="21" xfId="10" applyFont="1" applyFill="1" applyBorder="1" applyAlignment="1">
      <alignment horizontal="center" vertical="center" wrapText="1"/>
    </xf>
    <xf numFmtId="0" fontId="0" fillId="14" borderId="21" xfId="10" applyFont="1" applyFill="1" applyBorder="1" applyAlignment="1">
      <alignment horizontal="center" vertical="center" wrapText="1"/>
    </xf>
    <xf numFmtId="14" fontId="6" fillId="14" borderId="21" xfId="10" applyNumberFormat="1" applyFont="1" applyFill="1" applyBorder="1" applyAlignment="1">
      <alignment horizontal="center" vertical="center" wrapText="1"/>
    </xf>
    <xf numFmtId="0" fontId="0" fillId="26" borderId="21" xfId="10" applyFont="1" applyFill="1" applyBorder="1" applyAlignment="1">
      <alignment horizontal="center" vertical="center" wrapText="1"/>
    </xf>
    <xf numFmtId="14" fontId="1" fillId="19" borderId="21" xfId="10" applyNumberFormat="1" applyFont="1" applyFill="1" applyBorder="1" applyAlignment="1">
      <alignment horizontal="center" vertical="center" wrapText="1"/>
    </xf>
    <xf numFmtId="1" fontId="1" fillId="19" borderId="21" xfId="10" applyNumberFormat="1" applyFont="1" applyFill="1" applyBorder="1" applyAlignment="1">
      <alignment horizontal="center" vertical="center" wrapText="1"/>
    </xf>
    <xf numFmtId="14" fontId="1" fillId="20" borderId="21" xfId="10" applyNumberFormat="1" applyFont="1" applyFill="1" applyBorder="1" applyAlignment="1">
      <alignment horizontal="center" vertical="center" wrapText="1"/>
    </xf>
    <xf numFmtId="0" fontId="0" fillId="0" borderId="21" xfId="0" applyBorder="1" applyAlignment="1">
      <alignment horizontal="center" vertical="center" wrapText="1"/>
    </xf>
    <xf numFmtId="0" fontId="0" fillId="2" borderId="21" xfId="0" applyFill="1" applyBorder="1" applyAlignment="1">
      <alignment horizontal="center" vertical="center" wrapText="1"/>
    </xf>
    <xf numFmtId="0" fontId="0" fillId="30" borderId="21" xfId="10" applyFont="1" applyFill="1" applyBorder="1" applyAlignment="1">
      <alignment horizontal="center" vertical="center" wrapText="1"/>
    </xf>
    <xf numFmtId="0" fontId="0" fillId="31" borderId="21" xfId="0" applyFill="1" applyBorder="1" applyAlignment="1">
      <alignment horizontal="center" vertical="center" wrapText="1"/>
    </xf>
    <xf numFmtId="0" fontId="0" fillId="25" borderId="21" xfId="0" applyFill="1" applyBorder="1" applyAlignment="1">
      <alignment horizontal="center" vertical="center" wrapText="1"/>
    </xf>
    <xf numFmtId="0" fontId="36" fillId="25" borderId="21" xfId="0" applyFont="1" applyFill="1" applyBorder="1" applyAlignment="1">
      <alignment horizontal="center" vertical="center" wrapText="1"/>
    </xf>
    <xf numFmtId="0" fontId="0" fillId="21" borderId="21" xfId="0" applyFill="1" applyBorder="1" applyAlignment="1">
      <alignment horizontal="center" vertical="center" wrapText="1"/>
    </xf>
    <xf numFmtId="0" fontId="36" fillId="21" borderId="21" xfId="0" applyFont="1" applyFill="1" applyBorder="1" applyAlignment="1">
      <alignment horizontal="center" vertical="center" wrapText="1"/>
    </xf>
    <xf numFmtId="0" fontId="5" fillId="0" borderId="21" xfId="1" applyFont="1" applyBorder="1" applyAlignment="1">
      <alignment horizontal="center" vertical="center" wrapText="1"/>
    </xf>
    <xf numFmtId="0" fontId="22" fillId="11" borderId="21" xfId="1" applyFont="1" applyFill="1" applyBorder="1" applyAlignment="1">
      <alignment horizontal="center" vertical="center" wrapText="1"/>
    </xf>
    <xf numFmtId="0" fontId="7" fillId="11" borderId="21" xfId="10" applyNumberFormat="1" applyFill="1" applyBorder="1" applyAlignment="1">
      <alignment horizontal="center" vertical="center" wrapText="1"/>
    </xf>
    <xf numFmtId="0" fontId="46" fillId="11" borderId="21" xfId="1" applyFont="1" applyFill="1" applyBorder="1" applyAlignment="1">
      <alignment horizontal="center" vertical="center" wrapText="1"/>
    </xf>
    <xf numFmtId="0" fontId="5" fillId="0" borderId="23" xfId="1" applyFont="1" applyBorder="1" applyAlignment="1">
      <alignment horizontal="center" vertical="center" wrapText="1"/>
    </xf>
    <xf numFmtId="14" fontId="5" fillId="0" borderId="45" xfId="1" applyNumberFormat="1" applyFont="1" applyBorder="1" applyAlignment="1">
      <alignment horizontal="center" vertical="center" wrapText="1"/>
    </xf>
    <xf numFmtId="14" fontId="5" fillId="0" borderId="8" xfId="1" applyNumberFormat="1" applyFont="1" applyBorder="1" applyAlignment="1">
      <alignment horizontal="center" vertical="center" wrapText="1"/>
    </xf>
    <xf numFmtId="0" fontId="6" fillId="8" borderId="11" xfId="10" applyFont="1" applyFill="1" applyBorder="1" applyAlignment="1">
      <alignment horizontal="center" vertical="center" wrapText="1"/>
    </xf>
    <xf numFmtId="14" fontId="0" fillId="0" borderId="1" xfId="0" applyNumberFormat="1" applyBorder="1"/>
    <xf numFmtId="14" fontId="48" fillId="0" borderId="1" xfId="1" applyNumberFormat="1" applyFont="1" applyBorder="1" applyAlignment="1">
      <alignment horizontal="center" vertical="center" wrapText="1"/>
    </xf>
    <xf numFmtId="0" fontId="52" fillId="0" borderId="0" xfId="20" applyFont="1" applyAlignment="1">
      <alignment horizontal="center" vertical="center"/>
    </xf>
    <xf numFmtId="0" fontId="21" fillId="0" borderId="0" xfId="20" applyAlignment="1">
      <alignment horizontal="center" vertical="center"/>
    </xf>
    <xf numFmtId="0" fontId="53" fillId="0" borderId="1" xfId="1" applyFont="1" applyBorder="1" applyAlignment="1">
      <alignment horizontal="center" vertical="center" wrapText="1"/>
    </xf>
    <xf numFmtId="0" fontId="21" fillId="0" borderId="0" xfId="20" applyAlignment="1">
      <alignment horizontal="center"/>
    </xf>
    <xf numFmtId="0" fontId="5" fillId="0" borderId="2" xfId="1" applyFont="1" applyBorder="1" applyAlignment="1">
      <alignment horizontal="center" vertical="center" wrapText="1"/>
    </xf>
    <xf numFmtId="166" fontId="53" fillId="0" borderId="2" xfId="1" applyNumberFormat="1" applyFont="1" applyBorder="1" applyAlignment="1">
      <alignment horizontal="center" vertical="center" wrapText="1"/>
    </xf>
    <xf numFmtId="0" fontId="53" fillId="0" borderId="2" xfId="1" applyFont="1" applyBorder="1" applyAlignment="1">
      <alignment horizontal="center" vertical="center" wrapText="1"/>
    </xf>
    <xf numFmtId="14" fontId="53" fillId="0" borderId="2" xfId="1" applyNumberFormat="1" applyFont="1" applyBorder="1" applyAlignment="1">
      <alignment horizontal="center" vertical="center" wrapText="1"/>
    </xf>
    <xf numFmtId="14" fontId="53" fillId="0" borderId="1" xfId="1" applyNumberFormat="1" applyFont="1" applyBorder="1" applyAlignment="1">
      <alignment horizontal="center" vertical="center" wrapText="1"/>
    </xf>
    <xf numFmtId="0" fontId="21" fillId="2" borderId="0" xfId="20" applyFill="1" applyAlignment="1">
      <alignment horizontal="center"/>
    </xf>
    <xf numFmtId="0" fontId="12" fillId="0" borderId="0" xfId="20" applyFont="1" applyAlignment="1">
      <alignment horizontal="center" vertical="center"/>
    </xf>
    <xf numFmtId="0" fontId="0" fillId="36" borderId="1" xfId="0" applyFill="1" applyBorder="1"/>
    <xf numFmtId="0" fontId="0" fillId="21" borderId="1" xfId="0" applyFill="1" applyBorder="1" applyAlignment="1">
      <alignment wrapText="1"/>
    </xf>
    <xf numFmtId="0" fontId="0" fillId="21" borderId="1" xfId="0" applyFill="1" applyBorder="1"/>
    <xf numFmtId="0" fontId="0" fillId="21" borderId="1" xfId="0" applyFill="1" applyBorder="1" applyAlignment="1">
      <alignment horizontal="center" vertical="center" wrapText="1"/>
    </xf>
    <xf numFmtId="0" fontId="0" fillId="21" borderId="1" xfId="0" applyFill="1" applyBorder="1" applyAlignment="1">
      <alignment horizontal="center"/>
    </xf>
    <xf numFmtId="0" fontId="0" fillId="21" borderId="1" xfId="0" applyFill="1" applyBorder="1" applyAlignment="1">
      <alignment vertical="center" wrapText="1"/>
    </xf>
    <xf numFmtId="14" fontId="5" fillId="21" borderId="1" xfId="1" applyNumberFormat="1" applyFont="1" applyFill="1" applyBorder="1" applyAlignment="1">
      <alignment horizontal="center" vertical="center" wrapText="1"/>
    </xf>
    <xf numFmtId="164" fontId="5" fillId="21" borderId="19" xfId="1" applyNumberFormat="1" applyFont="1" applyFill="1" applyBorder="1" applyAlignment="1">
      <alignment horizontal="left" vertical="center" wrapText="1"/>
    </xf>
    <xf numFmtId="164" fontId="5" fillId="21" borderId="19" xfId="1" applyNumberFormat="1" applyFont="1" applyFill="1" applyBorder="1" applyAlignment="1">
      <alignment horizontal="center" vertical="center" wrapText="1"/>
    </xf>
    <xf numFmtId="0" fontId="5" fillId="21" borderId="1" xfId="0" applyFont="1" applyFill="1" applyBorder="1" applyAlignment="1" applyProtection="1">
      <alignment horizontal="center" vertical="center" wrapText="1"/>
      <protection locked="0"/>
    </xf>
    <xf numFmtId="0" fontId="5" fillId="21" borderId="1" xfId="1" applyFont="1" applyFill="1" applyBorder="1" applyAlignment="1">
      <alignment horizontal="center" vertical="center" wrapText="1"/>
    </xf>
    <xf numFmtId="0" fontId="5" fillId="21" borderId="1" xfId="0" applyFont="1" applyFill="1" applyBorder="1" applyAlignment="1">
      <alignment horizontal="center" vertical="center" wrapText="1"/>
    </xf>
    <xf numFmtId="0" fontId="5" fillId="21" borderId="1" xfId="0" applyFont="1" applyFill="1" applyBorder="1" applyAlignment="1">
      <alignment horizontal="center" vertical="center"/>
    </xf>
    <xf numFmtId="0" fontId="20" fillId="21" borderId="1" xfId="1" applyFont="1" applyFill="1" applyBorder="1" applyAlignment="1">
      <alignment horizontal="center" vertical="center" wrapText="1"/>
    </xf>
    <xf numFmtId="0" fontId="16" fillId="21" borderId="1" xfId="0" applyFont="1" applyFill="1" applyBorder="1" applyAlignment="1" applyProtection="1">
      <alignment horizontal="center" vertical="center" wrapText="1"/>
      <protection locked="0"/>
    </xf>
    <xf numFmtId="2" fontId="5" fillId="21" borderId="19" xfId="0" applyNumberFormat="1" applyFont="1" applyFill="1" applyBorder="1" applyAlignment="1">
      <alignment horizontal="center" vertical="center" wrapText="1"/>
    </xf>
    <xf numFmtId="1" fontId="5" fillId="21" borderId="19" xfId="1" applyNumberFormat="1" applyFont="1" applyFill="1" applyBorder="1" applyAlignment="1">
      <alignment horizontal="center" vertical="center" wrapText="1"/>
    </xf>
    <xf numFmtId="14" fontId="23" fillId="21" borderId="19" xfId="1" applyNumberFormat="1" applyFont="1" applyFill="1" applyBorder="1" applyAlignment="1">
      <alignment horizontal="center" vertical="center" wrapText="1"/>
    </xf>
    <xf numFmtId="2" fontId="5" fillId="21" borderId="19" xfId="1" applyNumberFormat="1" applyFont="1" applyFill="1" applyBorder="1" applyAlignment="1">
      <alignment horizontal="center" vertical="center" wrapText="1"/>
    </xf>
    <xf numFmtId="0" fontId="5" fillId="21" borderId="19" xfId="1" applyFont="1" applyFill="1" applyBorder="1" applyAlignment="1">
      <alignment horizontal="center" vertical="center" wrapText="1"/>
    </xf>
    <xf numFmtId="164" fontId="5" fillId="21" borderId="1" xfId="1" applyNumberFormat="1" applyFont="1" applyFill="1" applyBorder="1" applyAlignment="1">
      <alignment horizontal="center" vertical="center" wrapText="1"/>
    </xf>
    <xf numFmtId="1" fontId="5" fillId="21" borderId="1" xfId="1" applyNumberFormat="1" applyFont="1" applyFill="1" applyBorder="1" applyAlignment="1">
      <alignment horizontal="center" vertical="center" wrapText="1"/>
    </xf>
    <xf numFmtId="0" fontId="10" fillId="21" borderId="19" xfId="1" applyFont="1" applyFill="1" applyBorder="1" applyAlignment="1">
      <alignment horizontal="center" vertical="center" wrapText="1"/>
    </xf>
    <xf numFmtId="14" fontId="5" fillId="21" borderId="19" xfId="1" applyNumberFormat="1" applyFont="1" applyFill="1" applyBorder="1" applyAlignment="1">
      <alignment horizontal="center" vertical="center" wrapText="1"/>
    </xf>
    <xf numFmtId="0" fontId="5" fillId="21" borderId="19" xfId="0" applyFont="1" applyFill="1" applyBorder="1" applyAlignment="1">
      <alignment horizontal="center" vertical="center" wrapText="1"/>
    </xf>
    <xf numFmtId="0" fontId="11" fillId="21" borderId="19" xfId="1" applyFont="1" applyFill="1" applyBorder="1" applyAlignment="1">
      <alignment horizontal="center" vertical="center" wrapText="1"/>
    </xf>
    <xf numFmtId="9" fontId="5" fillId="21" borderId="19" xfId="6" applyFont="1" applyFill="1" applyBorder="1" applyAlignment="1">
      <alignment horizontal="center" vertical="center" wrapText="1"/>
    </xf>
    <xf numFmtId="2" fontId="5" fillId="21" borderId="1" xfId="1" applyNumberFormat="1" applyFont="1" applyFill="1" applyBorder="1" applyAlignment="1">
      <alignment horizontal="center" vertical="center" wrapText="1"/>
    </xf>
    <xf numFmtId="14" fontId="12" fillId="21" borderId="1" xfId="0" applyNumberFormat="1" applyFont="1" applyFill="1" applyBorder="1" applyAlignment="1">
      <alignment horizontal="center" vertical="center" wrapText="1"/>
    </xf>
    <xf numFmtId="14" fontId="5" fillId="21" borderId="1" xfId="0" applyNumberFormat="1" applyFont="1" applyFill="1" applyBorder="1" applyAlignment="1">
      <alignment horizontal="center" vertical="center" wrapText="1"/>
    </xf>
    <xf numFmtId="0" fontId="11" fillId="21" borderId="1" xfId="1" applyFont="1" applyFill="1" applyBorder="1" applyAlignment="1">
      <alignment horizontal="center" vertical="center" wrapText="1"/>
    </xf>
    <xf numFmtId="14" fontId="0" fillId="21" borderId="1" xfId="1" applyNumberFormat="1" applyFont="1" applyFill="1" applyBorder="1" applyAlignment="1">
      <alignment horizontal="center" vertical="center" wrapText="1"/>
    </xf>
    <xf numFmtId="0" fontId="14" fillId="21" borderId="1" xfId="1" applyFont="1" applyFill="1" applyBorder="1" applyAlignment="1">
      <alignment horizontal="center" vertical="center" wrapText="1"/>
    </xf>
    <xf numFmtId="0" fontId="13" fillId="21" borderId="1" xfId="1" applyFont="1" applyFill="1" applyBorder="1" applyAlignment="1">
      <alignment horizontal="center" vertical="center" wrapText="1"/>
    </xf>
    <xf numFmtId="0" fontId="15" fillId="21" borderId="1" xfId="1" applyFont="1" applyFill="1" applyBorder="1" applyAlignment="1">
      <alignment horizontal="center" vertical="center" wrapText="1"/>
    </xf>
    <xf numFmtId="14" fontId="13" fillId="21" borderId="1" xfId="1" applyNumberFormat="1" applyFont="1" applyFill="1" applyBorder="1" applyAlignment="1">
      <alignment horizontal="center" vertical="center" wrapText="1"/>
    </xf>
    <xf numFmtId="14" fontId="19" fillId="21" borderId="1" xfId="1" applyNumberFormat="1" applyFont="1" applyFill="1" applyBorder="1" applyAlignment="1">
      <alignment horizontal="center" vertical="center" wrapText="1"/>
    </xf>
    <xf numFmtId="14" fontId="20" fillId="21" borderId="1" xfId="1" applyNumberFormat="1" applyFont="1" applyFill="1" applyBorder="1" applyAlignment="1">
      <alignment horizontal="center" vertical="center" wrapText="1"/>
    </xf>
    <xf numFmtId="1" fontId="20" fillId="21" borderId="1" xfId="1" applyNumberFormat="1" applyFont="1" applyFill="1" applyBorder="1" applyAlignment="1">
      <alignment horizontal="center" vertical="center" wrapText="1"/>
    </xf>
    <xf numFmtId="0" fontId="5" fillId="21" borderId="0" xfId="1" applyFont="1" applyFill="1" applyAlignment="1">
      <alignment horizontal="center" vertical="center" wrapText="1"/>
    </xf>
    <xf numFmtId="166" fontId="53" fillId="0" borderId="1" xfId="1" applyNumberFormat="1" applyFont="1" applyBorder="1" applyAlignment="1">
      <alignment horizontal="center" vertical="center" wrapText="1"/>
    </xf>
    <xf numFmtId="14" fontId="54" fillId="0" borderId="0" xfId="0" applyNumberFormat="1" applyFont="1"/>
    <xf numFmtId="0" fontId="21" fillId="0" borderId="0" xfId="0" applyFont="1" applyAlignment="1">
      <alignment horizontal="center" vertical="center"/>
    </xf>
    <xf numFmtId="0" fontId="55" fillId="0" borderId="0" xfId="0" applyFont="1" applyAlignment="1">
      <alignment horizontal="center" vertical="center"/>
    </xf>
    <xf numFmtId="0" fontId="56" fillId="0" borderId="0" xfId="0" applyFont="1" applyAlignment="1">
      <alignment horizontal="center" vertical="top" wrapText="1"/>
    </xf>
    <xf numFmtId="168" fontId="5" fillId="0" borderId="0" xfId="1" applyNumberFormat="1" applyFont="1" applyAlignment="1">
      <alignment horizontal="center" vertical="center" wrapText="1"/>
    </xf>
    <xf numFmtId="0" fontId="0" fillId="28" borderId="1" xfId="0" applyFill="1" applyBorder="1"/>
    <xf numFmtId="0" fontId="0" fillId="28" borderId="1" xfId="0" applyFill="1" applyBorder="1" applyAlignment="1">
      <alignment wrapText="1"/>
    </xf>
    <xf numFmtId="0" fontId="0" fillId="28" borderId="1" xfId="0" applyFill="1" applyBorder="1" applyAlignment="1">
      <alignment horizontal="center"/>
    </xf>
    <xf numFmtId="168" fontId="0" fillId="8" borderId="21" xfId="10" applyNumberFormat="1" applyFont="1" applyFill="1" applyBorder="1" applyAlignment="1">
      <alignment horizontal="center" vertical="center" wrapText="1"/>
    </xf>
    <xf numFmtId="168" fontId="5" fillId="0" borderId="1" xfId="1" applyNumberFormat="1" applyFont="1" applyBorder="1" applyAlignment="1">
      <alignment horizontal="center" vertical="center" wrapText="1"/>
    </xf>
    <xf numFmtId="168" fontId="5" fillId="21" borderId="1" xfId="1" applyNumberFormat="1" applyFont="1" applyFill="1" applyBorder="1" applyAlignment="1">
      <alignment horizontal="center" vertical="center" wrapText="1"/>
    </xf>
    <xf numFmtId="168" fontId="0" fillId="13" borderId="21" xfId="10" applyNumberFormat="1" applyFont="1" applyFill="1" applyBorder="1" applyAlignment="1">
      <alignment horizontal="center" vertical="center" wrapText="1"/>
    </xf>
    <xf numFmtId="168" fontId="53" fillId="0" borderId="1" xfId="1" applyNumberFormat="1" applyFont="1" applyBorder="1" applyAlignment="1">
      <alignment horizontal="center" vertical="center" wrapText="1"/>
    </xf>
    <xf numFmtId="0" fontId="52" fillId="28" borderId="1" xfId="20" applyFont="1" applyFill="1" applyBorder="1" applyAlignment="1">
      <alignment horizontal="center" vertical="center"/>
    </xf>
    <xf numFmtId="0" fontId="52" fillId="0" borderId="1" xfId="20" applyFont="1" applyBorder="1" applyAlignment="1">
      <alignment horizontal="center" vertical="center"/>
    </xf>
    <xf numFmtId="0" fontId="12" fillId="28" borderId="1" xfId="20" applyFont="1" applyFill="1" applyBorder="1" applyAlignment="1">
      <alignment horizontal="center" vertical="center"/>
    </xf>
    <xf numFmtId="0" fontId="21" fillId="0" borderId="1" xfId="20" applyBorder="1" applyAlignment="1">
      <alignment horizontal="center" vertical="center"/>
    </xf>
    <xf numFmtId="0" fontId="21" fillId="0" borderId="1" xfId="20" applyBorder="1" applyAlignment="1">
      <alignment horizontal="center"/>
    </xf>
    <xf numFmtId="0" fontId="21" fillId="28" borderId="1" xfId="20" applyFill="1" applyBorder="1" applyAlignment="1">
      <alignment horizontal="center"/>
    </xf>
    <xf numFmtId="0" fontId="21" fillId="28" borderId="1" xfId="20" applyFill="1" applyBorder="1" applyAlignment="1">
      <alignment horizontal="center" vertical="center"/>
    </xf>
    <xf numFmtId="0" fontId="21" fillId="2" borderId="1" xfId="20" applyFill="1" applyBorder="1" applyAlignment="1">
      <alignment horizontal="center"/>
    </xf>
    <xf numFmtId="0" fontId="55" fillId="0" borderId="1" xfId="0" applyFont="1" applyBorder="1" applyAlignment="1">
      <alignment horizontal="center" vertical="center"/>
    </xf>
    <xf numFmtId="0" fontId="56" fillId="28" borderId="1" xfId="0" applyFont="1" applyFill="1" applyBorder="1" applyAlignment="1">
      <alignment horizontal="center" vertical="top" wrapText="1"/>
    </xf>
    <xf numFmtId="0" fontId="56" fillId="0" borderId="1" xfId="0" applyFont="1" applyBorder="1" applyAlignment="1">
      <alignment horizontal="center" vertical="top" wrapText="1"/>
    </xf>
    <xf numFmtId="0" fontId="57" fillId="0" borderId="1" xfId="0" applyFont="1" applyBorder="1"/>
    <xf numFmtId="0" fontId="12" fillId="0" borderId="1" xfId="20" applyFont="1" applyBorder="1" applyAlignment="1">
      <alignment horizontal="center" vertical="center"/>
    </xf>
    <xf numFmtId="0" fontId="55" fillId="28" borderId="1" xfId="0" applyFont="1" applyFill="1" applyBorder="1" applyAlignment="1">
      <alignment horizontal="center" vertical="center"/>
    </xf>
    <xf numFmtId="0" fontId="1" fillId="8" borderId="1" xfId="10" applyFont="1" applyFill="1" applyBorder="1" applyAlignment="1">
      <alignment horizontal="left" vertical="center" wrapText="1"/>
    </xf>
    <xf numFmtId="0" fontId="22" fillId="11" borderId="1" xfId="10" applyFont="1" applyFill="1" applyBorder="1" applyAlignment="1">
      <alignment horizontal="left" vertical="center" wrapText="1"/>
    </xf>
    <xf numFmtId="0" fontId="0" fillId="28" borderId="1" xfId="0" applyFill="1" applyBorder="1" applyAlignment="1">
      <alignment horizontal="left"/>
    </xf>
    <xf numFmtId="0" fontId="0" fillId="28" borderId="1" xfId="0" applyFill="1" applyBorder="1" applyAlignment="1">
      <alignment horizontal="left" wrapText="1"/>
    </xf>
    <xf numFmtId="14" fontId="5" fillId="28" borderId="1" xfId="1" applyNumberFormat="1" applyFont="1" applyFill="1" applyBorder="1" applyAlignment="1">
      <alignment horizontal="left" vertical="center" wrapText="1"/>
    </xf>
    <xf numFmtId="0" fontId="0" fillId="0" borderId="1" xfId="0" applyBorder="1" applyAlignment="1">
      <alignment horizontal="left"/>
    </xf>
    <xf numFmtId="0" fontId="0" fillId="0" borderId="1" xfId="0" applyBorder="1" applyAlignment="1">
      <alignment horizontal="left" wrapText="1"/>
    </xf>
    <xf numFmtId="14" fontId="5" fillId="21" borderId="1" xfId="1" applyNumberFormat="1" applyFont="1" applyFill="1" applyBorder="1" applyAlignment="1">
      <alignment horizontal="left" vertical="center" wrapText="1"/>
    </xf>
    <xf numFmtId="14" fontId="5" fillId="0" borderId="1" xfId="1" applyNumberFormat="1" applyFont="1" applyBorder="1" applyAlignment="1">
      <alignment horizontal="left" vertical="center" wrapText="1"/>
    </xf>
    <xf numFmtId="0" fontId="52" fillId="28" borderId="1" xfId="20" applyFont="1" applyFill="1" applyBorder="1" applyAlignment="1">
      <alignment horizontal="left" vertical="center"/>
    </xf>
    <xf numFmtId="0" fontId="52" fillId="0" borderId="1" xfId="20" applyFont="1" applyBorder="1" applyAlignment="1">
      <alignment horizontal="left" vertical="center"/>
    </xf>
    <xf numFmtId="0" fontId="12" fillId="28" borderId="1" xfId="20" applyFont="1" applyFill="1" applyBorder="1" applyAlignment="1">
      <alignment horizontal="left" vertical="center"/>
    </xf>
    <xf numFmtId="0" fontId="21" fillId="0" borderId="1" xfId="20" applyBorder="1" applyAlignment="1">
      <alignment horizontal="left" vertical="center"/>
    </xf>
    <xf numFmtId="0" fontId="21" fillId="0" borderId="1" xfId="20" applyBorder="1" applyAlignment="1">
      <alignment horizontal="left"/>
    </xf>
    <xf numFmtId="0" fontId="21" fillId="28" borderId="1" xfId="20" applyFill="1" applyBorder="1" applyAlignment="1">
      <alignment horizontal="left"/>
    </xf>
    <xf numFmtId="0" fontId="21" fillId="28" borderId="1" xfId="20" applyFill="1" applyBorder="1" applyAlignment="1">
      <alignment horizontal="left" vertical="center"/>
    </xf>
    <xf numFmtId="0" fontId="21" fillId="2" borderId="1" xfId="20" applyFill="1" applyBorder="1" applyAlignment="1">
      <alignment horizontal="left"/>
    </xf>
    <xf numFmtId="0" fontId="55" fillId="0" borderId="1" xfId="0" applyFont="1" applyBorder="1" applyAlignment="1">
      <alignment horizontal="left" vertical="center"/>
    </xf>
    <xf numFmtId="0" fontId="56" fillId="28" borderId="1" xfId="0" applyFont="1" applyFill="1" applyBorder="1" applyAlignment="1">
      <alignment horizontal="left" vertical="top" wrapText="1"/>
    </xf>
    <xf numFmtId="0" fontId="56" fillId="0" borderId="1" xfId="0" applyFont="1" applyBorder="1" applyAlignment="1">
      <alignment horizontal="left" vertical="top" wrapText="1"/>
    </xf>
    <xf numFmtId="0" fontId="57" fillId="0" borderId="1" xfId="0" applyFont="1" applyBorder="1" applyAlignment="1">
      <alignment horizontal="left"/>
    </xf>
    <xf numFmtId="0" fontId="5" fillId="28" borderId="1" xfId="0" applyFont="1" applyFill="1" applyBorder="1" applyAlignment="1">
      <alignment horizontal="left" vertical="center" wrapText="1"/>
    </xf>
    <xf numFmtId="0" fontId="1" fillId="2" borderId="1" xfId="10" applyFont="1" applyFill="1" applyBorder="1" applyAlignment="1">
      <alignment horizontal="left" vertical="center" wrapText="1"/>
    </xf>
    <xf numFmtId="0" fontId="12" fillId="0" borderId="1" xfId="20" applyFont="1" applyBorder="1" applyAlignment="1">
      <alignment horizontal="left" vertical="center"/>
    </xf>
    <xf numFmtId="0" fontId="55" fillId="28" borderId="1" xfId="0" applyFont="1" applyFill="1" applyBorder="1" applyAlignment="1">
      <alignment horizontal="left" vertical="center"/>
    </xf>
    <xf numFmtId="0" fontId="58" fillId="0" borderId="0" xfId="0" applyFont="1" applyAlignment="1">
      <alignment vertical="center"/>
    </xf>
    <xf numFmtId="0" fontId="5" fillId="0" borderId="7" xfId="1" applyFont="1" applyBorder="1" applyAlignment="1">
      <alignment horizontal="center" vertical="center" wrapText="1"/>
    </xf>
    <xf numFmtId="0" fontId="0" fillId="0" borderId="8" xfId="0" applyBorder="1" applyAlignment="1">
      <alignment horizontal="center" vertical="top" wrapText="1"/>
    </xf>
    <xf numFmtId="0" fontId="0" fillId="0" borderId="9" xfId="0" applyBorder="1" applyAlignment="1">
      <alignment horizontal="center" vertical="top" wrapText="1"/>
    </xf>
    <xf numFmtId="0" fontId="0" fillId="0" borderId="7" xfId="0" applyBorder="1" applyAlignment="1">
      <alignment horizontal="center" vertical="top" wrapText="1"/>
    </xf>
    <xf numFmtId="0" fontId="28" fillId="0" borderId="16" xfId="0" applyFont="1" applyBorder="1" applyAlignment="1">
      <alignment horizontal="left" vertical="center" wrapText="1"/>
    </xf>
    <xf numFmtId="0" fontId="28" fillId="0" borderId="16" xfId="0" applyFont="1" applyBorder="1" applyAlignment="1">
      <alignment horizontal="left" wrapText="1"/>
    </xf>
    <xf numFmtId="0" fontId="0" fillId="0" borderId="1" xfId="0" applyBorder="1" applyAlignment="1">
      <alignment horizontal="left" vertical="top" wrapText="1"/>
    </xf>
    <xf numFmtId="0" fontId="0" fillId="0" borderId="8" xfId="0" applyBorder="1" applyAlignment="1">
      <alignment horizontal="left" vertical="top" wrapText="1"/>
    </xf>
    <xf numFmtId="0" fontId="0" fillId="0" borderId="9" xfId="0" applyBorder="1" applyAlignment="1">
      <alignment horizontal="left" vertical="top" wrapText="1"/>
    </xf>
    <xf numFmtId="0" fontId="0" fillId="0" borderId="7" xfId="0" applyBorder="1" applyAlignment="1">
      <alignment horizontal="left" vertical="top" wrapText="1"/>
    </xf>
    <xf numFmtId="9" fontId="27" fillId="0" borderId="13" xfId="6" applyFont="1" applyFill="1" applyBorder="1" applyAlignment="1">
      <alignment horizontal="center"/>
    </xf>
    <xf numFmtId="9" fontId="27" fillId="0" borderId="37" xfId="6" applyFont="1" applyFill="1" applyBorder="1" applyAlignment="1">
      <alignment horizontal="center"/>
    </xf>
    <xf numFmtId="9" fontId="27" fillId="0" borderId="13" xfId="6" applyFont="1" applyBorder="1" applyAlignment="1">
      <alignment horizontal="center"/>
    </xf>
    <xf numFmtId="9" fontId="27" fillId="0" borderId="37" xfId="6" applyFont="1" applyBorder="1" applyAlignment="1">
      <alignment horizontal="center"/>
    </xf>
    <xf numFmtId="167" fontId="27" fillId="0" borderId="47" xfId="6" applyNumberFormat="1" applyFont="1" applyBorder="1" applyAlignment="1">
      <alignment horizontal="center" vertical="center"/>
    </xf>
    <xf numFmtId="167" fontId="27" fillId="0" borderId="48" xfId="6" applyNumberFormat="1" applyFont="1" applyBorder="1" applyAlignment="1">
      <alignment horizontal="center" vertical="center"/>
    </xf>
    <xf numFmtId="9" fontId="42" fillId="0" borderId="47" xfId="6" applyFont="1" applyBorder="1" applyAlignment="1">
      <alignment horizontal="center" vertical="center"/>
    </xf>
    <xf numFmtId="9" fontId="42" fillId="0" borderId="48" xfId="6" applyFont="1" applyBorder="1" applyAlignment="1">
      <alignment horizontal="center" vertical="center"/>
    </xf>
    <xf numFmtId="167" fontId="42" fillId="0" borderId="47" xfId="6" applyNumberFormat="1" applyFont="1" applyBorder="1" applyAlignment="1">
      <alignment horizontal="center" vertical="center"/>
    </xf>
    <xf numFmtId="167" fontId="42" fillId="0" borderId="48" xfId="6" applyNumberFormat="1" applyFont="1" applyBorder="1" applyAlignment="1">
      <alignment horizontal="center" vertical="center"/>
    </xf>
    <xf numFmtId="9" fontId="0" fillId="0" borderId="45" xfId="6" applyFont="1" applyBorder="1" applyAlignment="1">
      <alignment horizontal="center"/>
    </xf>
    <xf numFmtId="9" fontId="0" fillId="0" borderId="16" xfId="6" applyFont="1" applyBorder="1" applyAlignment="1">
      <alignment horizontal="center"/>
    </xf>
    <xf numFmtId="0" fontId="1" fillId="0" borderId="24" xfId="0" applyFont="1" applyBorder="1" applyAlignment="1">
      <alignment horizontal="center" vertical="center"/>
    </xf>
    <xf numFmtId="0" fontId="1" fillId="0" borderId="25" xfId="0" applyFont="1" applyBorder="1" applyAlignment="1">
      <alignment horizontal="center" vertical="center"/>
    </xf>
    <xf numFmtId="0" fontId="0" fillId="0" borderId="8" xfId="0" applyBorder="1" applyAlignment="1">
      <alignment horizontal="center"/>
    </xf>
    <xf numFmtId="0" fontId="0" fillId="0" borderId="9" xfId="0" applyBorder="1" applyAlignment="1">
      <alignment horizontal="center"/>
    </xf>
    <xf numFmtId="0" fontId="0" fillId="0" borderId="39" xfId="0" applyBorder="1" applyAlignment="1">
      <alignment horizontal="center"/>
    </xf>
    <xf numFmtId="0" fontId="0" fillId="0" borderId="42" xfId="0" applyBorder="1" applyAlignment="1">
      <alignment horizontal="center"/>
    </xf>
    <xf numFmtId="0" fontId="57" fillId="0" borderId="1" xfId="0" applyFont="1" applyBorder="1" applyAlignment="1">
      <alignment horizontal="center"/>
    </xf>
    <xf numFmtId="0" fontId="57" fillId="0" borderId="1" xfId="0" applyFont="1" applyBorder="1" applyAlignment="1">
      <alignment horizontal="center" vertical="center"/>
    </xf>
    <xf numFmtId="0" fontId="57" fillId="0" borderId="1" xfId="0" applyFont="1" applyBorder="1" applyAlignment="1">
      <alignment horizontal="left"/>
    </xf>
    <xf numFmtId="0" fontId="1" fillId="0" borderId="1" xfId="0" applyFont="1" applyBorder="1" applyAlignment="1">
      <alignment horizontal="left"/>
    </xf>
    <xf numFmtId="0" fontId="57" fillId="0" borderId="1" xfId="0" applyFont="1" applyBorder="1" applyAlignment="1">
      <alignment horizontal="left" vertical="center"/>
    </xf>
  </cellXfs>
  <cellStyles count="21">
    <cellStyle name="Énfasis5" xfId="10" builtinId="45"/>
    <cellStyle name="Estilo 1" xfId="7" xr:uid="{00000000-0005-0000-0000-000001000000}"/>
    <cellStyle name="Estilo 2" xfId="8" xr:uid="{00000000-0005-0000-0000-000002000000}"/>
    <cellStyle name="Estilo 3" xfId="9" xr:uid="{00000000-0005-0000-0000-000003000000}"/>
    <cellStyle name="Normal" xfId="0" builtinId="0"/>
    <cellStyle name="Normal 13" xfId="19" xr:uid="{851C513A-4370-46AF-918E-458DC4E19C8A}"/>
    <cellStyle name="Normal 2" xfId="1" xr:uid="{00000000-0005-0000-0000-000005000000}"/>
    <cellStyle name="Normal 2 2" xfId="2" xr:uid="{00000000-0005-0000-0000-000006000000}"/>
    <cellStyle name="Normal 2 2 4" xfId="17" xr:uid="{22BE11E2-DB39-499E-8B23-53C2371D46DD}"/>
    <cellStyle name="Normal 2 3" xfId="11" xr:uid="{00000000-0005-0000-0000-000007000000}"/>
    <cellStyle name="Normal 2 4" xfId="18" xr:uid="{C24C5347-7B12-4F11-A3A8-B915F25894D5}"/>
    <cellStyle name="Normal 3" xfId="12" xr:uid="{00000000-0005-0000-0000-000008000000}"/>
    <cellStyle name="Normal 3 2" xfId="14" xr:uid="{48B97A6C-F145-456C-882E-44193BB1FDBC}"/>
    <cellStyle name="Normal 4" xfId="16" xr:uid="{05C56E59-BE50-46F1-ABA4-84F79EB76716}"/>
    <cellStyle name="Normal 5" xfId="4" xr:uid="{00000000-0005-0000-0000-000009000000}"/>
    <cellStyle name="Normal 5 2" xfId="15" xr:uid="{16509204-A1F4-4BCD-A84B-ADB272B403E9}"/>
    <cellStyle name="Normal 8" xfId="3" xr:uid="{00000000-0005-0000-0000-00000A000000}"/>
    <cellStyle name="Porcentaje" xfId="6" builtinId="5"/>
    <cellStyle name="Porcentaje 2" xfId="13" xr:uid="{00000000-0005-0000-0000-00000C000000}"/>
    <cellStyle name="Porcentaje 2 2" xfId="20" xr:uid="{70F536BA-18F2-458A-AF75-390D4658C158}"/>
    <cellStyle name="Porcentual 2" xfId="5" xr:uid="{00000000-0005-0000-0000-00000D000000}"/>
  </cellStyles>
  <dxfs count="5669">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ont>
        <color theme="0"/>
      </font>
      <fill>
        <patternFill>
          <bgColor rgb="FFC00000"/>
        </patternFill>
      </fill>
    </dxf>
    <dxf>
      <fill>
        <patternFill>
          <bgColor rgb="FFFFFF00"/>
        </patternFill>
      </fill>
    </dxf>
    <dxf>
      <fill>
        <patternFill>
          <bgColor rgb="FF92D050"/>
        </patternFill>
      </fill>
    </dxf>
    <dxf>
      <font>
        <b/>
        <i val="0"/>
        <color theme="0"/>
      </font>
      <fill>
        <patternFill>
          <bgColor rgb="FFC00000"/>
        </patternFill>
      </fill>
    </dxf>
    <dxf>
      <font>
        <color rgb="FF006100"/>
      </font>
      <fill>
        <patternFill>
          <bgColor rgb="FFC6EFCE"/>
        </patternFill>
      </fill>
    </dxf>
    <dxf>
      <font>
        <b/>
        <i val="0"/>
        <color auto="1"/>
      </font>
      <fill>
        <patternFill patternType="solid">
          <fgColor auto="1"/>
          <bgColor rgb="FFFB4D3B"/>
        </patternFill>
      </fill>
    </dxf>
    <dxf>
      <font>
        <color rgb="FF9C0006"/>
      </font>
      <fill>
        <patternFill>
          <bgColor rgb="FFFFC7CE"/>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ill>
        <patternFill>
          <bgColor rgb="FF92D050"/>
        </patternFill>
      </fill>
    </dxf>
    <dxf>
      <fill>
        <patternFill>
          <bgColor rgb="FF92D050"/>
        </patternFill>
      </fill>
    </dxf>
    <dxf>
      <fill>
        <patternFill>
          <bgColor rgb="FF92D050"/>
        </patternFill>
      </fill>
    </dxf>
    <dxf>
      <fill>
        <patternFill>
          <bgColor rgb="FF92D050"/>
        </patternFill>
      </fill>
    </dxf>
    <dxf>
      <font>
        <color rgb="FF9C0006"/>
      </font>
      <fill>
        <patternFill>
          <bgColor rgb="FFFFC7CE"/>
        </patternFill>
      </fill>
    </dxf>
    <dxf>
      <font>
        <color theme="0"/>
      </font>
      <fill>
        <patternFill>
          <bgColor rgb="FFC00000"/>
        </patternFill>
      </fill>
    </dxf>
    <dxf>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0000"/>
        </patternFill>
      </fill>
    </dxf>
    <dxf>
      <fill>
        <patternFill>
          <bgColor rgb="FFFFFF00"/>
        </patternFill>
      </fill>
    </dxf>
    <dxf>
      <fill>
        <patternFill>
          <bgColor theme="9" tint="-0.24994659260841701"/>
        </patternFill>
      </fill>
    </dxf>
    <dxf>
      <fill>
        <patternFill>
          <bgColor theme="6" tint="0.39994506668294322"/>
        </patternFill>
      </fill>
    </dxf>
    <dxf>
      <font>
        <b/>
        <i val="0"/>
        <color theme="0"/>
      </font>
      <fill>
        <patternFill>
          <bgColor rgb="FFC00000"/>
        </patternFill>
      </fill>
    </dxf>
    <dxf>
      <fill>
        <patternFill>
          <bgColor rgb="FF92D050"/>
        </patternFill>
      </fill>
    </dxf>
    <dxf>
      <fill>
        <patternFill>
          <bgColor rgb="FFFF0000"/>
        </patternFill>
      </fill>
    </dxf>
    <dxf>
      <fill>
        <patternFill>
          <bgColor rgb="FFFFFF00"/>
        </patternFill>
      </fill>
    </dxf>
    <dxf>
      <fill>
        <patternFill>
          <bgColor theme="9" tint="-0.24994659260841701"/>
        </patternFill>
      </fill>
    </dxf>
    <dxf>
      <fill>
        <patternFill>
          <bgColor theme="6" tint="0.39994506668294322"/>
        </patternFill>
      </fill>
    </dxf>
    <dxf>
      <font>
        <b/>
        <i val="0"/>
        <color theme="0"/>
      </font>
      <fill>
        <patternFill>
          <bgColor rgb="FFC00000"/>
        </patternFill>
      </fill>
    </dxf>
    <dxf>
      <fill>
        <patternFill>
          <bgColor rgb="FF92D050"/>
        </patternFill>
      </fill>
    </dxf>
    <dxf>
      <fill>
        <patternFill>
          <bgColor rgb="FFFF0000"/>
        </patternFill>
      </fill>
    </dxf>
    <dxf>
      <fill>
        <patternFill>
          <bgColor rgb="FFFFFF00"/>
        </patternFill>
      </fill>
    </dxf>
    <dxf>
      <fill>
        <patternFill>
          <bgColor theme="9" tint="-0.24994659260841701"/>
        </patternFill>
      </fill>
    </dxf>
    <dxf>
      <fill>
        <patternFill>
          <bgColor theme="6" tint="0.39994506668294322"/>
        </patternFill>
      </fill>
    </dxf>
    <dxf>
      <font>
        <b/>
        <i val="0"/>
        <color theme="0"/>
      </font>
      <fill>
        <patternFill>
          <bgColor rgb="FFC00000"/>
        </patternFill>
      </fill>
    </dxf>
    <dxf>
      <fill>
        <patternFill>
          <bgColor rgb="FF92D050"/>
        </patternFill>
      </fill>
    </dxf>
    <dxf>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theme="0"/>
      </font>
      <fill>
        <patternFill>
          <bgColor rgb="FFFF0000"/>
        </patternFill>
      </fill>
    </dxf>
    <dxf>
      <font>
        <color theme="0"/>
      </font>
      <fill>
        <patternFill>
          <bgColor rgb="FFFF0000"/>
        </patternFill>
      </fill>
    </dxf>
    <dxf>
      <font>
        <color rgb="FF9C6500"/>
      </font>
      <fill>
        <patternFill>
          <bgColor rgb="FFFFEB9C"/>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C00000"/>
        </patternFill>
      </fill>
    </dxf>
    <dxf>
      <fill>
        <patternFill>
          <bgColor theme="5"/>
        </patternFill>
      </fill>
    </dxf>
    <dxf>
      <fill>
        <patternFill>
          <bgColor rgb="FF92D050"/>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rgb="FFC00000"/>
        </patternFill>
      </fill>
    </dxf>
    <dxf>
      <fill>
        <patternFill>
          <bgColor theme="5"/>
        </patternFill>
      </fill>
    </dxf>
    <dxf>
      <fill>
        <patternFill>
          <bgColor rgb="FF92D050"/>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theme="0"/>
      </font>
      <fill>
        <patternFill>
          <bgColor rgb="FFFF0000"/>
        </patternFill>
      </fill>
    </dxf>
    <dxf>
      <font>
        <color theme="0"/>
      </font>
      <fill>
        <patternFill>
          <bgColor rgb="FFFF0000"/>
        </patternFill>
      </fill>
    </dxf>
    <dxf>
      <font>
        <color rgb="FF9C6500"/>
      </font>
      <fill>
        <patternFill>
          <bgColor rgb="FFFFEB9C"/>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C00000"/>
        </patternFill>
      </fill>
    </dxf>
    <dxf>
      <fill>
        <patternFill>
          <bgColor theme="5"/>
        </patternFill>
      </fill>
    </dxf>
    <dxf>
      <fill>
        <patternFill>
          <bgColor rgb="FF92D050"/>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font>
      <fill>
        <patternFill>
          <bgColor rgb="FF92D050"/>
        </patternFill>
      </fill>
    </dxf>
    <dxf>
      <font>
        <b/>
        <i val="0"/>
      </font>
      <fill>
        <patternFill>
          <bgColor rgb="FFFF0000"/>
        </patternFill>
      </fill>
    </dxf>
    <dxf>
      <fill>
        <patternFill>
          <bgColor rgb="FFC00000"/>
        </patternFill>
      </fill>
    </dxf>
    <dxf>
      <fill>
        <patternFill>
          <bgColor theme="5"/>
        </patternFill>
      </fill>
    </dxf>
    <dxf>
      <fill>
        <patternFill>
          <bgColor rgb="FF92D050"/>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ill>
        <patternFill>
          <bgColor theme="0" tint="-0.14996795556505021"/>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theme="0"/>
      </font>
      <fill>
        <patternFill>
          <bgColor rgb="FFFF0000"/>
        </patternFill>
      </fill>
    </dxf>
    <dxf>
      <font>
        <color theme="0"/>
      </font>
      <fill>
        <patternFill>
          <bgColor rgb="FFFF0000"/>
        </patternFill>
      </fill>
    </dxf>
    <dxf>
      <font>
        <color rgb="FF9C6500"/>
      </font>
      <fill>
        <patternFill>
          <bgColor rgb="FFFFEB9C"/>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rgb="FFC00000"/>
        </patternFill>
      </fill>
    </dxf>
    <dxf>
      <fill>
        <patternFill>
          <bgColor theme="5"/>
        </patternFill>
      </fill>
    </dxf>
    <dxf>
      <fill>
        <patternFill>
          <bgColor rgb="FF92D05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theme="0" tint="-0.14996795556505021"/>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theme="6" tint="0.59996337778862885"/>
        </patternFill>
      </fill>
    </dxf>
    <dxf>
      <font>
        <b/>
        <i val="0"/>
      </font>
      <fill>
        <patternFill>
          <bgColor rgb="FFFFC000"/>
        </patternFill>
      </fill>
    </dxf>
    <dxf>
      <font>
        <b/>
        <i val="0"/>
        <color theme="0"/>
      </font>
      <fill>
        <patternFill>
          <bgColor rgb="FFC00000"/>
        </patternFill>
      </fill>
    </dxf>
    <dxf>
      <fill>
        <patternFill>
          <bgColor rgb="FFFFFF00"/>
        </patternFill>
      </fill>
    </dxf>
    <dxf>
      <fill>
        <patternFill>
          <bgColor rgb="FF92D050"/>
        </patternFill>
      </fill>
    </dxf>
    <dxf>
      <fill>
        <patternFill>
          <bgColor theme="0" tint="-0.14996795556505021"/>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ill>
        <patternFill>
          <bgColor theme="0" tint="-0.14996795556505021"/>
        </patternFill>
      </fill>
    </dxf>
    <dxf>
      <fill>
        <patternFill>
          <bgColor theme="0" tint="-0.14996795556505021"/>
        </patternFill>
      </fill>
    </dxf>
    <dxf>
      <fill>
        <patternFill>
          <bgColor theme="0" tint="-0.14996795556505021"/>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rgb="FFC00000"/>
        </patternFill>
      </fill>
    </dxf>
    <dxf>
      <fill>
        <patternFill>
          <bgColor theme="5"/>
        </patternFill>
      </fill>
    </dxf>
    <dxf>
      <fill>
        <patternFill>
          <bgColor rgb="FF92D050"/>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theme="0"/>
      </font>
      <fill>
        <patternFill>
          <bgColor rgb="FFFF0000"/>
        </patternFill>
      </fill>
    </dxf>
    <dxf>
      <font>
        <color theme="0"/>
      </font>
      <fill>
        <patternFill>
          <bgColor rgb="FFFF0000"/>
        </patternFill>
      </fill>
    </dxf>
    <dxf>
      <font>
        <color rgb="FF9C6500"/>
      </font>
      <fill>
        <patternFill>
          <bgColor rgb="FFFFEB9C"/>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rgb="FFC00000"/>
        </patternFill>
      </fill>
    </dxf>
    <dxf>
      <fill>
        <patternFill>
          <bgColor theme="5"/>
        </patternFill>
      </fill>
    </dxf>
    <dxf>
      <fill>
        <patternFill>
          <bgColor rgb="FF92D050"/>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theme="0"/>
      </font>
      <fill>
        <patternFill>
          <bgColor rgb="FFFF0000"/>
        </patternFill>
      </fill>
    </dxf>
    <dxf>
      <font>
        <color theme="0"/>
      </font>
      <fill>
        <patternFill>
          <bgColor rgb="FFFF0000"/>
        </patternFill>
      </fill>
    </dxf>
    <dxf>
      <font>
        <color rgb="FF9C6500"/>
      </font>
      <fill>
        <patternFill>
          <bgColor rgb="FFFFEB9C"/>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rgb="FFC00000"/>
        </patternFill>
      </fill>
    </dxf>
    <dxf>
      <fill>
        <patternFill>
          <bgColor theme="5"/>
        </patternFill>
      </fill>
    </dxf>
    <dxf>
      <fill>
        <patternFill>
          <bgColor rgb="FF92D050"/>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theme="0"/>
      </font>
      <fill>
        <patternFill>
          <bgColor rgb="FFFF0000"/>
        </patternFill>
      </fill>
    </dxf>
    <dxf>
      <font>
        <color theme="0"/>
      </font>
      <fill>
        <patternFill>
          <bgColor rgb="FFFF0000"/>
        </patternFill>
      </fill>
    </dxf>
    <dxf>
      <font>
        <color rgb="FF9C6500"/>
      </font>
      <fill>
        <patternFill>
          <bgColor rgb="FFFFEB9C"/>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rgb="FFC00000"/>
        </patternFill>
      </fill>
    </dxf>
    <dxf>
      <fill>
        <patternFill>
          <bgColor theme="5"/>
        </patternFill>
      </fill>
    </dxf>
    <dxf>
      <fill>
        <patternFill>
          <bgColor rgb="FF92D050"/>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ont>
        <color theme="0"/>
      </font>
      <fill>
        <patternFill>
          <bgColor rgb="FFFF0000"/>
        </patternFill>
      </fill>
    </dxf>
    <dxf>
      <font>
        <color theme="0"/>
      </font>
      <fill>
        <patternFill>
          <bgColor rgb="FFFF0000"/>
        </patternFill>
      </fill>
    </dxf>
    <dxf>
      <font>
        <color rgb="FF9C6500"/>
      </font>
      <fill>
        <patternFill>
          <bgColor rgb="FFFFEB9C"/>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font>
      <fill>
        <patternFill>
          <bgColor rgb="FF92D050"/>
        </patternFill>
      </fill>
    </dxf>
    <dxf>
      <font>
        <b/>
        <i val="0"/>
      </font>
      <fill>
        <patternFill>
          <bgColor rgb="FFFF0000"/>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theme="5" tint="0.59996337778862885"/>
        </patternFill>
      </fill>
    </dxf>
    <dxf>
      <fill>
        <patternFill>
          <bgColor theme="9" tint="0.59996337778862885"/>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font>
      <fill>
        <patternFill>
          <bgColor rgb="FF92D050"/>
        </patternFill>
      </fill>
    </dxf>
    <dxf>
      <font>
        <b/>
        <i val="0"/>
      </font>
      <fill>
        <patternFill>
          <bgColor rgb="FFFF0000"/>
        </patternFill>
      </fill>
    </dxf>
    <dxf>
      <font>
        <b/>
        <i val="0"/>
        <color theme="0"/>
      </font>
      <fill>
        <patternFill>
          <bgColor rgb="FFFF0000"/>
        </patternFill>
      </fill>
    </dxf>
    <dxf>
      <font>
        <b/>
        <i val="0"/>
        <color theme="0"/>
      </font>
      <fill>
        <patternFill>
          <bgColor theme="9" tint="-0.24994659260841701"/>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ill>
        <patternFill>
          <bgColor rgb="FF92D050"/>
        </patternFill>
      </fill>
    </dxf>
    <dxf>
      <font>
        <b/>
        <i val="0"/>
        <color theme="0"/>
      </font>
      <fill>
        <patternFill>
          <bgColor rgb="FFC00000"/>
        </patternFill>
      </fill>
    </dxf>
    <dxf>
      <fill>
        <patternFill>
          <bgColor rgb="FFFFC000"/>
        </patternFill>
      </fill>
    </dxf>
    <dxf>
      <font>
        <b/>
        <i val="0"/>
        <color rgb="FFFFFF00"/>
      </font>
      <border>
        <left style="thin">
          <color rgb="FFC00000"/>
        </left>
        <right style="thin">
          <color rgb="FFC00000"/>
        </right>
        <top style="thin">
          <color rgb="FFC00000"/>
        </top>
        <bottom style="thin">
          <color rgb="FFC00000"/>
        </bottom>
        <vertical/>
        <horizontal/>
      </border>
    </dxf>
    <dxf>
      <font>
        <color rgb="FF9C6500"/>
      </font>
      <fill>
        <patternFill>
          <bgColor rgb="FFFFEB9C"/>
        </patternFill>
      </fill>
    </dxf>
    <dxf>
      <fill>
        <patternFill>
          <bgColor rgb="FF92D050"/>
        </patternFill>
      </fill>
    </dxf>
    <dxf>
      <fill>
        <patternFill>
          <bgColor rgb="FFFF0000"/>
        </patternFill>
      </fill>
    </dxf>
    <dxf>
      <font>
        <color theme="0"/>
      </font>
      <fill>
        <patternFill>
          <bgColor rgb="FFFF0000"/>
        </patternFill>
      </fill>
    </dxf>
    <dxf>
      <font>
        <color theme="0"/>
      </font>
      <fill>
        <patternFill>
          <bgColor rgb="FFFF0000"/>
        </patternFill>
      </fill>
    </dxf>
    <dxf>
      <font>
        <color rgb="FF9C6500"/>
      </font>
      <fill>
        <patternFill>
          <bgColor rgb="FFFFEB9C"/>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ont>
        <color rgb="FF9C0006"/>
      </font>
      <fill>
        <patternFill>
          <bgColor rgb="FFFFC7CE"/>
        </patternFill>
      </fill>
    </dxf>
    <dxf>
      <fill>
        <patternFill>
          <bgColor rgb="FFFFFF00"/>
        </patternFill>
      </fill>
    </dxf>
    <dxf>
      <fill>
        <patternFill>
          <bgColor rgb="FFFFC000"/>
        </patternFill>
      </fill>
    </dxf>
    <dxf>
      <font>
        <color theme="0"/>
      </font>
      <fill>
        <patternFill>
          <bgColor theme="5" tint="-0.24994659260841701"/>
        </patternFill>
      </fill>
    </dxf>
    <dxf>
      <fill>
        <patternFill>
          <bgColor rgb="FF92D050"/>
        </patternFill>
      </fill>
    </dxf>
    <dxf>
      <fill>
        <patternFill>
          <bgColor theme="8" tint="0.39994506668294322"/>
        </patternFill>
      </fill>
    </dxf>
    <dxf>
      <fill>
        <patternFill>
          <bgColor rgb="FFFFFF00"/>
        </patternFill>
      </fill>
    </dxf>
    <dxf>
      <font>
        <b/>
        <i val="0"/>
        <color theme="0"/>
      </font>
      <fill>
        <patternFill>
          <bgColor rgb="FFFF0000"/>
        </patternFill>
      </fill>
    </dxf>
    <dxf>
      <fill>
        <patternFill>
          <bgColor rgb="FF92D05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ill>
        <patternFill>
          <bgColor rgb="FF92D050"/>
        </patternFill>
      </fill>
    </dxf>
    <dxf>
      <font>
        <b/>
        <i val="0"/>
        <color theme="0"/>
      </font>
      <fill>
        <patternFill>
          <bgColor rgb="FFC00000"/>
        </patternFill>
      </fill>
    </dxf>
    <dxf>
      <fill>
        <patternFill>
          <bgColor rgb="FFFFC000"/>
        </patternFill>
      </fill>
    </dxf>
    <dxf>
      <font>
        <color theme="0"/>
      </font>
      <fill>
        <patternFill>
          <bgColor rgb="FFFF0000"/>
        </patternFill>
      </fill>
    </dxf>
    <dxf>
      <font>
        <color theme="0"/>
      </font>
      <fill>
        <patternFill>
          <bgColor rgb="FFFF0000"/>
        </patternFill>
      </fill>
    </dxf>
    <dxf>
      <font>
        <color rgb="FF9C6500"/>
      </font>
      <fill>
        <patternFill>
          <bgColor rgb="FFFFEB9C"/>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theme="0" tint="-0.14996795556505021"/>
        </patternFill>
      </fill>
    </dxf>
    <dxf>
      <fill>
        <patternFill>
          <bgColor theme="0" tint="-0.14996795556505021"/>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C00000"/>
        </patternFill>
      </fill>
    </dxf>
    <dxf>
      <fill>
        <patternFill>
          <bgColor theme="5"/>
        </patternFill>
      </fill>
    </dxf>
    <dxf>
      <fill>
        <patternFill>
          <bgColor rgb="FF92D050"/>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92D050"/>
        </patternFill>
      </fill>
    </dxf>
    <dxf>
      <fill>
        <patternFill>
          <bgColor rgb="FFFF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0" tint="-0.14996795556505021"/>
        </patternFill>
      </fill>
    </dxf>
    <dxf>
      <fill>
        <patternFill>
          <bgColor theme="0" tint="-0.14996795556505021"/>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theme="0" tint="-0.14996795556505021"/>
        </patternFill>
      </fill>
    </dxf>
    <dxf>
      <fill>
        <patternFill>
          <bgColor theme="0" tint="-0.14996795556505021"/>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font>
      <fill>
        <patternFill>
          <bgColor rgb="FF92D050"/>
        </patternFill>
      </fill>
    </dxf>
    <dxf>
      <font>
        <b/>
        <i val="0"/>
      </font>
      <fill>
        <patternFill>
          <bgColor rgb="FFFF0000"/>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FFFF00"/>
        </patternFill>
      </fill>
    </dxf>
    <dxf>
      <font>
        <b/>
        <i val="0"/>
        <color theme="0"/>
      </font>
      <fill>
        <patternFill>
          <bgColor rgb="FFC00000"/>
        </patternFill>
      </fill>
    </dxf>
    <dxf>
      <fill>
        <patternFill>
          <bgColor theme="0" tint="-0.14996795556505021"/>
        </patternFill>
      </fill>
    </dxf>
    <dxf>
      <fill>
        <patternFill>
          <bgColor theme="0" tint="-0.14996795556505021"/>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ill>
        <patternFill>
          <bgColor rgb="FF92D050"/>
        </patternFill>
      </fill>
    </dxf>
    <dxf>
      <font>
        <color rgb="FF9C6500"/>
      </font>
      <fill>
        <patternFill>
          <bgColor rgb="FFFFEB9C"/>
        </patternFill>
      </fill>
    </dxf>
    <dxf>
      <font>
        <color rgb="FF9C0006"/>
      </font>
      <fill>
        <patternFill>
          <bgColor rgb="FFFFC7CE"/>
        </patternFill>
      </fill>
    </dxf>
    <dxf>
      <font>
        <color theme="0"/>
      </font>
      <fill>
        <patternFill>
          <bgColor theme="5" tint="-0.24994659260841701"/>
        </patternFill>
      </fill>
    </dxf>
    <dxf>
      <fill>
        <patternFill>
          <bgColor rgb="FFFFFF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b/>
        <i val="0"/>
        <color theme="0"/>
      </font>
      <fill>
        <patternFill>
          <bgColor rgb="FFFF0000"/>
        </patternFill>
      </fill>
    </dxf>
    <dxf>
      <font>
        <b/>
        <i val="0"/>
        <color theme="0"/>
      </font>
      <fill>
        <patternFill>
          <bgColor theme="9" tint="-0.24994659260841701"/>
        </patternFill>
      </fill>
    </dxf>
    <dxf>
      <font>
        <color rgb="FF9C0006"/>
      </font>
      <fill>
        <patternFill>
          <bgColor rgb="FFFFC7CE"/>
        </patternFill>
      </fill>
    </dxf>
    <dxf>
      <fill>
        <patternFill>
          <bgColor rgb="FFFFFF00"/>
        </patternFill>
      </fill>
    </dxf>
    <dxf>
      <fill>
        <patternFill>
          <bgColor rgb="FFFFC000"/>
        </patternFill>
      </fill>
    </dxf>
    <dxf>
      <font>
        <color theme="0"/>
      </font>
      <fill>
        <patternFill>
          <bgColor theme="5" tint="-0.24994659260841701"/>
        </patternFill>
      </fill>
    </dxf>
    <dxf>
      <fill>
        <patternFill>
          <bgColor rgb="FF92D050"/>
        </patternFill>
      </fill>
    </dxf>
    <dxf>
      <fill>
        <patternFill>
          <bgColor theme="8" tint="0.39994506668294322"/>
        </patternFill>
      </fill>
    </dxf>
    <dxf>
      <font>
        <b/>
        <i val="0"/>
        <color theme="0"/>
      </font>
      <fill>
        <patternFill>
          <bgColor rgb="FFFF0000"/>
        </patternFill>
      </fill>
    </dxf>
    <dxf>
      <font>
        <b/>
        <i val="0"/>
        <color theme="0"/>
      </font>
      <fill>
        <patternFill>
          <bgColor theme="9" tint="-0.24994659260841701"/>
        </patternFill>
      </fill>
    </dxf>
    <dxf>
      <font>
        <color rgb="FF9C0006"/>
      </font>
      <fill>
        <patternFill>
          <bgColor rgb="FFFFC7CE"/>
        </patternFill>
      </fill>
    </dxf>
    <dxf>
      <fill>
        <patternFill>
          <bgColor rgb="FFFFFF00"/>
        </patternFill>
      </fill>
    </dxf>
    <dxf>
      <fill>
        <patternFill>
          <bgColor rgb="FFFFC000"/>
        </patternFill>
      </fill>
    </dxf>
    <dxf>
      <font>
        <color theme="0"/>
      </font>
      <fill>
        <patternFill>
          <bgColor theme="5" tint="-0.24994659260841701"/>
        </patternFill>
      </fill>
    </dxf>
    <dxf>
      <fill>
        <patternFill>
          <bgColor rgb="FF92D050"/>
        </patternFill>
      </fill>
    </dxf>
    <dxf>
      <fill>
        <patternFill>
          <bgColor theme="8" tint="0.39994506668294322"/>
        </patternFill>
      </fill>
    </dxf>
    <dxf>
      <font>
        <b/>
        <i val="0"/>
        <color theme="0"/>
      </font>
      <fill>
        <patternFill>
          <bgColor rgb="FFFF0000"/>
        </patternFill>
      </fill>
    </dxf>
    <dxf>
      <font>
        <b/>
        <i val="0"/>
        <color theme="0"/>
      </font>
      <fill>
        <patternFill>
          <bgColor theme="9" tint="-0.24994659260841701"/>
        </patternFill>
      </fill>
    </dxf>
    <dxf>
      <font>
        <color rgb="FF9C0006"/>
      </font>
      <fill>
        <patternFill>
          <bgColor rgb="FFFFC7CE"/>
        </patternFill>
      </fill>
    </dxf>
    <dxf>
      <fill>
        <patternFill>
          <bgColor rgb="FFFFFF00"/>
        </patternFill>
      </fill>
    </dxf>
    <dxf>
      <fill>
        <patternFill>
          <bgColor rgb="FFFFC000"/>
        </patternFill>
      </fill>
    </dxf>
    <dxf>
      <font>
        <color theme="0"/>
      </font>
      <fill>
        <patternFill>
          <bgColor theme="5" tint="-0.24994659260841701"/>
        </patternFill>
      </fill>
    </dxf>
    <dxf>
      <fill>
        <patternFill>
          <bgColor rgb="FF92D050"/>
        </patternFill>
      </fill>
    </dxf>
    <dxf>
      <fill>
        <patternFill>
          <bgColor theme="8"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0"/>
      </font>
      <fill>
        <patternFill>
          <bgColor theme="9" tint="-0.24994659260841701"/>
        </patternFill>
      </fill>
    </dxf>
    <dxf>
      <font>
        <color rgb="FF9C0006"/>
      </font>
      <fill>
        <patternFill>
          <bgColor rgb="FFFFC7CE"/>
        </patternFill>
      </fill>
    </dxf>
    <dxf>
      <fill>
        <patternFill>
          <bgColor rgb="FFFFFF00"/>
        </patternFill>
      </fill>
    </dxf>
    <dxf>
      <fill>
        <patternFill>
          <bgColor rgb="FFFFC000"/>
        </patternFill>
      </fill>
    </dxf>
    <dxf>
      <font>
        <color theme="0"/>
      </font>
      <fill>
        <patternFill>
          <bgColor theme="5" tint="-0.24994659260841701"/>
        </patternFill>
      </fill>
    </dxf>
    <dxf>
      <fill>
        <patternFill>
          <bgColor rgb="FF92D050"/>
        </patternFill>
      </fill>
    </dxf>
    <dxf>
      <fill>
        <patternFill>
          <bgColor theme="8"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color theme="0"/>
      </font>
      <fill>
        <patternFill>
          <bgColor rgb="FFFF0000"/>
        </patternFill>
      </fill>
    </dxf>
    <dxf>
      <font>
        <color theme="0"/>
      </font>
      <fill>
        <patternFill>
          <bgColor rgb="FFFF0000"/>
        </patternFill>
      </fill>
    </dxf>
    <dxf>
      <font>
        <color rgb="FF9C6500"/>
      </font>
      <fill>
        <patternFill>
          <bgColor rgb="FFFFEB9C"/>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0"/>
      </font>
      <fill>
        <patternFill>
          <bgColor theme="9" tint="-0.24994659260841701"/>
        </patternFill>
      </fill>
    </dxf>
    <dxf>
      <font>
        <color rgb="FF9C0006"/>
      </font>
      <fill>
        <patternFill>
          <bgColor rgb="FFFFC7CE"/>
        </patternFill>
      </fill>
    </dxf>
    <dxf>
      <fill>
        <patternFill>
          <bgColor rgb="FFFFFF00"/>
        </patternFill>
      </fill>
    </dxf>
    <dxf>
      <fill>
        <patternFill>
          <bgColor rgb="FFFFC000"/>
        </patternFill>
      </fill>
    </dxf>
    <dxf>
      <font>
        <color theme="0"/>
      </font>
      <fill>
        <patternFill>
          <bgColor theme="5" tint="-0.24994659260841701"/>
        </patternFill>
      </fill>
    </dxf>
    <dxf>
      <fill>
        <patternFill>
          <bgColor rgb="FF92D050"/>
        </patternFill>
      </fill>
    </dxf>
    <dxf>
      <fill>
        <patternFill>
          <bgColor theme="8"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ont>
        <b/>
        <i val="0"/>
        <color theme="0"/>
      </font>
      <fill>
        <patternFill>
          <bgColor rgb="FFFF0000"/>
        </patternFill>
      </fill>
    </dxf>
    <dxf>
      <font>
        <b/>
        <i val="0"/>
        <color theme="0"/>
      </font>
      <fill>
        <patternFill>
          <bgColor theme="9" tint="-0.24994659260841701"/>
        </patternFill>
      </fill>
    </dxf>
    <dxf>
      <font>
        <color rgb="FF9C0006"/>
      </font>
      <fill>
        <patternFill>
          <bgColor rgb="FFFFC7CE"/>
        </patternFill>
      </fill>
    </dxf>
    <dxf>
      <fill>
        <patternFill>
          <bgColor rgb="FFFFFF00"/>
        </patternFill>
      </fill>
    </dxf>
    <dxf>
      <fill>
        <patternFill>
          <bgColor rgb="FFFFC000"/>
        </patternFill>
      </fill>
    </dxf>
    <dxf>
      <font>
        <color theme="0"/>
      </font>
      <fill>
        <patternFill>
          <bgColor theme="5" tint="-0.24994659260841701"/>
        </patternFill>
      </fill>
    </dxf>
    <dxf>
      <fill>
        <patternFill>
          <bgColor rgb="FF92D050"/>
        </patternFill>
      </fill>
    </dxf>
    <dxf>
      <fill>
        <patternFill>
          <bgColor theme="8"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ont>
        <b/>
        <i val="0"/>
        <color theme="0"/>
      </font>
      <fill>
        <patternFill>
          <bgColor rgb="FFFF0000"/>
        </patternFill>
      </fill>
    </dxf>
    <dxf>
      <font>
        <b/>
        <i val="0"/>
        <color theme="0"/>
      </font>
      <fill>
        <patternFill>
          <bgColor theme="9" tint="-0.24994659260841701"/>
        </patternFill>
      </fill>
    </dxf>
    <dxf>
      <font>
        <color rgb="FF9C0006"/>
      </font>
      <fill>
        <patternFill>
          <bgColor rgb="FFFFC7CE"/>
        </patternFill>
      </fill>
    </dxf>
    <dxf>
      <fill>
        <patternFill>
          <bgColor rgb="FFFFFF00"/>
        </patternFill>
      </fill>
    </dxf>
    <dxf>
      <fill>
        <patternFill>
          <bgColor rgb="FFFFC000"/>
        </patternFill>
      </fill>
    </dxf>
    <dxf>
      <font>
        <color theme="0"/>
      </font>
      <fill>
        <patternFill>
          <bgColor theme="5" tint="-0.24994659260841701"/>
        </patternFill>
      </fill>
    </dxf>
    <dxf>
      <fill>
        <patternFill>
          <bgColor rgb="FF92D050"/>
        </patternFill>
      </fill>
    </dxf>
    <dxf>
      <fill>
        <patternFill>
          <bgColor theme="8"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ont>
        <b/>
        <i val="0"/>
        <color theme="0"/>
      </font>
      <fill>
        <patternFill>
          <bgColor rgb="FFFF0000"/>
        </patternFill>
      </fill>
    </dxf>
    <dxf>
      <font>
        <b/>
        <i val="0"/>
        <color theme="0"/>
      </font>
      <fill>
        <patternFill>
          <bgColor theme="9" tint="-0.24994659260841701"/>
        </patternFill>
      </fill>
    </dxf>
    <dxf>
      <font>
        <color rgb="FF9C0006"/>
      </font>
      <fill>
        <patternFill>
          <bgColor rgb="FFFFC7CE"/>
        </patternFill>
      </fill>
    </dxf>
    <dxf>
      <fill>
        <patternFill>
          <bgColor rgb="FFFFFF00"/>
        </patternFill>
      </fill>
    </dxf>
    <dxf>
      <fill>
        <patternFill>
          <bgColor rgb="FFFFC000"/>
        </patternFill>
      </fill>
    </dxf>
    <dxf>
      <font>
        <color theme="0"/>
      </font>
      <fill>
        <patternFill>
          <bgColor theme="5" tint="-0.24994659260841701"/>
        </patternFill>
      </fill>
    </dxf>
    <dxf>
      <fill>
        <patternFill>
          <bgColor rgb="FF92D050"/>
        </patternFill>
      </fill>
    </dxf>
    <dxf>
      <fill>
        <patternFill>
          <bgColor theme="8" tint="0.39994506668294322"/>
        </patternFill>
      </fill>
    </dxf>
    <dxf>
      <fill>
        <patternFill>
          <bgColor rgb="FFFFFF00"/>
        </patternFill>
      </fill>
    </dxf>
    <dxf>
      <font>
        <b/>
        <i val="0"/>
        <color theme="0"/>
      </font>
      <fill>
        <patternFill>
          <bgColor rgb="FFFF0000"/>
        </patternFill>
      </fill>
    </dxf>
    <dxf>
      <fill>
        <patternFill>
          <bgColor rgb="FF92D050"/>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0000"/>
        </patternFill>
      </fill>
    </dxf>
    <dxf>
      <fill>
        <patternFill>
          <bgColor rgb="FFFFFF00"/>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0000"/>
        </patternFill>
      </fill>
    </dxf>
    <dxf>
      <fill>
        <patternFill>
          <bgColor rgb="FFFFFF00"/>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C00000"/>
        </patternFill>
      </fill>
    </dxf>
    <dxf>
      <fill>
        <patternFill>
          <bgColor theme="5"/>
        </patternFill>
      </fill>
    </dxf>
    <dxf>
      <fill>
        <patternFill>
          <bgColor rgb="FF92D050"/>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ont>
        <b/>
        <i val="0"/>
      </font>
      <fill>
        <patternFill>
          <bgColor theme="7" tint="0.39994506668294322"/>
        </patternFill>
      </fill>
    </dxf>
    <dxf>
      <fill>
        <patternFill>
          <bgColor theme="0" tint="-0.14996795556505021"/>
        </patternFill>
      </fill>
    </dxf>
    <dxf>
      <fill>
        <patternFill>
          <bgColor theme="7" tint="0.39994506668294322"/>
        </patternFill>
      </fill>
    </dxf>
    <dxf>
      <fill>
        <patternFill>
          <bgColor theme="6" tint="0.59996337778862885"/>
        </patternFill>
      </fill>
    </dxf>
    <dxf>
      <font>
        <b/>
        <i val="0"/>
      </font>
      <fill>
        <patternFill>
          <bgColor rgb="FFFFC000"/>
        </patternFill>
      </fill>
    </dxf>
    <dxf>
      <font>
        <b/>
        <i val="0"/>
        <color theme="0"/>
      </font>
      <fill>
        <patternFill>
          <bgColor rgb="FFC00000"/>
        </patternFill>
      </fill>
    </dxf>
    <dxf>
      <fill>
        <patternFill>
          <bgColor rgb="FFFFFF00"/>
        </patternFill>
      </fill>
    </dxf>
    <dxf>
      <fill>
        <patternFill>
          <bgColor rgb="FF92D050"/>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rgb="FF92D050"/>
        </patternFill>
      </fill>
    </dxf>
    <dxf>
      <fill>
        <patternFill>
          <bgColor rgb="FFFF0000"/>
        </patternFill>
      </fill>
    </dxf>
    <dxf>
      <font>
        <b/>
        <i val="0"/>
        <color theme="0"/>
      </font>
      <fill>
        <patternFill>
          <bgColor rgb="FFC00000"/>
        </patternFill>
      </fill>
    </dxf>
    <dxf>
      <font>
        <color theme="0"/>
      </font>
      <fill>
        <patternFill>
          <bgColor theme="7" tint="-0.24994659260841701"/>
        </patternFill>
      </fill>
    </dxf>
    <dxf>
      <fill>
        <patternFill>
          <bgColor theme="7" tint="0.39994506668294322"/>
        </patternFill>
      </fill>
    </dxf>
    <dxf>
      <fill>
        <patternFill>
          <bgColor rgb="FFFFFF00"/>
        </patternFill>
      </fill>
    </dxf>
    <dxf>
      <font>
        <color theme="0"/>
      </font>
      <fill>
        <patternFill>
          <bgColor rgb="FFC00000"/>
        </patternFill>
      </fill>
    </dxf>
    <dxf>
      <fill>
        <patternFill>
          <bgColor rgb="FF92D050"/>
        </patternFill>
      </fill>
    </dxf>
    <dxf>
      <fill>
        <patternFill>
          <bgColor rgb="FFFF0000"/>
        </patternFill>
      </fill>
    </dxf>
    <dxf>
      <fill>
        <patternFill>
          <bgColor rgb="FF92D050"/>
        </patternFill>
      </fill>
    </dxf>
    <dxf>
      <font>
        <b/>
        <i val="0"/>
        <color theme="0"/>
      </font>
      <fill>
        <patternFill>
          <bgColor rgb="FFC00000"/>
        </patternFill>
      </fill>
    </dxf>
    <dxf>
      <font>
        <color auto="1"/>
      </font>
      <fill>
        <patternFill>
          <bgColor theme="6" tint="0.39994506668294322"/>
        </patternFill>
      </fill>
    </dxf>
    <dxf>
      <fill>
        <patternFill>
          <bgColor rgb="FFFF0000"/>
        </patternFill>
      </fill>
    </dxf>
    <dxf>
      <fill>
        <patternFill>
          <bgColor rgb="FFFFFF00"/>
        </patternFill>
      </fill>
    </dxf>
    <dxf>
      <fill>
        <patternFill>
          <bgColor theme="7"/>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FFC000"/>
        </patternFill>
      </fill>
    </dxf>
    <dxf>
      <font>
        <b/>
        <i val="0"/>
        <color theme="0"/>
      </font>
      <fill>
        <patternFill>
          <bgColor rgb="FFC00000"/>
        </patternFill>
      </fill>
    </dxf>
    <dxf>
      <fill>
        <patternFill>
          <bgColor rgb="FFFF0000"/>
        </patternFill>
      </fill>
    </dxf>
    <dxf>
      <font>
        <b/>
        <i val="0"/>
        <color theme="0"/>
      </font>
      <fill>
        <patternFill>
          <bgColor rgb="FFC00000"/>
        </patternFill>
      </fill>
    </dxf>
    <dxf>
      <fill>
        <patternFill>
          <bgColor rgb="FF92D050"/>
        </patternFill>
      </fill>
    </dxf>
    <dxf>
      <font>
        <b/>
        <i val="0"/>
        <color theme="0"/>
      </font>
      <fill>
        <patternFill>
          <bgColor theme="1"/>
        </patternFill>
      </fill>
    </dxf>
    <dxf>
      <font>
        <b/>
        <i val="0"/>
        <color theme="0"/>
      </font>
      <fill>
        <patternFill>
          <bgColor rgb="FFFF0000"/>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rgb="FFFF0000"/>
        </patternFill>
      </fill>
    </dxf>
    <dxf>
      <fill>
        <patternFill>
          <bgColor rgb="FF92D050"/>
        </patternFill>
      </fill>
    </dxf>
    <dxf>
      <fill>
        <patternFill>
          <bgColor theme="3" tint="0.59996337778862885"/>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theme="5" tint="0.59996337778862885"/>
        </patternFill>
      </fill>
    </dxf>
    <dxf>
      <fill>
        <patternFill>
          <bgColor theme="9" tint="0.59996337778862885"/>
        </patternFill>
      </fill>
    </dxf>
    <dxf>
      <fill>
        <patternFill>
          <bgColor theme="3" tint="0.59996337778862885"/>
        </patternFill>
      </fill>
    </dxf>
    <dxf>
      <fill>
        <patternFill>
          <bgColor rgb="FF92D050"/>
        </patternFill>
      </fill>
    </dxf>
    <dxf>
      <fill>
        <patternFill>
          <bgColor theme="9" tint="0.39994506668294322"/>
        </patternFill>
      </fill>
    </dxf>
    <dxf>
      <fill>
        <patternFill>
          <bgColor rgb="FFFFFF00"/>
        </patternFill>
      </fill>
    </dxf>
    <dxf>
      <font>
        <b/>
        <i val="0"/>
        <color theme="0"/>
      </font>
      <fill>
        <patternFill>
          <bgColor rgb="FFC00000"/>
        </patternFill>
      </fill>
    </dxf>
    <dxf>
      <fill>
        <patternFill>
          <bgColor rgb="FFFF0000"/>
        </patternFill>
      </fill>
    </dxf>
    <dxf>
      <font>
        <b/>
        <i val="0"/>
        <color theme="0"/>
      </font>
      <fill>
        <patternFill>
          <bgColor rgb="FFC00000"/>
        </patternFill>
      </fill>
    </dxf>
    <dxf>
      <font>
        <b/>
        <i val="0"/>
        <color theme="0"/>
      </font>
      <fill>
        <patternFill>
          <bgColor rgb="FFC00000"/>
        </patternFill>
      </fill>
    </dxf>
    <dxf>
      <fill>
        <patternFill>
          <bgColor rgb="FF92D050"/>
        </patternFill>
      </fill>
    </dxf>
    <dxf>
      <font>
        <b/>
        <i val="0"/>
        <color theme="0"/>
      </font>
      <fill>
        <patternFill>
          <bgColor rgb="FFC00000"/>
        </patternFill>
      </fill>
    </dxf>
    <dxf>
      <font>
        <b/>
        <i val="0"/>
        <color theme="0"/>
      </font>
      <fill>
        <patternFill>
          <bgColor rgb="FFC00000"/>
        </patternFill>
      </fill>
    </dxf>
    <dxf>
      <fill>
        <patternFill>
          <bgColor rgb="FFFFFF00"/>
        </patternFill>
      </fill>
    </dxf>
    <dxf>
      <font>
        <color theme="0"/>
      </font>
      <fill>
        <patternFill>
          <bgColor rgb="FFFF0000"/>
        </patternFill>
      </fill>
    </dxf>
    <dxf>
      <fill>
        <patternFill>
          <bgColor theme="6" tint="0.39994506668294322"/>
        </patternFill>
      </fill>
    </dxf>
    <dxf>
      <fill>
        <patternFill>
          <bgColor rgb="FFFFC000"/>
        </patternFill>
      </fill>
    </dxf>
    <dxf>
      <fill>
        <patternFill>
          <bgColor theme="7" tint="0.39994506668294322"/>
        </patternFill>
      </fill>
    </dxf>
    <dxf>
      <fill>
        <patternFill>
          <bgColor rgb="FFFFFF00"/>
        </patternFill>
      </fill>
    </dxf>
    <dxf>
      <fill>
        <patternFill>
          <bgColor rgb="FFFF0000"/>
        </patternFill>
      </fill>
    </dxf>
    <dxf>
      <fill>
        <patternFill>
          <bgColor theme="8" tint="0.39994506668294322"/>
        </patternFill>
      </fill>
    </dxf>
    <dxf>
      <font>
        <b/>
        <i val="0"/>
      </font>
      <fill>
        <patternFill>
          <bgColor rgb="FF92D050"/>
        </patternFill>
      </fill>
    </dxf>
    <dxf>
      <font>
        <b/>
        <i val="0"/>
        <color theme="0"/>
      </font>
      <fill>
        <patternFill>
          <bgColor rgb="FFFF0000"/>
        </patternFill>
      </fill>
    </dxf>
    <dxf>
      <font>
        <b/>
        <i val="0"/>
        <color theme="1"/>
      </font>
      <fill>
        <patternFill>
          <bgColor rgb="FFFFC000"/>
        </patternFill>
      </fill>
    </dxf>
    <dxf>
      <font>
        <color rgb="FF9C0006"/>
      </font>
      <fill>
        <patternFill>
          <bgColor rgb="FFFFC7CE"/>
        </patternFill>
      </fill>
    </dxf>
    <dxf>
      <font>
        <b/>
        <i val="0"/>
        <color theme="0"/>
      </font>
      <fill>
        <patternFill>
          <bgColor rgb="FFC00000"/>
        </patternFill>
      </fill>
    </dxf>
    <dxf>
      <fill>
        <patternFill>
          <bgColor rgb="FFFFFF00"/>
        </patternFill>
      </fill>
    </dxf>
    <dxf>
      <fill>
        <patternFill>
          <bgColor rgb="FFFFC000"/>
        </patternFill>
      </fill>
    </dxf>
    <dxf>
      <fill>
        <patternFill>
          <bgColor rgb="FF92D050"/>
        </patternFill>
      </fill>
    </dxf>
    <dxf>
      <fill>
        <patternFill>
          <bgColor rgb="FFC00000"/>
        </patternFill>
      </fill>
    </dxf>
    <dxf>
      <fill>
        <patternFill>
          <bgColor rgb="FFFFC000"/>
        </patternFill>
      </fill>
    </dxf>
    <dxf>
      <fill>
        <patternFill>
          <bgColor rgb="FFFFFF00"/>
        </patternFill>
      </fill>
    </dxf>
    <dxf>
      <fill>
        <patternFill>
          <bgColor rgb="FFFFC000"/>
        </patternFill>
      </fill>
    </dxf>
    <dxf>
      <fill>
        <patternFill>
          <bgColor rgb="FFFFFF00"/>
        </patternFill>
      </fill>
    </dxf>
    <dxf>
      <fill>
        <patternFill>
          <bgColor rgb="FFFF0000"/>
        </patternFill>
      </fill>
    </dxf>
    <dxf>
      <fill>
        <patternFill>
          <bgColor rgb="FF92D050"/>
        </patternFill>
      </fill>
    </dxf>
    <dxf>
      <font>
        <b/>
        <i val="0"/>
        <color theme="1"/>
      </font>
      <fill>
        <patternFill>
          <bgColor rgb="FF00B050"/>
        </patternFill>
      </fill>
    </dxf>
    <dxf>
      <font>
        <b/>
        <i val="0"/>
        <color theme="0"/>
      </font>
      <fill>
        <patternFill>
          <bgColor rgb="FFC00000"/>
        </patternFill>
      </fill>
    </dxf>
    <dxf>
      <font>
        <b/>
        <i val="0"/>
        <color theme="0"/>
      </font>
      <fill>
        <patternFill>
          <bgColor theme="3" tint="-0.499984740745262"/>
        </patternFill>
      </fill>
    </dxf>
    <dxf>
      <fill>
        <patternFill>
          <bgColor theme="2" tint="-0.499984740745262"/>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ill>
        <patternFill>
          <bgColor rgb="FF92D050"/>
        </patternFill>
      </fill>
    </dxf>
    <dxf>
      <fill>
        <patternFill>
          <bgColor rgb="FFC00000"/>
        </patternFill>
      </fill>
    </dxf>
    <dxf>
      <fill>
        <patternFill>
          <bgColor rgb="FFFFFF00"/>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ill>
        <patternFill>
          <bgColor rgb="FFFFC000"/>
        </patternFill>
      </fill>
    </dxf>
    <dxf>
      <fill>
        <patternFill>
          <bgColor rgb="FF00B050"/>
        </patternFill>
      </fill>
    </dxf>
    <dxf>
      <font>
        <color rgb="FFC00000"/>
      </font>
      <fill>
        <patternFill>
          <bgColor theme="5" tint="0.39994506668294322"/>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FF0000"/>
        </patternFill>
      </fill>
    </dxf>
    <dxf>
      <fill>
        <patternFill>
          <bgColor rgb="FF92D050"/>
        </patternFill>
      </fill>
    </dxf>
    <dxf>
      <fill>
        <patternFill>
          <bgColor rgb="FFFF0000"/>
        </patternFill>
      </fill>
    </dxf>
    <dxf>
      <fill>
        <patternFill>
          <bgColor rgb="FFFF0000"/>
        </patternFill>
      </fill>
    </dxf>
    <dxf>
      <fill>
        <patternFill>
          <bgColor rgb="FF92D050"/>
        </patternFill>
      </fill>
    </dxf>
    <dxf>
      <fill>
        <patternFill>
          <bgColor rgb="FFFF000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FFFF00"/>
        </patternFill>
      </fill>
    </dxf>
    <dxf>
      <fill>
        <patternFill>
          <bgColor theme="9" tint="-0.24994659260841701"/>
        </patternFill>
      </fill>
    </dxf>
    <dxf>
      <fill>
        <patternFill>
          <bgColor theme="6" tint="0.39994506668294322"/>
        </patternFill>
      </fill>
    </dxf>
    <dxf>
      <font>
        <b/>
        <i val="0"/>
        <color theme="0"/>
      </font>
      <fill>
        <patternFill>
          <bgColor rgb="FFC00000"/>
        </patternFill>
      </fill>
    </dxf>
    <dxf>
      <fill>
        <patternFill>
          <bgColor rgb="FF92D050"/>
        </patternFill>
      </fill>
    </dxf>
    <dxf>
      <fill>
        <patternFill>
          <bgColor rgb="FFFF0000"/>
        </patternFill>
      </fill>
    </dxf>
    <dxf>
      <font>
        <b/>
        <i val="0"/>
        <color theme="0"/>
      </font>
      <fill>
        <patternFill>
          <bgColor rgb="FFFF0000"/>
        </patternFill>
      </fill>
    </dxf>
    <dxf>
      <fill>
        <patternFill>
          <bgColor rgb="FF92D050"/>
        </patternFill>
      </fill>
    </dxf>
    <dxf>
      <fill>
        <patternFill>
          <bgColor rgb="FFFF0000"/>
        </patternFill>
      </fill>
    </dxf>
    <dxf>
      <fill>
        <patternFill>
          <bgColor rgb="FFFFFF00"/>
        </patternFill>
      </fill>
    </dxf>
    <dxf>
      <fill>
        <patternFill>
          <bgColor theme="9" tint="-0.24994659260841701"/>
        </patternFill>
      </fill>
    </dxf>
    <dxf>
      <fill>
        <patternFill>
          <bgColor theme="6" tint="0.39994506668294322"/>
        </patternFill>
      </fill>
    </dxf>
    <dxf>
      <font>
        <b/>
        <i val="0"/>
        <color theme="0"/>
      </font>
      <fill>
        <patternFill>
          <bgColor rgb="FFC00000"/>
        </patternFill>
      </fill>
    </dxf>
    <dxf>
      <fill>
        <patternFill>
          <bgColor rgb="FF92D050"/>
        </patternFill>
      </fill>
    </dxf>
    <dxf>
      <fill>
        <patternFill>
          <bgColor rgb="FFFF0000"/>
        </patternFill>
      </fill>
    </dxf>
    <dxf>
      <fill>
        <patternFill>
          <bgColor rgb="FFFFFF00"/>
        </patternFill>
      </fill>
    </dxf>
    <dxf>
      <fill>
        <patternFill>
          <bgColor theme="9" tint="-0.24994659260841701"/>
        </patternFill>
      </fill>
    </dxf>
    <dxf>
      <fill>
        <patternFill>
          <bgColor theme="6" tint="0.39994506668294322"/>
        </patternFill>
      </fill>
    </dxf>
    <dxf>
      <font>
        <b/>
        <i val="0"/>
        <color theme="0"/>
      </font>
      <fill>
        <patternFill>
          <bgColor rgb="FFC00000"/>
        </patternFill>
      </fill>
    </dxf>
    <dxf>
      <font>
        <b/>
        <i val="0"/>
        <color theme="0"/>
      </font>
      <fill>
        <patternFill>
          <bgColor rgb="FFA50021"/>
        </patternFill>
      </fill>
    </dxf>
    <dxf>
      <fill>
        <patternFill>
          <bgColor rgb="FFFFFF00"/>
        </patternFill>
      </fill>
    </dxf>
    <dxf>
      <font>
        <b val="0"/>
        <i/>
      </font>
      <fill>
        <patternFill>
          <bgColor theme="6" tint="0.39994506668294322"/>
        </patternFill>
      </fill>
    </dxf>
    <dxf>
      <fill>
        <patternFill>
          <bgColor rgb="FF92D050"/>
        </patternFill>
      </fill>
    </dxf>
    <dxf>
      <fill>
        <patternFill>
          <bgColor theme="7"/>
        </patternFill>
      </fill>
    </dxf>
    <dxf>
      <font>
        <b/>
        <i val="0"/>
        <color theme="0"/>
      </font>
      <fill>
        <patternFill>
          <bgColor rgb="FFFF0066"/>
        </patternFill>
      </fill>
    </dxf>
    <dxf>
      <fill>
        <patternFill>
          <bgColor theme="9" tint="0.39994506668294322"/>
        </patternFill>
      </fill>
    </dxf>
    <dxf>
      <fill>
        <patternFill>
          <bgColor rgb="FF92D050"/>
        </patternFill>
      </fill>
    </dxf>
    <dxf>
      <fill>
        <patternFill>
          <bgColor rgb="FFFF0000"/>
        </patternFill>
      </fill>
    </dxf>
    <dxf>
      <fill>
        <patternFill>
          <bgColor rgb="FFFFFF00"/>
        </patternFill>
      </fill>
    </dxf>
    <dxf>
      <font>
        <b/>
        <i val="0"/>
        <color theme="0"/>
      </font>
      <fill>
        <patternFill>
          <bgColor rgb="FFA50021"/>
        </patternFill>
      </fill>
    </dxf>
    <dxf>
      <font>
        <b/>
        <i val="0"/>
        <color theme="0"/>
      </font>
      <fill>
        <patternFill>
          <bgColor rgb="FFFF0000"/>
        </patternFill>
      </fill>
    </dxf>
    <dxf>
      <fill>
        <patternFill>
          <bgColor rgb="FF92D050"/>
        </patternFill>
      </fill>
    </dxf>
    <dxf>
      <font>
        <b/>
        <i val="0"/>
        <color theme="1"/>
      </font>
      <fill>
        <patternFill>
          <bgColor rgb="FFFFFF00"/>
        </patternFill>
      </fill>
    </dxf>
    <dxf>
      <font>
        <b/>
        <i val="0"/>
        <color rgb="FFFF0000"/>
      </font>
      <fill>
        <patternFill>
          <bgColor rgb="FF92D050"/>
        </patternFill>
      </fill>
    </dxf>
    <dxf>
      <font>
        <b/>
        <i val="0"/>
        <color rgb="FFFF0000"/>
      </font>
      <fill>
        <patternFill>
          <bgColor theme="7" tint="0.39994506668294322"/>
        </patternFill>
      </fill>
    </dxf>
    <dxf>
      <fill>
        <patternFill>
          <bgColor theme="6" tint="0.39994506668294322"/>
        </patternFill>
      </fill>
    </dxf>
    <dxf>
      <fill>
        <patternFill>
          <bgColor rgb="FF92D050"/>
        </patternFill>
      </fill>
    </dxf>
    <dxf>
      <fill>
        <patternFill>
          <bgColor rgb="FFFFC000"/>
        </patternFill>
      </fill>
    </dxf>
    <dxf>
      <fill>
        <patternFill>
          <bgColor rgb="FFFFFF00"/>
        </patternFill>
      </fill>
    </dxf>
    <dxf>
      <fill>
        <patternFill>
          <bgColor theme="5" tint="0.59996337778862885"/>
        </patternFill>
      </fill>
    </dxf>
    <dxf>
      <fill>
        <patternFill>
          <bgColor rgb="FFC00000"/>
        </patternFill>
      </fill>
    </dxf>
    <dxf>
      <font>
        <b/>
        <i val="0"/>
        <color theme="0"/>
      </font>
      <fill>
        <patternFill>
          <bgColor rgb="FFC00000"/>
        </patternFill>
      </fill>
    </dxf>
    <dxf>
      <font>
        <b val="0"/>
        <i val="0"/>
        <color rgb="FFC00000"/>
      </font>
      <fill>
        <patternFill patternType="solid">
          <fgColor auto="1"/>
          <bgColor rgb="FFFFCCC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C00000"/>
      </font>
      <fill>
        <patternFill>
          <bgColor rgb="FFFFCCCC"/>
        </patternFill>
      </fill>
    </dxf>
    <dxf>
      <font>
        <b/>
        <i val="0"/>
        <color theme="0"/>
      </font>
      <fill>
        <patternFill>
          <bgColor rgb="FFC00000"/>
        </patternFill>
      </fill>
    </dxf>
    <dxf>
      <font>
        <color rgb="FF006100"/>
      </font>
      <fill>
        <patternFill>
          <bgColor rgb="FFC6EFCE"/>
        </patternFill>
      </fill>
    </dxf>
    <dxf>
      <font>
        <b/>
        <i val="0"/>
        <color auto="1"/>
      </font>
      <fill>
        <patternFill patternType="solid">
          <fgColor auto="1"/>
          <bgColor rgb="FFFB4D3B"/>
        </patternFill>
      </fill>
    </dxf>
    <dxf>
      <font>
        <color rgb="FF9C0006"/>
      </font>
      <fill>
        <patternFill>
          <bgColor rgb="FFFFC7CE"/>
        </patternFill>
      </fill>
    </dxf>
    <dxf>
      <font>
        <color rgb="FF006100"/>
      </font>
      <fill>
        <patternFill>
          <bgColor rgb="FFC6EFCE"/>
        </patternFill>
      </fill>
    </dxf>
    <dxf>
      <font>
        <b/>
        <i val="0"/>
        <color theme="0"/>
      </font>
      <fill>
        <patternFill>
          <bgColor rgb="FFA50021"/>
        </patternFill>
      </fill>
    </dxf>
    <dxf>
      <fill>
        <patternFill>
          <bgColor rgb="FFFFFF00"/>
        </patternFill>
      </fill>
    </dxf>
    <dxf>
      <font>
        <b val="0"/>
        <i/>
      </font>
      <fill>
        <patternFill>
          <bgColor theme="6" tint="0.39994506668294322"/>
        </patternFill>
      </fill>
    </dxf>
    <dxf>
      <fill>
        <patternFill>
          <bgColor rgb="FF92D050"/>
        </patternFill>
      </fill>
    </dxf>
    <dxf>
      <fill>
        <patternFill>
          <bgColor theme="7"/>
        </patternFill>
      </fill>
    </dxf>
    <dxf>
      <font>
        <b/>
        <i val="0"/>
        <color theme="0"/>
      </font>
      <fill>
        <patternFill>
          <bgColor rgb="FFFF0066"/>
        </patternFill>
      </fill>
    </dxf>
    <dxf>
      <fill>
        <patternFill>
          <bgColor theme="6" tint="0.79998168889431442"/>
        </patternFill>
      </fill>
    </dxf>
    <dxf>
      <font>
        <b/>
        <i val="0"/>
        <color theme="0"/>
      </font>
      <fill>
        <patternFill>
          <bgColor rgb="FFA50021"/>
        </patternFill>
      </fill>
    </dxf>
    <dxf>
      <fill>
        <patternFill>
          <bgColor rgb="FFFFFF00"/>
        </patternFill>
      </fill>
    </dxf>
    <dxf>
      <font>
        <b val="0"/>
        <i/>
      </font>
      <fill>
        <patternFill>
          <bgColor theme="6" tint="0.39994506668294322"/>
        </patternFill>
      </fill>
    </dxf>
    <dxf>
      <fill>
        <patternFill>
          <bgColor rgb="FF92D050"/>
        </patternFill>
      </fill>
    </dxf>
    <dxf>
      <fill>
        <patternFill>
          <bgColor theme="7"/>
        </patternFill>
      </fill>
    </dxf>
    <dxf>
      <font>
        <b/>
        <i val="0"/>
        <color theme="0"/>
      </font>
      <fill>
        <patternFill>
          <bgColor rgb="FFFF0066"/>
        </patternFill>
      </fill>
    </dxf>
    <dxf>
      <fill>
        <patternFill>
          <bgColor theme="6" tint="0.79998168889431442"/>
        </patternFill>
      </fill>
    </dxf>
    <dxf>
      <font>
        <b/>
        <i val="0"/>
        <color theme="0"/>
      </font>
      <fill>
        <patternFill>
          <bgColor rgb="FFA50021"/>
        </patternFill>
      </fill>
    </dxf>
    <dxf>
      <fill>
        <patternFill>
          <bgColor rgb="FFFFFF00"/>
        </patternFill>
      </fill>
    </dxf>
    <dxf>
      <font>
        <b val="0"/>
        <i/>
      </font>
      <fill>
        <patternFill>
          <bgColor theme="6" tint="0.39994506668294322"/>
        </patternFill>
      </fill>
    </dxf>
    <dxf>
      <fill>
        <patternFill>
          <bgColor rgb="FF92D050"/>
        </patternFill>
      </fill>
    </dxf>
    <dxf>
      <fill>
        <patternFill>
          <bgColor theme="7"/>
        </patternFill>
      </fill>
    </dxf>
    <dxf>
      <font>
        <b/>
        <i val="0"/>
        <color theme="0"/>
      </font>
      <fill>
        <patternFill>
          <bgColor rgb="FFFF0066"/>
        </patternFill>
      </fill>
    </dxf>
    <dxf>
      <fill>
        <patternFill>
          <bgColor theme="6" tint="0.79998168889431442"/>
        </patternFill>
      </fill>
    </dxf>
    <dxf>
      <fill>
        <patternFill>
          <bgColor rgb="FF92D050"/>
        </patternFill>
      </fill>
    </dxf>
    <dxf>
      <fill>
        <patternFill>
          <bgColor rgb="FF92D050"/>
        </patternFill>
      </fill>
    </dxf>
    <dxf>
      <font>
        <b/>
        <i val="0"/>
        <color theme="0"/>
      </font>
      <fill>
        <patternFill>
          <bgColor rgb="FFA50021"/>
        </patternFill>
      </fill>
    </dxf>
    <dxf>
      <fill>
        <patternFill>
          <bgColor rgb="FFFFFF00"/>
        </patternFill>
      </fill>
    </dxf>
    <dxf>
      <font>
        <b val="0"/>
        <i/>
      </font>
      <fill>
        <patternFill>
          <bgColor theme="6" tint="0.39994506668294322"/>
        </patternFill>
      </fill>
    </dxf>
    <dxf>
      <fill>
        <patternFill>
          <bgColor theme="7"/>
        </patternFill>
      </fill>
    </dxf>
    <dxf>
      <font>
        <b/>
        <i val="0"/>
        <color theme="0"/>
      </font>
      <fill>
        <patternFill>
          <bgColor rgb="FFFF0066"/>
        </patternFill>
      </fill>
    </dxf>
    <dxf>
      <fill>
        <patternFill>
          <bgColor theme="6" tint="0.79998168889431442"/>
        </patternFill>
      </fill>
    </dxf>
    <dxf>
      <font>
        <b/>
        <i val="0"/>
        <color theme="0"/>
      </font>
      <fill>
        <patternFill>
          <bgColor rgb="FFC0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FFFF00"/>
        </patternFill>
      </fill>
    </dxf>
    <dxf>
      <fill>
        <patternFill>
          <bgColor rgb="FFFF66CC"/>
        </patternFill>
      </fill>
    </dxf>
    <dxf>
      <font>
        <b/>
        <i val="0"/>
        <color theme="0"/>
      </font>
      <fill>
        <patternFill patternType="solid">
          <fgColor auto="1"/>
          <bgColor rgb="FFCC0000"/>
        </patternFill>
      </fill>
    </dxf>
    <dxf>
      <font>
        <b/>
        <i val="0"/>
        <color theme="0"/>
      </font>
      <fill>
        <patternFill>
          <bgColor rgb="FF7030A0"/>
        </patternFill>
      </fill>
    </dxf>
    <dxf>
      <font>
        <b/>
        <i val="0"/>
        <color theme="0"/>
      </font>
      <fill>
        <patternFill>
          <bgColor rgb="FF7030A0"/>
        </patternFill>
      </fill>
    </dxf>
    <dxf>
      <fill>
        <patternFill>
          <bgColor rgb="FF92D050"/>
        </patternFill>
      </fill>
    </dxf>
    <dxf>
      <fill>
        <patternFill>
          <bgColor rgb="FFFFFF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FFFF00"/>
        </patternFill>
      </fill>
    </dxf>
    <dxf>
      <fill>
        <patternFill>
          <bgColor rgb="FFFFC000"/>
        </patternFill>
      </fill>
    </dxf>
    <dxf>
      <font>
        <b/>
        <i val="0"/>
        <color theme="0"/>
      </font>
      <fill>
        <patternFill>
          <bgColor rgb="FFC00000"/>
        </patternFill>
      </fill>
    </dxf>
    <dxf>
      <fill>
        <patternFill>
          <bgColor theme="5" tint="0.39994506668294322"/>
        </patternFill>
      </fill>
    </dxf>
    <dxf>
      <fill>
        <patternFill>
          <bgColor rgb="FF92D050"/>
        </patternFill>
      </fill>
    </dxf>
    <dxf>
      <font>
        <b/>
        <i val="0"/>
        <color theme="0"/>
      </font>
      <fill>
        <patternFill>
          <bgColor rgb="FFFF0066"/>
        </patternFill>
      </fill>
    </dxf>
    <dxf>
      <fill>
        <patternFill>
          <bgColor theme="9" tint="0.59996337778862885"/>
        </patternFill>
      </fill>
    </dxf>
    <dxf>
      <fill>
        <patternFill>
          <bgColor rgb="FF92D050"/>
        </patternFill>
      </fill>
    </dxf>
    <dxf>
      <fill>
        <patternFill>
          <bgColor rgb="FFC00000"/>
        </patternFill>
      </fill>
    </dxf>
    <dxf>
      <fill>
        <patternFill>
          <bgColor rgb="FFFFFF00"/>
        </patternFill>
      </fill>
    </dxf>
    <dxf>
      <fill>
        <patternFill>
          <bgColor rgb="FFC00000"/>
        </patternFill>
      </fill>
    </dxf>
    <dxf>
      <fill>
        <patternFill>
          <bgColor rgb="FFFFC000"/>
        </patternFill>
      </fill>
    </dxf>
    <dxf>
      <fill>
        <patternFill>
          <bgColor rgb="FFFFFF00"/>
        </patternFill>
      </fill>
    </dxf>
    <dxf>
      <fill>
        <patternFill>
          <bgColor rgb="FFFFFF99"/>
        </patternFill>
      </fill>
    </dxf>
    <dxf>
      <fill>
        <patternFill>
          <bgColor rgb="FFFFFF66"/>
        </patternFill>
      </fill>
    </dxf>
    <dxf>
      <fill>
        <patternFill>
          <bgColor rgb="FFFFFF00"/>
        </patternFill>
      </fill>
    </dxf>
    <dxf>
      <fill>
        <patternFill>
          <bgColor theme="5" tint="0.59996337778862885"/>
        </patternFill>
      </fill>
    </dxf>
    <dxf>
      <fill>
        <patternFill>
          <bgColor rgb="FFC00000"/>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C00000"/>
        </patternFill>
      </fill>
    </dxf>
    <dxf>
      <fill>
        <patternFill>
          <bgColor theme="0" tint="-0.14996795556505021"/>
        </patternFill>
      </fill>
    </dxf>
    <dxf>
      <fill>
        <patternFill>
          <bgColor theme="0" tint="-0.14996795556505021"/>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C00000"/>
        </patternFill>
      </fill>
    </dxf>
    <dxf>
      <fill>
        <patternFill>
          <bgColor theme="5"/>
        </patternFill>
      </fill>
    </dxf>
    <dxf>
      <fill>
        <patternFill>
          <bgColor rgb="FF92D050"/>
        </patternFill>
      </fill>
    </dxf>
    <dxf>
      <font>
        <b/>
        <i val="0"/>
      </font>
      <fill>
        <patternFill>
          <bgColor rgb="FF92D050"/>
        </patternFill>
      </fill>
    </dxf>
    <dxf>
      <font>
        <b/>
        <i val="0"/>
      </font>
      <fill>
        <patternFill>
          <bgColor rgb="FFFF0000"/>
        </patternFill>
      </fill>
    </dxf>
    <dxf>
      <fill>
        <patternFill>
          <bgColor rgb="FF92D050"/>
        </patternFill>
      </fill>
    </dxf>
    <dxf>
      <fill>
        <patternFill>
          <bgColor rgb="FFFF0000"/>
        </patternFill>
      </fill>
    </dxf>
    <dxf>
      <fill>
        <patternFill>
          <bgColor rgb="FFFFFF00"/>
        </patternFill>
      </fill>
    </dxf>
    <dxf>
      <fill>
        <patternFill>
          <bgColor theme="9" tint="-0.24994659260841701"/>
        </patternFill>
      </fill>
    </dxf>
    <dxf>
      <fill>
        <patternFill>
          <bgColor theme="6"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ill>
        <patternFill>
          <bgColor theme="7"/>
        </patternFill>
      </fill>
    </dxf>
    <dxf>
      <fill>
        <patternFill>
          <bgColor rgb="FFFFC000"/>
        </patternFill>
      </fill>
    </dxf>
    <dxf>
      <fill>
        <patternFill>
          <bgColor rgb="FFC00000"/>
        </patternFill>
      </fill>
    </dxf>
    <dxf>
      <font>
        <color rgb="FF006100"/>
      </font>
      <fill>
        <patternFill>
          <bgColor rgb="FFC6EFCE"/>
        </patternFill>
      </fill>
    </dxf>
    <dxf>
      <fill>
        <patternFill>
          <bgColor rgb="FFFFAD53"/>
        </patternFill>
      </fill>
    </dxf>
    <dxf>
      <fill>
        <patternFill>
          <bgColor rgb="FFFF0000"/>
        </patternFill>
      </fill>
    </dxf>
    <dxf>
      <fill>
        <patternFill>
          <bgColor rgb="FF92D050"/>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ill>
        <patternFill>
          <bgColor rgb="FF92D050"/>
        </patternFill>
      </fill>
    </dxf>
    <dxf>
      <fill>
        <patternFill>
          <bgColor rgb="FFFF0000"/>
        </patternFill>
      </fill>
    </dxf>
    <dxf>
      <fill>
        <patternFill>
          <bgColor rgb="FFFFFF00"/>
        </patternFill>
      </fill>
    </dxf>
    <dxf>
      <fill>
        <patternFill>
          <bgColor theme="9" tint="-0.24994659260841701"/>
        </patternFill>
      </fill>
    </dxf>
    <dxf>
      <fill>
        <patternFill>
          <bgColor theme="6" tint="0.39994506668294322"/>
        </patternFill>
      </fill>
    </dxf>
    <dxf>
      <font>
        <b/>
        <i val="0"/>
        <color theme="0"/>
      </font>
      <fill>
        <patternFill>
          <bgColor rgb="FFC00000"/>
        </patternFill>
      </fill>
    </dxf>
    <dxf>
      <fill>
        <patternFill>
          <bgColor rgb="FF92D050"/>
        </patternFill>
      </fill>
    </dxf>
    <dxf>
      <fill>
        <patternFill>
          <bgColor rgb="FFFF0000"/>
        </patternFill>
      </fill>
    </dxf>
    <dxf>
      <fill>
        <patternFill>
          <bgColor rgb="FFFFFF00"/>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ill>
        <patternFill>
          <bgColor rgb="FFC00000"/>
        </patternFill>
      </fill>
    </dxf>
    <dxf>
      <font>
        <color rgb="FF9C0006"/>
      </font>
      <fill>
        <patternFill>
          <bgColor rgb="FFFFC7CE"/>
        </patternFill>
      </fill>
    </dxf>
    <dxf>
      <fill>
        <patternFill>
          <bgColor rgb="FFFF0000"/>
        </patternFill>
      </fill>
    </dxf>
    <dxf>
      <fill>
        <patternFill>
          <bgColor rgb="FFFFC000"/>
        </patternFill>
      </fill>
    </dxf>
    <dxf>
      <fill>
        <patternFill>
          <bgColor rgb="FF00B050"/>
        </patternFill>
      </fill>
    </dxf>
    <dxf>
      <font>
        <color rgb="FFC00000"/>
      </font>
      <fill>
        <patternFill>
          <bgColor theme="5" tint="0.39994506668294322"/>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b/>
        <i val="0"/>
        <color theme="0"/>
      </font>
      <fill>
        <patternFill>
          <bgColor rgb="FFFF0000"/>
        </patternFill>
      </fill>
    </dxf>
    <dxf>
      <font>
        <b/>
        <i val="0"/>
        <color theme="0"/>
      </font>
      <fill>
        <patternFill>
          <bgColor theme="9" tint="-0.24994659260841701"/>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ill>
        <patternFill>
          <bgColor rgb="FF92D050"/>
        </patternFill>
      </fill>
    </dxf>
    <dxf>
      <font>
        <b/>
        <i val="0"/>
        <color theme="0"/>
      </font>
      <fill>
        <patternFill>
          <bgColor rgb="FFC00000"/>
        </patternFill>
      </fill>
    </dxf>
    <dxf>
      <fill>
        <patternFill>
          <bgColor rgb="FFFFC000"/>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ont>
        <b/>
        <i val="0"/>
        <color theme="0"/>
      </font>
      <fill>
        <patternFill>
          <bgColor rgb="FFC0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theme="3" tint="0.59996337778862885"/>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theme="5" tint="0.59996337778862885"/>
        </patternFill>
      </fill>
    </dxf>
    <dxf>
      <fill>
        <patternFill>
          <bgColor theme="9" tint="0.59996337778862885"/>
        </patternFill>
      </fill>
    </dxf>
    <dxf>
      <fill>
        <patternFill>
          <bgColor theme="3" tint="0.59996337778862885"/>
        </patternFill>
      </fill>
    </dxf>
    <dxf>
      <fill>
        <patternFill>
          <bgColor rgb="FF92D050"/>
        </patternFill>
      </fill>
    </dxf>
    <dxf>
      <fill>
        <patternFill>
          <bgColor theme="9" tint="0.39994506668294322"/>
        </patternFill>
      </fill>
    </dxf>
    <dxf>
      <fill>
        <patternFill>
          <bgColor rgb="FFFFFF00"/>
        </patternFill>
      </fill>
    </dxf>
    <dxf>
      <font>
        <b/>
        <i val="0"/>
        <color theme="0"/>
      </font>
      <fill>
        <patternFill>
          <bgColor rgb="FFC00000"/>
        </patternFill>
      </fill>
    </dxf>
    <dxf>
      <fill>
        <patternFill>
          <bgColor rgb="FFFF0000"/>
        </patternFill>
      </fill>
    </dxf>
    <dxf>
      <font>
        <b/>
        <i val="0"/>
        <color theme="0"/>
      </font>
      <fill>
        <patternFill>
          <bgColor rgb="FFC00000"/>
        </patternFill>
      </fill>
    </dxf>
    <dxf>
      <font>
        <b/>
        <i val="0"/>
        <color theme="0"/>
      </font>
      <fill>
        <patternFill>
          <bgColor rgb="FFC00000"/>
        </patternFill>
      </fill>
    </dxf>
    <dxf>
      <fill>
        <patternFill>
          <bgColor rgb="FF92D050"/>
        </patternFill>
      </fill>
    </dxf>
    <dxf>
      <font>
        <b/>
        <i val="0"/>
        <color theme="0"/>
      </font>
      <fill>
        <patternFill>
          <bgColor rgb="FFC00000"/>
        </patternFill>
      </fill>
    </dxf>
    <dxf>
      <font>
        <b/>
        <i val="0"/>
        <color theme="0"/>
      </font>
      <fill>
        <patternFill>
          <bgColor rgb="FFC00000"/>
        </patternFill>
      </fill>
    </dxf>
    <dxf>
      <fill>
        <patternFill>
          <bgColor rgb="FFFFFF00"/>
        </patternFill>
      </fill>
    </dxf>
    <dxf>
      <font>
        <color theme="0"/>
      </font>
      <fill>
        <patternFill>
          <bgColor rgb="FFFF0000"/>
        </patternFill>
      </fill>
    </dxf>
    <dxf>
      <fill>
        <patternFill>
          <bgColor theme="6" tint="0.39994506668294322"/>
        </patternFill>
      </fill>
    </dxf>
    <dxf>
      <fill>
        <patternFill>
          <bgColor rgb="FFFFC000"/>
        </patternFill>
      </fill>
    </dxf>
    <dxf>
      <fill>
        <patternFill>
          <bgColor theme="7" tint="0.39994506668294322"/>
        </patternFill>
      </fill>
    </dxf>
    <dxf>
      <fill>
        <patternFill>
          <bgColor rgb="FFFFFF00"/>
        </patternFill>
      </fill>
    </dxf>
    <dxf>
      <fill>
        <patternFill>
          <bgColor rgb="FFFF0000"/>
        </patternFill>
      </fill>
    </dxf>
    <dxf>
      <fill>
        <patternFill>
          <bgColor theme="8" tint="0.39994506668294322"/>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ont>
        <b/>
        <i val="0"/>
        <color theme="0"/>
      </font>
      <fill>
        <patternFill>
          <bgColor rgb="FFFF0000"/>
        </patternFill>
      </fill>
    </dxf>
    <dxf>
      <font>
        <b/>
        <i val="0"/>
        <color theme="0"/>
      </font>
      <fill>
        <patternFill>
          <bgColor rgb="FFC00000"/>
        </patternFill>
      </fill>
    </dxf>
    <dxf>
      <font>
        <b/>
        <i val="0"/>
        <color theme="0"/>
      </font>
      <fill>
        <patternFill>
          <bgColor theme="3" tint="-0.24994659260841701"/>
        </patternFill>
      </fill>
    </dxf>
    <dxf>
      <fill>
        <patternFill>
          <bgColor rgb="FFFFFF00"/>
        </patternFill>
      </fill>
    </dxf>
    <dxf>
      <fill>
        <patternFill>
          <bgColor theme="9" tint="-0.24994659260841701"/>
        </patternFill>
      </fill>
    </dxf>
    <dxf>
      <fill>
        <patternFill>
          <bgColor rgb="FF92D050"/>
        </patternFill>
      </fill>
    </dxf>
    <dxf>
      <font>
        <b/>
        <i val="0"/>
        <color theme="0"/>
      </font>
      <fill>
        <patternFill>
          <bgColor rgb="FF7030A0"/>
        </patternFill>
      </fill>
    </dxf>
    <dxf>
      <font>
        <color theme="0"/>
      </font>
      <fill>
        <patternFill>
          <bgColor theme="7" tint="0.39994506668294322"/>
        </patternFill>
      </fill>
    </dxf>
    <dxf>
      <font>
        <b/>
        <i val="0"/>
        <color theme="0"/>
      </font>
      <fill>
        <patternFill>
          <bgColor theme="5" tint="-0.24994659260841701"/>
        </patternFill>
      </fill>
    </dxf>
    <dxf>
      <fill>
        <patternFill>
          <bgColor rgb="FFFFFF00"/>
        </patternFill>
      </fill>
    </dxf>
    <dxf>
      <fill>
        <patternFill>
          <bgColor rgb="FF92D050"/>
        </patternFill>
      </fill>
    </dxf>
    <dxf>
      <font>
        <b/>
        <i val="0"/>
        <color theme="0"/>
      </font>
      <fill>
        <patternFill>
          <bgColor rgb="FFFF0000"/>
        </patternFill>
      </fill>
    </dxf>
    <dxf>
      <fill>
        <patternFill>
          <bgColor rgb="FFFF0000"/>
        </patternFill>
      </fill>
    </dxf>
    <dxf>
      <fill>
        <patternFill>
          <bgColor rgb="FF92D050"/>
        </patternFill>
      </fill>
    </dxf>
    <dxf>
      <fill>
        <patternFill>
          <bgColor rgb="FFFFFF00"/>
        </patternFill>
      </fill>
    </dxf>
    <dxf>
      <font>
        <color theme="0"/>
      </font>
      <fill>
        <patternFill>
          <bgColor rgb="FFC00000"/>
        </patternFill>
      </fill>
    </dxf>
    <dxf>
      <fill>
        <patternFill>
          <bgColor rgb="FFFFFF00"/>
        </patternFill>
      </fill>
    </dxf>
    <dxf>
      <fill>
        <patternFill>
          <bgColor rgb="FF92D050"/>
        </patternFill>
      </fill>
    </dxf>
    <dxf>
      <font>
        <color theme="0"/>
      </font>
      <fill>
        <patternFill>
          <bgColor rgb="FFC00000"/>
        </patternFill>
      </fill>
    </dxf>
    <dxf>
      <fill>
        <patternFill>
          <bgColor rgb="FF92D050"/>
        </patternFill>
      </fill>
    </dxf>
    <dxf>
      <fill>
        <patternFill>
          <bgColor rgb="FFFFFF00"/>
        </patternFill>
      </fill>
    </dxf>
    <dxf>
      <fill>
        <patternFill>
          <bgColor theme="8" tint="0.39994506668294322"/>
        </patternFill>
      </fill>
    </dxf>
    <dxf>
      <font>
        <b/>
        <i val="0"/>
      </font>
      <fill>
        <patternFill>
          <bgColor rgb="FFFFC000"/>
        </patternFill>
      </fill>
    </dxf>
    <dxf>
      <font>
        <b/>
        <i val="0"/>
        <color theme="0"/>
      </font>
      <fill>
        <patternFill>
          <bgColor theme="7" tint="0.39994506668294322"/>
        </patternFill>
      </fill>
    </dxf>
    <dxf>
      <fill>
        <patternFill>
          <bgColor theme="6" tint="0.59996337778862885"/>
        </patternFill>
      </fill>
    </dxf>
    <dxf>
      <font>
        <color theme="0"/>
      </font>
      <fill>
        <patternFill>
          <bgColor rgb="FFC00000"/>
        </patternFill>
      </fill>
    </dxf>
    <dxf>
      <fill>
        <patternFill>
          <bgColor rgb="FF92D050"/>
        </patternFill>
      </fill>
    </dxf>
    <dxf>
      <fill>
        <patternFill>
          <bgColor theme="8" tint="0.59996337778862885"/>
        </patternFill>
      </fill>
    </dxf>
    <dxf>
      <font>
        <b/>
        <i val="0"/>
        <color theme="0"/>
      </font>
      <fill>
        <patternFill>
          <bgColor theme="7" tint="0.39994506668294322"/>
        </patternFill>
      </fill>
    </dxf>
    <dxf>
      <fill>
        <patternFill>
          <bgColor theme="6" tint="0.59996337778862885"/>
        </patternFill>
      </fill>
    </dxf>
    <dxf>
      <fill>
        <patternFill>
          <bgColor rgb="FFFFC000"/>
        </patternFill>
      </fill>
    </dxf>
    <dxf>
      <font>
        <color theme="0"/>
      </font>
      <fill>
        <patternFill>
          <bgColor theme="5" tint="-0.24994659260841701"/>
        </patternFill>
      </fill>
    </dxf>
    <dxf>
      <fill>
        <patternFill>
          <bgColor rgb="FFFF0000"/>
        </patternFill>
      </fill>
    </dxf>
    <dxf>
      <font>
        <color theme="0"/>
      </font>
      <fill>
        <patternFill>
          <bgColor rgb="FFC00000"/>
        </patternFill>
      </fill>
    </dxf>
    <dxf>
      <fill>
        <patternFill>
          <bgColor rgb="FF92D050"/>
        </patternFill>
      </fill>
    </dxf>
    <dxf>
      <fill>
        <patternFill>
          <bgColor rgb="FFFFFF00"/>
        </patternFill>
      </fill>
    </dxf>
    <dxf>
      <fill>
        <patternFill>
          <bgColor rgb="FF92D050"/>
        </patternFill>
      </fill>
    </dxf>
    <dxf>
      <font>
        <color rgb="FF9C6500"/>
      </font>
      <fill>
        <patternFill>
          <bgColor rgb="FFFFEB9C"/>
        </patternFill>
      </fill>
    </dxf>
    <dxf>
      <font>
        <color rgb="FF9C0006"/>
      </font>
      <fill>
        <patternFill>
          <bgColor rgb="FFFFC7CE"/>
        </patternFill>
      </fill>
    </dxf>
    <dxf>
      <font>
        <color theme="0"/>
      </font>
      <fill>
        <patternFill>
          <bgColor theme="5" tint="-0.24994659260841701"/>
        </patternFill>
      </fill>
    </dxf>
    <dxf>
      <fill>
        <patternFill>
          <bgColor rgb="FFFFFF00"/>
        </patternFill>
      </fill>
    </dxf>
    <dxf>
      <font>
        <b/>
        <i val="0"/>
        <color rgb="FFFFFF00"/>
      </font>
      <border>
        <left style="thin">
          <color rgb="FFC00000"/>
        </left>
        <right style="thin">
          <color rgb="FFC00000"/>
        </right>
        <top style="thin">
          <color rgb="FFC00000"/>
        </top>
        <bottom style="thin">
          <color rgb="FFC00000"/>
        </bottom>
        <vertical/>
        <horizontal/>
      </border>
    </dxf>
    <dxf>
      <font>
        <color rgb="FF9C6500"/>
      </font>
      <fill>
        <patternFill>
          <bgColor rgb="FFFFEB9C"/>
        </patternFill>
      </fill>
    </dxf>
    <dxf>
      <fill>
        <patternFill>
          <bgColor rgb="FF92D050"/>
        </patternFill>
      </fill>
    </dxf>
    <dxf>
      <fill>
        <patternFill>
          <bgColor rgb="FFFF0000"/>
        </patternFill>
      </fill>
    </dxf>
    <dxf>
      <font>
        <color theme="0"/>
      </font>
      <fill>
        <patternFill>
          <bgColor rgb="FFFF0000"/>
        </patternFill>
      </fill>
    </dxf>
    <dxf>
      <font>
        <color theme="0"/>
      </font>
      <fill>
        <patternFill>
          <bgColor rgb="FFFF0000"/>
        </patternFill>
      </fill>
    </dxf>
    <dxf>
      <font>
        <color rgb="FF9C6500"/>
      </font>
      <fill>
        <patternFill>
          <bgColor rgb="FFFFEB9C"/>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ont>
        <color rgb="FF9C0006"/>
      </font>
      <fill>
        <patternFill>
          <bgColor rgb="FFFFC7CE"/>
        </patternFill>
      </fill>
    </dxf>
    <dxf>
      <fill>
        <patternFill>
          <bgColor rgb="FFFFFF00"/>
        </patternFill>
      </fill>
    </dxf>
    <dxf>
      <fill>
        <patternFill>
          <bgColor rgb="FFFFC000"/>
        </patternFill>
      </fill>
    </dxf>
    <dxf>
      <font>
        <color theme="0"/>
      </font>
      <fill>
        <patternFill>
          <bgColor theme="5" tint="-0.24994659260841701"/>
        </patternFill>
      </fill>
    </dxf>
    <dxf>
      <fill>
        <patternFill>
          <bgColor rgb="FF92D050"/>
        </patternFill>
      </fill>
    </dxf>
    <dxf>
      <fill>
        <patternFill>
          <bgColor theme="8" tint="0.39994506668294322"/>
        </patternFill>
      </fill>
    </dxf>
    <dxf>
      <fill>
        <patternFill>
          <bgColor rgb="FFFFFF00"/>
        </patternFill>
      </fill>
    </dxf>
    <dxf>
      <font>
        <b/>
        <i val="0"/>
        <color theme="0"/>
      </font>
      <fill>
        <patternFill>
          <bgColor rgb="FFFF0000"/>
        </patternFill>
      </fill>
    </dxf>
    <dxf>
      <fill>
        <patternFill>
          <bgColor rgb="FF92D050"/>
        </patternFill>
      </fill>
    </dxf>
    <dxf>
      <font>
        <b/>
        <i val="0"/>
      </font>
      <fill>
        <patternFill>
          <bgColor rgb="FF92D050"/>
        </patternFill>
      </fill>
    </dxf>
    <dxf>
      <font>
        <b/>
        <i val="0"/>
        <color theme="0"/>
      </font>
      <fill>
        <patternFill>
          <bgColor rgb="FFFF0000"/>
        </patternFill>
      </fill>
    </dxf>
    <dxf>
      <font>
        <b/>
        <i val="0"/>
        <color theme="1"/>
      </font>
      <fill>
        <patternFill>
          <bgColor rgb="FFFFC00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C000"/>
        </patternFill>
      </fill>
    </dxf>
    <dxf>
      <font>
        <color theme="0"/>
      </font>
      <fill>
        <patternFill>
          <bgColor theme="5" tint="-0.24994659260841701"/>
        </patternFill>
      </fill>
    </dxf>
    <dxf>
      <fill>
        <patternFill>
          <bgColor rgb="FF92D050"/>
        </patternFill>
      </fill>
    </dxf>
    <dxf>
      <font>
        <b/>
        <i val="0"/>
        <color theme="0"/>
      </font>
      <fill>
        <patternFill>
          <bgColor rgb="FFFF0000"/>
        </patternFill>
      </fill>
    </dxf>
    <dxf>
      <font>
        <b/>
        <i val="0"/>
        <color theme="0"/>
      </font>
      <fill>
        <patternFill>
          <bgColor theme="9" tint="-0.24994659260841701"/>
        </patternFill>
      </fill>
    </dxf>
    <dxf>
      <fill>
        <patternFill>
          <bgColor theme="8" tint="0.39994506668294322"/>
        </patternFill>
      </fill>
    </dxf>
    <dxf>
      <font>
        <color rgb="FF9C0006"/>
      </font>
      <fill>
        <patternFill>
          <bgColor rgb="FFFFC7CE"/>
        </patternFill>
      </fill>
    </dxf>
    <dxf>
      <fill>
        <patternFill>
          <bgColor rgb="FFFFFF00"/>
        </patternFill>
      </fill>
    </dxf>
    <dxf>
      <fill>
        <patternFill>
          <bgColor rgb="FFFFC000"/>
        </patternFill>
      </fill>
    </dxf>
    <dxf>
      <font>
        <color theme="0"/>
      </font>
      <fill>
        <patternFill>
          <bgColor theme="5" tint="-0.24994659260841701"/>
        </patternFill>
      </fill>
    </dxf>
    <dxf>
      <fill>
        <patternFill>
          <bgColor rgb="FF92D050"/>
        </patternFill>
      </fill>
    </dxf>
    <dxf>
      <font>
        <b/>
        <i val="0"/>
        <color theme="0"/>
      </font>
      <fill>
        <patternFill>
          <bgColor rgb="FFFF0000"/>
        </patternFill>
      </fill>
    </dxf>
    <dxf>
      <font>
        <b/>
        <i val="0"/>
        <color theme="0"/>
      </font>
      <fill>
        <patternFill>
          <bgColor theme="9" tint="-0.24994659260841701"/>
        </patternFill>
      </fill>
    </dxf>
    <dxf>
      <fill>
        <patternFill>
          <bgColor theme="8" tint="0.39994506668294322"/>
        </patternFill>
      </fill>
    </dxf>
    <dxf>
      <fill>
        <gradientFill degree="90">
          <stop position="0">
            <color theme="0"/>
          </stop>
          <stop position="1">
            <color rgb="FF0099CC"/>
          </stop>
        </gradientFill>
      </fill>
    </dxf>
    <dxf>
      <fill>
        <gradientFill degree="90">
          <stop position="0">
            <color theme="0"/>
          </stop>
          <stop position="1">
            <color rgb="FF0099CC"/>
          </stop>
        </gradientFill>
      </fill>
    </dxf>
    <dxf>
      <fill>
        <gradientFill degree="90">
          <stop position="0">
            <color theme="0"/>
          </stop>
          <stop position="1">
            <color rgb="FF0099CC"/>
          </stop>
        </gradientFill>
      </fill>
    </dxf>
    <dxf>
      <fill>
        <gradientFill degree="90">
          <stop position="0">
            <color theme="0"/>
          </stop>
          <stop position="1">
            <color rgb="FF0099CC"/>
          </stop>
        </gradientFill>
      </fill>
    </dxf>
    <dxf>
      <fill>
        <gradientFill degree="90">
          <stop position="0">
            <color theme="0"/>
          </stop>
          <stop position="1">
            <color rgb="FF0099CC"/>
          </stop>
        </gradientFill>
      </fill>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solid">
          <fgColor indexed="64"/>
          <bgColor rgb="FF2BE7E7"/>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 formatCode="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 formatCode="0"/>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1" formatCode="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1" formatCode="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1" formatCode="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 formatCode="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9" formatCode="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 formatCode="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i val="0"/>
        <strike val="0"/>
        <condense val="0"/>
        <extend val="0"/>
        <outline val="0"/>
        <shadow val="0"/>
        <u val="none"/>
        <vertAlign val="baseline"/>
        <sz val="10"/>
        <color theme="1"/>
        <name val="Arial"/>
        <scheme val="none"/>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9" formatCode="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9" formatCode="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4" formatCode="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theme="1"/>
        <name val="Calibri"/>
        <scheme val="minor"/>
      </font>
      <numFmt numFmtId="1" formatCode="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 formatCode="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169" formatCode="dd/mm/yy"/>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19" formatCode="d/mm/yyyy"/>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2" formatCode="0.00"/>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2" formatCode="0.00"/>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2" formatCode="0.00"/>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9" formatCode="dd/mm/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9" formatCode="dd/mm/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9" formatCode="dd/mm/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9" formatCode="dd/mm/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4" formatCode="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4" formatCode="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Calibri"/>
        <scheme val="minor"/>
      </font>
      <numFmt numFmtId="164" formatCode="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4" formatCode="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 formatCode="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4" formatCode="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 formatCode="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9" formatCode="d/mm/yyyy"/>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9" formatCode="d/mm/yyyy"/>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 formatCode="0"/>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9" formatCode="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4" formatCode="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 formatCode="0"/>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 formatCode="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4" formatCode="0.0"/>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4" formatCode="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 formatCode="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4" formatCode="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4" formatCode="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dxf>
    <dxf>
      <border>
        <bottom style="medium">
          <color indexed="64"/>
        </bottom>
      </border>
    </dxf>
    <dxf>
      <font>
        <strike val="0"/>
        <outline val="0"/>
        <shadow val="0"/>
        <u val="none"/>
        <vertAlign val="baseline"/>
        <color theme="1"/>
      </font>
      <fill>
        <patternFill patternType="none">
          <fgColor indexed="64"/>
          <bgColor theme="9" tint="0.39997558519241921"/>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border>
    </dxf>
    <dxf>
      <fill>
        <gradientFill degree="270">
          <stop position="0">
            <color theme="0"/>
          </stop>
          <stop position="1">
            <color theme="8" tint="0.80001220740379042"/>
          </stop>
        </gradientFill>
      </fill>
    </dxf>
    <dxf>
      <fill>
        <gradientFill degree="270">
          <stop position="0">
            <color theme="0"/>
          </stop>
          <stop position="1">
            <color theme="8" tint="0.59999389629810485"/>
          </stop>
        </gradientFill>
      </fill>
    </dxf>
    <dxf>
      <fill>
        <gradientFill degree="270">
          <stop position="0">
            <color theme="0"/>
          </stop>
          <stop position="1">
            <color theme="9" tint="0.59999389629810485"/>
          </stop>
        </gradientFill>
      </fill>
    </dxf>
    <dxf>
      <fill>
        <gradientFill degree="270">
          <stop position="0">
            <color theme="0"/>
          </stop>
          <stop position="1">
            <color theme="8" tint="0.80001220740379042"/>
          </stop>
        </gradientFill>
      </fill>
    </dxf>
    <dxf>
      <fill>
        <gradientFill degree="90">
          <stop position="0">
            <color theme="0"/>
          </stop>
          <stop position="0.5">
            <color rgb="FF2BE7E7"/>
          </stop>
          <stop position="1">
            <color theme="0"/>
          </stop>
        </gradientFill>
      </fill>
    </dxf>
    <dxf>
      <fill>
        <gradientFill degree="270">
          <stop position="0">
            <color theme="0"/>
          </stop>
          <stop position="1">
            <color theme="9" tint="0.40000610370189521"/>
          </stop>
        </gradientFill>
      </fill>
    </dxf>
    <dxf>
      <fill>
        <gradientFill degree="90">
          <stop position="0">
            <color theme="9" tint="0.80001220740379042"/>
          </stop>
          <stop position="1">
            <color theme="9" tint="0.40000610370189521"/>
          </stop>
        </gradientFill>
      </fill>
    </dxf>
    <dxf>
      <fill>
        <gradientFill degree="270">
          <stop position="0">
            <color theme="0"/>
          </stop>
          <stop position="1">
            <color rgb="FF9FFDFF"/>
          </stop>
        </gradientFill>
      </fill>
    </dxf>
    <dxf>
      <fill>
        <patternFill>
          <bgColor theme="8" tint="0.79998168889431442"/>
        </patternFill>
      </fill>
    </dxf>
    <dxf>
      <fill>
        <patternFill>
          <bgColor theme="4" tint="0.59996337778862885"/>
        </patternFill>
      </fill>
    </dxf>
    <dxf>
      <fill>
        <patternFill>
          <bgColor theme="9" tint="0.39994506668294322"/>
        </patternFill>
      </fill>
    </dxf>
    <dxf>
      <fill>
        <patternFill>
          <bgColor theme="9" tint="0.79998168889431442"/>
        </patternFill>
      </fill>
    </dxf>
    <dxf>
      <fill>
        <gradientFill degree="90">
          <stop position="0">
            <color theme="9" tint="0.40000610370189521"/>
          </stop>
          <stop position="1">
            <color theme="9" tint="0.80001220740379042"/>
          </stop>
        </gradientFill>
      </fill>
    </dxf>
    <dxf>
      <fill>
        <patternFill>
          <bgColor theme="8" tint="0.79998168889431442"/>
        </patternFill>
      </fill>
    </dxf>
    <dxf>
      <fill>
        <patternFill>
          <bgColor theme="8" tint="0.39994506668294322"/>
        </patternFill>
      </fill>
    </dxf>
    <dxf>
      <fill>
        <patternFill>
          <bgColor theme="8" tint="0.79998168889431442"/>
        </patternFill>
      </fill>
    </dxf>
    <dxf>
      <fill>
        <gradientFill degree="90">
          <stop position="0">
            <color theme="0"/>
          </stop>
          <stop position="1">
            <color theme="4"/>
          </stop>
        </gradientFill>
      </fill>
    </dxf>
  </dxfs>
  <tableStyles count="7" defaultTableStyle="TableStyleMedium2" defaultPivotStyle="PivotStyleLight16">
    <tableStyle name="Estilo de tabla 1" pivot="0" count="4" xr9:uid="{00000000-0011-0000-FFFF-FFFF00000000}">
      <tableStyleElement type="headerRow" dxfId="5668"/>
      <tableStyleElement type="firstRowStripe" dxfId="5667"/>
      <tableStyleElement type="secondRowStripe" dxfId="5666"/>
      <tableStyleElement type="firstColumnStripe" dxfId="5665"/>
    </tableStyle>
    <tableStyle name="Estilo de tabla 2" pivot="0" count="3" xr9:uid="{00000000-0011-0000-FFFF-FFFF01000000}">
      <tableStyleElement type="headerRow" dxfId="5664"/>
      <tableStyleElement type="firstRowStripe" dxfId="5663"/>
      <tableStyleElement type="secondRowStripe" dxfId="5662"/>
    </tableStyle>
    <tableStyle name="Estilo de tabla 3" pivot="0" count="2" xr9:uid="{00000000-0011-0000-FFFF-FFFF02000000}">
      <tableStyleElement type="headerRow" dxfId="5661"/>
      <tableStyleElement type="firstRowStripe" dxfId="5660"/>
    </tableStyle>
    <tableStyle name="Estilo de tabla 4" pivot="0" count="0" xr9:uid="{00000000-0011-0000-FFFF-FFFF03000000}"/>
    <tableStyle name="Estilo de tabla 5" pivot="0" count="2" xr9:uid="{00000000-0011-0000-FFFF-FFFF04000000}">
      <tableStyleElement type="wholeTable" dxfId="5659"/>
      <tableStyleElement type="headerRow" dxfId="5658"/>
    </tableStyle>
    <tableStyle name="Estilo de tabla 6" pivot="0" count="3" xr9:uid="{00000000-0011-0000-FFFF-FFFF05000000}">
      <tableStyleElement type="headerRow" dxfId="5657"/>
      <tableStyleElement type="firstRowStripe" dxfId="5656"/>
      <tableStyleElement type="secondRowStripe" dxfId="5655"/>
    </tableStyle>
    <tableStyle name="Estilo de tabla 7" pivot="0" count="3" xr9:uid="{00000000-0011-0000-FFFF-FFFF06000000}">
      <tableStyleElement type="headerRow" dxfId="5654"/>
      <tableStyleElement type="firstRowStripe" dxfId="5653"/>
      <tableStyleElement type="secondRowStripe" dxfId="5652"/>
    </tableStyle>
  </tableStyles>
  <colors>
    <mruColors>
      <color rgb="FFCC0000"/>
      <color rgb="FFFF66CC"/>
      <color rgb="FFFFFF00"/>
      <color rgb="FFFFFF66"/>
      <color rgb="FFFFFF99"/>
      <color rgb="FFFF0066"/>
      <color rgb="FF31869B"/>
      <color rgb="FFFFAD53"/>
      <color rgb="FF2BE7E7"/>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WINDOWS10/Downloads/BASE%20CPN%202022%20formato3%20-%20prueb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VO"/>
      <sheetName val="INDICADORES"/>
      <sheetName val="CPN 2022"/>
    </sheetNames>
    <sheetDataSet>
      <sheetData sheetId="0"/>
      <sheetData sheetId="1"/>
      <sheetData sheetId="2"/>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a1" displayName="Tabla1" ref="A2:NX248" totalsRowShown="0" headerRowDxfId="5651" dataDxfId="5649" headerRowBorderDxfId="5650" headerRowCellStyle="Énfasis5" dataCellStyle="Normal 2">
  <autoFilter ref="A2:NX248" xr:uid="{00000000-000C-0000-FFFF-FFFF00000000}"/>
  <tableColumns count="388">
    <tableColumn id="101" xr3:uid="{00000000-0010-0000-0000-000065000000}" name="OBSERVACIONES PARA SEGUIMIENTO" dataDxfId="5648"/>
    <tableColumn id="1" xr3:uid="{00000000-0010-0000-0000-000001000000}" name=" RESPONSABLE DE LA ZONA" dataDxfId="5647"/>
    <tableColumn id="77" xr3:uid="{00000000-0010-0000-0000-00004D000000}" name="PUNTO O CENTRO DE ATENCION" dataDxfId="5646"/>
    <tableColumn id="2" xr3:uid="{00000000-0010-0000-0000-000002000000}" name="ATENCIÓN PRECONCEPCIONAL" dataDxfId="5645"/>
    <tableColumn id="3" xr3:uid="{00000000-0010-0000-0000-000003000000}" name="APELLIDO" dataDxfId="5644"/>
    <tableColumn id="4" xr3:uid="{00000000-0010-0000-0000-000004000000}" name="APELLIDO 2" dataDxfId="5643"/>
    <tableColumn id="5" xr3:uid="{00000000-0010-0000-0000-000005000000}" name="NOMBRE 1" dataDxfId="5642"/>
    <tableColumn id="6" xr3:uid="{00000000-0010-0000-0000-000006000000}" name="NOMBRE 2" dataDxfId="5641"/>
    <tableColumn id="7" xr3:uid="{00000000-0010-0000-0000-000007000000}" name="TIPO DE DOCUMENTO" dataDxfId="5640"/>
    <tableColumn id="8" xr3:uid="{00000000-0010-0000-0000-000008000000}" name="No DE IDENTIFICACION" dataDxfId="5639"/>
    <tableColumn id="9" xr3:uid="{00000000-0010-0000-0000-000009000000}" name="ESTADO CIVIL" dataDxfId="5638"/>
    <tableColumn id="10" xr3:uid="{00000000-0010-0000-0000-00000A000000}" name="OCUPACION" dataDxfId="5637"/>
    <tableColumn id="11" xr3:uid="{00000000-0010-0000-0000-00000B000000}" name="FECHA DE NACIMIENTO" dataDxfId="5636" dataCellStyle="Normal 2"/>
    <tableColumn id="12" xr3:uid="{00000000-0010-0000-0000-00000C000000}" name="EDAD ACTUAL" dataDxfId="5635" dataCellStyle="Normal 2">
      <calculatedColumnFormula>IF(M3&gt;0,SUM(TODAY()-M3)/365,"")</calculatedColumnFormula>
    </tableColumn>
    <tableColumn id="13" xr3:uid="{00000000-0010-0000-0000-00000D000000}" name="FECHA DE IDENTIFICACION DE LA GESTANTE" dataDxfId="5634" dataCellStyle="Normal 2"/>
    <tableColumn id="14" xr3:uid="{00000000-0010-0000-0000-00000E000000}" name="EFECTIVIDAD DEMANDA" dataDxfId="5633" dataCellStyle="Normal 2">
      <calculatedColumnFormula>IF(AND(O3="",R3&gt;0),"ACUDE ESPONTANEAMENTE",IF(AND(AND(O3&gt;0,R3=""),OR(IN3&gt;0,IK3&lt;&gt;"")),"NA",IF(AND(O3&gt;0,IN3="",R3=""),"NO",IF(AND(O3&gt;0,R3&gt;0),"SI",""))))</calculatedColumnFormula>
    </tableColumn>
    <tableColumn id="15" xr3:uid="{00000000-0010-0000-0000-00000F000000}" name="NOVEDAD AL MOMENTO DE LA IDENTIFICACIÓN Y/O CAPTACIÓN " dataDxfId="5632" dataCellStyle="Normal 2"/>
    <tableColumn id="16" xr3:uid="{00000000-0010-0000-0000-000010000000}" name="FECHA CONSULTA PRIMERA VEZ PROGRAMA CPN " dataDxfId="5631" dataCellStyle="Normal 2"/>
    <tableColumn id="24" xr3:uid="{00000000-0010-0000-0000-000018000000}" name="REGIMEN" dataDxfId="5630" dataCellStyle="Normal 2"/>
    <tableColumn id="25" xr3:uid="{00000000-0010-0000-0000-000019000000}" name="ASEGURADORA" dataDxfId="5629" dataCellStyle="Normal 2"/>
    <tableColumn id="26" xr3:uid="{00000000-0010-0000-0000-00001A000000}" name="MUNICIPIO DE RESIDENCIA" dataDxfId="5628" dataCellStyle="Normal 2"/>
    <tableColumn id="27" xr3:uid="{00000000-0010-0000-0000-00001B000000}" name="ZONA DE RESIDENCIA" dataDxfId="5627" dataCellStyle="Normal 2"/>
    <tableColumn id="28" xr3:uid="{00000000-0010-0000-0000-00001C000000}" name="VEREDA/BARRIO" dataDxfId="5626" dataCellStyle="Normal 2"/>
    <tableColumn id="29" xr3:uid="{00000000-0010-0000-0000-00001D000000}" name="DIRECCION - (ESPECIFICAR UBICACIÓN EN VEREDA)" dataDxfId="5625" dataCellStyle="Normal 2"/>
    <tableColumn id="30" xr3:uid="{00000000-0010-0000-0000-00001E000000}" name="RESGUARDO / CORREGIMIENTO / COMUNA / LOCALIDAD" dataDxfId="5624" dataCellStyle="Normal 2"/>
    <tableColumn id="31" xr3:uid="{00000000-0010-0000-0000-00001F000000}" name="TELEFONO FIJO O CELULAR" dataDxfId="5623" dataCellStyle="Normal 2"/>
    <tableColumn id="32" xr3:uid="{00000000-0010-0000-0000-000020000000}" name="TIPO DE ETNIA" dataDxfId="5622" dataCellStyle="Normal 2"/>
    <tableColumn id="33" xr3:uid="{00000000-0010-0000-0000-000021000000}" name="PUEBLO INDIGENA ESPECIFICO" dataDxfId="5621" dataCellStyle="Normal 2"/>
    <tableColumn id="34" xr3:uid="{00000000-0010-0000-0000-000022000000}" name="ESTUDIOS" dataDxfId="5620" dataCellStyle="Normal 2"/>
    <tableColumn id="68" xr3:uid="{00000000-0010-0000-0000-000044000000}" name="USO DE SUSTANCIAS PSICOACTIVAS" dataDxfId="5619" dataCellStyle="Normal 2"/>
    <tableColumn id="35" xr3:uid="{00000000-0010-0000-0000-000023000000}" name="EMBARAZO ACEPTADO Y/O  DESEADO" dataDxfId="5618" dataCellStyle="Normal 2"/>
    <tableColumn id="36" xr3:uid="{00000000-0010-0000-0000-000024000000}" name="APOYO FAMILIAR" dataDxfId="5617" dataCellStyle="Normal 2"/>
    <tableColumn id="37" xr3:uid="{00000000-0010-0000-0000-000025000000}" name="NIVEL SOCIO ECONOMICO BAJO" dataDxfId="5616" dataCellStyle="Normal 2"/>
    <tableColumn id="38" xr3:uid="{00000000-0010-0000-0000-000026000000}" name="ANSIEDAD (Tensión emocional, Humor depresivo y sx angustia)." dataDxfId="5615" dataCellStyle="Normal 2"/>
    <tableColumn id="39" xr3:uid="{00000000-0010-0000-0000-000027000000}" name="GRUPO DE POBLACION ESPECIAL" dataDxfId="5614" dataCellStyle="Normal 2"/>
    <tableColumn id="40" xr3:uid="{00000000-0010-0000-0000-000028000000}" name="HA SIDO VICTIMA DE VIOLENCIA BASADA EN GENERO" dataDxfId="5613" dataCellStyle="Normal 2"/>
    <tableColumn id="41" xr3:uid="{00000000-0010-0000-0000-000029000000}" name="RIESGO PSICOSOCIAL" dataDxfId="5612">
      <calculatedColumnFormula>IF(AND(AD3="",AE3="",AF3="",AG3="",AH3="",AI3="",AJ3=""),"",IF(OR(Tabla1[[#This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EVALUACIÓN",IF(AND(O3="",R3=""),"",IF(AND(OR(O3&gt;0,R3&gt;0),NG3&gt;=0,NG3&lt;2),"SIN RIESGO",IF(AND(OR(O3&gt;0,R3&gt;0),NG3&gt;=2),"CON RIESGO","ASD")))))</calculatedColumnFormula>
    </tableColumn>
    <tableColumn id="43" xr3:uid="{00000000-0010-0000-0000-00002B000000}" name="ANTECEDENTE. HIPERTENSION INDUCIDA POR EL EMBARAZO O PREECLAMPSIA/ECLAMPSIA" dataDxfId="5611" dataCellStyle="Normal 2"/>
    <tableColumn id="44" xr3:uid="{00000000-0010-0000-0000-00002C000000}" name="ANTECEDENTE. PLACENTA PREVIA, ABRUPTIO DE PLACENTA, RETENCION PLACENTARIA, O HEMORRAGIA POSTPARTO" dataDxfId="5610" dataCellStyle="Normal 2"/>
    <tableColumn id="45" xr3:uid="{00000000-0010-0000-0000-00002D000000}" name="ANTECEDENTE. PESO BEBE MENOR A  2500" dataDxfId="5609" dataCellStyle="Normal 2"/>
    <tableColumn id="399" xr3:uid="{00000000-0010-0000-0000-00008F010000}" name="ANTECEDENTE. PESO BEBE MAYOR A 4000" dataDxfId="5608"/>
    <tableColumn id="47" xr3:uid="{00000000-0010-0000-0000-00002F000000}" name="ANTECEDENTE PARTO PRETERMINO" dataDxfId="5607" dataCellStyle="Normal 2"/>
    <tableColumn id="48" xr3:uid="{00000000-0010-0000-0000-000030000000}" name="ANTECEDENTE. Trabajo de Parto PROLONGADO/PARTO DIFICIL" dataDxfId="5606" dataCellStyle="Normal 2"/>
    <tableColumn id="49" xr3:uid="{00000000-0010-0000-0000-000031000000}" name="ANTECEDENTE. FLIAR PREECLAMPSIA" dataDxfId="5605" dataCellStyle="Normal 2"/>
    <tableColumn id="51" xr3:uid="{00000000-0010-0000-0000-000033000000}" name="ANTECEDENTE GRAVIDA" dataDxfId="5604" dataCellStyle="Normal 2"/>
    <tableColumn id="52" xr3:uid="{00000000-0010-0000-0000-000034000000}" name="ANTECEDENTE PARTOS" dataDxfId="5603" dataCellStyle="Normal 2"/>
    <tableColumn id="53" xr3:uid="{00000000-0010-0000-0000-000035000000}" name="ANTECEDENTE ABORTOS" dataDxfId="5602" dataCellStyle="Normal 2"/>
    <tableColumn id="54" xr3:uid="{00000000-0010-0000-0000-000036000000}" name="ANTE. 3 ABORTOS SEGUIDOS O INFERTILIDAD" dataDxfId="5601" dataCellStyle="Normal 2"/>
    <tableColumn id="55" xr3:uid="{00000000-0010-0000-0000-000037000000}" name="ANTECEDENTE CESAREAS" dataDxfId="5600" dataCellStyle="Normal 2"/>
    <tableColumn id="56" xr3:uid="{00000000-0010-0000-0000-000038000000}" name="ANTECEDENTE OBITO FETAL Y/O MUERTE PERINATAL NEONATAL TEMPRANA" dataDxfId="5599" dataCellStyle="Normal 2"/>
    <tableColumn id="57" xr3:uid="{00000000-0010-0000-0000-000039000000}" name="ANTECEDENTE EMBARAZO ECTOPICO, RECANALIZACION DE TROMPAS O CX UTERINA (MIOMECTOMIA)" dataDxfId="5598" dataCellStyle="Normal 2"/>
    <tableColumn id="58" xr3:uid="{00000000-0010-0000-0000-00003A000000}" name="ANTECEDENTE EMBARAZO MOLAR" dataDxfId="5597" dataCellStyle="Normal 2"/>
    <tableColumn id="59" xr3:uid="{00000000-0010-0000-0000-00003B000000}" name="ANTECEDENTE MUERTE NEONATAL TARDIA" dataDxfId="5596" dataCellStyle="Normal 2"/>
    <tableColumn id="222" xr3:uid="{00000000-0010-0000-0000-0000DE000000}" name="TIENE VIH PRE GESTACIONAL" dataDxfId="5595"/>
    <tableColumn id="217" xr3:uid="{00000000-0010-0000-0000-0000D9000000}" name="TIENE EPILEPSIA" dataDxfId="5594"/>
    <tableColumn id="64" xr3:uid="{00000000-0010-0000-0000-000040000000}" name="TIENE ENFERMEDADES AUTOINMUNES" dataDxfId="5593" dataCellStyle="Normal 2"/>
    <tableColumn id="65" xr3:uid="{00000000-0010-0000-0000-000041000000}" name="TIENE DIABETES MELLITUS" dataDxfId="5592" dataCellStyle="Normal 2"/>
    <tableColumn id="66" xr3:uid="{00000000-0010-0000-0000-000042000000}" name="TIENE ENFERMEDAD CARDIACA" dataDxfId="5591" dataCellStyle="Normal 2"/>
    <tableColumn id="315" xr3:uid="{00000000-0010-0000-0000-00003B010000}" name="TIENE HTA CRONICA" dataDxfId="5590" dataCellStyle="Normal 2"/>
    <tableColumn id="305" xr3:uid="{00000000-0010-0000-0000-000031010000}" name="TIENE ENF RENAL CRONICA" dataDxfId="5589" dataCellStyle="Normal 2"/>
    <tableColumn id="74" xr3:uid="{00000000-0010-0000-0000-00004A000000}" name="EN EMB ACTUAL ENFERMEDADES INFECCIOSAS AGUDAS(BACTERIANAS)" dataDxfId="5588" dataCellStyle="Normal 2"/>
    <tableColumn id="400" xr3:uid="{00000000-0010-0000-0000-000090010000}" name="EMB ACTUAL REPRODUCCIÓN ASISTIDA " dataDxfId="5587"/>
    <tableColumn id="76" xr3:uid="{00000000-0010-0000-0000-00004C000000}" name="EN EMB ACTUAL ANOMALIA CONGÉNITA" dataDxfId="5586" dataCellStyle="Normal 2"/>
    <tableColumn id="79" xr3:uid="{00000000-0010-0000-0000-00004F000000}" name=" EN EMB ACTUAL HEMORRAGIA VAGINAL &gt; 20 SEM22" dataDxfId="5585" dataCellStyle="Normal 2"/>
    <tableColumn id="81" xr3:uid="{00000000-0010-0000-0000-000051000000}" name="EN EMB ACTUAL HEMORRAGIA VAGINAL &lt; 20 SEM" dataDxfId="5584" dataCellStyle="Normal 2"/>
    <tableColumn id="87" xr3:uid="{00000000-0010-0000-0000-000057000000}" name="FECHA TERMINACIÓN ÚLTIMO EMBARAZO" dataDxfId="5583" dataCellStyle="Normal 2"/>
    <tableColumn id="89" xr3:uid="{00000000-0010-0000-0000-000059000000}" name="FUM x AMENORREA" dataDxfId="5582" dataCellStyle="Normal 2"/>
    <tableColumn id="90" xr3:uid="{00000000-0010-0000-0000-00005A000000}" name="FUM FORMULA CONFIABLE" dataDxfId="5581" dataCellStyle="Normal 2"/>
    <tableColumn id="20" xr3:uid="{00000000-0010-0000-0000-000014000000}" name="PERIODO INTERGENESICO (MESES)" dataDxfId="5580" dataCellStyle="Normal 2">
      <calculatedColumnFormula>IF(OR(BN3="SD",RW3=""),"",IF(BN3="",0,SUM(RW3-BN3)/30))</calculatedColumnFormula>
    </tableColumn>
    <tableColumn id="19" xr3:uid="{00000000-0010-0000-0000-000013000000}" name="FUM X ECO 1" dataDxfId="5579" dataCellStyle="Normal 2">
      <calculatedColumnFormula>IF(BX3&gt;0,SUM(BW3-NH3),"")</calculatedColumnFormula>
    </tableColumn>
    <tableColumn id="94" xr3:uid="{00000000-0010-0000-0000-00005E000000}" name="SEMANAS DE GESTACION AL INGRESO" dataDxfId="5578" dataCellStyle="Normal 2">
      <calculatedColumnFormula>IF(AND(BP3="Corregida",BO3&gt;0,R3&gt;0,ISBLANK(BX3)),"SIN SEMANAS X ECO",IF(AND(BP3="Corregida",BO3&gt;0,R3&gt;0),SUM(R3-BR3)/7,IF(AND(OR(BP3="SI",BP3="NO"),BO3&gt;0,R3&gt;0),SUM(R3-BO3)/7,"")))</calculatedColumnFormula>
    </tableColumn>
    <tableColumn id="95" xr3:uid="{00000000-0010-0000-0000-00005F000000}" name="TRIMESTRE DE  INGRESO AL CPN" dataDxfId="5577" dataCellStyle="Normal 2">
      <calculatedColumnFormula>IF(AND(BS3="",IG3=""),"",IF(AND(BS3="",IG3="DEFINIR FPP POR ECO"),"SIN DATO",IF(BS3&lt;0,"ERROR FUM O INGRESO O ECO",IF(BP3="NO","DEFINIR CON ECO",IF(BS3&lt;10,"I TRIM",IF(BS3&lt;27,"II TRIM",IF(AND(BS3&gt;26,BS3&lt;45),"III TRIM","ERROR FUM O INGRESO O ECO")))))))</calculatedColumnFormula>
    </tableColumn>
    <tableColumn id="96" xr3:uid="{00000000-0010-0000-0000-000060000000}" name="SEMANAS DE GESTACION ACTUALIZADAS" dataDxfId="5576" dataCellStyle="Normal 2">
      <calculatedColumnFormula>IF(AND(BO3="",BR3=""),"",IF(SUM((TODAY()-RW3)/7)&gt;43.1,"",IF(AND(RW3&gt;0,OR(BP3="si",BP3="Corregida",BP3="NO")),SUM((TODAY()-RW3)/7),"")))</calculatedColumnFormula>
    </tableColumn>
    <tableColumn id="212" xr3:uid="{00000000-0010-0000-0000-0000D4000000}" name="Tipo de ECO 1" dataDxfId="5575" dataCellStyle="Normal 2"/>
    <tableColumn id="99" xr3:uid="{00000000-0010-0000-0000-000063000000}" name="FECHA ECO 1" dataDxfId="5574" dataCellStyle="Normal 2"/>
    <tableColumn id="100" xr3:uid="{00000000-0010-0000-0000-000064000000}" name="SEMANAS GESTACION ECO 1" dataDxfId="5573" dataCellStyle="Normal 2"/>
    <tableColumn id="216" xr3:uid="{00000000-0010-0000-0000-0000D8000000}" name="Tipo de ECO 2" dataDxfId="5572" dataCellStyle="Normal 2"/>
    <tableColumn id="104" xr3:uid="{00000000-0010-0000-0000-000068000000}" name="FECHA ECO 2" dataDxfId="5571" dataCellStyle="Normal 2"/>
    <tableColumn id="105" xr3:uid="{00000000-0010-0000-0000-000069000000}" name="SEMANAS GESTACION ECO 2" dataDxfId="5570" dataCellStyle="Normal 2"/>
    <tableColumn id="279" xr3:uid="{00000000-0010-0000-0000-000017010000}" name="EN EMB. ACTUAL  RESTRICCIÓN DEL CRECIMIENTO INTRAUTERINO" dataDxfId="5569" dataCellStyle="Normal 2"/>
    <tableColumn id="280" xr3:uid="{00000000-0010-0000-0000-000018010000}" name="TIENE EMB. MUTIPLE ACTUAL " dataDxfId="5568" dataCellStyle="Normal 2"/>
    <tableColumn id="287" xr3:uid="{00000000-0010-0000-0000-00001F010000}" name="PRESENTACION DEL FETO - ACTUALIZAR DESPUÉS DE LA SEMANA 32" dataDxfId="5567" dataCellStyle="Normal 2"/>
    <tableColumn id="293" xr3:uid="{00000000-0010-0000-0000-000025010000}" name="TIENE POLIHIDRAMNIOS" dataDxfId="5566" dataCellStyle="Normal 2"/>
    <tableColumn id="110" xr3:uid="{00000000-0010-0000-0000-00006E000000}" name="MOMENTO EN QUE SE REALIZA EL PESO AL INGRESO A CPN" dataDxfId="5565" dataCellStyle="Normal 2"/>
    <tableColumn id="111" xr3:uid="{00000000-0010-0000-0000-00006F000000}" name="TALLA EN Mts     " dataDxfId="5564" dataCellStyle="Normal 2"/>
    <tableColumn id="112" xr3:uid="{00000000-0010-0000-0000-000070000000}" name="PESO EN Kg INGRESO O PRE GESTACIONAL" dataDxfId="5563" dataCellStyle="Normal 2"/>
    <tableColumn id="113" xr3:uid="{00000000-0010-0000-0000-000071000000}" name="IMC" dataDxfId="5562" dataCellStyle="Normal 2">
      <calculatedColumnFormula>IF(AND(OR(O3&gt;0,R3&gt;0),CG3=""),"SD",IF(AND(OR(O3="",R3=""),CG3=""),"",IF(AND(OR(O3&gt;0,R3&gt;0),CG3&gt;0,CH3&gt;0),SUM(CH3)/(CG3*CG3),"X")))</calculatedColumnFormula>
    </tableColumn>
    <tableColumn id="114" xr3:uid="{00000000-0010-0000-0000-000072000000}" name="CLASIFICACION NUTRICIONAL INGRESO" dataDxfId="5561" dataCellStyle="Normal 2">
      <calculatedColumnFormula>IF(AND(CI3&lt;10,CH3="SD"),"SIN DATO PESO PREGESTACION O I TRIM",IF(AND(OR(R3&gt;0,O3&gt;0),CI3="X"),"INGRESAR DATO DE PESO",IF(CI3="SD","INGRESAR DATO DE TALLA Y PESO",IF(AND(OR(Tabla1[[#This Row],[MOMENTO EN QUE SE REALIZA EL PESO AL INGRESO A CPN]]="PREGESTACIÓN",NZ3="Menor"),CI3&lt;18.5),"BAJO PESO",IF(AND(OR(Tabla1[[#This Row],[MOMENTO EN QUE SE REALIZA EL PESO AL INGRESO A CPN]]="PREGESTACIÓN",NZ3="Menor"),CI3&lt;25),"NORMAL",IF(AND(OR(Tabla1[[#This Row],[MOMENTO EN QUE SE REALIZA EL PESO AL INGRESO A CPN]]="PREGESTACIÓN",NZ3="Menor"),CI3&lt;30),"SOBREPESO",IF(AND(OR(Tabla1[[#This Row],[MOMENTO EN QUE SE REALIZA EL PESO AL INGRESO A CPN]]="PREGESTACIÓN",NZ3="Menor"),CI3&gt;=30,CI3&lt;50),"OBESIDAD",IF(AND(BS3&gt;0,Tabla1[[#This Row],[MOMENTO EN QUE SE REALIZA EL PESO AL INGRESO A CPN]]="GESTACIÓN"),HLOOKUP(NZ3,$OA$2:PH3,NY3),""))))))))</calculatedColumnFormula>
    </tableColumn>
    <tableColumn id="120" xr3:uid="{00000000-0010-0000-0000-000078000000}" name="FECHA DEL ÚLTIMO CONTROL" dataDxfId="5560" dataCellStyle="Normal 2">
      <calculatedColumnFormula>DY3</calculatedColumnFormula>
    </tableColumn>
    <tableColumn id="121" xr3:uid="{00000000-0010-0000-0000-000079000000}" name="PESO EN Kg  (ACTUALIZAR CADA MES)" dataDxfId="5559" dataCellStyle="Normal 2"/>
    <tableColumn id="123" xr3:uid="{00000000-0010-0000-0000-00007B000000}" name="IMC ÚLTIMO CPN" dataDxfId="5558" dataCellStyle="Normal 2">
      <calculatedColumnFormula>IF(AND(OR(O3&gt;0,R3&gt;0),CG3=""),"SD",IF(AND(OR(O3="",R3=""),CG3=""),"",IF(AND(OR(O3&gt;0,R3&gt;0),CG3&gt;0),SUM(CL3)/(CG3*CG3),"X")))</calculatedColumnFormula>
    </tableColumn>
    <tableColumn id="124" xr3:uid="{00000000-0010-0000-0000-00007C000000}" name="SEMANAS DE GESTACION ULTIMO CPN" dataDxfId="5557" dataCellStyle="Normal 2">
      <calculatedColumnFormula>DZ3</calculatedColumnFormula>
    </tableColumn>
    <tableColumn id="125" xr3:uid="{00000000-0010-0000-0000-00007D000000}" name="CLASIFICACION SEGÚN CURVA ATALAH - ÚLTIMO CPN" dataDxfId="5556" dataCellStyle="Normal 2">
      <calculatedColumnFormula>IF(PI3="","",IF(PI3&gt;0,HLOOKUP(PI3,$PJ$2:QQ3,NY3),""))</calculatedColumnFormula>
    </tableColumn>
    <tableColumn id="117" xr3:uid="{00000000-0010-0000-0000-000075000000}" name="ALTURA UTERINA  (En cm) ACTUALIZAR CADA MES" dataDxfId="5555" dataCellStyle="Normal 2"/>
    <tableColumn id="115" xr3:uid="{00000000-0010-0000-0000-000073000000}" name="ALARMA ALTURA UTERINA" dataDxfId="5554" dataCellStyle="Normal 2">
      <calculatedColumnFormula>IF(QR3="Menor","NO APLICA-MENOR 13 SEM",IF(AND(CC3="SI",CN3&gt;23),"NO APLICA- GEMELAR",IF(QR3="","",IF(QR3&gt;0,HLOOKUP(QR3,$QS$2:RU3,NY3),""))))</calculatedColumnFormula>
    </tableColumn>
    <tableColumn id="50" xr3:uid="{00000000-0010-0000-0000-000032000000}" name="T.A. SISTOLICA - ANTES DE SEMANA 12" dataDxfId="5553" dataCellStyle="Normal 2"/>
    <tableColumn id="127" xr3:uid="{00000000-0010-0000-0000-00007F000000}" name="T.A. DIASTOLICA - ANTES DE SEMANA 12" dataDxfId="5552" dataCellStyle="Normal 2"/>
    <tableColumn id="128" xr3:uid="{00000000-0010-0000-0000-000080000000}" name="ALARMA 1 T.A.  ANTES 12 SEMANAS" dataDxfId="5551" dataCellStyle="Normal 2">
      <calculatedColumnFormula>IF(R3="","",IF(AND(BS3&gt;1,BS3&lt;12,Tabla1[[#This Row],[T.A. SISTOLICA - ANTES DE SEMANA 12]]="",Tabla1[[#This Row],[T.A. DIASTOLICA - ANTES DE SEMANA 12]]=""),"REGISTRE DATO TA ANTES SEMANA 12",IF(AND(BS3&gt;11,BS3&lt;43,Tabla1[[#This Row],[T.A. SISTOLICA - ANTES DE SEMANA 12]]="",Tabla1[[#This Row],[T.A. DIASTOLICA - ANTES DE SEMANA 12]]=""),"NO APLICA REGISTRO TA-INGRESO TARDIO",IF(AND(OR(O3&gt;0,R3&gt;0),OR(CR3&gt;=140,CS3&gt;=90)),"DEFINIR ESTADIO HTA",IF(AND(OR(O3&gt;0,R3&gt;0),AND(CR3&gt;120,CR3&lt;=139)),"PRE HTA SEGUIMIENTO",IF(AND(OR(O3&gt;0,R3&gt;0),AND(CS3&gt;80,CS3&lt;=89)),"PRE HTA SEGUIMIENTO",IF(AND(OR(O3&gt;0,R3&gt;0),AND(CR3&gt;=80,CR3&lt;=120)),"APARENTEMENTE NORMAL",IF(AND(OR(O3&gt;0,R3&gt;0),AND(CS3&gt;=50,CS3&lt;=80)),"APARENTEMENTE NORMAL",IF(AND(OR(O3&gt;0,R3&gt;0),AND(CR3&gt;1,CR3&lt;=70),AND(CS3&gt;1,CS3&lt;=40)),"HIPOTENSIÓN","")))))))))</calculatedColumnFormula>
    </tableColumn>
    <tableColumn id="129" xr3:uid="{00000000-0010-0000-0000-000081000000}" name="T.A. SISTOLICA (Entre semana 20 y 26)" dataDxfId="5550" dataCellStyle="Normal 2"/>
    <tableColumn id="130" xr3:uid="{00000000-0010-0000-0000-000082000000}" name="T.A. DIATOLICA (Entre semana 20 y 26)" dataDxfId="5549" dataCellStyle="Normal 2"/>
    <tableColumn id="131" xr3:uid="{00000000-0010-0000-0000-000083000000}" name="ALARMA 2 T.A.  ENTRE SEMANA 20 Y 26 " dataDxfId="5548" dataCellStyle="Normal 2">
      <calculatedColumnFormula>IF(R3="","",IF(AND(CN3&gt;19,CN3&lt;27,Tabla1[[#This Row],[T.A. SISTOLICA (Entre semana 20 y 26)]]="",Tabla1[[#This Row],[T.A. DIATOLICA (Entre semana 20 y 26)]]=""),"ACUDE A CONTROL SEM 20 A 26 REGISTRE TA AHORA",IF(AND(BS3&gt;1,BS3&lt;27,BU3&gt;19,Tabla1[[#This Row],[T.A. SISTOLICA (Entre semana 20 y 26)]]="",Tabla1[[#This Row],[T.A. DIATOLICA (Entre semana 20 y 26)]]=""),"COMPLETE REGISTRO TA CONTROL SEM 20 A26 ",IF(AND(BS3&gt;26,BS3&lt;43,Tabla1[[#This Row],[T.A. SISTOLICA (Entre semana 20 y 26)]]="",Tabla1[[#This Row],[T.A. DIATOLICA (Entre semana 20 y 26)]]=""),"NO APLICA REGISTRO TA-INGRESO TARDIO",IF(AND(OR(O3&gt;0,R3&gt;0),OR(CU3&gt;=140,CV3&gt;=90)),"ALTO RIESGO PREECLAMPSIA,DEFINIR ESTADIO HTA",IF(AND(OR(O3&gt;0,R3&gt;0),AND(CU3&gt;120,CU3&lt;=139)),"PRE HTA SEGUIMIENTO,RIESGO HIPERTENSION INDUCIDA POR EL EMBARAZO",IF(AND(OR(O3&gt;0,R3&gt;0),AND(CV3&gt;80,CV3&lt;=89)),"PRE HTA SEGUIMIENTO, RIESGO HIPERTENSION INDUCIDA POR EL EMBARAZO",IF(AND(OR(O3&lt;&gt;"",R3&lt;&gt;""),CS3&lt;&gt;"",CV3&lt;&gt;"",CS3&lt;=CV3),"VIGILAR CIFRAS PRESION ARTERIAL",IF(AND(OR(O3&gt;0,R3&gt;0),AND(CU3&gt;120,CU3&lt;=139)),"PRE HTA SEGUIMIENTO",IF(AND(OR(O3&gt;0,R3&gt;0),AND(CU3&gt;1,CU3&lt;=70),AND(CV3&gt;1,CV3&lt;=40)),"HIPOTENSIÓN",IF(AND(OR(O3&lt;&gt;"",R3&lt;&gt;""),CS3&lt;&gt;"",CV3&lt;&gt;"",CS3&gt;CV3),"APARENTEMENTE NORMAL",IF(AND(OR(O3&gt;0,R3&gt;0),AND(CU3&gt;=80,CU3&lt;=120)),"APARENTEMENTE NORMAL",IF(AND(OR(O3&gt;0,R3&gt;0),AND(CV3&gt;=50,CV3&lt;=80)),"APARENTEMENTE NORMAL","")))))))))))))</calculatedColumnFormula>
    </tableColumn>
    <tableColumn id="132" xr3:uid="{00000000-0010-0000-0000-000084000000}" name="TA. SISTOLICA SEM 30 A 34" dataDxfId="5547"/>
    <tableColumn id="133" xr3:uid="{00000000-0010-0000-0000-000085000000}" name="TA. DIASTOLICA SEM 30 A 34" dataDxfId="5546" dataCellStyle="Normal 2"/>
    <tableColumn id="118" xr3:uid="{00000000-0010-0000-0000-000076000000}" name="ALARMA 3 T.A SEMANA 30 A 34" dataDxfId="5545" dataCellStyle="Normal 2">
      <calculatedColumnFormula>IF(R3="","",IF(AND(CN3&gt;31,CN3&lt;35,CX3="",CY3=""),"ACUDE A CONTROL SEM 30 A 34- REGISTRE AHORA",IF(AND(BS3&gt;34,BS3&lt;43,CX4="",CY4=""),"NO APLICA-INGRESO TARDIO",IF(AND(OR(O3&gt;0,R3&gt;0),OR(CX3&gt;=140,CY3&gt;=90)),"ESTUDIO INMEDIATO HTA PARA DESCARTAR PREECLAMSIA",IF(AND(OR(O3&gt;0,R3&gt;0),AND(CX3&gt;=130,CX3&lt;=139)),"PRE HTA,RIESGO ALTO PREECLAMPSIA",IF(AND(OR(O3&gt;0,R3&gt;0),AND(CY3&gt;80,CY3&lt;=89)),"PRE HTA,RIESGO ALTO PREECLAMPSIA",IF(AND(OR(O3&gt;0,R3&gt;0),AND(CX3&gt;120,CX3&lt;=129)),"RANGO PREHIPERTENSIVO SEGUIMIENTO HTA",IF(AND(OR(O3&lt;&gt;"",R3&lt;&gt;""),CS3&lt;&gt;"",CY3&lt;&gt;"",CS3&lt;CY3),"VIGILAR CIFRAS PRESION ARTERIAL",IF(AND(OR(O3&lt;&gt;"",R3&lt;&gt;""),CS3&lt;&gt;"",CY3&lt;&gt;"",CS3=CY3),"APARENTEMENTE NORMAL",IF(AND(OR(O3&gt;0,R3&gt;0),CX3&gt;=80,CX3&lt;=120),"APARENTEMENTE NORMAL",IF(AND(OR(O3&gt;0,R3&gt;0),CY3&gt;=50,CY3&lt;=80),"APARENTEMENTE NORMAL","")))))))))))</calculatedColumnFormula>
    </tableColumn>
    <tableColumn id="134" xr3:uid="{00000000-0010-0000-0000-000086000000}" name="TA SISTOLICA (ACTUALIZAR CADA MES)" dataDxfId="5544" dataCellStyle="Normal 2"/>
    <tableColumn id="135" xr3:uid="{00000000-0010-0000-0000-000087000000}" name="TA DIASTOLICA (ACTUALIZAR CADA MES)" dataDxfId="5543" dataCellStyle="Normal 2"/>
    <tableColumn id="136" xr3:uid="{00000000-0010-0000-0000-000088000000}" name="ALARMA T. A. MENSUAL" dataDxfId="5542" dataCellStyle="Normal 2">
      <calculatedColumnFormula>IF(AND(R3="",DA3="",DB3=""),"",IF(AND(R3&lt;&gt;"",DA3="",DB3=""),"REGISTRE DATO PRESIÓN ARTERIAL MENSUAL",IF(AND(OR(O3&gt;0,R3&gt;0),OR(DA3&gt;=140,DB3&gt;=90)),"ESTUDIO INMEDIATO HTA PARA DESCARTAR PREECLAMSIA",IF(AND(OR(O3&gt;0,R3&gt;0),AND(DA3&gt;=130,DA3&lt;=139)),"PRE HTA,RIESGO ALTO PREECLAMPSIA",IF(AND(OR(O3&gt;0,R3&gt;0),AND(DB3&gt;80,DB3&lt;=89)),"PRE HTA,RIESGO ALTO PREECLAMPSIA",IF(AND(OR(O3&gt;0,R3&gt;0),AND(DA3&gt;120,DA3&lt;=129)),"RANGO PREHIPERTENSIVO SEGUIMIENTO HTA",IF(AND(CN3&gt;34,CN3&lt;43,OR(O3&lt;&gt;"",R3&lt;&gt;""),CS3&lt;&gt;"",CY3&lt;&gt;"",DB3&lt;&gt;"",OR(CS3&lt;DB3,CS3&lt;CY3)),"VIGILAR CIFRAS PRESION ARTERIAL",IF(AND(CN3&gt;34,CN3&lt;43,OR(O3&lt;&gt;"",R3&lt;&gt;""),CR3="",CS3="",OR(CY3&lt;DB3,CX3&lt;DA3)),"VIGILAR CIFRAS PRESION ARTERIAL",IF(AND(CN3&gt;34,CN3&lt;43,OR(O3&lt;&gt;"",R3&lt;&gt;""),CS3&lt;&gt;"",CY3&lt;&gt;"",DB3&lt;&gt;"",OR(CS3=DB3,CS3=CY3)),"APARENTEMENTE NORMAL",IF(AND(OR(O3&gt;0,R3&gt;0),AND(DA3&gt;=80,DA3&lt;=120)),"APARENTEMENTE NORMAL",IF(AND(CN3&gt;34,CN3&lt;43,OR(O3&gt;0,R3&gt;0),AND(DB3&gt;=50,DB3&lt;=80)),"APARENTEMENTE NORMAL","")))))))))))</calculatedColumnFormula>
    </tableColumn>
    <tableColumn id="137" xr3:uid="{00000000-0010-0000-0000-000089000000}" name="FECHA ASESORIA EN LACTANCIA MATERNA DURANTE CPN" dataDxfId="5541" dataCellStyle="Normal 2"/>
    <tableColumn id="138" xr3:uid="{00000000-0010-0000-0000-00008A000000}" name="FECHA ASESORIA EN ANTICONCEPCION DURANTE CPN" dataDxfId="5540" dataCellStyle="Normal 2"/>
    <tableColumn id="139" xr3:uid="{00000000-0010-0000-0000-00008B000000}" name="FECHA C2" dataDxfId="5539" dataCellStyle="Normal 2"/>
    <tableColumn id="144" xr3:uid="{00000000-0010-0000-0000-000090000000}" name="FECHA C3" dataDxfId="5538" dataCellStyle="Normal 2"/>
    <tableColumn id="145" xr3:uid="{00000000-0010-0000-0000-000091000000}" name="FECHA C4" dataDxfId="5537" dataCellStyle="Normal 2"/>
    <tableColumn id="146" xr3:uid="{00000000-0010-0000-0000-000092000000}" name="FECHA C5" dataDxfId="5536" dataCellStyle="Normal 2"/>
    <tableColumn id="147" xr3:uid="{00000000-0010-0000-0000-000093000000}" name="FECHA C6" dataDxfId="5535" dataCellStyle="Normal 2"/>
    <tableColumn id="148" xr3:uid="{00000000-0010-0000-0000-000094000000}" name="FECHA C7" dataDxfId="5534" dataCellStyle="Normal 2"/>
    <tableColumn id="149" xr3:uid="{00000000-0010-0000-0000-000095000000}" name="FECHA C8" dataDxfId="5533" dataCellStyle="Normal 2"/>
    <tableColumn id="150" xr3:uid="{00000000-0010-0000-0000-000096000000}" name="FECHA C9" dataDxfId="5532" dataCellStyle="Normal 2"/>
    <tableColumn id="151" xr3:uid="{00000000-0010-0000-0000-000097000000}" name="FECHA C10" dataDxfId="5531" dataCellStyle="Normal 2"/>
    <tableColumn id="152" xr3:uid="{00000000-0010-0000-0000-000098000000}" name="FECHA C11" dataDxfId="5530" dataCellStyle="Normal 2"/>
    <tableColumn id="153" xr3:uid="{00000000-0010-0000-0000-000099000000}" name="FECHA C12" dataDxfId="5529" dataCellStyle="Normal 2"/>
    <tableColumn id="83" xr3:uid="{00000000-0010-0000-0000-000053000000}" name="FECHA C13" dataDxfId="5528" dataCellStyle="Normal 2"/>
    <tableColumn id="341" xr3:uid="{00000000-0010-0000-0000-000055010000}" name="CURSO DE MATERNIDAD Y PATERNIDAD" dataDxfId="5527" dataCellStyle="Normal 2"/>
    <tableColumn id="342" xr3:uid="{00000000-0010-0000-0000-000056010000}" name="FECHA DE CONCERTACIÓN PLAN DE PARTO (Soporte HC)" dataDxfId="5526" dataCellStyle="Normal 2"/>
    <tableColumn id="401" xr3:uid="{00000000-0010-0000-0000-000091010000}" name="ACUERDO POSIBLE LUGAR DE NACIMIENTO (SEGÚN PLAN DE PARTO)" dataDxfId="5525" dataCellStyle="Normal 2"/>
    <tableColumn id="343" xr3:uid="{00000000-0010-0000-0000-000057010000}" name="ALERTA DE PLAN DE PARTO" dataDxfId="5524" dataCellStyle="Normal 2">
      <calculatedColumnFormula>IF(AND(BT3="ERROR FUM O INGRESO",DS3&gt;0),"ERROR FUM O INGRESO",IF(AND(DS3="",R3="",O3=""),"",IF(OR(AND(DS3&lt;&gt;"",DS3&lt;RW3),AND(DS3&lt;&gt;"",AND(SUM((DS3-RW3)/7)&gt;0,SUM((DS3-RW3)/7)&lt;28))),"PLAN REALIZADO ANTES III TRIM", IF(AND(DS3="",OR(O3&gt;0,R3&gt;0),AND(BU3&gt;=28, BU3&lt;35,DV3="ACTIVA INGRESO A CPN")),"PLANEAR PLAN DE PARTO", IF(AND(DS3="",OR(O3&gt;0,R3&gt;0),BU3&gt;=35,DV3="ACTIVA INGRESO A CPN"),"CONCERTAR PLAN DE PARTO INMEDIATO", IF(AND(DS3="",OR(O3&gt;0,R3&gt;0),AND(BU3&gt;0, BU3&lt;28),OR(DV3="ACTIVA INGRESO A CPN", DV3=" ACTIVA SIN INGRESO CPN")),"EN ESPERA", IF(AND(DS3="",OR(O3&gt;0,R3&gt;0),AND(IP3&gt;0, IP3&lt;28)),"NO APLICA SALE PROGRAMA ANTES III TRIM", IF(AND(DS3="",OR(O3&gt;0,R3&gt;0),AND(IP3&gt;=28, IP3&lt;35)),"SALE PROGRAMA ANTES SEMANA 35", IF(AND(DS3="",OR(O3&gt;0,R3&gt;0),IP3&gt;35),"SALE SIN PLAN DE PARTO",IF(DS3&gt;0,SUM(DS3-BO3)/7,""))))))))))</calculatedColumnFormula>
    </tableColumn>
    <tableColumn id="42" xr3:uid="{00000000-0010-0000-0000-00002A000000}" name="GESTANTES ACTUALES" dataDxfId="5523" dataCellStyle="Normal 2">
      <calculatedColumnFormula>IF(AND(R3&lt;&gt;"",IK3="CAMBIO DE RESIDENCIA",IK3="CAMBIO DE IPS",IK3="CAMBIO DE EPS"),"SEGUIMIENTO REPORTE EPS",IF(IK3="IVE","IVE",IF(AND(R3&lt;&gt;"",OR(IK3&lt;&gt;"",IN3&lt;&gt;"")),"SALIO PROGRAMA",IF(AND(AND(R3="",O3&gt;0),OR(IK3&lt;&gt;"",IN3&lt;&gt;"")),"SALE SIN INGRESO CPN",IF(AND(R3="",O3&gt;0,IK3="",IN3=""),"ACTIVA SIN INGRESO CPN",IF(AND(R3&lt;&gt;"",OR(IK3="",IN3="")),"ACTIVA INGRESO A CPN",""))))))</calculatedColumnFormula>
    </tableColumn>
    <tableColumn id="85" xr3:uid="{00000000-0010-0000-0000-000055000000}" name="CITA PROXIMO CONTROL" dataDxfId="5522" dataCellStyle="Normal 2">
      <calculatedColumnFormula>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calculatedColumnFormula>
    </tableColumn>
    <tableColumn id="61" xr3:uid="{00000000-0010-0000-0000-00003D000000}" name="ALERTA SEGUIMIENTO" dataDxfId="5521" dataCellStyle="Normal 2">
      <calculatedColumnFormula>IF(NI3="SD","",IF(AND(NI3&lt;=33,NI3&gt;=8),"MES DE CONTROL",IF(AND(NI3&gt;=1,NI3&lt;8),"SEMANA DE CONTROL",IF(NI3=0,"DIA DE CONTROL",IF(NI3&lt;0,"INASISTENTE",IF(NI3="Y","SEGUIMIENTO FUERA MUNICIPIO",IF(NI3="Z","BUSCAR PARA INGRESO A CPN",IF(NI3="W","DEFINIR FECHA CITA",IF(NI3="X","NO REALIZO CPN",IF(NI3="I","IVE",IF(NI3="S","DILIGENCIAR FECHA SALIDA PROGRAMA","REVISAR FORMULA")))))))))))</calculatedColumnFormula>
    </tableColumn>
    <tableColumn id="62" xr3:uid="{00000000-0010-0000-0000-00003E000000}" name="FECHA ULTIMO CPN" dataDxfId="5520" dataCellStyle="Normal 2">
      <calculatedColumnFormula>IF(R3="","",IF(R3&gt;0,MAX(Tabla1[[#This Row],[FECHA C2]:[FECHA C13]],Tabla1[[#This Row],[FECHA CONSULTA PRIMERA VEZ PROGRAMA CPN ]])))</calculatedColumnFormula>
    </tableColumn>
    <tableColumn id="154" xr3:uid="{00000000-0010-0000-0000-00009A000000}" name="EDAD GESTACIONAL ÚLTIMO CPN" dataDxfId="5519" dataCellStyle="Normal 2">
      <calculatedColumnFormula>IF(AND(DY3="",RW3="",R3=""),"",IF(AND(R3="",RW3&gt;0,DY3=""),"",IF(AND(R3&gt;0,DY3&lt;RW3),"REVISAR FUM O FECHA CPN",IF(AND(R3&gt;0,DY3&gt;0,RW3=""),"SD",IF(AND(R3&gt;0,DY3&gt;0,RW3&gt;0),INT(SUM(DY3-RW3)/7))))))</calculatedColumnFormula>
    </tableColumn>
    <tableColumn id="122" xr3:uid="{00000000-0010-0000-0000-00007A000000}" name="TOTAL CONTROLES" dataDxfId="5518" dataCellStyle="Normal 2">
      <calculatedColumnFormula>IF(R3&gt;0,SUM(COUNTA(DF3:DQ3)+COUNTA(Tabla1[[#This Row],[FECHA CONSULTA PRIMERA VEZ PROGRAMA CPN ]])),"")</calculatedColumnFormula>
    </tableColumn>
    <tableColumn id="155" xr3:uid="{00000000-0010-0000-0000-00009B000000}" name="ADHERENCIA AL CPN" dataDxfId="5517" dataCellStyle="Normal 2">
      <calculatedColumnFormula>IF(AND(EA3&gt;=0,EA3&lt;4),"NO",IF(AND(EA3&gt;=4,EA3&lt;12),"SI",""))</calculatedColumnFormula>
    </tableColumn>
    <tableColumn id="156" xr3:uid="{00000000-0010-0000-0000-00009C000000}" name="CONTROLES PROGRAMADOS " dataDxfId="5516" dataCellStyle="Normal 2">
      <calculatedColumnFormula>IF(BS3="","",IF(BS3&gt;0,INT(SUM(((40-BS3)/4)+2)),"X"))</calculatedColumnFormula>
    </tableColumn>
    <tableColumn id="157" xr3:uid="{00000000-0010-0000-0000-00009D000000}" name="% CUMPLIM INDIVIDUAL" dataDxfId="5515" dataCellStyle="Normal 2">
      <calculatedColumnFormula>IF(EC3="","",IF(EA3&gt;0,SUM(EA3/EC3),"X"))</calculatedColumnFormula>
    </tableColumn>
    <tableColumn id="158" xr3:uid="{00000000-0010-0000-0000-00009E000000}" name="FECHA  REMISION PSICOLOGIA" dataDxfId="5514" dataCellStyle="Normal 2"/>
    <tableColumn id="159" xr3:uid="{00000000-0010-0000-0000-00009F000000}" name="FECHA ASISTENCIA A CONSULTA PSICOLOGIA" dataDxfId="5513" dataCellStyle="Normal 2"/>
    <tableColumn id="160" xr3:uid="{00000000-0010-0000-0000-0000A0000000}" name="FECHA  REMISION NUTRICION" dataDxfId="5512" dataCellStyle="Normal 2"/>
    <tableColumn id="161" xr3:uid="{00000000-0010-0000-0000-0000A1000000}" name="FECHA ASISTENCIA A CONSULTA NUTRICION" dataDxfId="5511" dataCellStyle="Normal 2"/>
    <tableColumn id="162" xr3:uid="{00000000-0010-0000-0000-0000A2000000}" name="FECHA  REMISION GINECOLOGO" dataDxfId="5510" dataCellStyle="Normal 2"/>
    <tableColumn id="163" xr3:uid="{00000000-0010-0000-0000-0000A3000000}" name="FECHA ASISTENCIA PRIMERA VEZ CON GINECOLOGÍA" dataDxfId="5509" dataCellStyle="Normal 2"/>
    <tableColumn id="250" xr3:uid="{00000000-0010-0000-0000-0000FA000000}" name="FECHA ULTIMA ASISTENCIA A CONSULTA GINECO" dataDxfId="5508" dataCellStyle="Normal 2"/>
    <tableColumn id="164" xr3:uid="{00000000-0010-0000-0000-0000A4000000}" name="No CONSULTAS GINECOLOGO" dataDxfId="5507" dataCellStyle="Normal 2"/>
    <tableColumn id="165" xr3:uid="{00000000-0010-0000-0000-0000A5000000}" name="RESULTADO HEMOGLOBINA INGRESO, ANTES DEL III TRIMESTRE" dataDxfId="5506" dataCellStyle="Normal 2"/>
    <tableColumn id="167" xr3:uid="{00000000-0010-0000-0000-0000A7000000}" name="FECHA RESULTADO HB" dataDxfId="5505" dataCellStyle="Normal 2"/>
    <tableColumn id="168" xr3:uid="{00000000-0010-0000-0000-0000A8000000}" name="EDAD GESTACIONAL HB" dataDxfId="5504" dataCellStyle="Normal 2">
      <calculatedColumnFormula>IF(AND(BT3="ERROR FUM O INGRESO",EN3&gt;0),"ERROR FUM O INGRESO",IF(AND(EN3="",R3="",O3=""),"",IF(OR(AND(EN3&lt;&gt;"",EN3&lt;RW3),AND(EN3&lt;&gt;"",SUM((EN3-RW3)/7)&gt;40)),"CORREGIR FECHA RESULTADO",IF(AND(EN3="",OR(O3&gt;0,R3&gt;0)),"TOMAR EXAMEN",IF(EN3&gt;0,SUM(EN3-RW3)/7,"")))))</calculatedColumnFormula>
    </tableColumn>
    <tableColumn id="169" xr3:uid="{00000000-0010-0000-0000-0000A9000000}" name="CONDUCTA HEMOGLOBINA" dataDxfId="5503" dataCellStyle="Normal 2">
      <calculatedColumnFormula>IF(AND(OR(O3&gt;0,R3&gt;0),EM3=""),"",IF(AND(OR(O3&gt;0,R3&gt;0),EM3&gt;0,EM3&lt;11),"MANEJO MD POR ANEMIA FERROPENICA",IF(AND(OR(O3&gt;0,R3&gt;0),EM3&lt;=14),"NORMAL- SUMINISTRAR SULFATO FERROSO",IF(AND(OR(O3&gt;0,R3&gt;0),EM3&lt;20),"NO DAR SULFATO FERROSO",""))))</calculatedColumnFormula>
    </tableColumn>
    <tableColumn id="170" xr3:uid="{00000000-0010-0000-0000-0000AA000000}" name="TRIMESTRE DE GESTACION A LA TOMA EXAMEN" dataDxfId="5502" dataCellStyle="Normal 2">
      <calculatedColumnFormula>IF(AND(EO3="",BT3=""),"",IF(AND(EO3&lt;&gt;"",BT3="SIN DATO"),"SIN DATO",IF(AND(EO3="",BT3&lt;&gt;""),"",IF(AND(EO3&lt;0,BT3&gt;0),"ERROR FUM O INGRESO",IF(EO3&lt;=13,"I TRIM",IF(EO3&lt;28,"II TRIM",IF(AND(EO3&gt;27,EO3&lt;45),"III TRIM","POR DEFINIR")))))))</calculatedColumnFormula>
    </tableColumn>
    <tableColumn id="214" xr3:uid="{00000000-0010-0000-0000-0000D6000000}" name="RESULTADO HEMOGLOBINA SEMANA 28" dataDxfId="5501" dataCellStyle="Normal 2"/>
    <tableColumn id="171" xr3:uid="{00000000-0010-0000-0000-0000AB000000}" name="FECHA RESULTADO HB SEM 28" dataDxfId="5500" dataCellStyle="Normal 2"/>
    <tableColumn id="172" xr3:uid="{00000000-0010-0000-0000-0000AC000000}" name="EDAD GESTACIONAL HB - SEM 28" dataDxfId="5499" dataCellStyle="Normal 2">
      <calculatedColumnFormula>IF(AND(BT3="ERROR FUM O INGRESO",ES3&gt;0),"ERROR FUM O INGRESO",IF(AND(ES3="",R3="",O3=""),"",IF(OR(AND(ES3&lt;&gt;"",ES3&lt;RW3),AND(ES3&lt;&gt;"",SUM((ES3-RW3)/7)&gt;40)),"CORREGIR FECHA RESULTADO",IF(AND(BU3&gt;1,BU3&lt;23,ER3="",ES3=""),"EN ESPERA PARA TOMA EXAMEN",IF(AND(BU3&gt;22,BU3&lt;26,ER3="",ES3=""),"PROGRAMAR TOMA HEMOGLOBINA A SEM 28",IF(AND(BU3&gt;25,BU3&lt;28,ER3="",ES3=""),"TOMA HEMOGLOBINA A SEM 28 EN 1 SEMANA",IF(AND(BU3&gt;27,BU3&lt;31,ES3="",OR(O3&gt;0,R3&gt;0)),"EN SEMANA 28 TOMA INMEDIATA DE EXAMEN",IF(AND(IP3&gt;0,IP3&lt;28,ES3="",OR(O3&gt;0,R3&gt;0)),"NO APLICA-SALE ANTES SEM 28",IF(AND(IP3&gt;28,IP3&lt;43,ES3="",OR(O3&gt;0,R3&gt;0)),"SALE SIN TAMIZAJE HEMOGLOBINA SEM 28",IF(AND(BS3&gt;0,ES3="",OR(O3&gt;0,R3&gt;0)),"TOMA DE HEMOGLOBINA TARDÍA",IF(ES3&gt;0,SUM(ES3-RW3)/7,"")))))))))))</calculatedColumnFormula>
    </tableColumn>
    <tableColumn id="173" xr3:uid="{00000000-0010-0000-0000-0000AD000000}" name="CONDUCTA HEMOGLOBINA10" dataDxfId="5498" dataCellStyle="Normal 2">
      <calculatedColumnFormula>IF(AND(OR(O3&gt;0,R3&gt;0),ER3=""),"",IF(AND(OR(O3&gt;0,R3&gt;0),ER3&gt;0,ER3&lt;10.5),"MANEJO MD POR ANEMIA FERROPENICA",IF(AND(OR(O3&gt;0,R3&gt;0),ER3&lt;14),"NORMAL- SUMINISTRAR SULFATO FERROSO",IF(AND(OR(O3&gt;0,R3&gt;0),ER3&lt;20),"NO DAR SULFATO FERROSO",""))))</calculatedColumnFormula>
    </tableColumn>
    <tableColumn id="174" xr3:uid="{00000000-0010-0000-0000-0000AE000000}" name="RESULTADO DE HEMOCLASIFICACIÓN RH Y RIESGO DE ISOINMUNIZACIÓN" dataDxfId="5497" dataCellStyle="Normal 2"/>
    <tableColumn id="221" xr3:uid="{00000000-0010-0000-0000-0000DD000000}" name="FECHA RESULTADO DE HEMOCLASIFICACIÓN RH Y RIESGO DE ISOINMUNIZACIÓN" dataDxfId="5496"/>
    <tableColumn id="175" xr3:uid="{00000000-0010-0000-0000-0000AF000000}" name="FECHA APLICACIÓN DE RHESUMAN" dataDxfId="5495" dataCellStyle="Normal 2"/>
    <tableColumn id="176" xr3:uid="{00000000-0010-0000-0000-0000B0000000}" name="EDAD GESTACIONAL HEMOCLASIFICACIÓN RH " dataDxfId="5494" dataCellStyle="Normal 2">
      <calculatedColumnFormula>IF(AND(BT3="ERROR FUM O INGRESO",EW3&gt;0),"ERROR FUM O INGRESO",IF(AND(EW3="",R3="",O3=""),"",IF(OR(AND(EW3&lt;&gt;"",EW3&lt;RW3),AND(EW3&lt;&gt;"",SUM((EW3-RW3)/7)&gt;40)),"CORREGIR FECHA RESULTADO",IF(AND(EW3="",OR(O3&gt;0,R3&gt;0)),"TOMAR EXAMEN",IF(EW3&gt;0,SUM(EW3-RW3)/7,"")))))</calculatedColumnFormula>
    </tableColumn>
    <tableColumn id="177" xr3:uid="{00000000-0010-0000-0000-0000B1000000}" name="OBSERVACION RESULTADO DE HEMOCLASIFICACIÓN RH Y RIESGO DE ISOINMUNIZACIÓN/ SEMANA APLICACIÓN RHESUMAN" dataDxfId="5493" dataCellStyle="Normal 2">
      <calculatedColumnFormula>IF(EV3="RH POSITIVO","SIN RIESGO DE ISOINMUNIZACIÓN",IF(AND(EV3="RH NEGATIVO CON COOMBS NEGATIVO",EX3="",BU3&lt;=24),"COOMBS C/MES Y APLICAR RHESUMAN SEM 28",IF(AND(EV3="RH NEGATIVO CON COOMBS NEGATIVO",EX3="",AND(BU3&gt;24,BU3&lt;27)),"FALTAN DE 4 A 2 SEMANAS PARA APLICAR RHESUMAN A SEM 28",IF(AND(EV3="RH NEGATIVO CON COOMBS NEGATIVO",EX3="",AND(BU3&gt;26.99,BU3&lt;27.99)),"FALTAN 1 SEMANAS PARA APLICAR RHESUMAN A SEM 28",IF(AND(EV3="RH NEGATIVO CON COOMBS NEGATIVO",EX3="",AND(BU3&gt;27.99,BU3&lt;29)),"SEMANA 28 APLICAR DE INMEDIATO RHESUMAN",IF(AND(EV3="RH NEGATIVO CON COOMBS NEGATIVO",EX3="",AND(BU3&gt;28.99,BU3&lt;42)),"DEBE APLICAR RHESUMAN, ES NO OPORTUNO &gt; 28 SEMANAS",IF(AND(EV3="RH NEGATIVO CON COOMBS NEGATIVO",EX3&gt;0),SUM(EX3-RW3)/7,IF(EV3="RH NEGATIVO SIN COOMBS","TOMAR COOMBS INMEDIATO PARA DEFINIR MANEJO",IF(EV3="RH NEGATIVO CON COOMBS POSITIVO","TOMAR COOMBS CUANTITATIVO Y REMISIÓN","")))))))))</calculatedColumnFormula>
    </tableColumn>
    <tableColumn id="178" xr3:uid="{00000000-0010-0000-0000-0000B2000000}" name="GLICEMIA PRE " dataDxfId="5492" dataCellStyle="Normal 2"/>
    <tableColumn id="179" xr3:uid="{00000000-0010-0000-0000-0000B3000000}" name="FECHA GLICEMIA" dataDxfId="5491" dataCellStyle="Normal 2"/>
    <tableColumn id="180" xr3:uid="{00000000-0010-0000-0000-0000B4000000}" name="EDAD GESTACIONAL GLICEMIA" dataDxfId="5490" dataCellStyle="Normal 2">
      <calculatedColumnFormula>IF(AND(BT3="ERROR FUM O INGRESO",FB3&gt;0),"ERROR FUM O INGRESO",IF(AND(FB3="",R3="",O3=""),"",IF(OR(AND(FB3&lt;&gt;"",FB3&lt;RW3),AND(FB3&lt;&gt;"",SUM((FB3-RW3)/7)&gt;40)),"CORREGIR FECHA RESULTADO",IF(AND(FB3="",BS3&gt;=24,OR(O3&gt;0,R3&gt;0)),"PIERDE TOMA TAMIZAJE- INGRESO TARDIO",IF(AND(FB3="",OR(O3&gt;0,R3&gt;0)),"TOMAR EXAMEN",IF(SUM((FB3-RW3)/7)&gt;=24,"NO APLICA &gt; 23 SEM -TOMAR PTOG",IF(AND(SUM((FB3-RW3)/7)&lt;24,FA3&gt;126),"DIABETES PREGESTACIONAL- REMITIR",IF(FB3&gt;0,SUM(FB3-RW3)/7,""))))))))</calculatedColumnFormula>
    </tableColumn>
    <tableColumn id="340" xr3:uid="{00000000-0010-0000-0000-000054010000}" name="PTOG. carga 75 gr PRE - VALOR" dataDxfId="5489" dataCellStyle="Normal 2"/>
    <tableColumn id="185" xr3:uid="{00000000-0010-0000-0000-0000B9000000}" name="PTOG. carga 75 gr 1 HORA - VALOR" dataDxfId="5488" dataCellStyle="Normal 2"/>
    <tableColumn id="186" xr3:uid="{00000000-0010-0000-0000-0000BA000000}" name="PTOG. carga 75 gr 2 HORA - VALOR" dataDxfId="5487" dataCellStyle="Normal 2"/>
    <tableColumn id="187" xr3:uid="{00000000-0010-0000-0000-0000BB000000}" name="PTOG. carga 75 gr - RESULTADO" dataDxfId="5486" dataCellStyle="Normal 2">
      <calculatedColumnFormula>IF(AND(OR(FD3&gt;0,FE3&gt;0,FF3&gt;0),FI3&gt;0,FI3&lt;24,AND(FD3&gt;1,FD3&lt;92),AND(FE3&gt;1,FE3&lt;180),AND(FF3&gt;1,FF3&lt;153)),"NORMAL, NO DESCARTA DIABETES POR REALIZARLO ANTES DE  SEMANA 24, ",IF(AND(OR(FD3&gt;0,FE3&gt;0,FF3&gt;0),FI3&gt;0,FI3&lt;24,OR(FD3&gt;=92,FE3&gt;=180,FF3&gt;=153)),"DIABETES, REMITIR",IF(AND(BU3="",FH3="",FD3="",FE3="",FF3=""),"",IF(AND(BU3&gt;=19,BU3&lt;24,FH3="",FD3="",FE3="",FF3=""),"PROGRAMAR TOMA PTOG SIGUIENTE CONTROL",IF(AND(BU3&gt;=24,FH3="",FD3="",FE3="",FF3=""),"TOMAR PTOG",IF(OR(FD3&gt;=92,FE3&gt;=180,FF3&gt;=153),"DIABETES, REMITIR",IF(AND(AND(FD3&gt;1,FD3&lt;92),AND(FE3&gt;1,FE3&lt;180),AND(FF3&gt;1,FF3&lt;153)),"NORMAL",IF(AND(FD3&gt;0,OR(FE3=0,FF3=0)),"NO COMPLETA EXAMEN",""))))))))</calculatedColumnFormula>
    </tableColumn>
    <tableColumn id="188" xr3:uid="{00000000-0010-0000-0000-0000BC000000}" name="FECHA TOMA EXAMEN PTOG" dataDxfId="5485" dataCellStyle="Normal 2"/>
    <tableColumn id="189" xr3:uid="{00000000-0010-0000-0000-0000BD000000}" name="EDAD GESTACIONAL P.T.O.G" dataDxfId="5484" dataCellStyle="Normal 2">
      <calculatedColumnFormula>IF(AND(BT3="ERROR FUM O INGRESO",FH3&gt;0),"ERROR FUM O INGRESO",IF(AND(FH3="",R3="",O3=""),"",IF(OR(AND(FH3&lt;&gt;"",FH3&lt;RW3),AND(FH3&lt;&gt;"",SUM((FH3-RW3)/7)&gt;40)),"CORREGIR FECHA RESULTADO",IF(AND(FH3="",OR(O3&gt;0,R3&gt;0)),"TOMAR EXAMEN",IF(FH3&gt;0,SUM(FH3-RW3)/7,"")))))</calculatedColumnFormula>
    </tableColumn>
    <tableColumn id="190" xr3:uid="{00000000-0010-0000-0000-0000BE000000}" name="TAMIZAJE  PARA SIFILIS  SEGÚN GPC SIFILIS I TRIMESTRE" dataDxfId="5483" dataCellStyle="Normal 2"/>
    <tableColumn id="200" xr3:uid="{00000000-0010-0000-0000-0000C8000000}" name="FECHA RESULTADO I TRIM" dataDxfId="5482" dataCellStyle="Normal 2"/>
    <tableColumn id="201" xr3:uid="{00000000-0010-0000-0000-0000C9000000}" name="ALARMA TAMIZAJE SIFILIS I TRIMESTRE" dataDxfId="5481" dataCellStyle="Normal 2">
      <calculatedColumnFormula>IF(AND(BT3="ERROR FUM O INGRESO",FK3&gt;0),"ERROR FUM O INGRESO",IF(AND(FK3="",R3="",O3=""),"",IF(OR(AND(FK3&lt;&gt;"",FK3&lt;RW3),AND(FK3&lt;&gt;"",AND(SUM((FK3-RW3)/7)&gt;=13,SUM((FK3-RW3)/7)&lt;27))),"REGISTRAR EN II TRIMESTRE",IF(OR(AND(FK3&lt;&gt;"",FK3&lt;RW3),AND(FK3&lt;&gt;"",AND(SUM((FK3-RW3)/7)&gt;=27,SUM((FK3-RW3)/7)&lt;44))),"REGISTRAR EN III TRIMESTRE",IF(AND(FK3="",OR(O3&gt;0,R3&gt;0),AND(BU3&gt;1,BU3&lt;10)),"EN RANGO PARA TOMAR EXAMEN",IF(AND(FK3="",OR(O3&gt;0,R3&gt;0),AND(BU3&gt;=10,BU3&lt;13)),"TOMA INMEDIATA DE TAMIZAJE",IF(AND(FK3="",BS3&lt;13,OR(O3&gt;0,R3&gt;0)),"PIERDE TOMA DE TAMIZAJE",IF(AND(FK3="",OR(O3&gt;0,R3&gt;0),AND(BS3&gt;=13,BS3&lt;43)),"NO APLICA-INGRESO TARDIO",IF(FK3&gt;0,SUM(FK3-RW3)/7,"")))))))))</calculatedColumnFormula>
    </tableColumn>
    <tableColumn id="202" xr3:uid="{00000000-0010-0000-0000-0000CA000000}" name="TAMIZAJE  PARA SIFILIS  SEGÚN GPC SIFILIS II TRIMESTRE" dataDxfId="5480" dataCellStyle="Normal 2"/>
    <tableColumn id="203" xr3:uid="{00000000-0010-0000-0000-0000CB000000}" name="FECHA RESULTADO PR-  II TRIM" dataDxfId="5479" dataCellStyle="Normal 2"/>
    <tableColumn id="204" xr3:uid="{00000000-0010-0000-0000-0000CC000000}" name="ALARMA TAMIZAJE SIFILIS II TRIMESTRE2" dataDxfId="5478" dataCellStyle="Normal 2">
      <calculatedColumnFormula>IF(AND(BT3="ERROR FUM O INGRESO",FN3&gt;0),"ERROR FUM O INGRESO",IF(AND(FN3="",R3="",O3=""),"",IF(AND(FN3&lt;&gt;"",FN3&lt;RW3), "INCOHERENCIA FUM Y FECHA TAMIZAJE",IF(AND(FN3="",DV3="ACTIVA INGRESO A CPN",AND(BU3&gt;0,BU3&lt;13)),"EN ESPERA-ESTÁ I TRIM", IF(AND(FN3="",AND(BS3&gt;0, BS3&lt;13),OR(O3&gt;0,R3&gt;0),AND(IP3&gt;0,IP3&lt;13)),"NO APLICA-SALIO DEL PROGRAMA I TRIM",IF(AND(FN3&lt;&gt;"",AND(SUM((FN3-RW3)/7)&gt;0,SUM((FN3-RW3)/7)&lt;13)),"REGISTRAR EN I TRIMESTRE",IF(AND(FN3&lt;&gt;"",AND(SUM((FN3-RW3)/7)&gt;=27,SUM((FN3-RW3)/7)&lt;44)),"REGISTRAR EN III TRIMESTRE",IF(AND(FN3="",OR(O3&gt;0,R3&gt;0),AND(BU3&gt;=13,BU3&lt;24),DV3="ACTIVA INGRESO A CPN"),"EN RANGO PARA TOMAR EXAMEN",IF(AND(FN3="",OR(O3&gt;0,R3&gt;0),AND(BU3&gt;=25,BU3&lt;27),DV3="ACTIVA INGRESO A CPN"),"TOMA INMEDIATA DE TAMIZAJE",IF(AND(FN3="",OR(O3&gt;0,R3&gt;0),AND(BS3&gt;=27,BS3&lt;44)),"NO APLICA-INGRESO TARDIO",IF(AND(FN3="",BS3&lt;27,OR(AND(IP3&gt;12,IP3&lt;44),BU3&gt;12)),"PIERDE TOMA DE TAMIZAJE",IF(FN3&gt;0,SUM(FN3-RW3)/7,""))))))))))))</calculatedColumnFormula>
    </tableColumn>
    <tableColumn id="205" xr3:uid="{00000000-0010-0000-0000-0000CD000000}" name="TAMIZAJE  PARA SIFILIS  SEGÚN GPC SIFILIS III TRIMESTRE" dataDxfId="5477" dataCellStyle="Normal 2"/>
    <tableColumn id="206" xr3:uid="{00000000-0010-0000-0000-0000CE000000}" name="FECHA RESULTADO PR-  III TRIM" dataDxfId="5476" dataCellStyle="Normal 2"/>
    <tableColumn id="207" xr3:uid="{00000000-0010-0000-0000-0000CF000000}" name="ALARMA TAMIZAJE SIFILIS III TRIMESTRE22" dataDxfId="5475" dataCellStyle="Normal 2">
      <calculatedColumnFormula>IF(AND(BT3="ERROR FUM O INGRESO",FQ3&gt;0),"ERROR FUM O INGRESO",IF(AND(FQ3="",R3="",O3=""),"",IF(AND(FQ3&lt;&gt;"",FQ3&lt;RW3), "INCOHERENCIA FUM Y FECHA TAMIZAJE",IF(AND(FQ3="",DV3="ACTIVA INGRESO A CPN",AND(BU3&gt;0,BU3&lt;27)),"EN ESPERA-ESTÁ I TRIM O II TRIM", IF(AND(FQ3="",AND(BS3&gt;0, BS3&lt;27),OR(O3&gt;0,R3&gt;0),AND(IP3&gt;0,IP3&lt;27)),"NO APLICA-SALIO DEL PROGRAMA I O II TRIM",IF(AND(FQ3&lt;&gt;"",AND(SUM((FQ3-RW3)/7)&gt;0,SUM((FQ3-RW3)/7)&lt;13)),"REGISTAR EN I TRIMESTRE",IF(AND(FQ3&lt;&gt;"",AND(SUM((FQ3-RW3)/7)&gt;=13,SUM((FQ3-RW3)/7)&lt;27)),"REGISTRAR EN II TRIMESTRE",IF(AND(FQ3="",OR(O3&gt;0,R3&gt;0),AND(BU3&gt;=28,BU3&lt;35),DV3="ACTIVA INGRESO A CPN"),"EN RANGO PARA TOMAR EXAMEN",IF(AND(FQ3="",OR(O3&gt;0,R3&gt;0),BU3&gt;=35, DV3="ACTIVA INGRESO A CPN"),"TOMA INMEDIATA DE TAMIZAJE",IF(AND(FQ3="",DV3= "SALE SIN INGRESO CPN"),"NO APLICA-SIN CPN",IF(AND(FQ3="",AND(IP3&gt;26,IP3&lt;43)),"PIERDE TOMA DE TAMIZAJE",IF(FQ3&gt;0,SUM(FQ3-RW3)/7,""))))))))))))</calculatedColumnFormula>
    </tableColumn>
    <tableColumn id="208" xr3:uid="{00000000-0010-0000-0000-0000D0000000}" name="TAMIZAJE  PARA SIFILIS  SEGÚN GPC SIFILIS INTRAPARTO" dataDxfId="5474" dataCellStyle="Normal 2"/>
    <tableColumn id="209" xr3:uid="{00000000-0010-0000-0000-0000D1000000}" name="FECHA RESULTADO PR INTRAPARTO" dataDxfId="5473" dataCellStyle="Normal 2"/>
    <tableColumn id="210" xr3:uid="{00000000-0010-0000-0000-0000D2000000}" name="ALARMA CONSOLIDADA CASOS SIFILIS GESTACIONAL" dataDxfId="5472" dataCellStyle="Normal 2">
      <calculatedColumnFormula>IF(AND(FJ3="",FM3="",FP3="",FS3=""),"",IF(OR(OR(Tabla1[[#This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calculatedColumnFormula>
    </tableColumn>
    <tableColumn id="218" xr3:uid="{00000000-0010-0000-0000-0000DA000000}" name="RESULTADO UROCULTIVO " dataDxfId="5471" dataCellStyle="Normal 2"/>
    <tableColumn id="219" xr3:uid="{00000000-0010-0000-0000-0000DB000000}" name="FECHA RESULTADO UROCULTIVO" dataDxfId="5470" dataCellStyle="Normal 2"/>
    <tableColumn id="220" xr3:uid="{00000000-0010-0000-0000-0000DC000000}" name="EDAD GESTACIONAL UROCULTIVO" dataDxfId="5469" dataCellStyle="Normal 2">
      <calculatedColumnFormula>IF(AND(BT3="ERROR FUM O INGRESO",FW3&gt;0),"ERROR FUM O INGRESO",IF(AND(FW3="",R3="",O3=""),"",IF(OR(AND(FW3&lt;&gt;"",FW3&lt;RW3),AND(FW3&lt;&gt;"",SUM((FW3-RW3)/7)&gt;40)),"CORREGIR FECHA RESULTADO",IF(AND(FW3="",OR(O3&gt;0,R3&gt;0)),"TOMAR EXAMEN",IF(FW3&gt;0,SUM(FW3-RW3)/7,"")))))</calculatedColumnFormula>
    </tableColumn>
    <tableColumn id="223" xr3:uid="{00000000-0010-0000-0000-0000DF000000}" name="TAMIZAJE  PARA VIH I TRIM" dataDxfId="5468" dataCellStyle="Normal 2"/>
    <tableColumn id="224" xr3:uid="{00000000-0010-0000-0000-0000E0000000}" name="FECHA RESULTADO TAMIZAJE VIH I TRIMESTRE" dataDxfId="5467" dataCellStyle="Normal 2"/>
    <tableColumn id="225" xr3:uid="{00000000-0010-0000-0000-0000E1000000}" name="ALARMA TAMIZAJE VIH - I TRIM" dataDxfId="5466" dataCellStyle="Normal 2">
      <calculatedColumnFormula>IF(AND(BT3="ERROR FUM O INGRESO",FZ3&gt;0),"ERROR FUM O INGRESO",IF(AND(FZ3="",R3="",O3=""),"",IF(OR(AND(FZ3&lt;&gt;"",FZ3&lt;RW3),AND(FZ3&lt;&gt;"",AND(SUM((FZ3-RW3)/7)&gt;=13,SUM((FZ3-RW3)/7)&lt;27))),"REGISTRAR EN II TRIMESTRE",IF(OR(AND(FZ3&lt;&gt;"",FZ3&lt;RW3),AND(FZ3&lt;&gt;"",AND(SUM((FZ3-RW3)/7)&gt;=27,SUM((FZ3-RW3)/7)&lt;44))),"REGISTRAR EN III TRIMESTRE",IF(AND(FZ3="",OR(O3&gt;0,R3&gt;0),AND(BU3&gt;1,BU3&lt;10)),"EN RANGO PARA TOMAR EXAMEN",IF(AND(FZ3="",OR(O3&gt;0,R3&gt;0),AND(BU3&gt;=10,BU3&lt;12)),"TOMA INMEDIATA DE TAMIZAJE",IF(AND(FZ3="",BS3&lt;12,OR(O3&gt;0,R3&gt;0)),"PIERDE TOMA DE TAMIZAJE",IF(AND(FZ3="",OR(O3&gt;0,R3&gt;0),AND(BS3&gt;=13,BS3&lt;44)),"NO APLICA-INGRESO TARDIO",IF(FZ3&gt;0,SUM(FZ3-RW3)/7,"")))))))))</calculatedColumnFormula>
    </tableColumn>
    <tableColumn id="226" xr3:uid="{00000000-0010-0000-0000-0000E2000000}" name="TAMIZAJE  PARA VIH II TRIM" dataDxfId="5465" dataCellStyle="Normal 2"/>
    <tableColumn id="103" xr3:uid="{00000000-0010-0000-0000-000067000000}" name="FECHA RESULTADO TAMIZAJE VIH II TRIM" dataDxfId="5464" dataCellStyle="Normal 2"/>
    <tableColumn id="345" xr3:uid="{00000000-0010-0000-0000-000059010000}" name="ALARMA TAMIZAJE VIH - II TRIM" dataDxfId="5463" dataCellStyle="Normal 2">
      <calculatedColumnFormula>IF(AND(BT3="ERROR FUM O INGRESO",GC3&gt;0),"ERROR FUM O INGRESO",IF(AND(GC3="",R3="",O3=""),"",IF(AND(GC3&lt;&gt;"",GC3&lt;RW3), "INCOHERENCIA FUM Y FECHA TAMIZAJE",IF(AND(GC3="",DV3="ACTIVA INGRESO A CPN",AND(BU3&gt;0,BU3&lt;13)),"EN ESPERA-ESTÁ I TRIM", IF(AND(GC3="",AND(BS3&gt;0, BS3&lt;12),OR(O3&gt;0,R3&gt;0),AND(IP3&gt;0,IP3&lt;13)),"NO APLICA-SALIO DEL PROGRAMA I TRIM",IF(AND(GC3&lt;&gt;"",AND(SUM((GC3-RW3)/7)&gt;0,SUM((GC3-RW3)/7)&lt;13)),"REGISTRAR EN I TRIMESTRE",IF(AND(GC3&lt;&gt;"",AND(SUM((GC3-RW3)/7)&gt;=27,SUM((GC3-RW3)/7)&lt;44)),"REGISTRAR EN III TRIMESTRE",IF(AND(GC3="",OR(O3&gt;0,R3&gt;0),AND(BU3&gt;=12,BU3&lt;25),DV3="ACTIVA INGRESO A CPN"),"EN RANGO PARA TOMAR EXAMEN",IF(AND(GC3="",OR(O3&gt;0,R3&gt;0),AND(BU3&gt;=25,BU3&lt;27),DV3="ACTIVA INGRESO A CPN"),"TOMA INMEDIATA DE TAMIZAJE",IF(AND(GC3="",OR(O3&gt;0,R3&gt;0),AND(BS3&gt;=27,BS3&lt;43)),"NO APLICA-INGRESO TARDIO",IF(AND(GC3="",BS3&lt;27),"PIERDE TOMA DE TAMIZAJE",IF(GC3&gt;0,SUM(GC3-RW3)/7,""))))))))))))</calculatedColumnFormula>
    </tableColumn>
    <tableColumn id="106" xr3:uid="{00000000-0010-0000-0000-00006A000000}" name="TAMIZAJE  PARA VIH III TRIM" dataDxfId="5462" dataCellStyle="Normal 2"/>
    <tableColumn id="228" xr3:uid="{00000000-0010-0000-0000-0000E4000000}" name="FECHA RESULTADO TAMIZAJE VIH III TRIM" dataDxfId="5461" dataCellStyle="Normal 2"/>
    <tableColumn id="229" xr3:uid="{00000000-0010-0000-0000-0000E5000000}" name="ALARMA TAMIZAJE VIH - III TRIM" dataDxfId="5460" dataCellStyle="Normal 2">
      <calculatedColumnFormula>IF(AND(BT3="ERROR FUM O INGRESO",GF3&gt;0),"ERROR FUM O INGRESO",IF(AND(GF3="",R3="",O3=""),"",IF(AND(GF3&lt;&gt;"",GF3&lt;RW3), "INCOHERENCIA FUM Y FECHA TAMIZAJE",IF(AND(GF3="",DV3="ACTIVA INGRESO A CPN",AND(BU3&gt;0,BU3&lt;27)),"EN ESPERA-ESTÁ I TRIM O II TRIM", IF(AND(GF3="",AND(BS3&gt;0, BS3&lt;28),OR(O3&gt;0,R3&gt;0),AND(IP3&gt;0,IP3&lt;28)),"NO APLICA-SALIO DEL PROGRAMA I O II TRIM",IF(AND(GF3&lt;&gt;"",AND(SUM((GF3-RW3)/7)&gt;0,SUM((GF3-RW3)/7)&lt;13)),"REGISTAR EN I TRIMESTRE",IF(AND(GF3&lt;&gt;"",AND(SUM((GF3-RW3)/7)&gt;=13,SUM((GF3-RW3)/7)&lt;27)),"REGISTRAR EN II TRIMESTRE",IF(AND(GF3="",OR(O3&gt;0,R3&gt;0),AND(BU3&gt;=28,BU3&lt;35),DV3="ACTIVA INGRESO A CPN"),"EN RANGO PARA TOMAR EXAMEN",IF(AND(GF3="",OR(O3&gt;0,R3&gt;0),BU3&gt;=35, DV3="ACTIVA INGRESO A CPN"),"TOMA INMEDIATA DE TAMIZAJE",IF(AND(GF3="",DV3= "SALE SIN INGRESO CPN"),"NO APLICA-SIN CPN",IF(AND(GF3="",BS3&lt;44),"PIERDE TOMA DE TAMIZAJE",IF(GF3&gt;0,SUM(GF3-RW3)/7,""))))))))))))</calculatedColumnFormula>
    </tableColumn>
    <tableColumn id="230" xr3:uid="{00000000-0010-0000-0000-0000E6000000}" name="TAMIZAJE  PARA VIH INTRAPARTO SEGÚN GPC." dataDxfId="5459" dataCellStyle="Normal 2"/>
    <tableColumn id="91" xr3:uid="{00000000-0010-0000-0000-00005B000000}" name="FECHA RESULTADO TAMIZAJE INTRAPARTO" dataDxfId="5458" dataCellStyle="Normal 2"/>
    <tableColumn id="84" xr3:uid="{00000000-0010-0000-0000-000054000000}" name="SEGUNDA PRUEBA ELISA O PR PARA DEFINIR DIAGNOSTICO VIH SEGÚN PROTOCOLO INS" dataDxfId="5457" dataCellStyle="Normal 2"/>
    <tableColumn id="140" xr3:uid="{00000000-0010-0000-0000-00008C000000}" name="FECHA RESULTADO SEGUNDA PRUEBA ELISA O PR PARA DEFINIR DIAGNOSTICO VIH SEGÚN PROTOCOLO INS" dataDxfId="5456" dataCellStyle="Normal 2"/>
    <tableColumn id="141" xr3:uid="{00000000-0010-0000-0000-00008D000000}" name="RESULTADO CARGA VIRAL SEGÚN PROTOCOLO INS" dataDxfId="5455" dataCellStyle="Normal 2"/>
    <tableColumn id="142" xr3:uid="{00000000-0010-0000-0000-00008E000000}" name="FECHA RESULTADO CARGA VIRAL SEGÚN PROTOCOLO INS" dataDxfId="5454" dataCellStyle="Normal 2"/>
    <tableColumn id="143" xr3:uid="{00000000-0010-0000-0000-00008F000000}" name="RESULTADO HEP B ANTIGENO SUPERFICIE" dataDxfId="5453" dataCellStyle="Normal 2"/>
    <tableColumn id="232" xr3:uid="{00000000-0010-0000-0000-0000E8000000}" name="FECHA RESULTADO H ASB" dataDxfId="5452" dataCellStyle="Normal 2"/>
    <tableColumn id="233" xr3:uid="{00000000-0010-0000-0000-0000E9000000}" name="EDAD GESTACIONAL18" dataDxfId="5451" dataCellStyle="Normal 2">
      <calculatedColumnFormula>IF(AND(BT3="ERROR FUM O INGRESO",GO3&gt;0),"ERROR FUM O INGRESO",IF(AND(GO3="",R3="",O3=""),"",IF(OR(AND(GO3&lt;&gt;"",GO3&lt;RW3),AND(GO3&lt;&gt;"",SUM((GO3-RW3)/7)&gt;40)),"CORREGIR FECHA RESULTADO",IF(AND(GO3="",OR(O3&gt;0,R3&gt;0)),"TOMAR EXAMEN",IF(GO3&gt;0,SUM(GO3-RW3)/7,"")))))</calculatedColumnFormula>
    </tableColumn>
    <tableColumn id="234" xr3:uid="{00000000-0010-0000-0000-0000EA000000}" name="RESULTADO Toxoplasma IgG" dataDxfId="5450" dataCellStyle="Normal 2"/>
    <tableColumn id="236" xr3:uid="{00000000-0010-0000-0000-0000EC000000}" name="RESULTADO CONFIRM. TOXO. IgM" dataDxfId="5449" dataCellStyle="Normal 2"/>
    <tableColumn id="237" xr3:uid="{00000000-0010-0000-0000-0000ED000000}" name="ALARMA TOXOPLASMOSIS" dataDxfId="5448" dataCellStyle="Normal 2">
      <calculatedColumnFormula>IF(GQ3="NEGATIVO","CONTROL Igm",IF(AND(GQ3="POSITIVO",GR3="NEGATIVO"),"SE EXCLUYE INFECCION",IF(AND(GQ3="POSITIVO",GR3="POSITIVO"),"TOXOPLASMOSIS, REMITIR PARA MANEJO","")))</calculatedColumnFormula>
    </tableColumn>
    <tableColumn id="238" xr3:uid="{00000000-0010-0000-0000-0000EE000000}" name="FECHA RESULTADO TOXO" dataDxfId="5447" dataCellStyle="Normal 2"/>
    <tableColumn id="239" xr3:uid="{00000000-0010-0000-0000-0000EF000000}" name="EDAD GESTACIONAL21" dataDxfId="5446" dataCellStyle="Normal 2">
      <calculatedColumnFormula>IF(AND(BT3="ERROR FUM O INGRESO",GT3&gt;0),"ERROR FUM O INGRESO",IF(AND(GT3="",R3="",O3=""),"",IF(OR(AND(GT3&lt;&gt;"",GT3&lt;BO3),AND(GT3&lt;&gt;"",SUM((GT3-BO3)/7)&gt;40)),"CORREGIR FECHA RESULTADO",IF(AND(GT3="",OR(O3&gt;0,R3&gt;0)),"TOMAR EXAMEN",IF(GT3&gt;0,SUM(GT3-BO3)/7,"")))))</calculatedColumnFormula>
    </tableColumn>
    <tableColumn id="242" xr3:uid="{00000000-0010-0000-0000-0000F2000000}" name="TRIMESTRE DE GESTACION A LA TOMA EXAMEN52" dataDxfId="5445" dataCellStyle="Normal 2">
      <calculatedColumnFormula>IF(AND(GU3="",BT3=""),"",IF(AND(GU3&lt;&gt;"",BT3="SIN DATO"),"SIN DATO",IF(AND(GU3="",BT3&lt;&gt;""),"",IF(AND(GU3&lt;0,BT3&gt;0),"ERROR FUM O INGRESO",IF(GU3&lt;=13,"I TRIM",IF(GU3&lt;28,"II TRIM",IF(AND(GU3&gt;27,GU3&lt;45),"III TRIM","POR DEFINIR")))))))</calculatedColumnFormula>
    </tableColumn>
    <tableColumn id="338" xr3:uid="{00000000-0010-0000-0000-000052010000}" name="RESULTADO TOXOPLASMOSIS ULTIMO IgM - SI APLICA SEGÚN GPC" dataDxfId="5444" dataCellStyle="Normal 2"/>
    <tableColumn id="243" xr3:uid="{00000000-0010-0000-0000-0000F3000000}" name="NUMERO VECES TOMA TOXOPLASMA IgM - Control" dataDxfId="5443" dataCellStyle="Normal 2"/>
    <tableColumn id="244" xr3:uid="{00000000-0010-0000-0000-0000F4000000}" name="RESULTADO ULTIMA CITOLOGIA (SEGÚN NORMA Y VIGENTE)" dataDxfId="5442" dataCellStyle="Normal 2"/>
    <tableColumn id="363" xr3:uid="{00000000-0010-0000-0000-00006B010000}" name="TAMIZAJE PARA CHAGAS (ELISA para detección de anticuerpos IgG anti T. cruzi de antígenos totales)" dataDxfId="5441" dataCellStyle="Normal 2"/>
    <tableColumn id="368" xr3:uid="{00000000-0010-0000-0000-000070010000}" name="FECHA RESULTADO TAMIZAJE CHAGAS" dataDxfId="5440" dataCellStyle="Normal 2"/>
    <tableColumn id="356" xr3:uid="{00000000-0010-0000-0000-000064010000}" name="TAMIZAJE INICIAL DE GOTA GRUESA PARA MALARIA (En zonas endémicas)" dataDxfId="5439" dataCellStyle="Normal 2"/>
    <tableColumn id="352" xr3:uid="{00000000-0010-0000-0000-000060010000}" name="FECHA RESULTADO TAMIZAJE INICIAL GOTA GRUESA PARA MALARIA" dataDxfId="5438" dataCellStyle="Normal 2"/>
    <tableColumn id="351" xr3:uid="{00000000-0010-0000-0000-00005F010000}" name="RESULTADO ULTIMO TAMIZAJE GOTA GRUESA (Para Zonas endémicas)" dataDxfId="5437" dataCellStyle="Normal 2"/>
    <tableColumn id="346" xr3:uid="{00000000-0010-0000-0000-00005A010000}" name="NUMERO TAMIZAJES TOMADOS DE GOTA GRUESA PARA MALARIA (Debe ser mensual para zonas endémicas)" dataDxfId="5436" dataCellStyle="Normal 2"/>
    <tableColumn id="249" xr3:uid="{00000000-0010-0000-0000-0000F9000000}" name="DIAGNOSTICO POSITIVO COVID19 - INFECCIÓN POR SARS CoV2" dataDxfId="5435" dataCellStyle="Normal 2"/>
    <tableColumn id="252" xr3:uid="{00000000-0010-0000-0000-0000FC000000}" name="ENFERMEDADES PROPIAS O CULTURALES" dataDxfId="5434" dataCellStyle="Normal 2">
      <calculatedColumnFormula>IF(OR(O3&gt;0,R3&gt;0),CONCATENATE(IF(Tabla1[[#This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calculatedColumnFormula>
    </tableColumn>
    <tableColumn id="253" xr3:uid="{00000000-0010-0000-0000-0000FD000000}" name="OTROS FACTORES DE RIESGO " dataDxfId="5433" dataCellStyle="Normal 2">
      <calculatedColumnFormula>IF(OR(O3&gt;0,R3&gt;0),CONCATENATE(IF(AZ3="SI","ANTECEDENTE EMBARAZO MOLAR",""),"*",CONCATENATE(IF(BA3="SI","ANTECEDENTE MUERTE NEONATAL",""),"*",CONCATENATE(IF(AND(BQ3&gt;0,BQ3&lt;13),"PERIODO INTERGENESICO CORTO",""),"*",CONCATENATE(IF(AND(BS3&gt;13,BS3&lt;42),"INGRESO TARDIO A CPN",""),"*",CONCATENATE(IF(CO3="BAJO PESO","BAJO PESO",""),"*",CONCATENATE(IF(CO3="SOBREPESO","SOBREPESO",""),"*",CONCATENATE(IF(CO3="OBESIDAD","OBESIDAD",""),"*",CONCATENATE(IF(GN3="POSITIVO","SEGUIMIENTO INFECCIÓN HEP B",""),"*",CONCATENATE(IF(GS3="TOXOPLASMOSIS, REMITIR PARA MANEJO","INFECCIÓN TOXOPLASMOSIS",""),"*",CONCATENATE(IF(GS3="CONTROL Igm","PREVENCIÓN CONTAGIO TOXOPLASMOSIS",""),"*",CONCATENATE(IF(OR(HF3="COVID19 PRIMER TRIMESTRE",HF3="COVID19 SEGUNDO TRIMESTRE",HF3="COVID19 TERCER TRIMESTRE",HF3="COVID19 PUERPERIO"),"INFECCIÓN SARS-CoV2 CONFIRMADA",""),"*",CONCATENATE(IF(GY3="Esquema vigente – Alterado","DESCARTAR CANCER DE UTERO",""),"*",)))))))))))),"")</calculatedColumnFormula>
    </tableColumn>
    <tableColumn id="67" xr3:uid="{00000000-0010-0000-0000-000043000000}" name="RIESGO BIOPSICOSOCIAL" dataDxfId="5432" dataCellStyle="Normal 2">
      <calculatedColumnFormula>IF(AND(O3="",R3=""),"",IF(AND(OR(O3&lt;&gt;"",R3&lt;&gt;""),OR(HK3="RIESGO ALTO DE COMPLICACIONES HIPERTENSIVAS VER MANEJO GUIA SUMINISTRO ASA Y CALCIO",HK3="RIESGO MODERADO (2 O MAS CRITERIOS) VER MANEJO GUIA SUMINISTRO ASA Y CALCIO")),"ALTO RIESGO",IF(AND(HH3="************",OR(O3&lt;&gt;"",R3&lt;&gt;""),AND(ND3&gt;=0,ND3&lt;3)),"BAJO RIESGO",IF(AND(OR(O3&lt;&gt;"",R3&lt;&gt;""),OR(HF3="COVID19 PRIMER TRIMESTRE",HF3="COVID19 SEGUNDO TRIMESTRE",HF3="COVID19 TERCER TRIMESTRE",HF3="COVID19 PUERPERIO")),"ALTO RIESGO",IF(AND(HH3&lt;&gt;"",OR(O3&lt;&gt;"",R3&lt;&gt;""),AND(ND3&gt;=0,ND3&lt;3)),"CON RIESGO",IF(AND(OR(O3&lt;&gt;"",R3&lt;&gt;""),ND3&gt;2),"ALTO RIESGO",""))))))</calculatedColumnFormula>
    </tableColumn>
    <tableColumn id="46" xr3:uid="{00000000-0010-0000-0000-00002E000000}" name="MOTIVOS PARA LA CLASIFICACION DEL RIESGO BIOPSICOSOCIAL" dataDxfId="5431" dataCellStyle="Normal 2">
      <calculatedColumnFormula>IF(OR(O3&gt;0,R3&gt;0),CONCATENATE(IF(AK3="CON RIESGO","RIESGO PSICOSOCIAL",""),"*",CONCATENATE(IF(AL3="SI","ANTECEDENTE PREECLAMPSIA",""),"*",CONCATENATE(IF(AM3="SI","ANTECEDENTE HEMORRAGIA POSTPARTO O RETENCIÓN DE PLACENTA",""),"*",CONCATENATE(IF(AN3="SI","ANTECEDENTE RN BAJO PESO",""),"*",CONCATENATE(IF(AQ3="SI","ANTECEDENTE TRABAJO DE PARTO PROLONGADO",""),"*",CONCATENATE(IF(AV3="SI","INFERTILIDAD",""),"*",CONCATENATE(IF(BD3="SI","ENFERMERDAD AUTOINMUNE",""),"*",CONCATENATE(IF(BE3="SI","DIABETES PREGESTACIONAL",""),"*",CONCATENATE(IF(BF3="SI","ENFERMEDAD CARDIACA",""),"*",CONCATENATE(IF(BG3="SI","HTA CRÓNICA",""),"*",CONCATENATE(IF(BH3="SI","ENFERMEDAD RENAL CRÓNICA",""),"*",CONCATENATE(IF(BK3="SI","ANOMALIA CONGÉNITA",""),"*",CONCATENATE(IF(OR(BL3="SI",BM3="SI"),"HEMORRAGIA DURANTE LA GESTACIÓN",""),"*",CONCATENATE(IF(CB3="SI","RCIU",""),"*",CONCATENATE(IF(CC3="SI","EMBARAZO GEMELAR",""),"*",CONCATENATE(IF(NA3=3,"PRESENTACIÓN FETAL PODALICA O TRANSVERSA",""),"*",CONCATENATE(IF(CE3="SI","POLIHIDRAMNIOS",""),"*",CONCATENATE(IF(FG3="DIABETES, REMITIR","DIABETES GESTACIONAL",""),"*",CONCATENATE(IF(FU3&lt;&gt;"","SEGUIMIENTO PARA SIFILIS GESTACIONAL",""),"*",CONCATENATE(IF(MZ3=3,"SEGUIMIENTO PARA VIH",""),"*",CONCATENATE(IF(MX3=1,"SEGUIMIENTO PARA ANEMIA",""),"*",CONCATENATE(IF(MU3=2,"MULTIPARIDAD",""),"*",CONCATENATE(IF(MU3=1,"MULTIPARIDAD",""),"*",CONCATENATE(IF(MT3=1,"ANTECEDENTE MUERTE PERINATAL",""),"*",CONCATENATE(IF(OR(MR3=2,MR3=1),"RIESGO POR EDAD",""),"*",CONCATENATE(IF(OR(MV3=1,MV3=2),"CESAREAS PREVIAS",""),"*",CONCATENATE(IF(MW3=1,"ANTECEDENTE ECTOPICO O CX UTERINA",""),"*",CONCATENATE(IF(MY3=1,"EMBARAZO PROLONGADO",""),"*",CONCATENATE(IF(NB3=2,"SEGUIMIENTO PARA CHAGAS",""),"*",CONCATENATE(IF(NC3=3,"SEGUIMIENTO PARA MALARIA",""),"*",CONCATENATE(IF(OR(HF3="COVID19 PRIMER TRIMESTRE",HF3="COVID19 SEGUNDO TRIMESTRE",HF3="COVID19 TERCER TRIMESTRE",HF3="COVID19 PUERPERIO"),"SEGUIMIENTO PARA COVID19",""),"*",CONCATENATE(IF(EZ3="COOMBS C/MES Y RESUMAN SEM 28","RIESGO DE ISOINMUNIZACIÓN RH",""),"*",CONCATENATE(IF(EZ3="TOMAR COOMBS CUANTITATIVO Y REMISIÓN","ISOINMUNIZACIÓN RH",""),"*",CONCATENATE(IF(BC3="SI, CONTROLADA","EPILEPSIA CONTROLADA",""),"*",CONCATENATE(IF(BC3="SI, SIN MANEJO","EPILEPSIA SIN MANEJO",""),"*",CONCATENATE(IF(BC3="SI, NO CONTROLADA","EPILEPSIA NO CONTROLADA",""),"*",CONCATENATE(IF(AP3="SI","AMENAZA PARTO PRETERMINO",""),"*",CONCATENATE(IF(AO3="SI","ANTECEDENTE MACROSOMICO",""),"*",CONCATENATE(IF(AD3="Consumo ActualI","USO SUSTANCIAS PSICOACTIVAS",""),"*"))))))))))))))))))))))))))))))))))))))),"")</calculatedColumnFormula>
    </tableColumn>
    <tableColumn id="255" xr3:uid="{00000000-0010-0000-0000-0000FF000000}" name="ALARMA FACTORES DE RIESGO COMPLICACIONES HIPERTENSIVAS3" dataDxfId="5430" dataCellStyle="Normal 2">
      <calculatedColumnFormula>IF(AND(O3="",R3=""),"",IF(AND(OR(O3&gt;0,R3&gt;0),OR(AL3="SI",BG3="SI",BD3="SI",BE3="SI",BH3="SI")),"RIESGO ALTO DE COMPLICACIONES HIPERTENSIVAS VER MANEJO GUIA SUMINISTRO ASA Y CALCIO",IF(AND(OR(O3&gt;0,R3&gt;0),NE3&gt;1),"RIESGO MODERADO (2 O MAS CRITERIOS) VER MANEJO GUIA SUMINISTRO ASA Y CALCIO","SIN ANTECEDENTES DE RIESGO")))</calculatedColumnFormula>
    </tableColumn>
    <tableColumn id="21" xr3:uid="{00000000-0010-0000-0000-000015000000}" name="ALARMA POR SEGUIMIENTO CIFRAS PRESIÓN ARTERIAL ÚLTIMO REGISTRO." dataDxfId="5429" dataCellStyle="Normal 2">
      <calculatedColumnFormula>DC3</calculatedColumnFormula>
    </tableColumn>
    <tableColumn id="196" xr3:uid="{00000000-0010-0000-0000-0000C4000000}" name="ALERTA SEGUIMIENTO2" dataDxfId="5428" dataCellStyle="Normal 2">
      <calculatedColumnFormula>IF(NI3="SD","",IF(AND(NI3&lt;=33,NI3&gt;=8),"MES DE CONTROL",IF(AND(NI3&gt;=1,NI3&lt;8),"SEMANA DE CONTROL",IF(NI3=0,"DIA DE CONTROL",IF(NI3&lt;0,"INASISTENTE",IF(NI3="Y","SEGUIMIENTO FUERA MUNICIPIO",IF(NI3="Z","BUSCAR PARA INGRESO A CPN",IF(NI3="W","DEFINIR FECHA CITA",IF(NI3="X","NO REALIZO CPN",IF(NI3="S","DILIGENCIAR FECHA SALIDA PROGRAMA","REVISAR FORMULA"))))))))))</calculatedColumnFormula>
    </tableColumn>
    <tableColumn id="73" xr3:uid="{00000000-0010-0000-0000-000049000000}" name="GESTANTES ACTUALES22" dataDxfId="5427" dataCellStyle="Normal 2">
      <calculatedColumnFormula>IF(AND(R3&lt;&gt;"",IK3="CAMBIO DE RESIDENCIA"),"SEGUIMIENTO REPORTE EPS",IF(AND(R3&lt;&gt;"",OR(IK3&lt;&gt;"",IN3&lt;&gt;"")),"SALIO PROGRAMA",IF(AND(AND(R3="",O3&gt;0),OR(IK3&lt;&gt;"",IN3&lt;&gt;"")),"SALE SIN INGRESO CPN",IF(AND(R3="",O3&gt;0,IK3="",IN3=""),"ACTIVA SIN INGRESO CPN",IF(AND(R3&lt;&gt;"",OR(IK3="",IN3="")),"ACTIVA INGRESO A CPN","")))))</calculatedColumnFormula>
    </tableColumn>
    <tableColumn id="75" xr3:uid="{00000000-0010-0000-0000-00004B000000}" name="LA CLASIFICACIÓN DEL RIESGO ES ADECUADA" dataDxfId="5426" dataCellStyle="Normal 2"/>
    <tableColumn id="102" xr3:uid="{00000000-0010-0000-0000-000066000000}" name="SUMINISTRO DE ASA SEGÚN GPC" dataDxfId="5425" dataCellStyle="Normal 2"/>
    <tableColumn id="119" xr3:uid="{00000000-0010-0000-0000-000077000000}" name="FECHA INICIO DE SUMINISTRO DE ASA" dataDxfId="5424" dataCellStyle="Normal 2"/>
    <tableColumn id="126" xr3:uid="{00000000-0010-0000-0000-00007E000000}" name="ALERTA SUMINISTRO DE ASA" dataDxfId="5423" dataCellStyle="Normal 2">
      <calculatedColumnFormula>IF(R3="","",IF(Tabla1[[#This Row],[ALARMA FACTORES DE RIESGO COMPLICACIONES HIPERTENSIVAS3]]="SIN ANTECEDENTES DE RIESGO","No Aplica para suministro de ASA",IF(AND(Tabla1[[#This Row],[FECHA INICIO DE SUMINISTRO DE ASA]]&gt;0,RV3&lt;12),"Inicia ASA ANTES de Sem 12",IF(AND(RV3&gt;11,RV3&lt;17,OR(HK3="RIESGO ALTO DE COMPLICACIONES HIPERTENSIVAS VER MANEJO GUIA SUMINISTRO ASA Y CALCIO",HK3="RIESGO MODERADO (2 O MAS CRITERIOS) VER MANEJO GUIA SUMINISTRO ASA Y CALCIO")),"Inicio oportuno de ASA",IF(AND(RV3&gt;12,OR(HK3="RIESGO ALTO DE COMPLICACIONES HIPERTENSIVAS VER MANEJO GUIA SUMINISTRO ASA Y CALCIO",HK3="RIESGO MODERADO (2 O MAS CRITERIOS) VER MANEJO GUIA SUMINISTRO ASA Y CALCIO")),"Inicio no oportuno mayor a 16 semanas",IF(AND(BU3&lt;12,OR(HK3="RIESGO ALTO DE COMPLICACIONES HIPERTENSIVAS VER MANEJO GUIA SUMINISTRO ASA Y CALCIO",HK3="RIESGO MODERADO (2 O MAS CRITERIOS) VER MANEJO GUIA SUMINISTRO ASA Y CALCIO")),"Pendiente Inicio de ASA a la semana 12",IF(AND(BU3&gt;11,BU3&lt;17,OR(HK3="RIESGO ALTO DE COMPLICACIONES HIPERTENSIVAS VER MANEJO GUIA SUMINISTRO ASA Y CALCIO",HK3="RIESGO MODERADO (2 O MAS CRITERIOS) VER MANEJO GUIA SUMINISTRO ASA Y CALCIO")),"Iniciar de inmediato ASA",IF(AND(BU3&gt;16,OR(HK3="RIESGO ALTO DE COMPLICACIONES HIPERTENSIVAS VER MANEJO GUIA SUMINISTRO ASA Y CALCIO",HK3="RIESGO MODERADO (2 O MAS CRITERIOS) VER MANEJO GUIA SUMINISTRO ASA Y CALCIO")),"Pierde Oportunidad, Inicio tardío de ASA","XXXXX"))))))))</calculatedColumnFormula>
    </tableColumn>
    <tableColumn id="23" xr3:uid="{00000000-0010-0000-0000-000017000000}" name="FECHA INICIO SUMINISTRO CALCIO" dataDxfId="5422" dataCellStyle="Normal 2"/>
    <tableColumn id="181" xr3:uid="{00000000-0010-0000-0000-0000B5000000}" name="SUMINISTRO CALCIO " dataDxfId="5421" dataCellStyle="Normal 2"/>
    <tableColumn id="60" xr3:uid="{00000000-0010-0000-0000-00003C000000}" name="FECHA INICIO SUMINISTRO ACIDO FOLICO " dataDxfId="5420" dataCellStyle="Normal 2"/>
    <tableColumn id="241" xr3:uid="{00000000-0010-0000-0000-0000F1000000}" name="SUMINISTRO DE ACIDO FOLICO " dataDxfId="5419" dataCellStyle="Normal 2"/>
    <tableColumn id="256" xr3:uid="{00000000-0010-0000-0000-000000010000}" name="FECHA INICIO SUMINISTRO SULFATO FERROSO " dataDxfId="5418" dataCellStyle="Normal 2"/>
    <tableColumn id="254" xr3:uid="{00000000-0010-0000-0000-0000FE000000}" name="SUMINISTRO DE SULFATO FERROSO " dataDxfId="5417" dataCellStyle="Normal 2"/>
    <tableColumn id="63" xr3:uid="{00000000-0010-0000-0000-00003F000000}" name="FECHA CONSULTA DE 1RA VEZ POR ODONTOLOGIA" dataDxfId="5416" dataCellStyle="Normal 2"/>
    <tableColumn id="258" xr3:uid="{00000000-0010-0000-0000-000002010000}" name="SEMANAS DE GESTACION A LA CONSULTA ODONTOLOGICA" dataDxfId="5415" dataCellStyle="Normal 2">
      <calculatedColumnFormula>IF(AND(BT3="ERROR FUM O INGRESO",HY3&gt;0),"ERROR FUM O INGRESO",IF(AND(HY3="",R3=""),"",IF(OR(AND(HY3&lt;&gt;"",HY3&lt;RW3),AND(HY3&lt;&gt;"",SUM((HY3-RW3)/7)&gt;40)),"CORREGIR FECHA CONSULTA",IF(AND(HY3="",R3&gt;0),"PENDIENTE CONSULTA",IF(HY3&gt;0,SUM(HY3-RW3)/7,"")))))</calculatedColumnFormula>
    </tableColumn>
    <tableColumn id="259" xr3:uid="{00000000-0010-0000-0000-000003010000}" name="REQUIRIO MANEJO ODONTOLOGICO DURANTE LA GESTACIÓN" dataDxfId="5414" dataCellStyle="Normal 2"/>
    <tableColumn id="388" xr3:uid="{00000000-0010-0000-0000-000084010000}" name="VACUNACION COVID19" dataDxfId="5413"/>
    <tableColumn id="260" xr3:uid="{00000000-0010-0000-0000-000004010000}" name="FECHA VACUNA ANTI INFLUENZA" dataDxfId="5412" dataCellStyle="Normal 2"/>
    <tableColumn id="268" xr3:uid="{00000000-0010-0000-0000-00000C010000}" name="FECHA VACUNA DPT ACELULAR" dataDxfId="5411" dataCellStyle="Normal 2"/>
    <tableColumn id="269" xr3:uid="{00000000-0010-0000-0000-00000D010000}" name="ALARMA DPT ACELULAR" dataDxfId="5410" dataCellStyle="Normal 2">
      <calculatedColumnFormula>IF(AND(RW3="",NF3="SD"),"SIN DATO EDAD GESTACIONAL",IF(AND(RW3="",ID3=""),"",IF(AND(AND(BU3&gt;0,BU3&lt;20),ID3=""),"EN ESPERA PARA VACUNAR",IF(AND(AND(BU3&gt;19,BU3&lt;27),ID3=""),"PROGRAMAR APLICACION DE VACUNA",IF(AND(AND(BU3&gt;26,BU3&lt;43),ID3=""),"INASISTENTE",IF(AND(AND(NF3&gt;19,NF3&lt;27),ID3&gt;0),"VACUNA APLICADA ENTRE SEMANA 20 Y SEMANA 26",IF(AND(NF3&lt;20,ID3&gt;0),"VACUNA APLICADA ANTES SEMANA 20",IF(AND(NF3&gt;26,ID3&gt;0),"VACUNA APLICADA ENTRE SEMANA 27 Y EL PARTO",IF(AND(OR(IK3="CESAREA",IK3="PARTO"),II3="POSIBLEMENTE NACIO",ID3=""),"SALE SIN VACUNA","")))))))))</calculatedColumnFormula>
    </tableColumn>
    <tableColumn id="333" xr3:uid="{00000000-0010-0000-0000-00004D010000}" name="FECHA VACUNA TD" dataDxfId="5409" dataCellStyle="Normal 2"/>
    <tableColumn id="271" xr3:uid="{00000000-0010-0000-0000-00000F010000}" name="FPP2" dataDxfId="5408" dataCellStyle="Normal 2">
      <calculatedColumnFormula>IF(OR(BP3="SI",BP3="Corregida",BP3="NO"),(RW3+280),IF(BP3="Sin Dato","DEFINIR FPP POR ECO",""))</calculatedColumnFormula>
    </tableColumn>
    <tableColumn id="72" xr3:uid="{00000000-0010-0000-0000-000048000000}" name="DIAS PARA EL PARTO2" dataDxfId="5407" dataCellStyle="Normal 2">
      <calculatedColumnFormula>IF(OR(IG3="DEFINIR FPP POR ECO",BT3="ERROR FUM O INGRESO"),"SIN DEFINIR",IF(IG3="","",IF(IG3&gt;0,SUM(IG3-TODAY()),"X")))</calculatedColumnFormula>
    </tableColumn>
    <tableColumn id="70" xr3:uid="{00000000-0010-0000-0000-000046000000}" name="ALERTA PARA PARTO3" dataDxfId="5406" dataCellStyle="Normal 2">
      <calculatedColumnFormula>IF(IH3&lt;0,"POSIBLEMENTE NACIO",IF(IH3="SIN DEFINIR","SIN DATO",IF(AND(IH3&gt;=0,IH3&lt;=7),"SEMANA DE PARTO",IF(AND(IH3&gt;=8,IH3&lt;=28),"MENOS DE 4 SEMANAS",IF(AND(IH3&gt;=29,IH3&lt;=280),"PENDIENTE","")))))</calculatedColumnFormula>
    </tableColumn>
    <tableColumn id="71" xr3:uid="{00000000-0010-0000-0000-000047000000}" name="FECHA ULTIMA REMISION URG" dataDxfId="5405" dataCellStyle="Normal 2"/>
    <tableColumn id="273" xr3:uid="{00000000-0010-0000-0000-000011010000}" name="SALE DEL PROGRAMA POR" dataDxfId="5404" dataCellStyle="Normal 2"/>
    <tableColumn id="275" xr3:uid="{00000000-0010-0000-0000-000013010000}" name=" EVENTO DE INTERES EN SALUD PÚBLICA DE LA MADRE" dataDxfId="5403" dataCellStyle="Normal 2"/>
    <tableColumn id="276" xr3:uid="{00000000-0010-0000-0000-000014010000}" name=" EVENTO DE INTERES EN SALUD PÚBLICA DEL RECIÉN NACIDO2" dataDxfId="5402" dataCellStyle="Normal 2"/>
    <tableColumn id="277" xr3:uid="{00000000-0010-0000-0000-000015010000}" name="FECHA DE SALIDA  DEL PROGRAMA" dataDxfId="5401" dataCellStyle="Normal 2"/>
    <tableColumn id="278" xr3:uid="{00000000-0010-0000-0000-000016010000}" name="LUGAR DE ATENCION DEL PARTO" dataDxfId="5400" dataCellStyle="Normal 2"/>
    <tableColumn id="281" xr3:uid="{00000000-0010-0000-0000-000019010000}" name="EDAD GESTACIONAL SALIDA PROGRAMA" dataDxfId="5399" dataCellStyle="Normal 2">
      <calculatedColumnFormula>IF(AND(IN3&gt;0,IK3&lt;&gt;""),SUM(IN3-RW3)/7,"")</calculatedColumnFormula>
    </tableColumn>
    <tableColumn id="282" xr3:uid="{00000000-0010-0000-0000-00001A010000}" name="NOMBRE DE LA INSTITUCION DONDE SE ATENDIO EL PARTO O LUGAR ESPECIFICO DEL PARTO SI APLICA" dataDxfId="5398" dataCellStyle="Normal 2"/>
    <tableColumn id="283" xr3:uid="{00000000-0010-0000-0000-00001B010000}" name="NIVEL DE COMPLEJIDAD DE LA ATENCION DE LA INSTITUCION DONDE SE ATENDIO EL PARTO" dataDxfId="5397" dataCellStyle="Normal 2"/>
    <tableColumn id="284" xr3:uid="{00000000-0010-0000-0000-00001C010000}" name="PROFESIONAL O PERSONA QUE ATIENDE EL PARTO" dataDxfId="5396" dataCellStyle="Normal 2"/>
    <tableColumn id="373" xr3:uid="{00000000-0010-0000-0000-000075010000}" name="INICIO TRABAJO DE PARTO" dataDxfId="5395" dataCellStyle="Normal 2"/>
    <tableColumn id="285" xr3:uid="{00000000-0010-0000-0000-00001D010000}" name="ACOMPAÑAMIENTO POR PERSONA DE CONFIANZA DURANTE TRABAJO DE PARTO Y PARTO" dataDxfId="5394" dataCellStyle="Normal 2"/>
    <tableColumn id="251" xr3:uid="{00000000-0010-0000-0000-0000FB000000}" name="DILIGENCIAMIENTO DE PARTOGRAMA (NO APLICA EN EXPULSIVO)" dataDxfId="5393" dataCellStyle="Normal 2"/>
    <tableColumn id="261" xr3:uid="{00000000-0010-0000-0000-000005010000}" name="MANEJO ACTIVO DEL TERCER PERIODO DEL PARTO (USO OXITOCINA,MASAJE UTERINO Y TRACCIÓN SOSTENIDA DE CORDÓN)2" dataDxfId="5392" dataCellStyle="Normal 2"/>
    <tableColumn id="262" xr3:uid="{00000000-0010-0000-0000-000006010000}" name="CONTACTO PIEL A PIEL DURANTE MÍNIMO 30 MINUTOS " dataDxfId="5391" dataCellStyle="Normal 2"/>
    <tableColumn id="263" xr3:uid="{00000000-0010-0000-0000-000007010000}" name="INICIO DE LACTANCIA MATERNA DURANTE EL CONTACTO PIEL A PIEL O EN LA PRIMERA HORA DE VIDA" dataDxfId="5390" dataCellStyle="Normal 2"/>
    <tableColumn id="92" xr3:uid="{00000000-0010-0000-0000-00005C000000}" name="MONITORIA CADA 15 MINUTOS DE SIGNOS VITALES DURANTES LAS PRIMERAS DOS HORAS POSTPARTO (SOPORTE EN HC - 8 VALORACIONES EN LAS PRIMERAS 2 HORAS)" dataDxfId="5389" dataCellStyle="Normal 2"/>
    <tableColumn id="264" xr3:uid="{00000000-0010-0000-0000-000008010000}" name="COMPLICACIONES POSTPARTO - HASTA 42 DÍAS" dataDxfId="5388" dataCellStyle="Normal 2"/>
    <tableColumn id="286" xr3:uid="{00000000-0010-0000-0000-00001E010000}" name="NUMERO NACIDOS VIVOS" dataDxfId="5387" dataCellStyle="Normal 2"/>
    <tableColumn id="288" xr3:uid="{00000000-0010-0000-0000-000020010000}" name="SEXO RN" dataDxfId="5386" dataCellStyle="Normal 2"/>
    <tableColumn id="289" xr3:uid="{00000000-0010-0000-0000-000021010000}" name="PESO RN  EN GRAMOS" dataDxfId="5385" dataCellStyle="Normal 2"/>
    <tableColumn id="290" xr3:uid="{00000000-0010-0000-0000-000022010000}" name="PESO AL NACER POR EDAD GESTACIONAL" dataDxfId="5384" dataCellStyle="Normal 2">
      <calculatedColumnFormula>IF(AND(JD3&gt;700,JD3&lt;2500,IP3&gt;36),"BAJO PESO AL NACER",IF(AND(JD3&gt;500,JD3&lt;2500,IP3&lt;37),"PREMATURO",IF(AND(JD3&gt;2499,JD3&lt;5000,IP3&lt;37),"ERROR VERIFICAR DATO EDAD GESTACIONAL VS PESO",IF(AND(JD3&gt;2499,JD3&lt;4000,IP3&gt;36),"PESO ADECUADO EDAD GESTACIONAL",IF(AND(JD3&gt;3999,JD3&lt;6000,IP3&gt;36),"PESO GRANDE EDAD GESTACIONAL","")))))</calculatedColumnFormula>
    </tableColumn>
    <tableColumn id="291" xr3:uid="{00000000-0010-0000-0000-000023010000}" name="FECHA TOMA TSH" dataDxfId="5383" dataCellStyle="Normal 2"/>
    <tableColumn id="294" xr3:uid="{00000000-0010-0000-0000-000026010000}" name="RESULTADO TSH" dataDxfId="5382" dataCellStyle="Normal 2"/>
    <tableColumn id="295" xr3:uid="{00000000-0010-0000-0000-000027010000}" name=" FECHA RESULTADO TSH" dataDxfId="5381" dataCellStyle="Normal 2"/>
    <tableColumn id="296" xr3:uid="{00000000-0010-0000-0000-000028010000}" name="APLICACIÓN DE VIT K" dataDxfId="5380" dataCellStyle="Normal 2"/>
    <tableColumn id="297" xr3:uid="{00000000-0010-0000-0000-000029010000}" name="GRUPO SANGUINEO RN" dataDxfId="5379" dataCellStyle="Normal 2"/>
    <tableColumn id="298" xr3:uid="{00000000-0010-0000-0000-00002A010000}" name="FECHA APLICACIÓN VACUNA HEPATITIS B" dataDxfId="5378" dataCellStyle="Normal 2"/>
    <tableColumn id="299" xr3:uid="{00000000-0010-0000-0000-00002B010000}" name="FECHA APLICACIÓN VACUNA BCG" dataDxfId="5377" dataCellStyle="Normal 2"/>
    <tableColumn id="300" xr3:uid="{00000000-0010-0000-0000-00002C010000}" name="SEXO RN 2" dataDxfId="5376" dataCellStyle="Normal 2"/>
    <tableColumn id="301" xr3:uid="{00000000-0010-0000-0000-00002D010000}" name="PESO RN 2 EN GRAMOS2" dataDxfId="5375" dataCellStyle="Normal 2"/>
    <tableColumn id="302" xr3:uid="{00000000-0010-0000-0000-00002E010000}" name="PESO AL NACER POR EDAD GESTACIONAL RN 2" dataDxfId="5374" dataCellStyle="Normal 2">
      <calculatedColumnFormula>IF(AND(JN3&gt;700,JN3&lt;2500,IP3&gt;36,IP3&lt;43),"BAJO PESO AL NACER",IF(AND(JN3&gt;700,JN3&lt;2500,IP3&lt;37),"PREMATURO",IF(AND(JN3&gt;2499,JN3&lt;5000,IP3&lt;37),"ERROR VERIFICAR DATO EDAD GESTACIONAL VS PESO",IF(AND(JN3&gt;2499,JN3&lt;4000,IP3&gt;36,IP3&lt;43),"PESO ADECUADO EDAD GESTACIONAL",IF(AND(JN3&gt;3999,JN3&lt;6000,IP3&gt;36,IP3&lt;43),"PESO GRANDE EDAD GESTACIONAL","")))))</calculatedColumnFormula>
    </tableColumn>
    <tableColumn id="303" xr3:uid="{00000000-0010-0000-0000-00002F010000}" name="FECHA TOMA TSH 2" dataDxfId="5373" dataCellStyle="Normal 2"/>
    <tableColumn id="306" xr3:uid="{00000000-0010-0000-0000-000032010000}" name="RESULTADO TSH 2" dataDxfId="5372" dataCellStyle="Normal 2"/>
    <tableColumn id="307" xr3:uid="{00000000-0010-0000-0000-000033010000}" name=" FECHA RESULTADO TSH 2" dataDxfId="5371" dataCellStyle="Normal 2"/>
    <tableColumn id="308" xr3:uid="{00000000-0010-0000-0000-000034010000}" name="APLICACIÓN DE VIT K 2" dataDxfId="5370" dataCellStyle="Normal 2"/>
    <tableColumn id="309" xr3:uid="{00000000-0010-0000-0000-000035010000}" name="GRUPO SANGUINEO RN 2" dataDxfId="5369" dataCellStyle="Normal 2"/>
    <tableColumn id="310" xr3:uid="{00000000-0010-0000-0000-000036010000}" name="FECHA APLICACIÓN VACUNA HEPATITIS B 2" dataDxfId="5368" dataCellStyle="Normal 2"/>
    <tableColumn id="311" xr3:uid="{00000000-0010-0000-0000-000037010000}" name="FECHA APLICACIÓN VACUNA BCG 2" dataDxfId="5367" dataCellStyle="Normal 2"/>
    <tableColumn id="312" xr3:uid="{00000000-0010-0000-0000-000038010000}" name="CONTROL RN FECHA ASISTIO " dataDxfId="5366" dataCellStyle="Normal 2"/>
    <tableColumn id="313" xr3:uid="{00000000-0010-0000-0000-000039010000}" name="ALARMA 1 CONTROL RN" dataDxfId="5365" dataCellStyle="Normal 2">
      <calculatedColumnFormula>IF(AND(JW3&lt;&gt;"",JW3&lt;IN3),"INCONSISTENCIA FECHA CONTROL",IF(AND(OR(IK3="Parto",IK3="Cesarea"),JW3&gt;0,IN3&gt;0),SUM(JW3-IN3),IF(AND(OR(IK3="Parto",IK3="Cesarea"),JW3="",IN3&gt;0),"INASISTENTE","")))</calculatedColumnFormula>
    </tableColumn>
    <tableColumn id="314" xr3:uid="{00000000-0010-0000-0000-00003A010000}" name="CONTROL DE PUERPERIO FECHA" dataDxfId="5364" dataCellStyle="Normal 2"/>
    <tableColumn id="316" xr3:uid="{00000000-0010-0000-0000-00003C010000}" name="ALARMA CONTROL PUERPERIO" dataDxfId="5363" dataCellStyle="Normal 2">
      <calculatedColumnFormula>IF(AND(JY3&lt;&gt;"",JY3&lt;IN3),"INCONSISTENCIA FECHA CONTROL",IF(AND(OR(IK3="Parto",IK3="Cesarea",IK3="Aborto Espontaneo",IK3="Aborto Inducido",IK3="IVE"),JY3&gt;0,IN3&gt;0),SUM(JY3-IN3),IF(AND(JY3&lt;&gt;"",JY3&lt;IN3),"INCONSISTENCIA FECHA CONTROL",IF(AND(OR(IK3="Parto",IK3="Cesarea",IK3="Aborto Espontaneo",IK3="Aborto Inducido",IK3="IVE"),JY3="",IN3&gt;0),"INASISTENTE",""))))</calculatedColumnFormula>
    </tableColumn>
    <tableColumn id="317" xr3:uid="{00000000-0010-0000-0000-00003D010000}" name="ASESORIA EN LACTANCIA MATERNA EXCLUSIVA EN AMBITO HOSPITALARIO" dataDxfId="5362" dataCellStyle="Normal 2"/>
    <tableColumn id="265" xr3:uid="{00000000-0010-0000-0000-000009010000}" name="ASESORIA EN PLANIFICACIÓN FAMILIAR POST EVENTO OBSTETRICO EN AMBITO HOSPITALARIO" dataDxfId="5361" dataCellStyle="Normal 2"/>
    <tableColumn id="240" xr3:uid="{00000000-0010-0000-0000-0000F0000000}" name="PUERPERA SALE CON PLANIFICACIÓN FAMILIAR POST EVENTO OBSTETRICO " dataDxfId="5360" dataCellStyle="Normal 2"/>
    <tableColumn id="97" xr3:uid="{00000000-0010-0000-0000-000061000000}" name="FECHA INSCRIPCION A PLANIFICACION FAMILIAR2" dataDxfId="5359" dataCellStyle="Normal 2"/>
    <tableColumn id="319" xr3:uid="{00000000-0010-0000-0000-00003F010000}" name="METODO DE ANTICONCEPCION INICIADO POSTPARTO" dataDxfId="5358" dataCellStyle="Normal 2"/>
    <tableColumn id="320" xr3:uid="{00000000-0010-0000-0000-000040010000}" name="TIPO DE APOYO REALIZADO POR LA EPS" dataDxfId="5357" dataCellStyle="Normal 2"/>
    <tableColumn id="321" xr3:uid="{00000000-0010-0000-0000-000041010000}" name="TIPO DE APOYO REALIZADO POR LA IPS PRIMARIA" dataDxfId="5356" dataCellStyle="Normal 2"/>
    <tableColumn id="322" xr3:uid="{00000000-0010-0000-0000-000042010000}" name="FECHA SEGUIMIENTO INICIAL POR PERSONAL DE SALUD EN TERRENO" dataDxfId="5355" dataCellStyle="Normal 2"/>
    <tableColumn id="304" xr3:uid="{00000000-0010-0000-0000-000030010000}" name="FECHA ÚLTIMO SEGUIMIENTO" dataDxfId="5354" dataCellStyle="Normal 2"/>
    <tableColumn id="318" xr3:uid="{00000000-0010-0000-0000-00003E010000}" name="NÚMERO DE SEGUIMIENTOS CPN" dataDxfId="5353" dataCellStyle="Normal 2"/>
    <tableColumn id="183" xr3:uid="{00000000-0010-0000-0000-0000B7000000}" name="HALLAZGO GESTACIÓN SEGUIMIENTO POR VISITA DOMICILIARIA" dataDxfId="5352" dataCellStyle="Normal 2"/>
    <tableColumn id="332" xr3:uid="{00000000-0010-0000-0000-00004C010000}" name="FECHA SEGUIMIENTOS TELÉFONICOS" dataDxfId="5351" dataCellStyle="Normal 2"/>
    <tableColumn id="266" xr3:uid="{00000000-0010-0000-0000-00000A010000}" name="NÚMERO SEGUIMIENTOS TELÉFONCOS" dataDxfId="5350" dataCellStyle="Normal 2"/>
    <tableColumn id="267" xr3:uid="{00000000-0010-0000-0000-00000B010000}" name="OBSERVACIÓN SEGUIMIENTO TELÉFONCO" dataDxfId="5349" dataCellStyle="Normal 2"/>
    <tableColumn id="272" xr3:uid="{00000000-0010-0000-0000-000010010000}" name="FECHA SEGUIMIENTO POR PERSONAL DE SALUD EN TERRENO  EN PUERPERIO" dataDxfId="5348" dataCellStyle="Normal 2"/>
    <tableColumn id="344" xr3:uid="{00000000-0010-0000-0000-000058010000}" name="HALLAZGOS ACOMPAÑAMIENTO PERSONAL DE SALUD PUERPERA" dataDxfId="5347" dataCellStyle="Normal 2"/>
    <tableColumn id="347" xr3:uid="{00000000-0010-0000-0000-00005B010000}" name="HALLAZGOS ACOMPAÑAMIENTO PERSONAL DE SALUD RECIEN NACIDO" dataDxfId="5346" dataCellStyle="Normal 2"/>
    <tableColumn id="348" xr3:uid="{00000000-0010-0000-0000-00005C010000}" name="FECHA ULTIMO SEGUIMIENTO POR PERSONAL DE SALUD EN TERRENO  EN PUERPERIO" dataDxfId="5345" dataCellStyle="Normal 2"/>
    <tableColumn id="349" xr3:uid="{00000000-0010-0000-0000-00005D010000}" name="NÚMERO DE SEGUIMIENTOS EN PUERPERIO" dataDxfId="5344" dataCellStyle="Normal 2"/>
    <tableColumn id="350" xr3:uid="{00000000-0010-0000-0000-00005E010000}" name="FECHA PRIMER ACOMPAÑAMIENTO SABEDOR ANCESTRAL" dataDxfId="5343" dataCellStyle="Normal 2"/>
    <tableColumn id="22" xr3:uid="{00000000-0010-0000-0000-000016000000}" name="TIPO DE SABEDOR" dataDxfId="5342" dataCellStyle="Normal 2"/>
    <tableColumn id="191" xr3:uid="{00000000-0010-0000-0000-0000BF000000}" name="NECESIDAD O DESARMONIA DESDE LO PROPIO 1" dataDxfId="5341" dataCellStyle="Normal 2"/>
    <tableColumn id="353" xr3:uid="{00000000-0010-0000-0000-000061010000}" name="ACTIVIDAD O RITUALIDAD REALIZADA1" dataDxfId="5340" dataCellStyle="Normal 2"/>
    <tableColumn id="93" xr3:uid="{00000000-0010-0000-0000-00005D000000}" name="FECHA  ACOMPAÑAMIENTO SABEDOR ANCESTRAL2" dataDxfId="5339" dataCellStyle="Normal 2"/>
    <tableColumn id="354" xr3:uid="{00000000-0010-0000-0000-000062010000}" name="TIPO DE SABEDOR2" dataDxfId="5338" dataCellStyle="Normal 2"/>
    <tableColumn id="355" xr3:uid="{00000000-0010-0000-0000-000063010000}" name="NECESIDAD O DESARMONIA DESDE LO PROPIO 12" dataDxfId="5337" dataCellStyle="Normal 2"/>
    <tableColumn id="107" xr3:uid="{00000000-0010-0000-0000-00006B000000}" name="ACTIVIDAD O RITUALIDAD REALIZADA13" dataDxfId="5336" dataCellStyle="Normal 2"/>
    <tableColumn id="357" xr3:uid="{00000000-0010-0000-0000-000065010000}" name="FECHA ACOMPAÑAMIENTO SABEDOR ANCESTRAL3" dataDxfId="5335" dataCellStyle="Normal 2"/>
    <tableColumn id="358" xr3:uid="{00000000-0010-0000-0000-000066010000}" name="TIPO DE SABEDOR3" dataDxfId="5334" dataCellStyle="Normal 2"/>
    <tableColumn id="359" xr3:uid="{00000000-0010-0000-0000-000067010000}" name="NECESIDAD O DESARMONIA DESDE LO PROPIO 13" dataDxfId="5333" dataCellStyle="Normal 2"/>
    <tableColumn id="360" xr3:uid="{00000000-0010-0000-0000-000068010000}" name="ACTIVIDAD O RITUALIDAD REALIZADA14" dataDxfId="5332" dataCellStyle="Normal 2"/>
    <tableColumn id="361" xr3:uid="{00000000-0010-0000-0000-000069010000}" name="FECHA ACOMPAÑAMIENTO SABEDOR ANCESTRAL4" dataDxfId="5331" dataCellStyle="Normal 2"/>
    <tableColumn id="109" xr3:uid="{00000000-0010-0000-0000-00006D000000}" name="TIPO DE SABEDOR4" dataDxfId="5330" dataCellStyle="Normal 2"/>
    <tableColumn id="362" xr3:uid="{00000000-0010-0000-0000-00006A010000}" name="NECESIDAD O DESARMONIA DESDE LO PROPIO 14" dataDxfId="5329" dataCellStyle="Normal 2"/>
    <tableColumn id="364" xr3:uid="{00000000-0010-0000-0000-00006C010000}" name="ACTIVIDAD O RITUALIDAD REALIZADA15" dataDxfId="5328" dataCellStyle="Normal 2"/>
    <tableColumn id="365" xr3:uid="{00000000-0010-0000-0000-00006D010000}" name="FECHA ACOMPAÑAMIENTO SABEDOR ANCESTRAL5" dataDxfId="5327" dataCellStyle="Normal 2"/>
    <tableColumn id="366" xr3:uid="{00000000-0010-0000-0000-00006E010000}" name="TIPO DE SABEDOR5" dataDxfId="5326" dataCellStyle="Normal 2"/>
    <tableColumn id="367" xr3:uid="{00000000-0010-0000-0000-00006F010000}" name="NECESIDAD O DESARMONIA DESDE LO PROPIO 15" dataDxfId="5325" dataCellStyle="Normal 2"/>
    <tableColumn id="369" xr3:uid="{00000000-0010-0000-0000-000071010000}" name="ACTIVIDAD O RITUALIDAD REALIZADA16" dataDxfId="5324" dataCellStyle="Normal 2"/>
    <tableColumn id="370" xr3:uid="{00000000-0010-0000-0000-000072010000}" name="FECHA ACOMPAÑAMIENTO SABEDOR ANCESTRAL PUERPERIO Y RECIEN NACIDO" dataDxfId="5323" dataCellStyle="Normal 2"/>
    <tableColumn id="371" xr3:uid="{00000000-0010-0000-0000-000073010000}" name="TIPO DE SABEDOR6" dataDxfId="5322" dataCellStyle="Normal 2"/>
    <tableColumn id="372" xr3:uid="{00000000-0010-0000-0000-000074010000}" name="NECESIDAD O DESARMONIA DESDE LO PROPIO 16" dataDxfId="5321" dataCellStyle="Normal 2"/>
    <tableColumn id="69" xr3:uid="{00000000-0010-0000-0000-000045000000}" name="ACTIVIDAD O RITUALIDAD REALIZADA 6" dataDxfId="5320" dataCellStyle="Normal 2"/>
    <tableColumn id="374" xr3:uid="{00000000-0010-0000-0000-000076010000}" name="FECHA ACOMPAÑAMIENTO SABEDOR ANCESTRAL PUERPERIO Y RECIEN NACIDO2" dataDxfId="5319" dataCellStyle="Normal 2"/>
    <tableColumn id="182" xr3:uid="{00000000-0010-0000-0000-0000B6000000}" name="TIPO DE SABEDOR7" dataDxfId="5318" dataCellStyle="Normal 2"/>
    <tableColumn id="274" xr3:uid="{00000000-0010-0000-0000-000012010000}" name="NECESIDAD O DESARMONIA DESDE LO PROPIO 17" dataDxfId="5317" dataCellStyle="Normal 2"/>
    <tableColumn id="292" xr3:uid="{00000000-0010-0000-0000-000024010000}" name="ACTIVIDAD O RITUALIDAD REALIZADA18" dataDxfId="5316" dataCellStyle="Normal 2"/>
    <tableColumn id="323" xr3:uid="{00000000-0010-0000-0000-000043010000}" name="FECHA ACOMPAÑAMIENTO SABEDOR ANCESTRAL PUERPERIO Y RECIEN NACIDO22" dataDxfId="5315" dataCellStyle="Normal 2"/>
    <tableColumn id="324" xr3:uid="{00000000-0010-0000-0000-000044010000}" name="TIPO DE SABEDOR73" dataDxfId="5314" dataCellStyle="Normal 2"/>
    <tableColumn id="325" xr3:uid="{00000000-0010-0000-0000-000045010000}" name="NECESIDAD O DESARMONIA DESDE LO PROPIO 174" dataDxfId="5313" dataCellStyle="Normal 2"/>
    <tableColumn id="326" xr3:uid="{00000000-0010-0000-0000-000046010000}" name="ACTIVIDAD O RITUALIDAD REALIZADA185" dataDxfId="5312" dataCellStyle="Normal 2"/>
    <tableColumn id="327" xr3:uid="{00000000-0010-0000-0000-000047010000}" name="FECHA ACOMPAÑAMIENTO SABEDOR ANCESTRAL PUERPERIO Y RECIEN NACIDO222" dataDxfId="5311" dataCellStyle="Normal 2"/>
    <tableColumn id="328" xr3:uid="{00000000-0010-0000-0000-000048010000}" name="TIPO DE SABEDOR733" dataDxfId="5310" dataCellStyle="Normal 2"/>
    <tableColumn id="329" xr3:uid="{00000000-0010-0000-0000-000049010000}" name="NECESIDAD O DESARMONIA DESDE LO PROPIO 1744" dataDxfId="5309" dataCellStyle="Normal 2"/>
    <tableColumn id="330" xr3:uid="{00000000-0010-0000-0000-00004A010000}" name="ACTIVIDAD O RITUALIDAD REALIZADA1855" dataDxfId="5308" dataCellStyle="Normal 2"/>
    <tableColumn id="331" xr3:uid="{00000000-0010-0000-0000-00004B010000}" name="FECHA ACOMPAÑAMIENTO SABEDOR ANCESTRAL PUERPERIO Y RECIEN NACIDO2222" dataDxfId="5307" dataCellStyle="Normal 2"/>
    <tableColumn id="375" xr3:uid="{00000000-0010-0000-0000-000077010000}" name="TIPO DE SABEDOR7333" dataDxfId="5306" dataCellStyle="Normal 2"/>
    <tableColumn id="376" xr3:uid="{00000000-0010-0000-0000-000078010000}" name="NECESIDAD O DESARMONIA DESDE LO PROPIO 17444" dataDxfId="5305" dataCellStyle="Normal 2"/>
    <tableColumn id="377" xr3:uid="{00000000-0010-0000-0000-000079010000}" name="ACTIVIDAD O RITUALIDAD REALIZADA18555" dataDxfId="5304" dataCellStyle="Normal 2"/>
    <tableColumn id="383" xr3:uid="{00000000-0010-0000-0000-00007F010000}" name="TOTAL SEGUIMIENTOS POR PARTERA" dataDxfId="5303">
      <calculatedColumnFormula>SUM(COUNTIF(KU3,"PARTERO (A)"),COUNTIF(KY3,"PARTERO (A)"),COUNTIF(LC3,"PARTERO (A)"),COUNTIF(LG3,"PARTERO (A)"),COUNTIF(LK3,"PARTERO (A)"),COUNTIF(LO3,"PARTERO (A)"),COUNTIF(ME3,"PARTERO (A)"))</calculatedColumnFormula>
    </tableColumn>
    <tableColumn id="384" xr3:uid="{00000000-0010-0000-0000-000080010000}" name="EDAD GESTACIONAL PRIMER ACOMPAÑAMIENTO SABEDOR ANCESTRAL" dataDxfId="5302">
      <calculatedColumnFormula>IF(AND(R3="",O3=""),"",IF(AND(OR(O3&gt;0,R3&gt;0),KT3&gt;0),SUM(KT3-RW3)/7,""))</calculatedColumnFormula>
    </tableColumn>
    <tableColumn id="387" xr3:uid="{00000000-0010-0000-0000-000083010000}" name="TRIMESTRE DE GESTACIÓN AL PRIMER SEGUIMIENTO POR SABEDOR" dataDxfId="5301">
      <calculatedColumnFormula>IF(AND(MI3="",BT3=""),"",IF(AND(MI3&lt;&gt;"",BT3="SIN DATO"),"SIN DATO",IF(AND(MI3="",BT3&lt;&gt;""),"",IF(AND(MI3&lt;0,BT3&gt;0),"ERROR FUM O INGRESO",IF(MI3&lt;=13,"I TRIM",IF(MI3&lt;28,"II TRIM",IF(AND(MI3&gt;27,MI3&lt;45),"III TRIM","POR DEFINIR")))))))</calculatedColumnFormula>
    </tableColumn>
    <tableColumn id="385" xr3:uid="{00000000-0010-0000-0000-000081010000}" name="TOTAL SEGUIMIENTOS POR MEDICINA TRADICIONAL" dataDxfId="5300">
      <calculatedColumnFormula>SUM(COUNTIF(KU3,"MEDICO (A) TRADICIONAL"),COUNTIF(KY3,"MEDICO (A) TRADICIONAL"),COUNTIF(LC3,"MEDICO (A) TRADICIONAL"),COUNTIF(LG3,"MEDICO (A) TRADICIONAL"),COUNTIF(LK3,"MEDICO (A) TRADICIONAL"),COUNTIF(LO3,"MEDICO (A) TRADICIONAL"),COUNTIF(ME3,"MEDICO (A) TRADICIONAL"))</calculatedColumnFormula>
    </tableColumn>
    <tableColumn id="393" xr3:uid="{00000000-0010-0000-0000-000089010000}" name="OPORTUNIDAD EN DIAS, INGRESO AL CONTROL PRENATAL DESDE EL MOMENDO DE LA IDENTIFICACIÓN" dataDxfId="5299">
      <calculatedColumnFormula>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calculatedColumnFormula>
    </tableColumn>
    <tableColumn id="394" xr3:uid="{00000000-0010-0000-0000-00008A010000}" name="EDAD GESTACIONAL AL MOMENTO DE LA IDENTIFICACIÓN" dataDxfId="5298">
      <calculatedColumnFormula>IF(AND(O3&gt;0,RW3&gt;0),SUM(O3-RW3)/7,"")</calculatedColumnFormula>
    </tableColumn>
    <tableColumn id="184" xr3:uid="{00000000-0010-0000-0000-0000B8000000}" name="MES2 INGRESO CPN" dataDxfId="5297">
      <calculatedColumnFormula>IF(R3&gt;0,MONTH(R3),"")</calculatedColumnFormula>
    </tableColumn>
    <tableColumn id="192" xr3:uid="{00000000-0010-0000-0000-0000C0000000}" name="AÑO3 INGRESO CPN" dataDxfId="5296">
      <calculatedColumnFormula>IF(R3&gt;0,YEAR(R3),"")</calculatedColumnFormula>
    </tableColumn>
    <tableColumn id="193" xr3:uid="{00000000-0010-0000-0000-0000C1000000}" name="TRIM DEL AÑOS4 INGRESO CPN" dataDxfId="5295">
      <calculatedColumnFormula>IF(AND(MN3&gt;=1,MN3&lt;=3),"I TRIMESTRE AÑO",IF(AND(MN3&gt;=4,MN3&lt;=6),"II TRIMESTRE AÑO",IF(AND(MN3&gt;=7,MN3&lt;=9),"III TRIMESTRE AÑO",IF(AND(MN3&gt;=10,MN3&lt;=12),"IV TRIMESTRE AÑO",""))))</calculatedColumnFormula>
    </tableColumn>
    <tableColumn id="197" xr3:uid="{00000000-0010-0000-0000-0000C5000000}" name="AÑOS AL INICIO5 CPN" dataDxfId="5294">
      <calculatedColumnFormula>IF(AND(M3&gt;0,R3&gt;0),DAYS360(M3,R3)/30.44/12,IF(AND(M3&gt;0,O3&gt;0,R3=""),DAYS360(M3,O3)/30.44/12,""))</calculatedColumnFormula>
    </tableColumn>
    <tableColumn id="198" xr3:uid="{00000000-0010-0000-0000-0000C6000000}" name="PUNTAJE ERBPS6 EDAD" dataDxfId="5293">
      <calculatedColumnFormula>IF(AND(MQ3&gt;7,MQ3&lt;14),2,IF(MQ3&lt;16,1,IF(MQ3&lt;=35,0,IF(AND(MQ3&gt;35,MQ3&lt;50),2,""))))</calculatedColumnFormula>
    </tableColumn>
    <tableColumn id="199" xr3:uid="{00000000-0010-0000-0000-0000C7000000}" name="RANGO DE EDAD INICIO7" dataDxfId="5292">
      <calculatedColumnFormula>+IF(MQ3="","",IF(MQ3&lt;14,"MENOR 14 AÑOS",IF(MQ3&lt;20,"DE 14 A 19AÑOS",IF(MQ3&lt;25," DE 20 A 24 AÑOS",IF(MQ3&lt;30," DE 25 A 29 AÑOS",IF(MQ3&lt;35," DE 30 A 34 AÑOS",IF(MQ3&lt;40," DE 35 A 39 AÑOS"," DE 40 Y MAS")))))))</calculatedColumnFormula>
    </tableColumn>
    <tableColumn id="211" xr3:uid="{00000000-0010-0000-0000-0000D3000000}" name="OBITO MUERTE PERINAT Y NEONATAL TARDIA" dataDxfId="5291">
      <calculatedColumnFormula>IF(OR(AX3="SI",BA3="SI"),1,IF(AND(AX3="NO",BA3="NO"),0,""))</calculatedColumnFormula>
    </tableColumn>
    <tableColumn id="213" xr3:uid="{00000000-0010-0000-0000-0000D5000000}" name="PARTOS23" dataDxfId="5290">
      <calculatedColumnFormula>IF(AT3="","",IF(AT3=0,1,IF(AND(AT3&gt;=1,AT3&lt;=4),0,IF(AT3&gt;=5,2,"X"))))</calculatedColumnFormula>
    </tableColumn>
    <tableColumn id="215" xr3:uid="{00000000-0010-0000-0000-0000D7000000}" name="CESAREAS34" dataDxfId="5289">
      <calculatedColumnFormula>IF(AW3="","",IF(AW3=0,0,IF(AW3=1,1,IF(OR(AW3=2,AW3="3 o MAS"),2,"X"))))</calculatedColumnFormula>
    </tableColumn>
    <tableColumn id="227" xr3:uid="{00000000-0010-0000-0000-0000E3000000}" name="EMB ECTOP CX UTER5" dataDxfId="5288">
      <calculatedColumnFormula>IF(AY3="SI",1,IF(AY3="NO",0,""))</calculatedColumnFormula>
    </tableColumn>
    <tableColumn id="80" xr3:uid="{00000000-0010-0000-0000-000050000000}" name="PUNTAJE ANEMIA RBPS" dataDxfId="5287">
      <calculatedColumnFormula>IF(OR(AND(EM3&gt;0,EM3&lt;11),AND(ER3&gt;0,ER3&lt;10.5)),1,"")</calculatedColumnFormula>
    </tableColumn>
    <tableColumn id="78" xr3:uid="{00000000-0010-0000-0000-00004E000000}" name="PUNTAJE EMBARAZO PROLONGADO RBPS2" dataDxfId="5286">
      <calculatedColumnFormula>IF(AND(AND(BU3&gt;40.9,BU3&lt;43),IN3=""),1,"")</calculatedColumnFormula>
    </tableColumn>
    <tableColumn id="82" xr3:uid="{00000000-0010-0000-0000-000052000000}" name="PUNTAJE VIH DX ACTUAL O ANTIGUO RBPS3" dataDxfId="5285">
      <calculatedColumnFormula>IF(AND(GJ3="",GL3="",BB3=""),"",IF(OR(OR(GJ3="P.R REACTIVA",GJ3="ELISA REACTIVA"),OR(BB3="SI",GL3="POSITIVA",GL3="NO CONCLUYENTE")),3,""))</calculatedColumnFormula>
    </tableColumn>
    <tableColumn id="378" xr3:uid="{00000000-0010-0000-0000-00007A010000}" name="PUNTAJE PRESENTACIÓN RBPS4" dataDxfId="5284">
      <calculatedColumnFormula>IF(CD3="","",IF(OR(CD3="CEFÁLICA",CD3="SD"),0,IF(OR(CD3="PODÁLICA",CD3="TRANSVERSA O DE FRENTE",CD3="OBLICUA"),3,"")))</calculatedColumnFormula>
    </tableColumn>
    <tableColumn id="379" xr3:uid="{00000000-0010-0000-0000-00007B010000}" name="PUNTAJE TAMIZAJE CHAGAS RBPS5" dataDxfId="5283">
      <calculatedColumnFormula>IF(GZ3="","",IF(GZ3="POSITIVO",2,"0"))</calculatedColumnFormula>
    </tableColumn>
    <tableColumn id="380" xr3:uid="{00000000-0010-0000-0000-00007C010000}" name="PUNTAJE TAMIZAJE MALARIA RBPS6" dataDxfId="5282">
      <calculatedColumnFormula>IF(AND(HB3="",HD3=""),"",IF(OR(HB3="POSITIVO",HD3="POSITIVO"),3,0))</calculatedColumnFormula>
    </tableColumn>
    <tableColumn id="231" xr3:uid="{00000000-0010-0000-0000-0000E7000000}" name="PUNTAJE TOTAL ERBPS2" dataDxfId="5281">
      <calculatedColumnFormula>IF(AND(O3="",R3=""),"",IF(OR(O3&lt;&gt;"",R3&lt;&gt;""),SUM(COUNTIF(AL3:AR3,"SI"),COUNTIF(AV3,"SI"),COUNTIF(BC3,"SI, CONTROLADA"),COUNTIF(BI3,"SI"),COUNTIF(BM3,"SI"),SUM(COUNTIF(BC3,"SI, SIN MANEJO")*3),SUM(COUNTIF(BC3,"SI, NO CONTROLADA")*3),SUM(COUNTIF(BD3:BG3,"SI")*3),SUM(COUNTIF(CB3:CC3,"SI")*3),SUM(COUNTIF(AD3,"Consumo Actual")*3),SUM(COUNTIF(AD3,"Hasta Antes de la Gestación")*2),SUM(COUNTIF(BK3,"SI")*3),SUM(COUNTIF(BL3,"SI")*2),SUM(COUNTIF(CE3,"SI")*2),SUM(COUNTIF(BH3,"SI")*2),SUM(COUNTIF(FG3,"DIABETES, REMITIR")*2),SUM(MT3:NC3),SUM(MR3),SUM(NG3),SUM(COUNTIF(EZ3,"COOMBS C/MES Y RESUMAN SEM 28")*2),SUM(COUNTIF(EZ3,"TOMAR COOMBS CUANTITATIVO Y REMISIÓN")*3),SUM(COUNTIF(FU3,"SIFILIS GESTACIONAL")*3)),""))</calculatedColumnFormula>
    </tableColumn>
    <tableColumn id="235" xr3:uid="{00000000-0010-0000-0000-0000EB000000}" name="PUNT. RIESGO MODERADO COMPL HIPERTENSIVAS2" dataDxfId="5280">
      <calculatedColumnFormula>IF(OR(O3&gt;0,R3&gt;0),SUM(COUNTIF(Tabla1[[#This Row],[AÑOS AL INICIO5 CPN]],"&gt;=40"),COUNTIF(AS3,"0"),COUNTIF(AR3,"SI"),COUNTIF(CC3,"SI"),COUNTIF(BQ3,"&gt;119"),COUNTIF(CI3,"&gt;=35")),"")</calculatedColumnFormula>
    </tableColumn>
    <tableColumn id="116" xr3:uid="{00000000-0010-0000-0000-000074000000}" name="EDAD GESTACIÓN DPT ACELULAR" dataDxfId="5279">
      <calculatedColumnFormula>IF(AND(R3="",O3=""),"",IF(AND(OR(O3&gt;0,R3&gt;0),RW3=""),"SD",IF(AND(OR(O3&gt;0,R3&gt;0),ID3&gt;0),SUM(ID3-RW3)/7,"")))</calculatedColumnFormula>
    </tableColumn>
    <tableColumn id="17" xr3:uid="{00000000-0010-0000-0000-000011000000}" name="CUENTA RIESGO PSICOSOCIAL" dataDxfId="5278">
      <calculatedColumnFormula>IF(AND(AD3="",AE3="",AF3="",AG3="",AH3="",AI3="",AJ3=""),"",SUM(COUNTIF(AD3,"Hasta Antes de la Gestación")/2,SUM(COUNTIF(AE3,"NO")/2),COUNTIF(AF3,"NO"),SUM(COUNTIF(AG3,"SI")/2),COUNTIF(AH3,"SI"),SUM(COUNTIF(AJ3,"SI")*2),COUNTIF(AD3,"Consumo Actual"),COUNTIF(AI3,"HABITANTE DE CALLE"),COUNTIF(AI3,"DESPLAZADA"),COUNTIF(AI3,"MIGRATORIA"),COUNTIF(AI3,"DISCAPACIDAD FISICA"),COUNTIF(AI3,"DISCAPACIDAD CONDUCTUAL"),COUNTIF(AI3,"DISCAPACIDAD VISUAL"),COUNTIF(AI3,"DISCAPACIDAD AUDITIVA"),COUNTIF(AI3,"DISCAPACIDAD MULTIPLE"),COUNTIF(AI3,"DISCAPACIDAD SISTEMICA")))</calculatedColumnFormula>
    </tableColumn>
    <tableColumn id="18" xr3:uid="{00000000-0010-0000-0000-000012000000}" name="DIAS GESTACION ECO 12" dataDxfId="5277">
      <calculatedColumnFormula>IF(BX3&gt;0,BX3*7,"")</calculatedColumnFormula>
    </tableColumn>
    <tableColumn id="86" xr3:uid="{00000000-0010-0000-0000-000056000000}" name="DIAS2 " dataDxfId="5276">
      <calculatedColumnFormula>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CPN",P3="NO"),"Z",IF(AND(Tabla1[[#This Row],[CITA PROXIMO CONTROL]]="CITA MANUAL",Tabla1[[#This Row],[GESTANTES ACTUALES]]="ACTIVA INGRESO A CPN"),"W",IF(AND(Tabla1[[#This Row],[GESTANTES ACTUALES]]="SALIO PROGRAMA",IN3=""),"S",IF(AND(Tabla1[[#This Row],[CITA PROXIMO CONTROL]]&gt;0,IN3=""),(Tabla1[[#This Row],[CITA PROXIMO CONTROL]]-TODAY()),"SD"))))))))</calculatedColumnFormula>
    </tableColumn>
    <tableColumn id="108" xr3:uid="{00000000-0010-0000-0000-00006C000000}" name="MES PARTO" dataDxfId="5275">
      <calculatedColumnFormula>MONTH(Tabla1[[#This Row],[FECHA DE SALIDA  DEL PROGRAMA]])</calculatedColumnFormula>
    </tableColumn>
    <tableColumn id="98" xr3:uid="{00000000-0010-0000-0000-000062000000}" name="AÑO PARTO" dataDxfId="5274">
      <calculatedColumnFormula>YEAR(Tabla1[[#This Row],[FECHA DE SALIDA  DEL PROGRAMA]])</calculatedColumnFormula>
    </tableColumn>
    <tableColumn id="88" xr3:uid="{00000000-0010-0000-0000-000058000000}" name="OPORTUNIDAD CONSULTA GINECOLOGÍA (DIAS)" dataDxfId="5273">
      <calculatedColumnFormula>IF(AND(O3&gt;0,R3=""),"NO CPN",IF(AND(O3="",R3=""),"",IF(AND(R3&gt;0,EJ3&gt;0,EI3&gt;0),_xlfn.DAYS(EJ3,EI3),IF(AND(R3&gt;0,EJ3&gt;0,EI3=""),"NO CITA","X"))))</calculatedColumnFormula>
    </tableColumn>
    <tableColumn id="166" xr3:uid="{00000000-0010-0000-0000-0000A6000000}" name="GESTANTES CON RESULTADO DE EXAMENES DE INGRESO " dataDxfId="5272">
      <calculatedColumnFormula>IF(AND(O3&gt;0,R3=""),"NO CPN",IF(AND(O3="",R3=""),"",IF(AND(EN3&lt;&gt;"",EX3&lt;&gt;"",FB3&lt;&gt;"",FK3&lt;&gt;"",FW3&lt;&gt;"",FZ3&lt;&gt;"",GO3&lt;&gt;"",GQ3&lt;&gt;"",GR3&lt;&gt;""),"SI","NO")))</calculatedColumnFormula>
    </tableColumn>
    <tableColumn id="194" xr3:uid="{00000000-0010-0000-0000-0000C2000000}" name="GESTANTES CON RESULTADOS DE EXAMENES II TRIMESTRE" dataDxfId="5271">
      <calculatedColumnFormula>IF(AND(O3&gt;0,R3=""),"NO CPN",IF(AND(O3="",R3=""),"",IF(AND(R3&gt;0,Tabla1[[#This Row],[SEMANAS DE GESTACION ACTUALIZADAS]]&lt;=12),"NO APLICA",IF(AND(FH3&lt;&gt;"",FN3&lt;&gt;""),"SI","NO"))))</calculatedColumnFormula>
    </tableColumn>
    <tableColumn id="195" xr3:uid="{00000000-0010-0000-0000-0000C3000000}" name="GESTANTES CON RESULTADOS DE EXAMENES III TRIMESTRE2" dataDxfId="5270">
      <calculatedColumnFormula>IF(AND(O3&gt;0,R3=""),"NO CPN",IF(AND(O3="",R3=""),"",IF(AND(R3&gt;0,Tabla1[[#This Row],[SEMANAS DE GESTACION ACTUALIZADAS]]&lt;=27),"NO APLICA",IF(AND(ES3&lt;&gt;"",FQ3&lt;&gt;"",GF3&lt;&gt;""),"SI","NO"))))</calculatedColumnFormula>
    </tableColumn>
    <tableColumn id="334" xr3:uid="{00000000-0010-0000-0000-00004E010000}" name="CAPTACIÓN A SEMANA 12" dataDxfId="5269" dataCellStyle="Normal 2">
      <calculatedColumnFormula>IF(AND(BS3="",IG3=""),"",IF(AND(BS3="",IG3="DEFINIR FPP POR ECO"),"SIN DATO",IF(BS3&lt;0,"ERROR FUM O INGRESO",IF(BP3="NO","DEFINIR CON ECO",IF(BS3&lt;12,"I TRIM",IF(BS3&lt;27,"II TRIM",IF(AND(BS3&gt;26,BS3&lt;45),"III TRIM","ERROR FUM O INGRESO")))))))</calculatedColumnFormula>
    </tableColumn>
    <tableColumn id="389" xr3:uid="{00000000-0010-0000-0000-000085010000}" name="Puntaje ROBSON" dataDxfId="5268" dataCellStyle="Normal 2">
      <calculatedColumnFormula>IF(AND(IP4&gt;0,IP4&lt;37),10,IF(OR(CD4="Transversa",CD4="Oblicua"),9,IF(CC4="SI",8,IF(AND(AT4=0,AW4=0,CC4="NO",CD4="Cefálica",IP4&gt;=37,IT4="INICIO ESPONTÁNEO"),1,IF(AND(AND(AT4=0,AW4=0,CC4="NO",CD4="Cefálica",IP4&gt;=37),OR(IT4="LE HACEN INDUCCIÓN",IT4="LE HACEN CESÁREA SIN INICIO TRABAJO DE PARTO")),2,IF(AND(AT4&gt;=1,AW4=0,CC4="NO",CD4="Cefálica",IP4&gt;=37,IT4="INICIO ESPONTÁNEO"),3,IF(AND(AND(AT4&gt;=1,AW4=0,CC4="NO",CD4="Cefálica",IP4&gt;=37),OR(IT4="LE HACEN INDUCCIÓN",IT4="LE HACEN CESÁREA SIN INICIO TRABAJO DE PARTO")),4,IF(AND(AND(AT4&gt;=1,AW4&gt;=1,CC4="NO",CD4="Cefálica",IP4&gt;=37),OR(IT4="LE HACEN INDUCCIÓN",IT4="LE HACEN CESÁREA SIN INICIO TRABAJO DE PARTO",IT4="INICIO ESPONTÁNEO")),5,IF(AND(AND(AT4=0,AW4=0,CC4="NO",CD4="Podálica",IP4&gt;=1),OR(IT4="LE HACEN INDUCCIÓN",IT4="LE HACEN CESÁREA SIN INICIO TRABAJO DE PARTO",IT4="INICIO ESPONTÁNEO")),6,IF(AND(AND(AT4&gt;=1,CC4="NO",CD4="Podálica",IP4&gt;=1),OR(IT4="LE HACEN INDUCCIÓN",IT4="LE HACEN CESÁREA SIN INICIO TRABAJO DE PARTO",IT4="INICIO ESPONTÁNEO"),OR(AW4=0,AW4&gt;=1)),7,""))))))))))</calculatedColumnFormula>
    </tableColumn>
    <tableColumn id="390" xr3:uid="{00000000-0010-0000-0000-000086010000}" name="# DE TAMIZAJES VIH Y SIFILIS A TOMAR SEGÚN TRIM INICIO CPN Y SALIDA DEL PROGRAMA" dataDxfId="5267" dataCellStyle="Normal 2">
      <calculatedColumnFormula>IF(AND(O3="",R3=""),"",IF(AND(BS3&gt;0,BS3&lt;12,IP3&gt;28,IP3&lt;44),3, IF(OR(AND(BS3&gt;=12,BS3&lt;28,IP3&gt;=28,IP3&lt;44),AND(BS3&gt;0,BS3&lt;12,IP3&gt;=12,IP3&lt;29)),2,IF(OR(AND(BS3&gt;=28,BS3&lt;44),AND(BS3&gt;0,BS3&lt;12,IP3&gt;0,IP3&lt;12),AND(BS3&gt;=12,BS3&lt;28,IP3&gt;=12,IP3&lt;28)),1,IF(AND(BS3&gt;0,BS3&lt;12,BU3&gt;=28,BU3&lt;44,DV3="ACTIVA INGRESO A CPN"),3,IF(OR(AND(BS3&gt;0,BS3&lt;12,BU3&gt;=12,BU3&lt;28,DV3="ACTIVA INGRESO A CPN"),AND(BS3&gt;=12,BS3&lt;28,BU3&gt;=28,BU3&lt;44,DV3="ACTIVA INGRESO A CPN")),2,IF(OR(AND(BS3&gt;0,BS3&lt;12,BU3&gt;0,BU3&lt;12,DV3="ACTIVA INGRESO A CPN"),AND(BS3&gt;=12,BS3&lt;28,BU3&gt;=12,BU3&lt;28,DV3="ACTIVA INGRESO A CPN")),1,"REVISAR FUM O FECHA SALIDA PROGRAMA")))))))</calculatedColumnFormula>
    </tableColumn>
    <tableColumn id="391" xr3:uid="{00000000-0010-0000-0000-000087010000}" name="# DE TAMIZAJES SIFILIS TOMADOS " dataDxfId="5266" dataCellStyle="Normal 2">
      <calculatedColumnFormula>COUNT(FL3,FO3,FR3,FT3)</calculatedColumnFormula>
    </tableColumn>
    <tableColumn id="392" xr3:uid="{00000000-0010-0000-0000-000088010000}" name="# DE TAMIZAJES VIH TOMADOS " dataDxfId="5265" dataCellStyle="Normal 2">
      <calculatedColumnFormula>COUNT(GA3,GD3,GG3,GI3)</calculatedColumnFormula>
    </tableColumn>
    <tableColumn id="396" xr3:uid="{00000000-0010-0000-0000-00008C010000}" name="Alarma de apoyo Tamizaje Sífilis" dataDxfId="5264" dataCellStyle="Normal 2">
      <calculatedColumnFormula>IF(NR3="","",IF(NR3="REVISAR FUM O FECHA SALIDA PROGRAMA","POR DEFINIR",IF(OR(NR3=NS3,NS3&gt;NR3),"COMPLETO",IF(NS3&lt;NR3,"INCOMPLETO",""))))</calculatedColumnFormula>
    </tableColumn>
    <tableColumn id="397" xr3:uid="{00000000-0010-0000-0000-00008D010000}" name="Alarma de apoyo Tamizaje VIH" dataDxfId="5263" dataCellStyle="Normal 2">
      <calculatedColumnFormula>IF(NR3="","",IF(NR3="REVISAR FUM O FECHA SALIDA PROGRAMA","POR DEFINIR",IF(OR(NR3=NT3,NT3&gt;NR3),"COMPLETO",IF(NT3&lt;NR3,"INCOMPLETO",""))))</calculatedColumnFormula>
    </tableColumn>
    <tableColumn id="270" xr3:uid="{00000000-0010-0000-0000-00000E010000}" name="# DE MUJERES CON SUMINISTRO ADECUADO DE MICRONUTRIENTES" dataDxfId="5262" dataCellStyle="Normal 2">
      <calculatedColumnFormula>IF(AND(O3="",R3=""),"",IF(OR(AND(Tabla1[[#This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calculatedColumnFormula>
    </tableColumn>
    <tableColumn id="395" xr3:uid="{00000000-0010-0000-0000-00008B010000}" name="Alarma apoyo DPT Acelular vacunadas" dataDxfId="5261" dataCellStyle="Normal 2">
      <calculatedColumnFormula>IF(AND(O3="",R3=""),"",IF(OR(IE3="VACUNA APLICADA ENTRE SEMANA 20 Y SEMANA 26",IE3="VACUNA APLICADA ENTRE SEMANA 27 Y EL PARTO",IE3="VACUNA APLICADA ANTES SEMANA 20"),"VACUNADA","SIN VACUNAR"))</calculatedColumnFormula>
    </tableColumn>
  </tableColumns>
  <tableStyleInfo name="TableStyleLight21"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4.bin"/><Relationship Id="rId1" Type="http://schemas.openxmlformats.org/officeDocument/2006/relationships/printerSettings" Target="../printerSettings/printerSettings3.bin"/><Relationship Id="rId4"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G5"/>
  <sheetViews>
    <sheetView topLeftCell="IK1" zoomScale="70" zoomScaleNormal="70" workbookViewId="0">
      <selection activeCell="IO5" sqref="IO5"/>
    </sheetView>
  </sheetViews>
  <sheetFormatPr baseColWidth="10" defaultRowHeight="15" x14ac:dyDescent="0.25"/>
  <cols>
    <col min="1" max="1" width="38.28515625" customWidth="1"/>
    <col min="2" max="3" width="30.7109375" customWidth="1"/>
    <col min="4" max="4" width="34.28515625" customWidth="1"/>
    <col min="5" max="7" width="22.7109375" customWidth="1"/>
    <col min="8" max="8" width="23.28515625" customWidth="1"/>
    <col min="9" max="10" width="23" customWidth="1"/>
    <col min="11" max="11" width="23.28515625" customWidth="1"/>
    <col min="12" max="12" width="22.7109375" customWidth="1"/>
    <col min="13" max="13" width="22.5703125" customWidth="1"/>
    <col min="14" max="14" width="22.28515625" customWidth="1"/>
    <col min="15" max="15" width="23.28515625" customWidth="1"/>
    <col min="16" max="16" width="27.42578125" customWidth="1"/>
    <col min="17" max="17" width="22.5703125" customWidth="1"/>
    <col min="18" max="18" width="23" customWidth="1"/>
    <col min="19" max="19" width="16" customWidth="1"/>
    <col min="20" max="20" width="16.5703125" customWidth="1"/>
    <col min="21" max="21" width="17" customWidth="1"/>
    <col min="22" max="22" width="18.7109375" customWidth="1"/>
    <col min="23" max="23" width="16.7109375" customWidth="1"/>
    <col min="24" max="24" width="17.7109375" customWidth="1"/>
    <col min="25" max="25" width="18.5703125" customWidth="1"/>
    <col min="26" max="26" width="15.7109375" customWidth="1"/>
    <col min="27" max="27" width="16.28515625" customWidth="1"/>
    <col min="28" max="28" width="17.5703125" customWidth="1"/>
    <col min="29" max="29" width="19.42578125" customWidth="1"/>
    <col min="30" max="30" width="22.42578125" customWidth="1"/>
    <col min="31" max="31" width="21.28515625" customWidth="1"/>
    <col min="32" max="32" width="28.7109375" customWidth="1"/>
    <col min="33" max="33" width="23.28515625" customWidth="1"/>
    <col min="34" max="34" width="27.28515625" customWidth="1"/>
    <col min="35" max="35" width="23.28515625" customWidth="1"/>
    <col min="36" max="36" width="16.28515625" customWidth="1"/>
    <col min="37" max="37" width="18.7109375" customWidth="1"/>
    <col min="38" max="38" width="14.28515625" customWidth="1"/>
    <col min="39" max="39" width="15.28515625" customWidth="1"/>
    <col min="40" max="41" width="14.5703125" customWidth="1"/>
    <col min="43" max="43" width="12" customWidth="1"/>
    <col min="44" max="44" width="14.28515625" customWidth="1"/>
    <col min="45" max="45" width="18.5703125" customWidth="1"/>
    <col min="46" max="46" width="17.42578125" customWidth="1"/>
    <col min="47" max="47" width="17.28515625" customWidth="1"/>
    <col min="48" max="48" width="16.42578125" customWidth="1"/>
    <col min="49" max="49" width="16" customWidth="1"/>
    <col min="50" max="50" width="21" customWidth="1"/>
    <col min="51" max="51" width="21.7109375" customWidth="1"/>
    <col min="52" max="52" width="17.7109375" customWidth="1"/>
    <col min="53" max="55" width="16.7109375" customWidth="1"/>
    <col min="56" max="56" width="16.28515625" customWidth="1"/>
    <col min="57" max="67" width="14.7109375" customWidth="1"/>
    <col min="68" max="68" width="19.28515625" customWidth="1"/>
    <col min="69" max="69" width="15.28515625" customWidth="1"/>
    <col min="70" max="70" width="23.28515625" customWidth="1"/>
    <col min="71" max="71" width="14.5703125" customWidth="1"/>
    <col min="72" max="72" width="14.28515625" customWidth="1"/>
    <col min="73" max="74" width="16.7109375" customWidth="1"/>
    <col min="75" max="75" width="15.28515625" customWidth="1"/>
    <col min="76" max="77" width="14.7109375" customWidth="1"/>
    <col min="80" max="80" width="21" customWidth="1"/>
    <col min="81" max="81" width="19.28515625" customWidth="1"/>
    <col min="82" max="82" width="36.28515625" customWidth="1"/>
    <col min="83" max="83" width="25.7109375" customWidth="1"/>
    <col min="84" max="84" width="23.42578125" customWidth="1"/>
    <col min="86" max="86" width="22.28515625" customWidth="1"/>
    <col min="89" max="89" width="16" customWidth="1"/>
    <col min="90" max="90" width="13.7109375" customWidth="1"/>
    <col min="92" max="92" width="15.28515625" customWidth="1"/>
    <col min="93" max="95" width="20.42578125" customWidth="1"/>
    <col min="96" max="96" width="15" customWidth="1"/>
    <col min="97" max="97" width="15.7109375" customWidth="1"/>
    <col min="98" max="98" width="19.7109375" customWidth="1"/>
    <col min="99" max="99" width="14" customWidth="1"/>
    <col min="100" max="100" width="18.7109375" customWidth="1"/>
    <col min="101" max="101" width="25.28515625" customWidth="1"/>
    <col min="104" max="104" width="24.42578125" customWidth="1"/>
    <col min="107" max="107" width="19.5703125" customWidth="1"/>
    <col min="122" max="122" width="15.5703125" customWidth="1"/>
    <col min="123" max="124" width="17" customWidth="1"/>
    <col min="125" max="125" width="21.5703125" customWidth="1"/>
    <col min="126" max="126" width="15.7109375" customWidth="1"/>
    <col min="128" max="128" width="16.7109375" customWidth="1"/>
    <col min="140" max="140" width="16" customWidth="1"/>
    <col min="143" max="143" width="34.28515625" customWidth="1"/>
    <col min="144" max="144" width="32.28515625" customWidth="1"/>
    <col min="145" max="145" width="19.28515625" customWidth="1"/>
    <col min="146" max="146" width="21" customWidth="1"/>
    <col min="147" max="147" width="16.7109375" customWidth="1"/>
    <col min="148" max="148" width="21" customWidth="1"/>
    <col min="150" max="150" width="22.85546875" customWidth="1"/>
    <col min="151" max="151" width="16.5703125" customWidth="1"/>
    <col min="152" max="152" width="26.28515625" customWidth="1"/>
    <col min="153" max="154" width="20" customWidth="1"/>
    <col min="155" max="155" width="16.140625" customWidth="1"/>
    <col min="156" max="156" width="32.5703125" customWidth="1"/>
    <col min="159" max="159" width="27.42578125" customWidth="1"/>
    <col min="163" max="163" width="17.7109375" customWidth="1"/>
    <col min="165" max="165" width="18" customWidth="1"/>
    <col min="166" max="166" width="39.28515625" customWidth="1"/>
    <col min="167" max="167" width="14.42578125" customWidth="1"/>
    <col min="168" max="168" width="48.28515625" customWidth="1"/>
    <col min="169" max="169" width="55.28515625" customWidth="1"/>
    <col min="171" max="171" width="53" customWidth="1"/>
    <col min="172" max="172" width="51.5703125" customWidth="1"/>
    <col min="174" max="174" width="55.7109375" customWidth="1"/>
    <col min="175" max="175" width="46.28515625" customWidth="1"/>
    <col min="176" max="176" width="14.7109375" customWidth="1"/>
    <col min="177" max="177" width="17.7109375" customWidth="1"/>
    <col min="181" max="181" width="24.42578125" customWidth="1"/>
    <col min="183" max="183" width="44" customWidth="1"/>
    <col min="184" max="184" width="19.42578125" customWidth="1"/>
    <col min="186" max="186" width="51.28515625" customWidth="1"/>
    <col min="187" max="187" width="20.28515625" customWidth="1"/>
    <col min="189" max="189" width="56" customWidth="1"/>
    <col min="190" max="190" width="22" customWidth="1"/>
    <col min="191" max="191" width="15.5703125" customWidth="1"/>
    <col min="192" max="192" width="23.28515625" customWidth="1"/>
    <col min="193" max="193" width="17.42578125" customWidth="1"/>
    <col min="194" max="194" width="23" customWidth="1"/>
    <col min="195" max="195" width="18.5703125" customWidth="1"/>
    <col min="196" max="196" width="16.28515625" customWidth="1"/>
    <col min="197" max="197" width="15" customWidth="1"/>
    <col min="198" max="198" width="14" customWidth="1"/>
    <col min="199" max="199" width="16.28515625" customWidth="1"/>
    <col min="200" max="200" width="18" customWidth="1"/>
    <col min="201" max="201" width="17.28515625" customWidth="1"/>
    <col min="202" max="202" width="16.7109375" customWidth="1"/>
    <col min="205" max="205" width="20.7109375" customWidth="1"/>
    <col min="206" max="206" width="15.7109375" customWidth="1"/>
    <col min="207" max="207" width="18.5703125" customWidth="1"/>
    <col min="208" max="208" width="17.7109375" customWidth="1"/>
    <col min="209" max="209" width="13.28515625" customWidth="1"/>
    <col min="210" max="210" width="13.5703125" customWidth="1"/>
    <col min="211" max="211" width="15.28515625" customWidth="1"/>
    <col min="212" max="212" width="15.7109375" customWidth="1"/>
    <col min="213" max="213" width="22.5703125" customWidth="1"/>
    <col min="214" max="214" width="24.42578125" customWidth="1"/>
    <col min="215" max="215" width="15.7109375" customWidth="1"/>
    <col min="216" max="216" width="24" customWidth="1"/>
    <col min="217" max="217" width="21.7109375" customWidth="1"/>
    <col min="218" max="218" width="24.5703125" customWidth="1"/>
    <col min="219" max="219" width="25" customWidth="1"/>
    <col min="220" max="220" width="24.28515625" customWidth="1"/>
    <col min="221" max="221" width="34.28515625" customWidth="1"/>
    <col min="222" max="222" width="29" customWidth="1"/>
    <col min="223" max="223" width="18.28515625" customWidth="1"/>
    <col min="224" max="225" width="15.7109375" customWidth="1"/>
    <col min="226" max="226" width="34.42578125" customWidth="1"/>
    <col min="227" max="227" width="15.7109375" customWidth="1"/>
    <col min="228" max="228" width="47.7109375" customWidth="1"/>
    <col min="229" max="229" width="23.42578125" customWidth="1"/>
    <col min="230" max="230" width="48" customWidth="1"/>
    <col min="231" max="231" width="22" customWidth="1"/>
    <col min="232" max="232" width="43.28515625" customWidth="1"/>
    <col min="233" max="234" width="17.7109375" customWidth="1"/>
    <col min="235" max="235" width="20.42578125" customWidth="1"/>
    <col min="236" max="236" width="21.42578125" customWidth="1"/>
    <col min="239" max="239" width="42.7109375" customWidth="1"/>
    <col min="240" max="240" width="19.5703125" customWidth="1"/>
    <col min="242" max="242" width="23.7109375" customWidth="1"/>
    <col min="243" max="243" width="19.7109375" customWidth="1"/>
    <col min="245" max="245" width="15.7109375" customWidth="1"/>
    <col min="246" max="246" width="39" customWidth="1"/>
    <col min="247" max="247" width="41.28515625" customWidth="1"/>
    <col min="248" max="248" width="15.7109375" customWidth="1"/>
    <col min="249" max="249" width="17" customWidth="1"/>
    <col min="251" max="251" width="26" customWidth="1"/>
    <col min="252" max="252" width="19.5703125" customWidth="1"/>
    <col min="253" max="254" width="18" customWidth="1"/>
    <col min="255" max="255" width="32.28515625" customWidth="1"/>
    <col min="256" max="256" width="38" customWidth="1"/>
    <col min="257" max="257" width="38.7109375" customWidth="1"/>
    <col min="258" max="258" width="32.28515625" customWidth="1"/>
    <col min="259" max="259" width="40.7109375" customWidth="1"/>
    <col min="260" max="260" width="52.5703125" customWidth="1"/>
    <col min="261" max="261" width="24.42578125" customWidth="1"/>
    <col min="262" max="262" width="19.28515625" customWidth="1"/>
    <col min="263" max="263" width="22.7109375" customWidth="1"/>
    <col min="265" max="265" width="15.28515625" customWidth="1"/>
    <col min="287" max="287" width="27" customWidth="1"/>
    <col min="288" max="288" width="29.7109375" customWidth="1"/>
    <col min="289" max="289" width="23.28515625" customWidth="1"/>
    <col min="290" max="290" width="18.42578125" customWidth="1"/>
    <col min="291" max="293" width="17.28515625" customWidth="1"/>
    <col min="294" max="294" width="13.7109375" customWidth="1"/>
    <col min="295" max="295" width="16.5703125" customWidth="1"/>
    <col min="296" max="296" width="21.7109375" customWidth="1"/>
    <col min="297" max="297" width="22.28515625" customWidth="1"/>
    <col min="298" max="298" width="17.28515625" customWidth="1"/>
    <col min="299" max="299" width="18.7109375" customWidth="1"/>
    <col min="300" max="300" width="27.7109375" customWidth="1"/>
    <col min="301" max="305" width="18.42578125" customWidth="1"/>
    <col min="306" max="306" width="15.5703125" customWidth="1"/>
    <col min="307" max="307" width="23.28515625" customWidth="1"/>
    <col min="308" max="308" width="19.5703125" customWidth="1"/>
    <col min="309" max="309" width="20.5703125" customWidth="1"/>
    <col min="310" max="310" width="17.7109375" customWidth="1"/>
    <col min="311" max="311" width="17.28515625" customWidth="1"/>
    <col min="312" max="312" width="20.42578125" customWidth="1"/>
    <col min="313" max="313" width="18" customWidth="1"/>
    <col min="314" max="315" width="17.28515625" customWidth="1"/>
    <col min="326" max="326" width="20" customWidth="1"/>
    <col min="327" max="327" width="16.7109375" customWidth="1"/>
    <col min="328" max="328" width="19.7109375" customWidth="1"/>
    <col min="329" max="329" width="22.7109375" customWidth="1"/>
    <col min="330" max="330" width="19.7109375" customWidth="1"/>
    <col min="331" max="331" width="17.28515625" customWidth="1"/>
    <col min="332" max="332" width="17" customWidth="1"/>
    <col min="333" max="333" width="19.28515625" customWidth="1"/>
    <col min="334" max="345" width="16.28515625" customWidth="1"/>
  </cols>
  <sheetData>
    <row r="1" spans="1:345" ht="45" customHeight="1" x14ac:dyDescent="0.25">
      <c r="A1" s="397" t="s">
        <v>433</v>
      </c>
      <c r="B1" s="397"/>
      <c r="C1" s="397"/>
      <c r="D1" s="397"/>
      <c r="E1" s="397"/>
      <c r="F1" s="397"/>
    </row>
    <row r="2" spans="1:345" ht="44.25" customHeight="1" x14ac:dyDescent="0.3">
      <c r="A2" s="398" t="s">
        <v>553</v>
      </c>
      <c r="B2" s="398"/>
      <c r="C2" s="398"/>
      <c r="D2" s="398"/>
      <c r="E2" s="398"/>
      <c r="F2" s="398"/>
    </row>
    <row r="3" spans="1:345" ht="44.25" customHeight="1" thickBot="1" x14ac:dyDescent="0.35">
      <c r="A3" s="398" t="s">
        <v>456</v>
      </c>
      <c r="B3" s="398"/>
      <c r="C3" s="398"/>
      <c r="D3" s="398"/>
      <c r="E3" s="398"/>
      <c r="F3" s="398"/>
    </row>
    <row r="4" spans="1:345" ht="141.75" customHeight="1" thickBot="1" x14ac:dyDescent="0.3">
      <c r="A4" s="8" t="s">
        <v>554</v>
      </c>
      <c r="B4" s="8" t="s">
        <v>278</v>
      </c>
      <c r="C4" s="7" t="s">
        <v>31</v>
      </c>
      <c r="D4" s="114" t="s">
        <v>582</v>
      </c>
      <c r="E4" s="7" t="s">
        <v>94</v>
      </c>
      <c r="F4" s="7" t="s">
        <v>21</v>
      </c>
      <c r="G4" s="7" t="s">
        <v>0</v>
      </c>
      <c r="H4" s="7" t="s">
        <v>1</v>
      </c>
      <c r="I4" s="7" t="s">
        <v>2</v>
      </c>
      <c r="J4" s="7" t="s">
        <v>3</v>
      </c>
      <c r="K4" s="7" t="s">
        <v>19</v>
      </c>
      <c r="L4" s="20" t="s">
        <v>20</v>
      </c>
      <c r="M4" s="7" t="s">
        <v>4</v>
      </c>
      <c r="N4" s="19" t="s">
        <v>5</v>
      </c>
      <c r="O4" s="7" t="s">
        <v>43</v>
      </c>
      <c r="P4" s="19" t="s">
        <v>42</v>
      </c>
      <c r="Q4" s="7" t="s">
        <v>46</v>
      </c>
      <c r="R4" s="8" t="s">
        <v>150</v>
      </c>
      <c r="S4" s="7" t="s">
        <v>28</v>
      </c>
      <c r="T4" s="7" t="s">
        <v>6</v>
      </c>
      <c r="U4" s="7" t="s">
        <v>127</v>
      </c>
      <c r="V4" s="7" t="s">
        <v>7</v>
      </c>
      <c r="W4" s="7" t="s">
        <v>48</v>
      </c>
      <c r="X4" s="8" t="s">
        <v>175</v>
      </c>
      <c r="Y4" s="7" t="s">
        <v>45</v>
      </c>
      <c r="Z4" s="7" t="s">
        <v>8</v>
      </c>
      <c r="AA4" s="7" t="s">
        <v>25</v>
      </c>
      <c r="AB4" s="7" t="s">
        <v>30</v>
      </c>
      <c r="AC4" s="7" t="s">
        <v>9</v>
      </c>
      <c r="AD4" s="58" t="s">
        <v>742</v>
      </c>
      <c r="AE4" s="7" t="s">
        <v>131</v>
      </c>
      <c r="AF4" s="7" t="s">
        <v>10</v>
      </c>
      <c r="AG4" s="7" t="s">
        <v>743</v>
      </c>
      <c r="AH4" s="7" t="s">
        <v>130</v>
      </c>
      <c r="AI4" s="20" t="s">
        <v>29</v>
      </c>
      <c r="AJ4" s="7" t="s">
        <v>26</v>
      </c>
      <c r="AK4" s="19" t="s">
        <v>49</v>
      </c>
      <c r="AL4" s="56" t="s">
        <v>435</v>
      </c>
      <c r="AM4" s="58" t="s">
        <v>763</v>
      </c>
      <c r="AN4" s="58" t="s">
        <v>745</v>
      </c>
      <c r="AO4" s="58" t="s">
        <v>744</v>
      </c>
      <c r="AP4" s="58" t="s">
        <v>762</v>
      </c>
      <c r="AQ4" s="56" t="s">
        <v>436</v>
      </c>
      <c r="AR4" s="56" t="s">
        <v>437</v>
      </c>
      <c r="AS4" s="56" t="s">
        <v>112</v>
      </c>
      <c r="AT4" s="56" t="s">
        <v>438</v>
      </c>
      <c r="AU4" s="56" t="s">
        <v>439</v>
      </c>
      <c r="AV4" s="56" t="s">
        <v>128</v>
      </c>
      <c r="AW4" s="56" t="s">
        <v>447</v>
      </c>
      <c r="AX4" s="56" t="s">
        <v>440</v>
      </c>
      <c r="AY4" s="58" t="s">
        <v>746</v>
      </c>
      <c r="AZ4" s="56" t="s">
        <v>441</v>
      </c>
      <c r="BA4" s="56" t="s">
        <v>442</v>
      </c>
      <c r="BB4" s="58" t="s">
        <v>771</v>
      </c>
      <c r="BC4" s="58" t="s">
        <v>765</v>
      </c>
      <c r="BD4" s="7" t="s">
        <v>133</v>
      </c>
      <c r="BE4" s="7" t="s">
        <v>134</v>
      </c>
      <c r="BF4" s="7" t="s">
        <v>135</v>
      </c>
      <c r="BG4" s="7" t="s">
        <v>136</v>
      </c>
      <c r="BH4" s="8" t="s">
        <v>146</v>
      </c>
      <c r="BI4" s="7" t="s">
        <v>145</v>
      </c>
      <c r="BJ4" s="58" t="s">
        <v>747</v>
      </c>
      <c r="BK4" s="58" t="s">
        <v>764</v>
      </c>
      <c r="BL4" s="7" t="s">
        <v>139</v>
      </c>
      <c r="BM4" s="8" t="s">
        <v>138</v>
      </c>
      <c r="BN4" s="55" t="s">
        <v>323</v>
      </c>
      <c r="BO4" s="17" t="s">
        <v>748</v>
      </c>
      <c r="BP4" s="7" t="s">
        <v>36</v>
      </c>
      <c r="BQ4" s="19" t="s">
        <v>34</v>
      </c>
      <c r="BR4" s="19" t="s">
        <v>52</v>
      </c>
      <c r="BS4" s="19" t="s">
        <v>11</v>
      </c>
      <c r="BT4" s="19" t="s">
        <v>12</v>
      </c>
      <c r="BU4" s="19" t="s">
        <v>13</v>
      </c>
      <c r="BV4" s="20" t="s">
        <v>755</v>
      </c>
      <c r="BW4" s="7" t="s">
        <v>50</v>
      </c>
      <c r="BX4" s="7" t="s">
        <v>51</v>
      </c>
      <c r="BY4" s="58" t="s">
        <v>756</v>
      </c>
      <c r="BZ4" s="7" t="s">
        <v>53</v>
      </c>
      <c r="CA4" s="7" t="s">
        <v>54</v>
      </c>
      <c r="CB4" s="7" t="s">
        <v>805</v>
      </c>
      <c r="CC4" s="8" t="s">
        <v>191</v>
      </c>
      <c r="CD4" s="115" t="s">
        <v>630</v>
      </c>
      <c r="CE4" s="7" t="s">
        <v>137</v>
      </c>
      <c r="CF4" s="58" t="s">
        <v>780</v>
      </c>
      <c r="CG4" s="8" t="s">
        <v>41</v>
      </c>
      <c r="CH4" s="20" t="s">
        <v>776</v>
      </c>
      <c r="CI4" s="19" t="s">
        <v>17</v>
      </c>
      <c r="CJ4" s="19" t="s">
        <v>779</v>
      </c>
      <c r="CK4" s="183" t="s">
        <v>783</v>
      </c>
      <c r="CL4" s="58" t="s">
        <v>796</v>
      </c>
      <c r="CM4" s="19" t="s">
        <v>774</v>
      </c>
      <c r="CN4" s="19" t="s">
        <v>773</v>
      </c>
      <c r="CO4" s="19" t="s">
        <v>775</v>
      </c>
      <c r="CP4" s="177" t="s">
        <v>784</v>
      </c>
      <c r="CQ4" s="183" t="s">
        <v>781</v>
      </c>
      <c r="CR4" s="7" t="s">
        <v>119</v>
      </c>
      <c r="CS4" s="7" t="s">
        <v>120</v>
      </c>
      <c r="CT4" s="183" t="s">
        <v>129</v>
      </c>
      <c r="CU4" s="7" t="s">
        <v>143</v>
      </c>
      <c r="CV4" s="7" t="s">
        <v>144</v>
      </c>
      <c r="CW4" s="176" t="s">
        <v>151</v>
      </c>
      <c r="CX4" s="7" t="s">
        <v>123</v>
      </c>
      <c r="CY4" s="7" t="s">
        <v>126</v>
      </c>
      <c r="CZ4" s="178" t="s">
        <v>782</v>
      </c>
      <c r="DA4" s="58" t="s">
        <v>791</v>
      </c>
      <c r="DB4" s="58" t="s">
        <v>792</v>
      </c>
      <c r="DC4" s="176" t="s">
        <v>785</v>
      </c>
      <c r="DD4" s="17" t="s">
        <v>320</v>
      </c>
      <c r="DE4" s="17" t="s">
        <v>321</v>
      </c>
      <c r="DF4" s="18" t="s">
        <v>55</v>
      </c>
      <c r="DG4" s="18" t="s">
        <v>56</v>
      </c>
      <c r="DH4" s="18" t="s">
        <v>57</v>
      </c>
      <c r="DI4" s="18" t="s">
        <v>58</v>
      </c>
      <c r="DJ4" s="18" t="s">
        <v>59</v>
      </c>
      <c r="DK4" s="18" t="s">
        <v>60</v>
      </c>
      <c r="DL4" s="18" t="s">
        <v>61</v>
      </c>
      <c r="DM4" s="18" t="s">
        <v>62</v>
      </c>
      <c r="DN4" s="18" t="s">
        <v>63</v>
      </c>
      <c r="DO4" s="18" t="s">
        <v>64</v>
      </c>
      <c r="DP4" s="18" t="s">
        <v>289</v>
      </c>
      <c r="DQ4" s="18" t="s">
        <v>560</v>
      </c>
      <c r="DR4" s="116" t="s">
        <v>577</v>
      </c>
      <c r="DS4" s="116" t="s">
        <v>601</v>
      </c>
      <c r="DT4" s="180" t="s">
        <v>750</v>
      </c>
      <c r="DU4" s="117" t="s">
        <v>578</v>
      </c>
      <c r="DV4" s="19" t="s">
        <v>44</v>
      </c>
      <c r="DW4" s="19" t="s">
        <v>22</v>
      </c>
      <c r="DX4" s="19" t="s">
        <v>290</v>
      </c>
      <c r="DY4" s="19" t="s">
        <v>256</v>
      </c>
      <c r="DZ4" s="19" t="s">
        <v>257</v>
      </c>
      <c r="EA4" s="19" t="s">
        <v>39</v>
      </c>
      <c r="EB4" s="19" t="s">
        <v>32</v>
      </c>
      <c r="EC4" s="19" t="s">
        <v>47</v>
      </c>
      <c r="ED4" s="19" t="s">
        <v>65</v>
      </c>
      <c r="EE4" s="7" t="s">
        <v>66</v>
      </c>
      <c r="EF4" s="7" t="s">
        <v>67</v>
      </c>
      <c r="EG4" s="10" t="s">
        <v>68</v>
      </c>
      <c r="EH4" s="7" t="s">
        <v>69</v>
      </c>
      <c r="EI4" s="7" t="s">
        <v>70</v>
      </c>
      <c r="EJ4" s="57" t="s">
        <v>314</v>
      </c>
      <c r="EK4" s="7" t="s">
        <v>114</v>
      </c>
      <c r="EL4" s="7" t="s">
        <v>113</v>
      </c>
      <c r="EM4" s="119" t="s">
        <v>772</v>
      </c>
      <c r="EN4" s="55" t="s">
        <v>71</v>
      </c>
      <c r="EO4" s="19" t="s">
        <v>72</v>
      </c>
      <c r="EP4" s="19" t="s">
        <v>115</v>
      </c>
      <c r="EQ4" s="19" t="s">
        <v>147</v>
      </c>
      <c r="ER4" s="58" t="s">
        <v>95</v>
      </c>
      <c r="ES4" s="17" t="s">
        <v>100</v>
      </c>
      <c r="ET4" s="183" t="s">
        <v>99</v>
      </c>
      <c r="EU4" s="19" t="s">
        <v>140</v>
      </c>
      <c r="EV4" s="58" t="s">
        <v>766</v>
      </c>
      <c r="EW4" s="55" t="s">
        <v>767</v>
      </c>
      <c r="EX4" s="55" t="s">
        <v>806</v>
      </c>
      <c r="EY4" s="19" t="s">
        <v>768</v>
      </c>
      <c r="EZ4" s="183" t="s">
        <v>828</v>
      </c>
      <c r="FA4" s="58" t="s">
        <v>332</v>
      </c>
      <c r="FB4" s="55" t="s">
        <v>132</v>
      </c>
      <c r="FC4" s="19" t="s">
        <v>149</v>
      </c>
      <c r="FD4" s="17" t="s">
        <v>101</v>
      </c>
      <c r="FE4" s="17" t="s">
        <v>102</v>
      </c>
      <c r="FF4" s="17" t="s">
        <v>103</v>
      </c>
      <c r="FG4" s="19" t="s">
        <v>98</v>
      </c>
      <c r="FH4" s="17" t="s">
        <v>104</v>
      </c>
      <c r="FI4" s="19" t="s">
        <v>122</v>
      </c>
      <c r="FJ4" s="58" t="s">
        <v>579</v>
      </c>
      <c r="FK4" s="55" t="s">
        <v>602</v>
      </c>
      <c r="FL4" s="19" t="s">
        <v>583</v>
      </c>
      <c r="FM4" s="58" t="s">
        <v>428</v>
      </c>
      <c r="FN4" s="17" t="s">
        <v>105</v>
      </c>
      <c r="FO4" s="118" t="s">
        <v>584</v>
      </c>
      <c r="FP4" s="58" t="s">
        <v>429</v>
      </c>
      <c r="FQ4" s="17" t="s">
        <v>106</v>
      </c>
      <c r="FR4" s="118" t="s">
        <v>585</v>
      </c>
      <c r="FS4" s="58" t="s">
        <v>430</v>
      </c>
      <c r="FT4" s="17" t="s">
        <v>107</v>
      </c>
      <c r="FU4" s="19" t="s">
        <v>121</v>
      </c>
      <c r="FV4" s="58" t="s">
        <v>73</v>
      </c>
      <c r="FW4" s="17" t="s">
        <v>74</v>
      </c>
      <c r="FX4" s="19" t="s">
        <v>75</v>
      </c>
      <c r="FY4" s="58" t="s">
        <v>580</v>
      </c>
      <c r="FZ4" s="59" t="s">
        <v>603</v>
      </c>
      <c r="GA4" s="118" t="s">
        <v>587</v>
      </c>
      <c r="GB4" s="58" t="s">
        <v>304</v>
      </c>
      <c r="GC4" s="59" t="s">
        <v>305</v>
      </c>
      <c r="GD4" s="118" t="s">
        <v>588</v>
      </c>
      <c r="GE4" s="58" t="s">
        <v>328</v>
      </c>
      <c r="GF4" s="17" t="s">
        <v>470</v>
      </c>
      <c r="GG4" s="118" t="s">
        <v>589</v>
      </c>
      <c r="GH4" s="58" t="s">
        <v>427</v>
      </c>
      <c r="GI4" s="17" t="s">
        <v>343</v>
      </c>
      <c r="GJ4" s="60" t="s">
        <v>306</v>
      </c>
      <c r="GK4" s="17" t="s">
        <v>307</v>
      </c>
      <c r="GL4" s="60" t="s">
        <v>308</v>
      </c>
      <c r="GM4" s="17" t="s">
        <v>309</v>
      </c>
      <c r="GN4" s="58" t="s">
        <v>76</v>
      </c>
      <c r="GO4" s="55" t="s">
        <v>77</v>
      </c>
      <c r="GP4" s="19" t="s">
        <v>141</v>
      </c>
      <c r="GQ4" s="58" t="s">
        <v>78</v>
      </c>
      <c r="GR4" s="58" t="s">
        <v>80</v>
      </c>
      <c r="GS4" s="19" t="s">
        <v>110</v>
      </c>
      <c r="GT4" s="55" t="s">
        <v>79</v>
      </c>
      <c r="GU4" s="19" t="s">
        <v>142</v>
      </c>
      <c r="GV4" s="19" t="s">
        <v>148</v>
      </c>
      <c r="GW4" s="17" t="s">
        <v>249</v>
      </c>
      <c r="GX4" s="17" t="s">
        <v>111</v>
      </c>
      <c r="GY4" s="17" t="s">
        <v>24</v>
      </c>
      <c r="GZ4" s="119" t="s">
        <v>590</v>
      </c>
      <c r="HA4" s="114" t="s">
        <v>591</v>
      </c>
      <c r="HB4" s="119" t="s">
        <v>592</v>
      </c>
      <c r="HC4" s="114" t="s">
        <v>593</v>
      </c>
      <c r="HD4" s="119" t="s">
        <v>594</v>
      </c>
      <c r="HE4" s="114" t="s">
        <v>604</v>
      </c>
      <c r="HF4" s="114" t="s">
        <v>576</v>
      </c>
      <c r="HG4" s="19" t="s">
        <v>284</v>
      </c>
      <c r="HH4" s="19" t="s">
        <v>344</v>
      </c>
      <c r="HI4" s="19" t="s">
        <v>340</v>
      </c>
      <c r="HJ4" s="19" t="s">
        <v>330</v>
      </c>
      <c r="HK4" s="19" t="s">
        <v>287</v>
      </c>
      <c r="HL4" s="19" t="s">
        <v>329</v>
      </c>
      <c r="HM4" s="19" t="s">
        <v>337</v>
      </c>
      <c r="HN4" s="19" t="s">
        <v>336</v>
      </c>
      <c r="HO4" s="61" t="s">
        <v>356</v>
      </c>
      <c r="HP4" s="17" t="s">
        <v>288</v>
      </c>
      <c r="HQ4" s="17" t="s">
        <v>787</v>
      </c>
      <c r="HR4" s="181" t="s">
        <v>788</v>
      </c>
      <c r="HS4" s="17" t="s">
        <v>544</v>
      </c>
      <c r="HT4" s="17" t="s">
        <v>259</v>
      </c>
      <c r="HU4" s="17" t="s">
        <v>545</v>
      </c>
      <c r="HV4" s="17" t="s">
        <v>258</v>
      </c>
      <c r="HW4" s="17" t="s">
        <v>546</v>
      </c>
      <c r="HX4" s="17" t="s">
        <v>264</v>
      </c>
      <c r="HY4" s="7" t="s">
        <v>33</v>
      </c>
      <c r="HZ4" s="19" t="s">
        <v>14</v>
      </c>
      <c r="IA4" s="17" t="s">
        <v>659</v>
      </c>
      <c r="IB4" s="120" t="s">
        <v>754</v>
      </c>
      <c r="IC4" s="8" t="s">
        <v>108</v>
      </c>
      <c r="ID4" s="7" t="s">
        <v>109</v>
      </c>
      <c r="IE4" s="19" t="s">
        <v>326</v>
      </c>
      <c r="IF4" s="8" t="s">
        <v>490</v>
      </c>
      <c r="IG4" s="19" t="s">
        <v>335</v>
      </c>
      <c r="IH4" s="40" t="s">
        <v>333</v>
      </c>
      <c r="II4" s="19" t="s">
        <v>334</v>
      </c>
      <c r="IJ4" s="62" t="s">
        <v>250</v>
      </c>
      <c r="IK4" s="62" t="s">
        <v>23</v>
      </c>
      <c r="IL4" s="160" t="s">
        <v>654</v>
      </c>
      <c r="IM4" s="160" t="s">
        <v>655</v>
      </c>
      <c r="IN4" s="62" t="s">
        <v>27</v>
      </c>
      <c r="IO4" s="62" t="s">
        <v>500</v>
      </c>
      <c r="IP4" s="9" t="s">
        <v>81</v>
      </c>
      <c r="IQ4" s="62" t="s">
        <v>502</v>
      </c>
      <c r="IR4" s="62" t="s">
        <v>417</v>
      </c>
      <c r="IS4" s="62" t="s">
        <v>16</v>
      </c>
      <c r="IT4" s="62" t="s">
        <v>596</v>
      </c>
      <c r="IU4" s="61" t="s">
        <v>316</v>
      </c>
      <c r="IV4" s="61" t="s">
        <v>318</v>
      </c>
      <c r="IW4" s="61" t="s">
        <v>317</v>
      </c>
      <c r="IX4" s="61" t="s">
        <v>352</v>
      </c>
      <c r="IY4" s="61" t="s">
        <v>353</v>
      </c>
      <c r="IZ4" s="61" t="s">
        <v>319</v>
      </c>
      <c r="JA4" s="7" t="s">
        <v>125</v>
      </c>
      <c r="JB4" s="7" t="s">
        <v>35</v>
      </c>
      <c r="JC4" s="7" t="s">
        <v>82</v>
      </c>
      <c r="JD4" s="8" t="s">
        <v>156</v>
      </c>
      <c r="JE4" s="9" t="s">
        <v>40</v>
      </c>
      <c r="JF4" s="8" t="s">
        <v>513</v>
      </c>
      <c r="JG4" s="7" t="s">
        <v>83</v>
      </c>
      <c r="JH4" s="7" t="s">
        <v>84</v>
      </c>
      <c r="JI4" s="7" t="s">
        <v>37</v>
      </c>
      <c r="JJ4" s="7" t="s">
        <v>38</v>
      </c>
      <c r="JK4" s="7" t="s">
        <v>116</v>
      </c>
      <c r="JL4" s="7" t="s">
        <v>96</v>
      </c>
      <c r="JM4" s="7" t="s">
        <v>85</v>
      </c>
      <c r="JN4" s="8" t="s">
        <v>155</v>
      </c>
      <c r="JO4" s="9" t="s">
        <v>86</v>
      </c>
      <c r="JP4" s="7" t="s">
        <v>87</v>
      </c>
      <c r="JQ4" s="7" t="s">
        <v>88</v>
      </c>
      <c r="JR4" s="7" t="s">
        <v>89</v>
      </c>
      <c r="JS4" s="7" t="s">
        <v>90</v>
      </c>
      <c r="JT4" s="7" t="s">
        <v>91</v>
      </c>
      <c r="JU4" s="7" t="s">
        <v>117</v>
      </c>
      <c r="JV4" s="7" t="s">
        <v>97</v>
      </c>
      <c r="JW4" s="10" t="s">
        <v>92</v>
      </c>
      <c r="JX4" s="9" t="s">
        <v>153</v>
      </c>
      <c r="JY4" s="7" t="s">
        <v>93</v>
      </c>
      <c r="JZ4" s="9" t="s">
        <v>154</v>
      </c>
      <c r="KA4" s="61" t="s">
        <v>416</v>
      </c>
      <c r="KB4" s="61" t="s">
        <v>354</v>
      </c>
      <c r="KC4" s="61" t="s">
        <v>355</v>
      </c>
      <c r="KD4" s="7" t="s">
        <v>124</v>
      </c>
      <c r="KE4" s="7" t="s">
        <v>118</v>
      </c>
      <c r="KF4" s="67" t="s">
        <v>551</v>
      </c>
      <c r="KG4" s="56" t="s">
        <v>552</v>
      </c>
      <c r="KH4" s="63" t="s">
        <v>345</v>
      </c>
      <c r="KI4" s="63" t="s">
        <v>338</v>
      </c>
      <c r="KJ4" s="63" t="s">
        <v>339</v>
      </c>
      <c r="KK4" s="63" t="s">
        <v>346</v>
      </c>
      <c r="KL4" s="65" t="s">
        <v>547</v>
      </c>
      <c r="KM4" s="65" t="s">
        <v>548</v>
      </c>
      <c r="KN4" s="65" t="s">
        <v>549</v>
      </c>
      <c r="KO4" s="64" t="s">
        <v>523</v>
      </c>
      <c r="KP4" s="64" t="s">
        <v>348</v>
      </c>
      <c r="KQ4" s="64" t="s">
        <v>350</v>
      </c>
      <c r="KR4" s="64" t="s">
        <v>349</v>
      </c>
      <c r="KS4" s="199" t="s">
        <v>347</v>
      </c>
      <c r="KT4" s="195" t="s">
        <v>265</v>
      </c>
      <c r="KU4" s="196" t="s">
        <v>263</v>
      </c>
      <c r="KV4" s="193" t="s">
        <v>262</v>
      </c>
      <c r="KW4" s="197" t="s">
        <v>293</v>
      </c>
      <c r="KX4" s="200" t="s">
        <v>267</v>
      </c>
      <c r="KY4" s="201" t="s">
        <v>268</v>
      </c>
      <c r="KZ4" s="193" t="s">
        <v>292</v>
      </c>
      <c r="LA4" s="202" t="s">
        <v>294</v>
      </c>
      <c r="LB4" s="195" t="s">
        <v>269</v>
      </c>
      <c r="LC4" s="196" t="s">
        <v>266</v>
      </c>
      <c r="LD4" s="193" t="s">
        <v>295</v>
      </c>
      <c r="LE4" s="197" t="s">
        <v>296</v>
      </c>
      <c r="LF4" s="200" t="s">
        <v>270</v>
      </c>
      <c r="LG4" s="201" t="s">
        <v>271</v>
      </c>
      <c r="LH4" s="193" t="s">
        <v>297</v>
      </c>
      <c r="LI4" s="202" t="s">
        <v>298</v>
      </c>
      <c r="LJ4" s="195" t="s">
        <v>272</v>
      </c>
      <c r="LK4" s="196" t="s">
        <v>273</v>
      </c>
      <c r="LL4" s="193" t="s">
        <v>299</v>
      </c>
      <c r="LM4" s="197" t="s">
        <v>300</v>
      </c>
      <c r="LN4" s="191" t="s">
        <v>291</v>
      </c>
      <c r="LO4" s="192" t="s">
        <v>274</v>
      </c>
      <c r="LP4" s="193" t="s">
        <v>301</v>
      </c>
      <c r="LQ4" s="194" t="s">
        <v>275</v>
      </c>
      <c r="LR4" s="191" t="s">
        <v>331</v>
      </c>
      <c r="LS4" s="192" t="s">
        <v>276</v>
      </c>
      <c r="LT4" s="193" t="s">
        <v>302</v>
      </c>
      <c r="LU4" s="194" t="s">
        <v>303</v>
      </c>
      <c r="LV4" s="191" t="s">
        <v>564</v>
      </c>
      <c r="LW4" s="192" t="s">
        <v>565</v>
      </c>
      <c r="LX4" s="193" t="s">
        <v>566</v>
      </c>
      <c r="LY4" s="194" t="s">
        <v>567</v>
      </c>
      <c r="LZ4" s="195" t="s">
        <v>568</v>
      </c>
      <c r="MA4" s="196" t="s">
        <v>569</v>
      </c>
      <c r="MB4" s="193" t="s">
        <v>570</v>
      </c>
      <c r="MC4" s="197" t="s">
        <v>571</v>
      </c>
      <c r="MD4" s="191" t="s">
        <v>572</v>
      </c>
      <c r="ME4" s="192" t="s">
        <v>573</v>
      </c>
      <c r="MF4" s="193" t="s">
        <v>574</v>
      </c>
      <c r="MG4" s="194" t="s">
        <v>575</v>
      </c>
    </row>
    <row r="5" spans="1:345" ht="347.25" customHeight="1" x14ac:dyDescent="0.25">
      <c r="A5" s="11" t="s">
        <v>431</v>
      </c>
      <c r="B5" s="11" t="s">
        <v>432</v>
      </c>
      <c r="C5" s="11" t="s">
        <v>434</v>
      </c>
      <c r="D5" s="11" t="s">
        <v>624</v>
      </c>
      <c r="E5" s="11" t="s">
        <v>157</v>
      </c>
      <c r="F5" s="11" t="s">
        <v>158</v>
      </c>
      <c r="G5" s="11" t="s">
        <v>159</v>
      </c>
      <c r="H5" s="11" t="s">
        <v>160</v>
      </c>
      <c r="I5" s="12" t="s">
        <v>161</v>
      </c>
      <c r="J5" s="13" t="s">
        <v>162</v>
      </c>
      <c r="K5" s="14" t="s">
        <v>163</v>
      </c>
      <c r="L5" s="182" t="s">
        <v>807</v>
      </c>
      <c r="M5" s="11" t="s">
        <v>166</v>
      </c>
      <c r="N5" s="14" t="s">
        <v>164</v>
      </c>
      <c r="O5" s="11" t="s">
        <v>165</v>
      </c>
      <c r="P5" s="11" t="s">
        <v>185</v>
      </c>
      <c r="Q5" s="11" t="s">
        <v>808</v>
      </c>
      <c r="R5" s="11" t="s">
        <v>457</v>
      </c>
      <c r="S5" s="11" t="s">
        <v>167</v>
      </c>
      <c r="T5" s="11" t="s">
        <v>168</v>
      </c>
      <c r="U5" s="11" t="s">
        <v>169</v>
      </c>
      <c r="V5" s="11" t="s">
        <v>170</v>
      </c>
      <c r="W5" s="11" t="s">
        <v>171</v>
      </c>
      <c r="X5" s="11" t="s">
        <v>172</v>
      </c>
      <c r="Y5" s="11" t="s">
        <v>173</v>
      </c>
      <c r="Z5" s="11" t="s">
        <v>174</v>
      </c>
      <c r="AA5" s="11" t="s">
        <v>177</v>
      </c>
      <c r="AB5" s="11" t="s">
        <v>178</v>
      </c>
      <c r="AC5" s="11" t="s">
        <v>179</v>
      </c>
      <c r="AD5" s="182" t="s">
        <v>809</v>
      </c>
      <c r="AE5" s="11" t="s">
        <v>180</v>
      </c>
      <c r="AF5" s="11" t="s">
        <v>181</v>
      </c>
      <c r="AG5" s="182" t="s">
        <v>182</v>
      </c>
      <c r="AH5" s="11" t="s">
        <v>183</v>
      </c>
      <c r="AI5" s="11" t="s">
        <v>793</v>
      </c>
      <c r="AJ5" s="11" t="s">
        <v>184</v>
      </c>
      <c r="AK5" s="11" t="s">
        <v>186</v>
      </c>
      <c r="AL5" s="399" t="s">
        <v>187</v>
      </c>
      <c r="AM5" s="399"/>
      <c r="AN5" s="399"/>
      <c r="AO5" s="399"/>
      <c r="AP5" s="399"/>
      <c r="AQ5" s="399"/>
      <c r="AR5" s="399"/>
      <c r="AS5" s="11" t="s">
        <v>194</v>
      </c>
      <c r="AT5" s="11" t="s">
        <v>188</v>
      </c>
      <c r="AU5" s="11" t="s">
        <v>189</v>
      </c>
      <c r="AV5" s="11" t="s">
        <v>446</v>
      </c>
      <c r="AW5" s="11" t="s">
        <v>190</v>
      </c>
      <c r="AX5" s="11" t="s">
        <v>443</v>
      </c>
      <c r="AY5" s="11" t="s">
        <v>810</v>
      </c>
      <c r="AZ5" s="11" t="s">
        <v>444</v>
      </c>
      <c r="BA5" s="11" t="s">
        <v>445</v>
      </c>
      <c r="BB5" s="11" t="s">
        <v>811</v>
      </c>
      <c r="BC5" s="11" t="s">
        <v>812</v>
      </c>
      <c r="BD5" s="11" t="s">
        <v>193</v>
      </c>
      <c r="BE5" s="11" t="s">
        <v>196</v>
      </c>
      <c r="BF5" s="11" t="s">
        <v>197</v>
      </c>
      <c r="BG5" s="11" t="s">
        <v>192</v>
      </c>
      <c r="BH5" s="11" t="s">
        <v>198</v>
      </c>
      <c r="BI5" s="11" t="s">
        <v>195</v>
      </c>
      <c r="BJ5" s="11" t="s">
        <v>195</v>
      </c>
      <c r="BK5" s="11" t="s">
        <v>195</v>
      </c>
      <c r="BL5" s="11" t="s">
        <v>192</v>
      </c>
      <c r="BM5" s="11" t="s">
        <v>195</v>
      </c>
      <c r="BN5" s="11" t="s">
        <v>199</v>
      </c>
      <c r="BO5" s="11" t="s">
        <v>201</v>
      </c>
      <c r="BP5" s="11" t="s">
        <v>813</v>
      </c>
      <c r="BQ5" s="11" t="s">
        <v>200</v>
      </c>
      <c r="BR5" s="121" t="s">
        <v>814</v>
      </c>
      <c r="BS5" s="11" t="s">
        <v>815</v>
      </c>
      <c r="BT5" s="182" t="s">
        <v>816</v>
      </c>
      <c r="BU5" s="11" t="s">
        <v>202</v>
      </c>
      <c r="BV5" s="11" t="s">
        <v>817</v>
      </c>
      <c r="BW5" s="11" t="s">
        <v>203</v>
      </c>
      <c r="BX5" s="11" t="s">
        <v>204</v>
      </c>
      <c r="BY5" s="11" t="s">
        <v>818</v>
      </c>
      <c r="BZ5" s="11" t="s">
        <v>205</v>
      </c>
      <c r="CA5" s="11" t="s">
        <v>206</v>
      </c>
      <c r="CB5" s="11" t="s">
        <v>448</v>
      </c>
      <c r="CC5" s="11" t="s">
        <v>449</v>
      </c>
      <c r="CD5" s="11" t="s">
        <v>605</v>
      </c>
      <c r="CE5" s="11" t="s">
        <v>450</v>
      </c>
      <c r="CF5" s="182" t="s">
        <v>819</v>
      </c>
      <c r="CG5" s="11" t="s">
        <v>207</v>
      </c>
      <c r="CH5" s="11" t="s">
        <v>794</v>
      </c>
      <c r="CI5" s="11" t="s">
        <v>820</v>
      </c>
      <c r="CJ5" s="11" t="s">
        <v>208</v>
      </c>
      <c r="CK5" s="11" t="s">
        <v>795</v>
      </c>
      <c r="CL5" s="11" t="s">
        <v>821</v>
      </c>
      <c r="CM5" s="11" t="s">
        <v>797</v>
      </c>
      <c r="CN5" s="11" t="s">
        <v>798</v>
      </c>
      <c r="CO5" s="11" t="s">
        <v>822</v>
      </c>
      <c r="CP5" s="11" t="s">
        <v>823</v>
      </c>
      <c r="CQ5" s="11" t="s">
        <v>824</v>
      </c>
      <c r="CR5" s="11" t="s">
        <v>451</v>
      </c>
      <c r="CS5" s="11" t="s">
        <v>452</v>
      </c>
      <c r="CT5" s="11" t="s">
        <v>209</v>
      </c>
      <c r="CU5" s="11" t="s">
        <v>453</v>
      </c>
      <c r="CV5" s="11" t="s">
        <v>454</v>
      </c>
      <c r="CW5" s="11" t="s">
        <v>210</v>
      </c>
      <c r="CX5" s="11" t="s">
        <v>211</v>
      </c>
      <c r="CY5" s="11" t="s">
        <v>212</v>
      </c>
      <c r="CZ5" s="11" t="s">
        <v>210</v>
      </c>
      <c r="DA5" s="11" t="s">
        <v>799</v>
      </c>
      <c r="DB5" s="11" t="s">
        <v>800</v>
      </c>
      <c r="DC5" s="11" t="s">
        <v>210</v>
      </c>
      <c r="DD5" s="11" t="s">
        <v>455</v>
      </c>
      <c r="DE5" s="11" t="s">
        <v>455</v>
      </c>
      <c r="DF5" s="394" t="s">
        <v>458</v>
      </c>
      <c r="DG5" s="395"/>
      <c r="DH5" s="395"/>
      <c r="DI5" s="395"/>
      <c r="DJ5" s="395"/>
      <c r="DK5" s="395"/>
      <c r="DL5" s="395"/>
      <c r="DM5" s="395"/>
      <c r="DN5" s="395"/>
      <c r="DO5" s="395"/>
      <c r="DP5" s="395"/>
      <c r="DQ5" s="396"/>
      <c r="DR5" s="112" t="s">
        <v>625</v>
      </c>
      <c r="DS5" s="11" t="s">
        <v>606</v>
      </c>
      <c r="DT5" s="179" t="s">
        <v>801</v>
      </c>
      <c r="DU5" s="112" t="s">
        <v>607</v>
      </c>
      <c r="DV5" s="11" t="s">
        <v>460</v>
      </c>
      <c r="DW5" s="11" t="s">
        <v>459</v>
      </c>
      <c r="DX5" s="11" t="s">
        <v>626</v>
      </c>
      <c r="DY5" s="122" t="s">
        <v>461</v>
      </c>
      <c r="DZ5" s="122" t="s">
        <v>462</v>
      </c>
      <c r="EA5" s="113" t="s">
        <v>213</v>
      </c>
      <c r="EB5" s="113" t="s">
        <v>214</v>
      </c>
      <c r="EC5" s="11" t="s">
        <v>215</v>
      </c>
      <c r="ED5" s="113" t="s">
        <v>463</v>
      </c>
      <c r="EE5" s="400" t="s">
        <v>216</v>
      </c>
      <c r="EF5" s="401"/>
      <c r="EG5" s="401"/>
      <c r="EH5" s="401"/>
      <c r="EI5" s="402"/>
      <c r="EJ5" s="113" t="s">
        <v>464</v>
      </c>
      <c r="EK5" s="113" t="s">
        <v>465</v>
      </c>
      <c r="EL5" s="113" t="s">
        <v>466</v>
      </c>
      <c r="EM5" s="113" t="s">
        <v>825</v>
      </c>
      <c r="EN5" s="113" t="s">
        <v>217</v>
      </c>
      <c r="EO5" s="113" t="s">
        <v>218</v>
      </c>
      <c r="EP5" s="113" t="s">
        <v>219</v>
      </c>
      <c r="EQ5" s="113" t="s">
        <v>220</v>
      </c>
      <c r="ER5" s="113" t="s">
        <v>221</v>
      </c>
      <c r="ES5" s="113" t="s">
        <v>217</v>
      </c>
      <c r="ET5" s="113" t="s">
        <v>826</v>
      </c>
      <c r="EU5" s="113" t="s">
        <v>219</v>
      </c>
      <c r="EV5" s="113" t="s">
        <v>830</v>
      </c>
      <c r="EW5" s="113" t="s">
        <v>829</v>
      </c>
      <c r="EX5" s="113" t="s">
        <v>831</v>
      </c>
      <c r="EY5" s="11" t="s">
        <v>223</v>
      </c>
      <c r="EZ5" s="113" t="s">
        <v>832</v>
      </c>
      <c r="FA5" s="113" t="s">
        <v>224</v>
      </c>
      <c r="FB5" s="113" t="s">
        <v>467</v>
      </c>
      <c r="FC5" s="11" t="s">
        <v>833</v>
      </c>
      <c r="FD5" s="113" t="s">
        <v>225</v>
      </c>
      <c r="FE5" s="113" t="s">
        <v>226</v>
      </c>
      <c r="FF5" s="113" t="s">
        <v>227</v>
      </c>
      <c r="FG5" s="113" t="s">
        <v>228</v>
      </c>
      <c r="FH5" s="113" t="s">
        <v>222</v>
      </c>
      <c r="FI5" s="11" t="s">
        <v>229</v>
      </c>
      <c r="FJ5" s="123" t="s">
        <v>608</v>
      </c>
      <c r="FK5" s="113" t="s">
        <v>609</v>
      </c>
      <c r="FL5" s="11" t="s">
        <v>610</v>
      </c>
      <c r="FM5" s="123" t="s">
        <v>611</v>
      </c>
      <c r="FN5" s="113" t="s">
        <v>230</v>
      </c>
      <c r="FO5" s="11" t="s">
        <v>612</v>
      </c>
      <c r="FP5" s="123" t="s">
        <v>613</v>
      </c>
      <c r="FQ5" s="113" t="s">
        <v>230</v>
      </c>
      <c r="FR5" s="11" t="s">
        <v>614</v>
      </c>
      <c r="FS5" s="123" t="s">
        <v>613</v>
      </c>
      <c r="FT5" s="113" t="s">
        <v>231</v>
      </c>
      <c r="FU5" s="11" t="s">
        <v>615</v>
      </c>
      <c r="FV5" s="11" t="s">
        <v>233</v>
      </c>
      <c r="FW5" s="113" t="s">
        <v>234</v>
      </c>
      <c r="FX5" s="11" t="s">
        <v>232</v>
      </c>
      <c r="FY5" s="11" t="s">
        <v>835</v>
      </c>
      <c r="FZ5" s="113" t="s">
        <v>469</v>
      </c>
      <c r="GA5" s="11" t="s">
        <v>610</v>
      </c>
      <c r="GB5" s="11" t="s">
        <v>836</v>
      </c>
      <c r="GC5" s="113" t="s">
        <v>469</v>
      </c>
      <c r="GD5" s="11" t="s">
        <v>612</v>
      </c>
      <c r="GE5" s="11" t="s">
        <v>837</v>
      </c>
      <c r="GF5" s="113" t="s">
        <v>235</v>
      </c>
      <c r="GG5" s="11" t="s">
        <v>614</v>
      </c>
      <c r="GH5" s="11" t="s">
        <v>468</v>
      </c>
      <c r="GI5" s="113" t="s">
        <v>469</v>
      </c>
      <c r="GJ5" s="11" t="s">
        <v>472</v>
      </c>
      <c r="GK5" s="113" t="s">
        <v>473</v>
      </c>
      <c r="GL5" s="11" t="s">
        <v>471</v>
      </c>
      <c r="GM5" s="11" t="s">
        <v>474</v>
      </c>
      <c r="GN5" s="11" t="s">
        <v>476</v>
      </c>
      <c r="GO5" s="113" t="s">
        <v>475</v>
      </c>
      <c r="GP5" s="11" t="s">
        <v>237</v>
      </c>
      <c r="GQ5" s="11" t="s">
        <v>476</v>
      </c>
      <c r="GR5" s="11" t="s">
        <v>476</v>
      </c>
      <c r="GS5" s="11" t="s">
        <v>477</v>
      </c>
      <c r="GT5" s="113" t="s">
        <v>478</v>
      </c>
      <c r="GU5" s="11" t="s">
        <v>238</v>
      </c>
      <c r="GV5" s="11" t="s">
        <v>236</v>
      </c>
      <c r="GW5" s="11" t="s">
        <v>479</v>
      </c>
      <c r="GX5" s="11" t="s">
        <v>480</v>
      </c>
      <c r="GY5" s="11" t="s">
        <v>481</v>
      </c>
      <c r="GZ5" s="113" t="s">
        <v>616</v>
      </c>
      <c r="HA5" s="113" t="s">
        <v>617</v>
      </c>
      <c r="HB5" s="113" t="s">
        <v>618</v>
      </c>
      <c r="HC5" s="113" t="s">
        <v>619</v>
      </c>
      <c r="HD5" s="113" t="s">
        <v>618</v>
      </c>
      <c r="HE5" s="11" t="s">
        <v>620</v>
      </c>
      <c r="HF5" s="11" t="s">
        <v>621</v>
      </c>
      <c r="HG5" s="11" t="s">
        <v>482</v>
      </c>
      <c r="HH5" s="113" t="s">
        <v>483</v>
      </c>
      <c r="HI5" s="113" t="s">
        <v>484</v>
      </c>
      <c r="HJ5" s="113" t="s">
        <v>485</v>
      </c>
      <c r="HK5" s="113" t="s">
        <v>486</v>
      </c>
      <c r="HL5" s="113" t="s">
        <v>487</v>
      </c>
      <c r="HM5" s="11" t="s">
        <v>627</v>
      </c>
      <c r="HN5" s="11" t="s">
        <v>460</v>
      </c>
      <c r="HO5" s="113" t="s">
        <v>488</v>
      </c>
      <c r="HP5" s="184" t="s">
        <v>658</v>
      </c>
      <c r="HQ5" s="113" t="s">
        <v>838</v>
      </c>
      <c r="HR5" s="113" t="s">
        <v>839</v>
      </c>
      <c r="HS5" s="113" t="s">
        <v>555</v>
      </c>
      <c r="HT5" s="113" t="s">
        <v>657</v>
      </c>
      <c r="HU5" s="113" t="s">
        <v>556</v>
      </c>
      <c r="HV5" s="184" t="s">
        <v>789</v>
      </c>
      <c r="HW5" s="113" t="s">
        <v>557</v>
      </c>
      <c r="HX5" s="184" t="s">
        <v>652</v>
      </c>
      <c r="HY5" s="113" t="s">
        <v>241</v>
      </c>
      <c r="HZ5" s="113" t="s">
        <v>239</v>
      </c>
      <c r="IA5" s="11" t="s">
        <v>660</v>
      </c>
      <c r="IB5" s="182" t="s">
        <v>840</v>
      </c>
      <c r="IC5" s="113" t="s">
        <v>240</v>
      </c>
      <c r="ID5" s="113" t="s">
        <v>240</v>
      </c>
      <c r="IE5" s="113" t="s">
        <v>628</v>
      </c>
      <c r="IF5" s="113" t="s">
        <v>491</v>
      </c>
      <c r="IG5" s="113" t="s">
        <v>492</v>
      </c>
      <c r="IH5" s="113" t="s">
        <v>493</v>
      </c>
      <c r="II5" s="113" t="s">
        <v>494</v>
      </c>
      <c r="IJ5" s="113" t="s">
        <v>495</v>
      </c>
      <c r="IK5" s="113" t="s">
        <v>242</v>
      </c>
      <c r="IL5" s="113" t="s">
        <v>496</v>
      </c>
      <c r="IM5" s="113" t="s">
        <v>499</v>
      </c>
      <c r="IN5" s="113" t="s">
        <v>497</v>
      </c>
      <c r="IO5" s="11" t="s">
        <v>501</v>
      </c>
      <c r="IP5" s="11" t="s">
        <v>243</v>
      </c>
      <c r="IQ5" s="11" t="s">
        <v>656</v>
      </c>
      <c r="IR5" s="11" t="s">
        <v>503</v>
      </c>
      <c r="IS5" s="11" t="s">
        <v>504</v>
      </c>
      <c r="IT5" s="11" t="s">
        <v>622</v>
      </c>
      <c r="IU5" s="11" t="s">
        <v>505</v>
      </c>
      <c r="IV5" s="11" t="s">
        <v>506</v>
      </c>
      <c r="IW5" s="11" t="s">
        <v>507</v>
      </c>
      <c r="IX5" s="11" t="s">
        <v>508</v>
      </c>
      <c r="IY5" s="11" t="s">
        <v>509</v>
      </c>
      <c r="IZ5" s="11" t="s">
        <v>510</v>
      </c>
      <c r="JA5" s="11" t="s">
        <v>489</v>
      </c>
      <c r="JB5" s="11" t="s">
        <v>511</v>
      </c>
      <c r="JC5" s="11" t="s">
        <v>511</v>
      </c>
      <c r="JD5" s="11" t="s">
        <v>244</v>
      </c>
      <c r="JE5" s="11" t="s">
        <v>512</v>
      </c>
      <c r="JF5" s="113" t="s">
        <v>245</v>
      </c>
      <c r="JG5" s="11" t="s">
        <v>511</v>
      </c>
      <c r="JH5" s="113" t="s">
        <v>245</v>
      </c>
      <c r="JI5" s="11" t="s">
        <v>514</v>
      </c>
      <c r="JJ5" s="11" t="s">
        <v>514</v>
      </c>
      <c r="JK5" s="113" t="s">
        <v>515</v>
      </c>
      <c r="JL5" s="113" t="s">
        <v>516</v>
      </c>
      <c r="JM5" s="394" t="s">
        <v>246</v>
      </c>
      <c r="JN5" s="395"/>
      <c r="JO5" s="395"/>
      <c r="JP5" s="395"/>
      <c r="JQ5" s="395"/>
      <c r="JR5" s="395"/>
      <c r="JS5" s="395"/>
      <c r="JT5" s="395"/>
      <c r="JU5" s="395"/>
      <c r="JV5" s="396"/>
      <c r="JW5" s="113" t="s">
        <v>245</v>
      </c>
      <c r="JX5" s="113" t="s">
        <v>247</v>
      </c>
      <c r="JY5" s="113" t="s">
        <v>245</v>
      </c>
      <c r="JZ5" s="113" t="s">
        <v>248</v>
      </c>
      <c r="KA5" s="11" t="s">
        <v>517</v>
      </c>
      <c r="KB5" s="11" t="s">
        <v>517</v>
      </c>
      <c r="KC5" s="113" t="s">
        <v>518</v>
      </c>
      <c r="KD5" s="113" t="s">
        <v>519</v>
      </c>
      <c r="KE5" s="113" t="s">
        <v>245</v>
      </c>
      <c r="KF5" s="113" t="s">
        <v>489</v>
      </c>
      <c r="KG5" s="113" t="s">
        <v>489</v>
      </c>
      <c r="KH5" s="113" t="s">
        <v>520</v>
      </c>
      <c r="KI5" s="113" t="s">
        <v>522</v>
      </c>
      <c r="KJ5" s="113" t="s">
        <v>559</v>
      </c>
      <c r="KK5" s="113" t="s">
        <v>521</v>
      </c>
      <c r="KL5" s="113" t="s">
        <v>245</v>
      </c>
      <c r="KM5" s="113" t="s">
        <v>558</v>
      </c>
      <c r="KN5" s="113" t="s">
        <v>521</v>
      </c>
      <c r="KO5" s="113" t="s">
        <v>525</v>
      </c>
      <c r="KP5" s="113" t="s">
        <v>526</v>
      </c>
      <c r="KQ5" s="113" t="s">
        <v>527</v>
      </c>
      <c r="KR5" s="113" t="s">
        <v>528</v>
      </c>
      <c r="KS5" s="113" t="s">
        <v>529</v>
      </c>
      <c r="KT5" s="198" t="s">
        <v>533</v>
      </c>
      <c r="KU5" s="198" t="s">
        <v>530</v>
      </c>
      <c r="KV5" s="198" t="s">
        <v>532</v>
      </c>
      <c r="KW5" s="198" t="s">
        <v>531</v>
      </c>
      <c r="KX5" s="198" t="s">
        <v>534</v>
      </c>
      <c r="KY5" s="198" t="s">
        <v>535</v>
      </c>
      <c r="KZ5" s="198" t="s">
        <v>536</v>
      </c>
      <c r="LA5" s="198" t="s">
        <v>531</v>
      </c>
      <c r="LB5" s="198" t="s">
        <v>537</v>
      </c>
      <c r="LC5" s="198" t="s">
        <v>535</v>
      </c>
      <c r="LD5" s="198" t="s">
        <v>536</v>
      </c>
      <c r="LE5" s="198" t="s">
        <v>531</v>
      </c>
      <c r="LF5" s="198" t="s">
        <v>538</v>
      </c>
      <c r="LG5" s="198" t="s">
        <v>535</v>
      </c>
      <c r="LH5" s="198" t="s">
        <v>536</v>
      </c>
      <c r="LI5" s="198" t="s">
        <v>531</v>
      </c>
      <c r="LJ5" s="198" t="s">
        <v>539</v>
      </c>
      <c r="LK5" s="198" t="s">
        <v>535</v>
      </c>
      <c r="LL5" s="198" t="s">
        <v>536</v>
      </c>
      <c r="LM5" s="198" t="s">
        <v>531</v>
      </c>
      <c r="LN5" s="198" t="s">
        <v>540</v>
      </c>
      <c r="LO5" s="198" t="s">
        <v>541</v>
      </c>
      <c r="LP5" s="198" t="s">
        <v>542</v>
      </c>
      <c r="LQ5" s="198" t="s">
        <v>543</v>
      </c>
      <c r="LR5" s="198" t="s">
        <v>540</v>
      </c>
      <c r="LS5" s="198" t="s">
        <v>541</v>
      </c>
      <c r="LT5" s="198" t="s">
        <v>542</v>
      </c>
      <c r="LU5" s="198" t="s">
        <v>543</v>
      </c>
      <c r="LV5" s="113" t="s">
        <v>540</v>
      </c>
      <c r="LW5" s="113" t="s">
        <v>541</v>
      </c>
      <c r="LX5" s="113" t="s">
        <v>542</v>
      </c>
      <c r="LY5" s="113" t="s">
        <v>543</v>
      </c>
      <c r="LZ5" s="113" t="s">
        <v>540</v>
      </c>
      <c r="MA5" s="113" t="s">
        <v>541</v>
      </c>
      <c r="MB5" s="113" t="s">
        <v>542</v>
      </c>
      <c r="MC5" s="113" t="s">
        <v>543</v>
      </c>
      <c r="MD5" s="113" t="s">
        <v>540</v>
      </c>
      <c r="ME5" s="113" t="s">
        <v>541</v>
      </c>
      <c r="MF5" s="113" t="s">
        <v>542</v>
      </c>
      <c r="MG5" s="113" t="s">
        <v>543</v>
      </c>
    </row>
  </sheetData>
  <protectedRanges>
    <protectedRange algorithmName="SHA-512" hashValue="T5GM3Hk55ikn4L72qf8drBnciehouugFmTxRvg4z3stC5BBsVfGehiKpXxQpfmvaGh0Uim03HEhyKoQz33dQCw==" saltValue="LyjMVodEJcZwL7GZBzd+0Q==" spinCount="100000" sqref="EK4:EL4 B4:C4 E4:AC4 AE4:AK4 BD4:BI4 BO4:BP4 BW4:BX4 CR4:CS4 CU4:CV4 CX4:CY4 EE4:EI4 HY4:HZ4 IC4:ID4 IK4 IS4 JA4:JZ4 KD4:KE4 DF4:DQ4 IF4 IN4:IQ4 BL4:BM4 BZ4:CE4 CG4:CH4" name="Rango2_1"/>
    <protectedRange algorithmName="SHA-512" hashValue="ViAdlylmV/HxJpF2FDYKuH1mdmYsDnRhOXspwOCuVIrui3X95V+H1cTu4IZ7ydSeEvlINtU9D++BdH163/ljAg==" saltValue="hbrHMpaiZ6YuEWTen54dCg==" spinCount="100000" sqref="AD4" name="Rango2"/>
    <protectedRange algorithmName="SHA-512" hashValue="R3mlUfs93ql+nRuDqs1ZcwWF91QEb2Q4R7h9Ngo+dskn1eGMrJGVGDO5YgMn2mZOVwGOiWDgWtpCLr8EMEFOzw==" saltValue="YKZE/6kOH0IfGYrvnmMFzQ==" spinCount="100000" sqref="AL4:AM4 AQ4:AR4" name="Rango2_6_1"/>
    <protectedRange algorithmName="SHA-512" hashValue="cR34urYs1moDUzMXhK608cryS72KFuIJr+USDU/e4HbjGNrIxLzShpb/NptCKibwUZ1E/l35OgxZzAFEYDJegw==" saltValue="w6wxOOpoqFE0jOhV3+UUQA==" spinCount="100000" sqref="AS4:AW4" name="Rango2_6_2"/>
    <protectedRange algorithmName="SHA-512" hashValue="rlvKbsY5OB4J8ccWHpZYbFQzCwfTDWvDzv9p08ujW6w6pi994C6qGZdUSfaBGNnOtQ5Q91R47IzeMiTzMeo6FA==" saltValue="oR23eM03O0q7bRNQmWIbuQ==" spinCount="100000" sqref="AX4:AZ4" name="Rango2_6_3"/>
    <protectedRange algorithmName="SHA-512" hashValue="myGEtfYF6AVqbJhHXZw0izMYIxSEKNsDFti90+N06CAmGRe41BoPZvpC7X152Y6k1FwDPSFjs8gQtTjs4uLFtw==" saltValue="nFPM53YLPjyH63GlBIVt0g==" spinCount="100000" sqref="BA4" name="Rango2_6_4"/>
    <protectedRange algorithmName="SHA-512" hashValue="/qgJpRcRIMoD5yDlKeL9SCTiNLX5HdTpVLT3nPjFfjLni52un5ad5QWvqmeZHSN/u+A8K8wo0XdKrLSrAcCvig==" saltValue="f1kIlCMpbeMFbbHrVj2hrw==" spinCount="100000" sqref="BN4" name="Rango2_27"/>
    <protectedRange algorithmName="SHA-512" hashValue="fT1Y1d+I+IQszeVy1GKNi12uAKgjcVKtTUZ3adselWe9NMQPUBp2Vb3P2HdgYzWifLnMB6ORab3RFeOppzcKcg==" saltValue="SQkbkmlyiNxk/ptcjFvu7A==" spinCount="100000" sqref="BQ4:BU4" name="Rango2_2"/>
    <protectedRange algorithmName="SHA-512" hashValue="OdwF1CjCdp5mF4AFI6eFL6p7Tp8LtqF4bDQuAqL9/fv/F58gsq+g7Ek9tQxpQZU3gKSp9tu4FYOupovoMQ8HBw==" saltValue="sB/ZQbdLJugKwIKTVF9VgQ==" spinCount="100000" sqref="CI4:CJ4" name="Rango2_3"/>
    <protectedRange algorithmName="SHA-512" hashValue="mULTMdOTHFwqRTLDBhkWPY4OJA24+Jrky6A8O5ipHF4JxEMCgeG9FC7SjMmepYO7Hy71Ar+z5E5SSA2Os5hQrA==" saltValue="Q9GNoe+SS4HHa7LHJWjmyQ==" spinCount="100000" sqref="CL4" name="Rango2_54"/>
    <protectedRange algorithmName="SHA-512" hashValue="03axmgossuKmEDp7qaMZLyAd4ZhJFGdYvuLpTcXCCtGLSxwv1T7UfM1yayEOXNJa+h0zxN+sB+olo35egTOB8Q==" saltValue="3BUqA8rhAdrSg5jbmpHM0Q==" spinCount="100000" sqref="DD4:DE4" name="Rango2_75"/>
    <protectedRange algorithmName="SHA-512" hashValue="BmJj4VfqXT18pzBiEquA/vWlWPO69wKDRh9rM9XfgKCVBmeXdO3VIFlBfi8vos5hWcg4uLyhkmgtGb3voCou7w==" saltValue="Gem4qNbUQoN0/wXsvkWUWA==" spinCount="100000" sqref="CT4" name="Rango2_8"/>
    <protectedRange algorithmName="SHA-512" hashValue="7m6qbk+O4sCixrFzGVsOc4ZzJ0sgp3Qqq4On0s22ePyLFPtyCFeubzB3k9IlHbv8r5PdNiXmLMAxnruhXZiKAw==" saltValue="fJza2K4m7NOTLPE8/GTlfA==" spinCount="100000" sqref="CW4" name="Rango2_10"/>
    <protectedRange algorithmName="SHA-512" hashValue="pa0ZC7QQGBngYLhOuEtMW8kDNmJy8a7AvDszT0PnEbjcknLxGD1a4tQwcE4uzq2fNeIJw/xhs6WGrDVj/bmxBg==" saltValue="gMbDGSVESDnhggI6QIAsoA==" spinCount="100000" sqref="DX4 DV4" name="Rango2_12"/>
    <protectedRange algorithmName="SHA-512" hashValue="WxN0SqVtk/lEOls7K/aqveg6Ch2vLpeDNbPsxO3zBMHVh+h79e4zFJuJ7HOTIL1lpmdzyTOgxdpVKTSf4STOUw==" saltValue="jiyF7rgqLQtTZmwOcTqYNQ==" spinCount="100000" sqref="DW4" name="Rango2_77"/>
    <protectedRange algorithmName="SHA-512" hashValue="wWvy47fvn33asxtX4l6U82ssQrKYExOzr2xXLlT5/5tZuOxl/DQ5CGK7Aa5AKdsqNFWp6ON1Pr4x2ZQUM6ld4w==" saltValue="anEr8gWk6CEqsX7cwo+oUg==" spinCount="100000" sqref="DY4:DZ4" name="Rango2_78"/>
    <protectedRange algorithmName="SHA-512" hashValue="Qo3nc1FmzMPTXbH4v/fT5g4pCtgLm2usUFRZa2vKdnFfWpEZXcOx6Ei/HgaP8SgHrezXAvqnz5FkVTXueU2vXA==" saltValue="uw5KemXb2X/UvoQvdBtKrw==" spinCount="100000" sqref="EA4:ED4" name="Rango2_13"/>
    <protectedRange algorithmName="SHA-512" hashValue="vyE6EWOfNttk7jMui+O1oRF5qt3fL5w9J+o2gY0ma0egVHvooF0Z/j+PNF5LlIhMEMVvZ8y7Ono4j/2TJ7d0RQ==" saltValue="rNDzvsLL+egg8OaHGNF7Rg==" spinCount="100000" sqref="EJ4" name="Rango2_79"/>
    <protectedRange algorithmName="SHA-512" hashValue="zpyJK1fZ5KqPwEQyrQbZ5bbZUtd9tt1Y53C5HGkbyJBJm9hdnzjquRoDhw2cRyMuTL/Sghd6TSNJ82Mdz7k4mQ==" saltValue="cAXeuT82v+t9sJ2nS0egNQ==" spinCount="100000" sqref="EO4:EQ4" name="Rango2_14"/>
    <protectedRange algorithmName="SHA-512" hashValue="taf8VKDI2aAYCtPSdeLNozUIAoyZdqZ84fYKL08pHFLcT6e4qP6JrFPSSTKmIpeyfLFEQeG0AZ3p4asp6xgYIQ==" saltValue="zYxlhSM202DbCtHgWdae/A==" spinCount="100000" sqref="EN4" name="Rango2_79_1"/>
    <protectedRange algorithmName="SHA-512" hashValue="4tyXukZ9cdLiYgyD2L9x1PAaa6BAy/aLryktdm8lP4Vc2hKqcJbhPDcal3aKR373rd8YNWt79fmku+QUcQv7rQ==" saltValue="qr7PcNGavPXCGfTUZgJ6rw==" spinCount="100000" sqref="ET4:EU4" name="Rango2_15"/>
    <protectedRange algorithmName="SHA-512" hashValue="LvKtPFwui+7ubAgeVxwzglpzDySTbK7PWHkePx3rKw7aIiOt1RmbrHwYEh1n4nBsdYmuR7OPamMrEQDJk6BYzw==" saltValue="JxgEvhhAsUL8aMP+840epw==" spinCount="100000" sqref="ER4:ES4" name="Rango2_89"/>
    <protectedRange algorithmName="SHA-512" hashValue="v+4aSz2fsHgt/41QaEP7ZLG6704x7VAWY9DXFlOgnsmMJLcfC7PjwSVfzneaS0yG/ygAzUUS8kU/8cdurc2f1Q==" saltValue="2FsOfLaYy631fU2za+rhGQ==" spinCount="100000" sqref="FC4" name="Rango2_17"/>
    <protectedRange algorithmName="SHA-512" hashValue="jTBHe379JZ81c1mfTNeZ/wTMBE/fvOQ3yr9UAKF3A5UAPrXUZkfA91oh9Hx1LcCs5qsD/SThyLM5G7Dr/t8Sbw==" saltValue="Z2pHRIVxnBmWJpWKckJc6A==" spinCount="100000" sqref="FA4:FB4" name="Rango2_97"/>
    <protectedRange algorithmName="SHA-512" hashValue="DiwwdNDeO+fFKT7GhEYKDNxhvhf4s2macsAyOWO58xNgAAJmbqnozvXQQ/FdkuGPK+T2G7ePrqgM9WoErPq3uw==" saltValue="fP7LveFGnJnQToiIfvXzpw==" spinCount="100000" sqref="FD4:FI4" name="Rango2_18"/>
    <protectedRange algorithmName="SHA-512" hashValue="uqqwwxkwMi9KoivZhGNEZes2GaZhqoXAo6ntRNLe72iY7nJynrRMoYoEVJ05s/kk0sHhfOnOSH/9bKDkAGJtNQ==" saltValue="+yWPLzVgRUwfRhhJaZFGLA==" spinCount="100000" sqref="FJ4:FN4 FP4:FQ4 FS4:FU4" name="Rango2_20"/>
    <protectedRange algorithmName="SHA-512" hashValue="2sQQ4Vlkx0elRvn4R4gqJfr/i9dYAzSLOctdQA/AjtaBR6aBrE8bk+9r4itN/oYZtRw96bLvgj0zQJB/41+XXA==" saltValue="gYgbBDHnn+FZFzeDgwgllQ==" spinCount="100000" sqref="FV4:FX4" name="Rango2_22"/>
    <protectedRange algorithmName="SHA-512" hashValue="5t5OY/1WmEf2AJsZrJZLc8Yph8rgJ1TiEofSeET0/DK97W5CUbxH4EhMSAtDU+qGQzPBUKJFRIgZ3Ik7C2fktw==" saltValue="bitiG/6a8YtXK0XJyFqCvg==" spinCount="100000" sqref="GB4:GC4" name="Rango2_25"/>
    <protectedRange algorithmName="SHA-512" hashValue="CNaXgIJSmN9LhCrV0UaWY0ziZjkgUCqMW7Hfs8srxxy11kvQG9mHpz4+VqLWENMl1tjQMecBH6ZOi3I5xoGSnA==" saltValue="lf96LJU7jZL80tiPQUNjBA==" spinCount="100000" sqref="GH4:GK4" name="Rango2_26"/>
    <protectedRange algorithmName="SHA-512" hashValue="tTode/DgoACcHZi/pl/crwhRqQNV2BkuEzrzlAZpiN6rs4ChFphUDOqtiJFQCBvr5JNsivpKoJti+kQCDjwZww==" saltValue="68QMzv0M4uUVXPa5Wqjzlw==" spinCount="100000" sqref="GL4:GM4" name="Rango2_28"/>
    <protectedRange algorithmName="SHA-512" hashValue="hNKjoTglZhwS7YWoVv82sJD5cgxLo7TsvUjsN+CQwFhjpuWAwGhWR8uLljQcTusZMYgcSfpo4Epb4MLwRPSFHQ==" saltValue="bgxMoG3ClTGQHeoV6H83Ug==" spinCount="100000" sqref="GE4" name="Rango2_30"/>
    <protectedRange algorithmName="SHA-512" hashValue="TixJhnE3PsZQs1hQOyaqKL2HvwKWMQSrR/K6tsRAfIQrTYVah/jfCb5grNr2RHsPfmE7NFuv1DPXLowN4TlL7Q==" saltValue="3MqGBtwHwAUvhuLM9Ir9yg==" spinCount="100000" sqref="GF4" name="Rango2_31"/>
    <protectedRange algorithmName="SHA-512" hashValue="6a2me31Q+LTB4mAWSoBQi/4PdX0dGAsyK4ow7os3vmDbF9JzZwQeF2MoVxZqV72HN1O3GY7C41Fp98nEwwOpYw==" saltValue="E8iZTjQFcSJgrANQDlDCIw==" spinCount="100000" sqref="GN4:GP4" name="Rango2_33"/>
    <protectedRange algorithmName="SHA-512" hashValue="ojSOqHto1RcxnXA4K3xvlQbNPvluARCRbIFb8mRcrEQxIZVBaykCNvULZBywfN378JaFfsyrjiGYVmIBNvQYHA==" saltValue="uyDhcHzUDuPQ1g+Hgf82Bg==" spinCount="100000" sqref="GQ4:GV4" name="Rango2_34"/>
    <protectedRange algorithmName="SHA-512" hashValue="sOileb7kkqTRbACZ/X69lSpx8p/USwvFmfrL+ioD5EXbk5ZGgWA80DYDFfRmmWiHnotfyqsKpcYlgTJdwgW88w==" saltValue="4G/tMBgMo12oOO+MfUrVBQ==" spinCount="100000" sqref="GW4:GY4" name="Rango2_35"/>
    <protectedRange algorithmName="SHA-512" hashValue="nGRv0xVNxiYCg9USDLLrECQlscKnukp1MUI6u2F3K2KjpEf7VZ8ypr23qdNPojFM215QYQIqM6MO4ponutiknQ==" saltValue="ORTrLhTWKcfiBcs5Tn92XA==" spinCount="100000" sqref="HG4:HJ4" name="Rango2_37"/>
    <protectedRange algorithmName="SHA-512" hashValue="7VX5ovLqPUJ5V0hiTTZNSKRdKv/WIyvf2TF6fMOFlW9VyqjD7j+kMZoKYqcdQHmWZEpxyDIywPTGidqHmyTffg==" saltValue="4Bf7rfTVhEtPrx17D9kRkA==" spinCount="100000" sqref="HM4:HN4" name="Rango2_38"/>
    <protectedRange algorithmName="SHA-512" hashValue="S4DCHo/8Pb92Pe+armNJCa6XsMAgoAOdMUbwK9eYcI7o1wg0bllAboVAYzce8BaO3lUV5SXjdrQMDG3Gz4xbdQ==" saltValue="H++ZT9i4vimtX0wTeRVJNg==" spinCount="100000" sqref="HF4" name="Rango2_39"/>
    <protectedRange algorithmName="SHA-512" hashValue="9+DNppQbWrLYYUMoJ+lyQctV2bX3Vq9kZnegLbpjTLP49It2ovUbcartuoQTeXgP+TGpY//7mDH/UQlFCKDGiA==" saltValue="KUnni6YEm00anzSSvyLqQA==" spinCount="100000" sqref="HT4 HV4 HX4" name="Rango2_6"/>
    <protectedRange algorithmName="SHA-512" hashValue="9+DNppQbWrLYYUMoJ+lyQctV2bX3Vq9kZnegLbpjTLP49It2ovUbcartuoQTeXgP+TGpY//7mDH/UQlFCKDGiA==" saltValue="KUnni6YEm00anzSSvyLqQA==" spinCount="100000" sqref="IE4" name="Rango2_9"/>
    <protectedRange algorithmName="SHA-512" hashValue="9+DNppQbWrLYYUMoJ+lyQctV2bX3Vq9kZnegLbpjTLP49It2ovUbcartuoQTeXgP+TGpY//7mDH/UQlFCKDGiA==" saltValue="KUnni6YEm00anzSSvyLqQA==" spinCount="100000" sqref="IG4:II4" name="Rango2_19"/>
    <protectedRange algorithmName="SHA-512" hashValue="9+DNppQbWrLYYUMoJ+lyQctV2bX3Vq9kZnegLbpjTLP49It2ovUbcartuoQTeXgP+TGpY//7mDH/UQlFCKDGiA==" saltValue="KUnni6YEm00anzSSvyLqQA==" spinCount="100000" sqref="IU4:IY4" name="Rango2_21"/>
    <protectedRange algorithmName="SHA-512" hashValue="9+DNppQbWrLYYUMoJ+lyQctV2bX3Vq9kZnegLbpjTLP49It2ovUbcartuoQTeXgP+TGpY//7mDH/UQlFCKDGiA==" saltValue="KUnni6YEm00anzSSvyLqQA==" spinCount="100000" sqref="IZ4" name="Rango2_29"/>
    <protectedRange algorithmName="SHA-512" hashValue="9+DNppQbWrLYYUMoJ+lyQctV2bX3Vq9kZnegLbpjTLP49It2ovUbcartuoQTeXgP+TGpY//7mDH/UQlFCKDGiA==" saltValue="KUnni6YEm00anzSSvyLqQA==" spinCount="100000" sqref="IR4" name="Rango2_41"/>
    <protectedRange algorithmName="SHA-512" hashValue="9+DNppQbWrLYYUMoJ+lyQctV2bX3Vq9kZnegLbpjTLP49It2ovUbcartuoQTeXgP+TGpY//7mDH/UQlFCKDGiA==" saltValue="KUnni6YEm00anzSSvyLqQA==" spinCount="100000" sqref="IJ4" name="Rango2_42"/>
    <protectedRange algorithmName="SHA-512" hashValue="9+DNppQbWrLYYUMoJ+lyQctV2bX3Vq9kZnegLbpjTLP49It2ovUbcartuoQTeXgP+TGpY//7mDH/UQlFCKDGiA==" saltValue="KUnni6YEm00anzSSvyLqQA==" spinCount="100000" sqref="KA4:KC4" name="Rango2_43"/>
    <protectedRange algorithmName="SHA-512" hashValue="9+DNppQbWrLYYUMoJ+lyQctV2bX3Vq9kZnegLbpjTLP49It2ovUbcartuoQTeXgP+TGpY//7mDH/UQlFCKDGiA==" saltValue="KUnni6YEm00anzSSvyLqQA==" spinCount="100000" sqref="KH4:KK4 KO4:KS4" name="Rango2_44"/>
    <protectedRange algorithmName="SHA-512" hashValue="9+DNppQbWrLYYUMoJ+lyQctV2bX3Vq9kZnegLbpjTLP49It2ovUbcartuoQTeXgP+TGpY//7mDH/UQlFCKDGiA==" saltValue="KUnni6YEm00anzSSvyLqQA==" spinCount="100000" sqref="KF4:KG4" name="Rango2_45"/>
    <protectedRange algorithmName="SHA-512" hashValue="9+DNppQbWrLYYUMoJ+lyQctV2bX3Vq9kZnegLbpjTLP49It2ovUbcartuoQTeXgP+TGpY//7mDH/UQlFCKDGiA==" saltValue="KUnni6YEm00anzSSvyLqQA==" spinCount="100000" sqref="KL4:KN4" name="Rango2_46"/>
    <protectedRange algorithmName="SHA-512" hashValue="+u8ETP7RnmTFzwP1xRwajJa0k8e4nLv8tEoGW4GVn+3uAiDu7IjPSpc8eJAORlZW6vPJAWwmGRugW8VCG8sO4g==" saltValue="npbfSwlEiEyOodcwZD1w4Q==" spinCount="100000" sqref="DR4" name="Rango2_78_1"/>
    <protectedRange algorithmName="SHA-512" hashValue="+u8ETP7RnmTFzwP1xRwajJa0k8e4nLv8tEoGW4GVn+3uAiDu7IjPSpc8eJAORlZW6vPJAWwmGRugW8VCG8sO4g==" saltValue="npbfSwlEiEyOodcwZD1w4Q==" spinCount="100000" sqref="DU4" name="Rango2_78_2"/>
    <protectedRange algorithmName="SHA-512" hashValue="9+DNppQbWrLYYUMoJ+lyQctV2bX3Vq9kZnegLbpjTLP49It2ovUbcartuoQTeXgP+TGpY//7mDH/UQlFCKDGiA==" saltValue="KUnni6YEm00anzSSvyLqQA==" spinCount="100000" sqref="FO4" name="Rango2_47"/>
    <protectedRange algorithmName="SHA-512" hashValue="9+DNppQbWrLYYUMoJ+lyQctV2bX3Vq9kZnegLbpjTLP49It2ovUbcartuoQTeXgP+TGpY//7mDH/UQlFCKDGiA==" saltValue="KUnni6YEm00anzSSvyLqQA==" spinCount="100000" sqref="FR4" name="Rango2_48"/>
    <protectedRange algorithmName="SHA-512" hashValue="9+DNppQbWrLYYUMoJ+lyQctV2bX3Vq9kZnegLbpjTLP49It2ovUbcartuoQTeXgP+TGpY//7mDH/UQlFCKDGiA==" saltValue="KUnni6YEm00anzSSvyLqQA==" spinCount="100000" sqref="FY4" name="Rango2_49"/>
    <protectedRange algorithmName="SHA-512" hashValue="9+DNppQbWrLYYUMoJ+lyQctV2bX3Vq9kZnegLbpjTLP49It2ovUbcartuoQTeXgP+TGpY//7mDH/UQlFCKDGiA==" saltValue="KUnni6YEm00anzSSvyLqQA==" spinCount="100000" sqref="FZ4" name="Rango2_50"/>
    <protectedRange algorithmName="SHA-512" hashValue="9+DNppQbWrLYYUMoJ+lyQctV2bX3Vq9kZnegLbpjTLP49It2ovUbcartuoQTeXgP+TGpY//7mDH/UQlFCKDGiA==" saltValue="KUnni6YEm00anzSSvyLqQA==" spinCount="100000" sqref="GA4" name="Rango2_51"/>
    <protectedRange algorithmName="SHA-512" hashValue="9+DNppQbWrLYYUMoJ+lyQctV2bX3Vq9kZnegLbpjTLP49It2ovUbcartuoQTeXgP+TGpY//7mDH/UQlFCKDGiA==" saltValue="KUnni6YEm00anzSSvyLqQA==" spinCount="100000" sqref="GD4" name="Rango2_52"/>
    <protectedRange algorithmName="SHA-512" hashValue="9+DNppQbWrLYYUMoJ+lyQctV2bX3Vq9kZnegLbpjTLP49It2ovUbcartuoQTeXgP+TGpY//7mDH/UQlFCKDGiA==" saltValue="KUnni6YEm00anzSSvyLqQA==" spinCount="100000" sqref="GG4" name="Rango2_59"/>
    <protectedRange algorithmName="SHA-512" hashValue="9+DNppQbWrLYYUMoJ+lyQctV2bX3Vq9kZnegLbpjTLP49It2ovUbcartuoQTeXgP+TGpY//7mDH/UQlFCKDGiA==" saltValue="KUnni6YEm00anzSSvyLqQA==" spinCount="100000" sqref="GZ4:HE4" name="Rango2_60"/>
    <protectedRange algorithmName="SHA-512" hashValue="9+DNppQbWrLYYUMoJ+lyQctV2bX3Vq9kZnegLbpjTLP49It2ovUbcartuoQTeXgP+TGpY//7mDH/UQlFCKDGiA==" saltValue="KUnni6YEm00anzSSvyLqQA==" spinCount="100000" sqref="IB4" name="Rango2_61"/>
    <protectedRange algorithmName="SHA-512" hashValue="9+DNppQbWrLYYUMoJ+lyQctV2bX3Vq9kZnegLbpjTLP49It2ovUbcartuoQTeXgP+TGpY//7mDH/UQlFCKDGiA==" saltValue="KUnni6YEm00anzSSvyLqQA==" spinCount="100000" sqref="IT4" name="Rango2_63"/>
    <protectedRange algorithmName="SHA-512" hashValue="+u8ETP7RnmTFzwP1xRwajJa0k8e4nLv8tEoGW4GVn+3uAiDu7IjPSpc8eJAORlZW6vPJAWwmGRugW8VCG8sO4g==" saltValue="npbfSwlEiEyOodcwZD1w4Q==" spinCount="100000" sqref="DS4" name="Rango2_78_3"/>
    <protectedRange algorithmName="SHA-512" hashValue="9+DNppQbWrLYYUMoJ+lyQctV2bX3Vq9kZnegLbpjTLP49It2ovUbcartuoQTeXgP+TGpY//7mDH/UQlFCKDGiA==" saltValue="KUnni6YEm00anzSSvyLqQA==" spinCount="100000" sqref="IA4" name="Rango2_24"/>
    <protectedRange algorithmName="SHA-512" hashValue="9+DNppQbWrLYYUMoJ+lyQctV2bX3Vq9kZnegLbpjTLP49It2ovUbcartuoQTeXgP+TGpY//7mDH/UQlFCKDGiA==" saltValue="KUnni6YEm00anzSSvyLqQA==" spinCount="100000" sqref="IL4" name="Rango2_32"/>
    <protectedRange algorithmName="SHA-512" hashValue="9+DNppQbWrLYYUMoJ+lyQctV2bX3Vq9kZnegLbpjTLP49It2ovUbcartuoQTeXgP+TGpY//7mDH/UQlFCKDGiA==" saltValue="KUnni6YEm00anzSSvyLqQA==" spinCount="100000" sqref="IM4" name="Rango2_64"/>
    <protectedRange algorithmName="SHA-512" hashValue="cAqnPN+UCIZzte8I1PR0A+E1NnkaKA1uIlTKaL2Ooq+bsEVoZy+3rFiHfZ83amseg3KrfSyT3g0I28v4fEOZZA==" saltValue="8U9Hp6LW9UleuWFcK7+zGw==" spinCount="100000" sqref="AN4:AO4" name="Rango2_6_5"/>
    <protectedRange algorithmName="SHA-512" hashValue="cAqnPN+UCIZzte8I1PR0A+E1NnkaKA1uIlTKaL2Ooq+bsEVoZy+3rFiHfZ83amseg3KrfSyT3g0I28v4fEOZZA==" saltValue="8U9Hp6LW9UleuWFcK7+zGw==" spinCount="100000" sqref="AP4" name="Rango2_6_6"/>
    <protectedRange algorithmName="SHA-512" hashValue="cAqnPN+UCIZzte8I1PR0A+E1NnkaKA1uIlTKaL2Ooq+bsEVoZy+3rFiHfZ83amseg3KrfSyT3g0I28v4fEOZZA==" saltValue="8U9Hp6LW9UleuWFcK7+zGw==" spinCount="100000" sqref="BB4:BC4" name="Rango2_6_7"/>
    <protectedRange algorithmName="SHA-512" hashValue="YRHPUqMmepU5uJeUadNBpjTbnssMrleyPZ1FIcyRUHikknEWIOuqFlUpFYanUAt+RrR6WdIxfmY53S47/UJA2g==" saltValue="H2y28rMTiCh6/OyAqBW4cA==" spinCount="100000" sqref="BJ4" name="Rango2_9_1"/>
    <protectedRange algorithmName="SHA-512" hashValue="YRHPUqMmepU5uJeUadNBpjTbnssMrleyPZ1FIcyRUHikknEWIOuqFlUpFYanUAt+RrR6WdIxfmY53S47/UJA2g==" saltValue="H2y28rMTiCh6/OyAqBW4cA==" spinCount="100000" sqref="BK4" name="Rango2_9_2"/>
    <protectedRange algorithmName="SHA-512" hashValue="vFJvjG+iQrj8vDWVDifD5qDOHBOSB9V8wt0/5OJVoxWwruwuccUmaqzIh5JUODzpDmxUROk2xJzyAFtKXgcHQg==" saltValue="lgDVsS9IWXRoh0tXSdkS+g==" spinCount="100000" sqref="BV4" name="Rango2_31_1"/>
    <protectedRange algorithmName="SHA-512" hashValue="vFJvjG+iQrj8vDWVDifD5qDOHBOSB9V8wt0/5OJVoxWwruwuccUmaqzIh5JUODzpDmxUROk2xJzyAFtKXgcHQg==" saltValue="lgDVsS9IWXRoh0tXSdkS+g==" spinCount="100000" sqref="BY4" name="Rango2_31_2"/>
    <protectedRange algorithmName="SHA-512" hashValue="5InfS2vnDalKnufFiqFUvr4P4JViu8X2tHBM9Y1eg5Bzc96fjwSxrumO4AJMDdb6F+n7/iptghai6C6flopOnw==" saltValue="43IKR18eirSZT50xvmea9Q==" spinCount="100000" sqref="CF4" name="Rango2_51_1"/>
    <protectedRange algorithmName="SHA-512" hashValue="kWgY2hoF4KcIxdFPxQipujL/Tey4N4aNp7Z1M/Kh7vAUiOnfu8rofah+OZuthxnoikdOBEOB2ozj6nZk5hNzAg==" saltValue="irDz92D4scIQlSA43H+0Hg==" spinCount="100000" sqref="CK4" name="Rango2_56_1"/>
    <protectedRange algorithmName="SHA-512" hashValue="a12pJC7sywDpBhhBFqNclpXnG0kDSF+2teaYUx/IkA50kIDDwWTi3ROx6eSgo00jHouMrSxeYC6zq2M3cVX1rA==" saltValue="JxWAHhMbnJFgFI/3ZoTuwA==" spinCount="100000" sqref="CN4" name="Rango2_58_1"/>
    <protectedRange algorithmName="SHA-512" hashValue="9+DNppQbWrLYYUMoJ+lyQctV2bX3Vq9kZnegLbpjTLP49It2ovUbcartuoQTeXgP+TGpY//7mDH/UQlFCKDGiA==" saltValue="KUnni6YEm00anzSSvyLqQA==" spinCount="100000" sqref="CM4 CO4" name="Rango2_65"/>
    <protectedRange algorithmName="SHA-512" hashValue="5InfS2vnDalKnufFiqFUvr4P4JViu8X2tHBM9Y1eg5Bzc96fjwSxrumO4AJMDdb6F+n7/iptghai6C6flopOnw==" saltValue="43IKR18eirSZT50xvmea9Q==" spinCount="100000" sqref="CP4" name="Rango2_51_2"/>
    <protectedRange algorithmName="SHA-512" hashValue="9+DNppQbWrLYYUMoJ+lyQctV2bX3Vq9kZnegLbpjTLP49It2ovUbcartuoQTeXgP+TGpY//7mDH/UQlFCKDGiA==" saltValue="KUnni6YEm00anzSSvyLqQA==" spinCount="100000" sqref="CQ4" name="Rango2_66"/>
    <protectedRange algorithmName="SHA-512" hashValue="SWHd6qxoLe+bNriEbglZF1YJHrgjbzfRYXYEkAC/lNyLPenLVZ5nZzJ4kqugo93eLe7TsjNhpscveFFzvhDeXg==" saltValue="0midFXnAtyNshnWzg7j43A==" spinCount="100000" sqref="DA4:DB4" name="Rango2_63_1"/>
    <protectedRange algorithmName="SHA-512" hashValue="9+DNppQbWrLYYUMoJ+lyQctV2bX3Vq9kZnegLbpjTLP49It2ovUbcartuoQTeXgP+TGpY//7mDH/UQlFCKDGiA==" saltValue="KUnni6YEm00anzSSvyLqQA==" spinCount="100000" sqref="DC4" name="Rango2_67"/>
    <protectedRange algorithmName="SHA-512" hashValue="9+DNppQbWrLYYUMoJ+lyQctV2bX3Vq9kZnegLbpjTLP49It2ovUbcartuoQTeXgP+TGpY//7mDH/UQlFCKDGiA==" saltValue="KUnni6YEm00anzSSvyLqQA==" spinCount="100000" sqref="CZ4" name="Rango2_7_1"/>
    <protectedRange algorithmName="SHA-512" hashValue="+u8ETP7RnmTFzwP1xRwajJa0k8e4nLv8tEoGW4GVn+3uAiDu7IjPSpc8eJAORlZW6vPJAWwmGRugW8VCG8sO4g==" saltValue="npbfSwlEiEyOodcwZD1w4Q==" spinCount="100000" sqref="DT4" name="Rango2_78_1_1"/>
    <protectedRange algorithmName="SHA-512" hashValue="aFc1WXUOJlOo+G2n8ZMY7F5piiLTFVnl4myPipBDWxoC1s3J8AWOGcIhveE/wNCm1zt7bC0JDSax037/ZOICnA==" saltValue="Q4P5E34bqyzrOFTtjh+sIg==" spinCount="100000" sqref="EM4" name="Rango2_79_2"/>
    <protectedRange algorithmName="SHA-512" hashValue="cjB0/89+phf70Vhq9PW8mqFIBSi0NBIwb6Nu68c2KHw5qNJONhOzx/CkyH9AcA1QkhnV2r8TzORgeQ70DsWEuQ==" saltValue="HzeP5EzY+7kwoprfNZQSZw==" spinCount="100000" sqref="EV4:EX4" name="Rango2_96_1"/>
    <protectedRange algorithmName="SHA-512" hashValue="9+DNppQbWrLYYUMoJ+lyQctV2bX3Vq9kZnegLbpjTLP49It2ovUbcartuoQTeXgP+TGpY//7mDH/UQlFCKDGiA==" saltValue="KUnni6YEm00anzSSvyLqQA==" spinCount="100000" sqref="EY4:EZ4" name="Rango2_68"/>
  </protectedRanges>
  <mergeCells count="7">
    <mergeCell ref="JM5:JV5"/>
    <mergeCell ref="A1:F1"/>
    <mergeCell ref="A2:F2"/>
    <mergeCell ref="A3:F3"/>
    <mergeCell ref="AL5:AR5"/>
    <mergeCell ref="DF5:DQ5"/>
    <mergeCell ref="EE5:EI5"/>
  </mergeCells>
  <conditionalFormatting sqref="IP4">
    <cfRule type="notContainsBlanks" dxfId="5260" priority="5">
      <formula>LEN(TRIM(IP4))&gt;0</formula>
    </cfRule>
  </conditionalFormatting>
  <conditionalFormatting sqref="JE4">
    <cfRule type="notContainsBlanks" dxfId="5259" priority="4">
      <formula>LEN(TRIM(JE4))&gt;0</formula>
    </cfRule>
  </conditionalFormatting>
  <conditionalFormatting sqref="JO4">
    <cfRule type="notContainsBlanks" dxfId="5258" priority="3">
      <formula>LEN(TRIM(JO4))&gt;0</formula>
    </cfRule>
  </conditionalFormatting>
  <conditionalFormatting sqref="JX4">
    <cfRule type="notContainsBlanks" dxfId="5257" priority="2">
      <formula>LEN(TRIM(JX4))&gt;0</formula>
    </cfRule>
  </conditionalFormatting>
  <conditionalFormatting sqref="JZ4">
    <cfRule type="notContainsBlanks" dxfId="5256" priority="1">
      <formula>LEN(TRIM(JZ4))&gt;0</formula>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XFD153"/>
  <sheetViews>
    <sheetView zoomScaleNormal="100" workbookViewId="0">
      <selection activeCell="L14" sqref="L14"/>
    </sheetView>
  </sheetViews>
  <sheetFormatPr baseColWidth="10" defaultRowHeight="15" x14ac:dyDescent="0.25"/>
  <cols>
    <col min="1" max="1" width="43.42578125" customWidth="1"/>
    <col min="2" max="2" width="8.28515625" customWidth="1"/>
    <col min="3" max="3" width="8.85546875" bestFit="1" customWidth="1"/>
    <col min="4" max="4" width="8.28515625" customWidth="1"/>
    <col min="5" max="5" width="8.85546875" bestFit="1" customWidth="1"/>
    <col min="6" max="13" width="8.28515625" customWidth="1"/>
    <col min="14" max="14" width="15.140625" customWidth="1"/>
  </cols>
  <sheetData>
    <row r="3" spans="1:14" ht="23.25" x14ac:dyDescent="0.35">
      <c r="A3" s="45" t="s">
        <v>394</v>
      </c>
      <c r="L3" s="163" t="s">
        <v>753</v>
      </c>
    </row>
    <row r="4" spans="1:14" ht="19.5" thickBot="1" x14ac:dyDescent="0.35">
      <c r="A4" s="52" t="s">
        <v>18</v>
      </c>
      <c r="B4" s="52">
        <v>2023</v>
      </c>
    </row>
    <row r="5" spans="1:14" ht="15.75" thickBot="1" x14ac:dyDescent="0.3">
      <c r="A5" t="s">
        <v>402</v>
      </c>
      <c r="B5" t="s">
        <v>357</v>
      </c>
      <c r="C5" t="s">
        <v>358</v>
      </c>
      <c r="D5" t="s">
        <v>359</v>
      </c>
      <c r="E5" t="s">
        <v>360</v>
      </c>
      <c r="F5" t="s">
        <v>361</v>
      </c>
      <c r="G5" t="s">
        <v>362</v>
      </c>
      <c r="H5" t="s">
        <v>363</v>
      </c>
      <c r="I5" t="s">
        <v>364</v>
      </c>
      <c r="J5" t="s">
        <v>365</v>
      </c>
      <c r="K5" t="s">
        <v>366</v>
      </c>
      <c r="L5" t="s">
        <v>367</v>
      </c>
      <c r="M5" t="s">
        <v>368</v>
      </c>
      <c r="N5" s="169" t="s">
        <v>751</v>
      </c>
    </row>
    <row r="6" spans="1:14" ht="15.75" thickBot="1" x14ac:dyDescent="0.3">
      <c r="A6" s="49" t="s">
        <v>393</v>
      </c>
      <c r="B6" s="102">
        <v>1</v>
      </c>
      <c r="C6" s="103">
        <v>2</v>
      </c>
      <c r="D6" s="103">
        <v>3</v>
      </c>
      <c r="E6" s="103">
        <v>4</v>
      </c>
      <c r="F6" s="103">
        <v>5</v>
      </c>
      <c r="G6" s="103">
        <v>6</v>
      </c>
      <c r="H6" s="103">
        <v>7</v>
      </c>
      <c r="I6" s="103">
        <v>8</v>
      </c>
      <c r="J6" s="103">
        <v>9</v>
      </c>
      <c r="K6" s="103">
        <v>10</v>
      </c>
      <c r="L6" s="103">
        <v>11</v>
      </c>
      <c r="M6" s="166">
        <v>12</v>
      </c>
      <c r="N6" s="174" t="s">
        <v>752</v>
      </c>
    </row>
    <row r="7" spans="1:14" x14ac:dyDescent="0.25">
      <c r="A7" s="50" t="s">
        <v>398</v>
      </c>
      <c r="B7" s="165"/>
      <c r="C7" s="165"/>
      <c r="D7" s="165"/>
      <c r="E7" s="165"/>
      <c r="F7" s="165"/>
      <c r="G7" s="165"/>
      <c r="H7" s="165"/>
      <c r="I7" s="165"/>
      <c r="J7" s="165"/>
      <c r="K7" s="165"/>
      <c r="L7" s="165"/>
      <c r="M7" s="167"/>
      <c r="N7" s="173">
        <f>COUNTIFS(Tabla1[GESTANTES ACTUALES],"ACTIVA INGRESO A CPN")</f>
        <v>149</v>
      </c>
    </row>
    <row r="8" spans="1:14" x14ac:dyDescent="0.25">
      <c r="A8" s="50" t="s">
        <v>392</v>
      </c>
      <c r="B8" s="43"/>
      <c r="C8" s="43"/>
      <c r="D8" s="43"/>
      <c r="E8" s="43"/>
      <c r="F8" s="43"/>
      <c r="G8" s="43"/>
      <c r="H8" s="43"/>
      <c r="I8" s="43"/>
      <c r="J8" s="43"/>
      <c r="K8" s="43"/>
      <c r="L8" s="43"/>
      <c r="M8" s="168"/>
      <c r="N8" s="170">
        <f ca="1">COUNTIFS(Tabla1[GESTANTES ACTUALES],"ACTIVA INGRESO A CPN",Tabla1[ALERTA SEGUIMIENTO],"INASISTENTE")</f>
        <v>0</v>
      </c>
    </row>
    <row r="9" spans="1:14" x14ac:dyDescent="0.25">
      <c r="A9" s="50" t="s">
        <v>399</v>
      </c>
      <c r="B9" s="43"/>
      <c r="C9" s="43"/>
      <c r="D9" s="43"/>
      <c r="E9" s="43"/>
      <c r="F9" s="43"/>
      <c r="G9" s="43"/>
      <c r="H9" s="43"/>
      <c r="I9" s="43"/>
      <c r="J9" s="43"/>
      <c r="K9" s="43"/>
      <c r="L9" s="43"/>
      <c r="M9" s="168"/>
      <c r="N9" s="170">
        <f>COUNTIFS(Tabla1[GESTANTES ACTUALES],"ACTIVA SIN INGRESO CPN")</f>
        <v>0</v>
      </c>
    </row>
    <row r="10" spans="1:14" ht="15.75" thickBot="1" x14ac:dyDescent="0.3">
      <c r="A10" s="50" t="s">
        <v>400</v>
      </c>
      <c r="B10" s="43"/>
      <c r="C10" s="43"/>
      <c r="D10" s="43"/>
      <c r="E10" s="43"/>
      <c r="F10" s="43"/>
      <c r="G10" s="43"/>
      <c r="H10" s="43"/>
      <c r="I10" s="43"/>
      <c r="J10" s="43"/>
      <c r="K10" s="43"/>
      <c r="L10" s="43"/>
      <c r="M10" s="168"/>
      <c r="N10" s="171">
        <f>COUNTIFS(Tabla1[GESTANTES ACTUALES],"SALE SIN INGRESO CPN")</f>
        <v>0</v>
      </c>
    </row>
    <row r="11" spans="1:14" ht="15.75" thickBot="1" x14ac:dyDescent="0.3">
      <c r="A11" s="51" t="s">
        <v>401</v>
      </c>
      <c r="B11" s="46" t="str">
        <f t="shared" ref="B11:N11" si="0">IF(B7=0,"",SUM(B8/B7))</f>
        <v/>
      </c>
      <c r="C11" s="46" t="str">
        <f t="shared" si="0"/>
        <v/>
      </c>
      <c r="D11" s="46" t="str">
        <f t="shared" si="0"/>
        <v/>
      </c>
      <c r="E11" s="46" t="str">
        <f t="shared" si="0"/>
        <v/>
      </c>
      <c r="F11" s="46" t="str">
        <f t="shared" si="0"/>
        <v/>
      </c>
      <c r="G11" s="46" t="str">
        <f t="shared" si="0"/>
        <v/>
      </c>
      <c r="H11" s="46" t="str">
        <f t="shared" si="0"/>
        <v/>
      </c>
      <c r="I11" s="46" t="str">
        <f t="shared" si="0"/>
        <v/>
      </c>
      <c r="J11" s="46" t="str">
        <f t="shared" si="0"/>
        <v/>
      </c>
      <c r="K11" s="46" t="str">
        <f t="shared" si="0"/>
        <v/>
      </c>
      <c r="L11" s="46" t="str">
        <f t="shared" si="0"/>
        <v/>
      </c>
      <c r="M11" s="172" t="str">
        <f t="shared" si="0"/>
        <v/>
      </c>
      <c r="N11" s="139">
        <f t="shared" ca="1" si="0"/>
        <v>0</v>
      </c>
    </row>
    <row r="12" spans="1:14" ht="15.75" thickBot="1" x14ac:dyDescent="0.3">
      <c r="A12" s="53"/>
      <c r="B12" s="156"/>
      <c r="C12" s="69"/>
      <c r="D12" s="69"/>
      <c r="E12" s="69"/>
      <c r="F12" s="69"/>
      <c r="G12" s="69"/>
      <c r="H12" s="69"/>
      <c r="I12" s="69"/>
      <c r="J12" s="69"/>
      <c r="K12" s="69"/>
      <c r="L12" s="69"/>
      <c r="M12" s="69"/>
    </row>
    <row r="13" spans="1:14" ht="19.5" thickBot="1" x14ac:dyDescent="0.35">
      <c r="A13" s="158" t="s">
        <v>690</v>
      </c>
      <c r="B13" s="403" t="s">
        <v>701</v>
      </c>
      <c r="C13" s="404"/>
      <c r="D13" s="405" t="s">
        <v>720</v>
      </c>
      <c r="E13" s="406"/>
      <c r="F13" s="69"/>
      <c r="G13" s="69"/>
      <c r="H13" s="69"/>
      <c r="I13" s="69"/>
      <c r="J13" s="69"/>
      <c r="K13" s="69"/>
      <c r="L13" s="69"/>
      <c r="M13" s="69"/>
    </row>
    <row r="14" spans="1:14" ht="26.25" thickBot="1" x14ac:dyDescent="0.3">
      <c r="A14" s="155" t="s">
        <v>692</v>
      </c>
      <c r="B14" s="157">
        <f ca="1">COUNTIFS(Tabla1[GESTANTES ACTUALES],"ACTIVA INGRESO A CPN",Tabla1[RIESGO BIOPSICOSOCIAL],"ALTO RIESGO",Tabla1[FECHA ASISTENCIA PRIMERA VEZ CON GINECOLOGÍA],"&lt;&gt;",Tabla1[ASEGURADORA],$A$13)</f>
        <v>2</v>
      </c>
      <c r="C14" s="409">
        <f ca="1">IFERROR((SUM(B14/B15)),"")</f>
        <v>0.25</v>
      </c>
      <c r="D14" s="157">
        <f ca="1">COUNTIFS(Tabla1[GESTANTES ACTUALES],"ACTIVA INGRESO A CPN",Tabla1[RIESGO BIOPSICOSOCIAL],"ALTO RIESGO",Tabla1[FECHA ASISTENCIA PRIMERA VEZ CON GINECOLOGÍA],"&lt;&gt;")</f>
        <v>2</v>
      </c>
      <c r="E14" s="409">
        <f ca="1">IFERROR(SUM(D14/D15),"")</f>
        <v>0.25</v>
      </c>
      <c r="F14" s="69"/>
      <c r="G14" s="69"/>
      <c r="H14" s="69"/>
      <c r="I14" s="69"/>
      <c r="J14" s="69"/>
      <c r="K14" s="69"/>
      <c r="L14" s="69"/>
      <c r="M14" s="69"/>
    </row>
    <row r="15" spans="1:14" ht="23.25" customHeight="1" thickBot="1" x14ac:dyDescent="0.3">
      <c r="A15" s="155" t="s">
        <v>691</v>
      </c>
      <c r="B15" s="157">
        <f ca="1">COUNTIFS(Tabla1[GESTANTES ACTUALES],"ACTIVA INGRESO A CPN",Tabla1[RIESGO BIOPSICOSOCIAL],"ALTO RIESGO",Tabla1[ASEGURADORA],$A$13)</f>
        <v>8</v>
      </c>
      <c r="C15" s="410"/>
      <c r="D15" s="157">
        <f ca="1">COUNTIFS(Tabla1[GESTANTES ACTUALES],"ACTIVA INGRESO A CPN",Tabla1[RIESGO BIOPSICOSOCIAL],"ALTO RIESGO")</f>
        <v>8</v>
      </c>
      <c r="E15" s="410"/>
      <c r="F15" s="69"/>
      <c r="G15" s="69"/>
      <c r="H15" s="69"/>
      <c r="I15" s="69"/>
      <c r="J15" s="69"/>
      <c r="K15" s="69"/>
      <c r="L15" s="69"/>
      <c r="M15" s="69"/>
    </row>
    <row r="16" spans="1:14" ht="19.5" thickBot="1" x14ac:dyDescent="0.35">
      <c r="B16" s="403" t="s">
        <v>701</v>
      </c>
      <c r="C16" s="404"/>
      <c r="D16" s="405" t="s">
        <v>720</v>
      </c>
      <c r="E16" s="406"/>
      <c r="F16" s="69"/>
      <c r="G16" s="69"/>
      <c r="H16" s="69"/>
      <c r="I16" s="69"/>
      <c r="J16" s="69"/>
      <c r="K16" s="69"/>
      <c r="L16" s="69"/>
      <c r="M16" s="69"/>
    </row>
    <row r="17" spans="1:13" ht="26.25" thickBot="1" x14ac:dyDescent="0.3">
      <c r="A17" s="155" t="s">
        <v>700</v>
      </c>
      <c r="B17" s="157">
        <f>COUNTIFS(Tabla1[GESTANTES ACTUALES],"ACTIVA INGRESO A CPN",Tabla1['# DE MUJERES CON SUMINISTRO ADECUADO DE MICRONUTRIENTES],"COMPLETO",Tabla1[ASEGURADORA],$A$13)</f>
        <v>30</v>
      </c>
      <c r="C17" s="411">
        <f>IFERROR(SUM(B17/B18),"")</f>
        <v>0.20134228187919462</v>
      </c>
      <c r="D17" s="157">
        <f>COUNTIFS(Tabla1[GESTANTES ACTUALES],"ACTIVA INGRESO A CPN",Tabla1['# DE MUJERES CON SUMINISTRO ADECUADO DE MICRONUTRIENTES],"COMPLETO")</f>
        <v>30</v>
      </c>
      <c r="E17" s="411">
        <f>IFERROR(SUM(D17/D18),"")</f>
        <v>0.20134228187919462</v>
      </c>
      <c r="F17" s="69"/>
      <c r="G17" s="69"/>
      <c r="H17" s="69"/>
      <c r="I17" s="69"/>
      <c r="J17" s="69"/>
      <c r="K17" s="69"/>
      <c r="L17" s="69"/>
      <c r="M17" s="69"/>
    </row>
    <row r="18" spans="1:13" ht="15.75" thickBot="1" x14ac:dyDescent="0.3">
      <c r="A18" s="50" t="s">
        <v>398</v>
      </c>
      <c r="B18" s="157">
        <f>COUNTIFS(Tabla1[GESTANTES ACTUALES],"ACTIVA INGRESO A CPN",Tabla1[ASEGURADORA],$A$13)</f>
        <v>149</v>
      </c>
      <c r="C18" s="412"/>
      <c r="D18" s="157">
        <f>COUNTIFS(Tabla1[GESTANTES ACTUALES],"ACTIVA INGRESO A CPN")</f>
        <v>149</v>
      </c>
      <c r="E18" s="412"/>
      <c r="F18" s="69"/>
      <c r="G18" s="69"/>
      <c r="H18" s="69"/>
      <c r="I18" s="69"/>
      <c r="J18" s="69"/>
      <c r="K18" s="69"/>
      <c r="L18" s="69"/>
      <c r="M18" s="69"/>
    </row>
    <row r="19" spans="1:13" ht="19.5" thickBot="1" x14ac:dyDescent="0.35">
      <c r="B19" s="403" t="s">
        <v>701</v>
      </c>
      <c r="C19" s="404"/>
      <c r="D19" s="405" t="s">
        <v>720</v>
      </c>
      <c r="E19" s="406"/>
      <c r="F19" s="69"/>
      <c r="G19" s="69"/>
      <c r="H19" s="69"/>
      <c r="I19" s="69"/>
      <c r="J19" s="69"/>
      <c r="K19" s="69"/>
      <c r="L19" s="69"/>
      <c r="M19" s="69"/>
    </row>
    <row r="20" spans="1:13" ht="26.25" thickBot="1" x14ac:dyDescent="0.3">
      <c r="A20" s="155" t="s">
        <v>719</v>
      </c>
      <c r="B20" s="157">
        <f ca="1">COUNTIFS(Tabla1[GESTANTES ACTUALES],"ACTIVA INGRESO A CPN",Tabla1[Alarma de apoyo Tamizaje Sífilis],"COMPLETO",Tabla1[ASEGURADORA],$A$13)</f>
        <v>4</v>
      </c>
      <c r="C20" s="407">
        <f ca="1">IFERROR(SUM(B20/B21),"")</f>
        <v>2.6845637583892617E-2</v>
      </c>
      <c r="D20" s="157">
        <f ca="1">COUNTIFS(Tabla1[GESTANTES ACTUALES],"ACTIVA INGRESO A CPN",Tabla1[Alarma de apoyo Tamizaje Sífilis],"COMPLETO")</f>
        <v>4</v>
      </c>
      <c r="E20" s="407">
        <f ca="1">IFERROR(SUM(D20/D21),"")</f>
        <v>2.6845637583892617E-2</v>
      </c>
      <c r="F20" s="69"/>
      <c r="G20" s="69"/>
      <c r="H20" s="69"/>
      <c r="I20" s="69"/>
      <c r="J20" s="69"/>
      <c r="K20" s="69"/>
      <c r="L20" s="69"/>
      <c r="M20" s="69"/>
    </row>
    <row r="21" spans="1:13" ht="15.75" customHeight="1" thickBot="1" x14ac:dyDescent="0.3">
      <c r="A21" s="50" t="s">
        <v>398</v>
      </c>
      <c r="B21" s="157">
        <f>COUNTIFS(Tabla1[GESTANTES ACTUALES],"ACTIVA INGRESO A CPN",Tabla1[ASEGURADORA],$A$13)</f>
        <v>149</v>
      </c>
      <c r="C21" s="408"/>
      <c r="D21" s="157">
        <f>COUNTIFS(Tabla1[GESTANTES ACTUALES],"ACTIVA INGRESO A CPN")</f>
        <v>149</v>
      </c>
      <c r="E21" s="408"/>
      <c r="F21" s="69"/>
      <c r="G21" s="69"/>
      <c r="H21" s="69"/>
      <c r="I21" s="69"/>
      <c r="J21" s="69"/>
      <c r="K21" s="69"/>
      <c r="L21" s="69"/>
      <c r="M21" s="69"/>
    </row>
    <row r="22" spans="1:13" ht="19.5" thickBot="1" x14ac:dyDescent="0.35">
      <c r="B22" s="403" t="s">
        <v>701</v>
      </c>
      <c r="C22" s="404"/>
      <c r="D22" s="405" t="s">
        <v>720</v>
      </c>
      <c r="E22" s="406"/>
      <c r="F22" s="69"/>
      <c r="G22" s="69"/>
      <c r="H22" s="69"/>
      <c r="I22" s="69"/>
      <c r="J22" s="69"/>
      <c r="K22" s="69"/>
      <c r="L22" s="69"/>
      <c r="M22" s="69"/>
    </row>
    <row r="23" spans="1:13" ht="26.25" thickBot="1" x14ac:dyDescent="0.3">
      <c r="A23" s="155" t="s">
        <v>723</v>
      </c>
      <c r="B23" s="157">
        <f ca="1">COUNTIFS(Tabla1[GESTANTES ACTUALES],"ACTIVA INGRESO A CPN",Tabla1[Alarma de apoyo Tamizaje VIH],"COMPLETO",Tabla1[ASEGURADORA],$A$13)</f>
        <v>5</v>
      </c>
      <c r="C23" s="407">
        <f ca="1">IFERROR(SUM(B23/B24),"")</f>
        <v>3.3557046979865772E-2</v>
      </c>
      <c r="D23" s="157">
        <f ca="1">COUNTIFS(Tabla1[GESTANTES ACTUALES],"ACTIVA INGRESO A CPN",Tabla1[Alarma de apoyo Tamizaje VIH],"COMPLETO")</f>
        <v>5</v>
      </c>
      <c r="E23" s="407">
        <f ca="1">IFERROR(SUM(D23/D24),"")</f>
        <v>3.3557046979865772E-2</v>
      </c>
      <c r="F23" s="69"/>
      <c r="G23" s="69"/>
      <c r="H23" s="69"/>
      <c r="I23" s="69"/>
      <c r="J23" s="69"/>
      <c r="K23" s="69"/>
      <c r="L23" s="69"/>
      <c r="M23" s="69"/>
    </row>
    <row r="24" spans="1:13" ht="15.75" thickBot="1" x14ac:dyDescent="0.3">
      <c r="A24" s="50" t="s">
        <v>398</v>
      </c>
      <c r="B24" s="157">
        <f>COUNTIFS(Tabla1[GESTANTES ACTUALES],"ACTIVA INGRESO A CPN",Tabla1[ASEGURADORA],$A$13)</f>
        <v>149</v>
      </c>
      <c r="C24" s="408"/>
      <c r="D24" s="157">
        <f>COUNTIFS(Tabla1[GESTANTES ACTUALES],"ACTIVA INGRESO A CPN")</f>
        <v>149</v>
      </c>
      <c r="E24" s="408"/>
      <c r="F24" s="69"/>
      <c r="G24" s="69"/>
      <c r="H24" s="69"/>
      <c r="I24" s="69"/>
      <c r="J24" s="69"/>
      <c r="K24" s="69"/>
      <c r="L24" s="69"/>
      <c r="M24" s="69"/>
    </row>
    <row r="25" spans="1:13" ht="19.5" thickBot="1" x14ac:dyDescent="0.35">
      <c r="B25" s="403" t="s">
        <v>701</v>
      </c>
      <c r="C25" s="404"/>
      <c r="D25" s="405" t="s">
        <v>720</v>
      </c>
      <c r="E25" s="406"/>
      <c r="F25" s="69"/>
      <c r="G25" s="69"/>
      <c r="H25" s="69"/>
      <c r="I25" s="69"/>
      <c r="J25" s="69"/>
      <c r="K25" s="69"/>
      <c r="L25" s="69"/>
      <c r="M25" s="69"/>
    </row>
    <row r="26" spans="1:13" ht="26.25" thickBot="1" x14ac:dyDescent="0.3">
      <c r="A26" s="155" t="s">
        <v>722</v>
      </c>
      <c r="B26" s="157">
        <f ca="1">COUNTIFS(Tabla1[GESTANTES ACTUALES],"ACTIVA INGRESO A CPN",Tabla1[SEMANAS DE GESTACION ACTUALIZADAS],"&gt;36",Tabla1[SEMANAS DE GESTACION ACTUALIZADAS],"&lt;44",Tabla1[FECHA DE CONCERTACIÓN PLAN DE PARTO (Soporte HC)],"&lt;&gt;",Tabla1[ASEGURADORA],$A$13)</f>
        <v>0</v>
      </c>
      <c r="C26" s="407">
        <f ca="1">IFERROR(SUM(B26/B27),"")</f>
        <v>0</v>
      </c>
      <c r="D26" s="157">
        <f ca="1">COUNTIFS(Tabla1[GESTANTES ACTUALES],"ACTIVA INGRESO A CPN",Tabla1[SEMANAS DE GESTACION ACTUALIZADAS],"&gt;36",Tabla1[SEMANAS DE GESTACION ACTUALIZADAS],"&lt;44",Tabla1[FECHA DE CONCERTACIÓN PLAN DE PARTO (Soporte HC)],"&lt;&gt;")</f>
        <v>0</v>
      </c>
      <c r="E26" s="407">
        <f ca="1">IFERROR(SUM(D26/D27),"")</f>
        <v>0</v>
      </c>
      <c r="F26" s="69"/>
      <c r="G26" s="69"/>
      <c r="H26" s="69"/>
      <c r="I26" s="69"/>
      <c r="J26" s="69"/>
      <c r="K26" s="69"/>
      <c r="L26" s="69"/>
      <c r="M26" s="69"/>
    </row>
    <row r="27" spans="1:13" ht="15.75" thickBot="1" x14ac:dyDescent="0.3">
      <c r="A27" s="50" t="s">
        <v>721</v>
      </c>
      <c r="B27" s="157">
        <f ca="1">COUNTIFS(Tabla1[GESTANTES ACTUALES],"ACTIVA INGRESO A CPN",Tabla1[SEMANAS DE GESTACION ACTUALIZADAS],"&gt;36",Tabla1[SEMANAS DE GESTACION ACTUALIZADAS],"&lt;44",Tabla1[ASEGURADORA],$A$13)</f>
        <v>36</v>
      </c>
      <c r="C27" s="408"/>
      <c r="D27" s="157">
        <f ca="1">COUNTIFS(Tabla1[GESTANTES ACTUALES],"ACTIVA INGRESO A CPN",Tabla1[SEMANAS DE GESTACION ACTUALIZADAS],"&gt;36",Tabla1[SEMANAS DE GESTACION ACTUALIZADAS],"&lt;44")</f>
        <v>36</v>
      </c>
      <c r="E27" s="408"/>
      <c r="F27" s="69"/>
      <c r="G27" s="69"/>
      <c r="H27" s="69"/>
      <c r="I27" s="69"/>
      <c r="J27" s="69"/>
      <c r="K27" s="69"/>
      <c r="L27" s="69"/>
      <c r="M27" s="69"/>
    </row>
    <row r="28" spans="1:13" ht="19.5" thickBot="1" x14ac:dyDescent="0.35">
      <c r="B28" s="403" t="s">
        <v>701</v>
      </c>
      <c r="C28" s="404"/>
      <c r="D28" s="405" t="s">
        <v>720</v>
      </c>
      <c r="E28" s="406"/>
      <c r="F28" s="69"/>
      <c r="G28" s="69"/>
      <c r="H28" s="69"/>
      <c r="I28" s="69"/>
      <c r="J28" s="69"/>
      <c r="K28" s="69"/>
      <c r="L28" s="69"/>
      <c r="M28" s="69"/>
    </row>
    <row r="29" spans="1:13" ht="26.25" thickBot="1" x14ac:dyDescent="0.3">
      <c r="A29" s="164" t="s">
        <v>735</v>
      </c>
      <c r="B29" s="157">
        <f ca="1">COUNTIFS(Tabla1[GESTANTES ACTUALES],"ACTIVA INGRESO A CPN",Tabla1[SEMANAS DE GESTACION ACTUALIZADAS],"&gt;36",Tabla1[SEMANAS DE GESTACION ACTUALIZADAS],"&lt;44",Tabla1[FECHA VACUNA DPT ACELULAR],"&lt;&gt;",Tabla1[ASEGURADORA],$A$13)</f>
        <v>4</v>
      </c>
      <c r="C29" s="407">
        <f ca="1">IFERROR(SUM(B29/B30),"")</f>
        <v>0.1111111111111111</v>
      </c>
      <c r="D29" s="157">
        <f ca="1">COUNTIFS(Tabla1[GESTANTES ACTUALES],"ACTIVA INGRESO A CPN",Tabla1[SEMANAS DE GESTACION ACTUALIZADAS],"&gt;36",Tabla1[SEMANAS DE GESTACION ACTUALIZADAS],"&lt;44",Tabla1[FECHA VACUNA DPT ACELULAR],"&lt;&gt;")</f>
        <v>4</v>
      </c>
      <c r="E29" s="407">
        <f ca="1">IFERROR(SUM(D29/D30),"")</f>
        <v>0.1111111111111111</v>
      </c>
      <c r="F29" s="69"/>
      <c r="G29" s="69"/>
      <c r="H29" s="69"/>
      <c r="I29" s="69"/>
      <c r="J29" s="69"/>
      <c r="K29" s="69"/>
      <c r="L29" s="69"/>
      <c r="M29" s="69"/>
    </row>
    <row r="30" spans="1:13" ht="15.75" thickBot="1" x14ac:dyDescent="0.3">
      <c r="A30" s="50" t="s">
        <v>721</v>
      </c>
      <c r="B30" s="157">
        <f ca="1">COUNTIFS(Tabla1[GESTANTES ACTUALES],"ACTIVA INGRESO A CPN",Tabla1[SEMANAS DE GESTACION ACTUALIZADAS],"&gt;36",Tabla1[SEMANAS DE GESTACION ACTUALIZADAS],"&lt;44",Tabla1[ASEGURADORA],$A$13)</f>
        <v>36</v>
      </c>
      <c r="C30" s="408"/>
      <c r="D30" s="157">
        <f ca="1">COUNTIFS(Tabla1[GESTANTES ACTUALES],"ACTIVA INGRESO A CPN",Tabla1[SEMANAS DE GESTACION ACTUALIZADAS],"&gt;36",Tabla1[SEMANAS DE GESTACION ACTUALIZADAS],"&lt;44")</f>
        <v>36</v>
      </c>
      <c r="E30" s="408"/>
      <c r="F30" s="69"/>
      <c r="G30" s="69"/>
      <c r="H30" s="69"/>
      <c r="I30" s="69"/>
      <c r="J30" s="69"/>
      <c r="K30" s="69"/>
      <c r="L30" s="69"/>
      <c r="M30" s="69"/>
    </row>
    <row r="31" spans="1:13" x14ac:dyDescent="0.25">
      <c r="C31" s="69"/>
      <c r="D31" s="69"/>
      <c r="E31" s="69"/>
      <c r="F31" s="69"/>
      <c r="G31" s="69"/>
      <c r="H31" s="69"/>
      <c r="I31" s="69"/>
      <c r="J31" s="69"/>
      <c r="K31" s="69"/>
      <c r="L31" s="69"/>
      <c r="M31" s="69"/>
    </row>
    <row r="32" spans="1:13" x14ac:dyDescent="0.25">
      <c r="C32" s="69"/>
      <c r="D32" s="69"/>
      <c r="E32" s="69"/>
      <c r="F32" s="69"/>
      <c r="G32" s="69"/>
      <c r="H32" s="69"/>
      <c r="I32" s="69"/>
      <c r="J32" s="69"/>
      <c r="K32" s="69"/>
      <c r="L32" s="69"/>
      <c r="M32" s="69"/>
    </row>
    <row r="33" spans="1:14" x14ac:dyDescent="0.25">
      <c r="A33" s="70" t="s">
        <v>757</v>
      </c>
      <c r="B33" s="69"/>
      <c r="C33" s="69"/>
      <c r="D33" s="69"/>
      <c r="E33" s="69"/>
      <c r="F33" s="69"/>
      <c r="G33" s="69"/>
      <c r="H33" s="69"/>
      <c r="I33" s="69"/>
      <c r="J33" s="69"/>
      <c r="K33" s="69"/>
      <c r="L33" s="69"/>
      <c r="M33" s="69"/>
    </row>
    <row r="34" spans="1:14" ht="15.75" thickBot="1" x14ac:dyDescent="0.3">
      <c r="A34" s="47"/>
      <c r="B34" s="48"/>
      <c r="C34" s="48"/>
      <c r="D34" s="48"/>
      <c r="E34" s="48"/>
      <c r="F34" s="48"/>
      <c r="G34" s="48"/>
      <c r="H34" s="48"/>
      <c r="I34" s="48"/>
      <c r="J34" s="48"/>
      <c r="K34" s="48"/>
      <c r="L34" s="48"/>
      <c r="M34" s="48"/>
    </row>
    <row r="35" spans="1:14" ht="16.5" thickBot="1" x14ac:dyDescent="0.3">
      <c r="A35" s="75" t="s">
        <v>402</v>
      </c>
      <c r="B35" s="77" t="s">
        <v>357</v>
      </c>
      <c r="C35" s="78" t="s">
        <v>358</v>
      </c>
      <c r="D35" s="78" t="s">
        <v>359</v>
      </c>
      <c r="E35" s="78" t="s">
        <v>360</v>
      </c>
      <c r="F35" s="78" t="s">
        <v>361</v>
      </c>
      <c r="G35" s="78" t="s">
        <v>362</v>
      </c>
      <c r="H35" s="78" t="s">
        <v>363</v>
      </c>
      <c r="I35" s="78" t="s">
        <v>364</v>
      </c>
      <c r="J35" s="78" t="s">
        <v>365</v>
      </c>
      <c r="K35" s="78" t="s">
        <v>366</v>
      </c>
      <c r="L35" s="78" t="s">
        <v>367</v>
      </c>
      <c r="M35" s="80" t="s">
        <v>368</v>
      </c>
      <c r="N35" s="415" t="s">
        <v>414</v>
      </c>
    </row>
    <row r="36" spans="1:14" ht="15.75" thickBot="1" x14ac:dyDescent="0.3">
      <c r="A36" s="76" t="s">
        <v>369</v>
      </c>
      <c r="B36" s="77">
        <v>1</v>
      </c>
      <c r="C36" s="78">
        <v>2</v>
      </c>
      <c r="D36" s="78">
        <v>3</v>
      </c>
      <c r="E36" s="78">
        <v>4</v>
      </c>
      <c r="F36" s="78">
        <v>5</v>
      </c>
      <c r="G36" s="78">
        <v>6</v>
      </c>
      <c r="H36" s="78">
        <v>7</v>
      </c>
      <c r="I36" s="78">
        <v>8</v>
      </c>
      <c r="J36" s="78">
        <v>9</v>
      </c>
      <c r="K36" s="78">
        <v>10</v>
      </c>
      <c r="L36" s="78">
        <v>11</v>
      </c>
      <c r="M36" s="79">
        <v>12</v>
      </c>
      <c r="N36" s="416"/>
    </row>
    <row r="37" spans="1:14" ht="25.5" x14ac:dyDescent="0.25">
      <c r="A37" s="86" t="s">
        <v>759</v>
      </c>
      <c r="B37" s="81">
        <f>COUNTIFS(Tabla1[AÑO3 INGRESO CPN],$B$4,Tabla1[MES2 INGRESO CPN],B6,Tabla1[NOVEDAD AL MOMENTO DE LA IDENTIFICACIÓN Y/O CAPTACIÓN ],$A$33)</f>
        <v>0</v>
      </c>
      <c r="C37" s="81">
        <f>COUNTIFS(Tabla1[AÑO3 INGRESO CPN],$B$4,Tabla1[MES2 INGRESO CPN],C6,Tabla1[NOVEDAD AL MOMENTO DE LA IDENTIFICACIÓN Y/O CAPTACIÓN ],$A$33)</f>
        <v>0</v>
      </c>
      <c r="D37" s="81">
        <f>COUNTIFS(Tabla1[AÑO3 INGRESO CPN],$B$4,Tabla1[MES2 INGRESO CPN],D6,Tabla1[NOVEDAD AL MOMENTO DE LA IDENTIFICACIÓN Y/O CAPTACIÓN ],$A$33)</f>
        <v>0</v>
      </c>
      <c r="E37" s="81">
        <f>COUNTIFS(Tabla1[AÑO3 INGRESO CPN],$B$4,Tabla1[MES2 INGRESO CPN],E6,Tabla1[NOVEDAD AL MOMENTO DE LA IDENTIFICACIÓN Y/O CAPTACIÓN ],$A$33)</f>
        <v>0</v>
      </c>
      <c r="F37" s="81">
        <f>COUNTIFS(Tabla1[AÑO3 INGRESO CPN],$B$4,Tabla1[MES2 INGRESO CPN],F6,Tabla1[NOVEDAD AL MOMENTO DE LA IDENTIFICACIÓN Y/O CAPTACIÓN ],$A$33)</f>
        <v>0</v>
      </c>
      <c r="G37" s="81">
        <f>COUNTIFS(Tabla1[AÑO3 INGRESO CPN],$B$4,Tabla1[MES2 INGRESO CPN],G6,Tabla1[NOVEDAD AL MOMENTO DE LA IDENTIFICACIÓN Y/O CAPTACIÓN ],$A$33)</f>
        <v>0</v>
      </c>
      <c r="H37" s="81">
        <f>COUNTIFS(Tabla1[AÑO3 INGRESO CPN],$B$4,Tabla1[MES2 INGRESO CPN],H6,Tabla1[NOVEDAD AL MOMENTO DE LA IDENTIFICACIÓN Y/O CAPTACIÓN ],$A$33)</f>
        <v>0</v>
      </c>
      <c r="I37" s="81">
        <f>COUNTIFS(Tabla1[AÑO3 INGRESO CPN],$B$4,Tabla1[MES2 INGRESO CPN],I6,Tabla1[NOVEDAD AL MOMENTO DE LA IDENTIFICACIÓN Y/O CAPTACIÓN ],$A$33)</f>
        <v>0</v>
      </c>
      <c r="J37" s="81">
        <f>COUNTIFS(Tabla1[AÑO3 INGRESO CPN],$B$4,Tabla1[MES2 INGRESO CPN],J6,Tabla1[NOVEDAD AL MOMENTO DE LA IDENTIFICACIÓN Y/O CAPTACIÓN ],$A$33)</f>
        <v>0</v>
      </c>
      <c r="K37" s="81">
        <f>COUNTIFS(Tabla1[AÑO3 INGRESO CPN],$B$4,Tabla1[MES2 INGRESO CPN],K6,Tabla1[NOVEDAD AL MOMENTO DE LA IDENTIFICACIÓN Y/O CAPTACIÓN ],$A$33)</f>
        <v>0</v>
      </c>
      <c r="L37" s="81">
        <f>COUNTIFS(Tabla1[AÑO3 INGRESO CPN],$B$4,Tabla1[MES2 INGRESO CPN],L6,Tabla1[NOVEDAD AL MOMENTO DE LA IDENTIFICACIÓN Y/O CAPTACIÓN ],$A$33)</f>
        <v>0</v>
      </c>
      <c r="M37" s="81">
        <f>COUNTIFS(Tabla1[AÑO3 INGRESO CPN],$B$4,Tabla1[MES2 INGRESO CPN],M6,Tabla1[NOVEDAD AL MOMENTO DE LA IDENTIFICACIÓN Y/O CAPTACIÓN ],$A$33)</f>
        <v>0</v>
      </c>
      <c r="N37" s="87">
        <f>SUM(B37:M37)</f>
        <v>0</v>
      </c>
    </row>
    <row r="38" spans="1:14" ht="26.25" thickBot="1" x14ac:dyDescent="0.3">
      <c r="A38" s="88" t="s">
        <v>760</v>
      </c>
      <c r="B38" s="82">
        <f>COUNTIFS(Tabla1[AÑO3 INGRESO CPN],$B$4,Tabla1[MES2 INGRESO CPN],B6,Tabla1[TRIMESTRE DE  INGRESO AL CPN],"I TRIM",Tabla1[NOVEDAD AL MOMENTO DE LA IDENTIFICACIÓN Y/O CAPTACIÓN ],$A$33)</f>
        <v>0</v>
      </c>
      <c r="C38" s="82">
        <f>COUNTIFS(Tabla1[AÑO3 INGRESO CPN],$B$4,Tabla1[MES2 INGRESO CPN],C6,Tabla1[TRIMESTRE DE  INGRESO AL CPN],"I TRIM",Tabla1[NOVEDAD AL MOMENTO DE LA IDENTIFICACIÓN Y/O CAPTACIÓN ],$A$33)</f>
        <v>0</v>
      </c>
      <c r="D38" s="82">
        <f>COUNTIFS(Tabla1[AÑO3 INGRESO CPN],$B$4,Tabla1[MES2 INGRESO CPN],D6,Tabla1[TRIMESTRE DE  INGRESO AL CPN],"I TRIM",Tabla1[NOVEDAD AL MOMENTO DE LA IDENTIFICACIÓN Y/O CAPTACIÓN ],$A$33)</f>
        <v>0</v>
      </c>
      <c r="E38" s="82">
        <f>COUNTIFS(Tabla1[AÑO3 INGRESO CPN],$B$4,Tabla1[MES2 INGRESO CPN],E6,Tabla1[TRIMESTRE DE  INGRESO AL CPN],"I TRIM",Tabla1[NOVEDAD AL MOMENTO DE LA IDENTIFICACIÓN Y/O CAPTACIÓN ],$A$33)</f>
        <v>0</v>
      </c>
      <c r="F38" s="82">
        <f>COUNTIFS(Tabla1[AÑO3 INGRESO CPN],$B$4,Tabla1[MES2 INGRESO CPN],F6,Tabla1[TRIMESTRE DE  INGRESO AL CPN],"I TRIM",Tabla1[NOVEDAD AL MOMENTO DE LA IDENTIFICACIÓN Y/O CAPTACIÓN ],$A$33)</f>
        <v>0</v>
      </c>
      <c r="G38" s="82">
        <f>COUNTIFS(Tabla1[AÑO3 INGRESO CPN],$B$4,Tabla1[MES2 INGRESO CPN],G6,Tabla1[TRIMESTRE DE  INGRESO AL CPN],"I TRIM",Tabla1[NOVEDAD AL MOMENTO DE LA IDENTIFICACIÓN Y/O CAPTACIÓN ],$A$33)</f>
        <v>0</v>
      </c>
      <c r="H38" s="82">
        <f>COUNTIFS(Tabla1[AÑO3 INGRESO CPN],$B$4,Tabla1[MES2 INGRESO CPN],H6,Tabla1[TRIMESTRE DE  INGRESO AL CPN],"I TRIM",Tabla1[NOVEDAD AL MOMENTO DE LA IDENTIFICACIÓN Y/O CAPTACIÓN ],$A$33)</f>
        <v>0</v>
      </c>
      <c r="I38" s="82">
        <f>COUNTIFS(Tabla1[AÑO3 INGRESO CPN],$B$4,Tabla1[MES2 INGRESO CPN],I6,Tabla1[TRIMESTRE DE  INGRESO AL CPN],"I TRIM",Tabla1[NOVEDAD AL MOMENTO DE LA IDENTIFICACIÓN Y/O CAPTACIÓN ],$A$33)</f>
        <v>0</v>
      </c>
      <c r="J38" s="82">
        <f>COUNTIFS(Tabla1[AÑO3 INGRESO CPN],$B$4,Tabla1[MES2 INGRESO CPN],J6,Tabla1[TRIMESTRE DE  INGRESO AL CPN],"I TRIM",Tabla1[NOVEDAD AL MOMENTO DE LA IDENTIFICACIÓN Y/O CAPTACIÓN ],$A$33)</f>
        <v>0</v>
      </c>
      <c r="K38" s="82">
        <f>COUNTIFS(Tabla1[AÑO3 INGRESO CPN],$B$4,Tabla1[MES2 INGRESO CPN],K6,Tabla1[TRIMESTRE DE  INGRESO AL CPN],"I TRIM",Tabla1[NOVEDAD AL MOMENTO DE LA IDENTIFICACIÓN Y/O CAPTACIÓN ],$A$33)</f>
        <v>0</v>
      </c>
      <c r="L38" s="82">
        <f>COUNTIFS(Tabla1[AÑO3 INGRESO CPN],$B$4,Tabla1[MES2 INGRESO CPN],L6,Tabla1[TRIMESTRE DE  INGRESO AL CPN],"I TRIM",Tabla1[NOVEDAD AL MOMENTO DE LA IDENTIFICACIÓN Y/O CAPTACIÓN ],$A$33)</f>
        <v>0</v>
      </c>
      <c r="M38" s="82">
        <f>COUNTIFS(Tabla1[AÑO3 INGRESO CPN],$B$4,Tabla1[MES2 INGRESO CPN],M6,Tabla1[TRIMESTRE DE  INGRESO AL CPN],"I TRIM",Tabla1[NOVEDAD AL MOMENTO DE LA IDENTIFICACIÓN Y/O CAPTACIÓN ],$A$33)</f>
        <v>0</v>
      </c>
      <c r="N38" s="89">
        <f>SUM(B38:M38)</f>
        <v>0</v>
      </c>
    </row>
    <row r="39" spans="1:14" ht="30.75" customHeight="1" thickBot="1" x14ac:dyDescent="0.3">
      <c r="A39" s="72" t="s">
        <v>758</v>
      </c>
      <c r="B39" s="83" t="str">
        <f>IF(B37=0,"",SUM(B38/B37))</f>
        <v/>
      </c>
      <c r="C39" s="84" t="str">
        <f>IF(C37=0,"",SUM(C38/C37))</f>
        <v/>
      </c>
      <c r="D39" s="84" t="str">
        <f t="shared" ref="D39:N39" si="1">IF(D37=0,"",SUM(D38/D37))</f>
        <v/>
      </c>
      <c r="E39" s="84" t="str">
        <f t="shared" si="1"/>
        <v/>
      </c>
      <c r="F39" s="84" t="str">
        <f t="shared" si="1"/>
        <v/>
      </c>
      <c r="G39" s="84" t="str">
        <f t="shared" si="1"/>
        <v/>
      </c>
      <c r="H39" s="84" t="str">
        <f t="shared" si="1"/>
        <v/>
      </c>
      <c r="I39" s="84" t="str">
        <f t="shared" si="1"/>
        <v/>
      </c>
      <c r="J39" s="84" t="str">
        <f t="shared" si="1"/>
        <v/>
      </c>
      <c r="K39" s="84" t="str">
        <f t="shared" si="1"/>
        <v/>
      </c>
      <c r="L39" s="84" t="str">
        <f t="shared" si="1"/>
        <v/>
      </c>
      <c r="M39" s="84" t="str">
        <f t="shared" si="1"/>
        <v/>
      </c>
      <c r="N39" s="85" t="str">
        <f t="shared" si="1"/>
        <v/>
      </c>
    </row>
    <row r="40" spans="1:14" ht="31.5" customHeight="1" x14ac:dyDescent="0.25">
      <c r="A40" s="86" t="s">
        <v>563</v>
      </c>
      <c r="B40" s="81">
        <f>COUNTIFS(Tabla1[AÑO3 INGRESO CPN],$B$4,Tabla1[MES2 INGRESO CPN],$B$6)</f>
        <v>13</v>
      </c>
      <c r="C40" s="81">
        <f>COUNTIFS(Tabla1[AÑO3 INGRESO CPN],B4,Tabla1[MES2 INGRESO CPN],C6)</f>
        <v>29</v>
      </c>
      <c r="D40" s="81">
        <f>COUNTIFS(Tabla1[AÑO3 INGRESO CPN],B4,Tabla1[MES2 INGRESO CPN],D6)</f>
        <v>33</v>
      </c>
      <c r="E40" s="81">
        <f>COUNTIFS(Tabla1[AÑO3 INGRESO CPN],B4,Tabla1[MES2 INGRESO CPN],E6)</f>
        <v>20</v>
      </c>
      <c r="F40" s="81">
        <f>COUNTIFS(Tabla1[AÑO3 INGRESO CPN],B4,Tabla1[MES2 INGRESO CPN],F6)</f>
        <v>20</v>
      </c>
      <c r="G40" s="81">
        <f>COUNTIFS(Tabla1[AÑO3 INGRESO CPN],B4,Tabla1[MES2 INGRESO CPN],G6)</f>
        <v>8</v>
      </c>
      <c r="H40" s="81">
        <f>COUNTIFS(Tabla1[AÑO3 INGRESO CPN],B4,Tabla1[MES2 INGRESO CPN],H6)</f>
        <v>22</v>
      </c>
      <c r="I40" s="81">
        <f>COUNTIFS(Tabla1[AÑO3 INGRESO CPN],B4,Tabla1[MES2 INGRESO CPN],I6)</f>
        <v>18</v>
      </c>
      <c r="J40" s="81">
        <f>COUNTIFS(Tabla1[AÑO3 INGRESO CPN],B4,Tabla1[MES2 INGRESO CPN],J6)</f>
        <v>0</v>
      </c>
      <c r="K40" s="81">
        <f>COUNTIFS(Tabla1[AÑO3 INGRESO CPN],B4,Tabla1[MES2 INGRESO CPN],K6)</f>
        <v>0</v>
      </c>
      <c r="L40" s="81">
        <f>COUNTIFS(Tabla1[AÑO3 INGRESO CPN],B4,Tabla1[MES2 INGRESO CPN],L6)</f>
        <v>0</v>
      </c>
      <c r="M40" s="81">
        <f>COUNTIFS(Tabla1[AÑO3 INGRESO CPN],B4,Tabla1[MES2 INGRESO CPN],M6)</f>
        <v>0</v>
      </c>
      <c r="N40" s="90">
        <f>SUM(B40:M40)</f>
        <v>163</v>
      </c>
    </row>
    <row r="41" spans="1:14" ht="31.5" customHeight="1" thickBot="1" x14ac:dyDescent="0.3">
      <c r="A41" s="88" t="s">
        <v>741</v>
      </c>
      <c r="B41" s="82">
        <f>COUNTIFS(Tabla1[AÑO3 INGRESO CPN],$B$4,Tabla1[MES2 INGRESO CPN],$B$6,Tabla1[TRIMESTRE DE  INGRESO AL CPN],"I TRIM")</f>
        <v>2</v>
      </c>
      <c r="C41" s="82">
        <f>COUNTIFS(Tabla1[AÑO3 INGRESO CPN],B4,Tabla1[MES2 INGRESO CPN],C6,Tabla1[TRIMESTRE DE  INGRESO AL CPN],"I TRIM")</f>
        <v>9</v>
      </c>
      <c r="D41" s="82">
        <f>COUNTIFS(Tabla1[AÑO3 INGRESO CPN],B4,Tabla1[MES2 INGRESO CPN],D6,Tabla1[TRIMESTRE DE  INGRESO AL CPN],"I TRIM")</f>
        <v>7</v>
      </c>
      <c r="E41" s="82">
        <f>COUNTIFS(Tabla1[AÑO3 INGRESO CPN],B4,Tabla1[MES2 INGRESO CPN],E6,Tabla1[TRIMESTRE DE  INGRESO AL CPN],"I TRIM")</f>
        <v>6</v>
      </c>
      <c r="F41" s="82">
        <f>COUNTIFS(Tabla1[AÑO3 INGRESO CPN],B4,Tabla1[MES2 INGRESO CPN],F6,Tabla1[TRIMESTRE DE  INGRESO AL CPN],"I TRIM")</f>
        <v>6</v>
      </c>
      <c r="G41" s="82">
        <f>COUNTIFS(Tabla1[AÑO3 INGRESO CPN],B4,Tabla1[MES2 INGRESO CPN],G6,Tabla1[TRIMESTRE DE  INGRESO AL CPN],"I TRIM")</f>
        <v>1</v>
      </c>
      <c r="H41" s="82">
        <f>COUNTIFS(Tabla1[AÑO3 INGRESO CPN],B4,Tabla1[MES2 INGRESO CPN],H6,Tabla1[TRIMESTRE DE  INGRESO AL CPN],"I TRIM")</f>
        <v>7</v>
      </c>
      <c r="I41" s="82">
        <f>COUNTIFS(Tabla1[AÑO3 INGRESO CPN],B4,Tabla1[MES2 INGRESO CPN],I6,Tabla1[TRIMESTRE DE  INGRESO AL CPN],"I TRIM")</f>
        <v>0</v>
      </c>
      <c r="J41" s="82">
        <f>COUNTIFS(Tabla1[AÑO3 INGRESO CPN],B4,Tabla1[MES2 INGRESO CPN],J6,Tabla1[TRIMESTRE DE  INGRESO AL CPN],"I TRIM")</f>
        <v>0</v>
      </c>
      <c r="K41" s="82">
        <f>COUNTIFS(Tabla1[AÑO3 INGRESO CPN],B4,Tabla1[MES2 INGRESO CPN],K6,Tabla1[TRIMESTRE DE  INGRESO AL CPN],"I TRIM")</f>
        <v>0</v>
      </c>
      <c r="L41" s="82">
        <f>COUNTIFS(Tabla1[AÑO3 INGRESO CPN],B4,Tabla1[MES2 INGRESO CPN],L6,Tabla1[TRIMESTRE DE  INGRESO AL CPN],"I TRIM")</f>
        <v>0</v>
      </c>
      <c r="M41" s="82">
        <f>COUNTIFS(Tabla1[AÑO3 INGRESO CPN],B4,Tabla1[MES2 INGRESO CPN],M6,Tabla1[TRIMESTRE DE  INGRESO AL CPN],"I TRIM")</f>
        <v>0</v>
      </c>
      <c r="N41" s="91">
        <f>SUM(B41:M41)</f>
        <v>38</v>
      </c>
    </row>
    <row r="42" spans="1:14" ht="31.5" customHeight="1" thickBot="1" x14ac:dyDescent="0.3">
      <c r="A42" s="73" t="s">
        <v>740</v>
      </c>
      <c r="B42" s="83">
        <f>IF($B$40=0,"",SUM(B41/$B$40))</f>
        <v>0.15384615384615385</v>
      </c>
      <c r="C42" s="84">
        <f t="shared" ref="C42:N42" si="2">IF(C40=0,"",SUM(C41/C40))</f>
        <v>0.31034482758620691</v>
      </c>
      <c r="D42" s="84">
        <f t="shared" si="2"/>
        <v>0.21212121212121213</v>
      </c>
      <c r="E42" s="84">
        <f t="shared" si="2"/>
        <v>0.3</v>
      </c>
      <c r="F42" s="84">
        <f t="shared" si="2"/>
        <v>0.3</v>
      </c>
      <c r="G42" s="84">
        <f t="shared" si="2"/>
        <v>0.125</v>
      </c>
      <c r="H42" s="84">
        <f t="shared" si="2"/>
        <v>0.31818181818181818</v>
      </c>
      <c r="I42" s="84">
        <f t="shared" si="2"/>
        <v>0</v>
      </c>
      <c r="J42" s="84" t="str">
        <f t="shared" si="2"/>
        <v/>
      </c>
      <c r="K42" s="84" t="str">
        <f t="shared" si="2"/>
        <v/>
      </c>
      <c r="L42" s="84" t="str">
        <f t="shared" si="2"/>
        <v/>
      </c>
      <c r="M42" s="84" t="str">
        <f t="shared" si="2"/>
        <v/>
      </c>
      <c r="N42" s="85">
        <f t="shared" si="2"/>
        <v>0.23312883435582821</v>
      </c>
    </row>
    <row r="43" spans="1:14" ht="31.5" customHeight="1" thickBot="1" x14ac:dyDescent="0.3">
      <c r="A43" s="104" t="s">
        <v>738</v>
      </c>
      <c r="B43" s="107">
        <f>COUNTIFS(Tabla1[AÑO3 INGRESO CPN],$B$4,Tabla1[MES2 INGRESO CPN],$B$6,Tabla1[CAPTACIÓN A SEMANA 12],"I TRIM")</f>
        <v>5</v>
      </c>
      <c r="C43" s="107">
        <f>COUNTIFS(Tabla1[AÑO3 INGRESO CPN],B4,Tabla1[MES2 INGRESO CPN],C6,Tabla1[CAPTACIÓN A SEMANA 12],"I TRIM")</f>
        <v>12</v>
      </c>
      <c r="D43" s="107">
        <f>COUNTIFS(Tabla1[AÑO3 INGRESO CPN],B4,Tabla1[MES2 INGRESO CPN],D6,Tabla1[CAPTACIÓN A SEMANA 12],"I TRIM")</f>
        <v>12</v>
      </c>
      <c r="E43" s="107">
        <f>COUNTIFS(Tabla1[AÑO3 INGRESO CPN],B4,Tabla1[MES2 INGRESO CPN],E6,Tabla1[CAPTACIÓN A SEMANA 12],"I TRIM")</f>
        <v>8</v>
      </c>
      <c r="F43" s="107">
        <f>COUNTIFS(Tabla1[AÑO3 INGRESO CPN],B4,Tabla1[MES2 INGRESO CPN],F6,Tabla1[CAPTACIÓN A SEMANA 12],"I TRIM")</f>
        <v>9</v>
      </c>
      <c r="G43" s="107">
        <f>COUNTIFS(Tabla1[AÑO3 INGRESO CPN],B4,Tabla1[MES2 INGRESO CPN],G6,Tabla1[CAPTACIÓN A SEMANA 12],"I TRIM")</f>
        <v>2</v>
      </c>
      <c r="H43" s="107">
        <f>COUNTIFS(Tabla1[AÑO3 INGRESO CPN],B4,Tabla1[MES2 INGRESO CPN],H6,Tabla1[CAPTACIÓN A SEMANA 12],"I TRIM")</f>
        <v>10</v>
      </c>
      <c r="I43" s="107">
        <f>COUNTIFS(Tabla1[AÑO3 INGRESO CPN],B4,Tabla1[MES2 INGRESO CPN],I6,Tabla1[CAPTACIÓN A SEMANA 12],"I TRIM")</f>
        <v>1</v>
      </c>
      <c r="J43" s="107">
        <f>COUNTIFS(Tabla1[AÑO3 INGRESO CPN],B4,Tabla1[MES2 INGRESO CPN],J6,Tabla1[CAPTACIÓN A SEMANA 12],"I TRIM")</f>
        <v>0</v>
      </c>
      <c r="K43" s="107">
        <f>COUNTIFS(Tabla1[AÑO3 INGRESO CPN],B4,Tabla1[MES2 INGRESO CPN],K6,Tabla1[CAPTACIÓN A SEMANA 12],"I TRIM")</f>
        <v>0</v>
      </c>
      <c r="L43" s="107">
        <f>COUNTIFS(Tabla1[AÑO3 INGRESO CPN],B4,Tabla1[MES2 INGRESO CPN],L6,Tabla1[CAPTACIÓN A SEMANA 12],"I TRIM")</f>
        <v>0</v>
      </c>
      <c r="M43" s="107">
        <f>COUNTIFS(Tabla1[AÑO3 INGRESO CPN],B4,Tabla1[MES2 INGRESO CPN],M6,Tabla1[CAPTACIÓN A SEMANA 12],"I TRIM")</f>
        <v>0</v>
      </c>
      <c r="N43" s="91">
        <f>SUM(B43:M43)</f>
        <v>59</v>
      </c>
    </row>
    <row r="44" spans="1:14" ht="31.5" customHeight="1" thickBot="1" x14ac:dyDescent="0.3">
      <c r="A44" s="108" t="s">
        <v>843</v>
      </c>
      <c r="B44" s="83">
        <f>IF(B40=0,"",SUM(B43/B40))</f>
        <v>0.38461538461538464</v>
      </c>
      <c r="C44" s="84">
        <f t="shared" ref="C44:M44" si="3">IF(C40=0,"",SUM(C43/C40))</f>
        <v>0.41379310344827586</v>
      </c>
      <c r="D44" s="84">
        <f t="shared" si="3"/>
        <v>0.36363636363636365</v>
      </c>
      <c r="E44" s="84">
        <f t="shared" si="3"/>
        <v>0.4</v>
      </c>
      <c r="F44" s="84">
        <f t="shared" si="3"/>
        <v>0.45</v>
      </c>
      <c r="G44" s="84">
        <f t="shared" si="3"/>
        <v>0.25</v>
      </c>
      <c r="H44" s="84">
        <f t="shared" si="3"/>
        <v>0.45454545454545453</v>
      </c>
      <c r="I44" s="84">
        <f t="shared" si="3"/>
        <v>5.5555555555555552E-2</v>
      </c>
      <c r="J44" s="84" t="str">
        <f t="shared" si="3"/>
        <v/>
      </c>
      <c r="K44" s="84" t="str">
        <f t="shared" si="3"/>
        <v/>
      </c>
      <c r="L44" s="84" t="str">
        <f t="shared" si="3"/>
        <v/>
      </c>
      <c r="M44" s="84" t="str">
        <f t="shared" si="3"/>
        <v/>
      </c>
      <c r="N44" s="85">
        <f>IF(N40=0,"",SUM(N43/N40))</f>
        <v>0.3619631901840491</v>
      </c>
    </row>
    <row r="45" spans="1:14" ht="31.5" customHeight="1" x14ac:dyDescent="0.25">
      <c r="A45" s="86" t="s">
        <v>761</v>
      </c>
      <c r="B45" s="81">
        <f>SUM(B40-B37)</f>
        <v>13</v>
      </c>
      <c r="C45" s="81">
        <f t="shared" ref="C45:M45" si="4">SUM(C40-C37)</f>
        <v>29</v>
      </c>
      <c r="D45" s="81">
        <f t="shared" si="4"/>
        <v>33</v>
      </c>
      <c r="E45" s="81">
        <f t="shared" si="4"/>
        <v>20</v>
      </c>
      <c r="F45" s="81">
        <f t="shared" si="4"/>
        <v>20</v>
      </c>
      <c r="G45" s="81">
        <f t="shared" si="4"/>
        <v>8</v>
      </c>
      <c r="H45" s="81">
        <f t="shared" si="4"/>
        <v>22</v>
      </c>
      <c r="I45" s="81">
        <f t="shared" si="4"/>
        <v>18</v>
      </c>
      <c r="J45" s="81">
        <f t="shared" si="4"/>
        <v>0</v>
      </c>
      <c r="K45" s="81">
        <f t="shared" si="4"/>
        <v>0</v>
      </c>
      <c r="L45" s="81">
        <f t="shared" si="4"/>
        <v>0</v>
      </c>
      <c r="M45" s="81">
        <f t="shared" si="4"/>
        <v>0</v>
      </c>
      <c r="N45" s="90">
        <f>SUM(B45:M45)</f>
        <v>163</v>
      </c>
    </row>
    <row r="46" spans="1:14" ht="31.5" customHeight="1" thickBot="1" x14ac:dyDescent="0.3">
      <c r="A46" s="88" t="s">
        <v>741</v>
      </c>
      <c r="B46" s="82">
        <f>+B41-B38</f>
        <v>2</v>
      </c>
      <c r="C46" s="82">
        <f t="shared" ref="C46:M46" si="5">+C41-C38</f>
        <v>9</v>
      </c>
      <c r="D46" s="82">
        <f t="shared" si="5"/>
        <v>7</v>
      </c>
      <c r="E46" s="82">
        <f t="shared" si="5"/>
        <v>6</v>
      </c>
      <c r="F46" s="82">
        <f t="shared" si="5"/>
        <v>6</v>
      </c>
      <c r="G46" s="82">
        <f t="shared" si="5"/>
        <v>1</v>
      </c>
      <c r="H46" s="82">
        <f t="shared" si="5"/>
        <v>7</v>
      </c>
      <c r="I46" s="82">
        <f t="shared" si="5"/>
        <v>0</v>
      </c>
      <c r="J46" s="82">
        <f t="shared" si="5"/>
        <v>0</v>
      </c>
      <c r="K46" s="82">
        <f t="shared" si="5"/>
        <v>0</v>
      </c>
      <c r="L46" s="82">
        <f t="shared" si="5"/>
        <v>0</v>
      </c>
      <c r="M46" s="82">
        <f t="shared" si="5"/>
        <v>0</v>
      </c>
      <c r="N46" s="91">
        <f>SUM(B46:M46)</f>
        <v>38</v>
      </c>
    </row>
    <row r="47" spans="1:14" ht="31.5" customHeight="1" thickBot="1" x14ac:dyDescent="0.3">
      <c r="A47" s="74" t="s">
        <v>834</v>
      </c>
      <c r="B47" s="83">
        <f>IF(B45=0,"",SUM(B46/B45))</f>
        <v>0.15384615384615385</v>
      </c>
      <c r="C47" s="84">
        <f t="shared" ref="C47:M47" si="6">IF(C45=0,"",SUM(C46/C45))</f>
        <v>0.31034482758620691</v>
      </c>
      <c r="D47" s="84">
        <f t="shared" si="6"/>
        <v>0.21212121212121213</v>
      </c>
      <c r="E47" s="84">
        <f t="shared" si="6"/>
        <v>0.3</v>
      </c>
      <c r="F47" s="84">
        <f t="shared" si="6"/>
        <v>0.3</v>
      </c>
      <c r="G47" s="84">
        <f t="shared" si="6"/>
        <v>0.125</v>
      </c>
      <c r="H47" s="84">
        <f t="shared" si="6"/>
        <v>0.31818181818181818</v>
      </c>
      <c r="I47" s="84">
        <f t="shared" si="6"/>
        <v>0</v>
      </c>
      <c r="J47" s="84" t="str">
        <f t="shared" si="6"/>
        <v/>
      </c>
      <c r="K47" s="84" t="str">
        <f t="shared" si="6"/>
        <v/>
      </c>
      <c r="L47" s="84" t="str">
        <f t="shared" si="6"/>
        <v/>
      </c>
      <c r="M47" s="84" t="str">
        <f t="shared" si="6"/>
        <v/>
      </c>
      <c r="N47" s="85">
        <f>IF(N45=0,"",SUM(N46/N45))</f>
        <v>0.23312883435582821</v>
      </c>
    </row>
    <row r="48" spans="1:14" ht="54" customHeight="1" thickBot="1" x14ac:dyDescent="0.3">
      <c r="A48" s="86" t="s">
        <v>668</v>
      </c>
      <c r="B48" s="81">
        <f>COUNTIFS(Tabla1[AÑO3 INGRESO CPN],$B$4,Tabla1[MES2 INGRESO CPN],B19,Tabla1[ATENCIÓN PRECONCEPCIONAL],"PROCESO COMPLETO DE ATENCIÓN")</f>
        <v>0</v>
      </c>
      <c r="C48" s="81">
        <f>COUNTIFS(Tabla1[AÑO3 INGRESO CPN],$B$4,Tabla1[MES2 INGRESO CPN],C19,Tabla1[ATENCIÓN PRECONCEPCIONAL],"PROCESO COMPLETO DE ATENCIÓN")</f>
        <v>0</v>
      </c>
      <c r="D48" s="81">
        <f>COUNTIFS(Tabla1[AÑO3 INGRESO CPN],$B$4,Tabla1[MES2 INGRESO CPN],D19,Tabla1[ATENCIÓN PRECONCEPCIONAL],"PROCESO COMPLETO DE ATENCIÓN")</f>
        <v>0</v>
      </c>
      <c r="E48" s="81">
        <f>COUNTIFS(Tabla1[AÑO3 INGRESO CPN],$B$4,Tabla1[MES2 INGRESO CPN],E19,Tabla1[ATENCIÓN PRECONCEPCIONAL],"PROCESO COMPLETO DE ATENCIÓN")</f>
        <v>0</v>
      </c>
      <c r="F48" s="81">
        <f>COUNTIFS(Tabla1[AÑO3 INGRESO CPN],$B$4,Tabla1[MES2 INGRESO CPN],F19,Tabla1[ATENCIÓN PRECONCEPCIONAL],"PROCESO COMPLETO DE ATENCIÓN")</f>
        <v>0</v>
      </c>
      <c r="G48" s="81">
        <f>COUNTIFS(Tabla1[AÑO3 INGRESO CPN],$B$4,Tabla1[MES2 INGRESO CPN],G19,Tabla1[ATENCIÓN PRECONCEPCIONAL],"PROCESO COMPLETO DE ATENCIÓN")</f>
        <v>0</v>
      </c>
      <c r="H48" s="81">
        <f>COUNTIFS(Tabla1[AÑO3 INGRESO CPN],$B$4,Tabla1[MES2 INGRESO CPN],H19,Tabla1[ATENCIÓN PRECONCEPCIONAL],"PROCESO COMPLETO DE ATENCIÓN")</f>
        <v>0</v>
      </c>
      <c r="I48" s="81">
        <f>COUNTIFS(Tabla1[AÑO3 INGRESO CPN],$B$4,Tabla1[MES2 INGRESO CPN],I19,Tabla1[ATENCIÓN PRECONCEPCIONAL],"PROCESO COMPLETO DE ATENCIÓN")</f>
        <v>0</v>
      </c>
      <c r="J48" s="81">
        <f>COUNTIFS(Tabla1[AÑO3 INGRESO CPN],$B$4,Tabla1[MES2 INGRESO CPN],J19,Tabla1[ATENCIÓN PRECONCEPCIONAL],"PROCESO COMPLETO DE ATENCIÓN")</f>
        <v>0</v>
      </c>
      <c r="K48" s="81">
        <f>COUNTIFS(Tabla1[AÑO3 INGRESO CPN],$B$4,Tabla1[MES2 INGRESO CPN],K19,Tabla1[ATENCIÓN PRECONCEPCIONAL],"PROCESO COMPLETO DE ATENCIÓN")</f>
        <v>0</v>
      </c>
      <c r="L48" s="81">
        <f>COUNTIFS(Tabla1[AÑO3 INGRESO CPN],$B$4,Tabla1[MES2 INGRESO CPN],L19,Tabla1[ATENCIÓN PRECONCEPCIONAL],"PROCESO COMPLETO DE ATENCIÓN")</f>
        <v>0</v>
      </c>
      <c r="M48" s="81">
        <f>COUNTIFS(Tabla1[AÑO3 INGRESO CPN],$B$4,Tabla1[MES2 INGRESO CPN],M19,Tabla1[ATENCIÓN PRECONCEPCIONAL],"PROCESO COMPLETO DE ATENCIÓN")</f>
        <v>0</v>
      </c>
      <c r="N48" s="87">
        <f>SUM(B48:M48)</f>
        <v>0</v>
      </c>
    </row>
    <row r="49" spans="1:14" ht="31.5" customHeight="1" thickBot="1" x14ac:dyDescent="0.3">
      <c r="A49" s="143" t="s">
        <v>667</v>
      </c>
      <c r="B49" s="83" t="str">
        <f t="shared" ref="B49:N49" si="7">IF(B53=0,"",SUM(B48/B53))</f>
        <v/>
      </c>
      <c r="C49" s="84" t="str">
        <f t="shared" si="7"/>
        <v/>
      </c>
      <c r="D49" s="84">
        <f t="shared" si="7"/>
        <v>0</v>
      </c>
      <c r="E49" s="84">
        <f t="shared" si="7"/>
        <v>0</v>
      </c>
      <c r="F49" s="84">
        <f t="shared" si="7"/>
        <v>0</v>
      </c>
      <c r="G49" s="84">
        <f t="shared" si="7"/>
        <v>0</v>
      </c>
      <c r="H49" s="84">
        <f t="shared" si="7"/>
        <v>0</v>
      </c>
      <c r="I49" s="84">
        <f t="shared" si="7"/>
        <v>0</v>
      </c>
      <c r="J49" s="84" t="str">
        <f t="shared" si="7"/>
        <v/>
      </c>
      <c r="K49" s="84" t="str">
        <f t="shared" si="7"/>
        <v/>
      </c>
      <c r="L49" s="84" t="str">
        <f t="shared" si="7"/>
        <v/>
      </c>
      <c r="M49" s="84" t="str">
        <f t="shared" si="7"/>
        <v/>
      </c>
      <c r="N49" s="85">
        <f t="shared" si="7"/>
        <v>0</v>
      </c>
    </row>
    <row r="50" spans="1:14" ht="66.75" customHeight="1" x14ac:dyDescent="0.25">
      <c r="A50" s="161" t="s">
        <v>670</v>
      </c>
      <c r="B50" s="82">
        <f ca="1">COUNTIFS(Tabla1[AÑO3 INGRESO CPN],$B$4,Tabla1[MES2 INGRESO CPN],B6,Tabla1[RIESGO BIOPSICOSOCIAL],"ALTO RIESGO",Tabla1[FECHA ASISTENCIA PRIMERA VEZ CON GINECOLOGÍA],"&lt;&gt;")</f>
        <v>0</v>
      </c>
      <c r="C50" s="82">
        <f ca="1">COUNTIFS(Tabla1[AÑO3 INGRESO CPN],$B$4,Tabla1[MES2 INGRESO CPN],C6,Tabla1[RIESGO BIOPSICOSOCIAL],"ALTO RIESGO",Tabla1[FECHA ASISTENCIA PRIMERA VEZ CON GINECOLOGÍA],"&lt;&gt;")</f>
        <v>1</v>
      </c>
      <c r="D50" s="82">
        <f ca="1">COUNTIFS(Tabla1[AÑO3 INGRESO CPN],$B$4,Tabla1[MES2 INGRESO CPN],D6,Tabla1[RIESGO BIOPSICOSOCIAL],"ALTO RIESGO",Tabla1[FECHA ASISTENCIA PRIMERA VEZ CON GINECOLOGÍA],"&lt;&gt;")</f>
        <v>1</v>
      </c>
      <c r="E50" s="82">
        <f ca="1">COUNTIFS(Tabla1[AÑO3 INGRESO CPN],$B$4,Tabla1[MES2 INGRESO CPN],E6,Tabla1[RIESGO BIOPSICOSOCIAL],"ALTO RIESGO",Tabla1[FECHA ASISTENCIA PRIMERA VEZ CON GINECOLOGÍA],"&lt;&gt;")</f>
        <v>0</v>
      </c>
      <c r="F50" s="82">
        <f ca="1">COUNTIFS(Tabla1[AÑO3 INGRESO CPN],$B$4,Tabla1[MES2 INGRESO CPN],F6,Tabla1[RIESGO BIOPSICOSOCIAL],"ALTO RIESGO",Tabla1[FECHA ASISTENCIA PRIMERA VEZ CON GINECOLOGÍA],"&lt;&gt;")</f>
        <v>0</v>
      </c>
      <c r="G50" s="82">
        <f ca="1">COUNTIFS(Tabla1[AÑO3 INGRESO CPN],$B$4,Tabla1[MES2 INGRESO CPN],G6,Tabla1[RIESGO BIOPSICOSOCIAL],"ALTO RIESGO",Tabla1[FECHA ASISTENCIA PRIMERA VEZ CON GINECOLOGÍA],"&lt;&gt;")</f>
        <v>0</v>
      </c>
      <c r="H50" s="82">
        <f ca="1">COUNTIFS(Tabla1[AÑO3 INGRESO CPN],$B$4,Tabla1[MES2 INGRESO CPN],H6,Tabla1[RIESGO BIOPSICOSOCIAL],"ALTO RIESGO",Tabla1[FECHA ASISTENCIA PRIMERA VEZ CON GINECOLOGÍA],"&lt;&gt;")</f>
        <v>0</v>
      </c>
      <c r="I50" s="82">
        <f ca="1">COUNTIFS(Tabla1[AÑO3 INGRESO CPN],$B$4,Tabla1[MES2 INGRESO CPN],I6,Tabla1[RIESGO BIOPSICOSOCIAL],"ALTO RIESGO",Tabla1[FECHA ASISTENCIA PRIMERA VEZ CON GINECOLOGÍA],"&lt;&gt;")</f>
        <v>0</v>
      </c>
      <c r="J50" s="82">
        <f>COUNTIFS(Tabla1[AÑO3 INGRESO CPN],$B$4,Tabla1[MES2 INGRESO CPN],J6,Tabla1[RIESGO BIOPSICOSOCIAL],"ALTO RIESGO",Tabla1[FECHA ASISTENCIA PRIMERA VEZ CON GINECOLOGÍA],"&lt;&gt;")</f>
        <v>0</v>
      </c>
      <c r="K50" s="82">
        <f>COUNTIFS(Tabla1[AÑO3 INGRESO CPN],$B$4,Tabla1[MES2 INGRESO CPN],K6,Tabla1[RIESGO BIOPSICOSOCIAL],"ALTO RIESGO",Tabla1[FECHA ASISTENCIA PRIMERA VEZ CON GINECOLOGÍA],"&lt;&gt;")</f>
        <v>0</v>
      </c>
      <c r="L50" s="82">
        <f>COUNTIFS(Tabla1[AÑO3 INGRESO CPN],$B$4,Tabla1[MES2 INGRESO CPN],L6,Tabla1[RIESGO BIOPSICOSOCIAL],"ALTO RIESGO",Tabla1[FECHA ASISTENCIA PRIMERA VEZ CON GINECOLOGÍA],"&lt;&gt;")</f>
        <v>0</v>
      </c>
      <c r="M50" s="82">
        <f>COUNTIFS(Tabla1[AÑO3 INGRESO CPN],$B$4,Tabla1[MES2 INGRESO CPN],M6,Tabla1[RIESGO BIOPSICOSOCIAL],"ALTO RIESGO",Tabla1[FECHA ASISTENCIA PRIMERA VEZ CON GINECOLOGÍA],"&lt;&gt;")</f>
        <v>0</v>
      </c>
      <c r="N50" s="91">
        <f ca="1">SUM(B50:M50)</f>
        <v>2</v>
      </c>
    </row>
    <row r="51" spans="1:14" ht="42" customHeight="1" thickBot="1" x14ac:dyDescent="0.3">
      <c r="A51" s="88" t="s">
        <v>680</v>
      </c>
      <c r="B51" s="82">
        <f ca="1">COUNTIFS(Tabla1[AÑO3 INGRESO CPN],$B$4,Tabla1[MES2 INGRESO CPN],B6,Tabla1[RIESGO BIOPSICOSOCIAL],"ALTO RIESGO")</f>
        <v>0</v>
      </c>
      <c r="C51" s="82">
        <f ca="1">COUNTIFS(Tabla1[AÑO3 INGRESO CPN],$B$4,Tabla1[MES2 INGRESO CPN],C6,Tabla1[RIESGO BIOPSICOSOCIAL],"ALTO RIESGO")</f>
        <v>2</v>
      </c>
      <c r="D51" s="82">
        <f ca="1">COUNTIFS(Tabla1[AÑO3 INGRESO CPN],$B$4,Tabla1[MES2 INGRESO CPN],D6,Tabla1[RIESGO BIOPSICOSOCIAL],"ALTO RIESGO")</f>
        <v>2</v>
      </c>
      <c r="E51" s="82">
        <f ca="1">COUNTIFS(Tabla1[AÑO3 INGRESO CPN],$B$4,Tabla1[MES2 INGRESO CPN],E6,Tabla1[RIESGO BIOPSICOSOCIAL],"ALTO RIESGO")</f>
        <v>1</v>
      </c>
      <c r="F51" s="82">
        <f ca="1">COUNTIFS(Tabla1[AÑO3 INGRESO CPN],$B$4,Tabla1[MES2 INGRESO CPN],F6,Tabla1[RIESGO BIOPSICOSOCIAL],"ALTO RIESGO")</f>
        <v>2</v>
      </c>
      <c r="G51" s="82">
        <f ca="1">COUNTIFS(Tabla1[AÑO3 INGRESO CPN],$B$4,Tabla1[MES2 INGRESO CPN],G6,Tabla1[RIESGO BIOPSICOSOCIAL],"ALTO RIESGO")</f>
        <v>0</v>
      </c>
      <c r="H51" s="82">
        <f ca="1">COUNTIFS(Tabla1[AÑO3 INGRESO CPN],$B$4,Tabla1[MES2 INGRESO CPN],H6,Tabla1[RIESGO BIOPSICOSOCIAL],"ALTO RIESGO")</f>
        <v>2</v>
      </c>
      <c r="I51" s="82">
        <f ca="1">COUNTIFS(Tabla1[AÑO3 INGRESO CPN],$B$4,Tabla1[MES2 INGRESO CPN],I6,Tabla1[RIESGO BIOPSICOSOCIAL],"ALTO RIESGO")</f>
        <v>0</v>
      </c>
      <c r="J51" s="82">
        <f>COUNTIFS(Tabla1[AÑO3 INGRESO CPN],$B$4,Tabla1[MES2 INGRESO CPN],J6,Tabla1[RIESGO BIOPSICOSOCIAL],"ALTO RIESGO")</f>
        <v>0</v>
      </c>
      <c r="K51" s="82">
        <f>COUNTIFS(Tabla1[AÑO3 INGRESO CPN],$B$4,Tabla1[MES2 INGRESO CPN],K6,Tabla1[RIESGO BIOPSICOSOCIAL],"ALTO RIESGO")</f>
        <v>0</v>
      </c>
      <c r="L51" s="82">
        <f>COUNTIFS(Tabla1[AÑO3 INGRESO CPN],$B$4,Tabla1[MES2 INGRESO CPN],L6,Tabla1[RIESGO BIOPSICOSOCIAL],"ALTO RIESGO")</f>
        <v>0</v>
      </c>
      <c r="M51" s="82">
        <f>COUNTIFS(Tabla1[AÑO3 INGRESO CPN],$B$4,Tabla1[MES2 INGRESO CPN],M6,Tabla1[RIESGO BIOPSICOSOCIAL],"ALTO RIESGO")</f>
        <v>0</v>
      </c>
      <c r="N51" s="91">
        <f ca="1">SUM(B51:M51)</f>
        <v>9</v>
      </c>
    </row>
    <row r="52" spans="1:14" ht="31.5" customHeight="1" thickBot="1" x14ac:dyDescent="0.3">
      <c r="A52" s="152" t="s">
        <v>669</v>
      </c>
      <c r="B52" s="83" t="str">
        <f ca="1">IF(B51=0,"",SUM(B50/B51))</f>
        <v/>
      </c>
      <c r="C52" s="84">
        <f t="shared" ref="C52:N52" ca="1" si="8">IF(C51=0,"",SUM(C50/C51))</f>
        <v>0.5</v>
      </c>
      <c r="D52" s="84">
        <f t="shared" ca="1" si="8"/>
        <v>0.5</v>
      </c>
      <c r="E52" s="84">
        <f t="shared" ca="1" si="8"/>
        <v>0</v>
      </c>
      <c r="F52" s="84">
        <f t="shared" ca="1" si="8"/>
        <v>0</v>
      </c>
      <c r="G52" s="84" t="str">
        <f t="shared" ca="1" si="8"/>
        <v/>
      </c>
      <c r="H52" s="84">
        <f t="shared" ca="1" si="8"/>
        <v>0</v>
      </c>
      <c r="I52" s="84" t="str">
        <f t="shared" ca="1" si="8"/>
        <v/>
      </c>
      <c r="J52" s="84" t="str">
        <f t="shared" si="8"/>
        <v/>
      </c>
      <c r="K52" s="84" t="str">
        <f t="shared" si="8"/>
        <v/>
      </c>
      <c r="L52" s="84" t="str">
        <f t="shared" si="8"/>
        <v/>
      </c>
      <c r="M52" s="84" t="str">
        <f t="shared" si="8"/>
        <v/>
      </c>
      <c r="N52" s="85">
        <f t="shared" ca="1" si="8"/>
        <v>0.22222222222222221</v>
      </c>
    </row>
    <row r="53" spans="1:14" ht="39" customHeight="1" thickBot="1" x14ac:dyDescent="0.3">
      <c r="A53" s="88" t="s">
        <v>697</v>
      </c>
      <c r="B53" s="82">
        <f>SUM(COUNTIFS(Tabla1[AÑO PARTO],$B$4,Tabla1[MES PARTO],B6,Tabla1[SALE DEL PROGRAMA POR],"PARTO",Tabla1[EDAD GESTACIONAL SALIDA PROGRAMA],"&gt;36",Tabla1[EDAD GESTACIONAL SALIDA PROGRAMA],"&lt;44",Tabla1[FECHA ASISTENCIA A CONSULTA NUTRICION],"&lt;&gt;"),COUNTIFS(Tabla1[AÑO PARTO],$B$4,Tabla1[MES PARTO],B6,Tabla1[SALE DEL PROGRAMA POR],"CESAREA",Tabla1[EDAD GESTACIONAL SALIDA PROGRAMA],"&gt;36",Tabla1[EDAD GESTACIONAL SALIDA PROGRAMA],"&lt;44",Tabla1[FECHA ASISTENCIA A CONSULTA NUTRICION],"&lt;&gt;"))</f>
        <v>0</v>
      </c>
      <c r="C53" s="82">
        <f>SUM(COUNTIFS(Tabla1[AÑO PARTO],$B$4,Tabla1[MES PARTO],C6,Tabla1[SALE DEL PROGRAMA POR],"PARTO",Tabla1[EDAD GESTACIONAL SALIDA PROGRAMA],"&gt;36",Tabla1[EDAD GESTACIONAL SALIDA PROGRAMA],"&lt;44",Tabla1[FECHA ASISTENCIA A CONSULTA NUTRICION],"&lt;&gt;"),COUNTIFS(Tabla1[AÑO PARTO],$B$4,Tabla1[MES PARTO],C6,Tabla1[SALE DEL PROGRAMA POR],"CESAREA",Tabla1[EDAD GESTACIONAL SALIDA PROGRAMA],"&gt;36",Tabla1[EDAD GESTACIONAL SALIDA PROGRAMA],"&lt;44",Tabla1[FECHA ASISTENCIA A CONSULTA NUTRICION],"&lt;&gt;"))</f>
        <v>0</v>
      </c>
      <c r="D53" s="82">
        <f>SUM(COUNTIFS(Tabla1[AÑO PARTO],$B$4,Tabla1[MES PARTO],D6,Tabla1[SALE DEL PROGRAMA POR],"PARTO",Tabla1[EDAD GESTACIONAL SALIDA PROGRAMA],"&gt;36",Tabla1[EDAD GESTACIONAL SALIDA PROGRAMA],"&lt;44",Tabla1[FECHA ASISTENCIA A CONSULTA NUTRICION],"&lt;&gt;"),COUNTIFS(Tabla1[AÑO PARTO],$B$4,Tabla1[MES PARTO],D6,Tabla1[SALE DEL PROGRAMA POR],"CESAREA",Tabla1[EDAD GESTACIONAL SALIDA PROGRAMA],"&gt;36",Tabla1[EDAD GESTACIONAL SALIDA PROGRAMA],"&lt;44",Tabla1[FECHA ASISTENCIA A CONSULTA NUTRICION],"&lt;&gt;"))</f>
        <v>1</v>
      </c>
      <c r="E53" s="82">
        <f>SUM(COUNTIFS(Tabla1[AÑO PARTO],$B$4,Tabla1[MES PARTO],E6,Tabla1[SALE DEL PROGRAMA POR],"PARTO",Tabla1[EDAD GESTACIONAL SALIDA PROGRAMA],"&gt;36",Tabla1[EDAD GESTACIONAL SALIDA PROGRAMA],"&lt;44",Tabla1[FECHA ASISTENCIA A CONSULTA NUTRICION],"&lt;&gt;"),COUNTIFS(Tabla1[AÑO PARTO],$B$4,Tabla1[MES PARTO],E6,Tabla1[SALE DEL PROGRAMA POR],"CESAREA",Tabla1[EDAD GESTACIONAL SALIDA PROGRAMA],"&gt;36",Tabla1[EDAD GESTACIONAL SALIDA PROGRAMA],"&lt;44",Tabla1[FECHA ASISTENCIA A CONSULTA NUTRICION],"&lt;&gt;"))</f>
        <v>3</v>
      </c>
      <c r="F53" s="82">
        <f>SUM(COUNTIFS(Tabla1[AÑO PARTO],$B$4,Tabla1[MES PARTO],F6,Tabla1[SALE DEL PROGRAMA POR],"PARTO",Tabla1[EDAD GESTACIONAL SALIDA PROGRAMA],"&gt;36",Tabla1[EDAD GESTACIONAL SALIDA PROGRAMA],"&lt;44",Tabla1[FECHA ASISTENCIA A CONSULTA NUTRICION],"&lt;&gt;"),COUNTIFS(Tabla1[AÑO PARTO],$B$4,Tabla1[MES PARTO],F6,Tabla1[SALE DEL PROGRAMA POR],"CESAREA",Tabla1[EDAD GESTACIONAL SALIDA PROGRAMA],"&gt;36",Tabla1[EDAD GESTACIONAL SALIDA PROGRAMA],"&lt;44",Tabla1[FECHA ASISTENCIA A CONSULTA NUTRICION],"&lt;&gt;"))</f>
        <v>6</v>
      </c>
      <c r="G53" s="82">
        <f>SUM(COUNTIFS(Tabla1[AÑO PARTO],$B$4,Tabla1[MES PARTO],G6,Tabla1[SALE DEL PROGRAMA POR],"PARTO",Tabla1[EDAD GESTACIONAL SALIDA PROGRAMA],"&gt;36",Tabla1[EDAD GESTACIONAL SALIDA PROGRAMA],"&lt;44",Tabla1[FECHA ASISTENCIA A CONSULTA NUTRICION],"&lt;&gt;"),COUNTIFS(Tabla1[AÑO PARTO],$B$4,Tabla1[MES PARTO],G6,Tabla1[SALE DEL PROGRAMA POR],"CESAREA",Tabla1[EDAD GESTACIONAL SALIDA PROGRAMA],"&gt;36",Tabla1[EDAD GESTACIONAL SALIDA PROGRAMA],"&lt;44",Tabla1[FECHA ASISTENCIA A CONSULTA NUTRICION],"&lt;&gt;"))</f>
        <v>2</v>
      </c>
      <c r="H53" s="82">
        <f>SUM(COUNTIFS(Tabla1[AÑO PARTO],$B$4,Tabla1[MES PARTO],H6,Tabla1[SALE DEL PROGRAMA POR],"PARTO",Tabla1[EDAD GESTACIONAL SALIDA PROGRAMA],"&gt;36",Tabla1[EDAD GESTACIONAL SALIDA PROGRAMA],"&lt;44",Tabla1[FECHA ASISTENCIA A CONSULTA NUTRICION],"&lt;&gt;"),COUNTIFS(Tabla1[AÑO PARTO],$B$4,Tabla1[MES PARTO],H6,Tabla1[SALE DEL PROGRAMA POR],"CESAREA",Tabla1[EDAD GESTACIONAL SALIDA PROGRAMA],"&gt;36",Tabla1[EDAD GESTACIONAL SALIDA PROGRAMA],"&lt;44",Tabla1[FECHA ASISTENCIA A CONSULTA NUTRICION],"&lt;&gt;"))</f>
        <v>1</v>
      </c>
      <c r="I53" s="82">
        <f>SUM(COUNTIFS(Tabla1[AÑO PARTO],$B$4,Tabla1[MES PARTO],I6,Tabla1[SALE DEL PROGRAMA POR],"PARTO",Tabla1[EDAD GESTACIONAL SALIDA PROGRAMA],"&gt;36",Tabla1[EDAD GESTACIONAL SALIDA PROGRAMA],"&lt;44",Tabla1[FECHA ASISTENCIA A CONSULTA NUTRICION],"&lt;&gt;"),COUNTIFS(Tabla1[AÑO PARTO],$B$4,Tabla1[MES PARTO],I6,Tabla1[SALE DEL PROGRAMA POR],"CESAREA",Tabla1[EDAD GESTACIONAL SALIDA PROGRAMA],"&gt;36",Tabla1[EDAD GESTACIONAL SALIDA PROGRAMA],"&lt;44",Tabla1[FECHA ASISTENCIA A CONSULTA NUTRICION],"&lt;&gt;"))</f>
        <v>2</v>
      </c>
      <c r="J53" s="82">
        <f>SUM(COUNTIFS(Tabla1[AÑO PARTO],$B$4,Tabla1[MES PARTO],J6,Tabla1[SALE DEL PROGRAMA POR],"PARTO",Tabla1[EDAD GESTACIONAL SALIDA PROGRAMA],"&gt;36",Tabla1[EDAD GESTACIONAL SALIDA PROGRAMA],"&lt;44",Tabla1[FECHA ASISTENCIA A CONSULTA NUTRICION],"&lt;&gt;"),COUNTIFS(Tabla1[AÑO PARTO],$B$4,Tabla1[MES PARTO],J6,Tabla1[SALE DEL PROGRAMA POR],"CESAREA",Tabla1[EDAD GESTACIONAL SALIDA PROGRAMA],"&gt;36",Tabla1[EDAD GESTACIONAL SALIDA PROGRAMA],"&lt;44",Tabla1[FECHA ASISTENCIA A CONSULTA NUTRICION],"&lt;&gt;"))</f>
        <v>0</v>
      </c>
      <c r="K53" s="82">
        <f>SUM(COUNTIFS(Tabla1[AÑO PARTO],$B$4,Tabla1[MES PARTO],K6,Tabla1[SALE DEL PROGRAMA POR],"PARTO",Tabla1[EDAD GESTACIONAL SALIDA PROGRAMA],"&gt;36",Tabla1[EDAD GESTACIONAL SALIDA PROGRAMA],"&lt;44",Tabla1[FECHA ASISTENCIA A CONSULTA NUTRICION],"&lt;&gt;"),COUNTIFS(Tabla1[AÑO PARTO],$B$4,Tabla1[MES PARTO],K6,Tabla1[SALE DEL PROGRAMA POR],"CESAREA",Tabla1[EDAD GESTACIONAL SALIDA PROGRAMA],"&gt;36",Tabla1[EDAD GESTACIONAL SALIDA PROGRAMA],"&lt;44",Tabla1[FECHA ASISTENCIA A CONSULTA NUTRICION],"&lt;&gt;"))</f>
        <v>0</v>
      </c>
      <c r="L53" s="82">
        <f>SUM(COUNTIFS(Tabla1[AÑO PARTO],$B$4,Tabla1[MES PARTO],L6,Tabla1[SALE DEL PROGRAMA POR],"PARTO",Tabla1[EDAD GESTACIONAL SALIDA PROGRAMA],"&gt;36",Tabla1[EDAD GESTACIONAL SALIDA PROGRAMA],"&lt;44",Tabla1[FECHA ASISTENCIA A CONSULTA NUTRICION],"&lt;&gt;"),COUNTIFS(Tabla1[AÑO PARTO],$B$4,Tabla1[MES PARTO],L6,Tabla1[SALE DEL PROGRAMA POR],"CESAREA",Tabla1[EDAD GESTACIONAL SALIDA PROGRAMA],"&gt;36",Tabla1[EDAD GESTACIONAL SALIDA PROGRAMA],"&lt;44",Tabla1[FECHA ASISTENCIA A CONSULTA NUTRICION],"&lt;&gt;"))</f>
        <v>0</v>
      </c>
      <c r="M53" s="82">
        <f>SUM(COUNTIFS(Tabla1[AÑO PARTO],$B$4,Tabla1[MES PARTO],M6,Tabla1[SALE DEL PROGRAMA POR],"PARTO",Tabla1[EDAD GESTACIONAL SALIDA PROGRAMA],"&gt;36",Tabla1[EDAD GESTACIONAL SALIDA PROGRAMA],"&lt;44",Tabla1[FECHA ASISTENCIA A CONSULTA NUTRICION],"&lt;&gt;"),COUNTIFS(Tabla1[AÑO PARTO],$B$4,Tabla1[MES PARTO],M6,Tabla1[SALE DEL PROGRAMA POR],"CESAREA",Tabla1[EDAD GESTACIONAL SALIDA PROGRAMA],"&gt;36",Tabla1[EDAD GESTACIONAL SALIDA PROGRAMA],"&lt;44",Tabla1[FECHA ASISTENCIA A CONSULTA NUTRICION],"&lt;&gt;"))</f>
        <v>0</v>
      </c>
      <c r="N53" s="91">
        <f>SUM(B53:M53)</f>
        <v>15</v>
      </c>
    </row>
    <row r="54" spans="1:14" ht="31.5" customHeight="1" thickBot="1" x14ac:dyDescent="0.3">
      <c r="A54" s="152" t="s">
        <v>696</v>
      </c>
      <c r="B54" s="83" t="str">
        <f t="shared" ref="B54:N54" si="9">IF(B$60=0,"",SUM(B53/B$60))</f>
        <v/>
      </c>
      <c r="C54" s="84">
        <f t="shared" si="9"/>
        <v>0</v>
      </c>
      <c r="D54" s="84">
        <f t="shared" si="9"/>
        <v>8.3333333333333329E-2</v>
      </c>
      <c r="E54" s="84">
        <f t="shared" si="9"/>
        <v>0.21428571428571427</v>
      </c>
      <c r="F54" s="84">
        <f t="shared" si="9"/>
        <v>0.31578947368421051</v>
      </c>
      <c r="G54" s="84">
        <f t="shared" si="9"/>
        <v>0.18181818181818182</v>
      </c>
      <c r="H54" s="84">
        <f t="shared" si="9"/>
        <v>8.3333333333333329E-2</v>
      </c>
      <c r="I54" s="84">
        <f t="shared" si="9"/>
        <v>0.66666666666666663</v>
      </c>
      <c r="J54" s="84" t="str">
        <f t="shared" si="9"/>
        <v/>
      </c>
      <c r="K54" s="84" t="str">
        <f t="shared" si="9"/>
        <v/>
      </c>
      <c r="L54" s="84" t="str">
        <f t="shared" si="9"/>
        <v/>
      </c>
      <c r="M54" s="84" t="str">
        <f t="shared" si="9"/>
        <v/>
      </c>
      <c r="N54" s="85">
        <f t="shared" si="9"/>
        <v>0.20833333333333334</v>
      </c>
    </row>
    <row r="55" spans="1:14" ht="31.5" customHeight="1" x14ac:dyDescent="0.25">
      <c r="A55" s="88" t="s">
        <v>674</v>
      </c>
      <c r="B55" s="82">
        <f>COUNTIFS(Tabla1[AÑO PARTO],$B$4,Tabla1[MES PARTO],B6,Tabla1[GESTANTES ACTUALES],"SALIO PROGRAMA")</f>
        <v>1</v>
      </c>
      <c r="C55" s="82">
        <f>COUNTIFS(Tabla1[AÑO PARTO],$B$4,Tabla1[MES PARTO],C6,Tabla1[GESTANTES ACTUALES],"SALIO PROGRAMA")</f>
        <v>3</v>
      </c>
      <c r="D55" s="82">
        <f>COUNTIFS(Tabla1[AÑO PARTO],$B$4,Tabla1[MES PARTO],D6,Tabla1[GESTANTES ACTUALES],"SALIO PROGRAMA")</f>
        <v>12</v>
      </c>
      <c r="E55" s="82">
        <f>COUNTIFS(Tabla1[AÑO PARTO],$B$4,Tabla1[MES PARTO],E6,Tabla1[GESTANTES ACTUALES],"SALIO PROGRAMA")</f>
        <v>16</v>
      </c>
      <c r="F55" s="82">
        <f>COUNTIFS(Tabla1[AÑO PARTO],$B$4,Tabla1[MES PARTO],F6,Tabla1[GESTANTES ACTUALES],"SALIO PROGRAMA")</f>
        <v>31</v>
      </c>
      <c r="G55" s="82">
        <f>COUNTIFS(Tabla1[AÑO PARTO],$B$4,Tabla1[MES PARTO],G6,Tabla1[GESTANTES ACTUALES],"SALIO PROGRAMA")</f>
        <v>13</v>
      </c>
      <c r="H55" s="82">
        <f>COUNTIFS(Tabla1[AÑO PARTO],$B$4,Tabla1[MES PARTO],H6,Tabla1[GESTANTES ACTUALES],"SALIO PROGRAMA")</f>
        <v>14</v>
      </c>
      <c r="I55" s="82">
        <f>COUNTIFS(Tabla1[AÑO PARTO],$B$4,Tabla1[MES PARTO],I6,Tabla1[GESTANTES ACTUALES],"SALIO PROGRAMA")</f>
        <v>3</v>
      </c>
      <c r="J55" s="82">
        <f>COUNTIFS(Tabla1[AÑO PARTO],$B$4,Tabla1[MES PARTO],J6,Tabla1[GESTANTES ACTUALES],"SALIO PROGRAMA")</f>
        <v>0</v>
      </c>
      <c r="K55" s="82">
        <f>COUNTIFS(Tabla1[AÑO PARTO],$B$4,Tabla1[MES PARTO],K6,Tabla1[GESTANTES ACTUALES],"SALIO PROGRAMA")</f>
        <v>0</v>
      </c>
      <c r="L55" s="82">
        <f>COUNTIFS(Tabla1[AÑO PARTO],$B$4,Tabla1[MES PARTO],L6,Tabla1[GESTANTES ACTUALES],"SALIO PROGRAMA")</f>
        <v>0</v>
      </c>
      <c r="M55" s="82">
        <f>COUNTIFS(Tabla1[AÑO PARTO],$B$4,Tabla1[MES PARTO],M6,Tabla1[GESTANTES ACTUALES],"SALIO PROGRAMA")</f>
        <v>0</v>
      </c>
      <c r="N55" s="90">
        <f>SUM(B55:M55)</f>
        <v>93</v>
      </c>
    </row>
    <row r="56" spans="1:14" ht="43.5" customHeight="1" thickBot="1" x14ac:dyDescent="0.3">
      <c r="A56" s="53" t="s">
        <v>675</v>
      </c>
      <c r="B56" s="43">
        <f ca="1">COUNTIFS(Tabla1[AÑO PARTO],$B$4,Tabla1[MES PARTO],B6,Tabla1[GESTANTES ACTUALES],"SALIO PROGRAMA",Tabla1[Alarma de apoyo Tamizaje Sífilis],"COMPLETO")</f>
        <v>1</v>
      </c>
      <c r="C56" s="43">
        <f ca="1">COUNTIFS(Tabla1[AÑO PARTO],$B$4,Tabla1[MES PARTO],C6,Tabla1[GESTANTES ACTUALES],"SALIO PROGRAMA",Tabla1[Alarma de apoyo Tamizaje Sífilis],"COMPLETO")</f>
        <v>0</v>
      </c>
      <c r="D56" s="43">
        <f ca="1">COUNTIFS(Tabla1[AÑO PARTO],$B$4,Tabla1[MES PARTO],D6,Tabla1[GESTANTES ACTUALES],"SALIO PROGRAMA",Tabla1[Alarma de apoyo Tamizaje Sífilis],"COMPLETO")</f>
        <v>1</v>
      </c>
      <c r="E56" s="43">
        <f ca="1">COUNTIFS(Tabla1[AÑO PARTO],$B$4,Tabla1[MES PARTO],E6,Tabla1[GESTANTES ACTUALES],"SALIO PROGRAMA",Tabla1[Alarma de apoyo Tamizaje Sífilis],"COMPLETO")</f>
        <v>3</v>
      </c>
      <c r="F56" s="43">
        <f ca="1">COUNTIFS(Tabla1[AÑO PARTO],$B$4,Tabla1[MES PARTO],F6,Tabla1[GESTANTES ACTUALES],"SALIO PROGRAMA",Tabla1[Alarma de apoyo Tamizaje Sífilis],"COMPLETO")</f>
        <v>6</v>
      </c>
      <c r="G56" s="43">
        <f ca="1">COUNTIFS(Tabla1[AÑO PARTO],$B$4,Tabla1[MES PARTO],G6,Tabla1[GESTANTES ACTUALES],"SALIO PROGRAMA",Tabla1[Alarma de apoyo Tamizaje Sífilis],"COMPLETO")</f>
        <v>3</v>
      </c>
      <c r="H56" s="43">
        <f ca="1">COUNTIFS(Tabla1[AÑO PARTO],$B$4,Tabla1[MES PARTO],H6,Tabla1[GESTANTES ACTUALES],"SALIO PROGRAMA",Tabla1[Alarma de apoyo Tamizaje Sífilis],"COMPLETO")</f>
        <v>1</v>
      </c>
      <c r="I56" s="43">
        <f ca="1">COUNTIFS(Tabla1[AÑO PARTO],$B$4,Tabla1[MES PARTO],I6,Tabla1[GESTANTES ACTUALES],"SALIO PROGRAMA",Tabla1[Alarma de apoyo Tamizaje Sífilis],"COMPLETO")</f>
        <v>1</v>
      </c>
      <c r="J56" s="43">
        <f>COUNTIFS(Tabla1[AÑO PARTO],$B$4,Tabla1[MES PARTO],J6,Tabla1[GESTANTES ACTUALES],"SALIO PROGRAMA",Tabla1[Alarma de apoyo Tamizaje Sífilis],"COMPLETO")</f>
        <v>0</v>
      </c>
      <c r="K56" s="43">
        <f>COUNTIFS(Tabla1[AÑO PARTO],$B$4,Tabla1[MES PARTO],K6,Tabla1[GESTANTES ACTUALES],"SALIO PROGRAMA",Tabla1[Alarma de apoyo Tamizaje Sífilis],"COMPLETO")</f>
        <v>0</v>
      </c>
      <c r="L56" s="43">
        <f>COUNTIFS(Tabla1[AÑO PARTO],$B$4,Tabla1[MES PARTO],L6,Tabla1[GESTANTES ACTUALES],"SALIO PROGRAMA",Tabla1[Alarma de apoyo Tamizaje Sífilis],"COMPLETO")</f>
        <v>0</v>
      </c>
      <c r="M56" s="43">
        <f>COUNTIFS(Tabla1[AÑO PARTO],$B$4,Tabla1[MES PARTO],M6,Tabla1[GESTANTES ACTUALES],"SALIO PROGRAMA",Tabla1[Alarma de apoyo Tamizaje Sífilis],"COMPLETO")</f>
        <v>0</v>
      </c>
      <c r="N56" s="43">
        <f ca="1">SUM(B56:M56)</f>
        <v>16</v>
      </c>
    </row>
    <row r="57" spans="1:14" ht="37.5" customHeight="1" thickBot="1" x14ac:dyDescent="0.3">
      <c r="A57" s="143" t="s">
        <v>673</v>
      </c>
      <c r="B57" s="83">
        <f t="shared" ref="B57:N57" ca="1" si="10">IF(B55=0,"",SUM(B56/B55))</f>
        <v>1</v>
      </c>
      <c r="C57" s="84">
        <f t="shared" ca="1" si="10"/>
        <v>0</v>
      </c>
      <c r="D57" s="84">
        <f t="shared" ca="1" si="10"/>
        <v>8.3333333333333329E-2</v>
      </c>
      <c r="E57" s="84">
        <f t="shared" ca="1" si="10"/>
        <v>0.1875</v>
      </c>
      <c r="F57" s="84">
        <f t="shared" ca="1" si="10"/>
        <v>0.19354838709677419</v>
      </c>
      <c r="G57" s="84">
        <f t="shared" ca="1" si="10"/>
        <v>0.23076923076923078</v>
      </c>
      <c r="H57" s="84">
        <f t="shared" ca="1" si="10"/>
        <v>7.1428571428571425E-2</v>
      </c>
      <c r="I57" s="84">
        <f t="shared" ca="1" si="10"/>
        <v>0.33333333333333331</v>
      </c>
      <c r="J57" s="84" t="str">
        <f t="shared" si="10"/>
        <v/>
      </c>
      <c r="K57" s="84" t="str">
        <f t="shared" si="10"/>
        <v/>
      </c>
      <c r="L57" s="84" t="str">
        <f t="shared" si="10"/>
        <v/>
      </c>
      <c r="M57" s="84" t="str">
        <f t="shared" si="10"/>
        <v/>
      </c>
      <c r="N57" s="85">
        <f t="shared" ca="1" si="10"/>
        <v>0.17204301075268819</v>
      </c>
    </row>
    <row r="58" spans="1:14" ht="53.25" customHeight="1" thickBot="1" x14ac:dyDescent="0.3">
      <c r="A58" s="53" t="s">
        <v>678</v>
      </c>
      <c r="B58" s="43">
        <f ca="1">COUNTIFS(Tabla1[AÑO PARTO],$B$4,Tabla1[MES PARTO],B6,Tabla1[GESTANTES ACTUALES],"SALIO PROGRAMA",Tabla1[Alarma de apoyo Tamizaje VIH],"COMPLETO")</f>
        <v>1</v>
      </c>
      <c r="C58" s="43">
        <f ca="1">COUNTIFS(Tabla1[AÑO PARTO],$B$4,Tabla1[MES PARTO],C6,Tabla1[GESTANTES ACTUALES],"SALIO PROGRAMA",Tabla1[Alarma de apoyo Tamizaje VIH],"COMPLETO")</f>
        <v>0</v>
      </c>
      <c r="D58" s="43">
        <f ca="1">COUNTIFS(Tabla1[AÑO PARTO],$B$4,Tabla1[MES PARTO],D6,Tabla1[GESTANTES ACTUALES],"SALIO PROGRAMA",Tabla1[Alarma de apoyo Tamizaje VIH],"COMPLETO")</f>
        <v>1</v>
      </c>
      <c r="E58" s="43">
        <f ca="1">COUNTIFS(Tabla1[AÑO PARTO],$B$4,Tabla1[MES PARTO],E6,Tabla1[GESTANTES ACTUALES],"SALIO PROGRAMA",Tabla1[Alarma de apoyo Tamizaje VIH],"COMPLETO")</f>
        <v>3</v>
      </c>
      <c r="F58" s="43">
        <f ca="1">COUNTIFS(Tabla1[AÑO PARTO],$B$4,Tabla1[MES PARTO],F6,Tabla1[GESTANTES ACTUALES],"SALIO PROGRAMA",Tabla1[Alarma de apoyo Tamizaje VIH],"COMPLETO")</f>
        <v>5</v>
      </c>
      <c r="G58" s="43">
        <f ca="1">COUNTIFS(Tabla1[AÑO PARTO],$B$4,Tabla1[MES PARTO],G6,Tabla1[GESTANTES ACTUALES],"SALIO PROGRAMA",Tabla1[Alarma de apoyo Tamizaje VIH],"COMPLETO")</f>
        <v>1</v>
      </c>
      <c r="H58" s="43">
        <f ca="1">COUNTIFS(Tabla1[AÑO PARTO],$B$4,Tabla1[MES PARTO],H6,Tabla1[GESTANTES ACTUALES],"SALIO PROGRAMA",Tabla1[Alarma de apoyo Tamizaje VIH],"COMPLETO")</f>
        <v>2</v>
      </c>
      <c r="I58" s="43">
        <f ca="1">COUNTIFS(Tabla1[AÑO PARTO],$B$4,Tabla1[MES PARTO],I6,Tabla1[GESTANTES ACTUALES],"SALIO PROGRAMA",Tabla1[Alarma de apoyo Tamizaje VIH],"COMPLETO")</f>
        <v>1</v>
      </c>
      <c r="J58" s="43">
        <f>COUNTIFS(Tabla1[AÑO PARTO],$B$4,Tabla1[MES PARTO],J6,Tabla1[GESTANTES ACTUALES],"SALIO PROGRAMA",Tabla1[Alarma de apoyo Tamizaje VIH],"COMPLETO")</f>
        <v>0</v>
      </c>
      <c r="K58" s="43">
        <f>COUNTIFS(Tabla1[AÑO PARTO],$B$4,Tabla1[MES PARTO],K6,Tabla1[GESTANTES ACTUALES],"SALIO PROGRAMA",Tabla1[Alarma de apoyo Tamizaje VIH],"COMPLETO")</f>
        <v>0</v>
      </c>
      <c r="L58" s="43">
        <f>COUNTIFS(Tabla1[AÑO PARTO],$B$4,Tabla1[MES PARTO],L6,Tabla1[GESTANTES ACTUALES],"SALIO PROGRAMA",Tabla1[Alarma de apoyo Tamizaje VIH],"COMPLETO")</f>
        <v>0</v>
      </c>
      <c r="M58" s="43">
        <f>COUNTIFS(Tabla1[AÑO PARTO],$B$4,Tabla1[MES PARTO],M6,Tabla1[GESTANTES ACTUALES],"SALIO PROGRAMA",Tabla1[Alarma de apoyo Tamizaje VIH],"COMPLETO")</f>
        <v>0</v>
      </c>
      <c r="N58" s="43">
        <f ca="1">SUM(B58:M58)</f>
        <v>14</v>
      </c>
    </row>
    <row r="59" spans="1:14" ht="37.5" customHeight="1" thickBot="1" x14ac:dyDescent="0.3">
      <c r="A59" s="143" t="s">
        <v>679</v>
      </c>
      <c r="B59" s="83">
        <f t="shared" ref="B59:N59" ca="1" si="11">IF(B55=0,"",SUM(B58/B55))</f>
        <v>1</v>
      </c>
      <c r="C59" s="84">
        <f t="shared" ca="1" si="11"/>
        <v>0</v>
      </c>
      <c r="D59" s="84">
        <f t="shared" ca="1" si="11"/>
        <v>8.3333333333333329E-2</v>
      </c>
      <c r="E59" s="84">
        <f t="shared" ca="1" si="11"/>
        <v>0.1875</v>
      </c>
      <c r="F59" s="84">
        <f t="shared" ca="1" si="11"/>
        <v>0.16129032258064516</v>
      </c>
      <c r="G59" s="84">
        <f t="shared" ca="1" si="11"/>
        <v>7.6923076923076927E-2</v>
      </c>
      <c r="H59" s="84">
        <f t="shared" ca="1" si="11"/>
        <v>0.14285714285714285</v>
      </c>
      <c r="I59" s="84">
        <f t="shared" ca="1" si="11"/>
        <v>0.33333333333333331</v>
      </c>
      <c r="J59" s="84" t="str">
        <f t="shared" si="11"/>
        <v/>
      </c>
      <c r="K59" s="84" t="str">
        <f t="shared" si="11"/>
        <v/>
      </c>
      <c r="L59" s="84" t="str">
        <f t="shared" si="11"/>
        <v/>
      </c>
      <c r="M59" s="84" t="str">
        <f t="shared" si="11"/>
        <v/>
      </c>
      <c r="N59" s="85">
        <f t="shared" ca="1" si="11"/>
        <v>0.15053763440860216</v>
      </c>
    </row>
    <row r="60" spans="1:14" ht="31.5" customHeight="1" thickBot="1" x14ac:dyDescent="0.3">
      <c r="A60" s="161" t="s">
        <v>633</v>
      </c>
      <c r="B60" s="82">
        <f>SUM(COUNTIFS(Tabla1[AÑO PARTO],B4,Tabla1[MES PARTO],B6,Tabla1[SALE DEL PROGRAMA POR],"PARTO",Tabla1[EDAD GESTACIONAL SALIDA PROGRAMA],"&gt;36",Tabla1[EDAD GESTACIONAL SALIDA PROGRAMA],"&lt;44"),COUNTIFS(Tabla1[AÑO PARTO],B4,Tabla1[MES PARTO],B6,Tabla1[SALE DEL PROGRAMA POR],"CESAREA",Tabla1[EDAD GESTACIONAL SALIDA PROGRAMA],"&gt;36",Tabla1[EDAD GESTACIONAL SALIDA PROGRAMA],"&lt;44"))</f>
        <v>0</v>
      </c>
      <c r="C60" s="82">
        <f>SUM(COUNTIFS(Tabla1[AÑO PARTO],B4,Tabla1[MES PARTO],C6,Tabla1[SALE DEL PROGRAMA POR],"PARTO",Tabla1[EDAD GESTACIONAL SALIDA PROGRAMA],"&gt;36",Tabla1[EDAD GESTACIONAL SALIDA PROGRAMA],"&lt;44"),COUNTIFS(Tabla1[AÑO PARTO],B4,Tabla1[MES PARTO],C6,Tabla1[SALE DEL PROGRAMA POR],"CESAREA",Tabla1[EDAD GESTACIONAL SALIDA PROGRAMA],"&gt;36",Tabla1[EDAD GESTACIONAL SALIDA PROGRAMA],"&lt;44"))</f>
        <v>1</v>
      </c>
      <c r="D60" s="82">
        <f>SUM(COUNTIFS(Tabla1[AÑO PARTO],B4,Tabla1[MES PARTO],D6,Tabla1[SALE DEL PROGRAMA POR],"PARTO",Tabla1[EDAD GESTACIONAL SALIDA PROGRAMA],"&gt;36",Tabla1[EDAD GESTACIONAL SALIDA PROGRAMA],"&lt;44"),COUNTIFS(Tabla1[AÑO PARTO],B4,Tabla1[MES PARTO],D6,Tabla1[SALE DEL PROGRAMA POR],"CESAREA",Tabla1[EDAD GESTACIONAL SALIDA PROGRAMA],"&gt;36",Tabla1[EDAD GESTACIONAL SALIDA PROGRAMA],"&lt;44"))</f>
        <v>12</v>
      </c>
      <c r="E60" s="82">
        <f>SUM(COUNTIFS(Tabla1[AÑO PARTO],B4,Tabla1[MES PARTO],E6,Tabla1[SALE DEL PROGRAMA POR],"PARTO",Tabla1[EDAD GESTACIONAL SALIDA PROGRAMA],"&gt;36",Tabla1[EDAD GESTACIONAL SALIDA PROGRAMA],"&lt;44"),COUNTIFS(Tabla1[AÑO PARTO],B4,Tabla1[MES PARTO],E6,Tabla1[SALE DEL PROGRAMA POR],"CESAREA",Tabla1[EDAD GESTACIONAL SALIDA PROGRAMA],"&gt;36",Tabla1[EDAD GESTACIONAL SALIDA PROGRAMA],"&lt;44"))</f>
        <v>14</v>
      </c>
      <c r="F60" s="82">
        <f>SUM(COUNTIFS(Tabla1[AÑO PARTO],B4,Tabla1[MES PARTO],F6,Tabla1[SALE DEL PROGRAMA POR],"PARTO",Tabla1[EDAD GESTACIONAL SALIDA PROGRAMA],"&gt;36",Tabla1[EDAD GESTACIONAL SALIDA PROGRAMA],"&lt;44"),COUNTIFS(Tabla1[AÑO PARTO],B4,Tabla1[MES PARTO],F6,Tabla1[SALE DEL PROGRAMA POR],"CESAREA",Tabla1[EDAD GESTACIONAL SALIDA PROGRAMA],"&gt;36",Tabla1[EDAD GESTACIONAL SALIDA PROGRAMA],"&lt;44"))</f>
        <v>19</v>
      </c>
      <c r="G60" s="82">
        <f>SUM(COUNTIFS(Tabla1[AÑO PARTO],B4,Tabla1[MES PARTO],G6,Tabla1[SALE DEL PROGRAMA POR],"PARTO",Tabla1[EDAD GESTACIONAL SALIDA PROGRAMA],"&gt;36",Tabla1[EDAD GESTACIONAL SALIDA PROGRAMA],"&lt;44"),COUNTIFS(Tabla1[AÑO PARTO],B4,Tabla1[MES PARTO],G6,Tabla1[SALE DEL PROGRAMA POR],"CESAREA",Tabla1[EDAD GESTACIONAL SALIDA PROGRAMA],"&gt;36",Tabla1[EDAD GESTACIONAL SALIDA PROGRAMA],"&lt;44"))</f>
        <v>11</v>
      </c>
      <c r="H60" s="82">
        <f>SUM(COUNTIFS(Tabla1[AÑO PARTO],B4,Tabla1[MES PARTO],H6,Tabla1[SALE DEL PROGRAMA POR],"PARTO",Tabla1[EDAD GESTACIONAL SALIDA PROGRAMA],"&gt;36",Tabla1[EDAD GESTACIONAL SALIDA PROGRAMA],"&lt;44"),COUNTIFS(Tabla1[AÑO PARTO],B4,Tabla1[MES PARTO],H6,Tabla1[SALE DEL PROGRAMA POR],"CESAREA",Tabla1[EDAD GESTACIONAL SALIDA PROGRAMA],"&gt;36",Tabla1[EDAD GESTACIONAL SALIDA PROGRAMA],"&lt;44"))</f>
        <v>12</v>
      </c>
      <c r="I60" s="82">
        <f>SUM(COUNTIFS(Tabla1[AÑO PARTO],B4,Tabla1[MES PARTO],I6,Tabla1[SALE DEL PROGRAMA POR],"PARTO",Tabla1[EDAD GESTACIONAL SALIDA PROGRAMA],"&gt;36",Tabla1[EDAD GESTACIONAL SALIDA PROGRAMA],"&lt;44"),COUNTIFS(Tabla1[AÑO PARTO],B4,Tabla1[MES PARTO],I6,Tabla1[SALE DEL PROGRAMA POR],"CESAREA",Tabla1[EDAD GESTACIONAL SALIDA PROGRAMA],"&gt;36",Tabla1[EDAD GESTACIONAL SALIDA PROGRAMA],"&lt;44"))</f>
        <v>3</v>
      </c>
      <c r="J60" s="82">
        <f>SUM(COUNTIFS(Tabla1[AÑO PARTO],B4,Tabla1[MES PARTO],J6,Tabla1[SALE DEL PROGRAMA POR],"PARTO",Tabla1[EDAD GESTACIONAL SALIDA PROGRAMA],"&gt;36",Tabla1[EDAD GESTACIONAL SALIDA PROGRAMA],"&lt;44"),COUNTIFS(Tabla1[AÑO PARTO],B4,Tabla1[MES PARTO],J6,Tabla1[SALE DEL PROGRAMA POR],"CESAREA",Tabla1[EDAD GESTACIONAL SALIDA PROGRAMA],"&gt;36",Tabla1[EDAD GESTACIONAL SALIDA PROGRAMA],"&lt;44"))</f>
        <v>0</v>
      </c>
      <c r="K60" s="82">
        <f>SUM(COUNTIFS(Tabla1[AÑO PARTO],B4,Tabla1[MES PARTO],K6,Tabla1[SALE DEL PROGRAMA POR],"PARTO",Tabla1[EDAD GESTACIONAL SALIDA PROGRAMA],"&gt;36",Tabla1[EDAD GESTACIONAL SALIDA PROGRAMA],"&lt;44"),COUNTIFS(Tabla1[AÑO PARTO],B4,Tabla1[MES PARTO],K6,Tabla1[SALE DEL PROGRAMA POR],"CESAREA",Tabla1[EDAD GESTACIONAL SALIDA PROGRAMA],"&gt;36",Tabla1[EDAD GESTACIONAL SALIDA PROGRAMA],"&lt;44"))</f>
        <v>0</v>
      </c>
      <c r="L60" s="82">
        <f>SUM(COUNTIFS(Tabla1[AÑO PARTO],B4,Tabla1[MES PARTO],L6,Tabla1[SALE DEL PROGRAMA POR],"PARTO",Tabla1[EDAD GESTACIONAL SALIDA PROGRAMA],"&gt;36",Tabla1[EDAD GESTACIONAL SALIDA PROGRAMA],"&lt;44"),COUNTIFS(Tabla1[AÑO PARTO],B4,Tabla1[MES PARTO],L6,Tabla1[SALE DEL PROGRAMA POR],"CESAREA",Tabla1[EDAD GESTACIONAL SALIDA PROGRAMA],"&gt;36",Tabla1[EDAD GESTACIONAL SALIDA PROGRAMA],"&lt;44"))</f>
        <v>0</v>
      </c>
      <c r="M60" s="82">
        <f>SUM(COUNTIFS(Tabla1[AÑO PARTO],B4,Tabla1[MES PARTO],M6,Tabla1[SALE DEL PROGRAMA POR],"PARTO",Tabla1[EDAD GESTACIONAL SALIDA PROGRAMA],"&gt;36",Tabla1[EDAD GESTACIONAL SALIDA PROGRAMA],"&lt;44"),COUNTIFS(Tabla1[AÑO PARTO],B4,Tabla1[MES PARTO],M6,Tabla1[SALE DEL PROGRAMA POR],"CESAREA",Tabla1[EDAD GESTACIONAL SALIDA PROGRAMA],"&gt;36",Tabla1[EDAD GESTACIONAL SALIDA PROGRAMA],"&lt;44"))</f>
        <v>0</v>
      </c>
      <c r="N60" s="91">
        <f>SUM(B60:M60)</f>
        <v>72</v>
      </c>
    </row>
    <row r="61" spans="1:14" ht="39" customHeight="1" thickBot="1" x14ac:dyDescent="0.3">
      <c r="A61" s="149" t="s">
        <v>681</v>
      </c>
      <c r="B61" s="142">
        <f>SUM(COUNTIFS(Tabla1[AÑO PARTO],$B$4,Tabla1[MES PARTO],B6,Tabla1[SALE DEL PROGRAMA POR],"PARTO",Tabla1[EDAD GESTACIONAL SALIDA PROGRAMA],"&gt;36",Tabla1[EDAD GESTACIONAL SALIDA PROGRAMA],"&lt;44",Tabla1[FECHA CONSULTA DE 1RA VEZ POR ODONTOLOGIA],"&lt;&gt;"),COUNTIFS(Tabla1[AÑO PARTO],$B$4,Tabla1[MES PARTO],B6,Tabla1[SALE DEL PROGRAMA POR],"CESAREA",Tabla1[EDAD GESTACIONAL SALIDA PROGRAMA],"&gt;36",Tabla1[EDAD GESTACIONAL SALIDA PROGRAMA],"&lt;44",Tabla1[FECHA CONSULTA DE 1RA VEZ POR ODONTOLOGIA],"&lt;&gt;"))</f>
        <v>0</v>
      </c>
      <c r="C61" s="142">
        <f>SUM(COUNTIFS(Tabla1[AÑO PARTO],$B$4,Tabla1[MES PARTO],C6,Tabla1[SALE DEL PROGRAMA POR],"PARTO",Tabla1[EDAD GESTACIONAL SALIDA PROGRAMA],"&gt;36",Tabla1[EDAD GESTACIONAL SALIDA PROGRAMA],"&lt;44",Tabla1[FECHA CONSULTA DE 1RA VEZ POR ODONTOLOGIA],"&lt;&gt;"),COUNTIFS(Tabla1[AÑO PARTO],$B$4,Tabla1[MES PARTO],C6,Tabla1[SALE DEL PROGRAMA POR],"CESAREA",Tabla1[EDAD GESTACIONAL SALIDA PROGRAMA],"&gt;36",Tabla1[EDAD GESTACIONAL SALIDA PROGRAMA],"&lt;44",Tabla1[FECHA CONSULTA DE 1RA VEZ POR ODONTOLOGIA],"&lt;&gt;"))</f>
        <v>1</v>
      </c>
      <c r="D61" s="142">
        <f>SUM(COUNTIFS(Tabla1[AÑO PARTO],$B$4,Tabla1[MES PARTO],D6,Tabla1[SALE DEL PROGRAMA POR],"PARTO",Tabla1[EDAD GESTACIONAL SALIDA PROGRAMA],"&gt;36",Tabla1[EDAD GESTACIONAL SALIDA PROGRAMA],"&lt;44",Tabla1[FECHA CONSULTA DE 1RA VEZ POR ODONTOLOGIA],"&lt;&gt;"),COUNTIFS(Tabla1[AÑO PARTO],$B$4,Tabla1[MES PARTO],D6,Tabla1[SALE DEL PROGRAMA POR],"CESAREA",Tabla1[EDAD GESTACIONAL SALIDA PROGRAMA],"&gt;36",Tabla1[EDAD GESTACIONAL SALIDA PROGRAMA],"&lt;44",Tabla1[FECHA CONSULTA DE 1RA VEZ POR ODONTOLOGIA],"&lt;&gt;"))</f>
        <v>8</v>
      </c>
      <c r="E61" s="142">
        <f>SUM(COUNTIFS(Tabla1[AÑO PARTO],$B$4,Tabla1[MES PARTO],E6,Tabla1[SALE DEL PROGRAMA POR],"PARTO",Tabla1[EDAD GESTACIONAL SALIDA PROGRAMA],"&gt;36",Tabla1[EDAD GESTACIONAL SALIDA PROGRAMA],"&lt;44",Tabla1[FECHA CONSULTA DE 1RA VEZ POR ODONTOLOGIA],"&lt;&gt;"),COUNTIFS(Tabla1[AÑO PARTO],$B$4,Tabla1[MES PARTO],E6,Tabla1[SALE DEL PROGRAMA POR],"CESAREA",Tabla1[EDAD GESTACIONAL SALIDA PROGRAMA],"&gt;36",Tabla1[EDAD GESTACIONAL SALIDA PROGRAMA],"&lt;44",Tabla1[FECHA CONSULTA DE 1RA VEZ POR ODONTOLOGIA],"&lt;&gt;"))</f>
        <v>11</v>
      </c>
      <c r="F61" s="142">
        <f>SUM(COUNTIFS(Tabla1[AÑO PARTO],$B$4,Tabla1[MES PARTO],F6,Tabla1[SALE DEL PROGRAMA POR],"PARTO",Tabla1[EDAD GESTACIONAL SALIDA PROGRAMA],"&gt;36",Tabla1[EDAD GESTACIONAL SALIDA PROGRAMA],"&lt;44",Tabla1[FECHA CONSULTA DE 1RA VEZ POR ODONTOLOGIA],"&lt;&gt;"),COUNTIFS(Tabla1[AÑO PARTO],$B$4,Tabla1[MES PARTO],F6,Tabla1[SALE DEL PROGRAMA POR],"CESAREA",Tabla1[EDAD GESTACIONAL SALIDA PROGRAMA],"&gt;36",Tabla1[EDAD GESTACIONAL SALIDA PROGRAMA],"&lt;44",Tabla1[FECHA CONSULTA DE 1RA VEZ POR ODONTOLOGIA],"&lt;&gt;"))</f>
        <v>16</v>
      </c>
      <c r="G61" s="142">
        <f>SUM(COUNTIFS(Tabla1[AÑO PARTO],$B$4,Tabla1[MES PARTO],G6,Tabla1[SALE DEL PROGRAMA POR],"PARTO",Tabla1[EDAD GESTACIONAL SALIDA PROGRAMA],"&gt;36",Tabla1[EDAD GESTACIONAL SALIDA PROGRAMA],"&lt;44",Tabla1[FECHA CONSULTA DE 1RA VEZ POR ODONTOLOGIA],"&lt;&gt;"),COUNTIFS(Tabla1[AÑO PARTO],$B$4,Tabla1[MES PARTO],G6,Tabla1[SALE DEL PROGRAMA POR],"CESAREA",Tabla1[EDAD GESTACIONAL SALIDA PROGRAMA],"&gt;36",Tabla1[EDAD GESTACIONAL SALIDA PROGRAMA],"&lt;44",Tabla1[FECHA CONSULTA DE 1RA VEZ POR ODONTOLOGIA],"&lt;&gt;"))</f>
        <v>11</v>
      </c>
      <c r="H61" s="142">
        <f>SUM(COUNTIFS(Tabla1[AÑO PARTO],$B$4,Tabla1[MES PARTO],H6,Tabla1[SALE DEL PROGRAMA POR],"PARTO",Tabla1[EDAD GESTACIONAL SALIDA PROGRAMA],"&gt;36",Tabla1[EDAD GESTACIONAL SALIDA PROGRAMA],"&lt;44",Tabla1[FECHA CONSULTA DE 1RA VEZ POR ODONTOLOGIA],"&lt;&gt;"),COUNTIFS(Tabla1[AÑO PARTO],$B$4,Tabla1[MES PARTO],H6,Tabla1[SALE DEL PROGRAMA POR],"CESAREA",Tabla1[EDAD GESTACIONAL SALIDA PROGRAMA],"&gt;36",Tabla1[EDAD GESTACIONAL SALIDA PROGRAMA],"&lt;44",Tabla1[FECHA CONSULTA DE 1RA VEZ POR ODONTOLOGIA],"&lt;&gt;"))</f>
        <v>10</v>
      </c>
      <c r="I61" s="142">
        <f>SUM(COUNTIFS(Tabla1[AÑO PARTO],$B$4,Tabla1[MES PARTO],I6,Tabla1[SALE DEL PROGRAMA POR],"PARTO",Tabla1[EDAD GESTACIONAL SALIDA PROGRAMA],"&gt;36",Tabla1[EDAD GESTACIONAL SALIDA PROGRAMA],"&lt;44",Tabla1[FECHA CONSULTA DE 1RA VEZ POR ODONTOLOGIA],"&lt;&gt;"),COUNTIFS(Tabla1[AÑO PARTO],$B$4,Tabla1[MES PARTO],I6,Tabla1[SALE DEL PROGRAMA POR],"CESAREA",Tabla1[EDAD GESTACIONAL SALIDA PROGRAMA],"&gt;36",Tabla1[EDAD GESTACIONAL SALIDA PROGRAMA],"&lt;44",Tabla1[FECHA CONSULTA DE 1RA VEZ POR ODONTOLOGIA],"&lt;&gt;"))</f>
        <v>3</v>
      </c>
      <c r="J61" s="142">
        <f>SUM(COUNTIFS(Tabla1[AÑO PARTO],$B$4,Tabla1[MES PARTO],J6,Tabla1[SALE DEL PROGRAMA POR],"PARTO",Tabla1[EDAD GESTACIONAL SALIDA PROGRAMA],"&gt;36",Tabla1[EDAD GESTACIONAL SALIDA PROGRAMA],"&lt;44",Tabla1[FECHA CONSULTA DE 1RA VEZ POR ODONTOLOGIA],"&lt;&gt;"),COUNTIFS(Tabla1[AÑO PARTO],$B$4,Tabla1[MES PARTO],J6,Tabla1[SALE DEL PROGRAMA POR],"CESAREA",Tabla1[EDAD GESTACIONAL SALIDA PROGRAMA],"&gt;36",Tabla1[EDAD GESTACIONAL SALIDA PROGRAMA],"&lt;44",Tabla1[FECHA CONSULTA DE 1RA VEZ POR ODONTOLOGIA],"&lt;&gt;"))</f>
        <v>0</v>
      </c>
      <c r="K61" s="142">
        <f>SUM(COUNTIFS(Tabla1[AÑO PARTO],$B$4,Tabla1[MES PARTO],K6,Tabla1[SALE DEL PROGRAMA POR],"PARTO",Tabla1[EDAD GESTACIONAL SALIDA PROGRAMA],"&gt;36",Tabla1[EDAD GESTACIONAL SALIDA PROGRAMA],"&lt;44",Tabla1[FECHA CONSULTA DE 1RA VEZ POR ODONTOLOGIA],"&lt;&gt;"),COUNTIFS(Tabla1[AÑO PARTO],$B$4,Tabla1[MES PARTO],K6,Tabla1[SALE DEL PROGRAMA POR],"CESAREA",Tabla1[EDAD GESTACIONAL SALIDA PROGRAMA],"&gt;36",Tabla1[EDAD GESTACIONAL SALIDA PROGRAMA],"&lt;44",Tabla1[FECHA CONSULTA DE 1RA VEZ POR ODONTOLOGIA],"&lt;&gt;"))</f>
        <v>0</v>
      </c>
      <c r="L61" s="142">
        <f>SUM(COUNTIFS(Tabla1[AÑO PARTO],$B$4,Tabla1[MES PARTO],L6,Tabla1[SALE DEL PROGRAMA POR],"PARTO",Tabla1[EDAD GESTACIONAL SALIDA PROGRAMA],"&gt;36",Tabla1[EDAD GESTACIONAL SALIDA PROGRAMA],"&lt;44",Tabla1[FECHA CONSULTA DE 1RA VEZ POR ODONTOLOGIA],"&lt;&gt;"),COUNTIFS(Tabla1[AÑO PARTO],$B$4,Tabla1[MES PARTO],L6,Tabla1[SALE DEL PROGRAMA POR],"CESAREA",Tabla1[EDAD GESTACIONAL SALIDA PROGRAMA],"&gt;36",Tabla1[EDAD GESTACIONAL SALIDA PROGRAMA],"&lt;44",Tabla1[FECHA CONSULTA DE 1RA VEZ POR ODONTOLOGIA],"&lt;&gt;"))</f>
        <v>0</v>
      </c>
      <c r="M61" s="142">
        <f>SUM(COUNTIFS(Tabla1[AÑO PARTO],$B$4,Tabla1[MES PARTO],M6,Tabla1[SALE DEL PROGRAMA POR],"PARTO",Tabla1[EDAD GESTACIONAL SALIDA PROGRAMA],"&gt;36",Tabla1[EDAD GESTACIONAL SALIDA PROGRAMA],"&lt;44",Tabla1[FECHA CONSULTA DE 1RA VEZ POR ODONTOLOGIA],"&lt;&gt;"),COUNTIFS(Tabla1[AÑO PARTO],$B$4,Tabla1[MES PARTO],M6,Tabla1[SALE DEL PROGRAMA POR],"CESAREA",Tabla1[EDAD GESTACIONAL SALIDA PROGRAMA],"&gt;36",Tabla1[EDAD GESTACIONAL SALIDA PROGRAMA],"&lt;44",Tabla1[FECHA CONSULTA DE 1RA VEZ POR ODONTOLOGIA],"&lt;&gt;"))</f>
        <v>0</v>
      </c>
      <c r="N61" s="82">
        <f>SUM(B61:M61)</f>
        <v>60</v>
      </c>
    </row>
    <row r="62" spans="1:14" ht="33.75" customHeight="1" thickBot="1" x14ac:dyDescent="0.3">
      <c r="A62" s="143" t="s">
        <v>643</v>
      </c>
      <c r="B62" s="83" t="str">
        <f t="shared" ref="B62:N62" si="12">IF(B$60=0,"",SUM(B61/B$60))</f>
        <v/>
      </c>
      <c r="C62" s="84">
        <f t="shared" si="12"/>
        <v>1</v>
      </c>
      <c r="D62" s="84">
        <f t="shared" si="12"/>
        <v>0.66666666666666663</v>
      </c>
      <c r="E62" s="84">
        <f t="shared" si="12"/>
        <v>0.7857142857142857</v>
      </c>
      <c r="F62" s="84">
        <f t="shared" si="12"/>
        <v>0.84210526315789469</v>
      </c>
      <c r="G62" s="84">
        <f t="shared" si="12"/>
        <v>1</v>
      </c>
      <c r="H62" s="84">
        <f t="shared" si="12"/>
        <v>0.83333333333333337</v>
      </c>
      <c r="I62" s="84">
        <f t="shared" si="12"/>
        <v>1</v>
      </c>
      <c r="J62" s="84" t="str">
        <f t="shared" si="12"/>
        <v/>
      </c>
      <c r="K62" s="84" t="str">
        <f t="shared" si="12"/>
        <v/>
      </c>
      <c r="L62" s="84" t="str">
        <f t="shared" si="12"/>
        <v/>
      </c>
      <c r="M62" s="84" t="str">
        <f t="shared" si="12"/>
        <v/>
      </c>
      <c r="N62" s="85">
        <f t="shared" si="12"/>
        <v>0.83333333333333337</v>
      </c>
    </row>
    <row r="63" spans="1:14" ht="37.5" customHeight="1" thickBot="1" x14ac:dyDescent="0.3">
      <c r="A63" s="88" t="s">
        <v>634</v>
      </c>
      <c r="B63" s="82">
        <f>SUM(COUNTIFS(Tabla1[AÑO PARTO],B4,Tabla1[MES PARTO],B6,Tabla1[SALE DEL PROGRAMA POR],"PARTO",Tabla1[EDAD GESTACIONAL SALIDA PROGRAMA],"&gt;36",Tabla1[EDAD GESTACIONAL SALIDA PROGRAMA],"&lt;44",Tabla1[CURSO DE MATERNIDAD Y PATERNIDAD],"7"),COUNTIFS(Tabla1[AÑO PARTO],B4,Tabla1[MES PARTO],B6,Tabla1[SALE DEL PROGRAMA POR],"CESAREA",Tabla1[EDAD GESTACIONAL SALIDA PROGRAMA],"&gt;36",Tabla1[EDAD GESTACIONAL SALIDA PROGRAMA],"&lt;44",Tabla1[CURSO DE MATERNIDAD Y PATERNIDAD],"7"))</f>
        <v>0</v>
      </c>
      <c r="C63" s="82">
        <f>SUM(COUNTIFS(Tabla1[AÑO PARTO],B4,Tabla1[MES PARTO],C6,Tabla1[SALE DEL PROGRAMA POR],"PARTO",Tabla1[EDAD GESTACIONAL SALIDA PROGRAMA],"&gt;36",Tabla1[EDAD GESTACIONAL SALIDA PROGRAMA],"&lt;44",Tabla1[CURSO DE MATERNIDAD Y PATERNIDAD],"7"),COUNTIFS(Tabla1[AÑO PARTO],B4,Tabla1[MES PARTO],C6,Tabla1[SALE DEL PROGRAMA POR],"CESAREA",Tabla1[EDAD GESTACIONAL SALIDA PROGRAMA],"&gt;36",Tabla1[EDAD GESTACIONAL SALIDA PROGRAMA],"&lt;44",Tabla1[CURSO DE MATERNIDAD Y PATERNIDAD],"7"))</f>
        <v>0</v>
      </c>
      <c r="D63" s="82">
        <f>SUM(COUNTIFS(Tabla1[AÑO PARTO],B4,Tabla1[MES PARTO],D6,Tabla1[SALE DEL PROGRAMA POR],"PARTO",Tabla1[EDAD GESTACIONAL SALIDA PROGRAMA],"&gt;36",Tabla1[EDAD GESTACIONAL SALIDA PROGRAMA],"&lt;44",Tabla1[CURSO DE MATERNIDAD Y PATERNIDAD],"7"),COUNTIFS(Tabla1[AÑO PARTO],B4,Tabla1[MES PARTO],D6,Tabla1[SALE DEL PROGRAMA POR],"CESAREA",Tabla1[EDAD GESTACIONAL SALIDA PROGRAMA],"&gt;36",Tabla1[EDAD GESTACIONAL SALIDA PROGRAMA],"&lt;44",Tabla1[CURSO DE MATERNIDAD Y PATERNIDAD],"7"))</f>
        <v>0</v>
      </c>
      <c r="E63" s="82">
        <f>SUM(COUNTIFS(Tabla1[AÑO PARTO],B4,Tabla1[MES PARTO],E6,Tabla1[SALE DEL PROGRAMA POR],"PARTO",Tabla1[EDAD GESTACIONAL SALIDA PROGRAMA],"&gt;36",Tabla1[EDAD GESTACIONAL SALIDA PROGRAMA],"&lt;44",Tabla1[CURSO DE MATERNIDAD Y PATERNIDAD],"7"),COUNTIFS(Tabla1[AÑO PARTO],B4,Tabla1[MES PARTO],E6,Tabla1[SALE DEL PROGRAMA POR],"CESAREA",Tabla1[EDAD GESTACIONAL SALIDA PROGRAMA],"&gt;36",Tabla1[EDAD GESTACIONAL SALIDA PROGRAMA],"&lt;44",Tabla1[CURSO DE MATERNIDAD Y PATERNIDAD],"7"))</f>
        <v>0</v>
      </c>
      <c r="F63" s="82">
        <f>SUM(COUNTIFS(Tabla1[AÑO PARTO],B4,Tabla1[MES PARTO],F6,Tabla1[SALE DEL PROGRAMA POR],"PARTO",Tabla1[EDAD GESTACIONAL SALIDA PROGRAMA],"&gt;36",Tabla1[EDAD GESTACIONAL SALIDA PROGRAMA],"&lt;44",Tabla1[CURSO DE MATERNIDAD Y PATERNIDAD],"7"),COUNTIFS(Tabla1[AÑO PARTO],B4,Tabla1[MES PARTO],F6,Tabla1[SALE DEL PROGRAMA POR],"CESAREA",Tabla1[EDAD GESTACIONAL SALIDA PROGRAMA],"&gt;36",Tabla1[EDAD GESTACIONAL SALIDA PROGRAMA],"&lt;44",Tabla1[CURSO DE MATERNIDAD Y PATERNIDAD],"7"))</f>
        <v>0</v>
      </c>
      <c r="G63" s="82">
        <f>SUM(COUNTIFS(Tabla1[AÑO PARTO],B4,Tabla1[MES PARTO],G6,Tabla1[SALE DEL PROGRAMA POR],"PARTO",Tabla1[EDAD GESTACIONAL SALIDA PROGRAMA],"&gt;36",Tabla1[EDAD GESTACIONAL SALIDA PROGRAMA],"&lt;44",Tabla1[CURSO DE MATERNIDAD Y PATERNIDAD],"7"),COUNTIFS(Tabla1[AÑO PARTO],B4,Tabla1[MES PARTO],G6,Tabla1[SALE DEL PROGRAMA POR],"CESAREA",Tabla1[EDAD GESTACIONAL SALIDA PROGRAMA],"&gt;36",Tabla1[EDAD GESTACIONAL SALIDA PROGRAMA],"&lt;44",Tabla1[CURSO DE MATERNIDAD Y PATERNIDAD],"7"))</f>
        <v>0</v>
      </c>
      <c r="H63" s="82">
        <f>SUM(COUNTIFS(Tabla1[AÑO PARTO],B4,Tabla1[MES PARTO],H6,Tabla1[SALE DEL PROGRAMA POR],"PARTO",Tabla1[EDAD GESTACIONAL SALIDA PROGRAMA],"&gt;36",Tabla1[EDAD GESTACIONAL SALIDA PROGRAMA],"&lt;44",Tabla1[CURSO DE MATERNIDAD Y PATERNIDAD],"7"),COUNTIFS(Tabla1[AÑO PARTO],B4,Tabla1[MES PARTO],H6,Tabla1[SALE DEL PROGRAMA POR],"CESAREA",Tabla1[EDAD GESTACIONAL SALIDA PROGRAMA],"&gt;36",Tabla1[EDAD GESTACIONAL SALIDA PROGRAMA],"&lt;44",Tabla1[CURSO DE MATERNIDAD Y PATERNIDAD],"7"))</f>
        <v>0</v>
      </c>
      <c r="I63" s="82">
        <f>SUM(COUNTIFS(Tabla1[AÑO PARTO],B4,Tabla1[MES PARTO],I6,Tabla1[SALE DEL PROGRAMA POR],"PARTO",Tabla1[EDAD GESTACIONAL SALIDA PROGRAMA],"&gt;36",Tabla1[EDAD GESTACIONAL SALIDA PROGRAMA],"&lt;44",Tabla1[CURSO DE MATERNIDAD Y PATERNIDAD],"7"),COUNTIFS(Tabla1[AÑO PARTO],B4,Tabla1[MES PARTO],I6,Tabla1[SALE DEL PROGRAMA POR],"CESAREA",Tabla1[EDAD GESTACIONAL SALIDA PROGRAMA],"&gt;36",Tabla1[EDAD GESTACIONAL SALIDA PROGRAMA],"&lt;44",Tabla1[CURSO DE MATERNIDAD Y PATERNIDAD],"7"))</f>
        <v>0</v>
      </c>
      <c r="J63" s="82">
        <f>SUM(COUNTIFS(Tabla1[AÑO PARTO],B4,Tabla1[MES PARTO],J6,Tabla1[SALE DEL PROGRAMA POR],"PARTO",Tabla1[EDAD GESTACIONAL SALIDA PROGRAMA],"&gt;36",Tabla1[EDAD GESTACIONAL SALIDA PROGRAMA],"&lt;44",Tabla1[CURSO DE MATERNIDAD Y PATERNIDAD],"7"),COUNTIFS(Tabla1[AÑO PARTO],B4,Tabla1[MES PARTO],J6,Tabla1[SALE DEL PROGRAMA POR],"CESAREA",Tabla1[EDAD GESTACIONAL SALIDA PROGRAMA],"&gt;36",Tabla1[EDAD GESTACIONAL SALIDA PROGRAMA],"&lt;44",Tabla1[CURSO DE MATERNIDAD Y PATERNIDAD],"7"))</f>
        <v>0</v>
      </c>
      <c r="K63" s="82">
        <f>SUM(COUNTIFS(Tabla1[AÑO PARTO],B4,Tabla1[MES PARTO],K6,Tabla1[SALE DEL PROGRAMA POR],"PARTO",Tabla1[EDAD GESTACIONAL SALIDA PROGRAMA],"&gt;36",Tabla1[EDAD GESTACIONAL SALIDA PROGRAMA],"&lt;44",Tabla1[CURSO DE MATERNIDAD Y PATERNIDAD],"7"),COUNTIFS(Tabla1[AÑO PARTO],B4,Tabla1[MES PARTO],K6,Tabla1[SALE DEL PROGRAMA POR],"CESAREA",Tabla1[EDAD GESTACIONAL SALIDA PROGRAMA],"&gt;36",Tabla1[EDAD GESTACIONAL SALIDA PROGRAMA],"&lt;44",Tabla1[CURSO DE MATERNIDAD Y PATERNIDAD],"7"))</f>
        <v>0</v>
      </c>
      <c r="L63" s="82">
        <f>SUM(COUNTIFS(Tabla1[AÑO PARTO],B4,Tabla1[MES PARTO],L6,Tabla1[SALE DEL PROGRAMA POR],"PARTO",Tabla1[EDAD GESTACIONAL SALIDA PROGRAMA],"&gt;36",Tabla1[EDAD GESTACIONAL SALIDA PROGRAMA],"&lt;44",Tabla1[CURSO DE MATERNIDAD Y PATERNIDAD],"7"),COUNTIFS(Tabla1[AÑO PARTO],B4,Tabla1[MES PARTO],L6,Tabla1[SALE DEL PROGRAMA POR],"CESAREA",Tabla1[EDAD GESTACIONAL SALIDA PROGRAMA],"&gt;36",Tabla1[EDAD GESTACIONAL SALIDA PROGRAMA],"&lt;44",Tabla1[CURSO DE MATERNIDAD Y PATERNIDAD],"7"))</f>
        <v>0</v>
      </c>
      <c r="M63" s="82">
        <f>SUM(COUNTIFS(Tabla1[AÑO PARTO],B4,Tabla1[MES PARTO],M6,Tabla1[SALE DEL PROGRAMA POR],"PARTO",Tabla1[EDAD GESTACIONAL SALIDA PROGRAMA],"&gt;36",Tabla1[EDAD GESTACIONAL SALIDA PROGRAMA],"&lt;44",Tabla1[CURSO DE MATERNIDAD Y PATERNIDAD],"7"),COUNTIFS(Tabla1[AÑO PARTO],B4,Tabla1[MES PARTO],M6,Tabla1[SALE DEL PROGRAMA POR],"CESAREA",Tabla1[EDAD GESTACIONAL SALIDA PROGRAMA],"&gt;36",Tabla1[EDAD GESTACIONAL SALIDA PROGRAMA],"&lt;44",Tabla1[CURSO DE MATERNIDAD Y PATERNIDAD],"7"))</f>
        <v>0</v>
      </c>
      <c r="N63" s="91">
        <f>SUM(B63:M63)</f>
        <v>0</v>
      </c>
    </row>
    <row r="64" spans="1:14" ht="50.25" customHeight="1" thickBot="1" x14ac:dyDescent="0.3">
      <c r="A64" s="136" t="s">
        <v>725</v>
      </c>
      <c r="B64" s="83" t="str">
        <f>IF($B$60=0,"",SUM(B63/$B$60))</f>
        <v/>
      </c>
      <c r="C64" s="84">
        <f t="shared" ref="C64:N64" si="13">IF(C$60=0,"",SUM(C63/C$60))</f>
        <v>0</v>
      </c>
      <c r="D64" s="84">
        <f t="shared" si="13"/>
        <v>0</v>
      </c>
      <c r="E64" s="84">
        <f t="shared" si="13"/>
        <v>0</v>
      </c>
      <c r="F64" s="84">
        <f t="shared" si="13"/>
        <v>0</v>
      </c>
      <c r="G64" s="84">
        <f t="shared" si="13"/>
        <v>0</v>
      </c>
      <c r="H64" s="84">
        <f t="shared" si="13"/>
        <v>0</v>
      </c>
      <c r="I64" s="84">
        <f t="shared" si="13"/>
        <v>0</v>
      </c>
      <c r="J64" s="84" t="str">
        <f t="shared" si="13"/>
        <v/>
      </c>
      <c r="K64" s="84" t="str">
        <f t="shared" si="13"/>
        <v/>
      </c>
      <c r="L64" s="84" t="str">
        <f t="shared" si="13"/>
        <v/>
      </c>
      <c r="M64" s="84" t="str">
        <f t="shared" si="13"/>
        <v/>
      </c>
      <c r="N64" s="85">
        <f t="shared" si="13"/>
        <v>0</v>
      </c>
    </row>
    <row r="65" spans="1:14" ht="37.5" customHeight="1" thickBot="1" x14ac:dyDescent="0.3">
      <c r="A65" s="88" t="s">
        <v>635</v>
      </c>
      <c r="B65" s="82">
        <f>SUM(COUNTIFS(Tabla1[AÑO PARTO],B4,Tabla1[MES PARTO],B6,Tabla1[SALE DEL PROGRAMA POR],"PARTO",Tabla1[ALERTA DE PLAN DE PARTO],"&gt;36",Tabla1[ALERTA DE PLAN DE PARTO],"&lt;44"),COUNTIFS(Tabla1[AÑO PARTO],B4,Tabla1[MES PARTO],B6,Tabla1[SALE DEL PROGRAMA POR],"CESAREA",Tabla1[ALERTA DE PLAN DE PARTO],"&gt;36",Tabla1[ALERTA DE PLAN DE PARTO],"&lt;44"))</f>
        <v>0</v>
      </c>
      <c r="C65" s="82">
        <f ca="1">SUM(COUNTIFS(Tabla1[AÑO PARTO],B4,Tabla1[MES PARTO],C6,Tabla1[SALE DEL PROGRAMA POR],"PARTO",Tabla1[ALERTA DE PLAN DE PARTO],"&gt;36",Tabla1[ALERTA DE PLAN DE PARTO],"&lt;44"),COUNTIFS(Tabla1[AÑO PARTO],B4,Tabla1[MES PARTO],C6,Tabla1[SALE DEL PROGRAMA POR],"CESAREA",Tabla1[ALERTA DE PLAN DE PARTO],"&gt;36",Tabla1[ALERTA DE PLAN DE PARTO],"&lt;44"))</f>
        <v>0</v>
      </c>
      <c r="D65" s="82">
        <f ca="1">SUM(COUNTIFS(Tabla1[AÑO PARTO],B4,Tabla1[MES PARTO],D6,Tabla1[SALE DEL PROGRAMA POR],"PARTO",Tabla1[ALERTA DE PLAN DE PARTO],"&gt;36",Tabla1[ALERTA DE PLAN DE PARTO],"&lt;44"),COUNTIFS(Tabla1[AÑO PARTO],B4,Tabla1[MES PARTO],D6,Tabla1[SALE DEL PROGRAMA POR],"CESAREA",Tabla1[ALERTA DE PLAN DE PARTO],"&gt;36",Tabla1[ALERTA DE PLAN DE PARTO],"&lt;44"))</f>
        <v>0</v>
      </c>
      <c r="E65" s="82">
        <f ca="1">SUM(COUNTIFS(Tabla1[AÑO PARTO],B4,Tabla1[MES PARTO],E6,Tabla1[SALE DEL PROGRAMA POR],"PARTO",Tabla1[ALERTA DE PLAN DE PARTO],"&gt;36",Tabla1[ALERTA DE PLAN DE PARTO],"&lt;44"),COUNTIFS(Tabla1[AÑO PARTO],B4,Tabla1[MES PARTO],E6,Tabla1[SALE DEL PROGRAMA POR],"CESAREA",Tabla1[ALERTA DE PLAN DE PARTO],"&gt;36",Tabla1[ALERTA DE PLAN DE PARTO],"&lt;44"))</f>
        <v>0</v>
      </c>
      <c r="F65" s="82">
        <f ca="1">SUM(COUNTIFS(Tabla1[AÑO PARTO],B4,Tabla1[MES PARTO],F6,Tabla1[SALE DEL PROGRAMA POR],"PARTO",Tabla1[ALERTA DE PLAN DE PARTO],"&gt;36",Tabla1[ALERTA DE PLAN DE PARTO],"&lt;44"),COUNTIFS(Tabla1[AÑO PARTO],B4,Tabla1[MES PARTO],F6,Tabla1[SALE DEL PROGRAMA POR],"CESAREA",Tabla1[ALERTA DE PLAN DE PARTO],"&gt;36",Tabla1[ALERTA DE PLAN DE PARTO],"&lt;44"))</f>
        <v>0</v>
      </c>
      <c r="G65" s="82">
        <f ca="1">SUM(COUNTIFS(Tabla1[AÑO PARTO],B4,Tabla1[MES PARTO],G6,Tabla1[SALE DEL PROGRAMA POR],"PARTO",Tabla1[ALERTA DE PLAN DE PARTO],"&gt;36",Tabla1[ALERTA DE PLAN DE PARTO],"&lt;44"),COUNTIFS(Tabla1[AÑO PARTO],B4,Tabla1[MES PARTO],G6,Tabla1[SALE DEL PROGRAMA POR],"CESAREA",Tabla1[ALERTA DE PLAN DE PARTO],"&gt;36",Tabla1[ALERTA DE PLAN DE PARTO],"&lt;44"))</f>
        <v>0</v>
      </c>
      <c r="H65" s="82">
        <f ca="1">SUM(COUNTIFS(Tabla1[AÑO PARTO],B4,Tabla1[MES PARTO],H6,Tabla1[SALE DEL PROGRAMA POR],"PARTO",Tabla1[ALERTA DE PLAN DE PARTO],"&gt;36",Tabla1[ALERTA DE PLAN DE PARTO],"&lt;44"),COUNTIFS(Tabla1[AÑO PARTO],B4,Tabla1[MES PARTO],H6,Tabla1[SALE DEL PROGRAMA POR],"CESAREA",Tabla1[ALERTA DE PLAN DE PARTO],"&gt;36",Tabla1[ALERTA DE PLAN DE PARTO],"&lt;44"))</f>
        <v>0</v>
      </c>
      <c r="I65" s="82">
        <f ca="1">SUM(COUNTIFS(Tabla1[AÑO PARTO],B4,Tabla1[MES PARTO],I6,Tabla1[SALE DEL PROGRAMA POR],"PARTO",Tabla1[ALERTA DE PLAN DE PARTO],"&gt;36",Tabla1[ALERTA DE PLAN DE PARTO],"&lt;44"),COUNTIFS(Tabla1[AÑO PARTO],B4,Tabla1[MES PARTO],I6,Tabla1[SALE DEL PROGRAMA POR],"CESAREA",Tabla1[ALERTA DE PLAN DE PARTO],"&gt;36",Tabla1[ALERTA DE PLAN DE PARTO],"&lt;44"))</f>
        <v>0</v>
      </c>
      <c r="J65" s="82">
        <f>SUM(COUNTIFS(Tabla1[AÑO PARTO],B4,Tabla1[MES PARTO],J6,Tabla1[SALE DEL PROGRAMA POR],"PARTO",Tabla1[ALERTA DE PLAN DE PARTO],"&gt;36",Tabla1[ALERTA DE PLAN DE PARTO],"&lt;44"),COUNTIFS(Tabla1[AÑO PARTO],B4,Tabla1[MES PARTO],J6,Tabla1[SALE DEL PROGRAMA POR],"CESAREA",Tabla1[ALERTA DE PLAN DE PARTO],"&gt;36",Tabla1[ALERTA DE PLAN DE PARTO],"&lt;44"))</f>
        <v>0</v>
      </c>
      <c r="K65" s="82">
        <f>SUM(COUNTIFS(Tabla1[AÑO PARTO],B4,Tabla1[MES PARTO],K6,Tabla1[SALE DEL PROGRAMA POR],"PARTO",Tabla1[ALERTA DE PLAN DE PARTO],"&gt;36",Tabla1[ALERTA DE PLAN DE PARTO],"&lt;44"),COUNTIFS(Tabla1[AÑO PARTO],B4,Tabla1[MES PARTO],K6,Tabla1[SALE DEL PROGRAMA POR],"CESAREA",Tabla1[ALERTA DE PLAN DE PARTO],"&gt;36",Tabla1[ALERTA DE PLAN DE PARTO],"&lt;44"))</f>
        <v>0</v>
      </c>
      <c r="L65" s="82">
        <f>SUM(COUNTIFS(Tabla1[AÑO PARTO],B4,Tabla1[MES PARTO],L6,Tabla1[SALE DEL PROGRAMA POR],"PARTO",Tabla1[ALERTA DE PLAN DE PARTO],"&gt;36",Tabla1[ALERTA DE PLAN DE PARTO],"&lt;44"),COUNTIFS(Tabla1[AÑO PARTO],B4,Tabla1[MES PARTO],L6,Tabla1[SALE DEL PROGRAMA POR],"CESAREA",Tabla1[ALERTA DE PLAN DE PARTO],"&gt;36",Tabla1[ALERTA DE PLAN DE PARTO],"&lt;44"))</f>
        <v>0</v>
      </c>
      <c r="M65" s="82">
        <f>SUM(COUNTIFS(Tabla1[AÑO PARTO],B4,Tabla1[MES PARTO],M6,Tabla1[SALE DEL PROGRAMA POR],"PARTO",Tabla1[ALERTA DE PLAN DE PARTO],"&gt;36",Tabla1[ALERTA DE PLAN DE PARTO],"&lt;44"),COUNTIFS(Tabla1[AÑO PARTO],B4,Tabla1[MES PARTO],M6,Tabla1[SALE DEL PROGRAMA POR],"CESAREA",Tabla1[ALERTA DE PLAN DE PARTO],"&gt;36",Tabla1[ALERTA DE PLAN DE PARTO],"&lt;44"))</f>
        <v>0</v>
      </c>
      <c r="N65" s="91">
        <f ca="1">SUM(B65:M65)</f>
        <v>0</v>
      </c>
    </row>
    <row r="66" spans="1:14" ht="37.5" customHeight="1" thickBot="1" x14ac:dyDescent="0.3">
      <c r="A66" s="136" t="s">
        <v>724</v>
      </c>
      <c r="B66" s="83" t="str">
        <f t="shared" ref="B66:N66" si="14">IF(B$60=0,"",SUM(B65/B$60))</f>
        <v/>
      </c>
      <c r="C66" s="84">
        <f t="shared" ca="1" si="14"/>
        <v>0</v>
      </c>
      <c r="D66" s="84">
        <f t="shared" ca="1" si="14"/>
        <v>0</v>
      </c>
      <c r="E66" s="84">
        <f t="shared" ca="1" si="14"/>
        <v>0</v>
      </c>
      <c r="F66" s="84">
        <f t="shared" ca="1" si="14"/>
        <v>0</v>
      </c>
      <c r="G66" s="84">
        <f t="shared" ca="1" si="14"/>
        <v>0</v>
      </c>
      <c r="H66" s="84">
        <f t="shared" ca="1" si="14"/>
        <v>0</v>
      </c>
      <c r="I66" s="84">
        <f t="shared" ca="1" si="14"/>
        <v>0</v>
      </c>
      <c r="J66" s="84" t="str">
        <f t="shared" si="14"/>
        <v/>
      </c>
      <c r="K66" s="84" t="str">
        <f t="shared" si="14"/>
        <v/>
      </c>
      <c r="L66" s="84" t="str">
        <f t="shared" si="14"/>
        <v/>
      </c>
      <c r="M66" s="84" t="str">
        <f t="shared" si="14"/>
        <v/>
      </c>
      <c r="N66" s="85">
        <f t="shared" ca="1" si="14"/>
        <v>0</v>
      </c>
    </row>
    <row r="67" spans="1:14" ht="51" customHeight="1" thickBot="1" x14ac:dyDescent="0.3">
      <c r="A67" s="88" t="s">
        <v>729</v>
      </c>
      <c r="B67" s="82">
        <f>SUM(COUNTIFS(Tabla1[AÑO PARTO],$B$4,Tabla1[MES PARTO],B6,Tabla1[SALE DEL PROGRAMA POR],"PARTO",Tabla1[FECHA ASESORIA EN LACTANCIA MATERNA DURANTE CPN],"&lt;&gt;"),COUNTIFS(Tabla1[AÑO PARTO],$B$4,Tabla1[MES PARTO],B6,Tabla1[SALE DEL PROGRAMA POR],"CESAREA",Tabla1[FECHA ASESORIA EN LACTANCIA MATERNA DURANTE CPN],"&lt;&gt;"))</f>
        <v>0</v>
      </c>
      <c r="C67" s="82">
        <f>SUM(COUNTIFS(Tabla1[AÑO PARTO],$B$4,Tabla1[MES PARTO],C6,Tabla1[SALE DEL PROGRAMA POR],"PARTO",Tabla1[FECHA ASESORIA EN LACTANCIA MATERNA DURANTE CPN],"&lt;&gt;"),COUNTIFS(Tabla1[AÑO PARTO],$B$4,Tabla1[MES PARTO],C6,Tabla1[SALE DEL PROGRAMA POR],"CESAREA",Tabla1[FECHA ASESORIA EN LACTANCIA MATERNA DURANTE CPN],"&lt;&gt;"))</f>
        <v>3</v>
      </c>
      <c r="D67" s="82">
        <f>SUM(COUNTIFS(Tabla1[AÑO PARTO],$B$4,Tabla1[MES PARTO],D6,Tabla1[SALE DEL PROGRAMA POR],"PARTO",Tabla1[FECHA ASESORIA EN LACTANCIA MATERNA DURANTE CPN],"&lt;&gt;"),COUNTIFS(Tabla1[AÑO PARTO],$B$4,Tabla1[MES PARTO],D6,Tabla1[SALE DEL PROGRAMA POR],"CESAREA",Tabla1[FECHA ASESORIA EN LACTANCIA MATERNA DURANTE CPN],"&lt;&gt;"))</f>
        <v>12</v>
      </c>
      <c r="E67" s="82">
        <f>SUM(COUNTIFS(Tabla1[AÑO PARTO],$B$4,Tabla1[MES PARTO],E6,Tabla1[SALE DEL PROGRAMA POR],"PARTO",Tabla1[FECHA ASESORIA EN LACTANCIA MATERNA DURANTE CPN],"&lt;&gt;"),COUNTIFS(Tabla1[AÑO PARTO],$B$4,Tabla1[MES PARTO],E6,Tabla1[SALE DEL PROGRAMA POR],"CESAREA",Tabla1[FECHA ASESORIA EN LACTANCIA MATERNA DURANTE CPN],"&lt;&gt;"))</f>
        <v>17</v>
      </c>
      <c r="F67" s="82">
        <f>SUM(COUNTIFS(Tabla1[AÑO PARTO],$B$4,Tabla1[MES PARTO],F6,Tabla1[SALE DEL PROGRAMA POR],"PARTO",Tabla1[FECHA ASESORIA EN LACTANCIA MATERNA DURANTE CPN],"&lt;&gt;"),COUNTIFS(Tabla1[AÑO PARTO],$B$4,Tabla1[MES PARTO],F6,Tabla1[SALE DEL PROGRAMA POR],"CESAREA",Tabla1[FECHA ASESORIA EN LACTANCIA MATERNA DURANTE CPN],"&lt;&gt;"))</f>
        <v>31</v>
      </c>
      <c r="G67" s="82">
        <f>SUM(COUNTIFS(Tabla1[AÑO PARTO],$B$4,Tabla1[MES PARTO],G6,Tabla1[SALE DEL PROGRAMA POR],"PARTO",Tabla1[FECHA ASESORIA EN LACTANCIA MATERNA DURANTE CPN],"&lt;&gt;"),COUNTIFS(Tabla1[AÑO PARTO],$B$4,Tabla1[MES PARTO],G6,Tabla1[SALE DEL PROGRAMA POR],"CESAREA",Tabla1[FECHA ASESORIA EN LACTANCIA MATERNA DURANTE CPN],"&lt;&gt;"))</f>
        <v>13</v>
      </c>
      <c r="H67" s="82">
        <f>SUM(COUNTIFS(Tabla1[AÑO PARTO],$B$4,Tabla1[MES PARTO],H6,Tabla1[SALE DEL PROGRAMA POR],"PARTO",Tabla1[FECHA ASESORIA EN LACTANCIA MATERNA DURANTE CPN],"&lt;&gt;"),COUNTIFS(Tabla1[AÑO PARTO],$B$4,Tabla1[MES PARTO],H6,Tabla1[SALE DEL PROGRAMA POR],"CESAREA",Tabla1[FECHA ASESORIA EN LACTANCIA MATERNA DURANTE CPN],"&lt;&gt;"))</f>
        <v>14</v>
      </c>
      <c r="I67" s="82">
        <f>SUM(COUNTIFS(Tabla1[AÑO PARTO],$B$4,Tabla1[MES PARTO],I6,Tabla1[SALE DEL PROGRAMA POR],"PARTO",Tabla1[FECHA ASESORIA EN LACTANCIA MATERNA DURANTE CPN],"&lt;&gt;"),COUNTIFS(Tabla1[AÑO PARTO],$B$4,Tabla1[MES PARTO],I6,Tabla1[SALE DEL PROGRAMA POR],"CESAREA",Tabla1[FECHA ASESORIA EN LACTANCIA MATERNA DURANTE CPN],"&lt;&gt;"))</f>
        <v>3</v>
      </c>
      <c r="J67" s="82">
        <f>SUM(COUNTIFS(Tabla1[AÑO PARTO],$B$4,Tabla1[MES PARTO],J6,Tabla1[SALE DEL PROGRAMA POR],"PARTO",Tabla1[FECHA ASESORIA EN LACTANCIA MATERNA DURANTE CPN],"&lt;&gt;"),COUNTIFS(Tabla1[AÑO PARTO],$B$4,Tabla1[MES PARTO],J6,Tabla1[SALE DEL PROGRAMA POR],"CESAREA",Tabla1[FECHA ASESORIA EN LACTANCIA MATERNA DURANTE CPN],"&lt;&gt;"))</f>
        <v>0</v>
      </c>
      <c r="K67" s="82">
        <f>SUM(COUNTIFS(Tabla1[AÑO PARTO],$B$4,Tabla1[MES PARTO],K6,Tabla1[SALE DEL PROGRAMA POR],"PARTO",Tabla1[FECHA ASESORIA EN LACTANCIA MATERNA DURANTE CPN],"&lt;&gt;"),COUNTIFS(Tabla1[AÑO PARTO],$B$4,Tabla1[MES PARTO],K6,Tabla1[SALE DEL PROGRAMA POR],"CESAREA",Tabla1[FECHA ASESORIA EN LACTANCIA MATERNA DURANTE CPN],"&lt;&gt;"))</f>
        <v>0</v>
      </c>
      <c r="L67" s="82">
        <f>SUM(COUNTIFS(Tabla1[AÑO PARTO],$B$4,Tabla1[MES PARTO],L6,Tabla1[SALE DEL PROGRAMA POR],"PARTO",Tabla1[FECHA ASESORIA EN LACTANCIA MATERNA DURANTE CPN],"&lt;&gt;"),COUNTIFS(Tabla1[AÑO PARTO],$B$4,Tabla1[MES PARTO],L6,Tabla1[SALE DEL PROGRAMA POR],"CESAREA",Tabla1[FECHA ASESORIA EN LACTANCIA MATERNA DURANTE CPN],"&lt;&gt;"))</f>
        <v>0</v>
      </c>
      <c r="M67" s="82">
        <f>SUM(COUNTIFS(Tabla1[AÑO PARTO],$B$4,Tabla1[MES PARTO],M6,Tabla1[SALE DEL PROGRAMA POR],"PARTO",Tabla1[FECHA ASESORIA EN LACTANCIA MATERNA DURANTE CPN],"&lt;&gt;"),COUNTIFS(Tabla1[AÑO PARTO],$B$4,Tabla1[MES PARTO],M6,Tabla1[SALE DEL PROGRAMA POR],"CESAREA",Tabla1[FECHA ASESORIA EN LACTANCIA MATERNA DURANTE CPN],"&lt;&gt;"))</f>
        <v>0</v>
      </c>
      <c r="N67" s="91">
        <f>SUM(B67:M67)</f>
        <v>93</v>
      </c>
    </row>
    <row r="68" spans="1:14" ht="37.5" customHeight="1" thickBot="1" x14ac:dyDescent="0.3">
      <c r="A68" s="136" t="s">
        <v>730</v>
      </c>
      <c r="B68" s="83" t="str">
        <f t="shared" ref="B68:N68" si="15">IF(B$91=0,"",SUM(B67/B$91))</f>
        <v/>
      </c>
      <c r="C68" s="84">
        <f t="shared" si="15"/>
        <v>1</v>
      </c>
      <c r="D68" s="84">
        <f t="shared" si="15"/>
        <v>1</v>
      </c>
      <c r="E68" s="84">
        <f t="shared" si="15"/>
        <v>1</v>
      </c>
      <c r="F68" s="84">
        <f t="shared" si="15"/>
        <v>1</v>
      </c>
      <c r="G68" s="84">
        <f t="shared" si="15"/>
        <v>1</v>
      </c>
      <c r="H68" s="84">
        <f t="shared" si="15"/>
        <v>1</v>
      </c>
      <c r="I68" s="84">
        <f t="shared" si="15"/>
        <v>1</v>
      </c>
      <c r="J68" s="84" t="str">
        <f t="shared" si="15"/>
        <v/>
      </c>
      <c r="K68" s="84" t="str">
        <f t="shared" si="15"/>
        <v/>
      </c>
      <c r="L68" s="84" t="str">
        <f t="shared" si="15"/>
        <v/>
      </c>
      <c r="M68" s="84" t="str">
        <f t="shared" si="15"/>
        <v/>
      </c>
      <c r="N68" s="84">
        <f t="shared" si="15"/>
        <v>1</v>
      </c>
    </row>
    <row r="69" spans="1:14" ht="37.5" customHeight="1" thickBot="1" x14ac:dyDescent="0.3">
      <c r="A69" s="88" t="s">
        <v>728</v>
      </c>
      <c r="B69" s="82">
        <f>SUM(COUNTIFS(Tabla1[AÑO PARTO],$B$4,Tabla1[MES PARTO],B6,Tabla1[SALE DEL PROGRAMA POR],"PARTO",Tabla1[FECHA ASESORIA EN ANTICONCEPCION DURANTE CPN],"&lt;&gt;"),COUNTIFS(Tabla1[AÑO PARTO],$B$4,Tabla1[MES PARTO],B6,Tabla1[SALE DEL PROGRAMA POR],"CESAREA",Tabla1[FECHA ASESORIA EN ANTICONCEPCION DURANTE CPN],"&lt;&gt;"))</f>
        <v>0</v>
      </c>
      <c r="C69" s="82">
        <f>SUM(COUNTIFS(Tabla1[AÑO PARTO],$B$4,Tabla1[MES PARTO],C6,Tabla1[SALE DEL PROGRAMA POR],"PARTO",Tabla1[FECHA ASESORIA EN ANTICONCEPCION DURANTE CPN],"&lt;&gt;"),COUNTIFS(Tabla1[AÑO PARTO],$B$4,Tabla1[MES PARTO],C6,Tabla1[SALE DEL PROGRAMA POR],"CESAREA",Tabla1[FECHA ASESORIA EN ANTICONCEPCION DURANTE CPN],"&lt;&gt;"))</f>
        <v>3</v>
      </c>
      <c r="D69" s="82">
        <f>SUM(COUNTIFS(Tabla1[AÑO PARTO],$B$4,Tabla1[MES PARTO],D6,Tabla1[SALE DEL PROGRAMA POR],"PARTO",Tabla1[FECHA ASESORIA EN ANTICONCEPCION DURANTE CPN],"&lt;&gt;"),COUNTIFS(Tabla1[AÑO PARTO],$B$4,Tabla1[MES PARTO],D6,Tabla1[SALE DEL PROGRAMA POR],"CESAREA",Tabla1[FECHA ASESORIA EN ANTICONCEPCION DURANTE CPN],"&lt;&gt;"))</f>
        <v>12</v>
      </c>
      <c r="E69" s="82">
        <f>SUM(COUNTIFS(Tabla1[AÑO PARTO],$B$4,Tabla1[MES PARTO],E6,Tabla1[SALE DEL PROGRAMA POR],"PARTO",Tabla1[FECHA ASESORIA EN ANTICONCEPCION DURANTE CPN],"&lt;&gt;"),COUNTIFS(Tabla1[AÑO PARTO],$B$4,Tabla1[MES PARTO],E6,Tabla1[SALE DEL PROGRAMA POR],"CESAREA",Tabla1[FECHA ASESORIA EN ANTICONCEPCION DURANTE CPN],"&lt;&gt;"))</f>
        <v>17</v>
      </c>
      <c r="F69" s="82">
        <f>SUM(COUNTIFS(Tabla1[AÑO PARTO],$B$4,Tabla1[MES PARTO],F6,Tabla1[SALE DEL PROGRAMA POR],"PARTO",Tabla1[FECHA ASESORIA EN ANTICONCEPCION DURANTE CPN],"&lt;&gt;"),COUNTIFS(Tabla1[AÑO PARTO],$B$4,Tabla1[MES PARTO],F6,Tabla1[SALE DEL PROGRAMA POR],"CESAREA",Tabla1[FECHA ASESORIA EN ANTICONCEPCION DURANTE CPN],"&lt;&gt;"))</f>
        <v>31</v>
      </c>
      <c r="G69" s="82">
        <f>SUM(COUNTIFS(Tabla1[AÑO PARTO],$B$4,Tabla1[MES PARTO],G6,Tabla1[SALE DEL PROGRAMA POR],"PARTO",Tabla1[FECHA ASESORIA EN ANTICONCEPCION DURANTE CPN],"&lt;&gt;"),COUNTIFS(Tabla1[AÑO PARTO],$B$4,Tabla1[MES PARTO],G6,Tabla1[SALE DEL PROGRAMA POR],"CESAREA",Tabla1[FECHA ASESORIA EN ANTICONCEPCION DURANTE CPN],"&lt;&gt;"))</f>
        <v>13</v>
      </c>
      <c r="H69" s="82">
        <f>SUM(COUNTIFS(Tabla1[AÑO PARTO],$B$4,Tabla1[MES PARTO],H6,Tabla1[SALE DEL PROGRAMA POR],"PARTO",Tabla1[FECHA ASESORIA EN ANTICONCEPCION DURANTE CPN],"&lt;&gt;"),COUNTIFS(Tabla1[AÑO PARTO],$B$4,Tabla1[MES PARTO],H6,Tabla1[SALE DEL PROGRAMA POR],"CESAREA",Tabla1[FECHA ASESORIA EN ANTICONCEPCION DURANTE CPN],"&lt;&gt;"))</f>
        <v>14</v>
      </c>
      <c r="I69" s="82">
        <f>SUM(COUNTIFS(Tabla1[AÑO PARTO],$B$4,Tabla1[MES PARTO],I6,Tabla1[SALE DEL PROGRAMA POR],"PARTO",Tabla1[FECHA ASESORIA EN ANTICONCEPCION DURANTE CPN],"&lt;&gt;"),COUNTIFS(Tabla1[AÑO PARTO],$B$4,Tabla1[MES PARTO],I6,Tabla1[SALE DEL PROGRAMA POR],"CESAREA",Tabla1[FECHA ASESORIA EN ANTICONCEPCION DURANTE CPN],"&lt;&gt;"))</f>
        <v>3</v>
      </c>
      <c r="J69" s="82">
        <f>SUM(COUNTIFS(Tabla1[AÑO PARTO],$B$4,Tabla1[MES PARTO],J6,Tabla1[SALE DEL PROGRAMA POR],"PARTO",Tabla1[FECHA ASESORIA EN ANTICONCEPCION DURANTE CPN],"&lt;&gt;"),COUNTIFS(Tabla1[AÑO PARTO],$B$4,Tabla1[MES PARTO],J6,Tabla1[SALE DEL PROGRAMA POR],"CESAREA",Tabla1[FECHA ASESORIA EN ANTICONCEPCION DURANTE CPN],"&lt;&gt;"))</f>
        <v>0</v>
      </c>
      <c r="K69" s="82">
        <f>SUM(COUNTIFS(Tabla1[AÑO PARTO],$B$4,Tabla1[MES PARTO],K6,Tabla1[SALE DEL PROGRAMA POR],"PARTO",Tabla1[FECHA ASESORIA EN ANTICONCEPCION DURANTE CPN],"&lt;&gt;"),COUNTIFS(Tabla1[AÑO PARTO],$B$4,Tabla1[MES PARTO],K6,Tabla1[SALE DEL PROGRAMA POR],"CESAREA",Tabla1[FECHA ASESORIA EN ANTICONCEPCION DURANTE CPN],"&lt;&gt;"))</f>
        <v>0</v>
      </c>
      <c r="L69" s="82">
        <f>SUM(COUNTIFS(Tabla1[AÑO PARTO],$B$4,Tabla1[MES PARTO],L6,Tabla1[SALE DEL PROGRAMA POR],"PARTO",Tabla1[FECHA ASESORIA EN ANTICONCEPCION DURANTE CPN],"&lt;&gt;"),COUNTIFS(Tabla1[AÑO PARTO],$B$4,Tabla1[MES PARTO],L6,Tabla1[SALE DEL PROGRAMA POR],"CESAREA",Tabla1[FECHA ASESORIA EN ANTICONCEPCION DURANTE CPN],"&lt;&gt;"))</f>
        <v>0</v>
      </c>
      <c r="M69" s="82">
        <f>SUM(COUNTIFS(Tabla1[AÑO PARTO],$B$4,Tabla1[MES PARTO],M6,Tabla1[SALE DEL PROGRAMA POR],"PARTO",Tabla1[FECHA ASESORIA EN ANTICONCEPCION DURANTE CPN],"&lt;&gt;"),COUNTIFS(Tabla1[AÑO PARTO],$B$4,Tabla1[MES PARTO],M6,Tabla1[SALE DEL PROGRAMA POR],"CESAREA",Tabla1[FECHA ASESORIA EN ANTICONCEPCION DURANTE CPN],"&lt;&gt;"))</f>
        <v>0</v>
      </c>
      <c r="N69" s="82">
        <f>SUM(B69:M69)</f>
        <v>93</v>
      </c>
    </row>
    <row r="70" spans="1:14" ht="37.5" customHeight="1" thickBot="1" x14ac:dyDescent="0.3">
      <c r="A70" s="136" t="s">
        <v>695</v>
      </c>
      <c r="B70" s="83" t="str">
        <f t="shared" ref="B70:N70" si="16">IF(B$91=0,"",SUM(B69/B$91))</f>
        <v/>
      </c>
      <c r="C70" s="84">
        <f t="shared" si="16"/>
        <v>1</v>
      </c>
      <c r="D70" s="84">
        <f t="shared" si="16"/>
        <v>1</v>
      </c>
      <c r="E70" s="84">
        <f t="shared" si="16"/>
        <v>1</v>
      </c>
      <c r="F70" s="84">
        <f t="shared" si="16"/>
        <v>1</v>
      </c>
      <c r="G70" s="84">
        <f t="shared" si="16"/>
        <v>1</v>
      </c>
      <c r="H70" s="84">
        <f t="shared" si="16"/>
        <v>1</v>
      </c>
      <c r="I70" s="84">
        <f t="shared" si="16"/>
        <v>1</v>
      </c>
      <c r="J70" s="84" t="str">
        <f t="shared" si="16"/>
        <v/>
      </c>
      <c r="K70" s="84" t="str">
        <f t="shared" si="16"/>
        <v/>
      </c>
      <c r="L70" s="84" t="str">
        <f t="shared" si="16"/>
        <v/>
      </c>
      <c r="M70" s="84" t="str">
        <f t="shared" si="16"/>
        <v/>
      </c>
      <c r="N70" s="84">
        <f t="shared" si="16"/>
        <v>1</v>
      </c>
    </row>
    <row r="71" spans="1:14" ht="40.5" customHeight="1" thickBot="1" x14ac:dyDescent="0.3">
      <c r="A71" s="149" t="s">
        <v>699</v>
      </c>
      <c r="B71" s="142">
        <f>SUM(COUNTIFS(Tabla1[AÑO PARTO],$B$4,Tabla1[MES PARTO],B6,Tabla1[SALE DEL PROGRAMA POR],"PARTO",Tabla1['# DE MUJERES CON SUMINISTRO ADECUADO DE MICRONUTRIENTES],"COMPLETO"),COUNTIFS(Tabla1[AÑO PARTO],$B$4,Tabla1[MES PARTO],B6,Tabla1[SALE DEL PROGRAMA POR],"CESAREA",Tabla1['# DE MUJERES CON SUMINISTRO ADECUADO DE MICRONUTRIENTES],"COMPLETO"))</f>
        <v>0</v>
      </c>
      <c r="C71" s="142">
        <f>SUM(COUNTIFS(Tabla1[AÑO PARTO],$B$4,Tabla1[MES PARTO],C6,Tabla1[SALE DEL PROGRAMA POR],"PARTO",Tabla1['# DE MUJERES CON SUMINISTRO ADECUADO DE MICRONUTRIENTES],"COMPLETO"),COUNTIFS(Tabla1[AÑO PARTO],$B$4,Tabla1[MES PARTO],C6,Tabla1[SALE DEL PROGRAMA POR],"CESAREA",Tabla1['# DE MUJERES CON SUMINISTRO ADECUADO DE MICRONUTRIENTES],"COMPLETO"))</f>
        <v>1</v>
      </c>
      <c r="D71" s="142">
        <f>SUM(COUNTIFS(Tabla1[AÑO PARTO],$B$4,Tabla1[MES PARTO],D6,Tabla1[SALE DEL PROGRAMA POR],"PARTO",Tabla1['# DE MUJERES CON SUMINISTRO ADECUADO DE MICRONUTRIENTES],"COMPLETO"),COUNTIFS(Tabla1[AÑO PARTO],$B$4,Tabla1[MES PARTO],D6,Tabla1[SALE DEL PROGRAMA POR],"CESAREA",Tabla1['# DE MUJERES CON SUMINISTRO ADECUADO DE MICRONUTRIENTES],"COMPLETO"))</f>
        <v>3</v>
      </c>
      <c r="E71" s="142">
        <f>SUM(COUNTIFS(Tabla1[AÑO PARTO],$B$4,Tabla1[MES PARTO],E6,Tabla1[SALE DEL PROGRAMA POR],"PARTO",Tabla1['# DE MUJERES CON SUMINISTRO ADECUADO DE MICRONUTRIENTES],"COMPLETO"),COUNTIFS(Tabla1[AÑO PARTO],$B$4,Tabla1[MES PARTO],E6,Tabla1[SALE DEL PROGRAMA POR],"CESAREA",Tabla1['# DE MUJERES CON SUMINISTRO ADECUADO DE MICRONUTRIENTES],"COMPLETO"))</f>
        <v>7</v>
      </c>
      <c r="F71" s="142">
        <f>SUM(COUNTIFS(Tabla1[AÑO PARTO],$B$4,Tabla1[MES PARTO],F6,Tabla1[SALE DEL PROGRAMA POR],"PARTO",Tabla1['# DE MUJERES CON SUMINISTRO ADECUADO DE MICRONUTRIENTES],"COMPLETO"),COUNTIFS(Tabla1[AÑO PARTO],$B$4,Tabla1[MES PARTO],F6,Tabla1[SALE DEL PROGRAMA POR],"CESAREA",Tabla1['# DE MUJERES CON SUMINISTRO ADECUADO DE MICRONUTRIENTES],"COMPLETO"))</f>
        <v>10</v>
      </c>
      <c r="G71" s="142">
        <f>SUM(COUNTIFS(Tabla1[AÑO PARTO],$B$4,Tabla1[MES PARTO],G6,Tabla1[SALE DEL PROGRAMA POR],"PARTO",Tabla1['# DE MUJERES CON SUMINISTRO ADECUADO DE MICRONUTRIENTES],"COMPLETO"),COUNTIFS(Tabla1[AÑO PARTO],$B$4,Tabla1[MES PARTO],G6,Tabla1[SALE DEL PROGRAMA POR],"CESAREA",Tabla1['# DE MUJERES CON SUMINISTRO ADECUADO DE MICRONUTRIENTES],"COMPLETO"))</f>
        <v>5</v>
      </c>
      <c r="H71" s="142">
        <f>SUM(COUNTIFS(Tabla1[AÑO PARTO],$B$4,Tabla1[MES PARTO],H6,Tabla1[SALE DEL PROGRAMA POR],"PARTO",Tabla1['# DE MUJERES CON SUMINISTRO ADECUADO DE MICRONUTRIENTES],"COMPLETO"),COUNTIFS(Tabla1[AÑO PARTO],$B$4,Tabla1[MES PARTO],H6,Tabla1[SALE DEL PROGRAMA POR],"CESAREA",Tabla1['# DE MUJERES CON SUMINISTRO ADECUADO DE MICRONUTRIENTES],"COMPLETO"))</f>
        <v>4</v>
      </c>
      <c r="I71" s="142">
        <f>SUM(COUNTIFS(Tabla1[AÑO PARTO],$B$4,Tabla1[MES PARTO],I6,Tabla1[SALE DEL PROGRAMA POR],"PARTO",Tabla1['# DE MUJERES CON SUMINISTRO ADECUADO DE MICRONUTRIENTES],"COMPLETO"),COUNTIFS(Tabla1[AÑO PARTO],$B$4,Tabla1[MES PARTO],I6,Tabla1[SALE DEL PROGRAMA POR],"CESAREA",Tabla1['# DE MUJERES CON SUMINISTRO ADECUADO DE MICRONUTRIENTES],"COMPLETO"))</f>
        <v>2</v>
      </c>
      <c r="J71" s="142">
        <f>SUM(COUNTIFS(Tabla1[AÑO PARTO],$B$4,Tabla1[MES PARTO],J6,Tabla1[SALE DEL PROGRAMA POR],"PARTO",Tabla1['# DE MUJERES CON SUMINISTRO ADECUADO DE MICRONUTRIENTES],"COMPLETO"),COUNTIFS(Tabla1[AÑO PARTO],$B$4,Tabla1[MES PARTO],J6,Tabla1[SALE DEL PROGRAMA POR],"CESAREA",Tabla1['# DE MUJERES CON SUMINISTRO ADECUADO DE MICRONUTRIENTES],"COMPLETO"))</f>
        <v>0</v>
      </c>
      <c r="K71" s="142">
        <f>SUM(COUNTIFS(Tabla1[AÑO PARTO],$B$4,Tabla1[MES PARTO],K6,Tabla1[SALE DEL PROGRAMA POR],"PARTO",Tabla1['# DE MUJERES CON SUMINISTRO ADECUADO DE MICRONUTRIENTES],"COMPLETO"),COUNTIFS(Tabla1[AÑO PARTO],$B$4,Tabla1[MES PARTO],K6,Tabla1[SALE DEL PROGRAMA POR],"CESAREA",Tabla1['# DE MUJERES CON SUMINISTRO ADECUADO DE MICRONUTRIENTES],"COMPLETO"))</f>
        <v>0</v>
      </c>
      <c r="L71" s="142">
        <f>SUM(COUNTIFS(Tabla1[AÑO PARTO],$B$4,Tabla1[MES PARTO],L6,Tabla1[SALE DEL PROGRAMA POR],"PARTO",Tabla1['# DE MUJERES CON SUMINISTRO ADECUADO DE MICRONUTRIENTES],"COMPLETO"),COUNTIFS(Tabla1[AÑO PARTO],$B$4,Tabla1[MES PARTO],L6,Tabla1[SALE DEL PROGRAMA POR],"CESAREA",Tabla1['# DE MUJERES CON SUMINISTRO ADECUADO DE MICRONUTRIENTES],"COMPLETO"))</f>
        <v>0</v>
      </c>
      <c r="M71" s="142">
        <f>SUM(COUNTIFS(Tabla1[AÑO PARTO],$B$4,Tabla1[MES PARTO],M6,Tabla1[SALE DEL PROGRAMA POR],"PARTO",Tabla1['# DE MUJERES CON SUMINISTRO ADECUADO DE MICRONUTRIENTES],"COMPLETO"),COUNTIFS(Tabla1[AÑO PARTO],$B$4,Tabla1[MES PARTO],M6,Tabla1[SALE DEL PROGRAMA POR],"CESAREA",Tabla1['# DE MUJERES CON SUMINISTRO ADECUADO DE MICRONUTRIENTES],"COMPLETO"))</f>
        <v>0</v>
      </c>
      <c r="N71" s="82">
        <f>SUM(B71:M71)</f>
        <v>32</v>
      </c>
    </row>
    <row r="72" spans="1:14" ht="39.75" customHeight="1" thickBot="1" x14ac:dyDescent="0.3">
      <c r="A72" s="143" t="s">
        <v>698</v>
      </c>
      <c r="B72" s="83" t="str">
        <f t="shared" ref="B72:N72" si="17">IF(B$91=0,"",SUM(B71/B$91))</f>
        <v/>
      </c>
      <c r="C72" s="84">
        <f t="shared" si="17"/>
        <v>0.33333333333333331</v>
      </c>
      <c r="D72" s="84">
        <f t="shared" si="17"/>
        <v>0.25</v>
      </c>
      <c r="E72" s="84">
        <f t="shared" si="17"/>
        <v>0.41176470588235292</v>
      </c>
      <c r="F72" s="84">
        <f t="shared" si="17"/>
        <v>0.32258064516129031</v>
      </c>
      <c r="G72" s="84">
        <f t="shared" si="17"/>
        <v>0.38461538461538464</v>
      </c>
      <c r="H72" s="84">
        <f t="shared" si="17"/>
        <v>0.2857142857142857</v>
      </c>
      <c r="I72" s="84">
        <f t="shared" si="17"/>
        <v>0.66666666666666663</v>
      </c>
      <c r="J72" s="84" t="str">
        <f t="shared" si="17"/>
        <v/>
      </c>
      <c r="K72" s="84" t="str">
        <f t="shared" si="17"/>
        <v/>
      </c>
      <c r="L72" s="84" t="str">
        <f t="shared" si="17"/>
        <v/>
      </c>
      <c r="M72" s="84" t="str">
        <f t="shared" si="17"/>
        <v/>
      </c>
      <c r="N72" s="85">
        <f t="shared" si="17"/>
        <v>0.34408602150537637</v>
      </c>
    </row>
    <row r="73" spans="1:14" ht="39" customHeight="1" thickBot="1" x14ac:dyDescent="0.3">
      <c r="A73" s="53" t="s">
        <v>703</v>
      </c>
      <c r="B73" s="142">
        <f>SUM(COUNTIFS(Tabla1[AÑO PARTO],$B$4,Tabla1[MES PARTO],B6,Tabla1[SALE DEL PROGRAMA POR],"PARTO",Tabla1[ALARMA CONTROL PUERPERIO],"&gt;2",Tabla1[ALARMA CONTROL PUERPERIO],"&lt;6"),COUNTIFS(Tabla1[AÑO PARTO],$B$4,Tabla1[MES PARTO],B6,Tabla1[SALE DEL PROGRAMA POR],"CESAREA",Tabla1[ALARMA CONTROL PUERPERIO],"&gt;2",Tabla1[ALARMA CONTROL PUERPERIO],"&lt;6"))</f>
        <v>0</v>
      </c>
      <c r="C73" s="142">
        <f>SUM(COUNTIFS(Tabla1[AÑO PARTO],$B$4,Tabla1[MES PARTO],C6,Tabla1[SALE DEL PROGRAMA POR],"PARTO",Tabla1[ALARMA CONTROL PUERPERIO],"&gt;2",Tabla1[ALARMA CONTROL PUERPERIO],"&lt;6"),COUNTIFS(Tabla1[AÑO PARTO],$B$4,Tabla1[MES PARTO],C6,Tabla1[SALE DEL PROGRAMA POR],"CESAREA",Tabla1[ALARMA CONTROL PUERPERIO],"&gt;2",Tabla1[ALARMA CONTROL PUERPERIO],"&lt;6"))</f>
        <v>0</v>
      </c>
      <c r="D73" s="142">
        <f>SUM(COUNTIFS(Tabla1[AÑO PARTO],$B$4,Tabla1[MES PARTO],D6,Tabla1[SALE DEL PROGRAMA POR],"PARTO",Tabla1[ALARMA CONTROL PUERPERIO],"&gt;2",Tabla1[ALARMA CONTROL PUERPERIO],"&lt;6"),COUNTIFS(Tabla1[AÑO PARTO],$B$4,Tabla1[MES PARTO],D6,Tabla1[SALE DEL PROGRAMA POR],"CESAREA",Tabla1[ALARMA CONTROL PUERPERIO],"&gt;2",Tabla1[ALARMA CONTROL PUERPERIO],"&lt;6"))</f>
        <v>0</v>
      </c>
      <c r="E73" s="142">
        <f>SUM(COUNTIFS(Tabla1[AÑO PARTO],$B$4,Tabla1[MES PARTO],E6,Tabla1[SALE DEL PROGRAMA POR],"PARTO",Tabla1[ALARMA CONTROL PUERPERIO],"&gt;2",Tabla1[ALARMA CONTROL PUERPERIO],"&lt;6"),COUNTIFS(Tabla1[AÑO PARTO],$B$4,Tabla1[MES PARTO],E6,Tabla1[SALE DEL PROGRAMA POR],"CESAREA",Tabla1[ALARMA CONTROL PUERPERIO],"&gt;2",Tabla1[ALARMA CONTROL PUERPERIO],"&lt;6"))</f>
        <v>0</v>
      </c>
      <c r="F73" s="142">
        <f>SUM(COUNTIFS(Tabla1[AÑO PARTO],$B$4,Tabla1[MES PARTO],F6,Tabla1[SALE DEL PROGRAMA POR],"PARTO",Tabla1[ALARMA CONTROL PUERPERIO],"&gt;2",Tabla1[ALARMA CONTROL PUERPERIO],"&lt;6"),COUNTIFS(Tabla1[AÑO PARTO],$B$4,Tabla1[MES PARTO],F6,Tabla1[SALE DEL PROGRAMA POR],"CESAREA",Tabla1[ALARMA CONTROL PUERPERIO],"&gt;2",Tabla1[ALARMA CONTROL PUERPERIO],"&lt;6"))</f>
        <v>0</v>
      </c>
      <c r="G73" s="142">
        <f>SUM(COUNTIFS(Tabla1[AÑO PARTO],$B$4,Tabla1[MES PARTO],G6,Tabla1[SALE DEL PROGRAMA POR],"PARTO",Tabla1[ALARMA CONTROL PUERPERIO],"&gt;2",Tabla1[ALARMA CONTROL PUERPERIO],"&lt;6"),COUNTIFS(Tabla1[AÑO PARTO],$B$4,Tabla1[MES PARTO],G6,Tabla1[SALE DEL PROGRAMA POR],"CESAREA",Tabla1[ALARMA CONTROL PUERPERIO],"&gt;2",Tabla1[ALARMA CONTROL PUERPERIO],"&lt;6"))</f>
        <v>0</v>
      </c>
      <c r="H73" s="142">
        <f>SUM(COUNTIFS(Tabla1[AÑO PARTO],$B$4,Tabla1[MES PARTO],H6,Tabla1[SALE DEL PROGRAMA POR],"PARTO",Tabla1[ALARMA CONTROL PUERPERIO],"&gt;2",Tabla1[ALARMA CONTROL PUERPERIO],"&lt;6"),COUNTIFS(Tabla1[AÑO PARTO],$B$4,Tabla1[MES PARTO],H6,Tabla1[SALE DEL PROGRAMA POR],"CESAREA",Tabla1[ALARMA CONTROL PUERPERIO],"&gt;2",Tabla1[ALARMA CONTROL PUERPERIO],"&lt;6"))</f>
        <v>0</v>
      </c>
      <c r="I73" s="142">
        <f>SUM(COUNTIFS(Tabla1[AÑO PARTO],$B$4,Tabla1[MES PARTO],I6,Tabla1[SALE DEL PROGRAMA POR],"PARTO",Tabla1[ALARMA CONTROL PUERPERIO],"&gt;2",Tabla1[ALARMA CONTROL PUERPERIO],"&lt;6"),COUNTIFS(Tabla1[AÑO PARTO],$B$4,Tabla1[MES PARTO],I6,Tabla1[SALE DEL PROGRAMA POR],"CESAREA",Tabla1[ALARMA CONTROL PUERPERIO],"&gt;2",Tabla1[ALARMA CONTROL PUERPERIO],"&lt;6"))</f>
        <v>0</v>
      </c>
      <c r="J73" s="142">
        <f>SUM(COUNTIFS(Tabla1[AÑO PARTO],$B$4,Tabla1[MES PARTO],J6,Tabla1[SALE DEL PROGRAMA POR],"PARTO",Tabla1[ALARMA CONTROL PUERPERIO],"&gt;2",Tabla1[ALARMA CONTROL PUERPERIO],"&lt;6"),COUNTIFS(Tabla1[AÑO PARTO],$B$4,Tabla1[MES PARTO],J6,Tabla1[SALE DEL PROGRAMA POR],"CESAREA",Tabla1[ALARMA CONTROL PUERPERIO],"&gt;2",Tabla1[ALARMA CONTROL PUERPERIO],"&lt;6"))</f>
        <v>0</v>
      </c>
      <c r="K73" s="142">
        <f>SUM(COUNTIFS(Tabla1[AÑO PARTO],$B$4,Tabla1[MES PARTO],K6,Tabla1[SALE DEL PROGRAMA POR],"PARTO",Tabla1[ALARMA CONTROL PUERPERIO],"&gt;2",Tabla1[ALARMA CONTROL PUERPERIO],"&lt;6"),COUNTIFS(Tabla1[AÑO PARTO],$B$4,Tabla1[MES PARTO],K6,Tabla1[SALE DEL PROGRAMA POR],"CESAREA",Tabla1[ALARMA CONTROL PUERPERIO],"&gt;2",Tabla1[ALARMA CONTROL PUERPERIO],"&lt;6"))</f>
        <v>0</v>
      </c>
      <c r="L73" s="142">
        <f>SUM(COUNTIFS(Tabla1[AÑO PARTO],$B$4,Tabla1[MES PARTO],L6,Tabla1[SALE DEL PROGRAMA POR],"PARTO",Tabla1[ALARMA CONTROL PUERPERIO],"&gt;2",Tabla1[ALARMA CONTROL PUERPERIO],"&lt;6"),COUNTIFS(Tabla1[AÑO PARTO],$B$4,Tabla1[MES PARTO],L6,Tabla1[SALE DEL PROGRAMA POR],"CESAREA",Tabla1[ALARMA CONTROL PUERPERIO],"&gt;2",Tabla1[ALARMA CONTROL PUERPERIO],"&lt;6"))</f>
        <v>0</v>
      </c>
      <c r="M73" s="142">
        <f>SUM(COUNTIFS(Tabla1[AÑO PARTO],$B$4,Tabla1[MES PARTO],M6,Tabla1[SALE DEL PROGRAMA POR],"PARTO",Tabla1[ALARMA CONTROL PUERPERIO],"&gt;2",Tabla1[ALARMA CONTROL PUERPERIO],"&lt;6"),COUNTIFS(Tabla1[AÑO PARTO],$B$4,Tabla1[MES PARTO],M6,Tabla1[SALE DEL PROGRAMA POR],"CESAREA",Tabla1[ALARMA CONTROL PUERPERIO],"&gt;2",Tabla1[ALARMA CONTROL PUERPERIO],"&lt;6"))</f>
        <v>0</v>
      </c>
      <c r="N73" s="82">
        <f>SUM(B73:M73)</f>
        <v>0</v>
      </c>
    </row>
    <row r="74" spans="1:14" ht="39" customHeight="1" thickBot="1" x14ac:dyDescent="0.3">
      <c r="A74" s="146" t="s">
        <v>702</v>
      </c>
      <c r="B74" s="83" t="str">
        <f t="shared" ref="B74:N74" si="18">IF(B$91=0,"",SUM(B73/B$91))</f>
        <v/>
      </c>
      <c r="C74" s="84">
        <f t="shared" si="18"/>
        <v>0</v>
      </c>
      <c r="D74" s="84">
        <f t="shared" si="18"/>
        <v>0</v>
      </c>
      <c r="E74" s="84">
        <f t="shared" si="18"/>
        <v>0</v>
      </c>
      <c r="F74" s="84">
        <f t="shared" si="18"/>
        <v>0</v>
      </c>
      <c r="G74" s="84">
        <f t="shared" si="18"/>
        <v>0</v>
      </c>
      <c r="H74" s="84">
        <f t="shared" si="18"/>
        <v>0</v>
      </c>
      <c r="I74" s="84">
        <f t="shared" si="18"/>
        <v>0</v>
      </c>
      <c r="J74" s="84" t="str">
        <f t="shared" si="18"/>
        <v/>
      </c>
      <c r="K74" s="84" t="str">
        <f t="shared" si="18"/>
        <v/>
      </c>
      <c r="L74" s="84" t="str">
        <f t="shared" si="18"/>
        <v/>
      </c>
      <c r="M74" s="84" t="str">
        <f t="shared" si="18"/>
        <v/>
      </c>
      <c r="N74" s="147">
        <f t="shared" si="18"/>
        <v>0</v>
      </c>
    </row>
    <row r="75" spans="1:14" ht="39" customHeight="1" thickBot="1" x14ac:dyDescent="0.3">
      <c r="A75" s="53" t="s">
        <v>705</v>
      </c>
      <c r="B75" s="142">
        <f>SUM(COUNTIFS(Tabla1[AÑO PARTO],$B$4,Tabla1[MES PARTO],B6,Tabla1[SALE DEL PROGRAMA POR],"PARTO",Tabla1[ALARMA 1 CONTROL RN],"&gt;2",Tabla1[ALARMA 1 CONTROL RN],"&lt;6"),COUNTIFS(Tabla1[AÑO PARTO],$B$4,Tabla1[MES PARTO],B6,Tabla1[SALE DEL PROGRAMA POR],"CESAREA",Tabla1[ALARMA 1 CONTROL RN],"&gt;2",Tabla1[ALARMA 1 CONTROL RN],"&lt;6"))</f>
        <v>0</v>
      </c>
      <c r="C75" s="142">
        <f>SUM(COUNTIFS(Tabla1[AÑO PARTO],$B$4,Tabla1[MES PARTO],C6,Tabla1[SALE DEL PROGRAMA POR],"PARTO",Tabla1[ALARMA 1 CONTROL RN],"&gt;2",Tabla1[ALARMA 1 CONTROL RN],"&lt;6"),COUNTIFS(Tabla1[AÑO PARTO],$B$4,Tabla1[MES PARTO],C6,Tabla1[SALE DEL PROGRAMA POR],"CESAREA",Tabla1[ALARMA 1 CONTROL RN],"&gt;2",Tabla1[ALARMA 1 CONTROL RN],"&lt;6"))</f>
        <v>0</v>
      </c>
      <c r="D75" s="142">
        <f>SUM(COUNTIFS(Tabla1[AÑO PARTO],$B$4,Tabla1[MES PARTO],D6,Tabla1[SALE DEL PROGRAMA POR],"PARTO",Tabla1[ALARMA 1 CONTROL RN],"&gt;2",Tabla1[ALARMA 1 CONTROL RN],"&lt;6"),COUNTIFS(Tabla1[AÑO PARTO],$B$4,Tabla1[MES PARTO],D6,Tabla1[SALE DEL PROGRAMA POR],"CESAREA",Tabla1[ALARMA 1 CONTROL RN],"&gt;2",Tabla1[ALARMA 1 CONTROL RN],"&lt;6"))</f>
        <v>0</v>
      </c>
      <c r="E75" s="142">
        <f>SUM(COUNTIFS(Tabla1[AÑO PARTO],$B$4,Tabla1[MES PARTO],E6,Tabla1[SALE DEL PROGRAMA POR],"PARTO",Tabla1[ALARMA 1 CONTROL RN],"&gt;2",Tabla1[ALARMA 1 CONTROL RN],"&lt;6"),COUNTIFS(Tabla1[AÑO PARTO],$B$4,Tabla1[MES PARTO],E6,Tabla1[SALE DEL PROGRAMA POR],"CESAREA",Tabla1[ALARMA 1 CONTROL RN],"&gt;2",Tabla1[ALARMA 1 CONTROL RN],"&lt;6"))</f>
        <v>0</v>
      </c>
      <c r="F75" s="142">
        <f>SUM(COUNTIFS(Tabla1[AÑO PARTO],$B$4,Tabla1[MES PARTO],F6,Tabla1[SALE DEL PROGRAMA POR],"PARTO",Tabla1[ALARMA 1 CONTROL RN],"&gt;2",Tabla1[ALARMA 1 CONTROL RN],"&lt;6"),COUNTIFS(Tabla1[AÑO PARTO],$B$4,Tabla1[MES PARTO],F6,Tabla1[SALE DEL PROGRAMA POR],"CESAREA",Tabla1[ALARMA 1 CONTROL RN],"&gt;2",Tabla1[ALARMA 1 CONTROL RN],"&lt;6"))</f>
        <v>0</v>
      </c>
      <c r="G75" s="142">
        <f>SUM(COUNTIFS(Tabla1[AÑO PARTO],$B$4,Tabla1[MES PARTO],G6,Tabla1[SALE DEL PROGRAMA POR],"PARTO",Tabla1[ALARMA 1 CONTROL RN],"&gt;2",Tabla1[ALARMA 1 CONTROL RN],"&lt;6"),COUNTIFS(Tabla1[AÑO PARTO],$B$4,Tabla1[MES PARTO],G6,Tabla1[SALE DEL PROGRAMA POR],"CESAREA",Tabla1[ALARMA 1 CONTROL RN],"&gt;2",Tabla1[ALARMA 1 CONTROL RN],"&lt;6"))</f>
        <v>0</v>
      </c>
      <c r="H75" s="142">
        <f>SUM(COUNTIFS(Tabla1[AÑO PARTO],$B$4,Tabla1[MES PARTO],H6,Tabla1[SALE DEL PROGRAMA POR],"PARTO",Tabla1[ALARMA 1 CONTROL RN],"&gt;2",Tabla1[ALARMA 1 CONTROL RN],"&lt;6"),COUNTIFS(Tabla1[AÑO PARTO],$B$4,Tabla1[MES PARTO],H6,Tabla1[SALE DEL PROGRAMA POR],"CESAREA",Tabla1[ALARMA 1 CONTROL RN],"&gt;2",Tabla1[ALARMA 1 CONTROL RN],"&lt;6"))</f>
        <v>0</v>
      </c>
      <c r="I75" s="142">
        <f>SUM(COUNTIFS(Tabla1[AÑO PARTO],$B$4,Tabla1[MES PARTO],I6,Tabla1[SALE DEL PROGRAMA POR],"PARTO",Tabla1[ALARMA 1 CONTROL RN],"&gt;2",Tabla1[ALARMA 1 CONTROL RN],"&lt;6"),COUNTIFS(Tabla1[AÑO PARTO],$B$4,Tabla1[MES PARTO],I6,Tabla1[SALE DEL PROGRAMA POR],"CESAREA",Tabla1[ALARMA 1 CONTROL RN],"&gt;2",Tabla1[ALARMA 1 CONTROL RN],"&lt;6"))</f>
        <v>0</v>
      </c>
      <c r="J75" s="142">
        <f>SUM(COUNTIFS(Tabla1[AÑO PARTO],$B$4,Tabla1[MES PARTO],J6,Tabla1[SALE DEL PROGRAMA POR],"PARTO",Tabla1[ALARMA 1 CONTROL RN],"&gt;2",Tabla1[ALARMA 1 CONTROL RN],"&lt;6"),COUNTIFS(Tabla1[AÑO PARTO],$B$4,Tabla1[MES PARTO],J6,Tabla1[SALE DEL PROGRAMA POR],"CESAREA",Tabla1[ALARMA 1 CONTROL RN],"&gt;2",Tabla1[ALARMA 1 CONTROL RN],"&lt;6"))</f>
        <v>0</v>
      </c>
      <c r="K75" s="142">
        <f>SUM(COUNTIFS(Tabla1[AÑO PARTO],$B$4,Tabla1[MES PARTO],K6,Tabla1[SALE DEL PROGRAMA POR],"PARTO",Tabla1[ALARMA 1 CONTROL RN],"&gt;2",Tabla1[ALARMA 1 CONTROL RN],"&lt;6"),COUNTIFS(Tabla1[AÑO PARTO],$B$4,Tabla1[MES PARTO],K6,Tabla1[SALE DEL PROGRAMA POR],"CESAREA",Tabla1[ALARMA 1 CONTROL RN],"&gt;2",Tabla1[ALARMA 1 CONTROL RN],"&lt;6"))</f>
        <v>0</v>
      </c>
      <c r="L75" s="142">
        <f>SUM(COUNTIFS(Tabla1[AÑO PARTO],$B$4,Tabla1[MES PARTO],L6,Tabla1[SALE DEL PROGRAMA POR],"PARTO",Tabla1[ALARMA 1 CONTROL RN],"&gt;2",Tabla1[ALARMA 1 CONTROL RN],"&lt;6"),COUNTIFS(Tabla1[AÑO PARTO],$B$4,Tabla1[MES PARTO],L6,Tabla1[SALE DEL PROGRAMA POR],"CESAREA",Tabla1[ALARMA 1 CONTROL RN],"&gt;2",Tabla1[ALARMA 1 CONTROL RN],"&lt;6"))</f>
        <v>0</v>
      </c>
      <c r="M75" s="142">
        <f>SUM(COUNTIFS(Tabla1[AÑO PARTO],$B$4,Tabla1[MES PARTO],M6,Tabla1[SALE DEL PROGRAMA POR],"PARTO",Tabla1[ALARMA 1 CONTROL RN],"&gt;2",Tabla1[ALARMA 1 CONTROL RN],"&lt;6"),COUNTIFS(Tabla1[AÑO PARTO],$B$4,Tabla1[MES PARTO],M6,Tabla1[SALE DEL PROGRAMA POR],"CESAREA",Tabla1[ALARMA 1 CONTROL RN],"&gt;2",Tabla1[ALARMA 1 CONTROL RN],"&lt;6"))</f>
        <v>0</v>
      </c>
      <c r="N75" s="82">
        <f>SUM(B75:M75)</f>
        <v>0</v>
      </c>
    </row>
    <row r="76" spans="1:14" ht="39" customHeight="1" thickBot="1" x14ac:dyDescent="0.3">
      <c r="A76" s="146" t="s">
        <v>704</v>
      </c>
      <c r="B76" s="83" t="str">
        <f t="shared" ref="B76:N76" si="19">IF(B$91=0,"",SUM(B75/B$91))</f>
        <v/>
      </c>
      <c r="C76" s="84">
        <f t="shared" si="19"/>
        <v>0</v>
      </c>
      <c r="D76" s="84">
        <f t="shared" si="19"/>
        <v>0</v>
      </c>
      <c r="E76" s="84">
        <f t="shared" si="19"/>
        <v>0</v>
      </c>
      <c r="F76" s="84">
        <f t="shared" si="19"/>
        <v>0</v>
      </c>
      <c r="G76" s="84">
        <f t="shared" si="19"/>
        <v>0</v>
      </c>
      <c r="H76" s="84">
        <f t="shared" si="19"/>
        <v>0</v>
      </c>
      <c r="I76" s="84">
        <f t="shared" si="19"/>
        <v>0</v>
      </c>
      <c r="J76" s="84" t="str">
        <f t="shared" si="19"/>
        <v/>
      </c>
      <c r="K76" s="84" t="str">
        <f t="shared" si="19"/>
        <v/>
      </c>
      <c r="L76" s="84" t="str">
        <f t="shared" si="19"/>
        <v/>
      </c>
      <c r="M76" s="84" t="str">
        <f t="shared" si="19"/>
        <v/>
      </c>
      <c r="N76" s="147">
        <f t="shared" si="19"/>
        <v>0</v>
      </c>
    </row>
    <row r="77" spans="1:14" ht="39" customHeight="1" thickBot="1" x14ac:dyDescent="0.3">
      <c r="A77" s="53" t="s">
        <v>707</v>
      </c>
      <c r="B77" s="142">
        <f>SUM(COUNTIFS(Tabla1[AÑO PARTO],$B$4,Tabla1[MES PARTO],B6,Tabla1[SALE DEL PROGRAMA POR],"PARTO",Tabla1[Alarma apoyo DPT Acelular vacunadas],"VACUNADA"),COUNTIFS(Tabla1[AÑO PARTO],$B$4,Tabla1[MES PARTO],B6,Tabla1[SALE DEL PROGRAMA POR],"CESAREA",Tabla1[Alarma apoyo DPT Acelular vacunadas],"VACUNADA"))</f>
        <v>0</v>
      </c>
      <c r="C77" s="142">
        <f ca="1">SUM(COUNTIFS(Tabla1[AÑO PARTO],$B$4,Tabla1[MES PARTO],C6,Tabla1[SALE DEL PROGRAMA POR],"PARTO",Tabla1[Alarma apoyo DPT Acelular vacunadas],"VACUNADA"),COUNTIFS(Tabla1[AÑO PARTO],$B$4,Tabla1[MES PARTO],C6,Tabla1[SALE DEL PROGRAMA POR],"CESAREA",Tabla1[Alarma apoyo DPT Acelular vacunadas],"VACUNADA"))</f>
        <v>2</v>
      </c>
      <c r="D77" s="142">
        <f ca="1">SUM(COUNTIFS(Tabla1[AÑO PARTO],$B$4,Tabla1[MES PARTO],D6,Tabla1[SALE DEL PROGRAMA POR],"PARTO",Tabla1[Alarma apoyo DPT Acelular vacunadas],"VACUNADA"),COUNTIFS(Tabla1[AÑO PARTO],$B$4,Tabla1[MES PARTO],D6,Tabla1[SALE DEL PROGRAMA POR],"CESAREA",Tabla1[Alarma apoyo DPT Acelular vacunadas],"VACUNADA"))</f>
        <v>1</v>
      </c>
      <c r="E77" s="142">
        <f ca="1">SUM(COUNTIFS(Tabla1[AÑO PARTO],$B$4,Tabla1[MES PARTO],E6,Tabla1[SALE DEL PROGRAMA POR],"PARTO",Tabla1[Alarma apoyo DPT Acelular vacunadas],"VACUNADA"),COUNTIFS(Tabla1[AÑO PARTO],$B$4,Tabla1[MES PARTO],E6,Tabla1[SALE DEL PROGRAMA POR],"CESAREA",Tabla1[Alarma apoyo DPT Acelular vacunadas],"VACUNADA"))</f>
        <v>5</v>
      </c>
      <c r="F77" s="142">
        <f ca="1">SUM(COUNTIFS(Tabla1[AÑO PARTO],$B$4,Tabla1[MES PARTO],F6,Tabla1[SALE DEL PROGRAMA POR],"PARTO",Tabla1[Alarma apoyo DPT Acelular vacunadas],"VACUNADA"),COUNTIFS(Tabla1[AÑO PARTO],$B$4,Tabla1[MES PARTO],F6,Tabla1[SALE DEL PROGRAMA POR],"CESAREA",Tabla1[Alarma apoyo DPT Acelular vacunadas],"VACUNADA"))</f>
        <v>12</v>
      </c>
      <c r="G77" s="142">
        <f ca="1">SUM(COUNTIFS(Tabla1[AÑO PARTO],$B$4,Tabla1[MES PARTO],G6,Tabla1[SALE DEL PROGRAMA POR],"PARTO",Tabla1[Alarma apoyo DPT Acelular vacunadas],"VACUNADA"),COUNTIFS(Tabla1[AÑO PARTO],$B$4,Tabla1[MES PARTO],G6,Tabla1[SALE DEL PROGRAMA POR],"CESAREA",Tabla1[Alarma apoyo DPT Acelular vacunadas],"VACUNADA"))</f>
        <v>2</v>
      </c>
      <c r="H77" s="142">
        <f ca="1">SUM(COUNTIFS(Tabla1[AÑO PARTO],$B$4,Tabla1[MES PARTO],H6,Tabla1[SALE DEL PROGRAMA POR],"PARTO",Tabla1[Alarma apoyo DPT Acelular vacunadas],"VACUNADA"),COUNTIFS(Tabla1[AÑO PARTO],$B$4,Tabla1[MES PARTO],H6,Tabla1[SALE DEL PROGRAMA POR],"CESAREA",Tabla1[Alarma apoyo DPT Acelular vacunadas],"VACUNADA"))</f>
        <v>5</v>
      </c>
      <c r="I77" s="142">
        <f ca="1">SUM(COUNTIFS(Tabla1[AÑO PARTO],$B$4,Tabla1[MES PARTO],I6,Tabla1[SALE DEL PROGRAMA POR],"PARTO",Tabla1[Alarma apoyo DPT Acelular vacunadas],"VACUNADA"),COUNTIFS(Tabla1[AÑO PARTO],$B$4,Tabla1[MES PARTO],I6,Tabla1[SALE DEL PROGRAMA POR],"CESAREA",Tabla1[Alarma apoyo DPT Acelular vacunadas],"VACUNADA"))</f>
        <v>0</v>
      </c>
      <c r="J77" s="142">
        <f>SUM(COUNTIFS(Tabla1[AÑO PARTO],$B$4,Tabla1[MES PARTO],J6,Tabla1[SALE DEL PROGRAMA POR],"PARTO",Tabla1[Alarma apoyo DPT Acelular vacunadas],"VACUNADA"),COUNTIFS(Tabla1[AÑO PARTO],$B$4,Tabla1[MES PARTO],J6,Tabla1[SALE DEL PROGRAMA POR],"CESAREA",Tabla1[Alarma apoyo DPT Acelular vacunadas],"VACUNADA"))</f>
        <v>0</v>
      </c>
      <c r="K77" s="142">
        <f>SUM(COUNTIFS(Tabla1[AÑO PARTO],$B$4,Tabla1[MES PARTO],K6,Tabla1[SALE DEL PROGRAMA POR],"PARTO",Tabla1[Alarma apoyo DPT Acelular vacunadas],"VACUNADA"),COUNTIFS(Tabla1[AÑO PARTO],$B$4,Tabla1[MES PARTO],K6,Tabla1[SALE DEL PROGRAMA POR],"CESAREA",Tabla1[Alarma apoyo DPT Acelular vacunadas],"VACUNADA"))</f>
        <v>0</v>
      </c>
      <c r="L77" s="142">
        <f>SUM(COUNTIFS(Tabla1[AÑO PARTO],$B$4,Tabla1[MES PARTO],L6,Tabla1[SALE DEL PROGRAMA POR],"PARTO",Tabla1[Alarma apoyo DPT Acelular vacunadas],"VACUNADA"),COUNTIFS(Tabla1[AÑO PARTO],$B$4,Tabla1[MES PARTO],L6,Tabla1[SALE DEL PROGRAMA POR],"CESAREA",Tabla1[Alarma apoyo DPT Acelular vacunadas],"VACUNADA"))</f>
        <v>0</v>
      </c>
      <c r="M77" s="142">
        <f>SUM(COUNTIFS(Tabla1[AÑO PARTO],$B$4,Tabla1[MES PARTO],M6,Tabla1[SALE DEL PROGRAMA POR],"PARTO",Tabla1[Alarma apoyo DPT Acelular vacunadas],"VACUNADA"),COUNTIFS(Tabla1[AÑO PARTO],$B$4,Tabla1[MES PARTO],M6,Tabla1[SALE DEL PROGRAMA POR],"CESAREA",Tabla1[Alarma apoyo DPT Acelular vacunadas],"VACUNADA"))</f>
        <v>0</v>
      </c>
      <c r="N77" s="82">
        <f ca="1">SUM(B77:M77)</f>
        <v>27</v>
      </c>
    </row>
    <row r="78" spans="1:14" ht="39" customHeight="1" thickBot="1" x14ac:dyDescent="0.3">
      <c r="A78" s="146" t="s">
        <v>706</v>
      </c>
      <c r="B78" s="83" t="str">
        <f t="shared" ref="B78:N78" si="20">IF(B$91=0,"",SUM(B77/B$91))</f>
        <v/>
      </c>
      <c r="C78" s="84">
        <f t="shared" ca="1" si="20"/>
        <v>0.66666666666666663</v>
      </c>
      <c r="D78" s="84">
        <f t="shared" ca="1" si="20"/>
        <v>8.3333333333333329E-2</v>
      </c>
      <c r="E78" s="84">
        <f t="shared" ca="1" si="20"/>
        <v>0.29411764705882354</v>
      </c>
      <c r="F78" s="84">
        <f t="shared" ca="1" si="20"/>
        <v>0.38709677419354838</v>
      </c>
      <c r="G78" s="84">
        <f t="shared" ca="1" si="20"/>
        <v>0.15384615384615385</v>
      </c>
      <c r="H78" s="84">
        <f t="shared" ca="1" si="20"/>
        <v>0.35714285714285715</v>
      </c>
      <c r="I78" s="84">
        <f t="shared" ca="1" si="20"/>
        <v>0</v>
      </c>
      <c r="J78" s="84" t="str">
        <f t="shared" si="20"/>
        <v/>
      </c>
      <c r="K78" s="84" t="str">
        <f t="shared" si="20"/>
        <v/>
      </c>
      <c r="L78" s="84" t="str">
        <f t="shared" si="20"/>
        <v/>
      </c>
      <c r="M78" s="84" t="str">
        <f t="shared" si="20"/>
        <v/>
      </c>
      <c r="N78" s="147">
        <f t="shared" ca="1" si="20"/>
        <v>0.29032258064516131</v>
      </c>
    </row>
    <row r="79" spans="1:14" ht="39" customHeight="1" thickBot="1" x14ac:dyDescent="0.3">
      <c r="A79" s="53" t="s">
        <v>709</v>
      </c>
      <c r="B79" s="142">
        <f>SUM(COUNTIFS(Tabla1[AÑO PARTO],$B$4,Tabla1[MES PARTO],B6,Tabla1[SALE DEL PROGRAMA POR],"PARTO",Tabla1[FECHA VACUNA ANTI INFLUENZA],"&lt;&gt;"),COUNTIFS(Tabla1[AÑO PARTO],$B$4,Tabla1[MES PARTO],B6,Tabla1[SALE DEL PROGRAMA POR],"CESAREA",Tabla1[FECHA VACUNA ANTI INFLUENZA],"&lt;&gt;"))</f>
        <v>0</v>
      </c>
      <c r="C79" s="142">
        <f>SUM(COUNTIFS(Tabla1[AÑO PARTO],$B$4,Tabla1[MES PARTO],C6,Tabla1[SALE DEL PROGRAMA POR],"PARTO",Tabla1[FECHA VACUNA ANTI INFLUENZA],"&lt;&gt;"),COUNTIFS(Tabla1[AÑO PARTO],$B$4,Tabla1[MES PARTO],C6,Tabla1[SALE DEL PROGRAMA POR],"CESAREA",Tabla1[FECHA VACUNA ANTI INFLUENZA],"&lt;&gt;"))</f>
        <v>2</v>
      </c>
      <c r="D79" s="142">
        <f>SUM(COUNTIFS(Tabla1[AÑO PARTO],$B$4,Tabla1[MES PARTO],D6,Tabla1[SALE DEL PROGRAMA POR],"PARTO",Tabla1[FECHA VACUNA ANTI INFLUENZA],"&lt;&gt;"),COUNTIFS(Tabla1[AÑO PARTO],$B$4,Tabla1[MES PARTO],D6,Tabla1[SALE DEL PROGRAMA POR],"CESAREA",Tabla1[FECHA VACUNA ANTI INFLUENZA],"&lt;&gt;"))</f>
        <v>2</v>
      </c>
      <c r="E79" s="142">
        <f>SUM(COUNTIFS(Tabla1[AÑO PARTO],$B$4,Tabla1[MES PARTO],E6,Tabla1[SALE DEL PROGRAMA POR],"PARTO",Tabla1[FECHA VACUNA ANTI INFLUENZA],"&lt;&gt;"),COUNTIFS(Tabla1[AÑO PARTO],$B$4,Tabla1[MES PARTO],E6,Tabla1[SALE DEL PROGRAMA POR],"CESAREA",Tabla1[FECHA VACUNA ANTI INFLUENZA],"&lt;&gt;"))</f>
        <v>4</v>
      </c>
      <c r="F79" s="142">
        <f>SUM(COUNTIFS(Tabla1[AÑO PARTO],$B$4,Tabla1[MES PARTO],F6,Tabla1[SALE DEL PROGRAMA POR],"PARTO",Tabla1[FECHA VACUNA ANTI INFLUENZA],"&lt;&gt;"),COUNTIFS(Tabla1[AÑO PARTO],$B$4,Tabla1[MES PARTO],F6,Tabla1[SALE DEL PROGRAMA POR],"CESAREA",Tabla1[FECHA VACUNA ANTI INFLUENZA],"&lt;&gt;"))</f>
        <v>6</v>
      </c>
      <c r="G79" s="142">
        <f>SUM(COUNTIFS(Tabla1[AÑO PARTO],$B$4,Tabla1[MES PARTO],G6,Tabla1[SALE DEL PROGRAMA POR],"PARTO",Tabla1[FECHA VACUNA ANTI INFLUENZA],"&lt;&gt;"),COUNTIFS(Tabla1[AÑO PARTO],$B$4,Tabla1[MES PARTO],G6,Tabla1[SALE DEL PROGRAMA POR],"CESAREA",Tabla1[FECHA VACUNA ANTI INFLUENZA],"&lt;&gt;"))</f>
        <v>3</v>
      </c>
      <c r="H79" s="142">
        <f>SUM(COUNTIFS(Tabla1[AÑO PARTO],$B$4,Tabla1[MES PARTO],H6,Tabla1[SALE DEL PROGRAMA POR],"PARTO",Tabla1[FECHA VACUNA ANTI INFLUENZA],"&lt;&gt;"),COUNTIFS(Tabla1[AÑO PARTO],$B$4,Tabla1[MES PARTO],H6,Tabla1[SALE DEL PROGRAMA POR],"CESAREA",Tabla1[FECHA VACUNA ANTI INFLUENZA],"&lt;&gt;"))</f>
        <v>1</v>
      </c>
      <c r="I79" s="142">
        <f>SUM(COUNTIFS(Tabla1[AÑO PARTO],$B$4,Tabla1[MES PARTO],I6,Tabla1[SALE DEL PROGRAMA POR],"PARTO",Tabla1[FECHA VACUNA ANTI INFLUENZA],"&lt;&gt;"),COUNTIFS(Tabla1[AÑO PARTO],$B$4,Tabla1[MES PARTO],I6,Tabla1[SALE DEL PROGRAMA POR],"CESAREA",Tabla1[FECHA VACUNA ANTI INFLUENZA],"&lt;&gt;"))</f>
        <v>1</v>
      </c>
      <c r="J79" s="142">
        <f>SUM(COUNTIFS(Tabla1[AÑO PARTO],$B$4,Tabla1[MES PARTO],J6,Tabla1[SALE DEL PROGRAMA POR],"PARTO",Tabla1[FECHA VACUNA ANTI INFLUENZA],"&lt;&gt;"),COUNTIFS(Tabla1[AÑO PARTO],$B$4,Tabla1[MES PARTO],J6,Tabla1[SALE DEL PROGRAMA POR],"CESAREA",Tabla1[FECHA VACUNA ANTI INFLUENZA],"&lt;&gt;"))</f>
        <v>0</v>
      </c>
      <c r="K79" s="142">
        <f>SUM(COUNTIFS(Tabla1[AÑO PARTO],$B$4,Tabla1[MES PARTO],K6,Tabla1[SALE DEL PROGRAMA POR],"PARTO",Tabla1[FECHA VACUNA ANTI INFLUENZA],"&lt;&gt;"),COUNTIFS(Tabla1[AÑO PARTO],$B$4,Tabla1[MES PARTO],K6,Tabla1[SALE DEL PROGRAMA POR],"CESAREA",Tabla1[FECHA VACUNA ANTI INFLUENZA],"&lt;&gt;"))</f>
        <v>0</v>
      </c>
      <c r="L79" s="142">
        <f>SUM(COUNTIFS(Tabla1[AÑO PARTO],$B$4,Tabla1[MES PARTO],L6,Tabla1[SALE DEL PROGRAMA POR],"PARTO",Tabla1[FECHA VACUNA ANTI INFLUENZA],"&lt;&gt;"),COUNTIFS(Tabla1[AÑO PARTO],$B$4,Tabla1[MES PARTO],L6,Tabla1[SALE DEL PROGRAMA POR],"CESAREA",Tabla1[FECHA VACUNA ANTI INFLUENZA],"&lt;&gt;"))</f>
        <v>0</v>
      </c>
      <c r="M79" s="142">
        <f>SUM(COUNTIFS(Tabla1[AÑO PARTO],$B$4,Tabla1[MES PARTO],M6,Tabla1[SALE DEL PROGRAMA POR],"PARTO",Tabla1[FECHA VACUNA ANTI INFLUENZA],"&lt;&gt;"),COUNTIFS(Tabla1[AÑO PARTO],$B$4,Tabla1[MES PARTO],M6,Tabla1[SALE DEL PROGRAMA POR],"CESAREA",Tabla1[FECHA VACUNA ANTI INFLUENZA],"&lt;&gt;"))</f>
        <v>0</v>
      </c>
      <c r="N79" s="82">
        <f>SUM(B79:M79)</f>
        <v>19</v>
      </c>
    </row>
    <row r="80" spans="1:14" ht="39" customHeight="1" thickBot="1" x14ac:dyDescent="0.3">
      <c r="A80" s="146" t="s">
        <v>710</v>
      </c>
      <c r="B80" s="83" t="str">
        <f t="shared" ref="B80:N80" si="21">IF(B$91=0,"",SUM(B79/B$91))</f>
        <v/>
      </c>
      <c r="C80" s="84">
        <f t="shared" si="21"/>
        <v>0.66666666666666663</v>
      </c>
      <c r="D80" s="84">
        <f t="shared" si="21"/>
        <v>0.16666666666666666</v>
      </c>
      <c r="E80" s="84">
        <f t="shared" si="21"/>
        <v>0.23529411764705882</v>
      </c>
      <c r="F80" s="84">
        <f t="shared" si="21"/>
        <v>0.19354838709677419</v>
      </c>
      <c r="G80" s="84">
        <f t="shared" si="21"/>
        <v>0.23076923076923078</v>
      </c>
      <c r="H80" s="84">
        <f t="shared" si="21"/>
        <v>7.1428571428571425E-2</v>
      </c>
      <c r="I80" s="84">
        <f t="shared" si="21"/>
        <v>0.33333333333333331</v>
      </c>
      <c r="J80" s="84" t="str">
        <f t="shared" si="21"/>
        <v/>
      </c>
      <c r="K80" s="84" t="str">
        <f t="shared" si="21"/>
        <v/>
      </c>
      <c r="L80" s="84" t="str">
        <f t="shared" si="21"/>
        <v/>
      </c>
      <c r="M80" s="84" t="str">
        <f t="shared" si="21"/>
        <v/>
      </c>
      <c r="N80" s="147">
        <f t="shared" si="21"/>
        <v>0.20430107526881722</v>
      </c>
    </row>
    <row r="81" spans="1:14" ht="39" customHeight="1" thickBot="1" x14ac:dyDescent="0.3">
      <c r="A81" s="53" t="s">
        <v>711</v>
      </c>
      <c r="B81" s="142">
        <f>SUM(COUNTIFS(Tabla1[AÑO PARTO],$B$4,Tabla1[MES PARTO],B6,Tabla1[SALE DEL PROGRAMA POR],"PARTO",Tabla1[VACUNACION COVID19],"2 Dosis"),COUNTIFS(Tabla1[AÑO PARTO],$B$4,Tabla1[MES PARTO],B6,Tabla1[SALE DEL PROGRAMA POR],"CESAREA",Tabla1[VACUNACION COVID19],"2 Dosis"))</f>
        <v>0</v>
      </c>
      <c r="C81" s="142">
        <f>SUM(COUNTIFS(Tabla1[AÑO PARTO],$B$4,Tabla1[MES PARTO],C6,Tabla1[SALE DEL PROGRAMA POR],"PARTO",Tabla1[VACUNACION COVID19],"2 Dosis"),COUNTIFS(Tabla1[AÑO PARTO],$B$4,Tabla1[MES PARTO],C6,Tabla1[SALE DEL PROGRAMA POR],"CESAREA",Tabla1[VACUNACION COVID19],"2 Dosis"))</f>
        <v>0</v>
      </c>
      <c r="D81" s="142">
        <f>SUM(COUNTIFS(Tabla1[AÑO PARTO],$B$4,Tabla1[MES PARTO],D6,Tabla1[SALE DEL PROGRAMA POR],"PARTO",Tabla1[VACUNACION COVID19],"2 Dosis"),COUNTIFS(Tabla1[AÑO PARTO],$B$4,Tabla1[MES PARTO],D6,Tabla1[SALE DEL PROGRAMA POR],"CESAREA",Tabla1[VACUNACION COVID19],"2 Dosis"))</f>
        <v>0</v>
      </c>
      <c r="E81" s="142">
        <f>SUM(COUNTIFS(Tabla1[AÑO PARTO],$B$4,Tabla1[MES PARTO],E6,Tabla1[SALE DEL PROGRAMA POR],"PARTO",Tabla1[VACUNACION COVID19],"2 Dosis"),COUNTIFS(Tabla1[AÑO PARTO],$B$4,Tabla1[MES PARTO],E6,Tabla1[SALE DEL PROGRAMA POR],"CESAREA",Tabla1[VACUNACION COVID19],"2 Dosis"))</f>
        <v>0</v>
      </c>
      <c r="F81" s="142">
        <f>SUM(COUNTIFS(Tabla1[AÑO PARTO],$B$4,Tabla1[MES PARTO],F6,Tabla1[SALE DEL PROGRAMA POR],"PARTO",Tabla1[VACUNACION COVID19],"2 Dosis"),COUNTIFS(Tabla1[AÑO PARTO],$B$4,Tabla1[MES PARTO],F6,Tabla1[SALE DEL PROGRAMA POR],"CESAREA",Tabla1[VACUNACION COVID19],"2 Dosis"))</f>
        <v>0</v>
      </c>
      <c r="G81" s="142">
        <f>SUM(COUNTIFS(Tabla1[AÑO PARTO],$B$4,Tabla1[MES PARTO],G6,Tabla1[SALE DEL PROGRAMA POR],"PARTO",Tabla1[VACUNACION COVID19],"2 Dosis"),COUNTIFS(Tabla1[AÑO PARTO],$B$4,Tabla1[MES PARTO],G6,Tabla1[SALE DEL PROGRAMA POR],"CESAREA",Tabla1[VACUNACION COVID19],"2 Dosis"))</f>
        <v>0</v>
      </c>
      <c r="H81" s="142">
        <f>SUM(COUNTIFS(Tabla1[AÑO PARTO],$B$4,Tabla1[MES PARTO],H6,Tabla1[SALE DEL PROGRAMA POR],"PARTO",Tabla1[VACUNACION COVID19],"2 Dosis"),COUNTIFS(Tabla1[AÑO PARTO],$B$4,Tabla1[MES PARTO],H6,Tabla1[SALE DEL PROGRAMA POR],"CESAREA",Tabla1[VACUNACION COVID19],"2 Dosis"))</f>
        <v>0</v>
      </c>
      <c r="I81" s="142">
        <f>SUM(COUNTIFS(Tabla1[AÑO PARTO],$B$4,Tabla1[MES PARTO],I6,Tabla1[SALE DEL PROGRAMA POR],"PARTO",Tabla1[VACUNACION COVID19],"2 Dosis"),COUNTIFS(Tabla1[AÑO PARTO],$B$4,Tabla1[MES PARTO],I6,Tabla1[SALE DEL PROGRAMA POR],"CESAREA",Tabla1[VACUNACION COVID19],"2 Dosis"))</f>
        <v>0</v>
      </c>
      <c r="J81" s="142">
        <f>SUM(COUNTIFS(Tabla1[AÑO PARTO],$B$4,Tabla1[MES PARTO],J6,Tabla1[SALE DEL PROGRAMA POR],"PARTO",Tabla1[VACUNACION COVID19],"2 Dosis"),COUNTIFS(Tabla1[AÑO PARTO],$B$4,Tabla1[MES PARTO],J6,Tabla1[SALE DEL PROGRAMA POR],"CESAREA",Tabla1[VACUNACION COVID19],"2 Dosis"))</f>
        <v>0</v>
      </c>
      <c r="K81" s="142">
        <f>SUM(COUNTIFS(Tabla1[AÑO PARTO],$B$4,Tabla1[MES PARTO],K6,Tabla1[SALE DEL PROGRAMA POR],"PARTO",Tabla1[VACUNACION COVID19],"2 Dosis"),COUNTIFS(Tabla1[AÑO PARTO],$B$4,Tabla1[MES PARTO],K6,Tabla1[SALE DEL PROGRAMA POR],"CESAREA",Tabla1[VACUNACION COVID19],"2 Dosis"))</f>
        <v>0</v>
      </c>
      <c r="L81" s="142">
        <f>SUM(COUNTIFS(Tabla1[AÑO PARTO],$B$4,Tabla1[MES PARTO],L6,Tabla1[SALE DEL PROGRAMA POR],"PARTO",Tabla1[VACUNACION COVID19],"2 Dosis"),COUNTIFS(Tabla1[AÑO PARTO],$B$4,Tabla1[MES PARTO],L6,Tabla1[SALE DEL PROGRAMA POR],"CESAREA",Tabla1[VACUNACION COVID19],"2 Dosis"))</f>
        <v>0</v>
      </c>
      <c r="M81" s="142">
        <f>SUM(COUNTIFS(Tabla1[AÑO PARTO],$B$4,Tabla1[MES PARTO],M6,Tabla1[SALE DEL PROGRAMA POR],"PARTO",Tabla1[VACUNACION COVID19],"2 Dosis"),COUNTIFS(Tabla1[AÑO PARTO],$B$4,Tabla1[MES PARTO],M6,Tabla1[SALE DEL PROGRAMA POR],"CESAREA",Tabla1[VACUNACION COVID19],"2 Dosis"))</f>
        <v>0</v>
      </c>
      <c r="N81" s="82">
        <f>SUM(B81:M81)</f>
        <v>0</v>
      </c>
    </row>
    <row r="82" spans="1:14" ht="39" customHeight="1" thickBot="1" x14ac:dyDescent="0.3">
      <c r="A82" s="146" t="s">
        <v>712</v>
      </c>
      <c r="B82" s="83" t="str">
        <f t="shared" ref="B82:N82" si="22">IF(B$91=0,"",SUM(B81/B$91))</f>
        <v/>
      </c>
      <c r="C82" s="84">
        <f t="shared" si="22"/>
        <v>0</v>
      </c>
      <c r="D82" s="84">
        <f t="shared" si="22"/>
        <v>0</v>
      </c>
      <c r="E82" s="84">
        <f t="shared" si="22"/>
        <v>0</v>
      </c>
      <c r="F82" s="84">
        <f t="shared" si="22"/>
        <v>0</v>
      </c>
      <c r="G82" s="84">
        <f t="shared" si="22"/>
        <v>0</v>
      </c>
      <c r="H82" s="84">
        <f t="shared" si="22"/>
        <v>0</v>
      </c>
      <c r="I82" s="84">
        <f t="shared" si="22"/>
        <v>0</v>
      </c>
      <c r="J82" s="84" t="str">
        <f t="shared" si="22"/>
        <v/>
      </c>
      <c r="K82" s="84" t="str">
        <f t="shared" si="22"/>
        <v/>
      </c>
      <c r="L82" s="84" t="str">
        <f t="shared" si="22"/>
        <v/>
      </c>
      <c r="M82" s="84" t="str">
        <f t="shared" si="22"/>
        <v/>
      </c>
      <c r="N82" s="147">
        <f t="shared" si="22"/>
        <v>0</v>
      </c>
    </row>
    <row r="83" spans="1:14" ht="39" customHeight="1" thickBot="1" x14ac:dyDescent="0.3">
      <c r="A83" s="53" t="s">
        <v>713</v>
      </c>
      <c r="B83" s="142">
        <f>SUM(COUNTIFS(Tabla1[AÑO PARTO],$B$4,Tabla1[MES PARTO],B6,Tabla1[SALE DEL PROGRAMA POR],"PARTO",Tabla1[FECHA VACUNA TD],"&lt;&gt;"),COUNTIFS(Tabla1[AÑO PARTO],$B$4,Tabla1[MES PARTO],B6,Tabla1[SALE DEL PROGRAMA POR],"CESAREA",Tabla1[FECHA VACUNA TD],"&lt;&gt;"))</f>
        <v>0</v>
      </c>
      <c r="C83" s="142">
        <f>SUM(COUNTIFS(Tabla1[AÑO PARTO],$B$4,Tabla1[MES PARTO],C6,Tabla1[SALE DEL PROGRAMA POR],"PARTO",Tabla1[FECHA VACUNA TD],"&lt;&gt;"),COUNTIFS(Tabla1[AÑO PARTO],$B$4,Tabla1[MES PARTO],C6,Tabla1[SALE DEL PROGRAMA POR],"CESAREA",Tabla1[FECHA VACUNA TD],"&lt;&gt;"))</f>
        <v>0</v>
      </c>
      <c r="D83" s="142">
        <f>SUM(COUNTIFS(Tabla1[AÑO PARTO],$B$4,Tabla1[MES PARTO],D6,Tabla1[SALE DEL PROGRAMA POR],"PARTO",Tabla1[FECHA VACUNA TD],"&lt;&gt;"),COUNTIFS(Tabla1[AÑO PARTO],$B$4,Tabla1[MES PARTO],D6,Tabla1[SALE DEL PROGRAMA POR],"CESAREA",Tabla1[FECHA VACUNA TD],"&lt;&gt;"))</f>
        <v>0</v>
      </c>
      <c r="E83" s="142">
        <f>SUM(COUNTIFS(Tabla1[AÑO PARTO],$B$4,Tabla1[MES PARTO],E6,Tabla1[SALE DEL PROGRAMA POR],"PARTO",Tabla1[FECHA VACUNA TD],"&lt;&gt;"),COUNTIFS(Tabla1[AÑO PARTO],$B$4,Tabla1[MES PARTO],E6,Tabla1[SALE DEL PROGRAMA POR],"CESAREA",Tabla1[FECHA VACUNA TD],"&lt;&gt;"))</f>
        <v>0</v>
      </c>
      <c r="F83" s="142">
        <f>SUM(COUNTIFS(Tabla1[AÑO PARTO],$B$4,Tabla1[MES PARTO],F6,Tabla1[SALE DEL PROGRAMA POR],"PARTO",Tabla1[FECHA VACUNA TD],"&lt;&gt;"),COUNTIFS(Tabla1[AÑO PARTO],$B$4,Tabla1[MES PARTO],F6,Tabla1[SALE DEL PROGRAMA POR],"CESAREA",Tabla1[FECHA VACUNA TD],"&lt;&gt;"))</f>
        <v>0</v>
      </c>
      <c r="G83" s="142">
        <f>SUM(COUNTIFS(Tabla1[AÑO PARTO],$B$4,Tabla1[MES PARTO],G6,Tabla1[SALE DEL PROGRAMA POR],"PARTO",Tabla1[FECHA VACUNA TD],"&lt;&gt;"),COUNTIFS(Tabla1[AÑO PARTO],$B$4,Tabla1[MES PARTO],G6,Tabla1[SALE DEL PROGRAMA POR],"CESAREA",Tabla1[FECHA VACUNA TD],"&lt;&gt;"))</f>
        <v>0</v>
      </c>
      <c r="H83" s="142">
        <f>SUM(COUNTIFS(Tabla1[AÑO PARTO],$B$4,Tabla1[MES PARTO],H6,Tabla1[SALE DEL PROGRAMA POR],"PARTO",Tabla1[FECHA VACUNA TD],"&lt;&gt;"),COUNTIFS(Tabla1[AÑO PARTO],$B$4,Tabla1[MES PARTO],H6,Tabla1[SALE DEL PROGRAMA POR],"CESAREA",Tabla1[FECHA VACUNA TD],"&lt;&gt;"))</f>
        <v>0</v>
      </c>
      <c r="I83" s="142">
        <f>SUM(COUNTIFS(Tabla1[AÑO PARTO],$B$4,Tabla1[MES PARTO],I6,Tabla1[SALE DEL PROGRAMA POR],"PARTO",Tabla1[FECHA VACUNA TD],"&lt;&gt;"),COUNTIFS(Tabla1[AÑO PARTO],$B$4,Tabla1[MES PARTO],I6,Tabla1[SALE DEL PROGRAMA POR],"CESAREA",Tabla1[FECHA VACUNA TD],"&lt;&gt;"))</f>
        <v>0</v>
      </c>
      <c r="J83" s="142">
        <f>SUM(COUNTIFS(Tabla1[AÑO PARTO],$B$4,Tabla1[MES PARTO],J6,Tabla1[SALE DEL PROGRAMA POR],"PARTO",Tabla1[FECHA VACUNA TD],"&lt;&gt;"),COUNTIFS(Tabla1[AÑO PARTO],$B$4,Tabla1[MES PARTO],J6,Tabla1[SALE DEL PROGRAMA POR],"CESAREA",Tabla1[FECHA VACUNA TD],"&lt;&gt;"))</f>
        <v>0</v>
      </c>
      <c r="K83" s="142">
        <f>SUM(COUNTIFS(Tabla1[AÑO PARTO],$B$4,Tabla1[MES PARTO],K6,Tabla1[SALE DEL PROGRAMA POR],"PARTO",Tabla1[FECHA VACUNA TD],"&lt;&gt;"),COUNTIFS(Tabla1[AÑO PARTO],$B$4,Tabla1[MES PARTO],K6,Tabla1[SALE DEL PROGRAMA POR],"CESAREA",Tabla1[FECHA VACUNA TD],"&lt;&gt;"))</f>
        <v>0</v>
      </c>
      <c r="L83" s="142">
        <f>SUM(COUNTIFS(Tabla1[AÑO PARTO],$B$4,Tabla1[MES PARTO],L6,Tabla1[SALE DEL PROGRAMA POR],"PARTO",Tabla1[FECHA VACUNA TD],"&lt;&gt;"),COUNTIFS(Tabla1[AÑO PARTO],$B$4,Tabla1[MES PARTO],L6,Tabla1[SALE DEL PROGRAMA POR],"CESAREA",Tabla1[FECHA VACUNA TD],"&lt;&gt;"))</f>
        <v>0</v>
      </c>
      <c r="M83" s="142">
        <f>SUM(COUNTIFS(Tabla1[AÑO PARTO],$B$4,Tabla1[MES PARTO],M6,Tabla1[SALE DEL PROGRAMA POR],"PARTO",Tabla1[FECHA VACUNA TD],"&lt;&gt;"),COUNTIFS(Tabla1[AÑO PARTO],$B$4,Tabla1[MES PARTO],M6,Tabla1[SALE DEL PROGRAMA POR],"CESAREA",Tabla1[FECHA VACUNA TD],"&lt;&gt;"))</f>
        <v>0</v>
      </c>
      <c r="N83" s="82">
        <f>SUM(B83:M83)</f>
        <v>0</v>
      </c>
    </row>
    <row r="84" spans="1:14" ht="39" customHeight="1" thickBot="1" x14ac:dyDescent="0.3">
      <c r="A84" s="146" t="s">
        <v>714</v>
      </c>
      <c r="B84" s="83" t="str">
        <f t="shared" ref="B84:N84" si="23">IF(B$91=0,"",SUM(B83/B$91))</f>
        <v/>
      </c>
      <c r="C84" s="84">
        <f t="shared" si="23"/>
        <v>0</v>
      </c>
      <c r="D84" s="84">
        <f t="shared" si="23"/>
        <v>0</v>
      </c>
      <c r="E84" s="84">
        <f t="shared" si="23"/>
        <v>0</v>
      </c>
      <c r="F84" s="84">
        <f t="shared" si="23"/>
        <v>0</v>
      </c>
      <c r="G84" s="84">
        <f t="shared" si="23"/>
        <v>0</v>
      </c>
      <c r="H84" s="84">
        <f t="shared" si="23"/>
        <v>0</v>
      </c>
      <c r="I84" s="84">
        <f t="shared" si="23"/>
        <v>0</v>
      </c>
      <c r="J84" s="84" t="str">
        <f t="shared" si="23"/>
        <v/>
      </c>
      <c r="K84" s="84" t="str">
        <f t="shared" si="23"/>
        <v/>
      </c>
      <c r="L84" s="84" t="str">
        <f t="shared" si="23"/>
        <v/>
      </c>
      <c r="M84" s="84" t="str">
        <f t="shared" si="23"/>
        <v/>
      </c>
      <c r="N84" s="147">
        <f t="shared" si="23"/>
        <v>0</v>
      </c>
    </row>
    <row r="85" spans="1:14" ht="31.5" customHeight="1" thickBot="1" x14ac:dyDescent="0.3">
      <c r="A85" s="42" t="s">
        <v>370</v>
      </c>
      <c r="B85" s="68">
        <f>COUNTIFS(Tabla1[AÑO3 INGRESO CPN],B4,Tabla1[MES2 INGRESO CPN],B6,Tabla1[AÑOS AL INICIO5 CPN],"&gt;0",Tabla1[AÑOS AL INICIO5 CPN],"&lt;19")</f>
        <v>5</v>
      </c>
      <c r="C85" s="68">
        <f>COUNTIFS(Tabla1[AÑO3 INGRESO CPN],B4,Tabla1[MES2 INGRESO CPN],C6,Tabla1[AÑOS AL INICIO5 CPN],"&gt;0",Tabla1[AÑOS AL INICIO5 CPN],"&lt;19")</f>
        <v>8</v>
      </c>
      <c r="D85" s="68">
        <f>COUNTIFS(Tabla1[AÑO3 INGRESO CPN],B4,Tabla1[MES2 INGRESO CPN],D6,Tabla1[AÑOS AL INICIO5 CPN],"&gt;0",Tabla1[AÑOS AL INICIO5 CPN],"&lt;19")</f>
        <v>6</v>
      </c>
      <c r="E85" s="68">
        <f>COUNTIFS(Tabla1[AÑO3 INGRESO CPN],B4,Tabla1[MES2 INGRESO CPN],E6,Tabla1[AÑOS AL INICIO5 CPN],"&gt;0",Tabla1[AÑOS AL INICIO5 CPN],"&lt;19")</f>
        <v>7</v>
      </c>
      <c r="F85" s="68">
        <f>COUNTIFS(Tabla1[AÑO3 INGRESO CPN],B4,Tabla1[MES2 INGRESO CPN],F6,Tabla1[AÑOS AL INICIO5 CPN],"&gt;0",Tabla1[AÑOS AL INICIO5 CPN],"&lt;19")</f>
        <v>2</v>
      </c>
      <c r="G85" s="68">
        <f>COUNTIFS(Tabla1[AÑO3 INGRESO CPN],B4,Tabla1[MES2 INGRESO CPN],G6,Tabla1[AÑOS AL INICIO5 CPN],"&gt;0",Tabla1[AÑOS AL INICIO5 CPN],"&lt;19")</f>
        <v>3</v>
      </c>
      <c r="H85" s="68">
        <f>COUNTIFS(Tabla1[AÑO3 INGRESO CPN],B4,Tabla1[MES2 INGRESO CPN],H6,Tabla1[AÑOS AL INICIO5 CPN],"&gt;0",Tabla1[AÑOS AL INICIO5 CPN],"&lt;19")</f>
        <v>5</v>
      </c>
      <c r="I85" s="68">
        <f>COUNTIFS(Tabla1[AÑO3 INGRESO CPN],B4,Tabla1[MES2 INGRESO CPN],I6,Tabla1[AÑOS AL INICIO5 CPN],"&gt;0",Tabla1[AÑOS AL INICIO5 CPN],"&lt;19")</f>
        <v>3</v>
      </c>
      <c r="J85" s="68">
        <f>COUNTIFS(Tabla1[AÑO3 INGRESO CPN],B4,Tabla1[MES2 INGRESO CPN],J6,Tabla1[AÑOS AL INICIO5 CPN],"&gt;0",Tabla1[AÑOS AL INICIO5 CPN],"&lt;19")</f>
        <v>0</v>
      </c>
      <c r="K85" s="68">
        <f>COUNTIFS(Tabla1[AÑO3 INGRESO CPN],B4,Tabla1[MES2 INGRESO CPN],K6,Tabla1[AÑOS AL INICIO5 CPN],"&gt;0",Tabla1[AÑOS AL INICIO5 CPN],"&lt;19")</f>
        <v>0</v>
      </c>
      <c r="L85" s="68">
        <f>COUNTIFS(Tabla1[AÑO3 INGRESO CPN],B4,Tabla1[MES2 INGRESO CPN],L6,Tabla1[AÑOS AL INICIO5 CPN],"&gt;0",Tabla1[AÑOS AL INICIO5 CPN],"&lt;19")</f>
        <v>0</v>
      </c>
      <c r="M85" s="68">
        <f>COUNTIFS(Tabla1[AÑO3 INGRESO CPN],B4,Tabla1[MES2 INGRESO CPN],M6,Tabla1[AÑOS AL INICIO5 CPN],"&gt;0",Tabla1[AÑOS AL INICIO5 CPN],"&lt;19")</f>
        <v>0</v>
      </c>
      <c r="N85" s="92">
        <f>SUM(B85:M85)</f>
        <v>39</v>
      </c>
    </row>
    <row r="86" spans="1:14" ht="31.5" customHeight="1" thickBot="1" x14ac:dyDescent="0.3">
      <c r="A86" s="41" t="s">
        <v>371</v>
      </c>
      <c r="B86" s="83">
        <f>IF($B$40=0,"",SUM(B85/$B$40))</f>
        <v>0.38461538461538464</v>
      </c>
      <c r="C86" s="84">
        <f t="shared" ref="C86:N86" si="24">IF(C40=0,"",SUM(C85/C40))</f>
        <v>0.27586206896551724</v>
      </c>
      <c r="D86" s="84">
        <f t="shared" si="24"/>
        <v>0.18181818181818182</v>
      </c>
      <c r="E86" s="84">
        <f t="shared" si="24"/>
        <v>0.35</v>
      </c>
      <c r="F86" s="84">
        <f t="shared" si="24"/>
        <v>0.1</v>
      </c>
      <c r="G86" s="84">
        <f t="shared" si="24"/>
        <v>0.375</v>
      </c>
      <c r="H86" s="84">
        <f t="shared" si="24"/>
        <v>0.22727272727272727</v>
      </c>
      <c r="I86" s="84">
        <f t="shared" si="24"/>
        <v>0.16666666666666666</v>
      </c>
      <c r="J86" s="84" t="str">
        <f t="shared" si="24"/>
        <v/>
      </c>
      <c r="K86" s="84" t="str">
        <f t="shared" si="24"/>
        <v/>
      </c>
      <c r="L86" s="84" t="str">
        <f t="shared" si="24"/>
        <v/>
      </c>
      <c r="M86" s="84" t="str">
        <f t="shared" si="24"/>
        <v/>
      </c>
      <c r="N86" s="85">
        <f t="shared" si="24"/>
        <v>0.2392638036809816</v>
      </c>
    </row>
    <row r="87" spans="1:14" ht="31.5" customHeight="1" thickBot="1" x14ac:dyDescent="0.3">
      <c r="A87" s="42" t="s">
        <v>372</v>
      </c>
      <c r="B87" s="68">
        <f>COUNTIFS(Tabla1[AÑO3 INGRESO CPN],B4,Tabla1[MES2 INGRESO CPN],B6,Tabla1[AÑOS AL INICIO5 CPN],"&gt;0",Tabla1[AÑOS AL INICIO5 CPN],"&lt;14")</f>
        <v>1</v>
      </c>
      <c r="C87" s="68">
        <f>COUNTIFS(Tabla1[AÑO3 INGRESO CPN],B4,Tabla1[MES2 INGRESO CPN],C6,Tabla1[AÑOS AL INICIO5 CPN],"&gt;0",Tabla1[AÑOS AL INICIO5 CPN],"&lt;14")</f>
        <v>0</v>
      </c>
      <c r="D87" s="68">
        <f>COUNTIFS(Tabla1[AÑO3 INGRESO CPN],B4,Tabla1[MES2 INGRESO CPN],D6,Tabla1[AÑOS AL INICIO5 CPN],"&gt;0",Tabla1[AÑOS AL INICIO5 CPN],"&lt;14")</f>
        <v>0</v>
      </c>
      <c r="E87" s="68">
        <f>COUNTIFS(Tabla1[AÑO3 INGRESO CPN],B4,Tabla1[MES2 INGRESO CPN],E6,Tabla1[AÑOS AL INICIO5 CPN],"&gt;0",Tabla1[AÑOS AL INICIO5 CPN],"&lt;14")</f>
        <v>0</v>
      </c>
      <c r="F87" s="68">
        <f>COUNTIFS(Tabla1[AÑO3 INGRESO CPN],B4,Tabla1[MES2 INGRESO CPN],F6,Tabla1[AÑOS AL INICIO5 CPN],"&gt;0",Tabla1[AÑOS AL INICIO5 CPN],"&lt;14")</f>
        <v>0</v>
      </c>
      <c r="G87" s="68">
        <f>COUNTIFS(Tabla1[AÑO3 INGRESO CPN],B4,Tabla1[MES2 INGRESO CPN],G6,Tabla1[AÑOS AL INICIO5 CPN],"&gt;0",Tabla1[AÑOS AL INICIO5 CPN],"&lt;14")</f>
        <v>0</v>
      </c>
      <c r="H87" s="68">
        <f>COUNTIFS(Tabla1[AÑO3 INGRESO CPN],B4,Tabla1[MES2 INGRESO CPN],H6,Tabla1[AÑOS AL INICIO5 CPN],"&gt;0",Tabla1[AÑOS AL INICIO5 CPN],"&lt;14")</f>
        <v>1</v>
      </c>
      <c r="I87" s="68">
        <f>COUNTIFS(Tabla1[AÑO3 INGRESO CPN],B4,Tabla1[MES2 INGRESO CPN],I6,Tabla1[AÑOS AL INICIO5 CPN],"&gt;0",Tabla1[AÑOS AL INICIO5 CPN],"&lt;14")</f>
        <v>1</v>
      </c>
      <c r="J87" s="68">
        <f>COUNTIFS(Tabla1[AÑO3 INGRESO CPN],B4,Tabla1[MES2 INGRESO CPN],J6,Tabla1[AÑOS AL INICIO5 CPN],"&gt;0",Tabla1[AÑOS AL INICIO5 CPN],"&lt;14")</f>
        <v>0</v>
      </c>
      <c r="K87" s="68">
        <f>COUNTIFS(Tabla1[AÑO3 INGRESO CPN],B4,Tabla1[MES2 INGRESO CPN],K6,Tabla1[AÑOS AL INICIO5 CPN],"&gt;0",Tabla1[AÑOS AL INICIO5 CPN],"&lt;14")</f>
        <v>0</v>
      </c>
      <c r="L87" s="68">
        <f>COUNTIFS(Tabla1[AÑO3 INGRESO CPN],B4,Tabla1[MES2 INGRESO CPN],L6,Tabla1[AÑOS AL INICIO5 CPN],"&gt;0",Tabla1[AÑOS AL INICIO5 CPN],"&lt;14")</f>
        <v>0</v>
      </c>
      <c r="M87" s="68">
        <f>COUNTIFS(Tabla1[AÑO3 INGRESO CPN],B4,Tabla1[MES2 INGRESO CPN],M6,Tabla1[AÑOS AL INICIO5 CPN],"&gt;0",Tabla1[AÑOS AL INICIO5 CPN],"&lt;14")</f>
        <v>0</v>
      </c>
      <c r="N87" s="92">
        <f>SUM(B87:M87)</f>
        <v>3</v>
      </c>
    </row>
    <row r="88" spans="1:14" ht="31.5" customHeight="1" thickBot="1" x14ac:dyDescent="0.3">
      <c r="A88" s="41" t="s">
        <v>373</v>
      </c>
      <c r="B88" s="83">
        <f>IF(B$40=0,"",SUM(B87/B$40))</f>
        <v>7.6923076923076927E-2</v>
      </c>
      <c r="C88" s="84">
        <f>IF(C$40=0,"",SUM(C87/C$40))</f>
        <v>0</v>
      </c>
      <c r="D88" s="84">
        <f t="shared" ref="D88:N88" si="25">IF(D$40=0,"",SUM(D87/D$40))</f>
        <v>0</v>
      </c>
      <c r="E88" s="84">
        <f t="shared" si="25"/>
        <v>0</v>
      </c>
      <c r="F88" s="84">
        <f t="shared" si="25"/>
        <v>0</v>
      </c>
      <c r="G88" s="84">
        <f t="shared" si="25"/>
        <v>0</v>
      </c>
      <c r="H88" s="84">
        <f t="shared" si="25"/>
        <v>4.5454545454545456E-2</v>
      </c>
      <c r="I88" s="84">
        <f t="shared" si="25"/>
        <v>5.5555555555555552E-2</v>
      </c>
      <c r="J88" s="84" t="str">
        <f>IF(J$40=0,"",SUM(J87/J$40))</f>
        <v/>
      </c>
      <c r="K88" s="84" t="str">
        <f t="shared" si="25"/>
        <v/>
      </c>
      <c r="L88" s="84" t="str">
        <f t="shared" si="25"/>
        <v/>
      </c>
      <c r="M88" s="84" t="str">
        <f t="shared" si="25"/>
        <v/>
      </c>
      <c r="N88" s="85">
        <f t="shared" si="25"/>
        <v>1.8404907975460124E-2</v>
      </c>
    </row>
    <row r="89" spans="1:14" ht="31.5" customHeight="1" x14ac:dyDescent="0.25">
      <c r="A89" s="93" t="s">
        <v>726</v>
      </c>
      <c r="B89" s="81">
        <f>COUNTIFS(Tabla1[AÑO PARTO],B4,Tabla1[MES PARTO],B6,Tabla1[SALE DEL PROGRAMA POR],"PARTO")</f>
        <v>0</v>
      </c>
      <c r="C89" s="81">
        <f>COUNTIFS(Tabla1[AÑO PARTO],B4,Tabla1[MES PARTO],C6,Tabla1[SALE DEL PROGRAMA POR],"PARTO")</f>
        <v>2</v>
      </c>
      <c r="D89" s="81">
        <f>COUNTIFS(Tabla1[AÑO PARTO],B4,Tabla1[MES PARTO],D6,Tabla1[SALE DEL PROGRAMA POR],"PARTO")</f>
        <v>11</v>
      </c>
      <c r="E89" s="81">
        <f>COUNTIFS(Tabla1[AÑO PARTO],B4,Tabla1[MES PARTO],E6,Tabla1[SALE DEL PROGRAMA POR],"PARTO")</f>
        <v>13</v>
      </c>
      <c r="F89" s="81">
        <f>COUNTIFS(Tabla1[AÑO PARTO],B4,Tabla1[MES PARTO],F6,Tabla1[SALE DEL PROGRAMA POR],"PARTO")</f>
        <v>27</v>
      </c>
      <c r="G89" s="81">
        <f>COUNTIFS(Tabla1[AÑO PARTO],B4,Tabla1[MES PARTO],G6,Tabla1[SALE DEL PROGRAMA POR],"PARTO")</f>
        <v>11</v>
      </c>
      <c r="H89" s="81">
        <f>COUNTIFS(Tabla1[AÑO PARTO],B4,Tabla1[MES PARTO],H6,Tabla1[SALE DEL PROGRAMA POR],"PARTO")</f>
        <v>11</v>
      </c>
      <c r="I89" s="81">
        <f>COUNTIFS(Tabla1[AÑO PARTO],B4,Tabla1[MES PARTO],I6,Tabla1[SALE DEL PROGRAMA POR],"PARTO")</f>
        <v>0</v>
      </c>
      <c r="J89" s="81">
        <f>COUNTIFS(Tabla1[AÑO PARTO],B4,Tabla1[MES PARTO],J6,Tabla1[SALE DEL PROGRAMA POR],"PARTO")</f>
        <v>0</v>
      </c>
      <c r="K89" s="81">
        <f>COUNTIFS(Tabla1[AÑO PARTO],B4,Tabla1[MES PARTO],K6,Tabla1[SALE DEL PROGRAMA POR],"PARTO")</f>
        <v>0</v>
      </c>
      <c r="L89" s="81">
        <f>COUNTIFS(Tabla1[AÑO PARTO],B4,Tabla1[MES PARTO],L6,Tabla1[SALE DEL PROGRAMA POR],"PARTO")</f>
        <v>0</v>
      </c>
      <c r="M89" s="81">
        <f>COUNTIFS(Tabla1[AÑO PARTO],B4,Tabla1[MES PARTO],M6,Tabla1[SALE DEL PROGRAMA POR],"PARTO")</f>
        <v>0</v>
      </c>
      <c r="N89" s="90">
        <f>SUM(B89:M89)</f>
        <v>75</v>
      </c>
    </row>
    <row r="90" spans="1:14" ht="31.5" customHeight="1" x14ac:dyDescent="0.25">
      <c r="A90" s="93" t="s">
        <v>727</v>
      </c>
      <c r="B90" s="43">
        <f>COUNTIFS(Tabla1[AÑO PARTO],B4,Tabla1[MES PARTO],B6,Tabla1[SALE DEL PROGRAMA POR],"CESAREA")</f>
        <v>0</v>
      </c>
      <c r="C90" s="43">
        <f>COUNTIFS(Tabla1[AÑO PARTO],B4,Tabla1[MES PARTO],C6,Tabla1[SALE DEL PROGRAMA POR],"CESAREA")</f>
        <v>1</v>
      </c>
      <c r="D90" s="43">
        <f>COUNTIFS(Tabla1[AÑO PARTO],B4,Tabla1[MES PARTO],D6,Tabla1[SALE DEL PROGRAMA POR],"CESAREA")</f>
        <v>1</v>
      </c>
      <c r="E90" s="43">
        <f>COUNTIFS(Tabla1[AÑO PARTO],B4,Tabla1[MES PARTO],E6,Tabla1[SALE DEL PROGRAMA POR],"CESAREA")</f>
        <v>4</v>
      </c>
      <c r="F90" s="43">
        <f>COUNTIFS(Tabla1[AÑO PARTO],B4,Tabla1[MES PARTO],F6,Tabla1[SALE DEL PROGRAMA POR],"CESAREA")</f>
        <v>4</v>
      </c>
      <c r="G90" s="43">
        <f>COUNTIFS(Tabla1[AÑO PARTO],B4,Tabla1[MES PARTO],G6,Tabla1[SALE DEL PROGRAMA POR],"CESAREA")</f>
        <v>2</v>
      </c>
      <c r="H90" s="43">
        <f>COUNTIFS(Tabla1[AÑO PARTO],B4,Tabla1[MES PARTO],H6,Tabla1[SALE DEL PROGRAMA POR],"CESAREA")</f>
        <v>3</v>
      </c>
      <c r="I90" s="43">
        <f>COUNTIFS(Tabla1[AÑO PARTO],B4,Tabla1[MES PARTO],I6,Tabla1[SALE DEL PROGRAMA POR],"CESAREA")</f>
        <v>3</v>
      </c>
      <c r="J90" s="43">
        <f>COUNTIFS(Tabla1[AÑO PARTO],B4,Tabla1[MES PARTO],J6,Tabla1[SALE DEL PROGRAMA POR],"CESAREA")</f>
        <v>0</v>
      </c>
      <c r="K90" s="43">
        <f>COUNTIFS(Tabla1[AÑO PARTO],B4,Tabla1[MES PARTO],K6,Tabla1[SALE DEL PROGRAMA POR],"CESAREA")</f>
        <v>0</v>
      </c>
      <c r="L90" s="43">
        <f>COUNTIFS(Tabla1[AÑO PARTO],B4,Tabla1[MES PARTO],L6,Tabla1[SALE DEL PROGRAMA POR],"CESAREA")</f>
        <v>0</v>
      </c>
      <c r="M90" s="43">
        <f>COUNTIFS(Tabla1[AÑO PARTO],B4,Tabla1[MES PARTO],M6,Tabla1[SALE DEL PROGRAMA POR],"CESAREA")</f>
        <v>0</v>
      </c>
      <c r="N90" s="94">
        <f>SUM(B90:M90)</f>
        <v>18</v>
      </c>
    </row>
    <row r="91" spans="1:14" ht="31.5" customHeight="1" thickBot="1" x14ac:dyDescent="0.3">
      <c r="A91" s="95" t="s">
        <v>374</v>
      </c>
      <c r="B91" s="43">
        <f>SUM(B89:B90)</f>
        <v>0</v>
      </c>
      <c r="C91" s="43">
        <f t="shared" ref="C91:M91" si="26">SUM(C89:C90)</f>
        <v>3</v>
      </c>
      <c r="D91" s="43">
        <f t="shared" si="26"/>
        <v>12</v>
      </c>
      <c r="E91" s="43">
        <f t="shared" si="26"/>
        <v>17</v>
      </c>
      <c r="F91" s="43">
        <f t="shared" si="26"/>
        <v>31</v>
      </c>
      <c r="G91" s="43">
        <f t="shared" si="26"/>
        <v>13</v>
      </c>
      <c r="H91" s="43">
        <f t="shared" si="26"/>
        <v>14</v>
      </c>
      <c r="I91" s="43">
        <f t="shared" si="26"/>
        <v>3</v>
      </c>
      <c r="J91" s="43">
        <f t="shared" si="26"/>
        <v>0</v>
      </c>
      <c r="K91" s="43">
        <f t="shared" si="26"/>
        <v>0</v>
      </c>
      <c r="L91" s="43">
        <f t="shared" si="26"/>
        <v>0</v>
      </c>
      <c r="M91" s="43">
        <f t="shared" si="26"/>
        <v>0</v>
      </c>
      <c r="N91" s="94">
        <f>SUM(B91:M91)</f>
        <v>93</v>
      </c>
    </row>
    <row r="92" spans="1:14" ht="31.5" customHeight="1" thickBot="1" x14ac:dyDescent="0.3">
      <c r="A92" s="41" t="s">
        <v>375</v>
      </c>
      <c r="B92" s="46" t="str">
        <f>IF(B91=0,"",SUM(B89/B91))</f>
        <v/>
      </c>
      <c r="C92" s="46">
        <f t="shared" ref="C92:N92" si="27">IF(C91=0,"",SUM(C89/C91))</f>
        <v>0.66666666666666663</v>
      </c>
      <c r="D92" s="46">
        <f t="shared" si="27"/>
        <v>0.91666666666666663</v>
      </c>
      <c r="E92" s="46">
        <f t="shared" si="27"/>
        <v>0.76470588235294112</v>
      </c>
      <c r="F92" s="46">
        <f t="shared" si="27"/>
        <v>0.87096774193548387</v>
      </c>
      <c r="G92" s="46">
        <f t="shared" si="27"/>
        <v>0.84615384615384615</v>
      </c>
      <c r="H92" s="46">
        <f t="shared" si="27"/>
        <v>0.7857142857142857</v>
      </c>
      <c r="I92" s="46">
        <f t="shared" si="27"/>
        <v>0</v>
      </c>
      <c r="J92" s="46" t="str">
        <f t="shared" si="27"/>
        <v/>
      </c>
      <c r="K92" s="46" t="str">
        <f t="shared" si="27"/>
        <v/>
      </c>
      <c r="L92" s="46" t="str">
        <f t="shared" si="27"/>
        <v/>
      </c>
      <c r="M92" s="46" t="str">
        <f t="shared" si="27"/>
        <v/>
      </c>
      <c r="N92" s="96">
        <f t="shared" si="27"/>
        <v>0.80645161290322576</v>
      </c>
    </row>
    <row r="93" spans="1:14" ht="31.5" customHeight="1" x14ac:dyDescent="0.25">
      <c r="A93" s="41" t="s">
        <v>376</v>
      </c>
      <c r="B93" s="46" t="str">
        <f>IF(B91=0,"",SUM(B90/B91))</f>
        <v/>
      </c>
      <c r="C93" s="46">
        <f t="shared" ref="C93:N93" si="28">IF(C91=0,"",SUM(C90/C91))</f>
        <v>0.33333333333333331</v>
      </c>
      <c r="D93" s="46">
        <f t="shared" si="28"/>
        <v>8.3333333333333329E-2</v>
      </c>
      <c r="E93" s="46">
        <f t="shared" si="28"/>
        <v>0.23529411764705882</v>
      </c>
      <c r="F93" s="46">
        <f t="shared" si="28"/>
        <v>0.12903225806451613</v>
      </c>
      <c r="G93" s="46">
        <f t="shared" si="28"/>
        <v>0.15384615384615385</v>
      </c>
      <c r="H93" s="46">
        <f t="shared" si="28"/>
        <v>0.21428571428571427</v>
      </c>
      <c r="I93" s="46">
        <f t="shared" si="28"/>
        <v>1</v>
      </c>
      <c r="J93" s="46" t="str">
        <f t="shared" si="28"/>
        <v/>
      </c>
      <c r="K93" s="46" t="str">
        <f t="shared" si="28"/>
        <v/>
      </c>
      <c r="L93" s="46" t="str">
        <f t="shared" si="28"/>
        <v/>
      </c>
      <c r="M93" s="46" t="str">
        <f t="shared" si="28"/>
        <v/>
      </c>
      <c r="N93" s="96">
        <f t="shared" si="28"/>
        <v>0.19354838709677419</v>
      </c>
    </row>
    <row r="94" spans="1:14" ht="31.5" customHeight="1" thickBot="1" x14ac:dyDescent="0.3">
      <c r="A94" s="93" t="s">
        <v>377</v>
      </c>
      <c r="B94" s="82">
        <f>COUNTIFS(Tabla1[AÑO PARTO],B4,Tabla1[MES PARTO],B6,Tabla1[SALE DEL PROGRAMA POR],"IVE")</f>
        <v>0</v>
      </c>
      <c r="C94" s="82">
        <f>COUNTIFS(Tabla1[AÑO PARTO],B4,Tabla1[MES PARTO],C6,Tabla1[SALE DEL PROGRAMA POR],"IVE")</f>
        <v>0</v>
      </c>
      <c r="D94" s="82">
        <f>COUNTIFS(Tabla1[AÑO PARTO],B4,Tabla1[MES PARTO],D6,Tabla1[SALE DEL PROGRAMA POR],"IVE")</f>
        <v>0</v>
      </c>
      <c r="E94" s="82">
        <f>COUNTIFS(Tabla1[AÑO PARTO],B4,Tabla1[MES PARTO],E6,Tabla1[SALE DEL PROGRAMA POR],"IVE")</f>
        <v>0</v>
      </c>
      <c r="F94" s="82">
        <f>COUNTIFS(Tabla1[AÑO PARTO],B4,Tabla1[MES PARTO],F6,Tabla1[SALE DEL PROGRAMA POR],"IVE")</f>
        <v>0</v>
      </c>
      <c r="G94" s="82">
        <f>COUNTIFS(Tabla1[AÑO PARTO],B4,Tabla1[MES PARTO],G6,Tabla1[SALE DEL PROGRAMA POR],"IVE")</f>
        <v>0</v>
      </c>
      <c r="H94" s="82">
        <f>COUNTIFS(Tabla1[AÑO PARTO],B4,Tabla1[MES PARTO],H6,Tabla1[SALE DEL PROGRAMA POR],"IVE")</f>
        <v>0</v>
      </c>
      <c r="I94" s="82">
        <f>COUNTIFS(Tabla1[AÑO PARTO],B4,Tabla1[MES PARTO],I6,Tabla1[SALE DEL PROGRAMA POR],"IVE")</f>
        <v>0</v>
      </c>
      <c r="J94" s="82">
        <f>COUNTIFS(Tabla1[AÑO PARTO],B4,Tabla1[MES PARTO],J6,Tabla1[SALE DEL PROGRAMA POR],"IVE")</f>
        <v>0</v>
      </c>
      <c r="K94" s="82">
        <f>COUNTIFS(Tabla1[AÑO PARTO],B4,Tabla1[MES PARTO],K6,Tabla1[SALE DEL PROGRAMA POR],"IVE")</f>
        <v>0</v>
      </c>
      <c r="L94" s="82">
        <f>COUNTIFS(Tabla1[AÑO PARTO],B4,Tabla1[MES PARTO],L6,Tabla1[SALE DEL PROGRAMA POR],"IVE")</f>
        <v>0</v>
      </c>
      <c r="M94" s="82">
        <f>COUNTIFS(Tabla1[AÑO PARTO],B4,Tabla1[MES PARTO],M6,Tabla1[SALE DEL PROGRAMA POR],"IVE")</f>
        <v>0</v>
      </c>
      <c r="N94" s="91">
        <f>SUM(B94:M94)</f>
        <v>0</v>
      </c>
    </row>
    <row r="95" spans="1:14" ht="31.5" customHeight="1" thickBot="1" x14ac:dyDescent="0.3">
      <c r="A95" s="41" t="s">
        <v>378</v>
      </c>
      <c r="B95" s="83" t="str">
        <f>IF(SUM(B91,B94)=0,"",SUM(B94/SUM(B94,B91)))</f>
        <v/>
      </c>
      <c r="C95" s="84">
        <f t="shared" ref="C95:N95" si="29">IF(SUM(C91,C94)=0,"",SUM(C94/SUM(C94,C91)))</f>
        <v>0</v>
      </c>
      <c r="D95" s="84">
        <f t="shared" si="29"/>
        <v>0</v>
      </c>
      <c r="E95" s="84">
        <f t="shared" si="29"/>
        <v>0</v>
      </c>
      <c r="F95" s="84">
        <f t="shared" si="29"/>
        <v>0</v>
      </c>
      <c r="G95" s="84">
        <f t="shared" si="29"/>
        <v>0</v>
      </c>
      <c r="H95" s="84">
        <f t="shared" si="29"/>
        <v>0</v>
      </c>
      <c r="I95" s="84">
        <f t="shared" si="29"/>
        <v>0</v>
      </c>
      <c r="J95" s="84" t="str">
        <f t="shared" si="29"/>
        <v/>
      </c>
      <c r="K95" s="84" t="str">
        <f t="shared" si="29"/>
        <v/>
      </c>
      <c r="L95" s="84" t="str">
        <f t="shared" si="29"/>
        <v/>
      </c>
      <c r="M95" s="84" t="str">
        <f t="shared" si="29"/>
        <v/>
      </c>
      <c r="N95" s="85">
        <f t="shared" si="29"/>
        <v>0</v>
      </c>
    </row>
    <row r="96" spans="1:14" ht="31.5" customHeight="1" thickBot="1" x14ac:dyDescent="0.3">
      <c r="A96" s="93" t="s">
        <v>379</v>
      </c>
      <c r="B96" s="68">
        <f>SUM(COUNTIFS(Tabla1[AÑO PARTO],B4,Tabla1[MES PARTO],B6,Tabla1[SALE DEL PROGRAMA POR],"PARTO",Tabla1[LUGAR DE ATENCION DEL PARTO],"INSTITUCIONAL"),COUNTIFS(Tabla1[AÑO PARTO],B4,Tabla1[MES PARTO],B6,Tabla1[SALE DEL PROGRAMA POR],"CESAREA",Tabla1[LUGAR DE ATENCION DEL PARTO],"INSTITUCIONAL"))</f>
        <v>0</v>
      </c>
      <c r="C96" s="68">
        <f>SUM(COUNTIFS(Tabla1[AÑO PARTO],B4,Tabla1[MES PARTO],C6,Tabla1[SALE DEL PROGRAMA POR],"PARTO",Tabla1[LUGAR DE ATENCION DEL PARTO],"INSTITUCIONAL"),COUNTIFS(Tabla1[AÑO PARTO],B4,Tabla1[MES PARTO],C6,Tabla1[SALE DEL PROGRAMA POR],"CESAREA",Tabla1[LUGAR DE ATENCION DEL PARTO],"INSTITUCIONAL"))</f>
        <v>2</v>
      </c>
      <c r="D96" s="68">
        <f>SUM(COUNTIFS(Tabla1[AÑO PARTO],B4,Tabla1[MES PARTO],D6,Tabla1[SALE DEL PROGRAMA POR],"PARTO",Tabla1[LUGAR DE ATENCION DEL PARTO],"INSTITUCIONAL"),COUNTIFS(Tabla1[AÑO PARTO],B4,Tabla1[MES PARTO],D6,Tabla1[SALE DEL PROGRAMA POR],"CESAREA",Tabla1[LUGAR DE ATENCION DEL PARTO],"INSTITUCIONAL"))</f>
        <v>8</v>
      </c>
      <c r="E96" s="68">
        <f>SUM(COUNTIFS(Tabla1[AÑO PARTO],B4,Tabla1[MES PARTO],E6,Tabla1[SALE DEL PROGRAMA POR],"PARTO",Tabla1[LUGAR DE ATENCION DEL PARTO],"INSTITUCIONAL"),COUNTIFS(Tabla1[AÑO PARTO],B4,Tabla1[MES PARTO],E6,Tabla1[SALE DEL PROGRAMA POR],"CESAREA",Tabla1[LUGAR DE ATENCION DEL PARTO],"INSTITUCIONAL"))</f>
        <v>11</v>
      </c>
      <c r="F96" s="68">
        <f>SUM(COUNTIFS(Tabla1[AÑO PARTO],B4,Tabla1[MES PARTO],F6,Tabla1[SALE DEL PROGRAMA POR],"PARTO",Tabla1[LUGAR DE ATENCION DEL PARTO],"INSTITUCIONAL"),COUNTIFS(Tabla1[AÑO PARTO],B4,Tabla1[MES PARTO],F6,Tabla1[SALE DEL PROGRAMA POR],"CESAREA",Tabla1[LUGAR DE ATENCION DEL PARTO],"INSTITUCIONAL"))</f>
        <v>19</v>
      </c>
      <c r="G96" s="68">
        <f>SUM(COUNTIFS(Tabla1[AÑO PARTO],B4,Tabla1[MES PARTO],G6,Tabla1[SALE DEL PROGRAMA POR],"PARTO",Tabla1[LUGAR DE ATENCION DEL PARTO],"INSTITUCIONAL"),COUNTIFS(Tabla1[AÑO PARTO],B4,Tabla1[MES PARTO],G6,Tabla1[SALE DEL PROGRAMA POR],"CESAREA",Tabla1[LUGAR DE ATENCION DEL PARTO],"INSTITUCIONAL"))</f>
        <v>5</v>
      </c>
      <c r="H96" s="68">
        <f>SUM(COUNTIFS(Tabla1[AÑO PARTO],B4,Tabla1[MES PARTO],H6,Tabla1[SALE DEL PROGRAMA POR],"PARTO",Tabla1[LUGAR DE ATENCION DEL PARTO],"INSTITUCIONAL"),COUNTIFS(Tabla1[AÑO PARTO],B4,Tabla1[MES PARTO],H6,Tabla1[SALE DEL PROGRAMA POR],"CESAREA",Tabla1[LUGAR DE ATENCION DEL PARTO],"INSTITUCIONAL"))</f>
        <v>12</v>
      </c>
      <c r="I96" s="68">
        <f>SUM(COUNTIFS(Tabla1[AÑO PARTO],B4,Tabla1[MES PARTO],I6,Tabla1[SALE DEL PROGRAMA POR],"PARTO",Tabla1[LUGAR DE ATENCION DEL PARTO],"INSTITUCIONAL"),COUNTIFS(Tabla1[AÑO PARTO],B4,Tabla1[MES PARTO],I6,Tabla1[SALE DEL PROGRAMA POR],"CESAREA",Tabla1[LUGAR DE ATENCION DEL PARTO],"INSTITUCIONAL"))</f>
        <v>3</v>
      </c>
      <c r="J96" s="68">
        <f>SUM(COUNTIFS(Tabla1[AÑO PARTO],B4,Tabla1[MES PARTO],J6,Tabla1[SALE DEL PROGRAMA POR],"PARTO",Tabla1[LUGAR DE ATENCION DEL PARTO],"INSTITUCIONAL"),COUNTIFS(Tabla1[AÑO PARTO],B4,Tabla1[MES PARTO],J6,Tabla1[SALE DEL PROGRAMA POR],"CESAREA",Tabla1[LUGAR DE ATENCION DEL PARTO],"INSTITUCIONAL"))</f>
        <v>0</v>
      </c>
      <c r="K96" s="68">
        <f>SUM(COUNTIFS(Tabla1[AÑO PARTO],B4,Tabla1[MES PARTO],K6,Tabla1[SALE DEL PROGRAMA POR],"PARTO",Tabla1[LUGAR DE ATENCION DEL PARTO],"INSTITUCIONAL"),COUNTIFS(Tabla1[AÑO PARTO],B4,Tabla1[MES PARTO],K6,Tabla1[SALE DEL PROGRAMA POR],"CESAREA",Tabla1[LUGAR DE ATENCION DEL PARTO],"INSTITUCIONAL"))</f>
        <v>0</v>
      </c>
      <c r="L96" s="68">
        <f>SUM(COUNTIFS(Tabla1[AÑO PARTO],B4,Tabla1[MES PARTO],L6,Tabla1[SALE DEL PROGRAMA POR],"PARTO",Tabla1[LUGAR DE ATENCION DEL PARTO],"INSTITUCIONAL"),COUNTIFS(Tabla1[AÑO PARTO],B4,Tabla1[MES PARTO],L6,Tabla1[SALE DEL PROGRAMA POR],"CESAREA",Tabla1[LUGAR DE ATENCION DEL PARTO],"INSTITUCIONAL"))</f>
        <v>0</v>
      </c>
      <c r="M96" s="68">
        <f>SUM(COUNTIFS(Tabla1[AÑO PARTO],B4,Tabla1[MES PARTO],M6,Tabla1[SALE DEL PROGRAMA POR],"PARTO",Tabla1[LUGAR DE ATENCION DEL PARTO],"INSTITUCIONAL"),COUNTIFS(Tabla1[AÑO PARTO],B4,Tabla1[MES PARTO],M6,Tabla1[SALE DEL PROGRAMA POR],"CESAREA",Tabla1[LUGAR DE ATENCION DEL PARTO],"INSTITUCIONAL"))</f>
        <v>0</v>
      </c>
      <c r="N96" s="92">
        <f>SUM(B96:M96)</f>
        <v>60</v>
      </c>
    </row>
    <row r="97" spans="1:14 16384:16384" ht="31.5" customHeight="1" thickBot="1" x14ac:dyDescent="0.3">
      <c r="A97" s="41" t="s">
        <v>380</v>
      </c>
      <c r="B97" s="83" t="str">
        <f>IF(B91=0,"",SUM(B96/B91))</f>
        <v/>
      </c>
      <c r="C97" s="84">
        <f t="shared" ref="C97:N97" si="30">IF(C91=0,"",SUM(C96/C91))</f>
        <v>0.66666666666666663</v>
      </c>
      <c r="D97" s="84">
        <f t="shared" si="30"/>
        <v>0.66666666666666663</v>
      </c>
      <c r="E97" s="84">
        <f t="shared" si="30"/>
        <v>0.6470588235294118</v>
      </c>
      <c r="F97" s="84">
        <f t="shared" si="30"/>
        <v>0.61290322580645162</v>
      </c>
      <c r="G97" s="84">
        <f t="shared" si="30"/>
        <v>0.38461538461538464</v>
      </c>
      <c r="H97" s="84">
        <f t="shared" si="30"/>
        <v>0.8571428571428571</v>
      </c>
      <c r="I97" s="84">
        <f t="shared" si="30"/>
        <v>1</v>
      </c>
      <c r="J97" s="84" t="str">
        <f t="shared" si="30"/>
        <v/>
      </c>
      <c r="K97" s="84" t="str">
        <f t="shared" si="30"/>
        <v/>
      </c>
      <c r="L97" s="84" t="str">
        <f t="shared" si="30"/>
        <v/>
      </c>
      <c r="M97" s="84" t="str">
        <f t="shared" si="30"/>
        <v/>
      </c>
      <c r="N97" s="85">
        <f t="shared" si="30"/>
        <v>0.64516129032258063</v>
      </c>
    </row>
    <row r="98" spans="1:14 16384:16384" ht="31.5" customHeight="1" thickBot="1" x14ac:dyDescent="0.3">
      <c r="A98" s="93" t="s">
        <v>381</v>
      </c>
      <c r="B98" s="68">
        <f>COUNTIFS(Tabla1[AÑO PARTO],B4,Tabla1[MES PARTO],B6,Tabla1[SALE DEL PROGRAMA POR],"PARTO",Tabla1[LUGAR DE ATENCION DEL PARTO],"DOMICILIO")</f>
        <v>0</v>
      </c>
      <c r="C98" s="68">
        <f>COUNTIFS(Tabla1[AÑO PARTO],B4,Tabla1[MES PARTO],C6,Tabla1[SALE DEL PROGRAMA POR],"PARTO",Tabla1[LUGAR DE ATENCION DEL PARTO],"DOMICILIO")</f>
        <v>1</v>
      </c>
      <c r="D98" s="68">
        <f>COUNTIFS(Tabla1[AÑO PARTO],B4,Tabla1[MES PARTO],D6,Tabla1[SALE DEL PROGRAMA POR],"PARTO",Tabla1[LUGAR DE ATENCION DEL PARTO],"DOMICILIO")</f>
        <v>4</v>
      </c>
      <c r="E98" s="68">
        <f>COUNTIFS(Tabla1[AÑO PARTO],B4,Tabla1[MES PARTO],E6,Tabla1[SALE DEL PROGRAMA POR],"PARTO",Tabla1[LUGAR DE ATENCION DEL PARTO],"DOMICILIO")</f>
        <v>6</v>
      </c>
      <c r="F98" s="68">
        <f>COUNTIFS(Tabla1[AÑO PARTO],B4,Tabla1[MES PARTO],F6,Tabla1[SALE DEL PROGRAMA POR],"PARTO",Tabla1[LUGAR DE ATENCION DEL PARTO],"DOMICILIO")</f>
        <v>12</v>
      </c>
      <c r="G98" s="68">
        <f>COUNTIFS(Tabla1[AÑO PARTO],B4,Tabla1[MES PARTO],G6,Tabla1[SALE DEL PROGRAMA POR],"PARTO",Tabla1[LUGAR DE ATENCION DEL PARTO],"DOMICILIO")</f>
        <v>8</v>
      </c>
      <c r="H98" s="68">
        <f>COUNTIFS(Tabla1[AÑO PARTO],B4,Tabla1[MES PARTO],H6,Tabla1[SALE DEL PROGRAMA POR],"PARTO",Tabla1[LUGAR DE ATENCION DEL PARTO],"DOMICILIO")</f>
        <v>1</v>
      </c>
      <c r="I98" s="68">
        <f>COUNTIFS(Tabla1[AÑO PARTO],B4,Tabla1[MES PARTO],I6,Tabla1[SALE DEL PROGRAMA POR],"PARTO",Tabla1[LUGAR DE ATENCION DEL PARTO],"DOMICILIO")</f>
        <v>0</v>
      </c>
      <c r="J98" s="68">
        <f>COUNTIFS(Tabla1[AÑO PARTO],B4,Tabla1[MES PARTO],J6,Tabla1[SALE DEL PROGRAMA POR],"PARTO",Tabla1[LUGAR DE ATENCION DEL PARTO],"DOMICILIO")</f>
        <v>0</v>
      </c>
      <c r="K98" s="68">
        <f>COUNTIFS(Tabla1[AÑO PARTO],B4,Tabla1[MES PARTO],K6,Tabla1[SALE DEL PROGRAMA POR],"PARTO",Tabla1[LUGAR DE ATENCION DEL PARTO],"DOMICILIO")</f>
        <v>0</v>
      </c>
      <c r="L98" s="68">
        <f>COUNTIFS(Tabla1[AÑO PARTO],B4,Tabla1[MES PARTO],L6,Tabla1[SALE DEL PROGRAMA POR],"PARTO",Tabla1[LUGAR DE ATENCION DEL PARTO],"DOMICILIO")</f>
        <v>0</v>
      </c>
      <c r="M98" s="68">
        <f>COUNTIFS(Tabla1[AÑO PARTO],B4,Tabla1[MES PARTO],M6,Tabla1[SALE DEL PROGRAMA POR],"PARTO",Tabla1[LUGAR DE ATENCION DEL PARTO],"DOMICILIO")</f>
        <v>0</v>
      </c>
      <c r="N98" s="92">
        <f>SUM(B98:M98)</f>
        <v>32</v>
      </c>
    </row>
    <row r="99" spans="1:14 16384:16384" ht="31.5" customHeight="1" thickBot="1" x14ac:dyDescent="0.3">
      <c r="A99" s="71" t="s">
        <v>382</v>
      </c>
      <c r="B99" s="83" t="str">
        <f>IF(B$91=0,"",SUM(B98/B$91))</f>
        <v/>
      </c>
      <c r="C99" s="84">
        <f t="shared" ref="C99:N99" si="31">IF(C91=0,"",SUM(C98/C91))</f>
        <v>0.33333333333333331</v>
      </c>
      <c r="D99" s="84">
        <f t="shared" si="31"/>
        <v>0.33333333333333331</v>
      </c>
      <c r="E99" s="84">
        <f t="shared" si="31"/>
        <v>0.35294117647058826</v>
      </c>
      <c r="F99" s="84">
        <f t="shared" si="31"/>
        <v>0.38709677419354838</v>
      </c>
      <c r="G99" s="84">
        <f t="shared" si="31"/>
        <v>0.61538461538461542</v>
      </c>
      <c r="H99" s="84">
        <f t="shared" si="31"/>
        <v>7.1428571428571425E-2</v>
      </c>
      <c r="I99" s="84">
        <f t="shared" si="31"/>
        <v>0</v>
      </c>
      <c r="J99" s="84" t="str">
        <f t="shared" si="31"/>
        <v/>
      </c>
      <c r="K99" s="84" t="str">
        <f t="shared" si="31"/>
        <v/>
      </c>
      <c r="L99" s="84" t="str">
        <f t="shared" si="31"/>
        <v/>
      </c>
      <c r="M99" s="84" t="str">
        <f t="shared" si="31"/>
        <v/>
      </c>
      <c r="N99" s="85">
        <f t="shared" si="31"/>
        <v>0.34408602150537637</v>
      </c>
    </row>
    <row r="100" spans="1:14 16384:16384" ht="39.75" customHeight="1" thickBot="1" x14ac:dyDescent="0.3">
      <c r="A100" s="93" t="s">
        <v>383</v>
      </c>
      <c r="B100" s="68">
        <f>SUM(COUNTIFS(Tabla1[AÑO PARTO],B4,Tabla1[MES PARTO],B6,Tabla1[SALE DEL PROGRAMA POR],"PARTO",Tabla1[ADHERENCIA AL CPN],"SI"),COUNTIFS(Tabla1[AÑO PARTO],B4,Tabla1[MES PARTO],B6,Tabla1[SALE DEL PROGRAMA POR],"CESAREA",Tabla1[ADHERENCIA AL CPN],"SI"))</f>
        <v>0</v>
      </c>
      <c r="C100" s="68">
        <f>SUM(COUNTIFS(Tabla1[AÑO PARTO],B4,Tabla1[MES PARTO],C6,Tabla1[SALE DEL PROGRAMA POR],"PARTO",Tabla1[ADHERENCIA AL CPN],"SI"),COUNTIFS(Tabla1[AÑO PARTO],B4,Tabla1[MES PARTO],C6,Tabla1[SALE DEL PROGRAMA POR],"CESAREA",Tabla1[ADHERENCIA AL CPN],"SI"))</f>
        <v>1</v>
      </c>
      <c r="D100" s="68">
        <f>SUM(COUNTIFS(Tabla1[AÑO PARTO],B4,Tabla1[MES PARTO],D6,Tabla1[SALE DEL PROGRAMA POR],"PARTO",Tabla1[ADHERENCIA AL CPN],"SI"),COUNTIFS(Tabla1[AÑO PARTO],B4,Tabla1[MES PARTO],D6,Tabla1[SALE DEL PROGRAMA POR],"CESAREA",Tabla1[ADHERENCIA AL CPN],"SI"))</f>
        <v>7</v>
      </c>
      <c r="E100" s="68">
        <f>SUM(COUNTIFS(Tabla1[AÑO PARTO],B4,Tabla1[MES PARTO],E6,Tabla1[SALE DEL PROGRAMA POR],"PARTO",Tabla1[ADHERENCIA AL CPN],"SI"),COUNTIFS(Tabla1[AÑO PARTO],B4,Tabla1[MES PARTO],E6,Tabla1[SALE DEL PROGRAMA POR],"CESAREA",Tabla1[ADHERENCIA AL CPN],"SI"))</f>
        <v>7</v>
      </c>
      <c r="F100" s="68">
        <f>SUM(COUNTIFS(Tabla1[AÑO PARTO],B4,Tabla1[MES PARTO],F6,Tabla1[SALE DEL PROGRAMA POR],"PARTO",Tabla1[ADHERENCIA AL CPN],"SI"),COUNTIFS(Tabla1[AÑO PARTO],B4,Tabla1[MES PARTO],F6,Tabla1[SALE DEL PROGRAMA POR],"CESAREA",Tabla1[ADHERENCIA AL CPN],"SI"))</f>
        <v>21</v>
      </c>
      <c r="G100" s="68">
        <f>SUM(COUNTIFS(Tabla1[AÑO PARTO],B4,Tabla1[MES PARTO],G6,Tabla1[SALE DEL PROGRAMA POR],"PARTO",Tabla1[ADHERENCIA AL CPN],"SI"),COUNTIFS(Tabla1[AÑO PARTO],B4,Tabla1[MES PARTO],G6,Tabla1[SALE DEL PROGRAMA POR],"CESAREA",Tabla1[ADHERENCIA AL CPN],"SI"))</f>
        <v>10</v>
      </c>
      <c r="H100" s="68">
        <f>SUM(COUNTIFS(Tabla1[AÑO PARTO],B4,Tabla1[MES PARTO],H6,Tabla1[SALE DEL PROGRAMA POR],"PARTO",Tabla1[ADHERENCIA AL CPN],"SI"),COUNTIFS(Tabla1[AÑO PARTO],B4,Tabla1[MES PARTO],H6,Tabla1[SALE DEL PROGRAMA POR],"CESAREA",Tabla1[ADHERENCIA AL CPN],"SI"))</f>
        <v>9</v>
      </c>
      <c r="I100" s="68">
        <f>SUM(COUNTIFS(Tabla1[AÑO PARTO],B4,Tabla1[MES PARTO],I6,Tabla1[SALE DEL PROGRAMA POR],"PARTO",Tabla1[ADHERENCIA AL CPN],"SI"),COUNTIFS(Tabla1[AÑO PARTO],B4,Tabla1[MES PARTO],I6,Tabla1[SALE DEL PROGRAMA POR],"CESAREA",Tabla1[ADHERENCIA AL CPN],"SI"))</f>
        <v>2</v>
      </c>
      <c r="J100" s="68">
        <f>SUM(COUNTIFS(Tabla1[AÑO PARTO],B4,Tabla1[MES PARTO],J6,Tabla1[SALE DEL PROGRAMA POR],"PARTO",Tabla1[ADHERENCIA AL CPN],"SI"),COUNTIFS(Tabla1[AÑO PARTO],B4,Tabla1[MES PARTO],J6,Tabla1[SALE DEL PROGRAMA POR],"CESAREA",Tabla1[ADHERENCIA AL CPN],"SI"))</f>
        <v>0</v>
      </c>
      <c r="K100" s="68">
        <f>SUM(COUNTIFS(Tabla1[AÑO PARTO],B4,Tabla1[MES PARTO],K6,Tabla1[SALE DEL PROGRAMA POR],"PARTO",Tabla1[ADHERENCIA AL CPN],"SI"),COUNTIFS(Tabla1[AÑO PARTO],B4,Tabla1[MES PARTO],K6,Tabla1[SALE DEL PROGRAMA POR],"CESAREA",Tabla1[ADHERENCIA AL CPN],"SI"))</f>
        <v>0</v>
      </c>
      <c r="L100" s="68">
        <f>SUM(COUNTIFS(Tabla1[AÑO PARTO],B4,Tabla1[MES PARTO],L6,Tabla1[SALE DEL PROGRAMA POR],"PARTO",Tabla1[ADHERENCIA AL CPN],"SI"),COUNTIFS(Tabla1[AÑO PARTO],B4,Tabla1[MES PARTO],L6,Tabla1[SALE DEL PROGRAMA POR],"CESAREA",Tabla1[ADHERENCIA AL CPN],"SI"))</f>
        <v>0</v>
      </c>
      <c r="M100" s="68">
        <f>SUM(COUNTIFS(Tabla1[AÑO PARTO],B4,Tabla1[MES PARTO],M6,Tabla1[SALE DEL PROGRAMA POR],"PARTO",Tabla1[ADHERENCIA AL CPN],"SI"),COUNTIFS(Tabla1[AÑO PARTO],B4,Tabla1[MES PARTO],M6,Tabla1[SALE DEL PROGRAMA POR],"CESAREA",Tabla1[ADHERENCIA AL CPN],"SI"))</f>
        <v>0</v>
      </c>
      <c r="N100" s="92">
        <f>SUM(B100:M100)</f>
        <v>57</v>
      </c>
    </row>
    <row r="101" spans="1:14 16384:16384" ht="31.5" customHeight="1" thickBot="1" x14ac:dyDescent="0.3">
      <c r="A101" s="41" t="s">
        <v>384</v>
      </c>
      <c r="B101" s="83" t="str">
        <f>IF(B$91=0,"",SUM(B100/B$91))</f>
        <v/>
      </c>
      <c r="C101" s="84">
        <f t="shared" ref="C101:N101" si="32">IF(C$91=0,"",SUM(C100/C$91))</f>
        <v>0.33333333333333331</v>
      </c>
      <c r="D101" s="84">
        <f t="shared" si="32"/>
        <v>0.58333333333333337</v>
      </c>
      <c r="E101" s="84">
        <f t="shared" si="32"/>
        <v>0.41176470588235292</v>
      </c>
      <c r="F101" s="84">
        <f t="shared" si="32"/>
        <v>0.67741935483870963</v>
      </c>
      <c r="G101" s="84">
        <f t="shared" si="32"/>
        <v>0.76923076923076927</v>
      </c>
      <c r="H101" s="84">
        <f t="shared" si="32"/>
        <v>0.6428571428571429</v>
      </c>
      <c r="I101" s="84">
        <f t="shared" si="32"/>
        <v>0.66666666666666663</v>
      </c>
      <c r="J101" s="84" t="str">
        <f t="shared" si="32"/>
        <v/>
      </c>
      <c r="K101" s="84" t="str">
        <f t="shared" si="32"/>
        <v/>
      </c>
      <c r="L101" s="84" t="str">
        <f t="shared" si="32"/>
        <v/>
      </c>
      <c r="M101" s="84" t="str">
        <f t="shared" si="32"/>
        <v/>
      </c>
      <c r="N101" s="85">
        <f t="shared" si="32"/>
        <v>0.61290322580645162</v>
      </c>
    </row>
    <row r="102" spans="1:14 16384:16384" ht="31.5" customHeight="1" thickBot="1" x14ac:dyDescent="0.3">
      <c r="A102" s="93" t="s">
        <v>662</v>
      </c>
      <c r="B102" s="68">
        <f>COUNTIFS(Tabla1[AÑO PARTO],B4,Tabla1[MES PARTO],B6,Tabla1[SALE DEL PROGRAMA POR],"PARTO",Tabla1[NIVEL DE COMPLEJIDAD DE LA ATENCION DE LA INSTITUCION DONDE SE ATENDIO EL PARTO],"BAJA")</f>
        <v>0</v>
      </c>
      <c r="C102" s="68">
        <f>COUNTIFS(Tabla1[AÑO PARTO],B4,Tabla1[MES PARTO],C6,Tabla1[SALE DEL PROGRAMA POR],"PARTO",Tabla1[NIVEL DE COMPLEJIDAD DE LA ATENCION DE LA INSTITUCION DONDE SE ATENDIO EL PARTO],"BAJA")</f>
        <v>1</v>
      </c>
      <c r="D102" s="68">
        <f>COUNTIFS(Tabla1[AÑO PARTO],B4,Tabla1[MES PARTO],D6,Tabla1[SALE DEL PROGRAMA POR],"PARTO",Tabla1[NIVEL DE COMPLEJIDAD DE LA ATENCION DE LA INSTITUCION DONDE SE ATENDIO EL PARTO],"BAJA")</f>
        <v>1</v>
      </c>
      <c r="E102" s="68">
        <f>COUNTIFS(Tabla1[AÑO PARTO],B4,Tabla1[MES PARTO],E6,Tabla1[SALE DEL PROGRAMA POR],"PARTO",Tabla1[NIVEL DE COMPLEJIDAD DE LA ATENCION DE LA INSTITUCION DONDE SE ATENDIO EL PARTO],"BAJA")</f>
        <v>2</v>
      </c>
      <c r="F102" s="68">
        <f>COUNTIFS(Tabla1[AÑO PARTO],B4,Tabla1[MES PARTO],F6,Tabla1[SALE DEL PROGRAMA POR],"PARTO",Tabla1[NIVEL DE COMPLEJIDAD DE LA ATENCION DE LA INSTITUCION DONDE SE ATENDIO EL PARTO],"BAJA")</f>
        <v>4</v>
      </c>
      <c r="G102" s="68">
        <f>COUNTIFS(Tabla1[AÑO PARTO],B4,Tabla1[MES PARTO],G6,Tabla1[SALE DEL PROGRAMA POR],"PARTO",Tabla1[NIVEL DE COMPLEJIDAD DE LA ATENCION DE LA INSTITUCION DONDE SE ATENDIO EL PARTO],"BAJA")</f>
        <v>0</v>
      </c>
      <c r="H102" s="68">
        <f>COUNTIFS(Tabla1[AÑO PARTO],B4,Tabla1[MES PARTO],H6,Tabla1[SALE DEL PROGRAMA POR],"PARTO",Tabla1[NIVEL DE COMPLEJIDAD DE LA ATENCION DE LA INSTITUCION DONDE SE ATENDIO EL PARTO],"BAJA")</f>
        <v>3</v>
      </c>
      <c r="I102" s="68">
        <f>COUNTIFS(Tabla1[AÑO PARTO],B4,Tabla1[MES PARTO],I6,Tabla1[SALE DEL PROGRAMA POR],"PARTO",Tabla1[NIVEL DE COMPLEJIDAD DE LA ATENCION DE LA INSTITUCION DONDE SE ATENDIO EL PARTO],"BAJA")</f>
        <v>0</v>
      </c>
      <c r="J102" s="68">
        <f>COUNTIFS(Tabla1[AÑO PARTO],B4,Tabla1[MES PARTO],J6,Tabla1[SALE DEL PROGRAMA POR],"PARTO",Tabla1[NIVEL DE COMPLEJIDAD DE LA ATENCION DE LA INSTITUCION DONDE SE ATENDIO EL PARTO],"BAJA")</f>
        <v>0</v>
      </c>
      <c r="K102" s="68">
        <f>COUNTIFS(Tabla1[AÑO PARTO],B4,Tabla1[MES PARTO],K6,Tabla1[SALE DEL PROGRAMA POR],"PARTO",Tabla1[NIVEL DE COMPLEJIDAD DE LA ATENCION DE LA INSTITUCION DONDE SE ATENDIO EL PARTO],"BAJA")</f>
        <v>0</v>
      </c>
      <c r="L102" s="68">
        <f>COUNTIFS(Tabla1[AÑO PARTO],B4,Tabla1[MES PARTO],L6,Tabla1[SALE DEL PROGRAMA POR],"PARTO",Tabla1[NIVEL DE COMPLEJIDAD DE LA ATENCION DE LA INSTITUCION DONDE SE ATENDIO EL PARTO],"BAJA")</f>
        <v>0</v>
      </c>
      <c r="M102" s="68">
        <f>COUNTIFS(Tabla1[AÑO PARTO],B4,Tabla1[MES PARTO],M6,Tabla1[SALE DEL PROGRAMA POR],"PARTO",Tabla1[NIVEL DE COMPLEJIDAD DE LA ATENCION DE LA INSTITUCION DONDE SE ATENDIO EL PARTO],"BAJA")</f>
        <v>0</v>
      </c>
      <c r="N102" s="92">
        <f>SUM(B102:M102)</f>
        <v>11</v>
      </c>
    </row>
    <row r="103" spans="1:14 16384:16384" ht="42.75" customHeight="1" x14ac:dyDescent="0.25">
      <c r="A103" s="150" t="s">
        <v>663</v>
      </c>
      <c r="B103" s="128" t="str">
        <f>IF(B$91=0,"",SUM(B102/B$91))</f>
        <v/>
      </c>
      <c r="C103" s="129">
        <f t="shared" ref="C103:N103" si="33">IF(C$91=0,"",SUM(C102/C$91))</f>
        <v>0.33333333333333331</v>
      </c>
      <c r="D103" s="129">
        <f t="shared" si="33"/>
        <v>8.3333333333333329E-2</v>
      </c>
      <c r="E103" s="129">
        <f t="shared" si="33"/>
        <v>0.11764705882352941</v>
      </c>
      <c r="F103" s="129">
        <f t="shared" si="33"/>
        <v>0.12903225806451613</v>
      </c>
      <c r="G103" s="129">
        <f t="shared" si="33"/>
        <v>0</v>
      </c>
      <c r="H103" s="129">
        <f t="shared" si="33"/>
        <v>0.21428571428571427</v>
      </c>
      <c r="I103" s="129">
        <f t="shared" si="33"/>
        <v>0</v>
      </c>
      <c r="J103" s="129" t="str">
        <f t="shared" si="33"/>
        <v/>
      </c>
      <c r="K103" s="129" t="str">
        <f t="shared" si="33"/>
        <v/>
      </c>
      <c r="L103" s="129" t="str">
        <f t="shared" si="33"/>
        <v/>
      </c>
      <c r="M103" s="129" t="str">
        <f t="shared" si="33"/>
        <v/>
      </c>
      <c r="N103" s="130">
        <f t="shared" si="33"/>
        <v>0.11827956989247312</v>
      </c>
    </row>
    <row r="104" spans="1:14 16384:16384" ht="44.25" customHeight="1" thickBot="1" x14ac:dyDescent="0.3">
      <c r="A104" s="88" t="s">
        <v>731</v>
      </c>
      <c r="B104" s="142">
        <f>COUNTIFS(Tabla1[AÑO PARTO],$B$4,Tabla1[MES PARTO],B6,Tabla1[SALE DEL PROGRAMA POR],"PARTO",Tabla1[INICIO DE LACTANCIA MATERNA DURANTE EL CONTACTO PIEL A PIEL O EN LA PRIMERA HORA DE VIDA],"SI",Tabla1[NIVEL DE COMPLEJIDAD DE LA ATENCION DE LA INSTITUCION DONDE SE ATENDIO EL PARTO],"BAJA")</f>
        <v>0</v>
      </c>
      <c r="C104" s="142">
        <f>COUNTIFS(Tabla1[AÑO PARTO],$B$4,Tabla1[MES PARTO],C6,Tabla1[SALE DEL PROGRAMA POR],"PARTO",Tabla1[INICIO DE LACTANCIA MATERNA DURANTE EL CONTACTO PIEL A PIEL O EN LA PRIMERA HORA DE VIDA],"SI",Tabla1[NIVEL DE COMPLEJIDAD DE LA ATENCION DE LA INSTITUCION DONDE SE ATENDIO EL PARTO],"BAJA")</f>
        <v>0</v>
      </c>
      <c r="D104" s="142">
        <f>COUNTIFS(Tabla1[AÑO PARTO],$B$4,Tabla1[MES PARTO],D6,Tabla1[SALE DEL PROGRAMA POR],"PARTO",Tabla1[INICIO DE LACTANCIA MATERNA DURANTE EL CONTACTO PIEL A PIEL O EN LA PRIMERA HORA DE VIDA],"SI",Tabla1[NIVEL DE COMPLEJIDAD DE LA ATENCION DE LA INSTITUCION DONDE SE ATENDIO EL PARTO],"BAJA")</f>
        <v>0</v>
      </c>
      <c r="E104" s="142">
        <f>COUNTIFS(Tabla1[AÑO PARTO],$B$4,Tabla1[MES PARTO],E6,Tabla1[SALE DEL PROGRAMA POR],"PARTO",Tabla1[INICIO DE LACTANCIA MATERNA DURANTE EL CONTACTO PIEL A PIEL O EN LA PRIMERA HORA DE VIDA],"SI",Tabla1[NIVEL DE COMPLEJIDAD DE LA ATENCION DE LA INSTITUCION DONDE SE ATENDIO EL PARTO],"BAJA")</f>
        <v>0</v>
      </c>
      <c r="F104" s="142">
        <f>COUNTIFS(Tabla1[AÑO PARTO],$B$4,Tabla1[MES PARTO],F6,Tabla1[SALE DEL PROGRAMA POR],"PARTO",Tabla1[INICIO DE LACTANCIA MATERNA DURANTE EL CONTACTO PIEL A PIEL O EN LA PRIMERA HORA DE VIDA],"SI",Tabla1[NIVEL DE COMPLEJIDAD DE LA ATENCION DE LA INSTITUCION DONDE SE ATENDIO EL PARTO],"BAJA")</f>
        <v>0</v>
      </c>
      <c r="G104" s="142">
        <f>COUNTIFS(Tabla1[AÑO PARTO],$B$4,Tabla1[MES PARTO],G6,Tabla1[SALE DEL PROGRAMA POR],"PARTO",Tabla1[INICIO DE LACTANCIA MATERNA DURANTE EL CONTACTO PIEL A PIEL O EN LA PRIMERA HORA DE VIDA],"SI",Tabla1[NIVEL DE COMPLEJIDAD DE LA ATENCION DE LA INSTITUCION DONDE SE ATENDIO EL PARTO],"BAJA")</f>
        <v>0</v>
      </c>
      <c r="H104" s="142">
        <f>COUNTIFS(Tabla1[AÑO PARTO],$B$4,Tabla1[MES PARTO],H6,Tabla1[SALE DEL PROGRAMA POR],"PARTO",Tabla1[INICIO DE LACTANCIA MATERNA DURANTE EL CONTACTO PIEL A PIEL O EN LA PRIMERA HORA DE VIDA],"SI",Tabla1[NIVEL DE COMPLEJIDAD DE LA ATENCION DE LA INSTITUCION DONDE SE ATENDIO EL PARTO],"BAJA")</f>
        <v>0</v>
      </c>
      <c r="I104" s="142">
        <f>COUNTIFS(Tabla1[AÑO PARTO],$B$4,Tabla1[MES PARTO],I6,Tabla1[SALE DEL PROGRAMA POR],"PARTO",Tabla1[INICIO DE LACTANCIA MATERNA DURANTE EL CONTACTO PIEL A PIEL O EN LA PRIMERA HORA DE VIDA],"SI",Tabla1[NIVEL DE COMPLEJIDAD DE LA ATENCION DE LA INSTITUCION DONDE SE ATENDIO EL PARTO],"BAJA")</f>
        <v>0</v>
      </c>
      <c r="J104" s="142">
        <f>COUNTIFS(Tabla1[AÑO PARTO],$B$4,Tabla1[MES PARTO],J6,Tabla1[SALE DEL PROGRAMA POR],"PARTO",Tabla1[INICIO DE LACTANCIA MATERNA DURANTE EL CONTACTO PIEL A PIEL O EN LA PRIMERA HORA DE VIDA],"SI",Tabla1[NIVEL DE COMPLEJIDAD DE LA ATENCION DE LA INSTITUCION DONDE SE ATENDIO EL PARTO],"BAJA")</f>
        <v>0</v>
      </c>
      <c r="K104" s="142">
        <f>COUNTIFS(Tabla1[AÑO PARTO],$B$4,Tabla1[MES PARTO],K6,Tabla1[SALE DEL PROGRAMA POR],"PARTO",Tabla1[INICIO DE LACTANCIA MATERNA DURANTE EL CONTACTO PIEL A PIEL O EN LA PRIMERA HORA DE VIDA],"SI",Tabla1[NIVEL DE COMPLEJIDAD DE LA ATENCION DE LA INSTITUCION DONDE SE ATENDIO EL PARTO],"BAJA")</f>
        <v>0</v>
      </c>
      <c r="L104" s="142">
        <f>COUNTIFS(Tabla1[AÑO PARTO],$B$4,Tabla1[MES PARTO],L6,Tabla1[SALE DEL PROGRAMA POR],"PARTO",Tabla1[INICIO DE LACTANCIA MATERNA DURANTE EL CONTACTO PIEL A PIEL O EN LA PRIMERA HORA DE VIDA],"SI",Tabla1[NIVEL DE COMPLEJIDAD DE LA ATENCION DE LA INSTITUCION DONDE SE ATENDIO EL PARTO],"BAJA")</f>
        <v>0</v>
      </c>
      <c r="M104" s="142">
        <f>COUNTIFS(Tabla1[AÑO PARTO],$B$4,Tabla1[MES PARTO],M6,Tabla1[SALE DEL PROGRAMA POR],"PARTO",Tabla1[INICIO DE LACTANCIA MATERNA DURANTE EL CONTACTO PIEL A PIEL O EN LA PRIMERA HORA DE VIDA],"SI",Tabla1[NIVEL DE COMPLEJIDAD DE LA ATENCION DE LA INSTITUCION DONDE SE ATENDIO EL PARTO],"BAJA")</f>
        <v>0</v>
      </c>
      <c r="N104" s="82">
        <f>SUM(B104:M104)</f>
        <v>0</v>
      </c>
    </row>
    <row r="105" spans="1:14 16384:16384" ht="48.75" customHeight="1" thickBot="1" x14ac:dyDescent="0.3">
      <c r="A105" s="136" t="s">
        <v>734</v>
      </c>
      <c r="B105" s="83" t="str">
        <f>IF(B$102=0,"",SUM(B104/B$102))</f>
        <v/>
      </c>
      <c r="C105" s="84">
        <f>IF(C$102=0,"",SUM(C104/C$102))</f>
        <v>0</v>
      </c>
      <c r="D105" s="84">
        <f>IF(D$102=0,"",SUM(D104/D$102))</f>
        <v>0</v>
      </c>
      <c r="E105" s="84">
        <f>IF(E$102=0,"",SUM(E104/E$102))</f>
        <v>0</v>
      </c>
      <c r="F105" s="84">
        <f>IF(F$102=0,"",SUM(F104/F$102))</f>
        <v>0</v>
      </c>
      <c r="G105" s="84" t="str">
        <f>IF(G$102=0,"",SUM(G104/G$102))</f>
        <v/>
      </c>
      <c r="H105" s="84">
        <f>IF(H$102=0,"",SUM(H104/H$102))</f>
        <v>0</v>
      </c>
      <c r="I105" s="84" t="str">
        <f>IF(I$102=0,"",SUM(I104/I$102))</f>
        <v/>
      </c>
      <c r="J105" s="84" t="str">
        <f>IF(J$102=0,"",SUM(J104/J$102))</f>
        <v/>
      </c>
      <c r="K105" s="84" t="str">
        <f>IF(K$102=0,"",SUM(K104/K$102))</f>
        <v/>
      </c>
      <c r="L105" s="84" t="str">
        <f>IF(L$102=0,"",SUM(L104/L$102))</f>
        <v/>
      </c>
      <c r="M105" s="84" t="str">
        <f>IF(M$102=0,"",SUM(M104/M$102))</f>
        <v/>
      </c>
      <c r="N105" s="85">
        <f>IF(N$102=0,"",SUM(N104/N$102))</f>
        <v>0</v>
      </c>
      <c r="XFD105" s="83" t="str">
        <f>IF(XFD$102=0,"",SUM(XFD104/XFD$102))</f>
        <v/>
      </c>
    </row>
    <row r="106" spans="1:14 16384:16384" ht="42.75" customHeight="1" x14ac:dyDescent="0.25">
      <c r="A106" s="53" t="s">
        <v>732</v>
      </c>
      <c r="B106" s="142">
        <f>SUM(COUNTIFS(Tabla1[AÑO PARTO],$B$4,Tabla1[MES PARTO],B6,Tabla1[NIVEL DE COMPLEJIDAD DE LA ATENCION DE LA INSTITUCION DONDE SE ATENDIO EL PARTO],"MEDIANA",Tabla1[SALE DEL PROGRAMA POR],"PARTO",Tabla1[INICIO DE LACTANCIA MATERNA DURANTE EL CONTACTO PIEL A PIEL O EN LA PRIMERA HORA DE VIDA],"SI"),COUNTIFS(Tabla1[AÑO PARTO],$B$4,Tabla1[MES PARTO],B6,Tabla1[NIVEL DE COMPLEJIDAD DE LA ATENCION DE LA INSTITUCION DONDE SE ATENDIO EL PARTO],"MEDIANA",Tabla1[SALE DEL PROGRAMA POR],"CESAREA",Tabla1[INICIO DE LACTANCIA MATERNA DURANTE EL CONTACTO PIEL A PIEL O EN LA PRIMERA HORA DE VIDA],"SI"),COUNTIFS(Tabla1[AÑO PARTO],$B$4,Tabla1[MES PARTO],B6,Tabla1[NIVEL DE COMPLEJIDAD DE LA ATENCION DE LA INSTITUCION DONDE SE ATENDIO EL PARTO],"ALTA",Tabla1[SALE DEL PROGRAMA POR],"PARTO",Tabla1[INICIO DE LACTANCIA MATERNA DURANTE EL CONTACTO PIEL A PIEL O EN LA PRIMERA HORA DE VIDA],"SI"),COUNTIFS(Tabla1[AÑO PARTO],$B$4,Tabla1[MES PARTO],B6,Tabla1[NIVEL DE COMPLEJIDAD DE LA ATENCION DE LA INSTITUCION DONDE SE ATENDIO EL PARTO],"ALTA",Tabla1[SALE DEL PROGRAMA POR],"CESAREA",Tabla1[INICIO DE LACTANCIA MATERNA DURANTE EL CONTACTO PIEL A PIEL O EN LA PRIMERA HORA DE VIDA],"SI"))</f>
        <v>0</v>
      </c>
      <c r="C106" s="142">
        <f>SUM(COUNTIFS(Tabla1[AÑO PARTO],$B$4,Tabla1[MES PARTO],C6,Tabla1[NIVEL DE COMPLEJIDAD DE LA ATENCION DE LA INSTITUCION DONDE SE ATENDIO EL PARTO],"MEDIANA",Tabla1[SALE DEL PROGRAMA POR],"PARTO",Tabla1[INICIO DE LACTANCIA MATERNA DURANTE EL CONTACTO PIEL A PIEL O EN LA PRIMERA HORA DE VIDA],"SI"),COUNTIFS(Tabla1[AÑO PARTO],$B$4,Tabla1[MES PARTO],C6,Tabla1[NIVEL DE COMPLEJIDAD DE LA ATENCION DE LA INSTITUCION DONDE SE ATENDIO EL PARTO],"MEDIANA",Tabla1[SALE DEL PROGRAMA POR],"CESAREA",Tabla1[INICIO DE LACTANCIA MATERNA DURANTE EL CONTACTO PIEL A PIEL O EN LA PRIMERA HORA DE VIDA],"SI"),COUNTIFS(Tabla1[AÑO PARTO],$B$4,Tabla1[MES PARTO],C6,Tabla1[NIVEL DE COMPLEJIDAD DE LA ATENCION DE LA INSTITUCION DONDE SE ATENDIO EL PARTO],"ALTA",Tabla1[SALE DEL PROGRAMA POR],"PARTO",Tabla1[INICIO DE LACTANCIA MATERNA DURANTE EL CONTACTO PIEL A PIEL O EN LA PRIMERA HORA DE VIDA],"SI"),COUNTIFS(Tabla1[AÑO PARTO],$B$4,Tabla1[MES PARTO],C6,Tabla1[NIVEL DE COMPLEJIDAD DE LA ATENCION DE LA INSTITUCION DONDE SE ATENDIO EL PARTO],"ALTA",Tabla1[SALE DEL PROGRAMA POR],"CESAREA",Tabla1[INICIO DE LACTANCIA MATERNA DURANTE EL CONTACTO PIEL A PIEL O EN LA PRIMERA HORA DE VIDA],"SI"))</f>
        <v>0</v>
      </c>
      <c r="D106" s="142">
        <f>SUM(COUNTIFS(Tabla1[AÑO PARTO],$B$4,Tabla1[MES PARTO],D6,Tabla1[NIVEL DE COMPLEJIDAD DE LA ATENCION DE LA INSTITUCION DONDE SE ATENDIO EL PARTO],"MEDIANA",Tabla1[SALE DEL PROGRAMA POR],"PARTO",Tabla1[INICIO DE LACTANCIA MATERNA DURANTE EL CONTACTO PIEL A PIEL O EN LA PRIMERA HORA DE VIDA],"SI"),COUNTIFS(Tabla1[AÑO PARTO],$B$4,Tabla1[MES PARTO],D6,Tabla1[NIVEL DE COMPLEJIDAD DE LA ATENCION DE LA INSTITUCION DONDE SE ATENDIO EL PARTO],"MEDIANA",Tabla1[SALE DEL PROGRAMA POR],"CESAREA",Tabla1[INICIO DE LACTANCIA MATERNA DURANTE EL CONTACTO PIEL A PIEL O EN LA PRIMERA HORA DE VIDA],"SI"),COUNTIFS(Tabla1[AÑO PARTO],$B$4,Tabla1[MES PARTO],D6,Tabla1[NIVEL DE COMPLEJIDAD DE LA ATENCION DE LA INSTITUCION DONDE SE ATENDIO EL PARTO],"ALTA",Tabla1[SALE DEL PROGRAMA POR],"PARTO",Tabla1[INICIO DE LACTANCIA MATERNA DURANTE EL CONTACTO PIEL A PIEL O EN LA PRIMERA HORA DE VIDA],"SI"),COUNTIFS(Tabla1[AÑO PARTO],$B$4,Tabla1[MES PARTO],D6,Tabla1[NIVEL DE COMPLEJIDAD DE LA ATENCION DE LA INSTITUCION DONDE SE ATENDIO EL PARTO],"ALTA",Tabla1[SALE DEL PROGRAMA POR],"CESAREA",Tabla1[INICIO DE LACTANCIA MATERNA DURANTE EL CONTACTO PIEL A PIEL O EN LA PRIMERA HORA DE VIDA],"SI"))</f>
        <v>0</v>
      </c>
      <c r="E106" s="142">
        <f>SUM(COUNTIFS(Tabla1[AÑO PARTO],$B$4,Tabla1[MES PARTO],E6,Tabla1[NIVEL DE COMPLEJIDAD DE LA ATENCION DE LA INSTITUCION DONDE SE ATENDIO EL PARTO],"MEDIANA",Tabla1[SALE DEL PROGRAMA POR],"PARTO",Tabla1[INICIO DE LACTANCIA MATERNA DURANTE EL CONTACTO PIEL A PIEL O EN LA PRIMERA HORA DE VIDA],"SI"),COUNTIFS(Tabla1[AÑO PARTO],$B$4,Tabla1[MES PARTO],E6,Tabla1[NIVEL DE COMPLEJIDAD DE LA ATENCION DE LA INSTITUCION DONDE SE ATENDIO EL PARTO],"MEDIANA",Tabla1[SALE DEL PROGRAMA POR],"CESAREA",Tabla1[INICIO DE LACTANCIA MATERNA DURANTE EL CONTACTO PIEL A PIEL O EN LA PRIMERA HORA DE VIDA],"SI"),COUNTIFS(Tabla1[AÑO PARTO],$B$4,Tabla1[MES PARTO],E6,Tabla1[NIVEL DE COMPLEJIDAD DE LA ATENCION DE LA INSTITUCION DONDE SE ATENDIO EL PARTO],"ALTA",Tabla1[SALE DEL PROGRAMA POR],"PARTO",Tabla1[INICIO DE LACTANCIA MATERNA DURANTE EL CONTACTO PIEL A PIEL O EN LA PRIMERA HORA DE VIDA],"SI"),COUNTIFS(Tabla1[AÑO PARTO],$B$4,Tabla1[MES PARTO],E6,Tabla1[NIVEL DE COMPLEJIDAD DE LA ATENCION DE LA INSTITUCION DONDE SE ATENDIO EL PARTO],"ALTA",Tabla1[SALE DEL PROGRAMA POR],"CESAREA",Tabla1[INICIO DE LACTANCIA MATERNA DURANTE EL CONTACTO PIEL A PIEL O EN LA PRIMERA HORA DE VIDA],"SI"))</f>
        <v>0</v>
      </c>
      <c r="F106" s="142">
        <f>SUM(COUNTIFS(Tabla1[AÑO PARTO],$B$4,Tabla1[MES PARTO],F6,Tabla1[NIVEL DE COMPLEJIDAD DE LA ATENCION DE LA INSTITUCION DONDE SE ATENDIO EL PARTO],"MEDIANA",Tabla1[SALE DEL PROGRAMA POR],"PARTO",Tabla1[INICIO DE LACTANCIA MATERNA DURANTE EL CONTACTO PIEL A PIEL O EN LA PRIMERA HORA DE VIDA],"SI"),COUNTIFS(Tabla1[AÑO PARTO],$B$4,Tabla1[MES PARTO],F6,Tabla1[NIVEL DE COMPLEJIDAD DE LA ATENCION DE LA INSTITUCION DONDE SE ATENDIO EL PARTO],"MEDIANA",Tabla1[SALE DEL PROGRAMA POR],"CESAREA",Tabla1[INICIO DE LACTANCIA MATERNA DURANTE EL CONTACTO PIEL A PIEL O EN LA PRIMERA HORA DE VIDA],"SI"),COUNTIFS(Tabla1[AÑO PARTO],$B$4,Tabla1[MES PARTO],F6,Tabla1[NIVEL DE COMPLEJIDAD DE LA ATENCION DE LA INSTITUCION DONDE SE ATENDIO EL PARTO],"ALTA",Tabla1[SALE DEL PROGRAMA POR],"PARTO",Tabla1[INICIO DE LACTANCIA MATERNA DURANTE EL CONTACTO PIEL A PIEL O EN LA PRIMERA HORA DE VIDA],"SI"),COUNTIFS(Tabla1[AÑO PARTO],$B$4,Tabla1[MES PARTO],F6,Tabla1[NIVEL DE COMPLEJIDAD DE LA ATENCION DE LA INSTITUCION DONDE SE ATENDIO EL PARTO],"ALTA",Tabla1[SALE DEL PROGRAMA POR],"CESAREA",Tabla1[INICIO DE LACTANCIA MATERNA DURANTE EL CONTACTO PIEL A PIEL O EN LA PRIMERA HORA DE VIDA],"SI"))</f>
        <v>0</v>
      </c>
      <c r="G106" s="142">
        <f>SUM(COUNTIFS(Tabla1[AÑO PARTO],$B$4,Tabla1[MES PARTO],G6,Tabla1[NIVEL DE COMPLEJIDAD DE LA ATENCION DE LA INSTITUCION DONDE SE ATENDIO EL PARTO],"MEDIANA",Tabla1[SALE DEL PROGRAMA POR],"PARTO",Tabla1[INICIO DE LACTANCIA MATERNA DURANTE EL CONTACTO PIEL A PIEL O EN LA PRIMERA HORA DE VIDA],"SI"),COUNTIFS(Tabla1[AÑO PARTO],$B$4,Tabla1[MES PARTO],G6,Tabla1[NIVEL DE COMPLEJIDAD DE LA ATENCION DE LA INSTITUCION DONDE SE ATENDIO EL PARTO],"MEDIANA",Tabla1[SALE DEL PROGRAMA POR],"CESAREA",Tabla1[INICIO DE LACTANCIA MATERNA DURANTE EL CONTACTO PIEL A PIEL O EN LA PRIMERA HORA DE VIDA],"SI"),COUNTIFS(Tabla1[AÑO PARTO],$B$4,Tabla1[MES PARTO],G6,Tabla1[NIVEL DE COMPLEJIDAD DE LA ATENCION DE LA INSTITUCION DONDE SE ATENDIO EL PARTO],"ALTA",Tabla1[SALE DEL PROGRAMA POR],"PARTO",Tabla1[INICIO DE LACTANCIA MATERNA DURANTE EL CONTACTO PIEL A PIEL O EN LA PRIMERA HORA DE VIDA],"SI"),COUNTIFS(Tabla1[AÑO PARTO],$B$4,Tabla1[MES PARTO],G6,Tabla1[NIVEL DE COMPLEJIDAD DE LA ATENCION DE LA INSTITUCION DONDE SE ATENDIO EL PARTO],"ALTA",Tabla1[SALE DEL PROGRAMA POR],"CESAREA",Tabla1[INICIO DE LACTANCIA MATERNA DURANTE EL CONTACTO PIEL A PIEL O EN LA PRIMERA HORA DE VIDA],"SI"))</f>
        <v>0</v>
      </c>
      <c r="H106" s="142">
        <f>SUM(COUNTIFS(Tabla1[AÑO PARTO],$B$4,Tabla1[MES PARTO],H6,Tabla1[NIVEL DE COMPLEJIDAD DE LA ATENCION DE LA INSTITUCION DONDE SE ATENDIO EL PARTO],"MEDIANA",Tabla1[SALE DEL PROGRAMA POR],"PARTO",Tabla1[INICIO DE LACTANCIA MATERNA DURANTE EL CONTACTO PIEL A PIEL O EN LA PRIMERA HORA DE VIDA],"SI"),COUNTIFS(Tabla1[AÑO PARTO],$B$4,Tabla1[MES PARTO],H6,Tabla1[NIVEL DE COMPLEJIDAD DE LA ATENCION DE LA INSTITUCION DONDE SE ATENDIO EL PARTO],"MEDIANA",Tabla1[SALE DEL PROGRAMA POR],"CESAREA",Tabla1[INICIO DE LACTANCIA MATERNA DURANTE EL CONTACTO PIEL A PIEL O EN LA PRIMERA HORA DE VIDA],"SI"),COUNTIFS(Tabla1[AÑO PARTO],$B$4,Tabla1[MES PARTO],H6,Tabla1[NIVEL DE COMPLEJIDAD DE LA ATENCION DE LA INSTITUCION DONDE SE ATENDIO EL PARTO],"ALTA",Tabla1[SALE DEL PROGRAMA POR],"PARTO",Tabla1[INICIO DE LACTANCIA MATERNA DURANTE EL CONTACTO PIEL A PIEL O EN LA PRIMERA HORA DE VIDA],"SI"),COUNTIFS(Tabla1[AÑO PARTO],$B$4,Tabla1[MES PARTO],H6,Tabla1[NIVEL DE COMPLEJIDAD DE LA ATENCION DE LA INSTITUCION DONDE SE ATENDIO EL PARTO],"ALTA",Tabla1[SALE DEL PROGRAMA POR],"CESAREA",Tabla1[INICIO DE LACTANCIA MATERNA DURANTE EL CONTACTO PIEL A PIEL O EN LA PRIMERA HORA DE VIDA],"SI"))</f>
        <v>0</v>
      </c>
      <c r="I106" s="142">
        <f>SUM(COUNTIFS(Tabla1[AÑO PARTO],$B$4,Tabla1[MES PARTO],I6,Tabla1[NIVEL DE COMPLEJIDAD DE LA ATENCION DE LA INSTITUCION DONDE SE ATENDIO EL PARTO],"MEDIANA",Tabla1[SALE DEL PROGRAMA POR],"PARTO",Tabla1[INICIO DE LACTANCIA MATERNA DURANTE EL CONTACTO PIEL A PIEL O EN LA PRIMERA HORA DE VIDA],"SI"),COUNTIFS(Tabla1[AÑO PARTO],$B$4,Tabla1[MES PARTO],I6,Tabla1[NIVEL DE COMPLEJIDAD DE LA ATENCION DE LA INSTITUCION DONDE SE ATENDIO EL PARTO],"MEDIANA",Tabla1[SALE DEL PROGRAMA POR],"CESAREA",Tabla1[INICIO DE LACTANCIA MATERNA DURANTE EL CONTACTO PIEL A PIEL O EN LA PRIMERA HORA DE VIDA],"SI"),COUNTIFS(Tabla1[AÑO PARTO],$B$4,Tabla1[MES PARTO],I6,Tabla1[NIVEL DE COMPLEJIDAD DE LA ATENCION DE LA INSTITUCION DONDE SE ATENDIO EL PARTO],"ALTA",Tabla1[SALE DEL PROGRAMA POR],"PARTO",Tabla1[INICIO DE LACTANCIA MATERNA DURANTE EL CONTACTO PIEL A PIEL O EN LA PRIMERA HORA DE VIDA],"SI"),COUNTIFS(Tabla1[AÑO PARTO],$B$4,Tabla1[MES PARTO],I6,Tabla1[NIVEL DE COMPLEJIDAD DE LA ATENCION DE LA INSTITUCION DONDE SE ATENDIO EL PARTO],"ALTA",Tabla1[SALE DEL PROGRAMA POR],"CESAREA",Tabla1[INICIO DE LACTANCIA MATERNA DURANTE EL CONTACTO PIEL A PIEL O EN LA PRIMERA HORA DE VIDA],"SI"))</f>
        <v>0</v>
      </c>
      <c r="J106" s="142">
        <f>SUM(COUNTIFS(Tabla1[AÑO PARTO],$B$4,Tabla1[MES PARTO],J6,Tabla1[NIVEL DE COMPLEJIDAD DE LA ATENCION DE LA INSTITUCION DONDE SE ATENDIO EL PARTO],"MEDIANA",Tabla1[SALE DEL PROGRAMA POR],"PARTO",Tabla1[INICIO DE LACTANCIA MATERNA DURANTE EL CONTACTO PIEL A PIEL O EN LA PRIMERA HORA DE VIDA],"SI"),COUNTIFS(Tabla1[AÑO PARTO],$B$4,Tabla1[MES PARTO],J6,Tabla1[NIVEL DE COMPLEJIDAD DE LA ATENCION DE LA INSTITUCION DONDE SE ATENDIO EL PARTO],"MEDIANA",Tabla1[SALE DEL PROGRAMA POR],"CESAREA",Tabla1[INICIO DE LACTANCIA MATERNA DURANTE EL CONTACTO PIEL A PIEL O EN LA PRIMERA HORA DE VIDA],"SI"),COUNTIFS(Tabla1[AÑO PARTO],$B$4,Tabla1[MES PARTO],J6,Tabla1[NIVEL DE COMPLEJIDAD DE LA ATENCION DE LA INSTITUCION DONDE SE ATENDIO EL PARTO],"ALTA",Tabla1[SALE DEL PROGRAMA POR],"PARTO",Tabla1[INICIO DE LACTANCIA MATERNA DURANTE EL CONTACTO PIEL A PIEL O EN LA PRIMERA HORA DE VIDA],"SI"),COUNTIFS(Tabla1[AÑO PARTO],$B$4,Tabla1[MES PARTO],J6,Tabla1[NIVEL DE COMPLEJIDAD DE LA ATENCION DE LA INSTITUCION DONDE SE ATENDIO EL PARTO],"ALTA",Tabla1[SALE DEL PROGRAMA POR],"CESAREA",Tabla1[INICIO DE LACTANCIA MATERNA DURANTE EL CONTACTO PIEL A PIEL O EN LA PRIMERA HORA DE VIDA],"SI"))</f>
        <v>0</v>
      </c>
      <c r="K106" s="142">
        <f>SUM(COUNTIFS(Tabla1[AÑO PARTO],$B$4,Tabla1[MES PARTO],K6,Tabla1[NIVEL DE COMPLEJIDAD DE LA ATENCION DE LA INSTITUCION DONDE SE ATENDIO EL PARTO],"MEDIANA",Tabla1[SALE DEL PROGRAMA POR],"PARTO",Tabla1[INICIO DE LACTANCIA MATERNA DURANTE EL CONTACTO PIEL A PIEL O EN LA PRIMERA HORA DE VIDA],"SI"),COUNTIFS(Tabla1[AÑO PARTO],$B$4,Tabla1[MES PARTO],K6,Tabla1[NIVEL DE COMPLEJIDAD DE LA ATENCION DE LA INSTITUCION DONDE SE ATENDIO EL PARTO],"MEDIANA",Tabla1[SALE DEL PROGRAMA POR],"CESAREA",Tabla1[INICIO DE LACTANCIA MATERNA DURANTE EL CONTACTO PIEL A PIEL O EN LA PRIMERA HORA DE VIDA],"SI"),COUNTIFS(Tabla1[AÑO PARTO],$B$4,Tabla1[MES PARTO],K6,Tabla1[NIVEL DE COMPLEJIDAD DE LA ATENCION DE LA INSTITUCION DONDE SE ATENDIO EL PARTO],"ALTA",Tabla1[SALE DEL PROGRAMA POR],"PARTO",Tabla1[INICIO DE LACTANCIA MATERNA DURANTE EL CONTACTO PIEL A PIEL O EN LA PRIMERA HORA DE VIDA],"SI"),COUNTIFS(Tabla1[AÑO PARTO],$B$4,Tabla1[MES PARTO],K6,Tabla1[NIVEL DE COMPLEJIDAD DE LA ATENCION DE LA INSTITUCION DONDE SE ATENDIO EL PARTO],"ALTA",Tabla1[SALE DEL PROGRAMA POR],"CESAREA",Tabla1[INICIO DE LACTANCIA MATERNA DURANTE EL CONTACTO PIEL A PIEL O EN LA PRIMERA HORA DE VIDA],"SI"))</f>
        <v>0</v>
      </c>
      <c r="L106" s="142">
        <f>SUM(COUNTIFS(Tabla1[AÑO PARTO],$B$4,Tabla1[MES PARTO],L6,Tabla1[NIVEL DE COMPLEJIDAD DE LA ATENCION DE LA INSTITUCION DONDE SE ATENDIO EL PARTO],"MEDIANA",Tabla1[SALE DEL PROGRAMA POR],"PARTO",Tabla1[INICIO DE LACTANCIA MATERNA DURANTE EL CONTACTO PIEL A PIEL O EN LA PRIMERA HORA DE VIDA],"SI"),COUNTIFS(Tabla1[AÑO PARTO],$B$4,Tabla1[MES PARTO],L6,Tabla1[NIVEL DE COMPLEJIDAD DE LA ATENCION DE LA INSTITUCION DONDE SE ATENDIO EL PARTO],"MEDIANA",Tabla1[SALE DEL PROGRAMA POR],"CESAREA",Tabla1[INICIO DE LACTANCIA MATERNA DURANTE EL CONTACTO PIEL A PIEL O EN LA PRIMERA HORA DE VIDA],"SI"),COUNTIFS(Tabla1[AÑO PARTO],$B$4,Tabla1[MES PARTO],L6,Tabla1[NIVEL DE COMPLEJIDAD DE LA ATENCION DE LA INSTITUCION DONDE SE ATENDIO EL PARTO],"ALTA",Tabla1[SALE DEL PROGRAMA POR],"PARTO",Tabla1[INICIO DE LACTANCIA MATERNA DURANTE EL CONTACTO PIEL A PIEL O EN LA PRIMERA HORA DE VIDA],"SI"),COUNTIFS(Tabla1[AÑO PARTO],$B$4,Tabla1[MES PARTO],L6,Tabla1[NIVEL DE COMPLEJIDAD DE LA ATENCION DE LA INSTITUCION DONDE SE ATENDIO EL PARTO],"ALTA",Tabla1[SALE DEL PROGRAMA POR],"CESAREA",Tabla1[INICIO DE LACTANCIA MATERNA DURANTE EL CONTACTO PIEL A PIEL O EN LA PRIMERA HORA DE VIDA],"SI"))</f>
        <v>0</v>
      </c>
      <c r="M106" s="142">
        <f>SUM(COUNTIFS(Tabla1[AÑO PARTO],$B$4,Tabla1[MES PARTO],M6,Tabla1[NIVEL DE COMPLEJIDAD DE LA ATENCION DE LA INSTITUCION DONDE SE ATENDIO EL PARTO],"MEDIANA",Tabla1[SALE DEL PROGRAMA POR],"PARTO",Tabla1[INICIO DE LACTANCIA MATERNA DURANTE EL CONTACTO PIEL A PIEL O EN LA PRIMERA HORA DE VIDA],"SI"),COUNTIFS(Tabla1[AÑO PARTO],$B$4,Tabla1[MES PARTO],M6,Tabla1[NIVEL DE COMPLEJIDAD DE LA ATENCION DE LA INSTITUCION DONDE SE ATENDIO EL PARTO],"MEDIANA",Tabla1[SALE DEL PROGRAMA POR],"CESAREA",Tabla1[INICIO DE LACTANCIA MATERNA DURANTE EL CONTACTO PIEL A PIEL O EN LA PRIMERA HORA DE VIDA],"SI"),COUNTIFS(Tabla1[AÑO PARTO],$B$4,Tabla1[MES PARTO],M6,Tabla1[NIVEL DE COMPLEJIDAD DE LA ATENCION DE LA INSTITUCION DONDE SE ATENDIO EL PARTO],"ALTA",Tabla1[SALE DEL PROGRAMA POR],"PARTO",Tabla1[INICIO DE LACTANCIA MATERNA DURANTE EL CONTACTO PIEL A PIEL O EN LA PRIMERA HORA DE VIDA],"SI"),COUNTIFS(Tabla1[AÑO PARTO],$B$4,Tabla1[MES PARTO],M6,Tabla1[NIVEL DE COMPLEJIDAD DE LA ATENCION DE LA INSTITUCION DONDE SE ATENDIO EL PARTO],"ALTA",Tabla1[SALE DEL PROGRAMA POR],"CESAREA",Tabla1[INICIO DE LACTANCIA MATERNA DURANTE EL CONTACTO PIEL A PIEL O EN LA PRIMERA HORA DE VIDA],"SI"))</f>
        <v>0</v>
      </c>
      <c r="N106" s="82">
        <f>SUM(B106:M106)</f>
        <v>0</v>
      </c>
    </row>
    <row r="107" spans="1:14 16384:16384" ht="42.75" customHeight="1" thickBot="1" x14ac:dyDescent="0.3">
      <c r="A107" s="162" t="s">
        <v>694</v>
      </c>
      <c r="B107" s="142">
        <f>SUM(COUNTIFS(Tabla1[AÑO PARTO],$B$4,Tabla1[MES PARTO],B6,Tabla1[NIVEL DE COMPLEJIDAD DE LA ATENCION DE LA INSTITUCION DONDE SE ATENDIO EL PARTO],"MEDIANA",Tabla1[SALE DEL PROGRAMA POR],"PARTO"),COUNTIFS(Tabla1[AÑO PARTO],$B$4,Tabla1[MES PARTO],B6,Tabla1[NIVEL DE COMPLEJIDAD DE LA ATENCION DE LA INSTITUCION DONDE SE ATENDIO EL PARTO],"MEDIANA",Tabla1[SALE DEL PROGRAMA POR],"CESAREA"),COUNTIFS(Tabla1[AÑO PARTO],$B$4,Tabla1[MES PARTO],B6,Tabla1[NIVEL DE COMPLEJIDAD DE LA ATENCION DE LA INSTITUCION DONDE SE ATENDIO EL PARTO],"ALTA",Tabla1[SALE DEL PROGRAMA POR],"PARTO"),COUNTIFS(Tabla1[AÑO PARTO],$B$4,Tabla1[MES PARTO],B6,Tabla1[NIVEL DE COMPLEJIDAD DE LA ATENCION DE LA INSTITUCION DONDE SE ATENDIO EL PARTO],"ALTA",Tabla1[SALE DEL PROGRAMA POR],"CESAREA"))</f>
        <v>0</v>
      </c>
      <c r="C107" s="142">
        <f>SUM(COUNTIFS(Tabla1[AÑO PARTO],$B$4,Tabla1[MES PARTO],C6,Tabla1[NIVEL DE COMPLEJIDAD DE LA ATENCION DE LA INSTITUCION DONDE SE ATENDIO EL PARTO],"MEDIANA",Tabla1[SALE DEL PROGRAMA POR],"PARTO"),COUNTIFS(Tabla1[AÑO PARTO],$B$4,Tabla1[MES PARTO],C6,Tabla1[NIVEL DE COMPLEJIDAD DE LA ATENCION DE LA INSTITUCION DONDE SE ATENDIO EL PARTO],"MEDIANA",Tabla1[SALE DEL PROGRAMA POR],"CESAREA"),COUNTIFS(Tabla1[AÑO PARTO],$B$4,Tabla1[MES PARTO],C6,Tabla1[NIVEL DE COMPLEJIDAD DE LA ATENCION DE LA INSTITUCION DONDE SE ATENDIO EL PARTO],"ALTA",Tabla1[SALE DEL PROGRAMA POR],"PARTO"),COUNTIFS(Tabla1[AÑO PARTO],$B$4,Tabla1[MES PARTO],C6,Tabla1[NIVEL DE COMPLEJIDAD DE LA ATENCION DE LA INSTITUCION DONDE SE ATENDIO EL PARTO],"ALTA",Tabla1[SALE DEL PROGRAMA POR],"CESAREA"))</f>
        <v>1</v>
      </c>
      <c r="D107" s="142">
        <f>SUM(COUNTIFS(Tabla1[AÑO PARTO],$B$4,Tabla1[MES PARTO],D6,Tabla1[NIVEL DE COMPLEJIDAD DE LA ATENCION DE LA INSTITUCION DONDE SE ATENDIO EL PARTO],"MEDIANA",Tabla1[SALE DEL PROGRAMA POR],"PARTO"),COUNTIFS(Tabla1[AÑO PARTO],$B$4,Tabla1[MES PARTO],D6,Tabla1[NIVEL DE COMPLEJIDAD DE LA ATENCION DE LA INSTITUCION DONDE SE ATENDIO EL PARTO],"MEDIANA",Tabla1[SALE DEL PROGRAMA POR],"CESAREA"),COUNTIFS(Tabla1[AÑO PARTO],$B$4,Tabla1[MES PARTO],D6,Tabla1[NIVEL DE COMPLEJIDAD DE LA ATENCION DE LA INSTITUCION DONDE SE ATENDIO EL PARTO],"ALTA",Tabla1[SALE DEL PROGRAMA POR],"PARTO"),COUNTIFS(Tabla1[AÑO PARTO],$B$4,Tabla1[MES PARTO],D6,Tabla1[NIVEL DE COMPLEJIDAD DE LA ATENCION DE LA INSTITUCION DONDE SE ATENDIO EL PARTO],"ALTA",Tabla1[SALE DEL PROGRAMA POR],"CESAREA"))</f>
        <v>7</v>
      </c>
      <c r="E107" s="142">
        <f>SUM(COUNTIFS(Tabla1[AÑO PARTO],$B$4,Tabla1[MES PARTO],E6,Tabla1[NIVEL DE COMPLEJIDAD DE LA ATENCION DE LA INSTITUCION DONDE SE ATENDIO EL PARTO],"MEDIANA",Tabla1[SALE DEL PROGRAMA POR],"PARTO"),COUNTIFS(Tabla1[AÑO PARTO],$B$4,Tabla1[MES PARTO],E6,Tabla1[NIVEL DE COMPLEJIDAD DE LA ATENCION DE LA INSTITUCION DONDE SE ATENDIO EL PARTO],"MEDIANA",Tabla1[SALE DEL PROGRAMA POR],"CESAREA"),COUNTIFS(Tabla1[AÑO PARTO],$B$4,Tabla1[MES PARTO],E6,Tabla1[NIVEL DE COMPLEJIDAD DE LA ATENCION DE LA INSTITUCION DONDE SE ATENDIO EL PARTO],"ALTA",Tabla1[SALE DEL PROGRAMA POR],"PARTO"),COUNTIFS(Tabla1[AÑO PARTO],$B$4,Tabla1[MES PARTO],E6,Tabla1[NIVEL DE COMPLEJIDAD DE LA ATENCION DE LA INSTITUCION DONDE SE ATENDIO EL PARTO],"ALTA",Tabla1[SALE DEL PROGRAMA POR],"CESAREA"))</f>
        <v>9</v>
      </c>
      <c r="F107" s="142">
        <f>SUM(COUNTIFS(Tabla1[AÑO PARTO],$B$4,Tabla1[MES PARTO],F6,Tabla1[NIVEL DE COMPLEJIDAD DE LA ATENCION DE LA INSTITUCION DONDE SE ATENDIO EL PARTO],"MEDIANA",Tabla1[SALE DEL PROGRAMA POR],"PARTO"),COUNTIFS(Tabla1[AÑO PARTO],$B$4,Tabla1[MES PARTO],F6,Tabla1[NIVEL DE COMPLEJIDAD DE LA ATENCION DE LA INSTITUCION DONDE SE ATENDIO EL PARTO],"MEDIANA",Tabla1[SALE DEL PROGRAMA POR],"CESAREA"),COUNTIFS(Tabla1[AÑO PARTO],$B$4,Tabla1[MES PARTO],F6,Tabla1[NIVEL DE COMPLEJIDAD DE LA ATENCION DE LA INSTITUCION DONDE SE ATENDIO EL PARTO],"ALTA",Tabla1[SALE DEL PROGRAMA POR],"PARTO"),COUNTIFS(Tabla1[AÑO PARTO],$B$4,Tabla1[MES PARTO],F6,Tabla1[NIVEL DE COMPLEJIDAD DE LA ATENCION DE LA INSTITUCION DONDE SE ATENDIO EL PARTO],"ALTA",Tabla1[SALE DEL PROGRAMA POR],"CESAREA"))</f>
        <v>15</v>
      </c>
      <c r="G107" s="142">
        <f>SUM(COUNTIFS(Tabla1[AÑO PARTO],$B$4,Tabla1[MES PARTO],G6,Tabla1[NIVEL DE COMPLEJIDAD DE LA ATENCION DE LA INSTITUCION DONDE SE ATENDIO EL PARTO],"MEDIANA",Tabla1[SALE DEL PROGRAMA POR],"PARTO"),COUNTIFS(Tabla1[AÑO PARTO],$B$4,Tabla1[MES PARTO],G6,Tabla1[NIVEL DE COMPLEJIDAD DE LA ATENCION DE LA INSTITUCION DONDE SE ATENDIO EL PARTO],"MEDIANA",Tabla1[SALE DEL PROGRAMA POR],"CESAREA"),COUNTIFS(Tabla1[AÑO PARTO],$B$4,Tabla1[MES PARTO],G6,Tabla1[NIVEL DE COMPLEJIDAD DE LA ATENCION DE LA INSTITUCION DONDE SE ATENDIO EL PARTO],"ALTA",Tabla1[SALE DEL PROGRAMA POR],"PARTO"),COUNTIFS(Tabla1[AÑO PARTO],$B$4,Tabla1[MES PARTO],G6,Tabla1[NIVEL DE COMPLEJIDAD DE LA ATENCION DE LA INSTITUCION DONDE SE ATENDIO EL PARTO],"ALTA",Tabla1[SALE DEL PROGRAMA POR],"CESAREA"))</f>
        <v>5</v>
      </c>
      <c r="H107" s="142">
        <f>SUM(COUNTIFS(Tabla1[AÑO PARTO],$B$4,Tabla1[MES PARTO],H6,Tabla1[NIVEL DE COMPLEJIDAD DE LA ATENCION DE LA INSTITUCION DONDE SE ATENDIO EL PARTO],"MEDIANA",Tabla1[SALE DEL PROGRAMA POR],"PARTO"),COUNTIFS(Tabla1[AÑO PARTO],$B$4,Tabla1[MES PARTO],H6,Tabla1[NIVEL DE COMPLEJIDAD DE LA ATENCION DE LA INSTITUCION DONDE SE ATENDIO EL PARTO],"MEDIANA",Tabla1[SALE DEL PROGRAMA POR],"CESAREA"),COUNTIFS(Tabla1[AÑO PARTO],$B$4,Tabla1[MES PARTO],H6,Tabla1[NIVEL DE COMPLEJIDAD DE LA ATENCION DE LA INSTITUCION DONDE SE ATENDIO EL PARTO],"ALTA",Tabla1[SALE DEL PROGRAMA POR],"PARTO"),COUNTIFS(Tabla1[AÑO PARTO],$B$4,Tabla1[MES PARTO],H6,Tabla1[NIVEL DE COMPLEJIDAD DE LA ATENCION DE LA INSTITUCION DONDE SE ATENDIO EL PARTO],"ALTA",Tabla1[SALE DEL PROGRAMA POR],"CESAREA"))</f>
        <v>10</v>
      </c>
      <c r="I107" s="142">
        <f>SUM(COUNTIFS(Tabla1[AÑO PARTO],$B$4,Tabla1[MES PARTO],I6,Tabla1[NIVEL DE COMPLEJIDAD DE LA ATENCION DE LA INSTITUCION DONDE SE ATENDIO EL PARTO],"MEDIANA",Tabla1[SALE DEL PROGRAMA POR],"PARTO"),COUNTIFS(Tabla1[AÑO PARTO],$B$4,Tabla1[MES PARTO],I6,Tabla1[NIVEL DE COMPLEJIDAD DE LA ATENCION DE LA INSTITUCION DONDE SE ATENDIO EL PARTO],"MEDIANA",Tabla1[SALE DEL PROGRAMA POR],"CESAREA"),COUNTIFS(Tabla1[AÑO PARTO],$B$4,Tabla1[MES PARTO],I6,Tabla1[NIVEL DE COMPLEJIDAD DE LA ATENCION DE LA INSTITUCION DONDE SE ATENDIO EL PARTO],"ALTA",Tabla1[SALE DEL PROGRAMA POR],"PARTO"),COUNTIFS(Tabla1[AÑO PARTO],$B$4,Tabla1[MES PARTO],I6,Tabla1[NIVEL DE COMPLEJIDAD DE LA ATENCION DE LA INSTITUCION DONDE SE ATENDIO EL PARTO],"ALTA",Tabla1[SALE DEL PROGRAMA POR],"CESAREA"))</f>
        <v>3</v>
      </c>
      <c r="J107" s="142">
        <f>SUM(COUNTIFS(Tabla1[AÑO PARTO],$B$4,Tabla1[MES PARTO],J6,Tabla1[NIVEL DE COMPLEJIDAD DE LA ATENCION DE LA INSTITUCION DONDE SE ATENDIO EL PARTO],"MEDIANA",Tabla1[SALE DEL PROGRAMA POR],"PARTO"),COUNTIFS(Tabla1[AÑO PARTO],$B$4,Tabla1[MES PARTO],J6,Tabla1[NIVEL DE COMPLEJIDAD DE LA ATENCION DE LA INSTITUCION DONDE SE ATENDIO EL PARTO],"MEDIANA",Tabla1[SALE DEL PROGRAMA POR],"CESAREA"),COUNTIFS(Tabla1[AÑO PARTO],$B$4,Tabla1[MES PARTO],J6,Tabla1[NIVEL DE COMPLEJIDAD DE LA ATENCION DE LA INSTITUCION DONDE SE ATENDIO EL PARTO],"ALTA",Tabla1[SALE DEL PROGRAMA POR],"PARTO"),COUNTIFS(Tabla1[AÑO PARTO],$B$4,Tabla1[MES PARTO],J6,Tabla1[NIVEL DE COMPLEJIDAD DE LA ATENCION DE LA INSTITUCION DONDE SE ATENDIO EL PARTO],"ALTA",Tabla1[SALE DEL PROGRAMA POR],"CESAREA"))</f>
        <v>0</v>
      </c>
      <c r="K107" s="142">
        <f>SUM(COUNTIFS(Tabla1[AÑO PARTO],$B$4,Tabla1[MES PARTO],K6,Tabla1[NIVEL DE COMPLEJIDAD DE LA ATENCION DE LA INSTITUCION DONDE SE ATENDIO EL PARTO],"MEDIANA",Tabla1[SALE DEL PROGRAMA POR],"PARTO"),COUNTIFS(Tabla1[AÑO PARTO],$B$4,Tabla1[MES PARTO],K6,Tabla1[NIVEL DE COMPLEJIDAD DE LA ATENCION DE LA INSTITUCION DONDE SE ATENDIO EL PARTO],"MEDIANA",Tabla1[SALE DEL PROGRAMA POR],"CESAREA"),COUNTIFS(Tabla1[AÑO PARTO],$B$4,Tabla1[MES PARTO],K6,Tabla1[NIVEL DE COMPLEJIDAD DE LA ATENCION DE LA INSTITUCION DONDE SE ATENDIO EL PARTO],"ALTA",Tabla1[SALE DEL PROGRAMA POR],"PARTO"),COUNTIFS(Tabla1[AÑO PARTO],$B$4,Tabla1[MES PARTO],K6,Tabla1[NIVEL DE COMPLEJIDAD DE LA ATENCION DE LA INSTITUCION DONDE SE ATENDIO EL PARTO],"ALTA",Tabla1[SALE DEL PROGRAMA POR],"CESAREA"))</f>
        <v>0</v>
      </c>
      <c r="L107" s="142">
        <f>SUM(COUNTIFS(Tabla1[AÑO PARTO],$B$4,Tabla1[MES PARTO],L6,Tabla1[NIVEL DE COMPLEJIDAD DE LA ATENCION DE LA INSTITUCION DONDE SE ATENDIO EL PARTO],"MEDIANA",Tabla1[SALE DEL PROGRAMA POR],"PARTO"),COUNTIFS(Tabla1[AÑO PARTO],$B$4,Tabla1[MES PARTO],L6,Tabla1[NIVEL DE COMPLEJIDAD DE LA ATENCION DE LA INSTITUCION DONDE SE ATENDIO EL PARTO],"MEDIANA",Tabla1[SALE DEL PROGRAMA POR],"CESAREA"),COUNTIFS(Tabla1[AÑO PARTO],$B$4,Tabla1[MES PARTO],L6,Tabla1[NIVEL DE COMPLEJIDAD DE LA ATENCION DE LA INSTITUCION DONDE SE ATENDIO EL PARTO],"ALTA",Tabla1[SALE DEL PROGRAMA POR],"PARTO"),COUNTIFS(Tabla1[AÑO PARTO],$B$4,Tabla1[MES PARTO],L6,Tabla1[NIVEL DE COMPLEJIDAD DE LA ATENCION DE LA INSTITUCION DONDE SE ATENDIO EL PARTO],"ALTA",Tabla1[SALE DEL PROGRAMA POR],"CESAREA"))</f>
        <v>0</v>
      </c>
      <c r="M107" s="142">
        <f>SUM(COUNTIFS(Tabla1[AÑO PARTO],$B$4,Tabla1[MES PARTO],M6,Tabla1[NIVEL DE COMPLEJIDAD DE LA ATENCION DE LA INSTITUCION DONDE SE ATENDIO EL PARTO],"MEDIANA",Tabla1[SALE DEL PROGRAMA POR],"PARTO"),COUNTIFS(Tabla1[AÑO PARTO],$B$4,Tabla1[MES PARTO],M6,Tabla1[NIVEL DE COMPLEJIDAD DE LA ATENCION DE LA INSTITUCION DONDE SE ATENDIO EL PARTO],"MEDIANA",Tabla1[SALE DEL PROGRAMA POR],"CESAREA"),COUNTIFS(Tabla1[AÑO PARTO],$B$4,Tabla1[MES PARTO],M6,Tabla1[NIVEL DE COMPLEJIDAD DE LA ATENCION DE LA INSTITUCION DONDE SE ATENDIO EL PARTO],"ALTA",Tabla1[SALE DEL PROGRAMA POR],"PARTO"),COUNTIFS(Tabla1[AÑO PARTO],$B$4,Tabla1[MES PARTO],M6,Tabla1[NIVEL DE COMPLEJIDAD DE LA ATENCION DE LA INSTITUCION DONDE SE ATENDIO EL PARTO],"ALTA",Tabla1[SALE DEL PROGRAMA POR],"CESAREA"))</f>
        <v>0</v>
      </c>
      <c r="N107" s="82">
        <f>SUM(B107:M107)</f>
        <v>50</v>
      </c>
    </row>
    <row r="108" spans="1:14 16384:16384" ht="54" customHeight="1" thickBot="1" x14ac:dyDescent="0.3">
      <c r="A108" s="153" t="s">
        <v>733</v>
      </c>
      <c r="B108" s="83" t="str">
        <f>IF(B107=0,"",SUM(B106/B107))</f>
        <v/>
      </c>
      <c r="C108" s="84">
        <f>IF(C$107=0,"",SUM(C106/C$107))</f>
        <v>0</v>
      </c>
      <c r="D108" s="84">
        <f>IF(D$107=0,"",SUM(D106/D$107))</f>
        <v>0</v>
      </c>
      <c r="E108" s="84">
        <f>IF(E$107=0,"",SUM(E106/E$107))</f>
        <v>0</v>
      </c>
      <c r="F108" s="84">
        <f>IF(F$107=0,"",SUM(F106/F$107))</f>
        <v>0</v>
      </c>
      <c r="G108" s="84">
        <f>IF(G$107=0,"",SUM(G106/G$107))</f>
        <v>0</v>
      </c>
      <c r="H108" s="84">
        <f>IF(H$107=0,"",SUM(H106/H$107))</f>
        <v>0</v>
      </c>
      <c r="I108" s="84">
        <f>IF(I$107=0,"",SUM(I106/I$107))</f>
        <v>0</v>
      </c>
      <c r="J108" s="84" t="str">
        <f>IF(J$107=0,"",SUM(J106/J$107))</f>
        <v/>
      </c>
      <c r="K108" s="84" t="str">
        <f>IF(K$107=0,"",SUM(K106/K$107))</f>
        <v/>
      </c>
      <c r="L108" s="84" t="str">
        <f>IF(L$107=0,"",SUM(L106/L$107))</f>
        <v/>
      </c>
      <c r="M108" s="84" t="str">
        <f>IF(M$107=0,"",SUM(M106/M$107))</f>
        <v/>
      </c>
      <c r="N108" s="85">
        <f>IF(N$107=0,"",SUM(N106/N$107))</f>
        <v>0</v>
      </c>
      <c r="XFD108" s="83"/>
    </row>
    <row r="109" spans="1:14 16384:16384" ht="30" customHeight="1" x14ac:dyDescent="0.25">
      <c r="A109" s="53" t="s">
        <v>683</v>
      </c>
      <c r="B109" s="142">
        <f>COUNTIFS(Tabla1[AÑO PARTO],$B$4,Tabla1[MES PARTO],B6,Tabla1[SALE DEL PROGRAMA POR],"PARTO",Tabla1[DILIGENCIAMIENTO DE PARTOGRAMA (NO APLICA EN EXPULSIVO)],"SI",Tabla1[NIVEL DE COMPLEJIDAD DE LA ATENCION DE LA INSTITUCION DONDE SE ATENDIO EL PARTO],"BAJA")</f>
        <v>0</v>
      </c>
      <c r="C109" s="142">
        <f>COUNTIFS(Tabla1[AÑO PARTO],$B$4,Tabla1[MES PARTO],C6,Tabla1[SALE DEL PROGRAMA POR],"PARTO",Tabla1[DILIGENCIAMIENTO DE PARTOGRAMA (NO APLICA EN EXPULSIVO)],"SI",Tabla1[NIVEL DE COMPLEJIDAD DE LA ATENCION DE LA INSTITUCION DONDE SE ATENDIO EL PARTO],"BAJA")</f>
        <v>0</v>
      </c>
      <c r="D109" s="142">
        <f>COUNTIFS(Tabla1[AÑO PARTO],$B$4,Tabla1[MES PARTO],D6,Tabla1[SALE DEL PROGRAMA POR],"PARTO",Tabla1[DILIGENCIAMIENTO DE PARTOGRAMA (NO APLICA EN EXPULSIVO)],"SI",Tabla1[NIVEL DE COMPLEJIDAD DE LA ATENCION DE LA INSTITUCION DONDE SE ATENDIO EL PARTO],"BAJA")</f>
        <v>0</v>
      </c>
      <c r="E109" s="142">
        <f>COUNTIFS(Tabla1[AÑO PARTO],$B$4,Tabla1[MES PARTO],E6,Tabla1[SALE DEL PROGRAMA POR],"PARTO",Tabla1[DILIGENCIAMIENTO DE PARTOGRAMA (NO APLICA EN EXPULSIVO)],"SI",Tabla1[NIVEL DE COMPLEJIDAD DE LA ATENCION DE LA INSTITUCION DONDE SE ATENDIO EL PARTO],"BAJA")</f>
        <v>0</v>
      </c>
      <c r="F109" s="142">
        <f>COUNTIFS(Tabla1[AÑO PARTO],$B$4,Tabla1[MES PARTO],F6,Tabla1[SALE DEL PROGRAMA POR],"PARTO",Tabla1[DILIGENCIAMIENTO DE PARTOGRAMA (NO APLICA EN EXPULSIVO)],"SI",Tabla1[NIVEL DE COMPLEJIDAD DE LA ATENCION DE LA INSTITUCION DONDE SE ATENDIO EL PARTO],"BAJA")</f>
        <v>0</v>
      </c>
      <c r="G109" s="142">
        <f>COUNTIFS(Tabla1[AÑO PARTO],$B$4,Tabla1[MES PARTO],G6,Tabla1[SALE DEL PROGRAMA POR],"PARTO",Tabla1[DILIGENCIAMIENTO DE PARTOGRAMA (NO APLICA EN EXPULSIVO)],"SI",Tabla1[NIVEL DE COMPLEJIDAD DE LA ATENCION DE LA INSTITUCION DONDE SE ATENDIO EL PARTO],"BAJA")</f>
        <v>0</v>
      </c>
      <c r="H109" s="142">
        <f>COUNTIFS(Tabla1[AÑO PARTO],$B$4,Tabla1[MES PARTO],H6,Tabla1[SALE DEL PROGRAMA POR],"PARTO",Tabla1[DILIGENCIAMIENTO DE PARTOGRAMA (NO APLICA EN EXPULSIVO)],"SI",Tabla1[NIVEL DE COMPLEJIDAD DE LA ATENCION DE LA INSTITUCION DONDE SE ATENDIO EL PARTO],"BAJA")</f>
        <v>0</v>
      </c>
      <c r="I109" s="142">
        <f>COUNTIFS(Tabla1[AÑO PARTO],$B$4,Tabla1[MES PARTO],I6,Tabla1[SALE DEL PROGRAMA POR],"PARTO",Tabla1[DILIGENCIAMIENTO DE PARTOGRAMA (NO APLICA EN EXPULSIVO)],"SI",Tabla1[NIVEL DE COMPLEJIDAD DE LA ATENCION DE LA INSTITUCION DONDE SE ATENDIO EL PARTO],"BAJA")</f>
        <v>0</v>
      </c>
      <c r="J109" s="142">
        <f>COUNTIFS(Tabla1[AÑO PARTO],$B$4,Tabla1[MES PARTO],J6,Tabla1[SALE DEL PROGRAMA POR],"PARTO",Tabla1[DILIGENCIAMIENTO DE PARTOGRAMA (NO APLICA EN EXPULSIVO)],"SI",Tabla1[NIVEL DE COMPLEJIDAD DE LA ATENCION DE LA INSTITUCION DONDE SE ATENDIO EL PARTO],"BAJA")</f>
        <v>0</v>
      </c>
      <c r="K109" s="142">
        <f>COUNTIFS(Tabla1[AÑO PARTO],$B$4,Tabla1[MES PARTO],K6,Tabla1[SALE DEL PROGRAMA POR],"PARTO",Tabla1[DILIGENCIAMIENTO DE PARTOGRAMA (NO APLICA EN EXPULSIVO)],"SI",Tabla1[NIVEL DE COMPLEJIDAD DE LA ATENCION DE LA INSTITUCION DONDE SE ATENDIO EL PARTO],"BAJA")</f>
        <v>0</v>
      </c>
      <c r="L109" s="142">
        <f>COUNTIFS(Tabla1[AÑO PARTO],$B$4,Tabla1[MES PARTO],L6,Tabla1[SALE DEL PROGRAMA POR],"PARTO",Tabla1[DILIGENCIAMIENTO DE PARTOGRAMA (NO APLICA EN EXPULSIVO)],"SI",Tabla1[NIVEL DE COMPLEJIDAD DE LA ATENCION DE LA INSTITUCION DONDE SE ATENDIO EL PARTO],"BAJA")</f>
        <v>0</v>
      </c>
      <c r="M109" s="142">
        <f>COUNTIFS(Tabla1[AÑO PARTO],$B$4,Tabla1[MES PARTO],M6,Tabla1[SALE DEL PROGRAMA POR],"PARTO",Tabla1[DILIGENCIAMIENTO DE PARTOGRAMA (NO APLICA EN EXPULSIVO)],"SI",Tabla1[NIVEL DE COMPLEJIDAD DE LA ATENCION DE LA INSTITUCION DONDE SE ATENDIO EL PARTO],"BAJA")</f>
        <v>0</v>
      </c>
      <c r="N109" s="82">
        <f>SUM(B109:M109)</f>
        <v>0</v>
      </c>
    </row>
    <row r="110" spans="1:14 16384:16384" ht="48" customHeight="1" thickBot="1" x14ac:dyDescent="0.3">
      <c r="A110" s="162" t="s">
        <v>684</v>
      </c>
      <c r="B110" s="142">
        <f>SUM(COUNTIFS(Tabla1[AÑO PARTO],$B$4,Tabla1[MES PARTO],B6,Tabla1[SALE DEL PROGRAMA POR],"PARTO",Tabla1[NIVEL DE COMPLEJIDAD DE LA ATENCION DE LA INSTITUCION DONDE SE ATENDIO EL PARTO],"BAJA")-COUNTIFS(Tabla1[AÑO PARTO],$B$4,Tabla1[MES PARTO],B6,Tabla1[SALE DEL PROGRAMA POR],"PARTO",Tabla1[DILIGENCIAMIENTO DE PARTOGRAMA (NO APLICA EN EXPULSIVO)],"NO APLICA",Tabla1[NIVEL DE COMPLEJIDAD DE LA ATENCION DE LA INSTITUCION DONDE SE ATENDIO EL PARTO],"BAJA"))</f>
        <v>0</v>
      </c>
      <c r="C110" s="142">
        <f>SUM(COUNTIFS(Tabla1[AÑO PARTO],$B$4,Tabla1[MES PARTO],C6,Tabla1[SALE DEL PROGRAMA POR],"PARTO",Tabla1[NIVEL DE COMPLEJIDAD DE LA ATENCION DE LA INSTITUCION DONDE SE ATENDIO EL PARTO],"BAJA")-COUNTIFS(Tabla1[AÑO PARTO],$B$4,Tabla1[MES PARTO],C6,Tabla1[SALE DEL PROGRAMA POR],"PARTO",Tabla1[DILIGENCIAMIENTO DE PARTOGRAMA (NO APLICA EN EXPULSIVO)],"NO APLICA",Tabla1[NIVEL DE COMPLEJIDAD DE LA ATENCION DE LA INSTITUCION DONDE SE ATENDIO EL PARTO],"BAJA"))</f>
        <v>1</v>
      </c>
      <c r="D110" s="142">
        <f>SUM(COUNTIFS(Tabla1[AÑO PARTO],$B$4,Tabla1[MES PARTO],D6,Tabla1[SALE DEL PROGRAMA POR],"PARTO",Tabla1[NIVEL DE COMPLEJIDAD DE LA ATENCION DE LA INSTITUCION DONDE SE ATENDIO EL PARTO],"BAJA")-COUNTIFS(Tabla1[AÑO PARTO],$B$4,Tabla1[MES PARTO],D6,Tabla1[SALE DEL PROGRAMA POR],"PARTO",Tabla1[DILIGENCIAMIENTO DE PARTOGRAMA (NO APLICA EN EXPULSIVO)],"NO APLICA",Tabla1[NIVEL DE COMPLEJIDAD DE LA ATENCION DE LA INSTITUCION DONDE SE ATENDIO EL PARTO],"BAJA"))</f>
        <v>1</v>
      </c>
      <c r="E110" s="142">
        <f>SUM(COUNTIFS(Tabla1[AÑO PARTO],$B$4,Tabla1[MES PARTO],E6,Tabla1[SALE DEL PROGRAMA POR],"PARTO",Tabla1[NIVEL DE COMPLEJIDAD DE LA ATENCION DE LA INSTITUCION DONDE SE ATENDIO EL PARTO],"BAJA")-COUNTIFS(Tabla1[AÑO PARTO],$B$4,Tabla1[MES PARTO],E6,Tabla1[SALE DEL PROGRAMA POR],"PARTO",Tabla1[DILIGENCIAMIENTO DE PARTOGRAMA (NO APLICA EN EXPULSIVO)],"NO APLICA",Tabla1[NIVEL DE COMPLEJIDAD DE LA ATENCION DE LA INSTITUCION DONDE SE ATENDIO EL PARTO],"BAJA"))</f>
        <v>2</v>
      </c>
      <c r="F110" s="142">
        <f>SUM(COUNTIFS(Tabla1[AÑO PARTO],$B$4,Tabla1[MES PARTO],F6,Tabla1[SALE DEL PROGRAMA POR],"PARTO",Tabla1[NIVEL DE COMPLEJIDAD DE LA ATENCION DE LA INSTITUCION DONDE SE ATENDIO EL PARTO],"BAJA")-COUNTIFS(Tabla1[AÑO PARTO],$B$4,Tabla1[MES PARTO],F6,Tabla1[SALE DEL PROGRAMA POR],"PARTO",Tabla1[DILIGENCIAMIENTO DE PARTOGRAMA (NO APLICA EN EXPULSIVO)],"NO APLICA",Tabla1[NIVEL DE COMPLEJIDAD DE LA ATENCION DE LA INSTITUCION DONDE SE ATENDIO EL PARTO],"BAJA"))</f>
        <v>4</v>
      </c>
      <c r="G110" s="142">
        <f>SUM(COUNTIFS(Tabla1[AÑO PARTO],$B$4,Tabla1[MES PARTO],G6,Tabla1[SALE DEL PROGRAMA POR],"PARTO",Tabla1[NIVEL DE COMPLEJIDAD DE LA ATENCION DE LA INSTITUCION DONDE SE ATENDIO EL PARTO],"BAJA")-COUNTIFS(Tabla1[AÑO PARTO],$B$4,Tabla1[MES PARTO],G6,Tabla1[SALE DEL PROGRAMA POR],"PARTO",Tabla1[DILIGENCIAMIENTO DE PARTOGRAMA (NO APLICA EN EXPULSIVO)],"NO APLICA",Tabla1[NIVEL DE COMPLEJIDAD DE LA ATENCION DE LA INSTITUCION DONDE SE ATENDIO EL PARTO],"BAJA"))</f>
        <v>0</v>
      </c>
      <c r="H110" s="142">
        <f>SUM(COUNTIFS(Tabla1[AÑO PARTO],$B$4,Tabla1[MES PARTO],H6,Tabla1[SALE DEL PROGRAMA POR],"PARTO",Tabla1[NIVEL DE COMPLEJIDAD DE LA ATENCION DE LA INSTITUCION DONDE SE ATENDIO EL PARTO],"BAJA")-COUNTIFS(Tabla1[AÑO PARTO],$B$4,Tabla1[MES PARTO],H6,Tabla1[SALE DEL PROGRAMA POR],"PARTO",Tabla1[DILIGENCIAMIENTO DE PARTOGRAMA (NO APLICA EN EXPULSIVO)],"NO APLICA",Tabla1[NIVEL DE COMPLEJIDAD DE LA ATENCION DE LA INSTITUCION DONDE SE ATENDIO EL PARTO],"BAJA"))</f>
        <v>3</v>
      </c>
      <c r="I110" s="142">
        <f>SUM(COUNTIFS(Tabla1[AÑO PARTO],$B$4,Tabla1[MES PARTO],I6,Tabla1[SALE DEL PROGRAMA POR],"PARTO",Tabla1[NIVEL DE COMPLEJIDAD DE LA ATENCION DE LA INSTITUCION DONDE SE ATENDIO EL PARTO],"BAJA")-COUNTIFS(Tabla1[AÑO PARTO],$B$4,Tabla1[MES PARTO],I6,Tabla1[SALE DEL PROGRAMA POR],"PARTO",Tabla1[DILIGENCIAMIENTO DE PARTOGRAMA (NO APLICA EN EXPULSIVO)],"NO APLICA",Tabla1[NIVEL DE COMPLEJIDAD DE LA ATENCION DE LA INSTITUCION DONDE SE ATENDIO EL PARTO],"BAJA"))</f>
        <v>0</v>
      </c>
      <c r="J110" s="142">
        <f>SUM(COUNTIFS(Tabla1[AÑO PARTO],$B$4,Tabla1[MES PARTO],J6,Tabla1[SALE DEL PROGRAMA POR],"PARTO",Tabla1[NIVEL DE COMPLEJIDAD DE LA ATENCION DE LA INSTITUCION DONDE SE ATENDIO EL PARTO],"BAJA")-COUNTIFS(Tabla1[AÑO PARTO],$B$4,Tabla1[MES PARTO],J6,Tabla1[SALE DEL PROGRAMA POR],"PARTO",Tabla1[DILIGENCIAMIENTO DE PARTOGRAMA (NO APLICA EN EXPULSIVO)],"NO APLICA",Tabla1[NIVEL DE COMPLEJIDAD DE LA ATENCION DE LA INSTITUCION DONDE SE ATENDIO EL PARTO],"BAJA"))</f>
        <v>0</v>
      </c>
      <c r="K110" s="142">
        <f>SUM(COUNTIFS(Tabla1[AÑO PARTO],$B$4,Tabla1[MES PARTO],K6,Tabla1[SALE DEL PROGRAMA POR],"PARTO",Tabla1[NIVEL DE COMPLEJIDAD DE LA ATENCION DE LA INSTITUCION DONDE SE ATENDIO EL PARTO],"BAJA")-COUNTIFS(Tabla1[AÑO PARTO],$B$4,Tabla1[MES PARTO],K6,Tabla1[SALE DEL PROGRAMA POR],"PARTO",Tabla1[DILIGENCIAMIENTO DE PARTOGRAMA (NO APLICA EN EXPULSIVO)],"NO APLICA",Tabla1[NIVEL DE COMPLEJIDAD DE LA ATENCION DE LA INSTITUCION DONDE SE ATENDIO EL PARTO],"BAJA"))</f>
        <v>0</v>
      </c>
      <c r="L110" s="142">
        <f>SUM(COUNTIFS(Tabla1[AÑO PARTO],$B$4,Tabla1[MES PARTO],L6,Tabla1[SALE DEL PROGRAMA POR],"PARTO",Tabla1[NIVEL DE COMPLEJIDAD DE LA ATENCION DE LA INSTITUCION DONDE SE ATENDIO EL PARTO],"BAJA")-COUNTIFS(Tabla1[AÑO PARTO],$B$4,Tabla1[MES PARTO],L6,Tabla1[SALE DEL PROGRAMA POR],"PARTO",Tabla1[DILIGENCIAMIENTO DE PARTOGRAMA (NO APLICA EN EXPULSIVO)],"NO APLICA",Tabla1[NIVEL DE COMPLEJIDAD DE LA ATENCION DE LA INSTITUCION DONDE SE ATENDIO EL PARTO],"BAJA"))</f>
        <v>0</v>
      </c>
      <c r="M110" s="142">
        <f>SUM(COUNTIFS(Tabla1[AÑO PARTO],$B$4,Tabla1[MES PARTO],M6,Tabla1[SALE DEL PROGRAMA POR],"PARTO",Tabla1[NIVEL DE COMPLEJIDAD DE LA ATENCION DE LA INSTITUCION DONDE SE ATENDIO EL PARTO],"BAJA")-COUNTIFS(Tabla1[AÑO PARTO],$B$4,Tabla1[MES PARTO],M6,Tabla1[SALE DEL PROGRAMA POR],"PARTO",Tabla1[DILIGENCIAMIENTO DE PARTOGRAMA (NO APLICA EN EXPULSIVO)],"NO APLICA",Tabla1[NIVEL DE COMPLEJIDAD DE LA ATENCION DE LA INSTITUCION DONDE SE ATENDIO EL PARTO],"BAJA"))</f>
        <v>0</v>
      </c>
      <c r="N110" s="82">
        <f>SUM(B110:M110)</f>
        <v>11</v>
      </c>
    </row>
    <row r="111" spans="1:14 16384:16384" ht="42.75" customHeight="1" thickBot="1" x14ac:dyDescent="0.3">
      <c r="A111" s="154" t="s">
        <v>685</v>
      </c>
      <c r="B111" s="83" t="str">
        <f>IF(B$110=0,"",SUM(B109/B$110))</f>
        <v/>
      </c>
      <c r="C111" s="84">
        <f>IF(C$110=0,"",SUM(C109/C$110))</f>
        <v>0</v>
      </c>
      <c r="D111" s="84">
        <f>IF(D$110=0,"",SUM(D109/D$110))</f>
        <v>0</v>
      </c>
      <c r="E111" s="84">
        <f>IF(E$110=0,"",SUM(E109/E$110))</f>
        <v>0</v>
      </c>
      <c r="F111" s="84">
        <f>IF(F$110=0,"",SUM(F109/F$110))</f>
        <v>0</v>
      </c>
      <c r="G111" s="84" t="str">
        <f>IF(G$110=0,"",SUM(G109/G$110))</f>
        <v/>
      </c>
      <c r="H111" s="84">
        <f>IF(H$110=0,"",SUM(H109/H$110))</f>
        <v>0</v>
      </c>
      <c r="I111" s="84" t="str">
        <f>IF(I$110=0,"",SUM(I109/I$110))</f>
        <v/>
      </c>
      <c r="J111" s="84" t="str">
        <f>IF(J$110=0,"",SUM(J109/J$110))</f>
        <v/>
      </c>
      <c r="K111" s="84" t="str">
        <f>IF(K$110=0,"",SUM(K109/K$110))</f>
        <v/>
      </c>
      <c r="L111" s="84" t="str">
        <f>IF(L$110=0,"",SUM(L109/L$110))</f>
        <v/>
      </c>
      <c r="M111" s="84" t="str">
        <f>IF(M$110=0,"",SUM(M109/M$110))</f>
        <v/>
      </c>
      <c r="N111" s="85">
        <f>IF(N$110=0,"",SUM(N109/N$110))</f>
        <v>0</v>
      </c>
    </row>
    <row r="112" spans="1:14 16384:16384" ht="33.75" customHeight="1" x14ac:dyDescent="0.25">
      <c r="A112" s="53" t="s">
        <v>686</v>
      </c>
      <c r="B112" s="142">
        <f>SUM(COUNTIFS(Tabla1[AÑO PARTO],$B$4,Tabla1[MES PARTO],B6,Tabla1[SALE DEL PROGRAMA POR],"PARTO",Tabla1[DILIGENCIAMIENTO DE PARTOGRAMA (NO APLICA EN EXPULSIVO)],"SI",Tabla1[NIVEL DE COMPLEJIDAD DE LA ATENCION DE LA INSTITUCION DONDE SE ATENDIO EL PARTO],"MEDIANA"),COUNTIFS(Tabla1[AÑO PARTO],$B$4,Tabla1[MES PARTO],B6,Tabla1[SALE DEL PROGRAMA POR],"PARTO",Tabla1[DILIGENCIAMIENTO DE PARTOGRAMA (NO APLICA EN EXPULSIVO)],"SI",Tabla1[NIVEL DE COMPLEJIDAD DE LA ATENCION DE LA INSTITUCION DONDE SE ATENDIO EL PARTO],"ALTA"),COUNTIFS(Tabla1[AÑO PARTO],$B$4,Tabla1[MES PARTO],B6,Tabla1[SALE DEL PROGRAMA POR],"CESAREA",Tabla1[DILIGENCIAMIENTO DE PARTOGRAMA (NO APLICA EN EXPULSIVO)],"SI",Tabla1[NIVEL DE COMPLEJIDAD DE LA ATENCION DE LA INSTITUCION DONDE SE ATENDIO EL PARTO],"MEDIANA"),COUNTIFS(Tabla1[AÑO PARTO],$B$4,Tabla1[MES PARTO],B6,Tabla1[SALE DEL PROGRAMA POR],"CESAREA",Tabla1[DILIGENCIAMIENTO DE PARTOGRAMA (NO APLICA EN EXPULSIVO)],"SI",Tabla1[NIVEL DE COMPLEJIDAD DE LA ATENCION DE LA INSTITUCION DONDE SE ATENDIO EL PARTO],"ALTA"))</f>
        <v>0</v>
      </c>
      <c r="C112" s="142">
        <f>SUM(COUNTIFS(Tabla1[AÑO PARTO],$B$4,Tabla1[MES PARTO],C6,Tabla1[SALE DEL PROGRAMA POR],"PARTO",Tabla1[DILIGENCIAMIENTO DE PARTOGRAMA (NO APLICA EN EXPULSIVO)],"SI",Tabla1[NIVEL DE COMPLEJIDAD DE LA ATENCION DE LA INSTITUCION DONDE SE ATENDIO EL PARTO],"MEDIANA"),COUNTIFS(Tabla1[AÑO PARTO],$B$4,Tabla1[MES PARTO],C6,Tabla1[SALE DEL PROGRAMA POR],"PARTO",Tabla1[DILIGENCIAMIENTO DE PARTOGRAMA (NO APLICA EN EXPULSIVO)],"SI",Tabla1[NIVEL DE COMPLEJIDAD DE LA ATENCION DE LA INSTITUCION DONDE SE ATENDIO EL PARTO],"ALTA"),COUNTIFS(Tabla1[AÑO PARTO],$B$4,Tabla1[MES PARTO],C6,Tabla1[SALE DEL PROGRAMA POR],"CESAREA",Tabla1[DILIGENCIAMIENTO DE PARTOGRAMA (NO APLICA EN EXPULSIVO)],"SI",Tabla1[NIVEL DE COMPLEJIDAD DE LA ATENCION DE LA INSTITUCION DONDE SE ATENDIO EL PARTO],"MEDIANA"),COUNTIFS(Tabla1[AÑO PARTO],$B$4,Tabla1[MES PARTO],C6,Tabla1[SALE DEL PROGRAMA POR],"CESAREA",Tabla1[DILIGENCIAMIENTO DE PARTOGRAMA (NO APLICA EN EXPULSIVO)],"SI",Tabla1[NIVEL DE COMPLEJIDAD DE LA ATENCION DE LA INSTITUCION DONDE SE ATENDIO EL PARTO],"ALTA"))</f>
        <v>0</v>
      </c>
      <c r="D112" s="142">
        <f>SUM(COUNTIFS(Tabla1[AÑO PARTO],$B$4,Tabla1[MES PARTO],D6,Tabla1[SALE DEL PROGRAMA POR],"PARTO",Tabla1[DILIGENCIAMIENTO DE PARTOGRAMA (NO APLICA EN EXPULSIVO)],"SI",Tabla1[NIVEL DE COMPLEJIDAD DE LA ATENCION DE LA INSTITUCION DONDE SE ATENDIO EL PARTO],"MEDIANA"),COUNTIFS(Tabla1[AÑO PARTO],$B$4,Tabla1[MES PARTO],D6,Tabla1[SALE DEL PROGRAMA POR],"PARTO",Tabla1[DILIGENCIAMIENTO DE PARTOGRAMA (NO APLICA EN EXPULSIVO)],"SI",Tabla1[NIVEL DE COMPLEJIDAD DE LA ATENCION DE LA INSTITUCION DONDE SE ATENDIO EL PARTO],"ALTA"),COUNTIFS(Tabla1[AÑO PARTO],$B$4,Tabla1[MES PARTO],D6,Tabla1[SALE DEL PROGRAMA POR],"CESAREA",Tabla1[DILIGENCIAMIENTO DE PARTOGRAMA (NO APLICA EN EXPULSIVO)],"SI",Tabla1[NIVEL DE COMPLEJIDAD DE LA ATENCION DE LA INSTITUCION DONDE SE ATENDIO EL PARTO],"MEDIANA"),COUNTIFS(Tabla1[AÑO PARTO],$B$4,Tabla1[MES PARTO],D6,Tabla1[SALE DEL PROGRAMA POR],"CESAREA",Tabla1[DILIGENCIAMIENTO DE PARTOGRAMA (NO APLICA EN EXPULSIVO)],"SI",Tabla1[NIVEL DE COMPLEJIDAD DE LA ATENCION DE LA INSTITUCION DONDE SE ATENDIO EL PARTO],"ALTA"))</f>
        <v>0</v>
      </c>
      <c r="E112" s="142">
        <f>SUM(COUNTIFS(Tabla1[AÑO PARTO],$B$4,Tabla1[MES PARTO],E6,Tabla1[SALE DEL PROGRAMA POR],"PARTO",Tabla1[DILIGENCIAMIENTO DE PARTOGRAMA (NO APLICA EN EXPULSIVO)],"SI",Tabla1[NIVEL DE COMPLEJIDAD DE LA ATENCION DE LA INSTITUCION DONDE SE ATENDIO EL PARTO],"MEDIANA"),COUNTIFS(Tabla1[AÑO PARTO],$B$4,Tabla1[MES PARTO],E6,Tabla1[SALE DEL PROGRAMA POR],"PARTO",Tabla1[DILIGENCIAMIENTO DE PARTOGRAMA (NO APLICA EN EXPULSIVO)],"SI",Tabla1[NIVEL DE COMPLEJIDAD DE LA ATENCION DE LA INSTITUCION DONDE SE ATENDIO EL PARTO],"ALTA"),COUNTIFS(Tabla1[AÑO PARTO],$B$4,Tabla1[MES PARTO],E6,Tabla1[SALE DEL PROGRAMA POR],"CESAREA",Tabla1[DILIGENCIAMIENTO DE PARTOGRAMA (NO APLICA EN EXPULSIVO)],"SI",Tabla1[NIVEL DE COMPLEJIDAD DE LA ATENCION DE LA INSTITUCION DONDE SE ATENDIO EL PARTO],"MEDIANA"),COUNTIFS(Tabla1[AÑO PARTO],$B$4,Tabla1[MES PARTO],E6,Tabla1[SALE DEL PROGRAMA POR],"CESAREA",Tabla1[DILIGENCIAMIENTO DE PARTOGRAMA (NO APLICA EN EXPULSIVO)],"SI",Tabla1[NIVEL DE COMPLEJIDAD DE LA ATENCION DE LA INSTITUCION DONDE SE ATENDIO EL PARTO],"ALTA"))</f>
        <v>0</v>
      </c>
      <c r="F112" s="142">
        <f>SUM(COUNTIFS(Tabla1[AÑO PARTO],$B$4,Tabla1[MES PARTO],F6,Tabla1[SALE DEL PROGRAMA POR],"PARTO",Tabla1[DILIGENCIAMIENTO DE PARTOGRAMA (NO APLICA EN EXPULSIVO)],"SI",Tabla1[NIVEL DE COMPLEJIDAD DE LA ATENCION DE LA INSTITUCION DONDE SE ATENDIO EL PARTO],"MEDIANA"),COUNTIFS(Tabla1[AÑO PARTO],$B$4,Tabla1[MES PARTO],F6,Tabla1[SALE DEL PROGRAMA POR],"PARTO",Tabla1[DILIGENCIAMIENTO DE PARTOGRAMA (NO APLICA EN EXPULSIVO)],"SI",Tabla1[NIVEL DE COMPLEJIDAD DE LA ATENCION DE LA INSTITUCION DONDE SE ATENDIO EL PARTO],"ALTA"),COUNTIFS(Tabla1[AÑO PARTO],$B$4,Tabla1[MES PARTO],F6,Tabla1[SALE DEL PROGRAMA POR],"CESAREA",Tabla1[DILIGENCIAMIENTO DE PARTOGRAMA (NO APLICA EN EXPULSIVO)],"SI",Tabla1[NIVEL DE COMPLEJIDAD DE LA ATENCION DE LA INSTITUCION DONDE SE ATENDIO EL PARTO],"MEDIANA"),COUNTIFS(Tabla1[AÑO PARTO],$B$4,Tabla1[MES PARTO],F6,Tabla1[SALE DEL PROGRAMA POR],"CESAREA",Tabla1[DILIGENCIAMIENTO DE PARTOGRAMA (NO APLICA EN EXPULSIVO)],"SI",Tabla1[NIVEL DE COMPLEJIDAD DE LA ATENCION DE LA INSTITUCION DONDE SE ATENDIO EL PARTO],"ALTA"))</f>
        <v>0</v>
      </c>
      <c r="G112" s="142">
        <f>SUM(COUNTIFS(Tabla1[AÑO PARTO],$B$4,Tabla1[MES PARTO],G6,Tabla1[SALE DEL PROGRAMA POR],"PARTO",Tabla1[DILIGENCIAMIENTO DE PARTOGRAMA (NO APLICA EN EXPULSIVO)],"SI",Tabla1[NIVEL DE COMPLEJIDAD DE LA ATENCION DE LA INSTITUCION DONDE SE ATENDIO EL PARTO],"MEDIANA"),COUNTIFS(Tabla1[AÑO PARTO],$B$4,Tabla1[MES PARTO],G6,Tabla1[SALE DEL PROGRAMA POR],"PARTO",Tabla1[DILIGENCIAMIENTO DE PARTOGRAMA (NO APLICA EN EXPULSIVO)],"SI",Tabla1[NIVEL DE COMPLEJIDAD DE LA ATENCION DE LA INSTITUCION DONDE SE ATENDIO EL PARTO],"ALTA"),COUNTIFS(Tabla1[AÑO PARTO],$B$4,Tabla1[MES PARTO],G6,Tabla1[SALE DEL PROGRAMA POR],"CESAREA",Tabla1[DILIGENCIAMIENTO DE PARTOGRAMA (NO APLICA EN EXPULSIVO)],"SI",Tabla1[NIVEL DE COMPLEJIDAD DE LA ATENCION DE LA INSTITUCION DONDE SE ATENDIO EL PARTO],"MEDIANA"),COUNTIFS(Tabla1[AÑO PARTO],$B$4,Tabla1[MES PARTO],G6,Tabla1[SALE DEL PROGRAMA POR],"CESAREA",Tabla1[DILIGENCIAMIENTO DE PARTOGRAMA (NO APLICA EN EXPULSIVO)],"SI",Tabla1[NIVEL DE COMPLEJIDAD DE LA ATENCION DE LA INSTITUCION DONDE SE ATENDIO EL PARTO],"ALTA"))</f>
        <v>0</v>
      </c>
      <c r="H112" s="142">
        <f>SUM(COUNTIFS(Tabla1[AÑO PARTO],$B$4,Tabla1[MES PARTO],H6,Tabla1[SALE DEL PROGRAMA POR],"PARTO",Tabla1[DILIGENCIAMIENTO DE PARTOGRAMA (NO APLICA EN EXPULSIVO)],"SI",Tabla1[NIVEL DE COMPLEJIDAD DE LA ATENCION DE LA INSTITUCION DONDE SE ATENDIO EL PARTO],"MEDIANA"),COUNTIFS(Tabla1[AÑO PARTO],$B$4,Tabla1[MES PARTO],H6,Tabla1[SALE DEL PROGRAMA POR],"PARTO",Tabla1[DILIGENCIAMIENTO DE PARTOGRAMA (NO APLICA EN EXPULSIVO)],"SI",Tabla1[NIVEL DE COMPLEJIDAD DE LA ATENCION DE LA INSTITUCION DONDE SE ATENDIO EL PARTO],"ALTA"),COUNTIFS(Tabla1[AÑO PARTO],$B$4,Tabla1[MES PARTO],H6,Tabla1[SALE DEL PROGRAMA POR],"CESAREA",Tabla1[DILIGENCIAMIENTO DE PARTOGRAMA (NO APLICA EN EXPULSIVO)],"SI",Tabla1[NIVEL DE COMPLEJIDAD DE LA ATENCION DE LA INSTITUCION DONDE SE ATENDIO EL PARTO],"MEDIANA"),COUNTIFS(Tabla1[AÑO PARTO],$B$4,Tabla1[MES PARTO],H6,Tabla1[SALE DEL PROGRAMA POR],"CESAREA",Tabla1[DILIGENCIAMIENTO DE PARTOGRAMA (NO APLICA EN EXPULSIVO)],"SI",Tabla1[NIVEL DE COMPLEJIDAD DE LA ATENCION DE LA INSTITUCION DONDE SE ATENDIO EL PARTO],"ALTA"))</f>
        <v>0</v>
      </c>
      <c r="I112" s="142">
        <f>SUM(COUNTIFS(Tabla1[AÑO PARTO],$B$4,Tabla1[MES PARTO],I6,Tabla1[SALE DEL PROGRAMA POR],"PARTO",Tabla1[DILIGENCIAMIENTO DE PARTOGRAMA (NO APLICA EN EXPULSIVO)],"SI",Tabla1[NIVEL DE COMPLEJIDAD DE LA ATENCION DE LA INSTITUCION DONDE SE ATENDIO EL PARTO],"MEDIANA"),COUNTIFS(Tabla1[AÑO PARTO],$B$4,Tabla1[MES PARTO],I6,Tabla1[SALE DEL PROGRAMA POR],"PARTO",Tabla1[DILIGENCIAMIENTO DE PARTOGRAMA (NO APLICA EN EXPULSIVO)],"SI",Tabla1[NIVEL DE COMPLEJIDAD DE LA ATENCION DE LA INSTITUCION DONDE SE ATENDIO EL PARTO],"ALTA"),COUNTIFS(Tabla1[AÑO PARTO],$B$4,Tabla1[MES PARTO],I6,Tabla1[SALE DEL PROGRAMA POR],"CESAREA",Tabla1[DILIGENCIAMIENTO DE PARTOGRAMA (NO APLICA EN EXPULSIVO)],"SI",Tabla1[NIVEL DE COMPLEJIDAD DE LA ATENCION DE LA INSTITUCION DONDE SE ATENDIO EL PARTO],"MEDIANA"),COUNTIFS(Tabla1[AÑO PARTO],$B$4,Tabla1[MES PARTO],I6,Tabla1[SALE DEL PROGRAMA POR],"CESAREA",Tabla1[DILIGENCIAMIENTO DE PARTOGRAMA (NO APLICA EN EXPULSIVO)],"SI",Tabla1[NIVEL DE COMPLEJIDAD DE LA ATENCION DE LA INSTITUCION DONDE SE ATENDIO EL PARTO],"ALTA"))</f>
        <v>0</v>
      </c>
      <c r="J112" s="142">
        <f>SUM(COUNTIFS(Tabla1[AÑO PARTO],$B$4,Tabla1[MES PARTO],J6,Tabla1[SALE DEL PROGRAMA POR],"PARTO",Tabla1[DILIGENCIAMIENTO DE PARTOGRAMA (NO APLICA EN EXPULSIVO)],"SI",Tabla1[NIVEL DE COMPLEJIDAD DE LA ATENCION DE LA INSTITUCION DONDE SE ATENDIO EL PARTO],"MEDIANA"),COUNTIFS(Tabla1[AÑO PARTO],$B$4,Tabla1[MES PARTO],J6,Tabla1[SALE DEL PROGRAMA POR],"PARTO",Tabla1[DILIGENCIAMIENTO DE PARTOGRAMA (NO APLICA EN EXPULSIVO)],"SI",Tabla1[NIVEL DE COMPLEJIDAD DE LA ATENCION DE LA INSTITUCION DONDE SE ATENDIO EL PARTO],"ALTA"),COUNTIFS(Tabla1[AÑO PARTO],$B$4,Tabla1[MES PARTO],J6,Tabla1[SALE DEL PROGRAMA POR],"CESAREA",Tabla1[DILIGENCIAMIENTO DE PARTOGRAMA (NO APLICA EN EXPULSIVO)],"SI",Tabla1[NIVEL DE COMPLEJIDAD DE LA ATENCION DE LA INSTITUCION DONDE SE ATENDIO EL PARTO],"MEDIANA"),COUNTIFS(Tabla1[AÑO PARTO],$B$4,Tabla1[MES PARTO],J6,Tabla1[SALE DEL PROGRAMA POR],"CESAREA",Tabla1[DILIGENCIAMIENTO DE PARTOGRAMA (NO APLICA EN EXPULSIVO)],"SI",Tabla1[NIVEL DE COMPLEJIDAD DE LA ATENCION DE LA INSTITUCION DONDE SE ATENDIO EL PARTO],"ALTA"))</f>
        <v>0</v>
      </c>
      <c r="K112" s="142">
        <f>SUM(COUNTIFS(Tabla1[AÑO PARTO],$B$4,Tabla1[MES PARTO],K6,Tabla1[SALE DEL PROGRAMA POR],"PARTO",Tabla1[DILIGENCIAMIENTO DE PARTOGRAMA (NO APLICA EN EXPULSIVO)],"SI",Tabla1[NIVEL DE COMPLEJIDAD DE LA ATENCION DE LA INSTITUCION DONDE SE ATENDIO EL PARTO],"MEDIANA"),COUNTIFS(Tabla1[AÑO PARTO],$B$4,Tabla1[MES PARTO],K6,Tabla1[SALE DEL PROGRAMA POR],"PARTO",Tabla1[DILIGENCIAMIENTO DE PARTOGRAMA (NO APLICA EN EXPULSIVO)],"SI",Tabla1[NIVEL DE COMPLEJIDAD DE LA ATENCION DE LA INSTITUCION DONDE SE ATENDIO EL PARTO],"ALTA"),COUNTIFS(Tabla1[AÑO PARTO],$B$4,Tabla1[MES PARTO],K6,Tabla1[SALE DEL PROGRAMA POR],"CESAREA",Tabla1[DILIGENCIAMIENTO DE PARTOGRAMA (NO APLICA EN EXPULSIVO)],"SI",Tabla1[NIVEL DE COMPLEJIDAD DE LA ATENCION DE LA INSTITUCION DONDE SE ATENDIO EL PARTO],"MEDIANA"),COUNTIFS(Tabla1[AÑO PARTO],$B$4,Tabla1[MES PARTO],K6,Tabla1[SALE DEL PROGRAMA POR],"CESAREA",Tabla1[DILIGENCIAMIENTO DE PARTOGRAMA (NO APLICA EN EXPULSIVO)],"SI",Tabla1[NIVEL DE COMPLEJIDAD DE LA ATENCION DE LA INSTITUCION DONDE SE ATENDIO EL PARTO],"ALTA"))</f>
        <v>0</v>
      </c>
      <c r="L112" s="142">
        <f>SUM(COUNTIFS(Tabla1[AÑO PARTO],$B$4,Tabla1[MES PARTO],L6,Tabla1[SALE DEL PROGRAMA POR],"PARTO",Tabla1[DILIGENCIAMIENTO DE PARTOGRAMA (NO APLICA EN EXPULSIVO)],"SI",Tabla1[NIVEL DE COMPLEJIDAD DE LA ATENCION DE LA INSTITUCION DONDE SE ATENDIO EL PARTO],"MEDIANA"),COUNTIFS(Tabla1[AÑO PARTO],$B$4,Tabla1[MES PARTO],L6,Tabla1[SALE DEL PROGRAMA POR],"PARTO",Tabla1[DILIGENCIAMIENTO DE PARTOGRAMA (NO APLICA EN EXPULSIVO)],"SI",Tabla1[NIVEL DE COMPLEJIDAD DE LA ATENCION DE LA INSTITUCION DONDE SE ATENDIO EL PARTO],"ALTA"),COUNTIFS(Tabla1[AÑO PARTO],$B$4,Tabla1[MES PARTO],L6,Tabla1[SALE DEL PROGRAMA POR],"CESAREA",Tabla1[DILIGENCIAMIENTO DE PARTOGRAMA (NO APLICA EN EXPULSIVO)],"SI",Tabla1[NIVEL DE COMPLEJIDAD DE LA ATENCION DE LA INSTITUCION DONDE SE ATENDIO EL PARTO],"MEDIANA"),COUNTIFS(Tabla1[AÑO PARTO],$B$4,Tabla1[MES PARTO],L6,Tabla1[SALE DEL PROGRAMA POR],"CESAREA",Tabla1[DILIGENCIAMIENTO DE PARTOGRAMA (NO APLICA EN EXPULSIVO)],"SI",Tabla1[NIVEL DE COMPLEJIDAD DE LA ATENCION DE LA INSTITUCION DONDE SE ATENDIO EL PARTO],"ALTA"))</f>
        <v>0</v>
      </c>
      <c r="M112" s="142">
        <f>SUM(COUNTIFS(Tabla1[AÑO PARTO],$B$4,Tabla1[MES PARTO],M6,Tabla1[SALE DEL PROGRAMA POR],"PARTO",Tabla1[DILIGENCIAMIENTO DE PARTOGRAMA (NO APLICA EN EXPULSIVO)],"SI",Tabla1[NIVEL DE COMPLEJIDAD DE LA ATENCION DE LA INSTITUCION DONDE SE ATENDIO EL PARTO],"MEDIANA"),COUNTIFS(Tabla1[AÑO PARTO],$B$4,Tabla1[MES PARTO],M6,Tabla1[SALE DEL PROGRAMA POR],"PARTO",Tabla1[DILIGENCIAMIENTO DE PARTOGRAMA (NO APLICA EN EXPULSIVO)],"SI",Tabla1[NIVEL DE COMPLEJIDAD DE LA ATENCION DE LA INSTITUCION DONDE SE ATENDIO EL PARTO],"ALTA"),COUNTIFS(Tabla1[AÑO PARTO],$B$4,Tabla1[MES PARTO],M6,Tabla1[SALE DEL PROGRAMA POR],"CESAREA",Tabla1[DILIGENCIAMIENTO DE PARTOGRAMA (NO APLICA EN EXPULSIVO)],"SI",Tabla1[NIVEL DE COMPLEJIDAD DE LA ATENCION DE LA INSTITUCION DONDE SE ATENDIO EL PARTO],"MEDIANA"),COUNTIFS(Tabla1[AÑO PARTO],$B$4,Tabla1[MES PARTO],M6,Tabla1[SALE DEL PROGRAMA POR],"CESAREA",Tabla1[DILIGENCIAMIENTO DE PARTOGRAMA (NO APLICA EN EXPULSIVO)],"SI",Tabla1[NIVEL DE COMPLEJIDAD DE LA ATENCION DE LA INSTITUCION DONDE SE ATENDIO EL PARTO],"ALTA"))</f>
        <v>0</v>
      </c>
      <c r="N112" s="82">
        <f>SUM(B112:M112)</f>
        <v>0</v>
      </c>
    </row>
    <row r="113" spans="1:14" ht="40.5" customHeight="1" thickBot="1" x14ac:dyDescent="0.3">
      <c r="A113" s="162" t="s">
        <v>687</v>
      </c>
      <c r="B113" s="142">
        <f>SUM(SUM(COUNTIFS(Tabla1[AÑO PARTO],$B$4,Tabla1[MES PARTO],B6,Tabla1[SALE DEL PROGRAMA POR],"PARTO",Tabla1[NIVEL DE COMPLEJIDAD DE LA ATENCION DE LA INSTITUCION DONDE SE ATENDIO EL PARTO],"MEDIANA"),COUNTIFS(Tabla1[AÑO PARTO],$B$4,Tabla1[MES PARTO],B6,Tabla1[SALE DEL PROGRAMA POR],"PARTO",Tabla1[NIVEL DE COMPLEJIDAD DE LA ATENCION DE LA INSTITUCION DONDE SE ATENDIO EL PARTO],"ALTA"),COUNTIFS(Tabla1[AÑO PARTO],$B$4,Tabla1[MES PARTO],B6,Tabla1[SALE DEL PROGRAMA POR],"CESAREA",Tabla1[NIVEL DE COMPLEJIDAD DE LA ATENCION DE LA INSTITUCION DONDE SE ATENDIO EL PARTO],"MEDIANA"),COUNTIFS(Tabla1[AÑO PARTO],$B$4,Tabla1[MES PARTO],B6,Tabla1[SALE DEL PROGRAMA POR],"CESAREA",Tabla1[NIVEL DE COMPLEJIDAD DE LA ATENCION DE LA INSTITUCION DONDE SE ATENDIO EL PARTO],"ALTA"))-SUM(COUNTIFS(Tabla1[AÑO PARTO],$B$4,Tabla1[MES PARTO],B6,Tabla1[SALE DEL PROGRAMA POR],"PARTO",Tabla1[DILIGENCIAMIENTO DE PARTOGRAMA (NO APLICA EN EXPULSIVO)],"NO APLICA",Tabla1[NIVEL DE COMPLEJIDAD DE LA ATENCION DE LA INSTITUCION DONDE SE ATENDIO EL PARTO],"MEDIANA"),COUNTIFS(Tabla1[AÑO PARTO],$B$4,Tabla1[MES PARTO],B6,Tabla1[SALE DEL PROGRAMA POR],"PARTO",Tabla1[DILIGENCIAMIENTO DE PARTOGRAMA (NO APLICA EN EXPULSIVO)],"NO APLICA",Tabla1[NIVEL DE COMPLEJIDAD DE LA ATENCION DE LA INSTITUCION DONDE SE ATENDIO EL PARTO],"ALTA"),COUNTIFS(Tabla1[AÑO PARTO],$B$4,Tabla1[MES PARTO],B6,Tabla1[SALE DEL PROGRAMA POR],"CESAREA",Tabla1[DILIGENCIAMIENTO DE PARTOGRAMA (NO APLICA EN EXPULSIVO)],"NO APLICA",Tabla1[NIVEL DE COMPLEJIDAD DE LA ATENCION DE LA INSTITUCION DONDE SE ATENDIO EL PARTO],"MEDIANA"),COUNTIFS(Tabla1[AÑO PARTO],$B$4,Tabla1[MES PARTO],B6,Tabla1[SALE DEL PROGRAMA POR],"CESAREA",Tabla1[DILIGENCIAMIENTO DE PARTOGRAMA (NO APLICA EN EXPULSIVO)],"NO APLICA",Tabla1[NIVEL DE COMPLEJIDAD DE LA ATENCION DE LA INSTITUCION DONDE SE ATENDIO EL PARTO],"ALTA")))</f>
        <v>0</v>
      </c>
      <c r="C113" s="142">
        <f>SUM(SUM(COUNTIFS(Tabla1[AÑO PARTO],$B$4,Tabla1[MES PARTO],C6,Tabla1[SALE DEL PROGRAMA POR],"PARTO",Tabla1[NIVEL DE COMPLEJIDAD DE LA ATENCION DE LA INSTITUCION DONDE SE ATENDIO EL PARTO],"MEDIANA"),COUNTIFS(Tabla1[AÑO PARTO],$B$4,Tabla1[MES PARTO],C6,Tabla1[SALE DEL PROGRAMA POR],"PARTO",Tabla1[NIVEL DE COMPLEJIDAD DE LA ATENCION DE LA INSTITUCION DONDE SE ATENDIO EL PARTO],"ALTA"),COUNTIFS(Tabla1[AÑO PARTO],$B$4,Tabla1[MES PARTO],C6,Tabla1[SALE DEL PROGRAMA POR],"CESAREA",Tabla1[NIVEL DE COMPLEJIDAD DE LA ATENCION DE LA INSTITUCION DONDE SE ATENDIO EL PARTO],"MEDIANA"),COUNTIFS(Tabla1[AÑO PARTO],$B$4,Tabla1[MES PARTO],C6,Tabla1[SALE DEL PROGRAMA POR],"CESAREA",Tabla1[NIVEL DE COMPLEJIDAD DE LA ATENCION DE LA INSTITUCION DONDE SE ATENDIO EL PARTO],"ALTA"))-SUM(COUNTIFS(Tabla1[AÑO PARTO],$B$4,Tabla1[MES PARTO],C6,Tabla1[SALE DEL PROGRAMA POR],"PARTO",Tabla1[DILIGENCIAMIENTO DE PARTOGRAMA (NO APLICA EN EXPULSIVO)],"NO APLICA",Tabla1[NIVEL DE COMPLEJIDAD DE LA ATENCION DE LA INSTITUCION DONDE SE ATENDIO EL PARTO],"MEDIANA"),COUNTIFS(Tabla1[AÑO PARTO],$B$4,Tabla1[MES PARTO],C6,Tabla1[SALE DEL PROGRAMA POR],"PARTO",Tabla1[DILIGENCIAMIENTO DE PARTOGRAMA (NO APLICA EN EXPULSIVO)],"NO APLICA",Tabla1[NIVEL DE COMPLEJIDAD DE LA ATENCION DE LA INSTITUCION DONDE SE ATENDIO EL PARTO],"ALTA"),COUNTIFS(Tabla1[AÑO PARTO],$B$4,Tabla1[MES PARTO],C6,Tabla1[SALE DEL PROGRAMA POR],"CESAREA",Tabla1[DILIGENCIAMIENTO DE PARTOGRAMA (NO APLICA EN EXPULSIVO)],"NO APLICA",Tabla1[NIVEL DE COMPLEJIDAD DE LA ATENCION DE LA INSTITUCION DONDE SE ATENDIO EL PARTO],"MEDIANA"),COUNTIFS(Tabla1[AÑO PARTO],$B$4,Tabla1[MES PARTO],C6,Tabla1[SALE DEL PROGRAMA POR],"CESAREA",Tabla1[DILIGENCIAMIENTO DE PARTOGRAMA (NO APLICA EN EXPULSIVO)],"NO APLICA",Tabla1[NIVEL DE COMPLEJIDAD DE LA ATENCION DE LA INSTITUCION DONDE SE ATENDIO EL PARTO],"ALTA")))</f>
        <v>1</v>
      </c>
      <c r="D113" s="142">
        <f>SUM(SUM(COUNTIFS(Tabla1[AÑO PARTO],$B$4,Tabla1[MES PARTO],D6,Tabla1[SALE DEL PROGRAMA POR],"PARTO",Tabla1[NIVEL DE COMPLEJIDAD DE LA ATENCION DE LA INSTITUCION DONDE SE ATENDIO EL PARTO],"MEDIANA"),COUNTIFS(Tabla1[AÑO PARTO],$B$4,Tabla1[MES PARTO],D6,Tabla1[SALE DEL PROGRAMA POR],"PARTO",Tabla1[NIVEL DE COMPLEJIDAD DE LA ATENCION DE LA INSTITUCION DONDE SE ATENDIO EL PARTO],"ALTA"),COUNTIFS(Tabla1[AÑO PARTO],$B$4,Tabla1[MES PARTO],D6,Tabla1[SALE DEL PROGRAMA POR],"CESAREA",Tabla1[NIVEL DE COMPLEJIDAD DE LA ATENCION DE LA INSTITUCION DONDE SE ATENDIO EL PARTO],"MEDIANA"),COUNTIFS(Tabla1[AÑO PARTO],$B$4,Tabla1[MES PARTO],D6,Tabla1[SALE DEL PROGRAMA POR],"CESAREA",Tabla1[NIVEL DE COMPLEJIDAD DE LA ATENCION DE LA INSTITUCION DONDE SE ATENDIO EL PARTO],"ALTA"))-SUM(COUNTIFS(Tabla1[AÑO PARTO],$B$4,Tabla1[MES PARTO],D6,Tabla1[SALE DEL PROGRAMA POR],"PARTO",Tabla1[DILIGENCIAMIENTO DE PARTOGRAMA (NO APLICA EN EXPULSIVO)],"NO APLICA",Tabla1[NIVEL DE COMPLEJIDAD DE LA ATENCION DE LA INSTITUCION DONDE SE ATENDIO EL PARTO],"MEDIANA"),COUNTIFS(Tabla1[AÑO PARTO],$B$4,Tabla1[MES PARTO],D6,Tabla1[SALE DEL PROGRAMA POR],"PARTO",Tabla1[DILIGENCIAMIENTO DE PARTOGRAMA (NO APLICA EN EXPULSIVO)],"NO APLICA",Tabla1[NIVEL DE COMPLEJIDAD DE LA ATENCION DE LA INSTITUCION DONDE SE ATENDIO EL PARTO],"ALTA"),COUNTIFS(Tabla1[AÑO PARTO],$B$4,Tabla1[MES PARTO],D6,Tabla1[SALE DEL PROGRAMA POR],"CESAREA",Tabla1[DILIGENCIAMIENTO DE PARTOGRAMA (NO APLICA EN EXPULSIVO)],"NO APLICA",Tabla1[NIVEL DE COMPLEJIDAD DE LA ATENCION DE LA INSTITUCION DONDE SE ATENDIO EL PARTO],"MEDIANA"),COUNTIFS(Tabla1[AÑO PARTO],$B$4,Tabla1[MES PARTO],D6,Tabla1[SALE DEL PROGRAMA POR],"CESAREA",Tabla1[DILIGENCIAMIENTO DE PARTOGRAMA (NO APLICA EN EXPULSIVO)],"NO APLICA",Tabla1[NIVEL DE COMPLEJIDAD DE LA ATENCION DE LA INSTITUCION DONDE SE ATENDIO EL PARTO],"ALTA")))</f>
        <v>7</v>
      </c>
      <c r="E113" s="142">
        <f>SUM(SUM(COUNTIFS(Tabla1[AÑO PARTO],$B$4,Tabla1[MES PARTO],E6,Tabla1[SALE DEL PROGRAMA POR],"PARTO",Tabla1[NIVEL DE COMPLEJIDAD DE LA ATENCION DE LA INSTITUCION DONDE SE ATENDIO EL PARTO],"MEDIANA"),COUNTIFS(Tabla1[AÑO PARTO],$B$4,Tabla1[MES PARTO],E6,Tabla1[SALE DEL PROGRAMA POR],"PARTO",Tabla1[NIVEL DE COMPLEJIDAD DE LA ATENCION DE LA INSTITUCION DONDE SE ATENDIO EL PARTO],"ALTA"),COUNTIFS(Tabla1[AÑO PARTO],$B$4,Tabla1[MES PARTO],E6,Tabla1[SALE DEL PROGRAMA POR],"CESAREA",Tabla1[NIVEL DE COMPLEJIDAD DE LA ATENCION DE LA INSTITUCION DONDE SE ATENDIO EL PARTO],"MEDIANA"),COUNTIFS(Tabla1[AÑO PARTO],$B$4,Tabla1[MES PARTO],E6,Tabla1[SALE DEL PROGRAMA POR],"CESAREA",Tabla1[NIVEL DE COMPLEJIDAD DE LA ATENCION DE LA INSTITUCION DONDE SE ATENDIO EL PARTO],"ALTA"))-SUM(COUNTIFS(Tabla1[AÑO PARTO],$B$4,Tabla1[MES PARTO],E6,Tabla1[SALE DEL PROGRAMA POR],"PARTO",Tabla1[DILIGENCIAMIENTO DE PARTOGRAMA (NO APLICA EN EXPULSIVO)],"NO APLICA",Tabla1[NIVEL DE COMPLEJIDAD DE LA ATENCION DE LA INSTITUCION DONDE SE ATENDIO EL PARTO],"MEDIANA"),COUNTIFS(Tabla1[AÑO PARTO],$B$4,Tabla1[MES PARTO],E6,Tabla1[SALE DEL PROGRAMA POR],"PARTO",Tabla1[DILIGENCIAMIENTO DE PARTOGRAMA (NO APLICA EN EXPULSIVO)],"NO APLICA",Tabla1[NIVEL DE COMPLEJIDAD DE LA ATENCION DE LA INSTITUCION DONDE SE ATENDIO EL PARTO],"ALTA"),COUNTIFS(Tabla1[AÑO PARTO],$B$4,Tabla1[MES PARTO],E6,Tabla1[SALE DEL PROGRAMA POR],"CESAREA",Tabla1[DILIGENCIAMIENTO DE PARTOGRAMA (NO APLICA EN EXPULSIVO)],"NO APLICA",Tabla1[NIVEL DE COMPLEJIDAD DE LA ATENCION DE LA INSTITUCION DONDE SE ATENDIO EL PARTO],"MEDIANA"),COUNTIFS(Tabla1[AÑO PARTO],$B$4,Tabla1[MES PARTO],E6,Tabla1[SALE DEL PROGRAMA POR],"CESAREA",Tabla1[DILIGENCIAMIENTO DE PARTOGRAMA (NO APLICA EN EXPULSIVO)],"NO APLICA",Tabla1[NIVEL DE COMPLEJIDAD DE LA ATENCION DE LA INSTITUCION DONDE SE ATENDIO EL PARTO],"ALTA")))</f>
        <v>9</v>
      </c>
      <c r="F113" s="142">
        <f>SUM(SUM(COUNTIFS(Tabla1[AÑO PARTO],$B$4,Tabla1[MES PARTO],F6,Tabla1[SALE DEL PROGRAMA POR],"PARTO",Tabla1[NIVEL DE COMPLEJIDAD DE LA ATENCION DE LA INSTITUCION DONDE SE ATENDIO EL PARTO],"MEDIANA"),COUNTIFS(Tabla1[AÑO PARTO],$B$4,Tabla1[MES PARTO],F6,Tabla1[SALE DEL PROGRAMA POR],"PARTO",Tabla1[NIVEL DE COMPLEJIDAD DE LA ATENCION DE LA INSTITUCION DONDE SE ATENDIO EL PARTO],"ALTA"),COUNTIFS(Tabla1[AÑO PARTO],$B$4,Tabla1[MES PARTO],F6,Tabla1[SALE DEL PROGRAMA POR],"CESAREA",Tabla1[NIVEL DE COMPLEJIDAD DE LA ATENCION DE LA INSTITUCION DONDE SE ATENDIO EL PARTO],"MEDIANA"),COUNTIFS(Tabla1[AÑO PARTO],$B$4,Tabla1[MES PARTO],F6,Tabla1[SALE DEL PROGRAMA POR],"CESAREA",Tabla1[NIVEL DE COMPLEJIDAD DE LA ATENCION DE LA INSTITUCION DONDE SE ATENDIO EL PARTO],"ALTA"))-SUM(COUNTIFS(Tabla1[AÑO PARTO],$B$4,Tabla1[MES PARTO],F6,Tabla1[SALE DEL PROGRAMA POR],"PARTO",Tabla1[DILIGENCIAMIENTO DE PARTOGRAMA (NO APLICA EN EXPULSIVO)],"NO APLICA",Tabla1[NIVEL DE COMPLEJIDAD DE LA ATENCION DE LA INSTITUCION DONDE SE ATENDIO EL PARTO],"MEDIANA"),COUNTIFS(Tabla1[AÑO PARTO],$B$4,Tabla1[MES PARTO],F6,Tabla1[SALE DEL PROGRAMA POR],"PARTO",Tabla1[DILIGENCIAMIENTO DE PARTOGRAMA (NO APLICA EN EXPULSIVO)],"NO APLICA",Tabla1[NIVEL DE COMPLEJIDAD DE LA ATENCION DE LA INSTITUCION DONDE SE ATENDIO EL PARTO],"ALTA"),COUNTIFS(Tabla1[AÑO PARTO],$B$4,Tabla1[MES PARTO],F6,Tabla1[SALE DEL PROGRAMA POR],"CESAREA",Tabla1[DILIGENCIAMIENTO DE PARTOGRAMA (NO APLICA EN EXPULSIVO)],"NO APLICA",Tabla1[NIVEL DE COMPLEJIDAD DE LA ATENCION DE LA INSTITUCION DONDE SE ATENDIO EL PARTO],"MEDIANA"),COUNTIFS(Tabla1[AÑO PARTO],$B$4,Tabla1[MES PARTO],F6,Tabla1[SALE DEL PROGRAMA POR],"CESAREA",Tabla1[DILIGENCIAMIENTO DE PARTOGRAMA (NO APLICA EN EXPULSIVO)],"NO APLICA",Tabla1[NIVEL DE COMPLEJIDAD DE LA ATENCION DE LA INSTITUCION DONDE SE ATENDIO EL PARTO],"ALTA")))</f>
        <v>15</v>
      </c>
      <c r="G113" s="142">
        <f>SUM(SUM(COUNTIFS(Tabla1[AÑO PARTO],$B$4,Tabla1[MES PARTO],G6,Tabla1[SALE DEL PROGRAMA POR],"PARTO",Tabla1[NIVEL DE COMPLEJIDAD DE LA ATENCION DE LA INSTITUCION DONDE SE ATENDIO EL PARTO],"MEDIANA"),COUNTIFS(Tabla1[AÑO PARTO],$B$4,Tabla1[MES PARTO],G6,Tabla1[SALE DEL PROGRAMA POR],"PARTO",Tabla1[NIVEL DE COMPLEJIDAD DE LA ATENCION DE LA INSTITUCION DONDE SE ATENDIO EL PARTO],"ALTA"),COUNTIFS(Tabla1[AÑO PARTO],$B$4,Tabla1[MES PARTO],G6,Tabla1[SALE DEL PROGRAMA POR],"CESAREA",Tabla1[NIVEL DE COMPLEJIDAD DE LA ATENCION DE LA INSTITUCION DONDE SE ATENDIO EL PARTO],"MEDIANA"),COUNTIFS(Tabla1[AÑO PARTO],$B$4,Tabla1[MES PARTO],G6,Tabla1[SALE DEL PROGRAMA POR],"CESAREA",Tabla1[NIVEL DE COMPLEJIDAD DE LA ATENCION DE LA INSTITUCION DONDE SE ATENDIO EL PARTO],"ALTA"))-SUM(COUNTIFS(Tabla1[AÑO PARTO],$B$4,Tabla1[MES PARTO],G6,Tabla1[SALE DEL PROGRAMA POR],"PARTO",Tabla1[DILIGENCIAMIENTO DE PARTOGRAMA (NO APLICA EN EXPULSIVO)],"NO APLICA",Tabla1[NIVEL DE COMPLEJIDAD DE LA ATENCION DE LA INSTITUCION DONDE SE ATENDIO EL PARTO],"MEDIANA"),COUNTIFS(Tabla1[AÑO PARTO],$B$4,Tabla1[MES PARTO],G6,Tabla1[SALE DEL PROGRAMA POR],"PARTO",Tabla1[DILIGENCIAMIENTO DE PARTOGRAMA (NO APLICA EN EXPULSIVO)],"NO APLICA",Tabla1[NIVEL DE COMPLEJIDAD DE LA ATENCION DE LA INSTITUCION DONDE SE ATENDIO EL PARTO],"ALTA"),COUNTIFS(Tabla1[AÑO PARTO],$B$4,Tabla1[MES PARTO],G6,Tabla1[SALE DEL PROGRAMA POR],"CESAREA",Tabla1[DILIGENCIAMIENTO DE PARTOGRAMA (NO APLICA EN EXPULSIVO)],"NO APLICA",Tabla1[NIVEL DE COMPLEJIDAD DE LA ATENCION DE LA INSTITUCION DONDE SE ATENDIO EL PARTO],"MEDIANA"),COUNTIFS(Tabla1[AÑO PARTO],$B$4,Tabla1[MES PARTO],G6,Tabla1[SALE DEL PROGRAMA POR],"CESAREA",Tabla1[DILIGENCIAMIENTO DE PARTOGRAMA (NO APLICA EN EXPULSIVO)],"NO APLICA",Tabla1[NIVEL DE COMPLEJIDAD DE LA ATENCION DE LA INSTITUCION DONDE SE ATENDIO EL PARTO],"ALTA")))</f>
        <v>5</v>
      </c>
      <c r="H113" s="142">
        <f>SUM(SUM(COUNTIFS(Tabla1[AÑO PARTO],$B$4,Tabla1[MES PARTO],H6,Tabla1[SALE DEL PROGRAMA POR],"PARTO",Tabla1[NIVEL DE COMPLEJIDAD DE LA ATENCION DE LA INSTITUCION DONDE SE ATENDIO EL PARTO],"MEDIANA"),COUNTIFS(Tabla1[AÑO PARTO],$B$4,Tabla1[MES PARTO],H6,Tabla1[SALE DEL PROGRAMA POR],"PARTO",Tabla1[NIVEL DE COMPLEJIDAD DE LA ATENCION DE LA INSTITUCION DONDE SE ATENDIO EL PARTO],"ALTA"),COUNTIFS(Tabla1[AÑO PARTO],$B$4,Tabla1[MES PARTO],H6,Tabla1[SALE DEL PROGRAMA POR],"CESAREA",Tabla1[NIVEL DE COMPLEJIDAD DE LA ATENCION DE LA INSTITUCION DONDE SE ATENDIO EL PARTO],"MEDIANA"),COUNTIFS(Tabla1[AÑO PARTO],$B$4,Tabla1[MES PARTO],H6,Tabla1[SALE DEL PROGRAMA POR],"CESAREA",Tabla1[NIVEL DE COMPLEJIDAD DE LA ATENCION DE LA INSTITUCION DONDE SE ATENDIO EL PARTO],"ALTA"))-SUM(COUNTIFS(Tabla1[AÑO PARTO],$B$4,Tabla1[MES PARTO],H6,Tabla1[SALE DEL PROGRAMA POR],"PARTO",Tabla1[DILIGENCIAMIENTO DE PARTOGRAMA (NO APLICA EN EXPULSIVO)],"NO APLICA",Tabla1[NIVEL DE COMPLEJIDAD DE LA ATENCION DE LA INSTITUCION DONDE SE ATENDIO EL PARTO],"MEDIANA"),COUNTIFS(Tabla1[AÑO PARTO],$B$4,Tabla1[MES PARTO],H6,Tabla1[SALE DEL PROGRAMA POR],"PARTO",Tabla1[DILIGENCIAMIENTO DE PARTOGRAMA (NO APLICA EN EXPULSIVO)],"NO APLICA",Tabla1[NIVEL DE COMPLEJIDAD DE LA ATENCION DE LA INSTITUCION DONDE SE ATENDIO EL PARTO],"ALTA"),COUNTIFS(Tabla1[AÑO PARTO],$B$4,Tabla1[MES PARTO],H6,Tabla1[SALE DEL PROGRAMA POR],"CESAREA",Tabla1[DILIGENCIAMIENTO DE PARTOGRAMA (NO APLICA EN EXPULSIVO)],"NO APLICA",Tabla1[NIVEL DE COMPLEJIDAD DE LA ATENCION DE LA INSTITUCION DONDE SE ATENDIO EL PARTO],"MEDIANA"),COUNTIFS(Tabla1[AÑO PARTO],$B$4,Tabla1[MES PARTO],H6,Tabla1[SALE DEL PROGRAMA POR],"CESAREA",Tabla1[DILIGENCIAMIENTO DE PARTOGRAMA (NO APLICA EN EXPULSIVO)],"NO APLICA",Tabla1[NIVEL DE COMPLEJIDAD DE LA ATENCION DE LA INSTITUCION DONDE SE ATENDIO EL PARTO],"ALTA")))</f>
        <v>10</v>
      </c>
      <c r="I113" s="142">
        <f>SUM(SUM(COUNTIFS(Tabla1[AÑO PARTO],$B$4,Tabla1[MES PARTO],I6,Tabla1[SALE DEL PROGRAMA POR],"PARTO",Tabla1[NIVEL DE COMPLEJIDAD DE LA ATENCION DE LA INSTITUCION DONDE SE ATENDIO EL PARTO],"MEDIANA"),COUNTIFS(Tabla1[AÑO PARTO],$B$4,Tabla1[MES PARTO],I6,Tabla1[SALE DEL PROGRAMA POR],"PARTO",Tabla1[NIVEL DE COMPLEJIDAD DE LA ATENCION DE LA INSTITUCION DONDE SE ATENDIO EL PARTO],"ALTA"),COUNTIFS(Tabla1[AÑO PARTO],$B$4,Tabla1[MES PARTO],I6,Tabla1[SALE DEL PROGRAMA POR],"CESAREA",Tabla1[NIVEL DE COMPLEJIDAD DE LA ATENCION DE LA INSTITUCION DONDE SE ATENDIO EL PARTO],"MEDIANA"),COUNTIFS(Tabla1[AÑO PARTO],$B$4,Tabla1[MES PARTO],I6,Tabla1[SALE DEL PROGRAMA POR],"CESAREA",Tabla1[NIVEL DE COMPLEJIDAD DE LA ATENCION DE LA INSTITUCION DONDE SE ATENDIO EL PARTO],"ALTA"))-SUM(COUNTIFS(Tabla1[AÑO PARTO],$B$4,Tabla1[MES PARTO],I6,Tabla1[SALE DEL PROGRAMA POR],"PARTO",Tabla1[DILIGENCIAMIENTO DE PARTOGRAMA (NO APLICA EN EXPULSIVO)],"NO APLICA",Tabla1[NIVEL DE COMPLEJIDAD DE LA ATENCION DE LA INSTITUCION DONDE SE ATENDIO EL PARTO],"MEDIANA"),COUNTIFS(Tabla1[AÑO PARTO],$B$4,Tabla1[MES PARTO],I6,Tabla1[SALE DEL PROGRAMA POR],"PARTO",Tabla1[DILIGENCIAMIENTO DE PARTOGRAMA (NO APLICA EN EXPULSIVO)],"NO APLICA",Tabla1[NIVEL DE COMPLEJIDAD DE LA ATENCION DE LA INSTITUCION DONDE SE ATENDIO EL PARTO],"ALTA"),COUNTIFS(Tabla1[AÑO PARTO],$B$4,Tabla1[MES PARTO],I6,Tabla1[SALE DEL PROGRAMA POR],"CESAREA",Tabla1[DILIGENCIAMIENTO DE PARTOGRAMA (NO APLICA EN EXPULSIVO)],"NO APLICA",Tabla1[NIVEL DE COMPLEJIDAD DE LA ATENCION DE LA INSTITUCION DONDE SE ATENDIO EL PARTO],"MEDIANA"),COUNTIFS(Tabla1[AÑO PARTO],$B$4,Tabla1[MES PARTO],I6,Tabla1[SALE DEL PROGRAMA POR],"CESAREA",Tabla1[DILIGENCIAMIENTO DE PARTOGRAMA (NO APLICA EN EXPULSIVO)],"NO APLICA",Tabla1[NIVEL DE COMPLEJIDAD DE LA ATENCION DE LA INSTITUCION DONDE SE ATENDIO EL PARTO],"ALTA")))</f>
        <v>3</v>
      </c>
      <c r="J113" s="142">
        <f>SUM(SUM(COUNTIFS(Tabla1[AÑO PARTO],$B$4,Tabla1[MES PARTO],J6,Tabla1[SALE DEL PROGRAMA POR],"PARTO",Tabla1[NIVEL DE COMPLEJIDAD DE LA ATENCION DE LA INSTITUCION DONDE SE ATENDIO EL PARTO],"MEDIANA"),COUNTIFS(Tabla1[AÑO PARTO],$B$4,Tabla1[MES PARTO],J6,Tabla1[SALE DEL PROGRAMA POR],"PARTO",Tabla1[NIVEL DE COMPLEJIDAD DE LA ATENCION DE LA INSTITUCION DONDE SE ATENDIO EL PARTO],"ALTA"),COUNTIFS(Tabla1[AÑO PARTO],$B$4,Tabla1[MES PARTO],J6,Tabla1[SALE DEL PROGRAMA POR],"CESAREA",Tabla1[NIVEL DE COMPLEJIDAD DE LA ATENCION DE LA INSTITUCION DONDE SE ATENDIO EL PARTO],"MEDIANA"),COUNTIFS(Tabla1[AÑO PARTO],$B$4,Tabla1[MES PARTO],J6,Tabla1[SALE DEL PROGRAMA POR],"CESAREA",Tabla1[NIVEL DE COMPLEJIDAD DE LA ATENCION DE LA INSTITUCION DONDE SE ATENDIO EL PARTO],"ALTA"))-SUM(COUNTIFS(Tabla1[AÑO PARTO],$B$4,Tabla1[MES PARTO],J6,Tabla1[SALE DEL PROGRAMA POR],"PARTO",Tabla1[DILIGENCIAMIENTO DE PARTOGRAMA (NO APLICA EN EXPULSIVO)],"NO APLICA",Tabla1[NIVEL DE COMPLEJIDAD DE LA ATENCION DE LA INSTITUCION DONDE SE ATENDIO EL PARTO],"MEDIANA"),COUNTIFS(Tabla1[AÑO PARTO],$B$4,Tabla1[MES PARTO],J6,Tabla1[SALE DEL PROGRAMA POR],"PARTO",Tabla1[DILIGENCIAMIENTO DE PARTOGRAMA (NO APLICA EN EXPULSIVO)],"NO APLICA",Tabla1[NIVEL DE COMPLEJIDAD DE LA ATENCION DE LA INSTITUCION DONDE SE ATENDIO EL PARTO],"ALTA"),COUNTIFS(Tabla1[AÑO PARTO],$B$4,Tabla1[MES PARTO],J6,Tabla1[SALE DEL PROGRAMA POR],"CESAREA",Tabla1[DILIGENCIAMIENTO DE PARTOGRAMA (NO APLICA EN EXPULSIVO)],"NO APLICA",Tabla1[NIVEL DE COMPLEJIDAD DE LA ATENCION DE LA INSTITUCION DONDE SE ATENDIO EL PARTO],"MEDIANA"),COUNTIFS(Tabla1[AÑO PARTO],$B$4,Tabla1[MES PARTO],J6,Tabla1[SALE DEL PROGRAMA POR],"CESAREA",Tabla1[DILIGENCIAMIENTO DE PARTOGRAMA (NO APLICA EN EXPULSIVO)],"NO APLICA",Tabla1[NIVEL DE COMPLEJIDAD DE LA ATENCION DE LA INSTITUCION DONDE SE ATENDIO EL PARTO],"ALTA")))</f>
        <v>0</v>
      </c>
      <c r="K113" s="142">
        <f>SUM(SUM(COUNTIFS(Tabla1[AÑO PARTO],$B$4,Tabla1[MES PARTO],K6,Tabla1[SALE DEL PROGRAMA POR],"PARTO",Tabla1[NIVEL DE COMPLEJIDAD DE LA ATENCION DE LA INSTITUCION DONDE SE ATENDIO EL PARTO],"MEDIANA"),COUNTIFS(Tabla1[AÑO PARTO],$B$4,Tabla1[MES PARTO],K6,Tabla1[SALE DEL PROGRAMA POR],"PARTO",Tabla1[NIVEL DE COMPLEJIDAD DE LA ATENCION DE LA INSTITUCION DONDE SE ATENDIO EL PARTO],"ALTA"),COUNTIFS(Tabla1[AÑO PARTO],$B$4,Tabla1[MES PARTO],K6,Tabla1[SALE DEL PROGRAMA POR],"CESAREA",Tabla1[NIVEL DE COMPLEJIDAD DE LA ATENCION DE LA INSTITUCION DONDE SE ATENDIO EL PARTO],"MEDIANA"),COUNTIFS(Tabla1[AÑO PARTO],$B$4,Tabla1[MES PARTO],K6,Tabla1[SALE DEL PROGRAMA POR],"CESAREA",Tabla1[NIVEL DE COMPLEJIDAD DE LA ATENCION DE LA INSTITUCION DONDE SE ATENDIO EL PARTO],"ALTA"))-SUM(COUNTIFS(Tabla1[AÑO PARTO],$B$4,Tabla1[MES PARTO],K6,Tabla1[SALE DEL PROGRAMA POR],"PARTO",Tabla1[DILIGENCIAMIENTO DE PARTOGRAMA (NO APLICA EN EXPULSIVO)],"NO APLICA",Tabla1[NIVEL DE COMPLEJIDAD DE LA ATENCION DE LA INSTITUCION DONDE SE ATENDIO EL PARTO],"MEDIANA"),COUNTIFS(Tabla1[AÑO PARTO],$B$4,Tabla1[MES PARTO],K6,Tabla1[SALE DEL PROGRAMA POR],"PARTO",Tabla1[DILIGENCIAMIENTO DE PARTOGRAMA (NO APLICA EN EXPULSIVO)],"NO APLICA",Tabla1[NIVEL DE COMPLEJIDAD DE LA ATENCION DE LA INSTITUCION DONDE SE ATENDIO EL PARTO],"ALTA"),COUNTIFS(Tabla1[AÑO PARTO],$B$4,Tabla1[MES PARTO],K6,Tabla1[SALE DEL PROGRAMA POR],"CESAREA",Tabla1[DILIGENCIAMIENTO DE PARTOGRAMA (NO APLICA EN EXPULSIVO)],"NO APLICA",Tabla1[NIVEL DE COMPLEJIDAD DE LA ATENCION DE LA INSTITUCION DONDE SE ATENDIO EL PARTO],"MEDIANA"),COUNTIFS(Tabla1[AÑO PARTO],$B$4,Tabla1[MES PARTO],K6,Tabla1[SALE DEL PROGRAMA POR],"CESAREA",Tabla1[DILIGENCIAMIENTO DE PARTOGRAMA (NO APLICA EN EXPULSIVO)],"NO APLICA",Tabla1[NIVEL DE COMPLEJIDAD DE LA ATENCION DE LA INSTITUCION DONDE SE ATENDIO EL PARTO],"ALTA")))</f>
        <v>0</v>
      </c>
      <c r="L113" s="142">
        <f>SUM(SUM(COUNTIFS(Tabla1[AÑO PARTO],$B$4,Tabla1[MES PARTO],L6,Tabla1[SALE DEL PROGRAMA POR],"PARTO",Tabla1[NIVEL DE COMPLEJIDAD DE LA ATENCION DE LA INSTITUCION DONDE SE ATENDIO EL PARTO],"MEDIANA"),COUNTIFS(Tabla1[AÑO PARTO],$B$4,Tabla1[MES PARTO],L6,Tabla1[SALE DEL PROGRAMA POR],"PARTO",Tabla1[NIVEL DE COMPLEJIDAD DE LA ATENCION DE LA INSTITUCION DONDE SE ATENDIO EL PARTO],"ALTA"),COUNTIFS(Tabla1[AÑO PARTO],$B$4,Tabla1[MES PARTO],L6,Tabla1[SALE DEL PROGRAMA POR],"CESAREA",Tabla1[NIVEL DE COMPLEJIDAD DE LA ATENCION DE LA INSTITUCION DONDE SE ATENDIO EL PARTO],"MEDIANA"),COUNTIFS(Tabla1[AÑO PARTO],$B$4,Tabla1[MES PARTO],L6,Tabla1[SALE DEL PROGRAMA POR],"CESAREA",Tabla1[NIVEL DE COMPLEJIDAD DE LA ATENCION DE LA INSTITUCION DONDE SE ATENDIO EL PARTO],"ALTA"))-SUM(COUNTIFS(Tabla1[AÑO PARTO],$B$4,Tabla1[MES PARTO],L6,Tabla1[SALE DEL PROGRAMA POR],"PARTO",Tabla1[DILIGENCIAMIENTO DE PARTOGRAMA (NO APLICA EN EXPULSIVO)],"NO APLICA",Tabla1[NIVEL DE COMPLEJIDAD DE LA ATENCION DE LA INSTITUCION DONDE SE ATENDIO EL PARTO],"MEDIANA"),COUNTIFS(Tabla1[AÑO PARTO],$B$4,Tabla1[MES PARTO],L6,Tabla1[SALE DEL PROGRAMA POR],"PARTO",Tabla1[DILIGENCIAMIENTO DE PARTOGRAMA (NO APLICA EN EXPULSIVO)],"NO APLICA",Tabla1[NIVEL DE COMPLEJIDAD DE LA ATENCION DE LA INSTITUCION DONDE SE ATENDIO EL PARTO],"ALTA"),COUNTIFS(Tabla1[AÑO PARTO],$B$4,Tabla1[MES PARTO],L6,Tabla1[SALE DEL PROGRAMA POR],"CESAREA",Tabla1[DILIGENCIAMIENTO DE PARTOGRAMA (NO APLICA EN EXPULSIVO)],"NO APLICA",Tabla1[NIVEL DE COMPLEJIDAD DE LA ATENCION DE LA INSTITUCION DONDE SE ATENDIO EL PARTO],"MEDIANA"),COUNTIFS(Tabla1[AÑO PARTO],$B$4,Tabla1[MES PARTO],L6,Tabla1[SALE DEL PROGRAMA POR],"CESAREA",Tabla1[DILIGENCIAMIENTO DE PARTOGRAMA (NO APLICA EN EXPULSIVO)],"NO APLICA",Tabla1[NIVEL DE COMPLEJIDAD DE LA ATENCION DE LA INSTITUCION DONDE SE ATENDIO EL PARTO],"ALTA")))</f>
        <v>0</v>
      </c>
      <c r="M113" s="142">
        <f>SUM(SUM(COUNTIFS(Tabla1[AÑO PARTO],$B$4,Tabla1[MES PARTO],M6,Tabla1[SALE DEL PROGRAMA POR],"PARTO",Tabla1[NIVEL DE COMPLEJIDAD DE LA ATENCION DE LA INSTITUCION DONDE SE ATENDIO EL PARTO],"MEDIANA"),COUNTIFS(Tabla1[AÑO PARTO],$B$4,Tabla1[MES PARTO],M6,Tabla1[SALE DEL PROGRAMA POR],"PARTO",Tabla1[NIVEL DE COMPLEJIDAD DE LA ATENCION DE LA INSTITUCION DONDE SE ATENDIO EL PARTO],"ALTA"),COUNTIFS(Tabla1[AÑO PARTO],$B$4,Tabla1[MES PARTO],M6,Tabla1[SALE DEL PROGRAMA POR],"CESAREA",Tabla1[NIVEL DE COMPLEJIDAD DE LA ATENCION DE LA INSTITUCION DONDE SE ATENDIO EL PARTO],"MEDIANA"),COUNTIFS(Tabla1[AÑO PARTO],$B$4,Tabla1[MES PARTO],M6,Tabla1[SALE DEL PROGRAMA POR],"CESAREA",Tabla1[NIVEL DE COMPLEJIDAD DE LA ATENCION DE LA INSTITUCION DONDE SE ATENDIO EL PARTO],"ALTA"))-SUM(COUNTIFS(Tabla1[AÑO PARTO],$B$4,Tabla1[MES PARTO],M6,Tabla1[SALE DEL PROGRAMA POR],"PARTO",Tabla1[DILIGENCIAMIENTO DE PARTOGRAMA (NO APLICA EN EXPULSIVO)],"NO APLICA",Tabla1[NIVEL DE COMPLEJIDAD DE LA ATENCION DE LA INSTITUCION DONDE SE ATENDIO EL PARTO],"MEDIANA"),COUNTIFS(Tabla1[AÑO PARTO],$B$4,Tabla1[MES PARTO],M6,Tabla1[SALE DEL PROGRAMA POR],"PARTO",Tabla1[DILIGENCIAMIENTO DE PARTOGRAMA (NO APLICA EN EXPULSIVO)],"NO APLICA",Tabla1[NIVEL DE COMPLEJIDAD DE LA ATENCION DE LA INSTITUCION DONDE SE ATENDIO EL PARTO],"ALTA"),COUNTIFS(Tabla1[AÑO PARTO],$B$4,Tabla1[MES PARTO],M6,Tabla1[SALE DEL PROGRAMA POR],"CESAREA",Tabla1[DILIGENCIAMIENTO DE PARTOGRAMA (NO APLICA EN EXPULSIVO)],"NO APLICA",Tabla1[NIVEL DE COMPLEJIDAD DE LA ATENCION DE LA INSTITUCION DONDE SE ATENDIO EL PARTO],"MEDIANA"),COUNTIFS(Tabla1[AÑO PARTO],$B$4,Tabla1[MES PARTO],M6,Tabla1[SALE DEL PROGRAMA POR],"CESAREA",Tabla1[DILIGENCIAMIENTO DE PARTOGRAMA (NO APLICA EN EXPULSIVO)],"NO APLICA",Tabla1[NIVEL DE COMPLEJIDAD DE LA ATENCION DE LA INSTITUCION DONDE SE ATENDIO EL PARTO],"ALTA")))</f>
        <v>0</v>
      </c>
      <c r="N113" s="82">
        <f>SUM(B113:M113)</f>
        <v>50</v>
      </c>
    </row>
    <row r="114" spans="1:14" ht="39" customHeight="1" thickBot="1" x14ac:dyDescent="0.3">
      <c r="A114" s="146" t="s">
        <v>688</v>
      </c>
      <c r="B114" s="83" t="str">
        <f t="shared" ref="B114:N114" si="34">IF(B$113=0,"",SUM(B112/B$113))</f>
        <v/>
      </c>
      <c r="C114" s="84">
        <f t="shared" si="34"/>
        <v>0</v>
      </c>
      <c r="D114" s="84">
        <f t="shared" si="34"/>
        <v>0</v>
      </c>
      <c r="E114" s="84">
        <f t="shared" si="34"/>
        <v>0</v>
      </c>
      <c r="F114" s="84">
        <f t="shared" si="34"/>
        <v>0</v>
      </c>
      <c r="G114" s="84">
        <f t="shared" si="34"/>
        <v>0</v>
      </c>
      <c r="H114" s="84">
        <f t="shared" si="34"/>
        <v>0</v>
      </c>
      <c r="I114" s="84">
        <f t="shared" si="34"/>
        <v>0</v>
      </c>
      <c r="J114" s="84" t="str">
        <f t="shared" si="34"/>
        <v/>
      </c>
      <c r="K114" s="84" t="str">
        <f t="shared" si="34"/>
        <v/>
      </c>
      <c r="L114" s="84" t="str">
        <f t="shared" si="34"/>
        <v/>
      </c>
      <c r="M114" s="84" t="str">
        <f t="shared" si="34"/>
        <v/>
      </c>
      <c r="N114" s="147">
        <f t="shared" si="34"/>
        <v>0</v>
      </c>
    </row>
    <row r="115" spans="1:14" ht="42.75" customHeight="1" thickBot="1" x14ac:dyDescent="0.3">
      <c r="A115" s="131" t="s">
        <v>644</v>
      </c>
      <c r="B115" s="144">
        <f>COUNTIFS(Tabla1[AÑO PARTO],$B$4,Tabla1[MES PARTO],B6,Tabla1[SALE DEL PROGRAMA POR],"PARTO",Tabla1[NIVEL DE COMPLEJIDAD DE LA ATENCION DE LA INSTITUCION DONDE SE ATENDIO EL PARTO],"BAJA",Tabla1[MANEJO ACTIVO DEL TERCER PERIODO DEL PARTO (USO OXITOCINA,MASAJE UTERINO Y TRACCIÓN SOSTENIDA DE CORDÓN)2],"SI")</f>
        <v>0</v>
      </c>
      <c r="C115" s="132">
        <f>COUNTIFS(Tabla1[AÑO PARTO],$B$4,Tabla1[MES PARTO],C6,Tabla1[SALE DEL PROGRAMA POR],"PARTO",Tabla1[NIVEL DE COMPLEJIDAD DE LA ATENCION DE LA INSTITUCION DONDE SE ATENDIO EL PARTO],"BAJA",Tabla1[MANEJO ACTIVO DEL TERCER PERIODO DEL PARTO (USO OXITOCINA,MASAJE UTERINO Y TRACCIÓN SOSTENIDA DE CORDÓN)2],"SI")</f>
        <v>0</v>
      </c>
      <c r="D115" s="132">
        <f>COUNTIFS(Tabla1[AÑO PARTO],$B$4,Tabla1[MES PARTO],D6,Tabla1[SALE DEL PROGRAMA POR],"PARTO",Tabla1[NIVEL DE COMPLEJIDAD DE LA ATENCION DE LA INSTITUCION DONDE SE ATENDIO EL PARTO],"BAJA",Tabla1[MANEJO ACTIVO DEL TERCER PERIODO DEL PARTO (USO OXITOCINA,MASAJE UTERINO Y TRACCIÓN SOSTENIDA DE CORDÓN)2],"SI")</f>
        <v>0</v>
      </c>
      <c r="E115" s="132">
        <f>COUNTIFS(Tabla1[AÑO PARTO],$B$4,Tabla1[MES PARTO],E6,Tabla1[SALE DEL PROGRAMA POR],"PARTO",Tabla1[NIVEL DE COMPLEJIDAD DE LA ATENCION DE LA INSTITUCION DONDE SE ATENDIO EL PARTO],"BAJA",Tabla1[MANEJO ACTIVO DEL TERCER PERIODO DEL PARTO (USO OXITOCINA,MASAJE UTERINO Y TRACCIÓN SOSTENIDA DE CORDÓN)2],"SI")</f>
        <v>0</v>
      </c>
      <c r="F115" s="132">
        <f>COUNTIFS(Tabla1[AÑO PARTO],$B$4,Tabla1[MES PARTO],F6,Tabla1[SALE DEL PROGRAMA POR],"PARTO",Tabla1[NIVEL DE COMPLEJIDAD DE LA ATENCION DE LA INSTITUCION DONDE SE ATENDIO EL PARTO],"BAJA",Tabla1[MANEJO ACTIVO DEL TERCER PERIODO DEL PARTO (USO OXITOCINA,MASAJE UTERINO Y TRACCIÓN SOSTENIDA DE CORDÓN)2],"SI")</f>
        <v>0</v>
      </c>
      <c r="G115" s="132">
        <f>COUNTIFS(Tabla1[AÑO PARTO],$B$4,Tabla1[MES PARTO],G6,Tabla1[SALE DEL PROGRAMA POR],"PARTO",Tabla1[NIVEL DE COMPLEJIDAD DE LA ATENCION DE LA INSTITUCION DONDE SE ATENDIO EL PARTO],"BAJA",Tabla1[MANEJO ACTIVO DEL TERCER PERIODO DEL PARTO (USO OXITOCINA,MASAJE UTERINO Y TRACCIÓN SOSTENIDA DE CORDÓN)2],"SI")</f>
        <v>0</v>
      </c>
      <c r="H115" s="132">
        <f>COUNTIFS(Tabla1[AÑO PARTO],$B$4,Tabla1[MES PARTO],H6,Tabla1[SALE DEL PROGRAMA POR],"PARTO",Tabla1[NIVEL DE COMPLEJIDAD DE LA ATENCION DE LA INSTITUCION DONDE SE ATENDIO EL PARTO],"BAJA",Tabla1[MANEJO ACTIVO DEL TERCER PERIODO DEL PARTO (USO OXITOCINA,MASAJE UTERINO Y TRACCIÓN SOSTENIDA DE CORDÓN)2],"SI")</f>
        <v>0</v>
      </c>
      <c r="I115" s="132">
        <f>COUNTIFS(Tabla1[AÑO PARTO],$B$4,Tabla1[MES PARTO],I6,Tabla1[SALE DEL PROGRAMA POR],"PARTO",Tabla1[NIVEL DE COMPLEJIDAD DE LA ATENCION DE LA INSTITUCION DONDE SE ATENDIO EL PARTO],"BAJA",Tabla1[MANEJO ACTIVO DEL TERCER PERIODO DEL PARTO (USO OXITOCINA,MASAJE UTERINO Y TRACCIÓN SOSTENIDA DE CORDÓN)2],"SI")</f>
        <v>0</v>
      </c>
      <c r="J115" s="132">
        <f>COUNTIFS(Tabla1[AÑO PARTO],$B$4,Tabla1[MES PARTO],J6,Tabla1[SALE DEL PROGRAMA POR],"PARTO",Tabla1[NIVEL DE COMPLEJIDAD DE LA ATENCION DE LA INSTITUCION DONDE SE ATENDIO EL PARTO],"BAJA",Tabla1[MANEJO ACTIVO DEL TERCER PERIODO DEL PARTO (USO OXITOCINA,MASAJE UTERINO Y TRACCIÓN SOSTENIDA DE CORDÓN)2],"SI")</f>
        <v>0</v>
      </c>
      <c r="K115" s="132">
        <f>COUNTIFS(Tabla1[AÑO PARTO],$B$4,Tabla1[MES PARTO],K6,Tabla1[SALE DEL PROGRAMA POR],"PARTO",Tabla1[NIVEL DE COMPLEJIDAD DE LA ATENCION DE LA INSTITUCION DONDE SE ATENDIO EL PARTO],"BAJA",Tabla1[MANEJO ACTIVO DEL TERCER PERIODO DEL PARTO (USO OXITOCINA,MASAJE UTERINO Y TRACCIÓN SOSTENIDA DE CORDÓN)2],"SI")</f>
        <v>0</v>
      </c>
      <c r="L115" s="132">
        <f>COUNTIFS(Tabla1[AÑO PARTO],$B$4,Tabla1[MES PARTO],L6,Tabla1[SALE DEL PROGRAMA POR],"PARTO",Tabla1[NIVEL DE COMPLEJIDAD DE LA ATENCION DE LA INSTITUCION DONDE SE ATENDIO EL PARTO],"BAJA",Tabla1[MANEJO ACTIVO DEL TERCER PERIODO DEL PARTO (USO OXITOCINA,MASAJE UTERINO Y TRACCIÓN SOSTENIDA DE CORDÓN)2],"SI")</f>
        <v>0</v>
      </c>
      <c r="M115" s="132">
        <f>COUNTIFS(Tabla1[AÑO PARTO],$B$4,Tabla1[MES PARTO],M6,Tabla1[SALE DEL PROGRAMA POR],"PARTO",Tabla1[NIVEL DE COMPLEJIDAD DE LA ATENCION DE LA INSTITUCION DONDE SE ATENDIO EL PARTO],"BAJA",Tabla1[MANEJO ACTIVO DEL TERCER PERIODO DEL PARTO (USO OXITOCINA,MASAJE UTERINO Y TRACCIÓN SOSTENIDA DE CORDÓN)2],"SI")</f>
        <v>0</v>
      </c>
      <c r="N115" s="145">
        <f>SUM(B115:M115)</f>
        <v>0</v>
      </c>
    </row>
    <row r="116" spans="1:14" ht="42.75" customHeight="1" thickBot="1" x14ac:dyDescent="0.3">
      <c r="A116" s="151" t="s">
        <v>661</v>
      </c>
      <c r="B116" s="144" t="str">
        <f>IF(B$102=0,"",SUM(B115/B$102))</f>
        <v/>
      </c>
      <c r="C116" s="132">
        <f t="shared" ref="C116:N116" si="35">IF(C$102=0,"",SUM(C115/C$102))</f>
        <v>0</v>
      </c>
      <c r="D116" s="132">
        <f t="shared" si="35"/>
        <v>0</v>
      </c>
      <c r="E116" s="132">
        <f t="shared" si="35"/>
        <v>0</v>
      </c>
      <c r="F116" s="132">
        <f t="shared" si="35"/>
        <v>0</v>
      </c>
      <c r="G116" s="132" t="str">
        <f t="shared" si="35"/>
        <v/>
      </c>
      <c r="H116" s="132">
        <f t="shared" si="35"/>
        <v>0</v>
      </c>
      <c r="I116" s="132" t="str">
        <f t="shared" si="35"/>
        <v/>
      </c>
      <c r="J116" s="132" t="str">
        <f t="shared" si="35"/>
        <v/>
      </c>
      <c r="K116" s="132" t="str">
        <f t="shared" si="35"/>
        <v/>
      </c>
      <c r="L116" s="132" t="str">
        <f t="shared" si="35"/>
        <v/>
      </c>
      <c r="M116" s="132" t="str">
        <f t="shared" si="35"/>
        <v/>
      </c>
      <c r="N116" s="145">
        <f t="shared" si="35"/>
        <v>0</v>
      </c>
    </row>
    <row r="117" spans="1:14" ht="42.75" customHeight="1" thickBot="1" x14ac:dyDescent="0.3">
      <c r="A117" s="131" t="s">
        <v>645</v>
      </c>
      <c r="B117" s="144">
        <f>SUM(COUNTIFS(Tabla1[AÑO PARTO],$B$4,Tabla1[MES PARTO],B6,Tabla1[NIVEL DE COMPLEJIDAD DE LA ATENCION DE LA INSTITUCION DONDE SE ATENDIO EL PARTO],"MEDIANA",Tabla1[MANEJO ACTIVO DEL TERCER PERIODO DEL PARTO (USO OXITOCINA,MASAJE UTERINO Y TRACCIÓN SOSTENIDA DE CORDÓN)2],"SI" ),COUNTIFS(Tabla1[AÑO PARTO],$B$4,Tabla1[MES PARTO],B6,Tabla1[NIVEL DE COMPLEJIDAD DE LA ATENCION DE LA INSTITUCION DONDE SE ATENDIO EL PARTO],"ALTA",Tabla1[MANEJO ACTIVO DEL TERCER PERIODO DEL PARTO (USO OXITOCINA,MASAJE UTERINO Y TRACCIÓN SOSTENIDA DE CORDÓN)2],"SI"))</f>
        <v>0</v>
      </c>
      <c r="C117" s="148">
        <f>SUM(COUNTIFS(Tabla1[AÑO PARTO],$B$4,Tabla1[MES PARTO],C6,Tabla1[NIVEL DE COMPLEJIDAD DE LA ATENCION DE LA INSTITUCION DONDE SE ATENDIO EL PARTO],"MEDIANA",Tabla1[MANEJO ACTIVO DEL TERCER PERIODO DEL PARTO (USO OXITOCINA,MASAJE UTERINO Y TRACCIÓN SOSTENIDA DE CORDÓN)2],"SI" ),COUNTIFS(Tabla1[AÑO PARTO],$B$4,Tabla1[MES PARTO],C6,Tabla1[NIVEL DE COMPLEJIDAD DE LA ATENCION DE LA INSTITUCION DONDE SE ATENDIO EL PARTO],"ALTA",Tabla1[MANEJO ACTIVO DEL TERCER PERIODO DEL PARTO (USO OXITOCINA,MASAJE UTERINO Y TRACCIÓN SOSTENIDA DE CORDÓN)2],"SI"))</f>
        <v>0</v>
      </c>
      <c r="D117" s="148">
        <f>SUM(COUNTIFS(Tabla1[AÑO PARTO],$B$4,Tabla1[MES PARTO],D6,Tabla1[NIVEL DE COMPLEJIDAD DE LA ATENCION DE LA INSTITUCION DONDE SE ATENDIO EL PARTO],"MEDIANA",Tabla1[MANEJO ACTIVO DEL TERCER PERIODO DEL PARTO (USO OXITOCINA,MASAJE UTERINO Y TRACCIÓN SOSTENIDA DE CORDÓN)2],"SI" ),COUNTIFS(Tabla1[AÑO PARTO],$B$4,Tabla1[MES PARTO],D6,Tabla1[NIVEL DE COMPLEJIDAD DE LA ATENCION DE LA INSTITUCION DONDE SE ATENDIO EL PARTO],"ALTA",Tabla1[MANEJO ACTIVO DEL TERCER PERIODO DEL PARTO (USO OXITOCINA,MASAJE UTERINO Y TRACCIÓN SOSTENIDA DE CORDÓN)2],"SI"))</f>
        <v>0</v>
      </c>
      <c r="E117" s="148">
        <f>SUM(COUNTIFS(Tabla1[AÑO PARTO],$B$4,Tabla1[MES PARTO],E6,Tabla1[NIVEL DE COMPLEJIDAD DE LA ATENCION DE LA INSTITUCION DONDE SE ATENDIO EL PARTO],"MEDIANA",Tabla1[MANEJO ACTIVO DEL TERCER PERIODO DEL PARTO (USO OXITOCINA,MASAJE UTERINO Y TRACCIÓN SOSTENIDA DE CORDÓN)2],"SI" ),COUNTIFS(Tabla1[AÑO PARTO],$B$4,Tabla1[MES PARTO],E6,Tabla1[NIVEL DE COMPLEJIDAD DE LA ATENCION DE LA INSTITUCION DONDE SE ATENDIO EL PARTO],"ALTA",Tabla1[MANEJO ACTIVO DEL TERCER PERIODO DEL PARTO (USO OXITOCINA,MASAJE UTERINO Y TRACCIÓN SOSTENIDA DE CORDÓN)2],"SI"))</f>
        <v>0</v>
      </c>
      <c r="F117" s="148">
        <f>SUM(COUNTIFS(Tabla1[AÑO PARTO],$B$4,Tabla1[MES PARTO],F6,Tabla1[NIVEL DE COMPLEJIDAD DE LA ATENCION DE LA INSTITUCION DONDE SE ATENDIO EL PARTO],"MEDIANA",Tabla1[MANEJO ACTIVO DEL TERCER PERIODO DEL PARTO (USO OXITOCINA,MASAJE UTERINO Y TRACCIÓN SOSTENIDA DE CORDÓN)2],"SI" ),COUNTIFS(Tabla1[AÑO PARTO],$B$4,Tabla1[MES PARTO],F6,Tabla1[NIVEL DE COMPLEJIDAD DE LA ATENCION DE LA INSTITUCION DONDE SE ATENDIO EL PARTO],"ALTA",Tabla1[MANEJO ACTIVO DEL TERCER PERIODO DEL PARTO (USO OXITOCINA,MASAJE UTERINO Y TRACCIÓN SOSTENIDA DE CORDÓN)2],"SI"))</f>
        <v>0</v>
      </c>
      <c r="G117" s="148">
        <f>SUM(COUNTIFS(Tabla1[AÑO PARTO],$B$4,Tabla1[MES PARTO],G6,Tabla1[NIVEL DE COMPLEJIDAD DE LA ATENCION DE LA INSTITUCION DONDE SE ATENDIO EL PARTO],"MEDIANA",Tabla1[MANEJO ACTIVO DEL TERCER PERIODO DEL PARTO (USO OXITOCINA,MASAJE UTERINO Y TRACCIÓN SOSTENIDA DE CORDÓN)2],"SI" ),COUNTIFS(Tabla1[AÑO PARTO],$B$4,Tabla1[MES PARTO],G6,Tabla1[NIVEL DE COMPLEJIDAD DE LA ATENCION DE LA INSTITUCION DONDE SE ATENDIO EL PARTO],"ALTA",Tabla1[MANEJO ACTIVO DEL TERCER PERIODO DEL PARTO (USO OXITOCINA,MASAJE UTERINO Y TRACCIÓN SOSTENIDA DE CORDÓN)2],"SI"))</f>
        <v>0</v>
      </c>
      <c r="H117" s="148">
        <f>SUM(COUNTIFS(Tabla1[AÑO PARTO],$B$4,Tabla1[MES PARTO],H6,Tabla1[NIVEL DE COMPLEJIDAD DE LA ATENCION DE LA INSTITUCION DONDE SE ATENDIO EL PARTO],"MEDIANA",Tabla1[MANEJO ACTIVO DEL TERCER PERIODO DEL PARTO (USO OXITOCINA,MASAJE UTERINO Y TRACCIÓN SOSTENIDA DE CORDÓN)2],"SI" ),COUNTIFS(Tabla1[AÑO PARTO],$B$4,Tabla1[MES PARTO],H6,Tabla1[NIVEL DE COMPLEJIDAD DE LA ATENCION DE LA INSTITUCION DONDE SE ATENDIO EL PARTO],"ALTA",Tabla1[MANEJO ACTIVO DEL TERCER PERIODO DEL PARTO (USO OXITOCINA,MASAJE UTERINO Y TRACCIÓN SOSTENIDA DE CORDÓN)2],"SI"))</f>
        <v>0</v>
      </c>
      <c r="I117" s="148">
        <f>SUM(COUNTIFS(Tabla1[AÑO PARTO],$B$4,Tabla1[MES PARTO],I6,Tabla1[NIVEL DE COMPLEJIDAD DE LA ATENCION DE LA INSTITUCION DONDE SE ATENDIO EL PARTO],"MEDIANA",Tabla1[MANEJO ACTIVO DEL TERCER PERIODO DEL PARTO (USO OXITOCINA,MASAJE UTERINO Y TRACCIÓN SOSTENIDA DE CORDÓN)2],"SI" ),COUNTIFS(Tabla1[AÑO PARTO],$B$4,Tabla1[MES PARTO],I6,Tabla1[NIVEL DE COMPLEJIDAD DE LA ATENCION DE LA INSTITUCION DONDE SE ATENDIO EL PARTO],"ALTA",Tabla1[MANEJO ACTIVO DEL TERCER PERIODO DEL PARTO (USO OXITOCINA,MASAJE UTERINO Y TRACCIÓN SOSTENIDA DE CORDÓN)2],"SI"))</f>
        <v>0</v>
      </c>
      <c r="J117" s="148">
        <f>SUM(COUNTIFS(Tabla1[AÑO PARTO],$B$4,Tabla1[MES PARTO],J6,Tabla1[NIVEL DE COMPLEJIDAD DE LA ATENCION DE LA INSTITUCION DONDE SE ATENDIO EL PARTO],"MEDIANA",Tabla1[MANEJO ACTIVO DEL TERCER PERIODO DEL PARTO (USO OXITOCINA,MASAJE UTERINO Y TRACCIÓN SOSTENIDA DE CORDÓN)2],"SI" ),COUNTIFS(Tabla1[AÑO PARTO],$B$4,Tabla1[MES PARTO],J6,Tabla1[NIVEL DE COMPLEJIDAD DE LA ATENCION DE LA INSTITUCION DONDE SE ATENDIO EL PARTO],"ALTA",Tabla1[MANEJO ACTIVO DEL TERCER PERIODO DEL PARTO (USO OXITOCINA,MASAJE UTERINO Y TRACCIÓN SOSTENIDA DE CORDÓN)2],"SI"))</f>
        <v>0</v>
      </c>
      <c r="K117" s="148">
        <f>SUM(COUNTIFS(Tabla1[AÑO PARTO],$B$4,Tabla1[MES PARTO],K6,Tabla1[NIVEL DE COMPLEJIDAD DE LA ATENCION DE LA INSTITUCION DONDE SE ATENDIO EL PARTO],"MEDIANA",Tabla1[MANEJO ACTIVO DEL TERCER PERIODO DEL PARTO (USO OXITOCINA,MASAJE UTERINO Y TRACCIÓN SOSTENIDA DE CORDÓN)2],"SI" ),COUNTIFS(Tabla1[AÑO PARTO],$B$4,Tabla1[MES PARTO],K6,Tabla1[NIVEL DE COMPLEJIDAD DE LA ATENCION DE LA INSTITUCION DONDE SE ATENDIO EL PARTO],"ALTA",Tabla1[MANEJO ACTIVO DEL TERCER PERIODO DEL PARTO (USO OXITOCINA,MASAJE UTERINO Y TRACCIÓN SOSTENIDA DE CORDÓN)2],"SI"))</f>
        <v>0</v>
      </c>
      <c r="L117" s="148">
        <f>SUM(COUNTIFS(Tabla1[AÑO PARTO],$B$4,Tabla1[MES PARTO],L6,Tabla1[NIVEL DE COMPLEJIDAD DE LA ATENCION DE LA INSTITUCION DONDE SE ATENDIO EL PARTO],"MEDIANA",Tabla1[MANEJO ACTIVO DEL TERCER PERIODO DEL PARTO (USO OXITOCINA,MASAJE UTERINO Y TRACCIÓN SOSTENIDA DE CORDÓN)2],"SI" ),COUNTIFS(Tabla1[AÑO PARTO],$B$4,Tabla1[MES PARTO],L6,Tabla1[NIVEL DE COMPLEJIDAD DE LA ATENCION DE LA INSTITUCION DONDE SE ATENDIO EL PARTO],"ALTA",Tabla1[MANEJO ACTIVO DEL TERCER PERIODO DEL PARTO (USO OXITOCINA,MASAJE UTERINO Y TRACCIÓN SOSTENIDA DE CORDÓN)2],"SI"))</f>
        <v>0</v>
      </c>
      <c r="M117" s="148">
        <f>SUM(COUNTIFS(Tabla1[AÑO PARTO],$B$4,Tabla1[MES PARTO],M6,Tabla1[NIVEL DE COMPLEJIDAD DE LA ATENCION DE LA INSTITUCION DONDE SE ATENDIO EL PARTO],"MEDIANA",Tabla1[MANEJO ACTIVO DEL TERCER PERIODO DEL PARTO (USO OXITOCINA,MASAJE UTERINO Y TRACCIÓN SOSTENIDA DE CORDÓN)2],"SI" ),COUNTIFS(Tabla1[AÑO PARTO],$B$4,Tabla1[MES PARTO],M6,Tabla1[NIVEL DE COMPLEJIDAD DE LA ATENCION DE LA INSTITUCION DONDE SE ATENDIO EL PARTO],"ALTA",Tabla1[MANEJO ACTIVO DEL TERCER PERIODO DEL PARTO (USO OXITOCINA,MASAJE UTERINO Y TRACCIÓN SOSTENIDA DE CORDÓN)2],"SI"))</f>
        <v>0</v>
      </c>
      <c r="N117" s="145">
        <f>SUM(B117:M117)</f>
        <v>0</v>
      </c>
    </row>
    <row r="118" spans="1:14" ht="42.75" customHeight="1" thickBot="1" x14ac:dyDescent="0.3">
      <c r="A118" s="146" t="s">
        <v>646</v>
      </c>
      <c r="B118" s="144" t="str">
        <f t="shared" ref="B118:N118" si="36">IF(B$107=0,"",SUM(B117/B$107))</f>
        <v/>
      </c>
      <c r="C118" s="132">
        <f t="shared" si="36"/>
        <v>0</v>
      </c>
      <c r="D118" s="132">
        <f t="shared" si="36"/>
        <v>0</v>
      </c>
      <c r="E118" s="132">
        <f t="shared" si="36"/>
        <v>0</v>
      </c>
      <c r="F118" s="132">
        <f t="shared" si="36"/>
        <v>0</v>
      </c>
      <c r="G118" s="132">
        <f t="shared" si="36"/>
        <v>0</v>
      </c>
      <c r="H118" s="132">
        <f t="shared" si="36"/>
        <v>0</v>
      </c>
      <c r="I118" s="132">
        <f t="shared" si="36"/>
        <v>0</v>
      </c>
      <c r="J118" s="132" t="str">
        <f t="shared" si="36"/>
        <v/>
      </c>
      <c r="K118" s="132" t="str">
        <f t="shared" si="36"/>
        <v/>
      </c>
      <c r="L118" s="132" t="str">
        <f t="shared" si="36"/>
        <v/>
      </c>
      <c r="M118" s="132" t="str">
        <f t="shared" si="36"/>
        <v/>
      </c>
      <c r="N118" s="145">
        <f t="shared" si="36"/>
        <v>0</v>
      </c>
    </row>
    <row r="119" spans="1:14" ht="42.75" customHeight="1" thickBot="1" x14ac:dyDescent="0.3">
      <c r="A119" s="131" t="s">
        <v>717</v>
      </c>
      <c r="B119" s="144">
        <f>COUNTIFS(Tabla1[AÑO PARTO],$B$4,Tabla1[MES PARTO],B6,Tabla1[SALE DEL PROGRAMA POR],"PARTO",Tabla1[NIVEL DE COMPLEJIDAD DE LA ATENCION DE LA INSTITUCION DONDE SE ATENDIO EL PARTO],"BAJA",Tabla1[MONITORIA CADA 15 MINUTOS DE SIGNOS VITALES DURANTES LAS PRIMERAS DOS HORAS POSTPARTO (SOPORTE EN HC - 8 VALORACIONES EN LAS PRIMERAS 2 HORAS)],"SI")</f>
        <v>0</v>
      </c>
      <c r="C119" s="148">
        <f>COUNTIFS(Tabla1[AÑO PARTO],$B$4,Tabla1[MES PARTO],C6,Tabla1[SALE DEL PROGRAMA POR],"PARTO",Tabla1[NIVEL DE COMPLEJIDAD DE LA ATENCION DE LA INSTITUCION DONDE SE ATENDIO EL PARTO],"BAJA",Tabla1[MONITORIA CADA 15 MINUTOS DE SIGNOS VITALES DURANTES LAS PRIMERAS DOS HORAS POSTPARTO (SOPORTE EN HC - 8 VALORACIONES EN LAS PRIMERAS 2 HORAS)],"SI")</f>
        <v>0</v>
      </c>
      <c r="D119" s="148">
        <f>COUNTIFS(Tabla1[AÑO PARTO],$B$4,Tabla1[MES PARTO],D6,Tabla1[SALE DEL PROGRAMA POR],"PARTO",Tabla1[NIVEL DE COMPLEJIDAD DE LA ATENCION DE LA INSTITUCION DONDE SE ATENDIO EL PARTO],"BAJA",Tabla1[MONITORIA CADA 15 MINUTOS DE SIGNOS VITALES DURANTES LAS PRIMERAS DOS HORAS POSTPARTO (SOPORTE EN HC - 8 VALORACIONES EN LAS PRIMERAS 2 HORAS)],"SI")</f>
        <v>0</v>
      </c>
      <c r="E119" s="148">
        <f>COUNTIFS(Tabla1[AÑO PARTO],$B$4,Tabla1[MES PARTO],E6,Tabla1[SALE DEL PROGRAMA POR],"PARTO",Tabla1[NIVEL DE COMPLEJIDAD DE LA ATENCION DE LA INSTITUCION DONDE SE ATENDIO EL PARTO],"BAJA",Tabla1[MONITORIA CADA 15 MINUTOS DE SIGNOS VITALES DURANTES LAS PRIMERAS DOS HORAS POSTPARTO (SOPORTE EN HC - 8 VALORACIONES EN LAS PRIMERAS 2 HORAS)],"SI")</f>
        <v>0</v>
      </c>
      <c r="F119" s="148">
        <f>COUNTIFS(Tabla1[AÑO PARTO],$B$4,Tabla1[MES PARTO],F6,Tabla1[SALE DEL PROGRAMA POR],"PARTO",Tabla1[NIVEL DE COMPLEJIDAD DE LA ATENCION DE LA INSTITUCION DONDE SE ATENDIO EL PARTO],"BAJA",Tabla1[MONITORIA CADA 15 MINUTOS DE SIGNOS VITALES DURANTES LAS PRIMERAS DOS HORAS POSTPARTO (SOPORTE EN HC - 8 VALORACIONES EN LAS PRIMERAS 2 HORAS)],"SI")</f>
        <v>0</v>
      </c>
      <c r="G119" s="148">
        <f>COUNTIFS(Tabla1[AÑO PARTO],$B$4,Tabla1[MES PARTO],G6,Tabla1[SALE DEL PROGRAMA POR],"PARTO",Tabla1[NIVEL DE COMPLEJIDAD DE LA ATENCION DE LA INSTITUCION DONDE SE ATENDIO EL PARTO],"BAJA",Tabla1[MONITORIA CADA 15 MINUTOS DE SIGNOS VITALES DURANTES LAS PRIMERAS DOS HORAS POSTPARTO (SOPORTE EN HC - 8 VALORACIONES EN LAS PRIMERAS 2 HORAS)],"SI")</f>
        <v>0</v>
      </c>
      <c r="H119" s="148">
        <f>COUNTIFS(Tabla1[AÑO PARTO],$B$4,Tabla1[MES PARTO],H6,Tabla1[SALE DEL PROGRAMA POR],"PARTO",Tabla1[NIVEL DE COMPLEJIDAD DE LA ATENCION DE LA INSTITUCION DONDE SE ATENDIO EL PARTO],"BAJA",Tabla1[MONITORIA CADA 15 MINUTOS DE SIGNOS VITALES DURANTES LAS PRIMERAS DOS HORAS POSTPARTO (SOPORTE EN HC - 8 VALORACIONES EN LAS PRIMERAS 2 HORAS)],"SI")</f>
        <v>0</v>
      </c>
      <c r="I119" s="148">
        <f>COUNTIFS(Tabla1[AÑO PARTO],$B$4,Tabla1[MES PARTO],I6,Tabla1[SALE DEL PROGRAMA POR],"PARTO",Tabla1[NIVEL DE COMPLEJIDAD DE LA ATENCION DE LA INSTITUCION DONDE SE ATENDIO EL PARTO],"BAJA",Tabla1[MONITORIA CADA 15 MINUTOS DE SIGNOS VITALES DURANTES LAS PRIMERAS DOS HORAS POSTPARTO (SOPORTE EN HC - 8 VALORACIONES EN LAS PRIMERAS 2 HORAS)],"SI")</f>
        <v>0</v>
      </c>
      <c r="J119" s="148">
        <f>COUNTIFS(Tabla1[AÑO PARTO],$B$4,Tabla1[MES PARTO],J6,Tabla1[SALE DEL PROGRAMA POR],"PARTO",Tabla1[NIVEL DE COMPLEJIDAD DE LA ATENCION DE LA INSTITUCION DONDE SE ATENDIO EL PARTO],"BAJA",Tabla1[MONITORIA CADA 15 MINUTOS DE SIGNOS VITALES DURANTES LAS PRIMERAS DOS HORAS POSTPARTO (SOPORTE EN HC - 8 VALORACIONES EN LAS PRIMERAS 2 HORAS)],"SI")</f>
        <v>0</v>
      </c>
      <c r="K119" s="148">
        <f>COUNTIFS(Tabla1[AÑO PARTO],$B$4,Tabla1[MES PARTO],K6,Tabla1[SALE DEL PROGRAMA POR],"PARTO",Tabla1[NIVEL DE COMPLEJIDAD DE LA ATENCION DE LA INSTITUCION DONDE SE ATENDIO EL PARTO],"BAJA",Tabla1[MONITORIA CADA 15 MINUTOS DE SIGNOS VITALES DURANTES LAS PRIMERAS DOS HORAS POSTPARTO (SOPORTE EN HC - 8 VALORACIONES EN LAS PRIMERAS 2 HORAS)],"SI")</f>
        <v>0</v>
      </c>
      <c r="L119" s="148">
        <f>COUNTIFS(Tabla1[AÑO PARTO],$B$4,Tabla1[MES PARTO],L6,Tabla1[SALE DEL PROGRAMA POR],"PARTO",Tabla1[NIVEL DE COMPLEJIDAD DE LA ATENCION DE LA INSTITUCION DONDE SE ATENDIO EL PARTO],"BAJA",Tabla1[MONITORIA CADA 15 MINUTOS DE SIGNOS VITALES DURANTES LAS PRIMERAS DOS HORAS POSTPARTO (SOPORTE EN HC - 8 VALORACIONES EN LAS PRIMERAS 2 HORAS)],"SI")</f>
        <v>0</v>
      </c>
      <c r="M119" s="148">
        <f>COUNTIFS(Tabla1[AÑO PARTO],$B$4,Tabla1[MES PARTO],M6,Tabla1[SALE DEL PROGRAMA POR],"PARTO",Tabla1[NIVEL DE COMPLEJIDAD DE LA ATENCION DE LA INSTITUCION DONDE SE ATENDIO EL PARTO],"BAJA",Tabla1[MONITORIA CADA 15 MINUTOS DE SIGNOS VITALES DURANTES LAS PRIMERAS DOS HORAS POSTPARTO (SOPORTE EN HC - 8 VALORACIONES EN LAS PRIMERAS 2 HORAS)],"SI")</f>
        <v>0</v>
      </c>
      <c r="N119" s="145">
        <f>SUM(B119:M119)</f>
        <v>0</v>
      </c>
    </row>
    <row r="120" spans="1:14" ht="42.75" customHeight="1" thickBot="1" x14ac:dyDescent="0.3">
      <c r="A120" s="151" t="s">
        <v>715</v>
      </c>
      <c r="B120" s="144" t="str">
        <f t="shared" ref="B120:N120" si="37">IF(B$102=0,"",SUM(B119/B$102))</f>
        <v/>
      </c>
      <c r="C120" s="132">
        <f t="shared" si="37"/>
        <v>0</v>
      </c>
      <c r="D120" s="132">
        <f t="shared" si="37"/>
        <v>0</v>
      </c>
      <c r="E120" s="132">
        <f t="shared" si="37"/>
        <v>0</v>
      </c>
      <c r="F120" s="132">
        <f t="shared" si="37"/>
        <v>0</v>
      </c>
      <c r="G120" s="132" t="str">
        <f t="shared" si="37"/>
        <v/>
      </c>
      <c r="H120" s="132">
        <f t="shared" si="37"/>
        <v>0</v>
      </c>
      <c r="I120" s="132" t="str">
        <f t="shared" si="37"/>
        <v/>
      </c>
      <c r="J120" s="132" t="str">
        <f t="shared" si="37"/>
        <v/>
      </c>
      <c r="K120" s="132" t="str">
        <f t="shared" si="37"/>
        <v/>
      </c>
      <c r="L120" s="132" t="str">
        <f t="shared" si="37"/>
        <v/>
      </c>
      <c r="M120" s="132" t="str">
        <f t="shared" si="37"/>
        <v/>
      </c>
      <c r="N120" s="145">
        <f t="shared" si="37"/>
        <v>0</v>
      </c>
    </row>
    <row r="121" spans="1:14" ht="42.75" customHeight="1" thickBot="1" x14ac:dyDescent="0.3">
      <c r="A121" s="131" t="s">
        <v>718</v>
      </c>
      <c r="B121" s="144">
        <f>SUM(COUNTIFS(Tabla1[AÑO PARTO],$B$4,Tabla1[MES PARTO],B6,Tabla1[NIVEL DE COMPLEJIDAD DE LA ATENCION DE LA INSTITUCION DONDE SE ATENDIO EL PARTO],"MEDIANA",Tabla1[MONITORIA CADA 15 MINUTOS DE SIGNOS VITALES DURANTES LAS PRIMERAS DOS HORAS POSTPARTO (SOPORTE EN HC - 8 VALORACIONES EN LAS PRIMERAS 2 HORAS)],"SI" ),COUNTIFS(Tabla1[AÑO PARTO],$B$4,Tabla1[MES PARTO],B6,Tabla1[NIVEL DE COMPLEJIDAD DE LA ATENCION DE LA INSTITUCION DONDE SE ATENDIO EL PARTO],"ALTA",Tabla1[MONITORIA CADA 15 MINUTOS DE SIGNOS VITALES DURANTES LAS PRIMERAS DOS HORAS POSTPARTO (SOPORTE EN HC - 8 VALORACIONES EN LAS PRIMERAS 2 HORAS)],"SI"))</f>
        <v>0</v>
      </c>
      <c r="C121" s="133">
        <f>SUM(COUNTIFS(Tabla1[AÑO PARTO],$B$4,Tabla1[MES PARTO],B6,Tabla1[NIVEL DE COMPLEJIDAD DE LA ATENCION DE LA INSTITUCION DONDE SE ATENDIO EL PARTO],"MEDIANA",Tabla1[MONITORIA CADA 15 MINUTOS DE SIGNOS VITALES DURANTES LAS PRIMERAS DOS HORAS POSTPARTO (SOPORTE EN HC - 8 VALORACIONES EN LAS PRIMERAS 2 HORAS)],"SI" ),COUNTIFS(Tabla1[AÑO PARTO],$B$4,Tabla1[MES PARTO],B6,Tabla1[NIVEL DE COMPLEJIDAD DE LA ATENCION DE LA INSTITUCION DONDE SE ATENDIO EL PARTO],"ALTA",Tabla1[MONITORIA CADA 15 MINUTOS DE SIGNOS VITALES DURANTES LAS PRIMERAS DOS HORAS POSTPARTO (SOPORTE EN HC - 8 VALORACIONES EN LAS PRIMERAS 2 HORAS)],"SI"))</f>
        <v>0</v>
      </c>
      <c r="D121" s="133">
        <f>SUM(COUNTIFS(Tabla1[AÑO PARTO],$B$4,Tabla1[MES PARTO],B6,Tabla1[NIVEL DE COMPLEJIDAD DE LA ATENCION DE LA INSTITUCION DONDE SE ATENDIO EL PARTO],"MEDIANA",Tabla1[MONITORIA CADA 15 MINUTOS DE SIGNOS VITALES DURANTES LAS PRIMERAS DOS HORAS POSTPARTO (SOPORTE EN HC - 8 VALORACIONES EN LAS PRIMERAS 2 HORAS)],"SI" ),COUNTIFS(Tabla1[AÑO PARTO],$B$4,Tabla1[MES PARTO],B6,Tabla1[NIVEL DE COMPLEJIDAD DE LA ATENCION DE LA INSTITUCION DONDE SE ATENDIO EL PARTO],"ALTA",Tabla1[MONITORIA CADA 15 MINUTOS DE SIGNOS VITALES DURANTES LAS PRIMERAS DOS HORAS POSTPARTO (SOPORTE EN HC - 8 VALORACIONES EN LAS PRIMERAS 2 HORAS)],"SI"))</f>
        <v>0</v>
      </c>
      <c r="E121" s="133">
        <f>SUM(COUNTIFS(Tabla1[AÑO PARTO],$B$4,Tabla1[MES PARTO],B6,Tabla1[NIVEL DE COMPLEJIDAD DE LA ATENCION DE LA INSTITUCION DONDE SE ATENDIO EL PARTO],"MEDIANA",Tabla1[MONITORIA CADA 15 MINUTOS DE SIGNOS VITALES DURANTES LAS PRIMERAS DOS HORAS POSTPARTO (SOPORTE EN HC - 8 VALORACIONES EN LAS PRIMERAS 2 HORAS)],"SI" ),COUNTIFS(Tabla1[AÑO PARTO],$B$4,Tabla1[MES PARTO],B6,Tabla1[NIVEL DE COMPLEJIDAD DE LA ATENCION DE LA INSTITUCION DONDE SE ATENDIO EL PARTO],"ALTA",Tabla1[MONITORIA CADA 15 MINUTOS DE SIGNOS VITALES DURANTES LAS PRIMERAS DOS HORAS POSTPARTO (SOPORTE EN HC - 8 VALORACIONES EN LAS PRIMERAS 2 HORAS)],"SI"))</f>
        <v>0</v>
      </c>
      <c r="F121" s="133">
        <f>SUM(COUNTIFS(Tabla1[AÑO PARTO],$B$4,Tabla1[MES PARTO],B6,Tabla1[NIVEL DE COMPLEJIDAD DE LA ATENCION DE LA INSTITUCION DONDE SE ATENDIO EL PARTO],"MEDIANA",Tabla1[MONITORIA CADA 15 MINUTOS DE SIGNOS VITALES DURANTES LAS PRIMERAS DOS HORAS POSTPARTO (SOPORTE EN HC - 8 VALORACIONES EN LAS PRIMERAS 2 HORAS)],"SI" ),COUNTIFS(Tabla1[AÑO PARTO],$B$4,Tabla1[MES PARTO],B6,Tabla1[NIVEL DE COMPLEJIDAD DE LA ATENCION DE LA INSTITUCION DONDE SE ATENDIO EL PARTO],"ALTA",Tabla1[MONITORIA CADA 15 MINUTOS DE SIGNOS VITALES DURANTES LAS PRIMERAS DOS HORAS POSTPARTO (SOPORTE EN HC - 8 VALORACIONES EN LAS PRIMERAS 2 HORAS)],"SI"))</f>
        <v>0</v>
      </c>
      <c r="G121" s="133">
        <f>SUM(COUNTIFS(Tabla1[AÑO PARTO],$B$4,Tabla1[MES PARTO],B6,Tabla1[NIVEL DE COMPLEJIDAD DE LA ATENCION DE LA INSTITUCION DONDE SE ATENDIO EL PARTO],"MEDIANA",Tabla1[MONITORIA CADA 15 MINUTOS DE SIGNOS VITALES DURANTES LAS PRIMERAS DOS HORAS POSTPARTO (SOPORTE EN HC - 8 VALORACIONES EN LAS PRIMERAS 2 HORAS)],"SI" ),COUNTIFS(Tabla1[AÑO PARTO],$B$4,Tabla1[MES PARTO],B6,Tabla1[NIVEL DE COMPLEJIDAD DE LA ATENCION DE LA INSTITUCION DONDE SE ATENDIO EL PARTO],"ALTA",Tabla1[MONITORIA CADA 15 MINUTOS DE SIGNOS VITALES DURANTES LAS PRIMERAS DOS HORAS POSTPARTO (SOPORTE EN HC - 8 VALORACIONES EN LAS PRIMERAS 2 HORAS)],"SI"))</f>
        <v>0</v>
      </c>
      <c r="H121" s="133">
        <f>SUM(COUNTIFS(Tabla1[AÑO PARTO],$B$4,Tabla1[MES PARTO],B6,Tabla1[NIVEL DE COMPLEJIDAD DE LA ATENCION DE LA INSTITUCION DONDE SE ATENDIO EL PARTO],"MEDIANA",Tabla1[MONITORIA CADA 15 MINUTOS DE SIGNOS VITALES DURANTES LAS PRIMERAS DOS HORAS POSTPARTO (SOPORTE EN HC - 8 VALORACIONES EN LAS PRIMERAS 2 HORAS)],"SI" ),COUNTIFS(Tabla1[AÑO PARTO],$B$4,Tabla1[MES PARTO],B6,Tabla1[NIVEL DE COMPLEJIDAD DE LA ATENCION DE LA INSTITUCION DONDE SE ATENDIO EL PARTO],"ALTA",Tabla1[MONITORIA CADA 15 MINUTOS DE SIGNOS VITALES DURANTES LAS PRIMERAS DOS HORAS POSTPARTO (SOPORTE EN HC - 8 VALORACIONES EN LAS PRIMERAS 2 HORAS)],"SI"))</f>
        <v>0</v>
      </c>
      <c r="I121" s="133">
        <f>SUM(COUNTIFS(Tabla1[AÑO PARTO],$B$4,Tabla1[MES PARTO],B6,Tabla1[NIVEL DE COMPLEJIDAD DE LA ATENCION DE LA INSTITUCION DONDE SE ATENDIO EL PARTO],"MEDIANA",Tabla1[MONITORIA CADA 15 MINUTOS DE SIGNOS VITALES DURANTES LAS PRIMERAS DOS HORAS POSTPARTO (SOPORTE EN HC - 8 VALORACIONES EN LAS PRIMERAS 2 HORAS)],"SI" ),COUNTIFS(Tabla1[AÑO PARTO],$B$4,Tabla1[MES PARTO],B6,Tabla1[NIVEL DE COMPLEJIDAD DE LA ATENCION DE LA INSTITUCION DONDE SE ATENDIO EL PARTO],"ALTA",Tabla1[MONITORIA CADA 15 MINUTOS DE SIGNOS VITALES DURANTES LAS PRIMERAS DOS HORAS POSTPARTO (SOPORTE EN HC - 8 VALORACIONES EN LAS PRIMERAS 2 HORAS)],"SI"))</f>
        <v>0</v>
      </c>
      <c r="J121" s="133">
        <f>SUM(COUNTIFS(Tabla1[AÑO PARTO],$B$4,Tabla1[MES PARTO],B6,Tabla1[NIVEL DE COMPLEJIDAD DE LA ATENCION DE LA INSTITUCION DONDE SE ATENDIO EL PARTO],"MEDIANA",Tabla1[MONITORIA CADA 15 MINUTOS DE SIGNOS VITALES DURANTES LAS PRIMERAS DOS HORAS POSTPARTO (SOPORTE EN HC - 8 VALORACIONES EN LAS PRIMERAS 2 HORAS)],"SI" ),COUNTIFS(Tabla1[AÑO PARTO],$B$4,Tabla1[MES PARTO],B6,Tabla1[NIVEL DE COMPLEJIDAD DE LA ATENCION DE LA INSTITUCION DONDE SE ATENDIO EL PARTO],"ALTA",Tabla1[MONITORIA CADA 15 MINUTOS DE SIGNOS VITALES DURANTES LAS PRIMERAS DOS HORAS POSTPARTO (SOPORTE EN HC - 8 VALORACIONES EN LAS PRIMERAS 2 HORAS)],"SI"))</f>
        <v>0</v>
      </c>
      <c r="K121" s="133">
        <f>SUM(COUNTIFS(Tabla1[AÑO PARTO],$B$4,Tabla1[MES PARTO],B6,Tabla1[NIVEL DE COMPLEJIDAD DE LA ATENCION DE LA INSTITUCION DONDE SE ATENDIO EL PARTO],"MEDIANA",Tabla1[MONITORIA CADA 15 MINUTOS DE SIGNOS VITALES DURANTES LAS PRIMERAS DOS HORAS POSTPARTO (SOPORTE EN HC - 8 VALORACIONES EN LAS PRIMERAS 2 HORAS)],"SI" ),COUNTIFS(Tabla1[AÑO PARTO],$B$4,Tabla1[MES PARTO],B6,Tabla1[NIVEL DE COMPLEJIDAD DE LA ATENCION DE LA INSTITUCION DONDE SE ATENDIO EL PARTO],"ALTA",Tabla1[MONITORIA CADA 15 MINUTOS DE SIGNOS VITALES DURANTES LAS PRIMERAS DOS HORAS POSTPARTO (SOPORTE EN HC - 8 VALORACIONES EN LAS PRIMERAS 2 HORAS)],"SI"))</f>
        <v>0</v>
      </c>
      <c r="L121" s="133">
        <f>SUM(COUNTIFS(Tabla1[AÑO PARTO],$B$4,Tabla1[MES PARTO],B6,Tabla1[NIVEL DE COMPLEJIDAD DE LA ATENCION DE LA INSTITUCION DONDE SE ATENDIO EL PARTO],"MEDIANA",Tabla1[MONITORIA CADA 15 MINUTOS DE SIGNOS VITALES DURANTES LAS PRIMERAS DOS HORAS POSTPARTO (SOPORTE EN HC - 8 VALORACIONES EN LAS PRIMERAS 2 HORAS)],"SI" ),COUNTIFS(Tabla1[AÑO PARTO],$B$4,Tabla1[MES PARTO],B6,Tabla1[NIVEL DE COMPLEJIDAD DE LA ATENCION DE LA INSTITUCION DONDE SE ATENDIO EL PARTO],"ALTA",Tabla1[MONITORIA CADA 15 MINUTOS DE SIGNOS VITALES DURANTES LAS PRIMERAS DOS HORAS POSTPARTO (SOPORTE EN HC - 8 VALORACIONES EN LAS PRIMERAS 2 HORAS)],"SI"))</f>
        <v>0</v>
      </c>
      <c r="M121" s="133">
        <f>SUM(COUNTIFS(Tabla1[AÑO PARTO],$B$4,Tabla1[MES PARTO],B6,Tabla1[NIVEL DE COMPLEJIDAD DE LA ATENCION DE LA INSTITUCION DONDE SE ATENDIO EL PARTO],"MEDIANA",Tabla1[MONITORIA CADA 15 MINUTOS DE SIGNOS VITALES DURANTES LAS PRIMERAS DOS HORAS POSTPARTO (SOPORTE EN HC - 8 VALORACIONES EN LAS PRIMERAS 2 HORAS)],"SI" ),COUNTIFS(Tabla1[AÑO PARTO],$B$4,Tabla1[MES PARTO],B6,Tabla1[NIVEL DE COMPLEJIDAD DE LA ATENCION DE LA INSTITUCION DONDE SE ATENDIO EL PARTO],"ALTA",Tabla1[MONITORIA CADA 15 MINUTOS DE SIGNOS VITALES DURANTES LAS PRIMERAS DOS HORAS POSTPARTO (SOPORTE EN HC - 8 VALORACIONES EN LAS PRIMERAS 2 HORAS)],"SI"))</f>
        <v>0</v>
      </c>
      <c r="N121" s="145">
        <f>SUM(B121:M121)</f>
        <v>0</v>
      </c>
    </row>
    <row r="122" spans="1:14" ht="42.75" customHeight="1" thickBot="1" x14ac:dyDescent="0.3">
      <c r="A122" s="146" t="s">
        <v>716</v>
      </c>
      <c r="B122" s="144" t="str">
        <f t="shared" ref="B122:N122" si="38">IF(B$107=0,"",SUM(B121/B$107))</f>
        <v/>
      </c>
      <c r="C122" s="132">
        <f t="shared" si="38"/>
        <v>0</v>
      </c>
      <c r="D122" s="132">
        <f t="shared" si="38"/>
        <v>0</v>
      </c>
      <c r="E122" s="132">
        <f t="shared" si="38"/>
        <v>0</v>
      </c>
      <c r="F122" s="132">
        <f t="shared" si="38"/>
        <v>0</v>
      </c>
      <c r="G122" s="132">
        <f t="shared" si="38"/>
        <v>0</v>
      </c>
      <c r="H122" s="132">
        <f t="shared" si="38"/>
        <v>0</v>
      </c>
      <c r="I122" s="132">
        <f t="shared" si="38"/>
        <v>0</v>
      </c>
      <c r="J122" s="132" t="str">
        <f t="shared" si="38"/>
        <v/>
      </c>
      <c r="K122" s="132" t="str">
        <f t="shared" si="38"/>
        <v/>
      </c>
      <c r="L122" s="132" t="str">
        <f t="shared" si="38"/>
        <v/>
      </c>
      <c r="M122" s="132" t="str">
        <f t="shared" si="38"/>
        <v/>
      </c>
      <c r="N122" s="145">
        <f t="shared" si="38"/>
        <v>0</v>
      </c>
    </row>
    <row r="123" spans="1:14" ht="49.5" customHeight="1" thickBot="1" x14ac:dyDescent="0.3">
      <c r="A123" s="131" t="s">
        <v>629</v>
      </c>
      <c r="B123" s="133">
        <f>COUNTIFS(Tabla1[AÑO PARTO],B4,Tabla1[MES PARTO],B6,Tabla1[SALE DEL PROGRAMA POR],"PARTO",Tabla1[NIVEL DE COMPLEJIDAD DE LA ATENCION DE LA INSTITUCION DONDE SE ATENDIO EL PARTO],"BAJA",Tabla1[[PUERPERA SALE CON PLANIFICACIÓN FAMILIAR POST EVENTO OBSTETRICO ]],"SI")</f>
        <v>0</v>
      </c>
      <c r="C123" s="133">
        <f>COUNTIFS(Tabla1[AÑO PARTO],B4,Tabla1[MES PARTO],C6,Tabla1[SALE DEL PROGRAMA POR],"PARTO",Tabla1[NIVEL DE COMPLEJIDAD DE LA ATENCION DE LA INSTITUCION DONDE SE ATENDIO EL PARTO],"BAJA",Tabla1[[PUERPERA SALE CON PLANIFICACIÓN FAMILIAR POST EVENTO OBSTETRICO ]],"SI")</f>
        <v>0</v>
      </c>
      <c r="D123" s="133">
        <f>COUNTIFS(Tabla1[AÑO PARTO],B4,Tabla1[MES PARTO],D6,Tabla1[SALE DEL PROGRAMA POR],"PARTO",Tabla1[NIVEL DE COMPLEJIDAD DE LA ATENCION DE LA INSTITUCION DONDE SE ATENDIO EL PARTO],"BAJA",Tabla1[[PUERPERA SALE CON PLANIFICACIÓN FAMILIAR POST EVENTO OBSTETRICO ]],"SI")</f>
        <v>0</v>
      </c>
      <c r="E123" s="133">
        <f>COUNTIFS(Tabla1[AÑO PARTO],B4,Tabla1[MES PARTO],E6,Tabla1[SALE DEL PROGRAMA POR],"PARTO",Tabla1[NIVEL DE COMPLEJIDAD DE LA ATENCION DE LA INSTITUCION DONDE SE ATENDIO EL PARTO],"BAJA",Tabla1[[PUERPERA SALE CON PLANIFICACIÓN FAMILIAR POST EVENTO OBSTETRICO ]],"SI")</f>
        <v>0</v>
      </c>
      <c r="F123" s="133">
        <f>COUNTIFS(Tabla1[AÑO PARTO],B4,Tabla1[MES PARTO],F6,Tabla1[SALE DEL PROGRAMA POR],"PARTO",Tabla1[NIVEL DE COMPLEJIDAD DE LA ATENCION DE LA INSTITUCION DONDE SE ATENDIO EL PARTO],"BAJA",Tabla1[[PUERPERA SALE CON PLANIFICACIÓN FAMILIAR POST EVENTO OBSTETRICO ]],"SI")</f>
        <v>0</v>
      </c>
      <c r="G123" s="133">
        <f>COUNTIFS(Tabla1[AÑO PARTO],B4,Tabla1[MES PARTO],G6,Tabla1[SALE DEL PROGRAMA POR],"PARTO",Tabla1[NIVEL DE COMPLEJIDAD DE LA ATENCION DE LA INSTITUCION DONDE SE ATENDIO EL PARTO],"BAJA",Tabla1[[PUERPERA SALE CON PLANIFICACIÓN FAMILIAR POST EVENTO OBSTETRICO ]],"SI")</f>
        <v>0</v>
      </c>
      <c r="H123" s="133">
        <f>COUNTIFS(Tabla1[AÑO PARTO],B4,Tabla1[MES PARTO],H6,Tabla1[SALE DEL PROGRAMA POR],"PARTO",Tabla1[NIVEL DE COMPLEJIDAD DE LA ATENCION DE LA INSTITUCION DONDE SE ATENDIO EL PARTO],"BAJA",Tabla1[[PUERPERA SALE CON PLANIFICACIÓN FAMILIAR POST EVENTO OBSTETRICO ]],"SI")</f>
        <v>0</v>
      </c>
      <c r="I123" s="133">
        <f>COUNTIFS(Tabla1[AÑO PARTO],B4,Tabla1[MES PARTO],I6,Tabla1[SALE DEL PROGRAMA POR],"PARTO",Tabla1[NIVEL DE COMPLEJIDAD DE LA ATENCION DE LA INSTITUCION DONDE SE ATENDIO EL PARTO],"BAJA",Tabla1[[PUERPERA SALE CON PLANIFICACIÓN FAMILIAR POST EVENTO OBSTETRICO ]],"SI")</f>
        <v>0</v>
      </c>
      <c r="J123" s="133">
        <f>COUNTIFS(Tabla1[AÑO PARTO],B4,Tabla1[MES PARTO],J6,Tabla1[SALE DEL PROGRAMA POR],"PARTO",Tabla1[NIVEL DE COMPLEJIDAD DE LA ATENCION DE LA INSTITUCION DONDE SE ATENDIO EL PARTO],"BAJA",Tabla1[[PUERPERA SALE CON PLANIFICACIÓN FAMILIAR POST EVENTO OBSTETRICO ]],"SI")</f>
        <v>0</v>
      </c>
      <c r="K123" s="133">
        <f>COUNTIFS(Tabla1[AÑO PARTO],B4,Tabla1[MES PARTO],K6,Tabla1[SALE DEL PROGRAMA POR],"PARTO",Tabla1[NIVEL DE COMPLEJIDAD DE LA ATENCION DE LA INSTITUCION DONDE SE ATENDIO EL PARTO],"BAJA",Tabla1[[PUERPERA SALE CON PLANIFICACIÓN FAMILIAR POST EVENTO OBSTETRICO ]],"SI")</f>
        <v>0</v>
      </c>
      <c r="L123" s="133">
        <f>COUNTIFS(Tabla1[AÑO PARTO],B4,Tabla1[MES PARTO],L6,Tabla1[SALE DEL PROGRAMA POR],"PARTO",Tabla1[NIVEL DE COMPLEJIDAD DE LA ATENCION DE LA INSTITUCION DONDE SE ATENDIO EL PARTO],"BAJA",Tabla1[[PUERPERA SALE CON PLANIFICACIÓN FAMILIAR POST EVENTO OBSTETRICO ]],"SI")</f>
        <v>0</v>
      </c>
      <c r="M123" s="133">
        <f>COUNTIFS(Tabla1[AÑO PARTO],B4,Tabla1[MES PARTO],M6,Tabla1[SALE DEL PROGRAMA POR],"PARTO",Tabla1[NIVEL DE COMPLEJIDAD DE LA ATENCION DE LA INSTITUCION DONDE SE ATENDIO EL PARTO],"BAJA",Tabla1[[PUERPERA SALE CON PLANIFICACIÓN FAMILIAR POST EVENTO OBSTETRICO ]],"SI")</f>
        <v>0</v>
      </c>
      <c r="N123" s="134">
        <f>SUM(B123:M123)</f>
        <v>0</v>
      </c>
    </row>
    <row r="124" spans="1:14" ht="42.75" customHeight="1" thickBot="1" x14ac:dyDescent="0.3">
      <c r="A124" s="151" t="s">
        <v>664</v>
      </c>
      <c r="B124" s="83" t="str">
        <f>IF(B$102=0,"",SUM(B123/B$102))</f>
        <v/>
      </c>
      <c r="C124" s="84">
        <f>IF(C$102=0,"",SUM(C123/C$102))</f>
        <v>0</v>
      </c>
      <c r="D124" s="84">
        <f t="shared" ref="D124:L124" si="39">IF(D$102=0,"",SUM(D123/D$102))</f>
        <v>0</v>
      </c>
      <c r="E124" s="84">
        <f t="shared" si="39"/>
        <v>0</v>
      </c>
      <c r="F124" s="84">
        <f t="shared" si="39"/>
        <v>0</v>
      </c>
      <c r="G124" s="84" t="str">
        <f t="shared" si="39"/>
        <v/>
      </c>
      <c r="H124" s="84">
        <f t="shared" si="39"/>
        <v>0</v>
      </c>
      <c r="I124" s="84" t="str">
        <f t="shared" si="39"/>
        <v/>
      </c>
      <c r="J124" s="84" t="str">
        <f t="shared" si="39"/>
        <v/>
      </c>
      <c r="K124" s="84" t="str">
        <f t="shared" si="39"/>
        <v/>
      </c>
      <c r="L124" s="84" t="str">
        <f t="shared" si="39"/>
        <v/>
      </c>
      <c r="M124" s="84" t="str">
        <f>IF(M$102=0,"",SUM(M123/M$102))</f>
        <v/>
      </c>
      <c r="N124" s="85">
        <f>IF(N$102=0,"",SUM(N123/N$102))</f>
        <v>0</v>
      </c>
    </row>
    <row r="125" spans="1:14" ht="42.75" customHeight="1" thickBot="1" x14ac:dyDescent="0.3">
      <c r="A125" s="126" t="s">
        <v>666</v>
      </c>
      <c r="B125" s="135">
        <f>SUM(COUNTIFS(Tabla1[AÑO PARTO],B4,Tabla1[MES PARTO],B6,Tabla1[NIVEL DE COMPLEJIDAD DE LA ATENCION DE LA INSTITUCION DONDE SE ATENDIO EL PARTO],"MEDIANA",Tabla1[[PUERPERA SALE CON PLANIFICACIÓN FAMILIAR POST EVENTO OBSTETRICO ]],"SI" ),COUNTIFS(Tabla1[AÑO PARTO],B4,Tabla1[MES PARTO],B6,Tabla1[NIVEL DE COMPLEJIDAD DE LA ATENCION DE LA INSTITUCION DONDE SE ATENDIO EL PARTO],"ALTA",Tabla1[[PUERPERA SALE CON PLANIFICACIÓN FAMILIAR POST EVENTO OBSTETRICO ]],"SI"))</f>
        <v>0</v>
      </c>
      <c r="C125" s="135">
        <f>SUM(COUNTIFS(Tabla1[AÑO PARTO],B4,Tabla1[MES PARTO],C6,Tabla1[NIVEL DE COMPLEJIDAD DE LA ATENCION DE LA INSTITUCION DONDE SE ATENDIO EL PARTO],"MEDIANA",Tabla1[[PUERPERA SALE CON PLANIFICACIÓN FAMILIAR POST EVENTO OBSTETRICO ]],"SI" ),COUNTIFS(Tabla1[AÑO PARTO],B4,Tabla1[MES PARTO],C6,Tabla1[NIVEL DE COMPLEJIDAD DE LA ATENCION DE LA INSTITUCION DONDE SE ATENDIO EL PARTO],"ALTA",Tabla1[[PUERPERA SALE CON PLANIFICACIÓN FAMILIAR POST EVENTO OBSTETRICO ]],"SI"))</f>
        <v>0</v>
      </c>
      <c r="D125" s="135">
        <f>SUM(COUNTIFS(Tabla1[AÑO PARTO],B4,Tabla1[MES PARTO],D6,Tabla1[NIVEL DE COMPLEJIDAD DE LA ATENCION DE LA INSTITUCION DONDE SE ATENDIO EL PARTO],"MEDIANA",Tabla1[[PUERPERA SALE CON PLANIFICACIÓN FAMILIAR POST EVENTO OBSTETRICO ]],"SI" ),COUNTIFS(Tabla1[AÑO PARTO],B4,Tabla1[MES PARTO],D6,Tabla1[NIVEL DE COMPLEJIDAD DE LA ATENCION DE LA INSTITUCION DONDE SE ATENDIO EL PARTO],"ALTA",Tabla1[[PUERPERA SALE CON PLANIFICACIÓN FAMILIAR POST EVENTO OBSTETRICO ]],"SI"))</f>
        <v>0</v>
      </c>
      <c r="E125" s="135">
        <f>SUM(COUNTIFS(Tabla1[AÑO PARTO],B4,Tabla1[MES PARTO],E6,Tabla1[NIVEL DE COMPLEJIDAD DE LA ATENCION DE LA INSTITUCION DONDE SE ATENDIO EL PARTO],"MEDIANA",Tabla1[[PUERPERA SALE CON PLANIFICACIÓN FAMILIAR POST EVENTO OBSTETRICO ]],"SI" ),COUNTIFS(Tabla1[AÑO PARTO],B4,Tabla1[MES PARTO],E6,Tabla1[NIVEL DE COMPLEJIDAD DE LA ATENCION DE LA INSTITUCION DONDE SE ATENDIO EL PARTO],"ALTA",Tabla1[[PUERPERA SALE CON PLANIFICACIÓN FAMILIAR POST EVENTO OBSTETRICO ]],"SI"))</f>
        <v>0</v>
      </c>
      <c r="F125" s="135">
        <f>SUM(COUNTIFS(Tabla1[AÑO PARTO],B4,Tabla1[MES PARTO],F6,Tabla1[NIVEL DE COMPLEJIDAD DE LA ATENCION DE LA INSTITUCION DONDE SE ATENDIO EL PARTO],"MEDIANA",Tabla1[[PUERPERA SALE CON PLANIFICACIÓN FAMILIAR POST EVENTO OBSTETRICO ]],"SI" ),COUNTIFS(Tabla1[AÑO PARTO],B4,Tabla1[MES PARTO],F6,Tabla1[NIVEL DE COMPLEJIDAD DE LA ATENCION DE LA INSTITUCION DONDE SE ATENDIO EL PARTO],"ALTA",Tabla1[[PUERPERA SALE CON PLANIFICACIÓN FAMILIAR POST EVENTO OBSTETRICO ]],"SI"))</f>
        <v>0</v>
      </c>
      <c r="G125" s="135">
        <f>SUM(COUNTIFS(Tabla1[AÑO PARTO],B4,Tabla1[MES PARTO],G6,Tabla1[NIVEL DE COMPLEJIDAD DE LA ATENCION DE LA INSTITUCION DONDE SE ATENDIO EL PARTO],"MEDIANA",Tabla1[[PUERPERA SALE CON PLANIFICACIÓN FAMILIAR POST EVENTO OBSTETRICO ]],"SI" ),COUNTIFS(Tabla1[AÑO PARTO],B4,Tabla1[MES PARTO],G6,Tabla1[NIVEL DE COMPLEJIDAD DE LA ATENCION DE LA INSTITUCION DONDE SE ATENDIO EL PARTO],"ALTA",Tabla1[[PUERPERA SALE CON PLANIFICACIÓN FAMILIAR POST EVENTO OBSTETRICO ]],"SI"))</f>
        <v>0</v>
      </c>
      <c r="H125" s="135">
        <f>SUM(COUNTIFS(Tabla1[AÑO PARTO],B4,Tabla1[MES PARTO],H6,Tabla1[NIVEL DE COMPLEJIDAD DE LA ATENCION DE LA INSTITUCION DONDE SE ATENDIO EL PARTO],"MEDIANA",Tabla1[[PUERPERA SALE CON PLANIFICACIÓN FAMILIAR POST EVENTO OBSTETRICO ]],"SI" ),COUNTIFS(Tabla1[AÑO PARTO],B4,Tabla1[MES PARTO],H6,Tabla1[NIVEL DE COMPLEJIDAD DE LA ATENCION DE LA INSTITUCION DONDE SE ATENDIO EL PARTO],"ALTA",Tabla1[[PUERPERA SALE CON PLANIFICACIÓN FAMILIAR POST EVENTO OBSTETRICO ]],"SI"))</f>
        <v>0</v>
      </c>
      <c r="I125" s="135">
        <f>SUM(COUNTIFS(Tabla1[AÑO PARTO],B4,Tabla1[MES PARTO],I6,Tabla1[NIVEL DE COMPLEJIDAD DE LA ATENCION DE LA INSTITUCION DONDE SE ATENDIO EL PARTO],"MEDIANA",Tabla1[[PUERPERA SALE CON PLANIFICACIÓN FAMILIAR POST EVENTO OBSTETRICO ]],"SI" ),COUNTIFS(Tabla1[AÑO PARTO],B4,Tabla1[MES PARTO],I6,Tabla1[NIVEL DE COMPLEJIDAD DE LA ATENCION DE LA INSTITUCION DONDE SE ATENDIO EL PARTO],"ALTA",Tabla1[[PUERPERA SALE CON PLANIFICACIÓN FAMILIAR POST EVENTO OBSTETRICO ]],"SI"))</f>
        <v>0</v>
      </c>
      <c r="J125" s="135">
        <f>SUM(COUNTIFS(Tabla1[AÑO PARTO],B4,Tabla1[MES PARTO],J6,Tabla1[NIVEL DE COMPLEJIDAD DE LA ATENCION DE LA INSTITUCION DONDE SE ATENDIO EL PARTO],"MEDIANA",Tabla1[[PUERPERA SALE CON PLANIFICACIÓN FAMILIAR POST EVENTO OBSTETRICO ]],"SI" ),COUNTIFS(Tabla1[AÑO PARTO],B4,Tabla1[MES PARTO],J6,Tabla1[NIVEL DE COMPLEJIDAD DE LA ATENCION DE LA INSTITUCION DONDE SE ATENDIO EL PARTO],"ALTA",Tabla1[[PUERPERA SALE CON PLANIFICACIÓN FAMILIAR POST EVENTO OBSTETRICO ]],"SI"))</f>
        <v>0</v>
      </c>
      <c r="K125" s="135">
        <f>SUM(COUNTIFS(Tabla1[AÑO PARTO],B4,Tabla1[MES PARTO],K6,Tabla1[NIVEL DE COMPLEJIDAD DE LA ATENCION DE LA INSTITUCION DONDE SE ATENDIO EL PARTO],"MEDIANA",Tabla1[[PUERPERA SALE CON PLANIFICACIÓN FAMILIAR POST EVENTO OBSTETRICO ]],"SI" ),COUNTIFS(Tabla1[AÑO PARTO],B4,Tabla1[MES PARTO],K6,Tabla1[NIVEL DE COMPLEJIDAD DE LA ATENCION DE LA INSTITUCION DONDE SE ATENDIO EL PARTO],"ALTA",Tabla1[[PUERPERA SALE CON PLANIFICACIÓN FAMILIAR POST EVENTO OBSTETRICO ]],"SI"))</f>
        <v>0</v>
      </c>
      <c r="L125" s="135">
        <f>SUM(COUNTIFS(Tabla1[AÑO PARTO],B4,Tabla1[MES PARTO],L6,Tabla1[NIVEL DE COMPLEJIDAD DE LA ATENCION DE LA INSTITUCION DONDE SE ATENDIO EL PARTO],"MEDIANA",Tabla1[[PUERPERA SALE CON PLANIFICACIÓN FAMILIAR POST EVENTO OBSTETRICO ]],"SI" ),COUNTIFS(Tabla1[AÑO PARTO],B4,Tabla1[MES PARTO],L6,Tabla1[NIVEL DE COMPLEJIDAD DE LA ATENCION DE LA INSTITUCION DONDE SE ATENDIO EL PARTO],"ALTA",Tabla1[[PUERPERA SALE CON PLANIFICACIÓN FAMILIAR POST EVENTO OBSTETRICO ]],"SI"))</f>
        <v>0</v>
      </c>
      <c r="M125" s="135">
        <f>SUM(COUNTIFS(Tabla1[AÑO PARTO],B4,Tabla1[MES PARTO],M6,Tabla1[NIVEL DE COMPLEJIDAD DE LA ATENCION DE LA INSTITUCION DONDE SE ATENDIO EL PARTO],"MEDIANA",Tabla1[[PUERPERA SALE CON PLANIFICACIÓN FAMILIAR POST EVENTO OBSTETRICO ]],"SI" ),COUNTIFS(Tabla1[AÑO PARTO],B4,Tabla1[MES PARTO],M6,Tabla1[NIVEL DE COMPLEJIDAD DE LA ATENCION DE LA INSTITUCION DONDE SE ATENDIO EL PARTO],"ALTA",Tabla1[[PUERPERA SALE CON PLANIFICACIÓN FAMILIAR POST EVENTO OBSTETRICO ]],"SI"))</f>
        <v>0</v>
      </c>
      <c r="N125" s="134">
        <f>SUM(B125:M125)</f>
        <v>0</v>
      </c>
    </row>
    <row r="126" spans="1:14" ht="42.75" customHeight="1" thickBot="1" x14ac:dyDescent="0.3">
      <c r="A126" s="127" t="s">
        <v>693</v>
      </c>
      <c r="B126" s="132">
        <f>SUM(COUNTIFS(Tabla1[AÑO PARTO],B4,Tabla1[MES PARTO],B6,Tabla1[NIVEL DE COMPLEJIDAD DE LA ATENCION DE LA INSTITUCION DONDE SE ATENDIO EL PARTO],"MEDIANA"),COUNTIFS(Tabla1[AÑO PARTO],B4,Tabla1[MES PARTO],B6,Tabla1[NIVEL DE COMPLEJIDAD DE LA ATENCION DE LA INSTITUCION DONDE SE ATENDIO EL PARTO],"ALTA"))</f>
        <v>0</v>
      </c>
      <c r="C126" s="132">
        <f>SUM(COUNTIFS(Tabla1[AÑO PARTO],B4,Tabla1[MES PARTO],C6,Tabla1[NIVEL DE COMPLEJIDAD DE LA ATENCION DE LA INSTITUCION DONDE SE ATENDIO EL PARTO],"MEDIANA"),COUNTIFS(Tabla1[AÑO PARTO],B4,Tabla1[MES PARTO],C6,Tabla1[NIVEL DE COMPLEJIDAD DE LA ATENCION DE LA INSTITUCION DONDE SE ATENDIO EL PARTO],"ALTA"))</f>
        <v>1</v>
      </c>
      <c r="D126" s="132">
        <f>SUM(COUNTIFS(Tabla1[AÑO PARTO],B4,Tabla1[MES PARTO],D6,Tabla1[NIVEL DE COMPLEJIDAD DE LA ATENCION DE LA INSTITUCION DONDE SE ATENDIO EL PARTO],"MEDIANA"),COUNTIFS(Tabla1[AÑO PARTO],B4,Tabla1[MES PARTO],D6,Tabla1[NIVEL DE COMPLEJIDAD DE LA ATENCION DE LA INSTITUCION DONDE SE ATENDIO EL PARTO],"ALTA"))</f>
        <v>7</v>
      </c>
      <c r="E126" s="132">
        <f>SUM(COUNTIFS(Tabla1[AÑO PARTO],B4,Tabla1[MES PARTO],E6,Tabla1[NIVEL DE COMPLEJIDAD DE LA ATENCION DE LA INSTITUCION DONDE SE ATENDIO EL PARTO],"MEDIANA"),COUNTIFS(Tabla1[AÑO PARTO],B4,Tabla1[MES PARTO],E6,Tabla1[NIVEL DE COMPLEJIDAD DE LA ATENCION DE LA INSTITUCION DONDE SE ATENDIO EL PARTO],"ALTA"))</f>
        <v>9</v>
      </c>
      <c r="F126" s="132">
        <f>SUM(COUNTIFS(Tabla1[AÑO PARTO],B4,Tabla1[MES PARTO],F6,Tabla1[NIVEL DE COMPLEJIDAD DE LA ATENCION DE LA INSTITUCION DONDE SE ATENDIO EL PARTO],"MEDIANA"),COUNTIFS(Tabla1[AÑO PARTO],B4,Tabla1[MES PARTO],F6,Tabla1[NIVEL DE COMPLEJIDAD DE LA ATENCION DE LA INSTITUCION DONDE SE ATENDIO EL PARTO],"ALTA"))</f>
        <v>15</v>
      </c>
      <c r="G126" s="132">
        <f>SUM(COUNTIFS(Tabla1[AÑO PARTO],B4,Tabla1[MES PARTO],G6,Tabla1[NIVEL DE COMPLEJIDAD DE LA ATENCION DE LA INSTITUCION DONDE SE ATENDIO EL PARTO],"MEDIANA"),COUNTIFS(Tabla1[AÑO PARTO],B4,Tabla1[MES PARTO],G6,Tabla1[NIVEL DE COMPLEJIDAD DE LA ATENCION DE LA INSTITUCION DONDE SE ATENDIO EL PARTO],"ALTA"))</f>
        <v>5</v>
      </c>
      <c r="H126" s="132">
        <f>SUM(COUNTIFS(Tabla1[AÑO PARTO],B4,Tabla1[MES PARTO],H6,Tabla1[NIVEL DE COMPLEJIDAD DE LA ATENCION DE LA INSTITUCION DONDE SE ATENDIO EL PARTO],"MEDIANA"),COUNTIFS(Tabla1[AÑO PARTO],B4,Tabla1[MES PARTO],H6,Tabla1[NIVEL DE COMPLEJIDAD DE LA ATENCION DE LA INSTITUCION DONDE SE ATENDIO EL PARTO],"ALTA"))</f>
        <v>10</v>
      </c>
      <c r="I126" s="132">
        <f>SUM(COUNTIFS(Tabla1[AÑO PARTO],B4,Tabla1[MES PARTO],I6,Tabla1[NIVEL DE COMPLEJIDAD DE LA ATENCION DE LA INSTITUCION DONDE SE ATENDIO EL PARTO],"MEDIANA"),COUNTIFS(Tabla1[AÑO PARTO],B4,Tabla1[MES PARTO],I6,Tabla1[NIVEL DE COMPLEJIDAD DE LA ATENCION DE LA INSTITUCION DONDE SE ATENDIO EL PARTO],"ALTA"))</f>
        <v>3</v>
      </c>
      <c r="J126" s="132">
        <f>SUM(COUNTIFS(Tabla1[AÑO PARTO],B4,Tabla1[MES PARTO],J6,Tabla1[NIVEL DE COMPLEJIDAD DE LA ATENCION DE LA INSTITUCION DONDE SE ATENDIO EL PARTO],"MEDIANA"),COUNTIFS(Tabla1[AÑO PARTO],B4,Tabla1[MES PARTO],J6,Tabla1[NIVEL DE COMPLEJIDAD DE LA ATENCION DE LA INSTITUCION DONDE SE ATENDIO EL PARTO],"ALTA"))</f>
        <v>0</v>
      </c>
      <c r="K126" s="132">
        <f>SUM(COUNTIFS(Tabla1[AÑO PARTO],B4,Tabla1[MES PARTO],K6,Tabla1[NIVEL DE COMPLEJIDAD DE LA ATENCION DE LA INSTITUCION DONDE SE ATENDIO EL PARTO],"MEDIANA"),COUNTIFS(Tabla1[AÑO PARTO],B4,Tabla1[MES PARTO],K6,Tabla1[NIVEL DE COMPLEJIDAD DE LA ATENCION DE LA INSTITUCION DONDE SE ATENDIO EL PARTO],"ALTA"))</f>
        <v>0</v>
      </c>
      <c r="L126" s="132">
        <f>SUM(COUNTIFS(Tabla1[AÑO PARTO],B4,Tabla1[MES PARTO],L6,Tabla1[NIVEL DE COMPLEJIDAD DE LA ATENCION DE LA INSTITUCION DONDE SE ATENDIO EL PARTO],"MEDIANA"),COUNTIFS(Tabla1[AÑO PARTO],B4,Tabla1[MES PARTO],L6,Tabla1[NIVEL DE COMPLEJIDAD DE LA ATENCION DE LA INSTITUCION DONDE SE ATENDIO EL PARTO],"ALTA"))</f>
        <v>0</v>
      </c>
      <c r="M126" s="132">
        <f>SUM(COUNTIFS(Tabla1[AÑO PARTO],B4,Tabla1[MES PARTO],M6,Tabla1[NIVEL DE COMPLEJIDAD DE LA ATENCION DE LA INSTITUCION DONDE SE ATENDIO EL PARTO],"MEDIANA"),COUNTIFS(Tabla1[AÑO PARTO],B4,Tabla1[MES PARTO],M6,Tabla1[NIVEL DE COMPLEJIDAD DE LA ATENCION DE LA INSTITUCION DONDE SE ATENDIO EL PARTO],"ALTA"))</f>
        <v>0</v>
      </c>
      <c r="N126" s="134">
        <f>SUM(B126:M126)</f>
        <v>50</v>
      </c>
    </row>
    <row r="127" spans="1:14" ht="42.75" customHeight="1" thickBot="1" x14ac:dyDescent="0.3">
      <c r="A127" s="143" t="s">
        <v>665</v>
      </c>
      <c r="B127" s="83" t="str">
        <f>IF(B$126=0,"",SUM(B125/B$126))</f>
        <v/>
      </c>
      <c r="C127" s="84">
        <f t="shared" ref="C127:L127" si="40">IF(C$126=0,"",SUM(C125/C$126))</f>
        <v>0</v>
      </c>
      <c r="D127" s="84">
        <f t="shared" si="40"/>
        <v>0</v>
      </c>
      <c r="E127" s="84">
        <f t="shared" si="40"/>
        <v>0</v>
      </c>
      <c r="F127" s="84">
        <f t="shared" si="40"/>
        <v>0</v>
      </c>
      <c r="G127" s="84">
        <f t="shared" si="40"/>
        <v>0</v>
      </c>
      <c r="H127" s="84">
        <f t="shared" si="40"/>
        <v>0</v>
      </c>
      <c r="I127" s="84">
        <f t="shared" si="40"/>
        <v>0</v>
      </c>
      <c r="J127" s="84" t="str">
        <f t="shared" si="40"/>
        <v/>
      </c>
      <c r="K127" s="84" t="str">
        <f t="shared" si="40"/>
        <v/>
      </c>
      <c r="L127" s="84" t="str">
        <f t="shared" si="40"/>
        <v/>
      </c>
      <c r="M127" s="84" t="str">
        <f>IF(M$126=0,"",SUM(M125/M$126))</f>
        <v/>
      </c>
      <c r="N127" s="85">
        <f>IF(N$126=0,"",SUM(N125/N$126))</f>
        <v>0</v>
      </c>
    </row>
    <row r="128" spans="1:14" x14ac:dyDescent="0.25">
      <c r="A128" s="125" t="s">
        <v>385</v>
      </c>
      <c r="B128" s="81">
        <f>SUM(COUNTIFS(Tabla1[AÑO PARTO],B4,Tabla1[MES PARTO],B6,Tabla1[NUMERO NACIDOS VIVOS],"&gt;0"),COUNTIFS(Tabla1[AÑO PARTO],B4,Tabla1[MES PARTO],B6,Tabla1[NUMERO NACIDOS VIVOS],"&gt;1"),COUNTIFS(Tabla1[AÑO PARTO],B4,Tabla1[MES PARTO],B6,Tabla1[NUMERO NACIDOS VIVOS],"&gt;2"))</f>
        <v>0</v>
      </c>
      <c r="C128" s="81">
        <f>SUM(COUNTIFS(Tabla1[AÑO PARTO],B4,Tabla1[MES PARTO],C6,Tabla1[NUMERO NACIDOS VIVOS],"&gt;0"),COUNTIFS(Tabla1[AÑO PARTO],B4,Tabla1[MES PARTO],C6,Tabla1[NUMERO NACIDOS VIVOS],"&gt;1"),COUNTIFS(Tabla1[AÑO PARTO],B4,Tabla1[MES PARTO],C6,Tabla1[NUMERO NACIDOS VIVOS],"&gt;2"))</f>
        <v>3</v>
      </c>
      <c r="D128" s="81">
        <f>SUM(COUNTIFS(Tabla1[AÑO PARTO],B4,Tabla1[MES PARTO],D6,Tabla1[NUMERO NACIDOS VIVOS],"&gt;0"),COUNTIFS(Tabla1[AÑO PARTO],B4,Tabla1[MES PARTO],D6,Tabla1[NUMERO NACIDOS VIVOS],"&gt;1"),COUNTIFS(Tabla1[AÑO PARTO],B4,Tabla1[MES PARTO],D6,Tabla1[NUMERO NACIDOS VIVOS],"&gt;2"))</f>
        <v>12</v>
      </c>
      <c r="E128" s="81">
        <f>SUM(COUNTIFS(Tabla1[AÑO PARTO],B4,Tabla1[MES PARTO],E6,Tabla1[NUMERO NACIDOS VIVOS],"&gt;0"),COUNTIFS(Tabla1[AÑO PARTO],B4,Tabla1[MES PARTO],E6,Tabla1[NUMERO NACIDOS VIVOS],"&gt;1"),COUNTIFS(Tabla1[AÑO PARTO],B4,Tabla1[MES PARTO],E6,Tabla1[NUMERO NACIDOS VIVOS],"&gt;2"))</f>
        <v>17</v>
      </c>
      <c r="F128" s="81">
        <f>SUM(COUNTIFS(Tabla1[AÑO PARTO],B4,Tabla1[MES PARTO],F6,Tabla1[NUMERO NACIDOS VIVOS],"&gt;0"),COUNTIFS(Tabla1[AÑO PARTO],B4,Tabla1[MES PARTO],F6,Tabla1[NUMERO NACIDOS VIVOS],"&gt;1"),COUNTIFS(Tabla1[AÑO PARTO],B4,Tabla1[MES PARTO],F6,Tabla1[NUMERO NACIDOS VIVOS],"&gt;2"))</f>
        <v>31</v>
      </c>
      <c r="G128" s="81">
        <f>SUM(COUNTIFS(Tabla1[AÑO PARTO],B4,Tabla1[MES PARTO],G6,Tabla1[NUMERO NACIDOS VIVOS],"&gt;0"),COUNTIFS(Tabla1[AÑO PARTO],B4,Tabla1[MES PARTO],G6,Tabla1[NUMERO NACIDOS VIVOS],"&gt;1"),COUNTIFS(Tabla1[AÑO PARTO],B4,Tabla1[MES PARTO],G6,Tabla1[NUMERO NACIDOS VIVOS],"&gt;2"))</f>
        <v>13</v>
      </c>
      <c r="H128" s="81">
        <f>SUM(COUNTIFS(Tabla1[AÑO PARTO],B4,Tabla1[MES PARTO],H6,Tabla1[NUMERO NACIDOS VIVOS],"&gt;0"),COUNTIFS(Tabla1[AÑO PARTO],B4,Tabla1[MES PARTO],H6,Tabla1[NUMERO NACIDOS VIVOS],"&gt;1"),COUNTIFS(Tabla1[AÑO PARTO],B4,Tabla1[MES PARTO],H6,Tabla1[NUMERO NACIDOS VIVOS],"&gt;2"))</f>
        <v>14</v>
      </c>
      <c r="I128" s="81">
        <f>SUM(COUNTIFS(Tabla1[AÑO PARTO],B4,Tabla1[MES PARTO],I6,Tabla1[NUMERO NACIDOS VIVOS],"&gt;0"),COUNTIFS(Tabla1[AÑO PARTO],B4,Tabla1[MES PARTO],I6,Tabla1[NUMERO NACIDOS VIVOS],"&gt;1"),COUNTIFS(Tabla1[AÑO PARTO],B4,Tabla1[MES PARTO],I6,Tabla1[NUMERO NACIDOS VIVOS],"&gt;2"))</f>
        <v>3</v>
      </c>
      <c r="J128" s="81">
        <f>SUM(COUNTIFS(Tabla1[AÑO PARTO],B4,Tabla1[MES PARTO],J6,Tabla1[NUMERO NACIDOS VIVOS],"&gt;0"),COUNTIFS(Tabla1[AÑO PARTO],B4,Tabla1[MES PARTO],J6,Tabla1[NUMERO NACIDOS VIVOS],"&gt;1"),COUNTIFS(Tabla1[AÑO PARTO],B4,Tabla1[MES PARTO],J6,Tabla1[NUMERO NACIDOS VIVOS],"&gt;2"))</f>
        <v>0</v>
      </c>
      <c r="K128" s="81">
        <f>SUM(COUNTIFS(Tabla1[AÑO PARTO],B4,Tabla1[MES PARTO],K6,Tabla1[NUMERO NACIDOS VIVOS],"&gt;0"),COUNTIFS(Tabla1[AÑO PARTO],B4,Tabla1[MES PARTO],K6,Tabla1[NUMERO NACIDOS VIVOS],"&gt;1"),COUNTIFS(Tabla1[AÑO PARTO],B4,Tabla1[MES PARTO],K6,Tabla1[NUMERO NACIDOS VIVOS],"&gt;2"))</f>
        <v>0</v>
      </c>
      <c r="L128" s="81">
        <f>SUM(COUNTIFS(Tabla1[AÑO PARTO],B4,Tabla1[MES PARTO],L6,Tabla1[NUMERO NACIDOS VIVOS],"&gt;0"),COUNTIFS(Tabla1[AÑO PARTO],B4,Tabla1[MES PARTO],L6,Tabla1[NUMERO NACIDOS VIVOS],"&gt;1"),COUNTIFS(Tabla1[AÑO PARTO],B4,Tabla1[MES PARTO],L6,Tabla1[NUMERO NACIDOS VIVOS],"&gt;2"))</f>
        <v>0</v>
      </c>
      <c r="M128" s="81">
        <f>SUM(COUNTIFS(Tabla1[AÑO PARTO],B4,Tabla1[MES PARTO],M6,Tabla1[NUMERO NACIDOS VIVOS],"&gt;0"),COUNTIFS(Tabla1[AÑO PARTO],B4,Tabla1[MES PARTO],M6,Tabla1[NUMERO NACIDOS VIVOS],"&gt;1"),COUNTIFS(Tabla1[AÑO PARTO],B4,Tabla1[MES PARTO],M6,Tabla1[NUMERO NACIDOS VIVOS],"&gt;2"))</f>
        <v>0</v>
      </c>
      <c r="N128" s="90">
        <f>SUM(B128:M128)</f>
        <v>93</v>
      </c>
    </row>
    <row r="129" spans="1:14" x14ac:dyDescent="0.25">
      <c r="A129" s="97" t="s">
        <v>386</v>
      </c>
      <c r="B129" s="43">
        <f>SUM(COUNTIFS(Tabla1[AÑO PARTO],B4,Tabla1[MES PARTO],B6,Tabla1[NUMERO NACIDOS VIVOS],"&gt;0",Tabla1[EDAD GESTACIONAL SALIDA PROGRAMA],"&gt;=37"),COUNTIFS(Tabla1[AÑO PARTO],B4,Tabla1[MES PARTO],B6,Tabla1[NUMERO NACIDOS VIVOS],"&gt;1",Tabla1[EDAD GESTACIONAL SALIDA PROGRAMA],"&gt;=37"),COUNTIFS(Tabla1[AÑO PARTO],B4,Tabla1[MES PARTO],B6,Tabla1[NUMERO NACIDOS VIVOS],"&gt;2",Tabla1[EDAD GESTACIONAL SALIDA PROGRAMA],"&gt;=37"))</f>
        <v>0</v>
      </c>
      <c r="C129" s="43">
        <f>SUM(COUNTIFS(Tabla1[AÑO PARTO],B4,Tabla1[MES PARTO],C6,Tabla1[NUMERO NACIDOS VIVOS],"&gt;0",Tabla1[EDAD GESTACIONAL SALIDA PROGRAMA],"&gt;=37"),COUNTIFS(Tabla1[AÑO PARTO],B4,Tabla1[MES PARTO],C6,Tabla1[NUMERO NACIDOS VIVOS],"&gt;1",Tabla1[EDAD GESTACIONAL SALIDA PROGRAMA],"&gt;=37"),COUNTIFS(Tabla1[AÑO PARTO],B4,Tabla1[MES PARTO],C6,Tabla1[NUMERO NACIDOS VIVOS],"&gt;2",Tabla1[EDAD GESTACIONAL SALIDA PROGRAMA],"&gt;=37"))</f>
        <v>1</v>
      </c>
      <c r="D129" s="43">
        <f>SUM(COUNTIFS(Tabla1[AÑO PARTO],B4,Tabla1[MES PARTO],D6,Tabla1[NUMERO NACIDOS VIVOS],"&gt;0",Tabla1[EDAD GESTACIONAL SALIDA PROGRAMA],"&gt;=37"),COUNTIFS(Tabla1[AÑO PARTO],B4,Tabla1[MES PARTO],D6,Tabla1[NUMERO NACIDOS VIVOS],"&gt;1",Tabla1[EDAD GESTACIONAL SALIDA PROGRAMA],"&gt;=37"),COUNTIFS(Tabla1[AÑO PARTO],B4,Tabla1[MES PARTO],D6,Tabla1[NUMERO NACIDOS VIVOS],"&gt;2",Tabla1[EDAD GESTACIONAL SALIDA PROGRAMA],"&gt;=37"))</f>
        <v>12</v>
      </c>
      <c r="E129" s="43">
        <f>SUM(COUNTIFS(Tabla1[AÑO PARTO],B4,Tabla1[MES PARTO],E6,Tabla1[NUMERO NACIDOS VIVOS],"&gt;0",Tabla1[EDAD GESTACIONAL SALIDA PROGRAMA],"&gt;=37"),COUNTIFS(Tabla1[AÑO PARTO],B4,Tabla1[MES PARTO],E6,Tabla1[NUMERO NACIDOS VIVOS],"&gt;1",Tabla1[EDAD GESTACIONAL SALIDA PROGRAMA],"&gt;=37"),COUNTIFS(Tabla1[AÑO PARTO],B4,Tabla1[MES PARTO],E6,Tabla1[NUMERO NACIDOS VIVOS],"&gt;2",Tabla1[EDAD GESTACIONAL SALIDA PROGRAMA],"&gt;=37"))</f>
        <v>13</v>
      </c>
      <c r="F129" s="43">
        <f>SUM(COUNTIFS(Tabla1[AÑO PARTO],B4,Tabla1[MES PARTO],F6,Tabla1[NUMERO NACIDOS VIVOS],"&gt;0",Tabla1[EDAD GESTACIONAL SALIDA PROGRAMA],"&gt;=37"),COUNTIFS(Tabla1[AÑO PARTO],B4,Tabla1[MES PARTO],F6,Tabla1[NUMERO NACIDOS VIVOS],"&gt;1",Tabla1[EDAD GESTACIONAL SALIDA PROGRAMA],"&gt;=37"),COUNTIFS(Tabla1[AÑO PARTO],B4,Tabla1[MES PARTO],F6,Tabla1[NUMERO NACIDOS VIVOS],"&gt;2",Tabla1[EDAD GESTACIONAL SALIDA PROGRAMA],"&gt;=37"))</f>
        <v>19</v>
      </c>
      <c r="G129" s="43">
        <f>SUM(COUNTIFS(Tabla1[AÑO PARTO],B4,Tabla1[MES PARTO],G6,Tabla1[NUMERO NACIDOS VIVOS],"&gt;0",Tabla1[EDAD GESTACIONAL SALIDA PROGRAMA],"&gt;=37"),COUNTIFS(Tabla1[AÑO PARTO],B4,Tabla1[MES PARTO],G6,Tabla1[NUMERO NACIDOS VIVOS],"&gt;1",Tabla1[EDAD GESTACIONAL SALIDA PROGRAMA],"&gt;=37"),COUNTIFS(Tabla1[AÑO PARTO],B4,Tabla1[MES PARTO],G6,Tabla1[NUMERO NACIDOS VIVOS],"&gt;2",Tabla1[EDAD GESTACIONAL SALIDA PROGRAMA],"&gt;=37"))</f>
        <v>12</v>
      </c>
      <c r="H129" s="43">
        <f>SUM(COUNTIFS(Tabla1[AÑO PARTO],B4,Tabla1[MES PARTO],H6,Tabla1[NUMERO NACIDOS VIVOS],"&gt;0",Tabla1[EDAD GESTACIONAL SALIDA PROGRAMA],"&gt;=37"),COUNTIFS(Tabla1[AÑO PARTO],B4,Tabla1[MES PARTO],H6,Tabla1[NUMERO NACIDOS VIVOS],"&gt;1",Tabla1[EDAD GESTACIONAL SALIDA PROGRAMA],"&gt;=37"),COUNTIFS(Tabla1[AÑO PARTO],B4,Tabla1[MES PARTO],H6,Tabla1[NUMERO NACIDOS VIVOS],"&gt;2",Tabla1[EDAD GESTACIONAL SALIDA PROGRAMA],"&gt;=37"))</f>
        <v>10</v>
      </c>
      <c r="I129" s="43">
        <f>SUM(COUNTIFS(Tabla1[AÑO PARTO],B4,Tabla1[MES PARTO],I6,Tabla1[NUMERO NACIDOS VIVOS],"&gt;0",Tabla1[EDAD GESTACIONAL SALIDA PROGRAMA],"&gt;=37"),COUNTIFS(Tabla1[AÑO PARTO],B4,Tabla1[MES PARTO],I6,Tabla1[NUMERO NACIDOS VIVOS],"&gt;1",Tabla1[EDAD GESTACIONAL SALIDA PROGRAMA],"&gt;=37"),COUNTIFS(Tabla1[AÑO PARTO],B4,Tabla1[MES PARTO],I6,Tabla1[NUMERO NACIDOS VIVOS],"&gt;2",Tabla1[EDAD GESTACIONAL SALIDA PROGRAMA],"&gt;=37"))</f>
        <v>3</v>
      </c>
      <c r="J129" s="43">
        <f>SUM(COUNTIFS(Tabla1[AÑO PARTO],B4,Tabla1[MES PARTO],J6,Tabla1[NUMERO NACIDOS VIVOS],"&gt;0",Tabla1[EDAD GESTACIONAL SALIDA PROGRAMA],"&gt;=37"),COUNTIFS(Tabla1[AÑO PARTO],B4,Tabla1[MES PARTO],J6,Tabla1[NUMERO NACIDOS VIVOS],"&gt;1",Tabla1[EDAD GESTACIONAL SALIDA PROGRAMA],"&gt;=37"),COUNTIFS(Tabla1[AÑO PARTO],B4,Tabla1[MES PARTO],J6,Tabla1[NUMERO NACIDOS VIVOS],"&gt;2",Tabla1[EDAD GESTACIONAL SALIDA PROGRAMA],"&gt;=37"))</f>
        <v>0</v>
      </c>
      <c r="K129" s="43">
        <f>SUM(COUNTIFS(Tabla1[AÑO PARTO],B4,Tabla1[MES PARTO],K6,Tabla1[NUMERO NACIDOS VIVOS],"&gt;0",Tabla1[EDAD GESTACIONAL SALIDA PROGRAMA],"&gt;=37"),COUNTIFS(Tabla1[AÑO PARTO],B4,Tabla1[MES PARTO],K6,Tabla1[NUMERO NACIDOS VIVOS],"&gt;1",Tabla1[EDAD GESTACIONAL SALIDA PROGRAMA],"&gt;=37"),COUNTIFS(Tabla1[AÑO PARTO],B4,Tabla1[MES PARTO],K6,Tabla1[NUMERO NACIDOS VIVOS],"&gt;2",Tabla1[EDAD GESTACIONAL SALIDA PROGRAMA],"&gt;=37"))</f>
        <v>0</v>
      </c>
      <c r="L129" s="43">
        <f>SUM(COUNTIFS(Tabla1[AÑO PARTO],B4,Tabla1[MES PARTO],L6,Tabla1[NUMERO NACIDOS VIVOS],"&gt;0",Tabla1[EDAD GESTACIONAL SALIDA PROGRAMA],"&gt;=37"),COUNTIFS(Tabla1[AÑO PARTO],B4,Tabla1[MES PARTO],L6,Tabla1[NUMERO NACIDOS VIVOS],"&gt;1",Tabla1[EDAD GESTACIONAL SALIDA PROGRAMA],"&gt;=37"),COUNTIFS(Tabla1[AÑO PARTO],B4,Tabla1[MES PARTO],L6,Tabla1[NUMERO NACIDOS VIVOS],"&gt;2",Tabla1[EDAD GESTACIONAL SALIDA PROGRAMA],"&gt;=37"))</f>
        <v>0</v>
      </c>
      <c r="M129" s="43">
        <f>SUM(COUNTIFS(Tabla1[AÑO PARTO],B4,Tabla1[MES PARTO],M6,Tabla1[NUMERO NACIDOS VIVOS],"&gt;0",Tabla1[EDAD GESTACIONAL SALIDA PROGRAMA],"&gt;=37"),COUNTIFS(Tabla1[AÑO PARTO],B4,Tabla1[MES PARTO],M6,Tabla1[NUMERO NACIDOS VIVOS],"&gt;1",Tabla1[EDAD GESTACIONAL SALIDA PROGRAMA],"&gt;=37"),COUNTIFS(Tabla1[AÑO PARTO],B4,Tabla1[MES PARTO],M6,Tabla1[NUMERO NACIDOS VIVOS],"&gt;2",Tabla1[EDAD GESTACIONAL SALIDA PROGRAMA],"&gt;=37"))</f>
        <v>0</v>
      </c>
      <c r="N129" s="94">
        <f>SUM(B129:M129)</f>
        <v>70</v>
      </c>
    </row>
    <row r="130" spans="1:14" ht="26.25" thickBot="1" x14ac:dyDescent="0.3">
      <c r="A130" s="105" t="s">
        <v>387</v>
      </c>
      <c r="B130" s="106">
        <f>SUM(COUNTIFS(Tabla1[AÑO PARTO],B4,Tabla1[MES PARTO],B6,Tabla1[PESO RN  EN GRAMOS],"&lt;2500",Tabla1[EDAD GESTACIONAL SALIDA PROGRAMA],"&gt;=37"),COUNTIFS(Tabla1[AÑO PARTO],B4,Tabla1[MES PARTO],B6,Tabla1[PESO RN 2 EN GRAMOS2],"&lt;2500",Tabla1[EDAD GESTACIONAL SALIDA PROGRAMA],"&gt;=37"))</f>
        <v>0</v>
      </c>
      <c r="C130" s="106">
        <f>SUM(COUNTIFS(Tabla1[AÑO PARTO],B4,Tabla1[MES PARTO],C6,Tabla1[PESO RN  EN GRAMOS],"&lt;2500",Tabla1[EDAD GESTACIONAL SALIDA PROGRAMA],"&gt;=37"),COUNTIFS(Tabla1[AÑO PARTO],B4,Tabla1[MES PARTO],C6,Tabla1[PESO RN 2 EN GRAMOS2],"&lt;2500",Tabla1[EDAD GESTACIONAL SALIDA PROGRAMA],"&gt;=37"))</f>
        <v>0</v>
      </c>
      <c r="D130" s="106">
        <f>SUM(COUNTIFS(Tabla1[AÑO PARTO],B4,Tabla1[MES PARTO],D6,Tabla1[PESO RN  EN GRAMOS],"&lt;2500",Tabla1[EDAD GESTACIONAL SALIDA PROGRAMA],"&gt;=37"),COUNTIFS(Tabla1[AÑO PARTO],B4,Tabla1[MES PARTO],D6,Tabla1[PESO RN 2 EN GRAMOS2],"&lt;2500",Tabla1[EDAD GESTACIONAL SALIDA PROGRAMA],"&gt;=37"))</f>
        <v>1</v>
      </c>
      <c r="E130" s="106">
        <f>SUM(COUNTIFS(Tabla1[AÑO PARTO],B4,Tabla1[MES PARTO],E6,Tabla1[PESO RN  EN GRAMOS],"&lt;2500",Tabla1[EDAD GESTACIONAL SALIDA PROGRAMA],"&gt;=37"),COUNTIFS(Tabla1[AÑO PARTO],B4,Tabla1[MES PARTO],E6,Tabla1[PESO RN 2 EN GRAMOS2],"&lt;2500",Tabla1[EDAD GESTACIONAL SALIDA PROGRAMA],"&gt;=37"))</f>
        <v>0</v>
      </c>
      <c r="F130" s="106">
        <f>SUM(COUNTIFS(Tabla1[AÑO PARTO],B4,Tabla1[MES PARTO],F6,Tabla1[PESO RN  EN GRAMOS],"&lt;2500",Tabla1[EDAD GESTACIONAL SALIDA PROGRAMA],"&gt;=37"),COUNTIFS(Tabla1[AÑO PARTO],B4,Tabla1[MES PARTO],F6,Tabla1[PESO RN 2 EN GRAMOS2],"&lt;2500",Tabla1[EDAD GESTACIONAL SALIDA PROGRAMA],"&gt;=37"))</f>
        <v>0</v>
      </c>
      <c r="G130" s="106">
        <f>SUM(COUNTIFS(Tabla1[AÑO PARTO],B4,Tabla1[MES PARTO],G6,Tabla1[PESO RN  EN GRAMOS],"&lt;2500",Tabla1[EDAD GESTACIONAL SALIDA PROGRAMA],"&gt;=37"),COUNTIFS(Tabla1[AÑO PARTO],B4,Tabla1[MES PARTO],G6,Tabla1[PESO RN 2 EN GRAMOS2],"&lt;2500",Tabla1[EDAD GESTACIONAL SALIDA PROGRAMA],"&gt;=37"))</f>
        <v>0</v>
      </c>
      <c r="H130" s="106">
        <f>SUM(COUNTIFS(Tabla1[AÑO PARTO],B4,Tabla1[MES PARTO],H6,Tabla1[PESO RN  EN GRAMOS],"&lt;2500",Tabla1[EDAD GESTACIONAL SALIDA PROGRAMA],"&gt;=37"),COUNTIFS(Tabla1[AÑO PARTO],B4,Tabla1[MES PARTO],H6,Tabla1[PESO RN 2 EN GRAMOS2],"&lt;2500",Tabla1[EDAD GESTACIONAL SALIDA PROGRAMA],"&gt;=37"))</f>
        <v>0</v>
      </c>
      <c r="I130" s="106">
        <f>SUM(COUNTIFS(Tabla1[AÑO PARTO],B4,Tabla1[MES PARTO],I6,Tabla1[PESO RN  EN GRAMOS],"&lt;2500",Tabla1[EDAD GESTACIONAL SALIDA PROGRAMA],"&gt;=37"),COUNTIFS(Tabla1[AÑO PARTO],B4,Tabla1[MES PARTO],I6,Tabla1[PESO RN 2 EN GRAMOS2],"&lt;2500",Tabla1[EDAD GESTACIONAL SALIDA PROGRAMA],"&gt;=37"))</f>
        <v>0</v>
      </c>
      <c r="J130" s="106">
        <f>SUM(COUNTIFS(Tabla1[AÑO PARTO],B4,Tabla1[MES PARTO],J6,Tabla1[PESO RN  EN GRAMOS],"&lt;2500",Tabla1[EDAD GESTACIONAL SALIDA PROGRAMA],"&gt;=37"),COUNTIFS(Tabla1[AÑO PARTO],B4,Tabla1[MES PARTO],J6,Tabla1[PESO RN 2 EN GRAMOS2],"&lt;2500",Tabla1[EDAD GESTACIONAL SALIDA PROGRAMA],"&gt;=37"))</f>
        <v>0</v>
      </c>
      <c r="K130" s="106">
        <f>SUM(COUNTIFS(Tabla1[AÑO PARTO],B4,Tabla1[MES PARTO],K6,Tabla1[PESO RN  EN GRAMOS],"&lt;2500",Tabla1[EDAD GESTACIONAL SALIDA PROGRAMA],"&gt;=37"),COUNTIFS(Tabla1[AÑO PARTO],B4,Tabla1[MES PARTO],K6,Tabla1[PESO RN 2 EN GRAMOS2],"&lt;2500",Tabla1[EDAD GESTACIONAL SALIDA PROGRAMA],"&gt;=37"))</f>
        <v>0</v>
      </c>
      <c r="L130" s="106">
        <f>SUM(COUNTIFS(Tabla1[AÑO PARTO],B4,Tabla1[MES PARTO],L6,Tabla1[PESO RN  EN GRAMOS],"&lt;2500",Tabla1[EDAD GESTACIONAL SALIDA PROGRAMA],"&gt;=37"),COUNTIFS(Tabla1[AÑO PARTO],B4,Tabla1[MES PARTO],L6,Tabla1[PESO RN 2 EN GRAMOS2],"&lt;2500",Tabla1[EDAD GESTACIONAL SALIDA PROGRAMA],"&gt;=37"))</f>
        <v>0</v>
      </c>
      <c r="M130" s="106">
        <f>SUM(COUNTIFS(Tabla1[AÑO PARTO],B4,Tabla1[MES PARTO],M6,Tabla1[PESO RN  EN GRAMOS],"&lt;2500",Tabla1[EDAD GESTACIONAL SALIDA PROGRAMA],"&gt;=37"),COUNTIFS(Tabla1[AÑO PARTO],B4,Tabla1[MES PARTO],M6,Tabla1[PESO RN 2 EN GRAMOS2],"&lt;2500",Tabla1[EDAD GESTACIONAL SALIDA PROGRAMA],"&gt;=37"))</f>
        <v>0</v>
      </c>
      <c r="N130" s="101">
        <f>SUM(B130:M130)</f>
        <v>1</v>
      </c>
    </row>
    <row r="131" spans="1:14" ht="15.75" thickBot="1" x14ac:dyDescent="0.3">
      <c r="A131" s="41" t="s">
        <v>388</v>
      </c>
      <c r="B131" s="83" t="str">
        <f>IF(B129=0,"",SUM(B130/B129))</f>
        <v/>
      </c>
      <c r="C131" s="84">
        <f t="shared" ref="C131:N131" si="41">IF(C129=0,"",SUM(C130/C129))</f>
        <v>0</v>
      </c>
      <c r="D131" s="84">
        <f t="shared" si="41"/>
        <v>8.3333333333333329E-2</v>
      </c>
      <c r="E131" s="84">
        <f t="shared" si="41"/>
        <v>0</v>
      </c>
      <c r="F131" s="84">
        <f t="shared" si="41"/>
        <v>0</v>
      </c>
      <c r="G131" s="84">
        <f t="shared" si="41"/>
        <v>0</v>
      </c>
      <c r="H131" s="84">
        <f t="shared" si="41"/>
        <v>0</v>
      </c>
      <c r="I131" s="84">
        <f t="shared" si="41"/>
        <v>0</v>
      </c>
      <c r="J131" s="84" t="str">
        <f t="shared" si="41"/>
        <v/>
      </c>
      <c r="K131" s="84" t="str">
        <f t="shared" si="41"/>
        <v/>
      </c>
      <c r="L131" s="84" t="str">
        <f t="shared" si="41"/>
        <v/>
      </c>
      <c r="M131" s="84" t="str">
        <f t="shared" si="41"/>
        <v/>
      </c>
      <c r="N131" s="85">
        <f t="shared" si="41"/>
        <v>1.4285714285714285E-2</v>
      </c>
    </row>
    <row r="132" spans="1:14" ht="26.25" thickBot="1" x14ac:dyDescent="0.3">
      <c r="A132" s="98" t="s">
        <v>632</v>
      </c>
      <c r="B132" s="81">
        <f>SUM(COUNTIFS(Tabla1[AÑO PARTO],B4,Tabla1[MES PARTO],B6,Tabla1[[ EVENTO DE INTERES EN SALUD PÚBLICA DEL RECIÉN NACIDO2]],"MUERTE PERINATAL O NEONATAL TEMPRANA"),COUNTIFS(Tabla1[AÑO PARTO],B4,Tabla1[MES PARTO],B6,Tabla1[[ EVENTO DE INTERES EN SALUD PÚBLICA DEL RECIÉN NACIDO2]],"MUERTE NEONATAL TARDÍA"))</f>
        <v>0</v>
      </c>
      <c r="C132" s="81">
        <f>SUM(COUNTIFS(Tabla1[AÑO PARTO],B4,Tabla1[MES PARTO],C6,Tabla1[[ EVENTO DE INTERES EN SALUD PÚBLICA DEL RECIÉN NACIDO2]],"MUERTE PERINATAL O NEONATAL TEMPRANA"),COUNTIFS(Tabla1[AÑO PARTO],B4,Tabla1[MES PARTO],C6,Tabla1[[ EVENTO DE INTERES EN SALUD PÚBLICA DEL RECIÉN NACIDO2]],"MUERTE NEONATAL TARDÍA"))</f>
        <v>0</v>
      </c>
      <c r="D132" s="81">
        <f>SUM(COUNTIFS(Tabla1[AÑO PARTO],B4,Tabla1[MES PARTO],D6,Tabla1[[ EVENTO DE INTERES EN SALUD PÚBLICA DEL RECIÉN NACIDO2]],"MUERTE PERINATAL O NEONATAL TEMPRANA"),COUNTIFS(Tabla1[AÑO PARTO],B4,Tabla1[MES PARTO],D6,Tabla1[[ EVENTO DE INTERES EN SALUD PÚBLICA DEL RECIÉN NACIDO2]],"MUERTE NEONATAL TARDÍA"))</f>
        <v>0</v>
      </c>
      <c r="E132" s="81">
        <f>SUM(COUNTIFS(Tabla1[AÑO PARTO],B4,Tabla1[MES PARTO],E6,Tabla1[[ EVENTO DE INTERES EN SALUD PÚBLICA DEL RECIÉN NACIDO2]],"MUERTE PERINATAL O NEONATAL TEMPRANA"),COUNTIFS(Tabla1[AÑO PARTO],B4,Tabla1[MES PARTO],E6,Tabla1[[ EVENTO DE INTERES EN SALUD PÚBLICA DEL RECIÉN NACIDO2]],"MUERTE NEONATAL TARDÍA"))</f>
        <v>0</v>
      </c>
      <c r="F132" s="81">
        <f>SUM(COUNTIFS(Tabla1[AÑO PARTO],B4,Tabla1[MES PARTO],F6,Tabla1[[ EVENTO DE INTERES EN SALUD PÚBLICA DEL RECIÉN NACIDO2]],"MUERTE PERINATAL O NEONATAL TEMPRANA"),COUNTIFS(Tabla1[AÑO PARTO],B4,Tabla1[MES PARTO],F6,Tabla1[[ EVENTO DE INTERES EN SALUD PÚBLICA DEL RECIÉN NACIDO2]],"MUERTE NEONATAL TARDÍA"))</f>
        <v>0</v>
      </c>
      <c r="G132" s="81">
        <f>SUM(COUNTIFS(Tabla1[AÑO PARTO],B4,Tabla1[MES PARTO],G6,Tabla1[[ EVENTO DE INTERES EN SALUD PÚBLICA DEL RECIÉN NACIDO2]],"MUERTE PERINATAL O NEONATAL TEMPRANA"),COUNTIFS(Tabla1[AÑO PARTO],B4,Tabla1[MES PARTO],G6,Tabla1[[ EVENTO DE INTERES EN SALUD PÚBLICA DEL RECIÉN NACIDO2]],"MUERTE NEONATAL TARDÍA"))</f>
        <v>0</v>
      </c>
      <c r="H132" s="81">
        <f>SUM(COUNTIFS(Tabla1[AÑO PARTO],B4,Tabla1[MES PARTO],H6,Tabla1[[ EVENTO DE INTERES EN SALUD PÚBLICA DEL RECIÉN NACIDO2]],"MUERTE PERINATAL O NEONATAL TEMPRANA"),COUNTIFS(Tabla1[AÑO PARTO],B4,Tabla1[MES PARTO],H6,Tabla1[[ EVENTO DE INTERES EN SALUD PÚBLICA DEL RECIÉN NACIDO2]],"MUERTE NEONATAL TARDÍA"))</f>
        <v>0</v>
      </c>
      <c r="I132" s="81">
        <f>SUM(COUNTIFS(Tabla1[AÑO PARTO],B4,Tabla1[MES PARTO],I6,Tabla1[[ EVENTO DE INTERES EN SALUD PÚBLICA DEL RECIÉN NACIDO2]],"MUERTE PERINATAL O NEONATAL TEMPRANA"),COUNTIFS(Tabla1[AÑO PARTO],B4,Tabla1[MES PARTO],I6,Tabla1[[ EVENTO DE INTERES EN SALUD PÚBLICA DEL RECIÉN NACIDO2]],"MUERTE NEONATAL TARDÍA"))</f>
        <v>0</v>
      </c>
      <c r="J132" s="81">
        <f>SUM(COUNTIFS(Tabla1[AÑO PARTO],B4,Tabla1[MES PARTO],J6,Tabla1[[ EVENTO DE INTERES EN SALUD PÚBLICA DEL RECIÉN NACIDO2]],"MUERTE PERINATAL O NEONATAL TEMPRANA"),COUNTIFS(Tabla1[AÑO PARTO],B4,Tabla1[MES PARTO],J6,Tabla1[[ EVENTO DE INTERES EN SALUD PÚBLICA DEL RECIÉN NACIDO2]],"MUERTE NEONATAL TARDÍA"))</f>
        <v>0</v>
      </c>
      <c r="K132" s="81">
        <f>SUM(COUNTIFS(Tabla1[AÑO PARTO],B4,Tabla1[MES PARTO],K6,Tabla1[[ EVENTO DE INTERES EN SALUD PÚBLICA DEL RECIÉN NACIDO2]],"MUERTE PERINATAL O NEONATAL TEMPRANA"),COUNTIFS(Tabla1[AÑO PARTO],B4,Tabla1[MES PARTO],K6,Tabla1[[ EVENTO DE INTERES EN SALUD PÚBLICA DEL RECIÉN NACIDO2]],"MUERTE NEONATAL TARDÍA"))</f>
        <v>0</v>
      </c>
      <c r="L132" s="81">
        <f>SUM(COUNTIFS(Tabla1[AÑO PARTO],B4,Tabla1[MES PARTO],L6,Tabla1[[ EVENTO DE INTERES EN SALUD PÚBLICA DEL RECIÉN NACIDO2]],"MUERTE PERINATAL O NEONATAL TEMPRANA"),COUNTIFS(Tabla1[AÑO PARTO],B4,Tabla1[MES PARTO],L6,Tabla1[[ EVENTO DE INTERES EN SALUD PÚBLICA DEL RECIÉN NACIDO2]],"MUERTE NEONATAL TARDÍA"))</f>
        <v>0</v>
      </c>
      <c r="M132" s="81">
        <f>SUM(COUNTIFS(Tabla1[AÑO PARTO],B4,Tabla1[MES PARTO],M6,Tabla1[[ EVENTO DE INTERES EN SALUD PÚBLICA DEL RECIÉN NACIDO2]],"MUERTE PERINATAL O NEONATAL TEMPRANA"),COUNTIFS(Tabla1[AÑO PARTO],B4,Tabla1[MES PARTO],M6,Tabla1[[ EVENTO DE INTERES EN SALUD PÚBLICA DEL RECIÉN NACIDO2]],"MUERTE NEONATAL TARDÍA"))</f>
        <v>0</v>
      </c>
      <c r="N132" s="92">
        <f>SUM(B132:M132)</f>
        <v>0</v>
      </c>
    </row>
    <row r="133" spans="1:14" ht="15.75" thickBot="1" x14ac:dyDescent="0.3">
      <c r="A133" s="99" t="s">
        <v>389</v>
      </c>
      <c r="B133" s="417"/>
      <c r="C133" s="418"/>
      <c r="D133" s="418"/>
      <c r="E133" s="418"/>
      <c r="F133" s="418"/>
      <c r="G133" s="418"/>
      <c r="H133" s="418"/>
      <c r="I133" s="418"/>
      <c r="J133" s="418"/>
      <c r="K133" s="418"/>
      <c r="L133" s="418"/>
      <c r="M133" s="418"/>
      <c r="N133" s="141">
        <f>IF(N$128=0,"",SUM((N132/N$128)*1000))</f>
        <v>0</v>
      </c>
    </row>
    <row r="134" spans="1:14" ht="15.75" thickBot="1" x14ac:dyDescent="0.3">
      <c r="A134" s="98" t="s">
        <v>390</v>
      </c>
      <c r="B134" s="43">
        <f>SUM(COUNTIFS(Tabla1[AÑO PARTO],B4,Tabla1[MES PARTO],B6,Tabla1[[ EVENTO DE INTERES EN SALUD PÚBLICA DE LA MADRE]],"MORBILIDAD MATERNA EXTREMA"),COUNTIFS(Tabla1[AÑO PARTO],B4,Tabla1[MES PARTO],B6,Tabla1[[ EVENTO DE INTERES EN SALUD PÚBLICA DE LA MADRE]],"MUERTE Y MORBILIDAD MATERNA EXTREMA"))</f>
        <v>0</v>
      </c>
      <c r="C134" s="43">
        <f>SUM(COUNTIFS(Tabla1[AÑO PARTO],B4,Tabla1[MES PARTO],C6,Tabla1[[ EVENTO DE INTERES EN SALUD PÚBLICA DE LA MADRE]],"MORBILIDAD MATERNA EXTREMA"),COUNTIFS(Tabla1[AÑO PARTO],B4,Tabla1[MES PARTO],C6,Tabla1[[ EVENTO DE INTERES EN SALUD PÚBLICA DE LA MADRE]],"MUERTE Y MORBILIDAD MATERNA EXTREMA"))</f>
        <v>0</v>
      </c>
      <c r="D134" s="43">
        <f>SUM(COUNTIFS(Tabla1[AÑO PARTO],B4,Tabla1[MES PARTO],D6,Tabla1[[ EVENTO DE INTERES EN SALUD PÚBLICA DE LA MADRE]],"MORBILIDAD MATERNA EXTREMA"),COUNTIFS(Tabla1[AÑO PARTO],B4,Tabla1[MES PARTO],D6,Tabla1[[ EVENTO DE INTERES EN SALUD PÚBLICA DE LA MADRE]],"MUERTE Y MORBILIDAD MATERNA EXTREMA"))</f>
        <v>0</v>
      </c>
      <c r="E134" s="43">
        <f>SUM(COUNTIFS(Tabla1[AÑO PARTO],B4,Tabla1[MES PARTO],E6,Tabla1[[ EVENTO DE INTERES EN SALUD PÚBLICA DE LA MADRE]],"MORBILIDAD MATERNA EXTREMA"),COUNTIFS(Tabla1[AÑO PARTO],B4,Tabla1[MES PARTO],E6,Tabla1[[ EVENTO DE INTERES EN SALUD PÚBLICA DE LA MADRE]],"MUERTE Y MORBILIDAD MATERNA EXTREMA"))</f>
        <v>2</v>
      </c>
      <c r="F134" s="43">
        <f>SUM(COUNTIFS(Tabla1[AÑO PARTO],B4,Tabla1[MES PARTO],F6,Tabla1[[ EVENTO DE INTERES EN SALUD PÚBLICA DE LA MADRE]],"MORBILIDAD MATERNA EXTREMA"),COUNTIFS(Tabla1[AÑO PARTO],B4,Tabla1[MES PARTO],F6,Tabla1[[ EVENTO DE INTERES EN SALUD PÚBLICA DE LA MADRE]],"MUERTE Y MORBILIDAD MATERNA EXTREMA"))</f>
        <v>0</v>
      </c>
      <c r="G134" s="43">
        <f>SUM(COUNTIFS(Tabla1[AÑO PARTO],B4,Tabla1[MES PARTO],G6,Tabla1[[ EVENTO DE INTERES EN SALUD PÚBLICA DE LA MADRE]],"MORBILIDAD MATERNA EXTREMA"),COUNTIFS(Tabla1[AÑO PARTO],B4,Tabla1[MES PARTO],G6,Tabla1[[ EVENTO DE INTERES EN SALUD PÚBLICA DE LA MADRE]],"MUERTE Y MORBILIDAD MATERNA EXTREMA"))</f>
        <v>0</v>
      </c>
      <c r="H134" s="43">
        <f>SUM(COUNTIFS(Tabla1[AÑO PARTO],B4,Tabla1[MES PARTO],H6,Tabla1[[ EVENTO DE INTERES EN SALUD PÚBLICA DE LA MADRE]],"MORBILIDAD MATERNA EXTREMA"),COUNTIFS(Tabla1[AÑO PARTO],B4,Tabla1[MES PARTO],H6,Tabla1[[ EVENTO DE INTERES EN SALUD PÚBLICA DE LA MADRE]],"MUERTE Y MORBILIDAD MATERNA EXTREMA"))</f>
        <v>1</v>
      </c>
      <c r="I134" s="43">
        <f>SUM(COUNTIFS(Tabla1[AÑO PARTO],B4,Tabla1[MES PARTO],I6,Tabla1[[ EVENTO DE INTERES EN SALUD PÚBLICA DE LA MADRE]],"MORBILIDAD MATERNA EXTREMA"),COUNTIFS(Tabla1[AÑO PARTO],B4,Tabla1[MES PARTO],I6,Tabla1[[ EVENTO DE INTERES EN SALUD PÚBLICA DE LA MADRE]],"MUERTE Y MORBILIDAD MATERNA EXTREMA"))</f>
        <v>1</v>
      </c>
      <c r="J134" s="43">
        <f>SUM(COUNTIFS(Tabla1[AÑO PARTO],B4,Tabla1[MES PARTO],J6,Tabla1[[ EVENTO DE INTERES EN SALUD PÚBLICA DE LA MADRE]],"MORBILIDAD MATERNA EXTREMA"),COUNTIFS(Tabla1[AÑO PARTO],B4,Tabla1[MES PARTO],J6,Tabla1[[ EVENTO DE INTERES EN SALUD PÚBLICA DE LA MADRE]],"MUERTE Y MORBILIDAD MATERNA EXTREMA"))</f>
        <v>0</v>
      </c>
      <c r="K134" s="43">
        <f>SUM(COUNTIFS(Tabla1[AÑO PARTO],B4,Tabla1[MES PARTO],K6,Tabla1[[ EVENTO DE INTERES EN SALUD PÚBLICA DE LA MADRE]],"MORBILIDAD MATERNA EXTREMA"),COUNTIFS(Tabla1[AÑO PARTO],B4,Tabla1[MES PARTO],K6,Tabla1[[ EVENTO DE INTERES EN SALUD PÚBLICA DE LA MADRE]],"MUERTE Y MORBILIDAD MATERNA EXTREMA"))</f>
        <v>0</v>
      </c>
      <c r="L134" s="43">
        <f>SUM(COUNTIFS(Tabla1[AÑO PARTO],B4,Tabla1[MES PARTO],L6,Tabla1[[ EVENTO DE INTERES EN SALUD PÚBLICA DE LA MADRE]],"MORBILIDAD MATERNA EXTREMA"),COUNTIFS(Tabla1[AÑO PARTO],B4,Tabla1[MES PARTO],L6,Tabla1[[ EVENTO DE INTERES EN SALUD PÚBLICA DE LA MADRE]],"MUERTE Y MORBILIDAD MATERNA EXTREMA"))</f>
        <v>0</v>
      </c>
      <c r="M134" s="43">
        <f>SUM(COUNTIFS(Tabla1[AÑO PARTO],B4,Tabla1[MES PARTO],M6,Tabla1[[ EVENTO DE INTERES EN SALUD PÚBLICA DE LA MADRE]],"MORBILIDAD MATERNA EXTREMA"),COUNTIFS(Tabla1[AÑO PARTO],B4,Tabla1[MES PARTO],M6,Tabla1[[ EVENTO DE INTERES EN SALUD PÚBLICA DE LA MADRE]],"MUERTE Y MORBILIDAD MATERNA EXTREMA"))</f>
        <v>0</v>
      </c>
      <c r="N134" s="92">
        <f>SUM(B134:M134)</f>
        <v>4</v>
      </c>
    </row>
    <row r="135" spans="1:14" ht="26.25" thickBot="1" x14ac:dyDescent="0.3">
      <c r="A135" s="99" t="s">
        <v>391</v>
      </c>
      <c r="B135" s="417"/>
      <c r="C135" s="418"/>
      <c r="D135" s="418"/>
      <c r="E135" s="418"/>
      <c r="F135" s="418"/>
      <c r="G135" s="418"/>
      <c r="H135" s="418"/>
      <c r="I135" s="418"/>
      <c r="J135" s="418"/>
      <c r="K135" s="418"/>
      <c r="L135" s="418"/>
      <c r="M135" s="418"/>
      <c r="N135" s="141">
        <f>IF(N$128=0,"",SUM((N134/N$128)*1000))</f>
        <v>43.010752688172047</v>
      </c>
    </row>
    <row r="136" spans="1:14" ht="15.75" thickBot="1" x14ac:dyDescent="0.3">
      <c r="A136" s="98" t="s">
        <v>639</v>
      </c>
      <c r="B136" s="43">
        <f>SUM(COUNTIFS(Tabla1[AÑO PARTO],B4,Tabla1[MES PARTO],B6,Tabla1[[ EVENTO DE INTERES EN SALUD PÚBLICA DE LA MADRE]],"MUERTE MATERNA"),COUNTIFS(Tabla1[AÑO PARTO],B4,Tabla1[MES PARTO],B6,Tabla1[[ EVENTO DE INTERES EN SALUD PÚBLICA DE LA MADRE]],"MUERTE Y MORBILIDAD MATERNA EXTREMA"))</f>
        <v>0</v>
      </c>
      <c r="C136" s="43">
        <f>SUM(COUNTIFS(Tabla1[AÑO PARTO],B4,Tabla1[MES PARTO],C6,Tabla1[[ EVENTO DE INTERES EN SALUD PÚBLICA DE LA MADRE]],"MUERTE MATERNA"),COUNTIFS(Tabla1[AÑO PARTO],B4,Tabla1[MES PARTO],C6,Tabla1[[ EVENTO DE INTERES EN SALUD PÚBLICA DE LA MADRE]],"MUERTE Y MORBILIDAD MATERNA EXTREMA"))</f>
        <v>0</v>
      </c>
      <c r="D136" s="43">
        <f>SUM(COUNTIFS(Tabla1[AÑO PARTO],B4,Tabla1[MES PARTO],D6,Tabla1[[ EVENTO DE INTERES EN SALUD PÚBLICA DE LA MADRE]],"MUERTE MATERNA"),COUNTIFS(Tabla1[AÑO PARTO],B4,Tabla1[MES PARTO],D6,Tabla1[[ EVENTO DE INTERES EN SALUD PÚBLICA DE LA MADRE]],"MUERTE Y MORBILIDAD MATERNA EXTREMA"))</f>
        <v>0</v>
      </c>
      <c r="E136" s="43">
        <f>SUM(COUNTIFS(Tabla1[AÑO PARTO],B4,Tabla1[MES PARTO],E6,Tabla1[[ EVENTO DE INTERES EN SALUD PÚBLICA DE LA MADRE]],"MUERTE MATERNA"),COUNTIFS(Tabla1[AÑO PARTO],B4,Tabla1[MES PARTO],E6,Tabla1[[ EVENTO DE INTERES EN SALUD PÚBLICA DE LA MADRE]],"MUERTE Y MORBILIDAD MATERNA EXTREMA"))</f>
        <v>0</v>
      </c>
      <c r="F136" s="43">
        <f>SUM(COUNTIFS(Tabla1[AÑO PARTO],B4,Tabla1[MES PARTO],F6,Tabla1[[ EVENTO DE INTERES EN SALUD PÚBLICA DE LA MADRE]],"MUERTE MATERNA"),COUNTIFS(Tabla1[AÑO PARTO],B4,Tabla1[MES PARTO],F6,Tabla1[[ EVENTO DE INTERES EN SALUD PÚBLICA DE LA MADRE]],"MUERTE Y MORBILIDAD MATERNA EXTREMA"))</f>
        <v>0</v>
      </c>
      <c r="G136" s="43">
        <f>SUM(COUNTIFS(Tabla1[AÑO PARTO],B4,Tabla1[MES PARTO],G6,Tabla1[[ EVENTO DE INTERES EN SALUD PÚBLICA DE LA MADRE]],"MUERTE MATERNA"),COUNTIFS(Tabla1[AÑO PARTO],B4,Tabla1[MES PARTO],G6,Tabla1[[ EVENTO DE INTERES EN SALUD PÚBLICA DE LA MADRE]],"MUERTE Y MORBILIDAD MATERNA EXTREMA"))</f>
        <v>0</v>
      </c>
      <c r="H136" s="43">
        <f>SUM(COUNTIFS(Tabla1[AÑO PARTO],B4,Tabla1[MES PARTO],H6,Tabla1[[ EVENTO DE INTERES EN SALUD PÚBLICA DE LA MADRE]],"MUERTE MATERNA"),COUNTIFS(Tabla1[AÑO PARTO],B4,Tabla1[MES PARTO],H6,Tabla1[[ EVENTO DE INTERES EN SALUD PÚBLICA DE LA MADRE]],"MUERTE Y MORBILIDAD MATERNA EXTREMA"))</f>
        <v>0</v>
      </c>
      <c r="I136" s="43">
        <f>SUM(COUNTIFS(Tabla1[AÑO PARTO],B4,Tabla1[MES PARTO],I6,Tabla1[[ EVENTO DE INTERES EN SALUD PÚBLICA DE LA MADRE]],"MUERTE MATERNA"),COUNTIFS(Tabla1[AÑO PARTO],B4,Tabla1[MES PARTO],I6,Tabla1[[ EVENTO DE INTERES EN SALUD PÚBLICA DE LA MADRE]],"MUERTE Y MORBILIDAD MATERNA EXTREMA"))</f>
        <v>0</v>
      </c>
      <c r="J136" s="43">
        <f>SUM(COUNTIFS(Tabla1[AÑO PARTO],B4,Tabla1[MES PARTO],J6,Tabla1[[ EVENTO DE INTERES EN SALUD PÚBLICA DE LA MADRE]],"MUERTE MATERNA"),COUNTIFS(Tabla1[AÑO PARTO],B4,Tabla1[MES PARTO],J6,Tabla1[[ EVENTO DE INTERES EN SALUD PÚBLICA DE LA MADRE]],"MUERTE Y MORBILIDAD MATERNA EXTREMA"))</f>
        <v>0</v>
      </c>
      <c r="K136" s="43">
        <f>SUM(COUNTIFS(Tabla1[AÑO PARTO],B4,Tabla1[MES PARTO],K6,Tabla1[[ EVENTO DE INTERES EN SALUD PÚBLICA DE LA MADRE]],"MUERTE MATERNA"),COUNTIFS(Tabla1[AÑO PARTO],B4,Tabla1[MES PARTO],K6,Tabla1[[ EVENTO DE INTERES EN SALUD PÚBLICA DE LA MADRE]],"MUERTE Y MORBILIDAD MATERNA EXTREMA"))</f>
        <v>0</v>
      </c>
      <c r="L136" s="43">
        <f>SUM(COUNTIFS(Tabla1[AÑO PARTO],B4,Tabla1[MES PARTO],L6,Tabla1[[ EVENTO DE INTERES EN SALUD PÚBLICA DE LA MADRE]],"MUERTE MATERNA"),COUNTIFS(Tabla1[AÑO PARTO],B4,Tabla1[MES PARTO],L6,Tabla1[[ EVENTO DE INTERES EN SALUD PÚBLICA DE LA MADRE]],"MUERTE Y MORBILIDAD MATERNA EXTREMA"))</f>
        <v>0</v>
      </c>
      <c r="M136" s="43">
        <f>SUM(COUNTIFS(Tabla1[AÑO PARTO],B4,Tabla1[MES PARTO],M6,Tabla1[[ EVENTO DE INTERES EN SALUD PÚBLICA DE LA MADRE]],"MUERTE MATERNA"),COUNTIFS(Tabla1[AÑO PARTO],B4,Tabla1[MES PARTO],M6,Tabla1[[ EVENTO DE INTERES EN SALUD PÚBLICA DE LA MADRE]],"MUERTE Y MORBILIDAD MATERNA EXTREMA"))</f>
        <v>0</v>
      </c>
      <c r="N136" s="92">
        <f>SUM(B136:M136)</f>
        <v>0</v>
      </c>
    </row>
    <row r="137" spans="1:14" ht="15.75" thickBot="1" x14ac:dyDescent="0.3">
      <c r="A137" s="100" t="s">
        <v>415</v>
      </c>
      <c r="B137" s="419"/>
      <c r="C137" s="420"/>
      <c r="D137" s="420"/>
      <c r="E137" s="420"/>
      <c r="F137" s="420"/>
      <c r="G137" s="420"/>
      <c r="H137" s="420"/>
      <c r="I137" s="420"/>
      <c r="J137" s="420"/>
      <c r="K137" s="420"/>
      <c r="L137" s="420"/>
      <c r="M137" s="420"/>
      <c r="N137" s="141">
        <f>IF(N$128=0,"",SUM((N136/N$128)*100000))</f>
        <v>0</v>
      </c>
    </row>
    <row r="138" spans="1:14" ht="26.25" thickBot="1" x14ac:dyDescent="0.3">
      <c r="A138" s="137" t="s">
        <v>637</v>
      </c>
      <c r="B138" s="419" t="str">
        <f t="shared" ref="B138:N138" si="42">IF(B$136=0,"",SUM(B134/B136))</f>
        <v/>
      </c>
      <c r="C138" s="420" t="str">
        <f t="shared" si="42"/>
        <v/>
      </c>
      <c r="D138" s="420" t="str">
        <f t="shared" si="42"/>
        <v/>
      </c>
      <c r="E138" s="420" t="str">
        <f t="shared" si="42"/>
        <v/>
      </c>
      <c r="F138" s="420" t="str">
        <f t="shared" si="42"/>
        <v/>
      </c>
      <c r="G138" s="420" t="str">
        <f t="shared" si="42"/>
        <v/>
      </c>
      <c r="H138" s="420" t="str">
        <f t="shared" si="42"/>
        <v/>
      </c>
      <c r="I138" s="420" t="str">
        <f t="shared" si="42"/>
        <v/>
      </c>
      <c r="J138" s="420" t="str">
        <f t="shared" si="42"/>
        <v/>
      </c>
      <c r="K138" s="420" t="str">
        <f t="shared" si="42"/>
        <v/>
      </c>
      <c r="L138" s="420" t="str">
        <f t="shared" si="42"/>
        <v/>
      </c>
      <c r="M138" s="420" t="str">
        <f t="shared" si="42"/>
        <v/>
      </c>
      <c r="N138" s="140" t="str">
        <f t="shared" si="42"/>
        <v/>
      </c>
    </row>
    <row r="139" spans="1:14" ht="26.25" thickBot="1" x14ac:dyDescent="0.3">
      <c r="A139" s="42" t="s">
        <v>640</v>
      </c>
      <c r="B139" s="43">
        <f>SUM(COUNTIFS(Tabla1[AÑO PARTO],$B$4,Tabla1[MES PARTO],B6,Tabla1[[ EVENTO DE INTERES EN SALUD PÚBLICA DE LA MADRE]],"MUERTE MATERNA"),COUNTIFS(Tabla1[AÑO PARTO],$B$4,Tabla1[MES PARTO],B6,Tabla1[[ EVENTO DE INTERES EN SALUD PÚBLICA DE LA MADRE]],"MUERTE Y MORBILIDAD MATERNA EXTREMA"),COUNTIFS(Tabla1[AÑO PARTO],$B$4,Tabla1[MES PARTO],B6,Tabla1[[ EVENTO DE INTERES EN SALUD PÚBLICA DE LA MADRE]],"MORBILIDAD MATERNA EXTREMA"))</f>
        <v>0</v>
      </c>
      <c r="C139" s="43">
        <f>SUM(COUNTIFS(Tabla1[AÑO PARTO],$B$4,Tabla1[MES PARTO],C6,Tabla1[[ EVENTO DE INTERES EN SALUD PÚBLICA DE LA MADRE]],"MUERTE MATERNA"),COUNTIFS(Tabla1[AÑO PARTO],$B$4,Tabla1[MES PARTO],C6,Tabla1[[ EVENTO DE INTERES EN SALUD PÚBLICA DE LA MADRE]],"MUERTE Y MORBILIDAD MATERNA EXTREMA"),COUNTIFS(Tabla1[AÑO PARTO],$B$4,Tabla1[MES PARTO],C6,Tabla1[[ EVENTO DE INTERES EN SALUD PÚBLICA DE LA MADRE]],"MORBILIDAD MATERNA EXTREMA"))</f>
        <v>0</v>
      </c>
      <c r="D139" s="43">
        <f>SUM(COUNTIFS(Tabla1[AÑO PARTO],$B$4,Tabla1[MES PARTO],D6,Tabla1[[ EVENTO DE INTERES EN SALUD PÚBLICA DE LA MADRE]],"MUERTE MATERNA"),COUNTIFS(Tabla1[AÑO PARTO],$B$4,Tabla1[MES PARTO],D6,Tabla1[[ EVENTO DE INTERES EN SALUD PÚBLICA DE LA MADRE]],"MUERTE Y MORBILIDAD MATERNA EXTREMA"),COUNTIFS(Tabla1[AÑO PARTO],$B$4,Tabla1[MES PARTO],D6,Tabla1[[ EVENTO DE INTERES EN SALUD PÚBLICA DE LA MADRE]],"MORBILIDAD MATERNA EXTREMA"))</f>
        <v>0</v>
      </c>
      <c r="E139" s="43">
        <f>SUM(COUNTIFS(Tabla1[AÑO PARTO],$B$4,Tabla1[MES PARTO],E6,Tabla1[[ EVENTO DE INTERES EN SALUD PÚBLICA DE LA MADRE]],"MUERTE MATERNA"),COUNTIFS(Tabla1[AÑO PARTO],$B$4,Tabla1[MES PARTO],E6,Tabla1[[ EVENTO DE INTERES EN SALUD PÚBLICA DE LA MADRE]],"MUERTE Y MORBILIDAD MATERNA EXTREMA"),COUNTIFS(Tabla1[AÑO PARTO],$B$4,Tabla1[MES PARTO],E6,Tabla1[[ EVENTO DE INTERES EN SALUD PÚBLICA DE LA MADRE]],"MORBILIDAD MATERNA EXTREMA"))</f>
        <v>2</v>
      </c>
      <c r="F139" s="43">
        <f>SUM(COUNTIFS(Tabla1[AÑO PARTO],$B$4,Tabla1[MES PARTO],F6,Tabla1[[ EVENTO DE INTERES EN SALUD PÚBLICA DE LA MADRE]],"MUERTE MATERNA"),COUNTIFS(Tabla1[AÑO PARTO],$B$4,Tabla1[MES PARTO],F6,Tabla1[[ EVENTO DE INTERES EN SALUD PÚBLICA DE LA MADRE]],"MUERTE Y MORBILIDAD MATERNA EXTREMA"),COUNTIFS(Tabla1[AÑO PARTO],$B$4,Tabla1[MES PARTO],F6,Tabla1[[ EVENTO DE INTERES EN SALUD PÚBLICA DE LA MADRE]],"MORBILIDAD MATERNA EXTREMA"))</f>
        <v>0</v>
      </c>
      <c r="G139" s="43">
        <f>SUM(COUNTIFS(Tabla1[AÑO PARTO],$B$4,Tabla1[MES PARTO],G6,Tabla1[[ EVENTO DE INTERES EN SALUD PÚBLICA DE LA MADRE]],"MUERTE MATERNA"),COUNTIFS(Tabla1[AÑO PARTO],$B$4,Tabla1[MES PARTO],G6,Tabla1[[ EVENTO DE INTERES EN SALUD PÚBLICA DE LA MADRE]],"MUERTE Y MORBILIDAD MATERNA EXTREMA"),COUNTIFS(Tabla1[AÑO PARTO],$B$4,Tabla1[MES PARTO],G6,Tabla1[[ EVENTO DE INTERES EN SALUD PÚBLICA DE LA MADRE]],"MORBILIDAD MATERNA EXTREMA"))</f>
        <v>0</v>
      </c>
      <c r="H139" s="43">
        <f>SUM(COUNTIFS(Tabla1[AÑO PARTO],$B$4,Tabla1[MES PARTO],H6,Tabla1[[ EVENTO DE INTERES EN SALUD PÚBLICA DE LA MADRE]],"MUERTE MATERNA"),COUNTIFS(Tabla1[AÑO PARTO],$B$4,Tabla1[MES PARTO],H6,Tabla1[[ EVENTO DE INTERES EN SALUD PÚBLICA DE LA MADRE]],"MUERTE Y MORBILIDAD MATERNA EXTREMA"),COUNTIFS(Tabla1[AÑO PARTO],$B$4,Tabla1[MES PARTO],H6,Tabla1[[ EVENTO DE INTERES EN SALUD PÚBLICA DE LA MADRE]],"MORBILIDAD MATERNA EXTREMA"))</f>
        <v>1</v>
      </c>
      <c r="I139" s="43">
        <f>SUM(COUNTIFS(Tabla1[AÑO PARTO],$B$4,Tabla1[MES PARTO],I6,Tabla1[[ EVENTO DE INTERES EN SALUD PÚBLICA DE LA MADRE]],"MUERTE MATERNA"),COUNTIFS(Tabla1[AÑO PARTO],$B$4,Tabla1[MES PARTO],I6,Tabla1[[ EVENTO DE INTERES EN SALUD PÚBLICA DE LA MADRE]],"MUERTE Y MORBILIDAD MATERNA EXTREMA"),COUNTIFS(Tabla1[AÑO PARTO],$B$4,Tabla1[MES PARTO],I6,Tabla1[[ EVENTO DE INTERES EN SALUD PÚBLICA DE LA MADRE]],"MORBILIDAD MATERNA EXTREMA"))</f>
        <v>1</v>
      </c>
      <c r="J139" s="43">
        <f>SUM(COUNTIFS(Tabla1[AÑO PARTO],$B$4,Tabla1[MES PARTO],J6,Tabla1[[ EVENTO DE INTERES EN SALUD PÚBLICA DE LA MADRE]],"MUERTE MATERNA"),COUNTIFS(Tabla1[AÑO PARTO],$B$4,Tabla1[MES PARTO],J6,Tabla1[[ EVENTO DE INTERES EN SALUD PÚBLICA DE LA MADRE]],"MUERTE Y MORBILIDAD MATERNA EXTREMA"),COUNTIFS(Tabla1[AÑO PARTO],$B$4,Tabla1[MES PARTO],J6,Tabla1[[ EVENTO DE INTERES EN SALUD PÚBLICA DE LA MADRE]],"MORBILIDAD MATERNA EXTREMA"))</f>
        <v>0</v>
      </c>
      <c r="K139" s="43">
        <f>SUM(COUNTIFS(Tabla1[AÑO PARTO],$B$4,Tabla1[MES PARTO],K6,Tabla1[[ EVENTO DE INTERES EN SALUD PÚBLICA DE LA MADRE]],"MUERTE MATERNA"),COUNTIFS(Tabla1[AÑO PARTO],$B$4,Tabla1[MES PARTO],K6,Tabla1[[ EVENTO DE INTERES EN SALUD PÚBLICA DE LA MADRE]],"MUERTE Y MORBILIDAD MATERNA EXTREMA"),COUNTIFS(Tabla1[AÑO PARTO],$B$4,Tabla1[MES PARTO],K6,Tabla1[[ EVENTO DE INTERES EN SALUD PÚBLICA DE LA MADRE]],"MORBILIDAD MATERNA EXTREMA"))</f>
        <v>0</v>
      </c>
      <c r="L139" s="43">
        <f>SUM(COUNTIFS(Tabla1[AÑO PARTO],$B$4,Tabla1[MES PARTO],L6,Tabla1[[ EVENTO DE INTERES EN SALUD PÚBLICA DE LA MADRE]],"MUERTE MATERNA"),COUNTIFS(Tabla1[AÑO PARTO],$B$4,Tabla1[MES PARTO],L6,Tabla1[[ EVENTO DE INTERES EN SALUD PÚBLICA DE LA MADRE]],"MUERTE Y MORBILIDAD MATERNA EXTREMA"),COUNTIFS(Tabla1[AÑO PARTO],$B$4,Tabla1[MES PARTO],L6,Tabla1[[ EVENTO DE INTERES EN SALUD PÚBLICA DE LA MADRE]],"MORBILIDAD MATERNA EXTREMA"))</f>
        <v>0</v>
      </c>
      <c r="M139" s="43">
        <f>SUM(COUNTIFS(Tabla1[AÑO PARTO],$B$4,Tabla1[MES PARTO],M6,Tabla1[[ EVENTO DE INTERES EN SALUD PÚBLICA DE LA MADRE]],"MUERTE MATERNA"),COUNTIFS(Tabla1[AÑO PARTO],$B$4,Tabla1[MES PARTO],M6,Tabla1[[ EVENTO DE INTERES EN SALUD PÚBLICA DE LA MADRE]],"MUERTE Y MORBILIDAD MATERNA EXTREMA"),COUNTIFS(Tabla1[AÑO PARTO],$B$4,Tabla1[MES PARTO],M6,Tabla1[[ EVENTO DE INTERES EN SALUD PÚBLICA DE LA MADRE]],"MORBILIDAD MATERNA EXTREMA"))</f>
        <v>0</v>
      </c>
      <c r="N139" s="68">
        <f>SUM(B139:M139)</f>
        <v>4</v>
      </c>
    </row>
    <row r="140" spans="1:14" ht="15.75" thickBot="1" x14ac:dyDescent="0.3">
      <c r="A140" s="138" t="s">
        <v>638</v>
      </c>
      <c r="B140" s="413" t="str">
        <f>IF(B$139=0,"",SUM(B136/B139))</f>
        <v/>
      </c>
      <c r="C140" s="414"/>
      <c r="D140" s="414"/>
      <c r="E140" s="414"/>
      <c r="F140" s="414"/>
      <c r="G140" s="414"/>
      <c r="H140" s="414"/>
      <c r="I140" s="414"/>
      <c r="J140" s="414"/>
      <c r="K140" s="414"/>
      <c r="L140" s="414"/>
      <c r="M140" s="414"/>
      <c r="N140" s="139">
        <f>IF(N$139=0,"",SUM(N136/N139))</f>
        <v>0</v>
      </c>
    </row>
    <row r="141" spans="1:14" x14ac:dyDescent="0.25">
      <c r="A141" s="44"/>
    </row>
    <row r="143" spans="1:14" x14ac:dyDescent="0.25">
      <c r="A143" s="44" t="s">
        <v>397</v>
      </c>
      <c r="B143" s="43" t="s">
        <v>357</v>
      </c>
      <c r="C143" s="43" t="s">
        <v>358</v>
      </c>
      <c r="D143" s="43" t="s">
        <v>359</v>
      </c>
      <c r="E143" s="43" t="s">
        <v>360</v>
      </c>
      <c r="F143" s="43" t="s">
        <v>361</v>
      </c>
      <c r="G143" s="43" t="s">
        <v>362</v>
      </c>
      <c r="H143" s="43" t="s">
        <v>363</v>
      </c>
      <c r="I143" s="43" t="s">
        <v>364</v>
      </c>
      <c r="J143" s="43" t="s">
        <v>365</v>
      </c>
      <c r="K143" s="43" t="s">
        <v>366</v>
      </c>
      <c r="L143" s="43" t="s">
        <v>367</v>
      </c>
      <c r="M143" s="43" t="s">
        <v>368</v>
      </c>
      <c r="N143" s="54" t="s">
        <v>414</v>
      </c>
    </row>
    <row r="144" spans="1:14" ht="38.25" x14ac:dyDescent="0.25">
      <c r="A144" s="53" t="s">
        <v>405</v>
      </c>
      <c r="B144" s="43">
        <f>COUNTIFS(Tabla1[AÑO3 INGRESO CPN],B4,Tabla1[MES2 INGRESO CPN],B6,Tabla1[TOTAL SEGUIMIENTOS POR PARTERA],"&gt;0")</f>
        <v>0</v>
      </c>
      <c r="C144" s="43">
        <f>COUNTIFS(Tabla1[AÑO3 INGRESO CPN],B4,Tabla1[MES2 INGRESO CPN],C6,Tabla1[TOTAL SEGUIMIENTOS POR PARTERA],"&gt;0")</f>
        <v>0</v>
      </c>
      <c r="D144" s="43">
        <f>COUNTIFS(Tabla1[AÑO3 INGRESO CPN],B4,Tabla1[MES2 INGRESO CPN],D6,Tabla1[TOTAL SEGUIMIENTOS POR PARTERA],"&gt;0")</f>
        <v>0</v>
      </c>
      <c r="E144" s="43">
        <f>COUNTIFS(Tabla1[AÑO3 INGRESO CPN],B4,Tabla1[MES2 INGRESO CPN],E6,Tabla1[TOTAL SEGUIMIENTOS POR PARTERA],"&gt;0")</f>
        <v>0</v>
      </c>
      <c r="F144" s="43">
        <f>COUNTIFS(Tabla1[AÑO3 INGRESO CPN],B4,Tabla1[MES2 INGRESO CPN],F6,Tabla1[TOTAL SEGUIMIENTOS POR PARTERA],"&gt;0")</f>
        <v>0</v>
      </c>
      <c r="G144" s="43">
        <f>COUNTIFS(Tabla1[AÑO3 INGRESO CPN],B4,Tabla1[MES2 INGRESO CPN],G6,Tabla1[TOTAL SEGUIMIENTOS POR PARTERA],"&gt;0")</f>
        <v>0</v>
      </c>
      <c r="H144" s="43">
        <f>COUNTIFS(Tabla1[AÑO3 INGRESO CPN],B4,Tabla1[MES2 INGRESO CPN],H6,Tabla1[TOTAL SEGUIMIENTOS POR PARTERA],"&gt;0")</f>
        <v>0</v>
      </c>
      <c r="I144" s="43">
        <f>COUNTIFS(Tabla1[AÑO3 INGRESO CPN],B4,Tabla1[MES2 INGRESO CPN],I6,Tabla1[TOTAL SEGUIMIENTOS POR PARTERA],"&gt;0")</f>
        <v>0</v>
      </c>
      <c r="J144" s="43">
        <f>COUNTIFS(Tabla1[AÑO3 INGRESO CPN],B4,Tabla1[MES2 INGRESO CPN],J6,Tabla1[TOTAL SEGUIMIENTOS POR PARTERA],"&gt;0")</f>
        <v>0</v>
      </c>
      <c r="K144" s="43">
        <f>COUNTIFS(Tabla1[AÑO3 INGRESO CPN],B4,Tabla1[MES2 INGRESO CPN],K6,Tabla1[TOTAL SEGUIMIENTOS POR PARTERA],"&gt;0")</f>
        <v>0</v>
      </c>
      <c r="L144" s="43">
        <f>COUNTIFS(Tabla1[AÑO3 INGRESO CPN],B4,Tabla1[MES2 INGRESO CPN],L6,Tabla1[TOTAL SEGUIMIENTOS POR PARTERA],"&gt;0")</f>
        <v>0</v>
      </c>
      <c r="M144" s="43">
        <f>COUNTIFS(Tabla1[AÑO3 INGRESO CPN],B4,Tabla1[MES2 INGRESO CPN],M6,Tabla1[TOTAL SEGUIMIENTOS POR PARTERA],"&gt;0")</f>
        <v>0</v>
      </c>
      <c r="N144" s="43">
        <f>SUM(B144:M144)</f>
        <v>0</v>
      </c>
    </row>
    <row r="145" spans="1:14" ht="28.5" customHeight="1" x14ac:dyDescent="0.25">
      <c r="A145" s="51" t="s">
        <v>409</v>
      </c>
      <c r="B145" s="46">
        <f>IF(B$40=0,"",SUM(B144/B$40))</f>
        <v>0</v>
      </c>
      <c r="C145" s="46">
        <f t="shared" ref="C145:N145" si="43">IF(C40=0,"",SUM(C144/C40))</f>
        <v>0</v>
      </c>
      <c r="D145" s="46">
        <f t="shared" si="43"/>
        <v>0</v>
      </c>
      <c r="E145" s="46">
        <f t="shared" si="43"/>
        <v>0</v>
      </c>
      <c r="F145" s="46">
        <f t="shared" si="43"/>
        <v>0</v>
      </c>
      <c r="G145" s="46">
        <f t="shared" si="43"/>
        <v>0</v>
      </c>
      <c r="H145" s="46">
        <f t="shared" si="43"/>
        <v>0</v>
      </c>
      <c r="I145" s="46">
        <f t="shared" si="43"/>
        <v>0</v>
      </c>
      <c r="J145" s="46" t="str">
        <f t="shared" si="43"/>
        <v/>
      </c>
      <c r="K145" s="46" t="str">
        <f t="shared" si="43"/>
        <v/>
      </c>
      <c r="L145" s="46" t="str">
        <f t="shared" si="43"/>
        <v/>
      </c>
      <c r="M145" s="46" t="str">
        <f t="shared" si="43"/>
        <v/>
      </c>
      <c r="N145" s="46">
        <f t="shared" si="43"/>
        <v>0</v>
      </c>
    </row>
    <row r="146" spans="1:14" ht="38.25" x14ac:dyDescent="0.25">
      <c r="A146" s="53" t="s">
        <v>406</v>
      </c>
      <c r="B146" s="43">
        <f>COUNTIFS(Tabla1[AÑO3 INGRESO CPN],B4,Tabla1[MES2 INGRESO CPN],B6,Tabla1[TOTAL SEGUIMIENTOS POR MEDICINA TRADICIONAL],"&gt;0")</f>
        <v>0</v>
      </c>
      <c r="C146" s="43">
        <f>COUNTIFS(Tabla1[AÑO3 INGRESO CPN],B4,Tabla1[MES2 INGRESO CPN],C6,Tabla1[TOTAL SEGUIMIENTOS POR MEDICINA TRADICIONAL],"&gt;0")</f>
        <v>0</v>
      </c>
      <c r="D146" s="43">
        <f>COUNTIFS(Tabla1[AÑO3 INGRESO CPN],B4,Tabla1[MES2 INGRESO CPN],D6,Tabla1[TOTAL SEGUIMIENTOS POR MEDICINA TRADICIONAL],"&gt;0")</f>
        <v>0</v>
      </c>
      <c r="E146" s="43">
        <f>COUNTIFS(Tabla1[AÑO3 INGRESO CPN],B4,Tabla1[MES2 INGRESO CPN],E6,Tabla1[TOTAL SEGUIMIENTOS POR MEDICINA TRADICIONAL],"&gt;0")</f>
        <v>0</v>
      </c>
      <c r="F146" s="43">
        <f>COUNTIFS(Tabla1[AÑO3 INGRESO CPN],B4,Tabla1[MES2 INGRESO CPN],F6,Tabla1[TOTAL SEGUIMIENTOS POR MEDICINA TRADICIONAL],"&gt;0")</f>
        <v>0</v>
      </c>
      <c r="G146" s="43">
        <f>COUNTIFS(Tabla1[AÑO3 INGRESO CPN],B4,Tabla1[MES2 INGRESO CPN],G6,Tabla1[TOTAL SEGUIMIENTOS POR MEDICINA TRADICIONAL],"&gt;0")</f>
        <v>0</v>
      </c>
      <c r="H146" s="43">
        <f>COUNTIFS(Tabla1[AÑO3 INGRESO CPN],B4,Tabla1[MES2 INGRESO CPN],H6,Tabla1[TOTAL SEGUIMIENTOS POR MEDICINA TRADICIONAL],"&gt;0")</f>
        <v>0</v>
      </c>
      <c r="I146" s="43">
        <f>COUNTIFS(Tabla1[AÑO3 INGRESO CPN],B4,Tabla1[MES2 INGRESO CPN],I6,Tabla1[TOTAL SEGUIMIENTOS POR MEDICINA TRADICIONAL],"&gt;0")</f>
        <v>0</v>
      </c>
      <c r="J146" s="43">
        <f>COUNTIFS(Tabla1[AÑO3 INGRESO CPN],B4,Tabla1[MES2 INGRESO CPN],J6,Tabla1[TOTAL SEGUIMIENTOS POR MEDICINA TRADICIONAL],"&gt;0")</f>
        <v>0</v>
      </c>
      <c r="K146" s="43">
        <f>COUNTIFS(Tabla1[AÑO3 INGRESO CPN],B4,Tabla1[MES2 INGRESO CPN],K6,Tabla1[TOTAL SEGUIMIENTOS POR MEDICINA TRADICIONAL],"&gt;0")</f>
        <v>0</v>
      </c>
      <c r="L146" s="43">
        <f>COUNTIFS(Tabla1[AÑO3 INGRESO CPN],B4,Tabla1[MES2 INGRESO CPN],L6,Tabla1[TOTAL SEGUIMIENTOS POR MEDICINA TRADICIONAL],"&gt;0")</f>
        <v>0</v>
      </c>
      <c r="M146" s="43">
        <f>COUNTIFS(Tabla1[AÑO3 INGRESO CPN],B4,Tabla1[MES2 INGRESO CPN],M6,Tabla1[TOTAL SEGUIMIENTOS POR MEDICINA TRADICIONAL],"&gt;0")</f>
        <v>0</v>
      </c>
      <c r="N146" s="43">
        <f>SUM(B146:M146)</f>
        <v>0</v>
      </c>
    </row>
    <row r="147" spans="1:14" ht="30.75" customHeight="1" x14ac:dyDescent="0.25">
      <c r="A147" s="51" t="s">
        <v>410</v>
      </c>
      <c r="B147" s="46">
        <f>IF(B$40=0,"",SUM(B146/B$40))</f>
        <v>0</v>
      </c>
      <c r="C147" s="46">
        <f t="shared" ref="C147:N147" si="44">IF(C$40=0,"",SUM(C146/C$40))</f>
        <v>0</v>
      </c>
      <c r="D147" s="46">
        <f t="shared" si="44"/>
        <v>0</v>
      </c>
      <c r="E147" s="46">
        <f t="shared" si="44"/>
        <v>0</v>
      </c>
      <c r="F147" s="46">
        <f t="shared" si="44"/>
        <v>0</v>
      </c>
      <c r="G147" s="46">
        <f t="shared" si="44"/>
        <v>0</v>
      </c>
      <c r="H147" s="46">
        <f t="shared" si="44"/>
        <v>0</v>
      </c>
      <c r="I147" s="46">
        <f t="shared" si="44"/>
        <v>0</v>
      </c>
      <c r="J147" s="46" t="str">
        <f t="shared" si="44"/>
        <v/>
      </c>
      <c r="K147" s="46" t="str">
        <f t="shared" si="44"/>
        <v/>
      </c>
      <c r="L147" s="46" t="str">
        <f t="shared" si="44"/>
        <v/>
      </c>
      <c r="M147" s="46" t="str">
        <f t="shared" si="44"/>
        <v/>
      </c>
      <c r="N147" s="46">
        <f t="shared" si="44"/>
        <v>0</v>
      </c>
    </row>
    <row r="148" spans="1:14" ht="25.5" x14ac:dyDescent="0.25">
      <c r="A148" s="53" t="s">
        <v>395</v>
      </c>
      <c r="B148" s="43">
        <f>COUNTIFS(Tabla1[AÑO3 INGRESO CPN],B4,Tabla1[MES2 INGRESO CPN],B6,Tabla1[TRIMESTRE DE GESTACIÓN AL PRIMER SEGUIMIENTO POR SABEDOR],"I TRIM")</f>
        <v>0</v>
      </c>
      <c r="C148" s="43">
        <f>COUNTIFS(Tabla1[AÑO3 INGRESO CPN],B4,Tabla1[MES2 INGRESO CPN],C6,Tabla1[TRIMESTRE DE GESTACIÓN AL PRIMER SEGUIMIENTO POR SABEDOR],"I TRIM")</f>
        <v>0</v>
      </c>
      <c r="D148" s="43">
        <f>COUNTIFS(Tabla1[AÑO3 INGRESO CPN],B4,Tabla1[MES2 INGRESO CPN],D6,Tabla1[TRIMESTRE DE GESTACIÓN AL PRIMER SEGUIMIENTO POR SABEDOR],"I TRIM")</f>
        <v>0</v>
      </c>
      <c r="E148" s="43">
        <f>COUNTIFS(Tabla1[AÑO3 INGRESO CPN],B4,Tabla1[MES2 INGRESO CPN],E6,Tabla1[TRIMESTRE DE GESTACIÓN AL PRIMER SEGUIMIENTO POR SABEDOR],"I TRIM")</f>
        <v>0</v>
      </c>
      <c r="F148" s="43">
        <f>COUNTIFS(Tabla1[AÑO3 INGRESO CPN],B4,Tabla1[MES2 INGRESO CPN],F6,Tabla1[TRIMESTRE DE GESTACIÓN AL PRIMER SEGUIMIENTO POR SABEDOR],"I TRIM")</f>
        <v>0</v>
      </c>
      <c r="G148" s="43">
        <f>COUNTIFS(Tabla1[AÑO3 INGRESO CPN],B4,Tabla1[MES2 INGRESO CPN],G6,Tabla1[TRIMESTRE DE GESTACIÓN AL PRIMER SEGUIMIENTO POR SABEDOR],"I TRIM")</f>
        <v>0</v>
      </c>
      <c r="H148" s="43">
        <f>COUNTIFS(Tabla1[AÑO3 INGRESO CPN],B4,Tabla1[MES2 INGRESO CPN],H6,Tabla1[TRIMESTRE DE GESTACIÓN AL PRIMER SEGUIMIENTO POR SABEDOR],"I TRIM")</f>
        <v>0</v>
      </c>
      <c r="I148" s="43">
        <f>COUNTIFS(Tabla1[AÑO3 INGRESO CPN],B4,Tabla1[MES2 INGRESO CPN],I6,Tabla1[TRIMESTRE DE GESTACIÓN AL PRIMER SEGUIMIENTO POR SABEDOR],"I TRIM")</f>
        <v>0</v>
      </c>
      <c r="J148" s="43">
        <f>COUNTIFS(Tabla1[AÑO3 INGRESO CPN],B4,Tabla1[MES2 INGRESO CPN],J6,Tabla1[TRIMESTRE DE GESTACIÓN AL PRIMER SEGUIMIENTO POR SABEDOR],"I TRIM")</f>
        <v>0</v>
      </c>
      <c r="K148" s="43">
        <f>COUNTIFS(Tabla1[AÑO3 INGRESO CPN],B4,Tabla1[MES2 INGRESO CPN],K6,Tabla1[TRIMESTRE DE GESTACIÓN AL PRIMER SEGUIMIENTO POR SABEDOR],"I TRIM")</f>
        <v>0</v>
      </c>
      <c r="L148" s="43">
        <f>COUNTIFS(Tabla1[AÑO3 INGRESO CPN],B4,Tabla1[MES2 INGRESO CPN],L6,Tabla1[TRIMESTRE DE GESTACIÓN AL PRIMER SEGUIMIENTO POR SABEDOR],"I TRIM")</f>
        <v>0</v>
      </c>
      <c r="M148" s="43">
        <f>COUNTIFS(Tabla1[AÑO3 INGRESO CPN],B4,Tabla1[MES2 INGRESO CPN],M6,Tabla1[TRIMESTRE DE GESTACIÓN AL PRIMER SEGUIMIENTO POR SABEDOR],"I TRIM")</f>
        <v>0</v>
      </c>
      <c r="N148" s="43">
        <f>SUM(B148:M148)</f>
        <v>0</v>
      </c>
    </row>
    <row r="149" spans="1:14" ht="23.25" customHeight="1" x14ac:dyDescent="0.25">
      <c r="A149" s="51" t="s">
        <v>411</v>
      </c>
      <c r="B149" s="46">
        <f>IF(B$40=0,"",SUM(B148/B$40))</f>
        <v>0</v>
      </c>
      <c r="C149" s="46">
        <f t="shared" ref="C149:N149" si="45">IF(C$40=0,"",SUM(C148/C$40))</f>
        <v>0</v>
      </c>
      <c r="D149" s="46">
        <f t="shared" si="45"/>
        <v>0</v>
      </c>
      <c r="E149" s="46">
        <f t="shared" si="45"/>
        <v>0</v>
      </c>
      <c r="F149" s="46">
        <f t="shared" si="45"/>
        <v>0</v>
      </c>
      <c r="G149" s="46">
        <f t="shared" si="45"/>
        <v>0</v>
      </c>
      <c r="H149" s="46">
        <f t="shared" si="45"/>
        <v>0</v>
      </c>
      <c r="I149" s="46">
        <f t="shared" si="45"/>
        <v>0</v>
      </c>
      <c r="J149" s="46" t="str">
        <f t="shared" si="45"/>
        <v/>
      </c>
      <c r="K149" s="46" t="str">
        <f t="shared" si="45"/>
        <v/>
      </c>
      <c r="L149" s="46" t="str">
        <f t="shared" si="45"/>
        <v/>
      </c>
      <c r="M149" s="46" t="str">
        <f t="shared" si="45"/>
        <v/>
      </c>
      <c r="N149" s="46">
        <f t="shared" si="45"/>
        <v>0</v>
      </c>
    </row>
    <row r="150" spans="1:14" ht="25.5" x14ac:dyDescent="0.25">
      <c r="A150" s="53" t="s">
        <v>396</v>
      </c>
      <c r="B150" s="43">
        <f>COUNTIFS(Tabla1[AÑO3 INGRESO CPN],B4,Tabla1[MES2 INGRESO CPN],B6,Tabla1[TRIMESTRE DE GESTACIÓN AL PRIMER SEGUIMIENTO POR SABEDOR],"II TRIM")</f>
        <v>0</v>
      </c>
      <c r="C150" s="43">
        <f>COUNTIFS(Tabla1[AÑO3 INGRESO CPN],B4,Tabla1[MES2 INGRESO CPN],C6,Tabla1[TRIMESTRE DE GESTACIÓN AL PRIMER SEGUIMIENTO POR SABEDOR],"II TRIM")</f>
        <v>0</v>
      </c>
      <c r="D150" s="43">
        <f>COUNTIFS(Tabla1[AÑO3 INGRESO CPN],B4,Tabla1[MES2 INGRESO CPN],D6,Tabla1[TRIMESTRE DE GESTACIÓN AL PRIMER SEGUIMIENTO POR SABEDOR],"II TRIM")</f>
        <v>0</v>
      </c>
      <c r="E150" s="43">
        <f>COUNTIFS(Tabla1[AÑO3 INGRESO CPN],B4,Tabla1[MES2 INGRESO CPN],E6,Tabla1[TRIMESTRE DE GESTACIÓN AL PRIMER SEGUIMIENTO POR SABEDOR],"II TRIM")</f>
        <v>0</v>
      </c>
      <c r="F150" s="43">
        <f>COUNTIFS(Tabla1[AÑO3 INGRESO CPN],B4,Tabla1[MES2 INGRESO CPN],F6,Tabla1[TRIMESTRE DE GESTACIÓN AL PRIMER SEGUIMIENTO POR SABEDOR],"II TRIM")</f>
        <v>0</v>
      </c>
      <c r="G150" s="43">
        <f>COUNTIFS(Tabla1[AÑO3 INGRESO CPN],B4,Tabla1[MES2 INGRESO CPN],G6,Tabla1[TRIMESTRE DE GESTACIÓN AL PRIMER SEGUIMIENTO POR SABEDOR],"II TRIM")</f>
        <v>0</v>
      </c>
      <c r="H150" s="43">
        <f>COUNTIFS(Tabla1[AÑO3 INGRESO CPN],B4,Tabla1[MES2 INGRESO CPN],H6,Tabla1[TRIMESTRE DE GESTACIÓN AL PRIMER SEGUIMIENTO POR SABEDOR],"II TRIM")</f>
        <v>0</v>
      </c>
      <c r="I150" s="43">
        <f>COUNTIFS(Tabla1[AÑO3 INGRESO CPN],B4,Tabla1[MES2 INGRESO CPN],I6,Tabla1[TRIMESTRE DE GESTACIÓN AL PRIMER SEGUIMIENTO POR SABEDOR],"II TRIM")</f>
        <v>0</v>
      </c>
      <c r="J150" s="43">
        <f>COUNTIFS(Tabla1[AÑO3 INGRESO CPN],B4,Tabla1[MES2 INGRESO CPN],J6,Tabla1[TRIMESTRE DE GESTACIÓN AL PRIMER SEGUIMIENTO POR SABEDOR],"II TRIM")</f>
        <v>0</v>
      </c>
      <c r="K150" s="43">
        <f>COUNTIFS(Tabla1[AÑO3 INGRESO CPN],B4,Tabla1[MES2 INGRESO CPN],K6,Tabla1[TRIMESTRE DE GESTACIÓN AL PRIMER SEGUIMIENTO POR SABEDOR],"II TRIM")</f>
        <v>0</v>
      </c>
      <c r="L150" s="43">
        <f>COUNTIFS(Tabla1[AÑO3 INGRESO CPN],B4,Tabla1[MES2 INGRESO CPN],L6,Tabla1[TRIMESTRE DE GESTACIÓN AL PRIMER SEGUIMIENTO POR SABEDOR],"II TRIM")</f>
        <v>0</v>
      </c>
      <c r="M150" s="43">
        <f>COUNTIFS(Tabla1[AÑO3 INGRESO CPN],B4,Tabla1[MES2 INGRESO CPN],M6,Tabla1[TRIMESTRE DE GESTACIÓN AL PRIMER SEGUIMIENTO POR SABEDOR],"II TRIM")</f>
        <v>0</v>
      </c>
      <c r="N150" s="43">
        <f>SUM(B150:M150)</f>
        <v>0</v>
      </c>
    </row>
    <row r="151" spans="1:14" ht="25.5" x14ac:dyDescent="0.25">
      <c r="A151" s="51" t="s">
        <v>412</v>
      </c>
      <c r="B151" s="46">
        <f>IF(B$40=0,"",SUM(B150/B$40))</f>
        <v>0</v>
      </c>
      <c r="C151" s="46">
        <f t="shared" ref="C151:N151" si="46">IF(C$40=0,"",SUM(C150/C$40))</f>
        <v>0</v>
      </c>
      <c r="D151" s="46">
        <f t="shared" si="46"/>
        <v>0</v>
      </c>
      <c r="E151" s="46">
        <f t="shared" si="46"/>
        <v>0</v>
      </c>
      <c r="F151" s="46">
        <f t="shared" si="46"/>
        <v>0</v>
      </c>
      <c r="G151" s="46">
        <f t="shared" si="46"/>
        <v>0</v>
      </c>
      <c r="H151" s="46">
        <f t="shared" si="46"/>
        <v>0</v>
      </c>
      <c r="I151" s="46">
        <f t="shared" si="46"/>
        <v>0</v>
      </c>
      <c r="J151" s="46" t="str">
        <f t="shared" si="46"/>
        <v/>
      </c>
      <c r="K151" s="46" t="str">
        <f t="shared" si="46"/>
        <v/>
      </c>
      <c r="L151" s="46" t="str">
        <f t="shared" si="46"/>
        <v/>
      </c>
      <c r="M151" s="46" t="str">
        <f t="shared" si="46"/>
        <v/>
      </c>
      <c r="N151" s="46">
        <f t="shared" si="46"/>
        <v>0</v>
      </c>
    </row>
    <row r="152" spans="1:14" ht="25.5" x14ac:dyDescent="0.25">
      <c r="A152" s="53" t="s">
        <v>408</v>
      </c>
      <c r="B152" s="43">
        <f>COUNTIFS(Tabla1[AÑO3 INGRESO CPN],B4,Tabla1[MES2 INGRESO CPN],B6,Tabla1[TRIMESTRE DE GESTACIÓN AL PRIMER SEGUIMIENTO POR SABEDOR],"III TRIM")</f>
        <v>0</v>
      </c>
      <c r="C152" s="43">
        <f>COUNTIFS(Tabla1[AÑO3 INGRESO CPN],B4,Tabla1[MES2 INGRESO CPN],C6,Tabla1[TRIMESTRE DE GESTACIÓN AL PRIMER SEGUIMIENTO POR SABEDOR],"III TRIM")</f>
        <v>0</v>
      </c>
      <c r="D152" s="43">
        <f>COUNTIFS(Tabla1[AÑO3 INGRESO CPN],B4,Tabla1[MES2 INGRESO CPN],D6,Tabla1[TRIMESTRE DE GESTACIÓN AL PRIMER SEGUIMIENTO POR SABEDOR],"III TRIM")</f>
        <v>0</v>
      </c>
      <c r="E152" s="43">
        <f>COUNTIFS(Tabla1[AÑO3 INGRESO CPN],B4,Tabla1[MES2 INGRESO CPN],E6,Tabla1[TRIMESTRE DE GESTACIÓN AL PRIMER SEGUIMIENTO POR SABEDOR],"III TRIM")</f>
        <v>0</v>
      </c>
      <c r="F152" s="43">
        <f>COUNTIFS(Tabla1[AÑO3 INGRESO CPN],B4,Tabla1[MES2 INGRESO CPN],F6,Tabla1[TRIMESTRE DE GESTACIÓN AL PRIMER SEGUIMIENTO POR SABEDOR],"III TRIM")</f>
        <v>0</v>
      </c>
      <c r="G152" s="43">
        <f>COUNTIFS(Tabla1[AÑO3 INGRESO CPN],B4,Tabla1[MES2 INGRESO CPN],G6,Tabla1[TRIMESTRE DE GESTACIÓN AL PRIMER SEGUIMIENTO POR SABEDOR],"III TRIM")</f>
        <v>0</v>
      </c>
      <c r="H152" s="43">
        <f>COUNTIFS(Tabla1[AÑO3 INGRESO CPN],B4,Tabla1[MES2 INGRESO CPN],H6,Tabla1[TRIMESTRE DE GESTACIÓN AL PRIMER SEGUIMIENTO POR SABEDOR],"III TRIM")</f>
        <v>0</v>
      </c>
      <c r="I152" s="43">
        <f>COUNTIFS(Tabla1[AÑO3 INGRESO CPN],B4,Tabla1[MES2 INGRESO CPN],I6,Tabla1[TRIMESTRE DE GESTACIÓN AL PRIMER SEGUIMIENTO POR SABEDOR],"III TRIM")</f>
        <v>0</v>
      </c>
      <c r="J152" s="43">
        <f>COUNTIFS(Tabla1[AÑO3 INGRESO CPN],B4,Tabla1[MES2 INGRESO CPN],J6,Tabla1[TRIMESTRE DE GESTACIÓN AL PRIMER SEGUIMIENTO POR SABEDOR],"III TRIM")</f>
        <v>0</v>
      </c>
      <c r="K152" s="43">
        <f>COUNTIFS(Tabla1[AÑO3 INGRESO CPN],B4,Tabla1[MES2 INGRESO CPN],K6,Tabla1[TRIMESTRE DE GESTACIÓN AL PRIMER SEGUIMIENTO POR SABEDOR],"III TRIM")</f>
        <v>0</v>
      </c>
      <c r="L152" s="43">
        <f>COUNTIFS(Tabla1[AÑO3 INGRESO CPN],B4,Tabla1[MES2 INGRESO CPN],L6,Tabla1[TRIMESTRE DE GESTACIÓN AL PRIMER SEGUIMIENTO POR SABEDOR],"III TRIM")</f>
        <v>0</v>
      </c>
      <c r="M152" s="43">
        <f>COUNTIFS(Tabla1[AÑO3 INGRESO CPN],B4,Tabla1[MES2 INGRESO CPN],M6,Tabla1[TRIMESTRE DE GESTACIÓN AL PRIMER SEGUIMIENTO POR SABEDOR],"III TRIM")</f>
        <v>0</v>
      </c>
      <c r="N152" s="43">
        <f>SUM(B152:M152)</f>
        <v>0</v>
      </c>
    </row>
    <row r="153" spans="1:14" ht="25.5" x14ac:dyDescent="0.25">
      <c r="A153" s="51" t="s">
        <v>413</v>
      </c>
      <c r="B153" s="46">
        <f>IF(B$40=0,"",SUM(B152/B$40))</f>
        <v>0</v>
      </c>
      <c r="C153" s="46">
        <f t="shared" ref="C153:N153" si="47">IF(C$40=0,"",SUM(C152/C$40))</f>
        <v>0</v>
      </c>
      <c r="D153" s="46">
        <f t="shared" si="47"/>
        <v>0</v>
      </c>
      <c r="E153" s="46">
        <f t="shared" si="47"/>
        <v>0</v>
      </c>
      <c r="F153" s="46">
        <f t="shared" si="47"/>
        <v>0</v>
      </c>
      <c r="G153" s="46">
        <f t="shared" si="47"/>
        <v>0</v>
      </c>
      <c r="H153" s="46">
        <f t="shared" si="47"/>
        <v>0</v>
      </c>
      <c r="I153" s="46">
        <f t="shared" si="47"/>
        <v>0</v>
      </c>
      <c r="J153" s="46" t="str">
        <f t="shared" si="47"/>
        <v/>
      </c>
      <c r="K153" s="46" t="str">
        <f t="shared" si="47"/>
        <v/>
      </c>
      <c r="L153" s="46" t="str">
        <f t="shared" si="47"/>
        <v/>
      </c>
      <c r="M153" s="46" t="str">
        <f t="shared" si="47"/>
        <v/>
      </c>
      <c r="N153" s="46">
        <f t="shared" si="47"/>
        <v>0</v>
      </c>
    </row>
  </sheetData>
  <protectedRanges>
    <protectedRange algorithmName="SHA-512" hashValue="KHhv3JU/LRdRrRTxxkgFceEHPZ5UzadmpZRZR3zmQRnPvkUJZuanRafIJ+qde0IWwLZSvFIQDyUAHq6v6k7XIg==" saltValue="2GKG1kCzVNNcn+vbOPuhJA==" spinCount="100000" sqref="A33" name="Rango2_2_5"/>
    <protectedRange algorithmName="SHA-512" hashValue="NUll9P9xh7KbSfMYpMxsRZLfDw/y/AzW2LSWlpXVscBDqiAxmzo71xjs+a2lh+jRa7pceOC849slke4+ZKx8LA==" saltValue="8qbkKpQ+CiQuLnqgShNvXA==" spinCount="100000" sqref="A13" name="Rango2_88_6"/>
  </protectedRanges>
  <mergeCells count="30">
    <mergeCell ref="B140:M140"/>
    <mergeCell ref="N35:N36"/>
    <mergeCell ref="B133:M133"/>
    <mergeCell ref="B135:M135"/>
    <mergeCell ref="B137:M137"/>
    <mergeCell ref="B138:M138"/>
    <mergeCell ref="C14:C15"/>
    <mergeCell ref="C17:C18"/>
    <mergeCell ref="E14:E15"/>
    <mergeCell ref="B13:C13"/>
    <mergeCell ref="D13:E13"/>
    <mergeCell ref="E17:E18"/>
    <mergeCell ref="B16:C16"/>
    <mergeCell ref="D16:E16"/>
    <mergeCell ref="B19:C19"/>
    <mergeCell ref="D19:E19"/>
    <mergeCell ref="C20:C21"/>
    <mergeCell ref="E20:E21"/>
    <mergeCell ref="B22:C22"/>
    <mergeCell ref="D22:E22"/>
    <mergeCell ref="B28:C28"/>
    <mergeCell ref="D28:E28"/>
    <mergeCell ref="C29:C30"/>
    <mergeCell ref="E29:E30"/>
    <mergeCell ref="C23:C24"/>
    <mergeCell ref="E23:E24"/>
    <mergeCell ref="B25:C25"/>
    <mergeCell ref="D25:E25"/>
    <mergeCell ref="C26:C27"/>
    <mergeCell ref="E26:E27"/>
  </mergeCells>
  <conditionalFormatting sqref="A33">
    <cfRule type="containsText" dxfId="5255" priority="45" operator="containsText" text="SE TRASLADO DE EPS">
      <formula>NOT(ISERROR(SEARCH("SE TRASLADO DE EPS",A33)))</formula>
    </cfRule>
    <cfRule type="containsText" dxfId="5254" priority="46" operator="containsText" text="INMIGRANTE VENEZOLANA">
      <formula>NOT(ISERROR(SEARCH("INMIGRANTE VENEZOLANA",A33)))</formula>
    </cfRule>
    <cfRule type="containsText" dxfId="5253" priority="47" operator="containsText" text="SIN AFILIACIÓN A EPS">
      <formula>NOT(ISERROR(SEARCH("SIN AFILIACIÓN A EPS",A33)))</formula>
    </cfRule>
    <cfRule type="containsText" dxfId="5252" priority="48" operator="containsText" text="NOVEDAD">
      <formula>NOT(ISERROR(SEARCH("NOVEDAD",A33)))</formula>
    </cfRule>
    <cfRule type="containsText" dxfId="5251" priority="49" operator="containsText" text="IDENTIDAD">
      <formula>NOT(ISERROR(SEARCH("IDENTIDAD",A33)))</formula>
    </cfRule>
    <cfRule type="containsText" dxfId="5250" priority="50" operator="containsText" text="CPN">
      <formula>NOT(ISERROR(SEARCH("CPN",A33)))</formula>
    </cfRule>
    <cfRule type="containsText" dxfId="5249" priority="51" operator="containsText" text="VIENE">
      <formula>NOT(ISERROR(SEARCH("VIENE",A33)))</formula>
    </cfRule>
    <cfRule type="cellIs" dxfId="5248" priority="52" operator="equal">
      <formula>"TRAMITE DE PORTABILIDAD"</formula>
    </cfRule>
  </conditionalFormatting>
  <conditionalFormatting sqref="A39">
    <cfRule type="containsText" dxfId="5247" priority="9" operator="containsText" text="SE TRASLADO DE EPS">
      <formula>NOT(ISERROR(SEARCH("SE TRASLADO DE EPS",A39)))</formula>
    </cfRule>
    <cfRule type="containsText" dxfId="5246" priority="10" operator="containsText" text="INMIGRANTE VENEZOLANA">
      <formula>NOT(ISERROR(SEARCH("INMIGRANTE VENEZOLANA",A39)))</formula>
    </cfRule>
    <cfRule type="containsText" dxfId="5245" priority="11" operator="containsText" text="SIN AFILIACIÓN A EPS">
      <formula>NOT(ISERROR(SEARCH("SIN AFILIACIÓN A EPS",A39)))</formula>
    </cfRule>
    <cfRule type="containsText" dxfId="5244" priority="12" operator="containsText" text="NOVEDAD">
      <formula>NOT(ISERROR(SEARCH("NOVEDAD",A39)))</formula>
    </cfRule>
    <cfRule type="containsText" dxfId="5243" priority="13" operator="containsText" text="IDENTIDAD">
      <formula>NOT(ISERROR(SEARCH("IDENTIDAD",A39)))</formula>
    </cfRule>
    <cfRule type="containsText" dxfId="5242" priority="14" operator="containsText" text="CPN">
      <formula>NOT(ISERROR(SEARCH("CPN",A39)))</formula>
    </cfRule>
    <cfRule type="containsText" dxfId="5241" priority="15" operator="containsText" text="VIENE">
      <formula>NOT(ISERROR(SEARCH("VIENE",A39)))</formula>
    </cfRule>
    <cfRule type="cellIs" dxfId="5240" priority="16" operator="equal">
      <formula>"TRAMITE DE PORTABILIDAD"</formula>
    </cfRule>
  </conditionalFormatting>
  <dataValidations disablePrompts="1" count="2">
    <dataValidation type="list" allowBlank="1" showInputMessage="1" showErrorMessage="1" sqref="A33" xr:uid="{00000000-0002-0000-0100-000000000000}">
      <formula1>"CPN OTRA IPS,VIENE DE OTRO MUNICIPIO,VIENE DE OTRO DPTO,SE TRASLADO DE EPS,TRAMITE DE PORTABILIDAD,SIN DOCUMENTO IDENTIDAD,SIN AFILIACIÓN A EPS,POBLACIÓN INMIGRANTE,SIN NOVEDAD"</formula1>
    </dataValidation>
    <dataValidation type="list" allowBlank="1" showInputMessage="1" showErrorMessage="1" sqref="A13" xr:uid="{00000000-0002-0000-0100-000001000000}">
      <formula1>"AIC, ASMET SALUD, CAJA COMPENSACION HUILA, CAPITAL SALUD, COMFENALCO, COMPENSAR, Contrato Particular, COOMEVA, COOSALUD, COSMITET, EJERCITO, EMSSANAR, MALLAMAS, NUEVA EPS, OTRO, POLICIA, PPNA, SANITAS, SOS, SURA, UNIDAD DE SALUD UNICAUCA"</formula1>
    </dataValidation>
  </dataValidations>
  <pageMargins left="0.7" right="0.7" top="0.75" bottom="0.75" header="0.3" footer="0.3"/>
  <pageSetup paperSize="9" orientation="portrait" r:id="rId1"/>
  <ignoredErrors>
    <ignoredError sqref="B75:N75 D14 D17 D20 D23 D26 D29 N39 N42 N44 N47 N49 N52 N54 N57 N59 N64 N62 N66 N68:N71 B69:M69 B71:M71 N72:N73 B73:M73 N74 N76:N77 B77:M77 B79:N79 N78 B83:N83 N81 N80 N82 N86 N88 N95 N99 N97 N101 B102:M102 B100 N103 N105 N108 N111 N116 N118 N120 N122 N124 N127 N131 N133 N135 N145 N147 B148:M148 B146 N149 N151 B150:M150 B152:M152 B81:E81 F81:M81" formula="1"/>
  </ignoredError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1">
    <tabColor rgb="FF66FF66"/>
  </sheetPr>
  <dimension ref="A1:RY248"/>
  <sheetViews>
    <sheetView tabSelected="1" zoomScale="70" zoomScaleNormal="70" zoomScaleSheetLayoutView="76" workbookViewId="0">
      <pane ySplit="2" topLeftCell="A234" activePane="bottomLeft" state="frozen"/>
      <selection pane="bottomLeft" activeCell="D241" sqref="D241"/>
    </sheetView>
  </sheetViews>
  <sheetFormatPr baseColWidth="10" defaultColWidth="11.42578125" defaultRowHeight="15" x14ac:dyDescent="0.25"/>
  <cols>
    <col min="1" max="1" width="20.140625" style="1" customWidth="1"/>
    <col min="2" max="2" width="28.7109375" style="1" customWidth="1"/>
    <col min="3" max="3" width="23.42578125" style="1" customWidth="1"/>
    <col min="4" max="4" width="22.28515625" style="1" customWidth="1"/>
    <col min="5" max="5" width="13.7109375" style="1" customWidth="1"/>
    <col min="6" max="6" width="15.140625" style="1" customWidth="1"/>
    <col min="7" max="8" width="14.5703125" style="1" customWidth="1"/>
    <col min="9" max="9" width="16.85546875" style="1" customWidth="1"/>
    <col min="10" max="10" width="19.28515625" style="1" customWidth="1"/>
    <col min="11" max="11" width="17" style="1" customWidth="1"/>
    <col min="12" max="12" width="22.28515625" style="1" customWidth="1"/>
    <col min="13" max="13" width="16.7109375" style="1" customWidth="1"/>
    <col min="14" max="14" width="12.7109375" style="1" customWidth="1"/>
    <col min="15" max="15" width="22" style="1" customWidth="1"/>
    <col min="16" max="16" width="17" style="1" customWidth="1"/>
    <col min="17" max="17" width="28.28515625" style="1" customWidth="1"/>
    <col min="18" max="18" width="16.7109375" style="4" customWidth="1"/>
    <col min="19" max="19" width="13.42578125" style="1" customWidth="1"/>
    <col min="20" max="20" width="18.42578125" style="1" customWidth="1"/>
    <col min="21" max="21" width="15.42578125" style="1" customWidth="1"/>
    <col min="22" max="22" width="18" style="1" customWidth="1"/>
    <col min="23" max="23" width="15.7109375" style="1" customWidth="1"/>
    <col min="24" max="24" width="18.5703125" style="1" customWidth="1"/>
    <col min="25" max="25" width="27.5703125" style="1" customWidth="1"/>
    <col min="26" max="26" width="19.85546875" style="1" customWidth="1"/>
    <col min="27" max="27" width="17.42578125" style="1" customWidth="1"/>
    <col min="28" max="28" width="18.28515625" style="1" customWidth="1"/>
    <col min="29" max="29" width="19.42578125" style="1" customWidth="1"/>
    <col min="30" max="30" width="14.42578125" style="1" customWidth="1"/>
    <col min="31" max="31" width="19" style="1" customWidth="1"/>
    <col min="32" max="32" width="14.28515625" style="1" customWidth="1"/>
    <col min="33" max="33" width="12.5703125" style="1" customWidth="1"/>
    <col min="34" max="34" width="17" style="1" customWidth="1"/>
    <col min="35" max="35" width="19.28515625" style="1" customWidth="1"/>
    <col min="36" max="36" width="14.42578125" style="1" customWidth="1"/>
    <col min="37" max="37" width="13" style="1" customWidth="1"/>
    <col min="38" max="38" width="22.5703125" style="1" customWidth="1"/>
    <col min="39" max="39" width="21.28515625" style="1" customWidth="1"/>
    <col min="40" max="41" width="18.28515625" style="1" customWidth="1"/>
    <col min="42" max="42" width="12.5703125" style="1" customWidth="1"/>
    <col min="43" max="43" width="15.42578125" style="1" customWidth="1"/>
    <col min="44" max="44" width="14.28515625" style="1" customWidth="1"/>
    <col min="45" max="45" width="13.7109375" style="1" customWidth="1"/>
    <col min="46" max="46" width="14.7109375" style="1" customWidth="1"/>
    <col min="47" max="47" width="11.42578125" style="1" customWidth="1"/>
    <col min="48" max="48" width="13.7109375" style="1" customWidth="1"/>
    <col min="49" max="49" width="12.42578125" style="1" customWidth="1"/>
    <col min="50" max="50" width="18.28515625" style="1" customWidth="1"/>
    <col min="51" max="51" width="20.28515625" style="1" customWidth="1"/>
    <col min="52" max="52" width="14.42578125" style="1" customWidth="1"/>
    <col min="53" max="55" width="14.5703125" style="1" customWidth="1"/>
    <col min="56" max="60" width="12.42578125" style="1" customWidth="1"/>
    <col min="61" max="62" width="19.28515625" style="1" customWidth="1"/>
    <col min="63" max="65" width="14.28515625" style="1" customWidth="1"/>
    <col min="66" max="66" width="15.7109375" style="4" customWidth="1"/>
    <col min="67" max="67" width="12.42578125" style="1" customWidth="1"/>
    <col min="68" max="68" width="10.7109375" style="4" customWidth="1"/>
    <col min="69" max="69" width="12.7109375" style="4" customWidth="1"/>
    <col min="70" max="70" width="13.28515625" style="4" customWidth="1"/>
    <col min="71" max="71" width="13.28515625" style="1" customWidth="1"/>
    <col min="72" max="72" width="14.7109375" style="1" customWidth="1"/>
    <col min="73" max="73" width="14.28515625" style="1" customWidth="1"/>
    <col min="74" max="74" width="21.140625" style="1" customWidth="1"/>
    <col min="75" max="75" width="17" style="1" customWidth="1"/>
    <col min="76" max="76" width="17" style="4" customWidth="1"/>
    <col min="77" max="77" width="19.85546875" style="4" customWidth="1"/>
    <col min="78" max="79" width="17" style="4" customWidth="1"/>
    <col min="80" max="83" width="20" style="4" customWidth="1"/>
    <col min="84" max="84" width="21.7109375" style="4" customWidth="1"/>
    <col min="85" max="85" width="10.28515625" style="4" customWidth="1"/>
    <col min="86" max="86" width="16.42578125" style="1" customWidth="1"/>
    <col min="87" max="87" width="8.7109375" style="1" customWidth="1"/>
    <col min="88" max="88" width="16.5703125" style="1" customWidth="1"/>
    <col min="89" max="89" width="14.42578125" style="1" customWidth="1"/>
    <col min="90" max="90" width="17.140625" style="4" customWidth="1"/>
    <col min="91" max="91" width="8.7109375" style="1" customWidth="1"/>
    <col min="92" max="92" width="11.42578125" style="1" customWidth="1"/>
    <col min="93" max="95" width="17.28515625" style="1" customWidth="1"/>
    <col min="96" max="97" width="13.42578125" style="1" customWidth="1"/>
    <col min="98" max="98" width="14.5703125" style="1" customWidth="1"/>
    <col min="99" max="99" width="11.28515625" style="1" customWidth="1"/>
    <col min="100" max="100" width="10.5703125" style="1" customWidth="1"/>
    <col min="101" max="101" width="19.7109375" style="1" customWidth="1"/>
    <col min="102" max="103" width="11.5703125" style="1" customWidth="1"/>
    <col min="104" max="104" width="16.7109375" style="1" customWidth="1"/>
    <col min="105" max="105" width="13.7109375" style="1" customWidth="1"/>
    <col min="106" max="106" width="15.28515625" style="1" customWidth="1"/>
    <col min="107" max="107" width="21.28515625" style="1" customWidth="1"/>
    <col min="108" max="108" width="18.42578125" style="1" customWidth="1"/>
    <col min="109" max="109" width="17.28515625" style="1" customWidth="1"/>
    <col min="110" max="110" width="11.42578125" style="1" customWidth="1"/>
    <col min="111" max="121" width="11.42578125" style="4" customWidth="1"/>
    <col min="122" max="122" width="13.28515625" style="4" customWidth="1"/>
    <col min="123" max="123" width="14.7109375" style="4" customWidth="1"/>
    <col min="124" max="124" width="15.5703125" style="4" customWidth="1"/>
    <col min="125" max="125" width="17" style="1" customWidth="1"/>
    <col min="126" max="126" width="15.5703125" style="4" customWidth="1"/>
    <col min="127" max="127" width="13.5703125" style="4" customWidth="1"/>
    <col min="128" max="128" width="19.28515625" style="4" customWidth="1"/>
    <col min="129" max="130" width="11.42578125" style="4" customWidth="1"/>
    <col min="131" max="133" width="13.7109375" style="1" customWidth="1"/>
    <col min="134" max="134" width="12.28515625" style="1" customWidth="1"/>
    <col min="135" max="135" width="17.5703125" style="4" customWidth="1"/>
    <col min="136" max="136" width="17.7109375" style="4" customWidth="1"/>
    <col min="137" max="137" width="15" style="4" customWidth="1"/>
    <col min="138" max="138" width="16.7109375" style="4" customWidth="1"/>
    <col min="139" max="139" width="15.5703125" style="4" customWidth="1"/>
    <col min="140" max="140" width="19.28515625" style="4" customWidth="1"/>
    <col min="141" max="141" width="15.42578125" style="4" customWidth="1"/>
    <col min="142" max="142" width="13" style="4" customWidth="1"/>
    <col min="143" max="143" width="21.28515625" style="1" customWidth="1"/>
    <col min="144" max="144" width="15.7109375" style="4" customWidth="1"/>
    <col min="145" max="145" width="12.5703125" style="1" customWidth="1"/>
    <col min="146" max="146" width="19.42578125" style="1" customWidth="1"/>
    <col min="147" max="147" width="19" style="1" customWidth="1"/>
    <col min="148" max="148" width="20.7109375" style="1" customWidth="1"/>
    <col min="149" max="149" width="18" style="1" customWidth="1"/>
    <col min="150" max="150" width="15.7109375" style="1" customWidth="1"/>
    <col min="151" max="151" width="12.7109375" style="1" customWidth="1"/>
    <col min="152" max="153" width="26.85546875" style="1" customWidth="1"/>
    <col min="154" max="154" width="22.28515625" style="4" customWidth="1"/>
    <col min="155" max="155" width="23.28515625" style="5" customWidth="1"/>
    <col min="156" max="156" width="24.7109375" style="1" customWidth="1"/>
    <col min="157" max="157" width="18.28515625" style="1" customWidth="1"/>
    <col min="158" max="158" width="16.7109375" style="4" customWidth="1"/>
    <col min="159" max="159" width="16.7109375" style="1" customWidth="1"/>
    <col min="160" max="160" width="20.28515625" style="1" customWidth="1"/>
    <col min="161" max="161" width="18.42578125" style="1" customWidth="1"/>
    <col min="162" max="162" width="20.28515625" style="1" customWidth="1"/>
    <col min="163" max="163" width="21.28515625" style="1" customWidth="1"/>
    <col min="164" max="164" width="15.7109375" style="1" customWidth="1"/>
    <col min="165" max="165" width="25.5703125" style="1" customWidth="1"/>
    <col min="166" max="166" width="21.7109375" style="1" customWidth="1"/>
    <col min="167" max="167" width="21.7109375" style="4" customWidth="1"/>
    <col min="168" max="168" width="15.28515625" style="1" customWidth="1"/>
    <col min="169" max="169" width="20.42578125" style="1" customWidth="1"/>
    <col min="170" max="170" width="22" style="1" customWidth="1"/>
    <col min="171" max="171" width="17.28515625" style="1" customWidth="1"/>
    <col min="172" max="172" width="17.5703125" style="1" customWidth="1"/>
    <col min="173" max="173" width="20.28515625" style="1" customWidth="1"/>
    <col min="174" max="174" width="16.42578125" style="1" customWidth="1"/>
    <col min="175" max="175" width="19.28515625" style="1" customWidth="1"/>
    <col min="176" max="176" width="20.42578125" style="1" customWidth="1"/>
    <col min="177" max="177" width="16.7109375" style="1" customWidth="1"/>
    <col min="178" max="178" width="19.28515625" style="4" customWidth="1"/>
    <col min="179" max="179" width="20.7109375" style="1" customWidth="1"/>
    <col min="180" max="180" width="14.7109375" style="1" customWidth="1"/>
    <col min="181" max="181" width="18.28515625" style="1" customWidth="1"/>
    <col min="182" max="182" width="20.7109375" style="16" customWidth="1"/>
    <col min="183" max="183" width="15.28515625" style="1" customWidth="1"/>
    <col min="184" max="184" width="17.28515625" style="1" customWidth="1"/>
    <col min="185" max="185" width="17.28515625" style="4" customWidth="1"/>
    <col min="186" max="186" width="14.42578125" style="4" customWidth="1"/>
    <col min="187" max="188" width="17.28515625" style="1" customWidth="1"/>
    <col min="189" max="189" width="15.28515625" style="1" customWidth="1"/>
    <col min="190" max="192" width="22.7109375" style="1" customWidth="1"/>
    <col min="193" max="193" width="30.28515625" style="1" customWidth="1"/>
    <col min="194" max="194" width="18.28515625" style="1" customWidth="1"/>
    <col min="195" max="195" width="24.7109375" style="1" customWidth="1"/>
    <col min="196" max="196" width="14.5703125" style="1" customWidth="1"/>
    <col min="197" max="197" width="14.5703125" style="4" customWidth="1"/>
    <col min="198" max="198" width="15.5703125" style="1" customWidth="1"/>
    <col min="199" max="200" width="14.5703125" style="1" customWidth="1"/>
    <col min="201" max="201" width="16.28515625" style="1" customWidth="1"/>
    <col min="202" max="202" width="14.5703125" style="4" customWidth="1"/>
    <col min="203" max="203" width="15.7109375" style="1" customWidth="1"/>
    <col min="204" max="204" width="17.28515625" style="1" customWidth="1"/>
    <col min="205" max="205" width="16.42578125" style="1" customWidth="1"/>
    <col min="206" max="207" width="21" style="1" customWidth="1"/>
    <col min="208" max="212" width="23" style="1" customWidth="1"/>
    <col min="213" max="213" width="25.28515625" style="1" customWidth="1"/>
    <col min="214" max="214" width="32.28515625" style="1" customWidth="1"/>
    <col min="215" max="215" width="28.28515625" style="4" customWidth="1"/>
    <col min="216" max="216" width="39.7109375" style="4" customWidth="1"/>
    <col min="217" max="217" width="24.28515625" style="4" customWidth="1"/>
    <col min="218" max="218" width="40.7109375" style="4" customWidth="1"/>
    <col min="219" max="219" width="33.7109375" style="4" customWidth="1"/>
    <col min="220" max="220" width="25.28515625" style="4" customWidth="1"/>
    <col min="221" max="221" width="16.7109375" style="4" customWidth="1"/>
    <col min="222" max="222" width="17.7109375" style="4" customWidth="1"/>
    <col min="223" max="223" width="15.28515625" style="4" customWidth="1"/>
    <col min="224" max="224" width="19.5703125" style="4" customWidth="1"/>
    <col min="225" max="225" width="19.5703125" style="344" customWidth="1"/>
    <col min="226" max="227" width="19.5703125" style="4" customWidth="1"/>
    <col min="228" max="228" width="21.5703125" style="4" customWidth="1"/>
    <col min="229" max="229" width="18.7109375" style="4" customWidth="1"/>
    <col min="230" max="230" width="21.7109375" style="4" customWidth="1"/>
    <col min="231" max="231" width="20.5703125" style="4" customWidth="1"/>
    <col min="232" max="232" width="24" style="4" customWidth="1"/>
    <col min="233" max="233" width="20" style="2" customWidth="1"/>
    <col min="234" max="234" width="19.7109375" style="3" customWidth="1"/>
    <col min="235" max="236" width="17" style="1" customWidth="1"/>
    <col min="237" max="237" width="20.42578125" style="1" customWidth="1"/>
    <col min="238" max="238" width="18.28515625" style="1" customWidth="1"/>
    <col min="239" max="239" width="23.7109375" style="1" customWidth="1"/>
    <col min="240" max="240" width="21.5703125" style="1" customWidth="1"/>
    <col min="241" max="241" width="13.42578125" style="1" customWidth="1"/>
    <col min="242" max="242" width="13.42578125" style="5" customWidth="1"/>
    <col min="243" max="243" width="21" style="1" customWidth="1"/>
    <col min="244" max="244" width="19.28515625" style="1" customWidth="1"/>
    <col min="245" max="245" width="23.28515625" style="1" customWidth="1"/>
    <col min="246" max="246" width="24.28515625" style="1" customWidth="1"/>
    <col min="247" max="247" width="22.5703125" style="1" customWidth="1"/>
    <col min="248" max="248" width="16.28515625" style="344" customWidth="1"/>
    <col min="249" max="249" width="20.5703125" style="1" customWidth="1"/>
    <col min="250" max="250" width="15.7109375" style="1" customWidth="1"/>
    <col min="251" max="251" width="26.42578125" style="1" customWidth="1"/>
    <col min="252" max="252" width="24.42578125" style="1" customWidth="1"/>
    <col min="253" max="254" width="27.28515625" style="1" customWidth="1"/>
    <col min="255" max="255" width="23.5703125" style="1" customWidth="1"/>
    <col min="256" max="256" width="23" style="1" customWidth="1"/>
    <col min="257" max="257" width="32.42578125" style="1" customWidth="1"/>
    <col min="258" max="258" width="21.28515625" style="1" customWidth="1"/>
    <col min="259" max="259" width="27.42578125" style="1" customWidth="1"/>
    <col min="260" max="260" width="37.7109375" style="1" customWidth="1"/>
    <col min="261" max="261" width="26.7109375" style="1" customWidth="1"/>
    <col min="262" max="262" width="13.7109375" style="6" customWidth="1"/>
    <col min="263" max="263" width="9.7109375" style="1" customWidth="1"/>
    <col min="264" max="264" width="13.7109375" style="1" customWidth="1"/>
    <col min="265" max="265" width="17.7109375" style="1" customWidth="1"/>
    <col min="266" max="266" width="10.28515625" style="1" customWidth="1"/>
    <col min="267" max="267" width="13.5703125" style="1" customWidth="1"/>
    <col min="268" max="268" width="16" style="1" customWidth="1"/>
    <col min="269" max="269" width="10.7109375" style="1" customWidth="1"/>
    <col min="270" max="270" width="13.28515625" style="1" customWidth="1"/>
    <col min="271" max="271" width="12.42578125" style="4" customWidth="1"/>
    <col min="272" max="272" width="12.42578125" style="15" customWidth="1"/>
    <col min="273" max="273" width="11.28515625" style="1" customWidth="1"/>
    <col min="274" max="274" width="15" style="1" customWidth="1"/>
    <col min="275" max="275" width="15.42578125" style="1" customWidth="1"/>
    <col min="276" max="276" width="10.7109375" style="1" customWidth="1"/>
    <col min="277" max="277" width="12.28515625" style="1" customWidth="1"/>
    <col min="278" max="278" width="13.7109375" style="1" customWidth="1"/>
    <col min="279" max="279" width="13.28515625" style="1" customWidth="1"/>
    <col min="280" max="280" width="11.5703125" style="1" customWidth="1"/>
    <col min="281" max="281" width="22.28515625" style="1" customWidth="1"/>
    <col min="282" max="282" width="14.7109375" style="1" customWidth="1"/>
    <col min="283" max="283" width="20.7109375" style="4" customWidth="1"/>
    <col min="284" max="284" width="19" style="1" customWidth="1"/>
    <col min="285" max="285" width="17.28515625" style="1" customWidth="1"/>
    <col min="286" max="286" width="19" style="1" customWidth="1"/>
    <col min="287" max="287" width="20.7109375" style="1" customWidth="1"/>
    <col min="288" max="288" width="27.42578125" style="1" customWidth="1"/>
    <col min="289" max="289" width="19" style="1" customWidth="1"/>
    <col min="290" max="290" width="18.42578125" style="1" customWidth="1"/>
    <col min="291" max="293" width="22" style="1" customWidth="1"/>
    <col min="294" max="294" width="26.42578125" style="4" customWidth="1"/>
    <col min="295" max="295" width="15.7109375" style="4" customWidth="1"/>
    <col min="296" max="296" width="14.7109375" style="3" customWidth="1"/>
    <col min="297" max="297" width="24.7109375" style="4" customWidth="1"/>
    <col min="298" max="298" width="16.7109375" style="4" customWidth="1"/>
    <col min="299" max="299" width="15.42578125" style="4" customWidth="1"/>
    <col min="300" max="300" width="20" style="4" customWidth="1"/>
    <col min="301" max="301" width="26.7109375" style="4" customWidth="1"/>
    <col min="302" max="302" width="19" style="4" customWidth="1"/>
    <col min="303" max="303" width="22.28515625" style="4" customWidth="1"/>
    <col min="304" max="304" width="20" style="4" customWidth="1"/>
    <col min="305" max="305" width="16.7109375" style="4" customWidth="1"/>
    <col min="306" max="306" width="17.28515625" style="1" customWidth="1"/>
    <col min="307" max="307" width="19.7109375" style="1" customWidth="1"/>
    <col min="308" max="308" width="21" style="1" customWidth="1"/>
    <col min="309" max="309" width="20.42578125" style="1" customWidth="1"/>
    <col min="310" max="310" width="14" style="1" customWidth="1"/>
    <col min="311" max="311" width="19.28515625" style="1" customWidth="1"/>
    <col min="312" max="312" width="14.5703125" style="1" customWidth="1"/>
    <col min="313" max="313" width="20" style="1" customWidth="1"/>
    <col min="314" max="315" width="19.28515625" style="1" customWidth="1"/>
    <col min="316" max="316" width="14.7109375" style="1" customWidth="1"/>
    <col min="317" max="317" width="19.42578125" style="1" customWidth="1"/>
    <col min="318" max="319" width="18.7109375" style="1" customWidth="1"/>
    <col min="320" max="320" width="15.7109375" style="1" customWidth="1"/>
    <col min="321" max="321" width="17.5703125" style="1" customWidth="1"/>
    <col min="322" max="322" width="16.42578125" style="1" customWidth="1"/>
    <col min="323" max="323" width="20.42578125" style="1" customWidth="1"/>
    <col min="324" max="324" width="18.28515625" style="1" customWidth="1"/>
    <col min="325" max="325" width="22.7109375" style="1" customWidth="1"/>
    <col min="326" max="326" width="18.28515625" style="1" customWidth="1"/>
    <col min="327" max="327" width="24.42578125" style="1" customWidth="1"/>
    <col min="328" max="328" width="17.28515625" style="1" customWidth="1"/>
    <col min="329" max="336" width="21.7109375" style="1" customWidth="1"/>
    <col min="337" max="337" width="30.42578125" style="1" customWidth="1"/>
    <col min="338" max="338" width="27.28515625" style="1" customWidth="1"/>
    <col min="339" max="341" width="21.7109375" style="1" customWidth="1"/>
    <col min="342" max="342" width="19.7109375" style="1" customWidth="1"/>
    <col min="343" max="343" width="22" style="1" customWidth="1"/>
    <col min="344" max="344" width="20" style="1" customWidth="1"/>
    <col min="345" max="345" width="23.140625" style="1" customWidth="1"/>
    <col min="346" max="346" width="18" hidden="1" customWidth="1"/>
    <col min="347" max="349" width="15.7109375" hidden="1" customWidth="1"/>
    <col min="350" max="350" width="19.7109375" hidden="1" customWidth="1"/>
    <col min="351" max="351" width="12.28515625" hidden="1" customWidth="1"/>
    <col min="352" max="352" width="15.7109375" hidden="1" customWidth="1"/>
    <col min="353" max="382" width="11.42578125" hidden="1" customWidth="1"/>
    <col min="383" max="383" width="11.5703125" hidden="1" customWidth="1"/>
    <col min="384" max="388" width="11.42578125" hidden="1" customWidth="1"/>
    <col min="389" max="389" width="8.42578125" hidden="1" customWidth="1"/>
    <col min="390" max="390" width="10" hidden="1" customWidth="1"/>
    <col min="391" max="424" width="7.5703125" hidden="1" customWidth="1"/>
    <col min="425" max="425" width="11.140625" hidden="1" customWidth="1"/>
    <col min="426" max="459" width="7.5703125" hidden="1" customWidth="1"/>
    <col min="460" max="460" width="12.5703125" hidden="1" customWidth="1"/>
    <col min="461" max="461" width="10.28515625" hidden="1" customWidth="1"/>
    <col min="462" max="493" width="11.42578125" style="1" hidden="1" customWidth="1"/>
    <col min="494" max="16384" width="11.42578125" style="1"/>
  </cols>
  <sheetData>
    <row r="1" spans="1:493" ht="51.75" thickBot="1" x14ac:dyDescent="0.3">
      <c r="A1" s="1" t="s">
        <v>1717</v>
      </c>
      <c r="B1" s="1" t="s">
        <v>1718</v>
      </c>
      <c r="C1" s="1" t="s">
        <v>1719</v>
      </c>
      <c r="D1" s="1" t="s">
        <v>1720</v>
      </c>
      <c r="E1" s="1" t="s">
        <v>1721</v>
      </c>
      <c r="F1" s="1" t="s">
        <v>1722</v>
      </c>
      <c r="G1" s="1" t="s">
        <v>1723</v>
      </c>
      <c r="H1" s="1" t="s">
        <v>1724</v>
      </c>
      <c r="I1" s="1" t="s">
        <v>1725</v>
      </c>
      <c r="J1" s="1" t="s">
        <v>1726</v>
      </c>
      <c r="K1" s="1" t="s">
        <v>1727</v>
      </c>
      <c r="L1" s="1" t="s">
        <v>1728</v>
      </c>
      <c r="M1" s="1" t="s">
        <v>1729</v>
      </c>
      <c r="N1" s="1" t="s">
        <v>1730</v>
      </c>
      <c r="O1" s="1" t="s">
        <v>1731</v>
      </c>
      <c r="P1" s="1" t="s">
        <v>1732</v>
      </c>
      <c r="Q1" s="1" t="s">
        <v>1733</v>
      </c>
      <c r="R1" s="4" t="s">
        <v>1734</v>
      </c>
      <c r="S1" s="1" t="s">
        <v>1735</v>
      </c>
      <c r="T1" s="392" t="s">
        <v>1736</v>
      </c>
      <c r="U1" s="1" t="s">
        <v>1737</v>
      </c>
      <c r="V1" s="1" t="s">
        <v>1738</v>
      </c>
      <c r="W1" s="1" t="s">
        <v>1739</v>
      </c>
      <c r="X1" s="1" t="s">
        <v>1740</v>
      </c>
      <c r="Y1" s="1" t="s">
        <v>1741</v>
      </c>
      <c r="Z1" s="1" t="s">
        <v>1742</v>
      </c>
      <c r="AA1" s="1" t="s">
        <v>1743</v>
      </c>
      <c r="AB1" s="1" t="s">
        <v>1744</v>
      </c>
      <c r="AC1" s="1" t="s">
        <v>1745</v>
      </c>
      <c r="AD1" s="1" t="s">
        <v>1746</v>
      </c>
      <c r="AE1" s="1" t="s">
        <v>1747</v>
      </c>
      <c r="AF1" s="1" t="s">
        <v>1748</v>
      </c>
      <c r="AG1" s="1" t="s">
        <v>1749</v>
      </c>
      <c r="AH1" s="1" t="s">
        <v>1750</v>
      </c>
      <c r="AI1" s="1" t="s">
        <v>1751</v>
      </c>
      <c r="AJ1" s="392" t="s">
        <v>1752</v>
      </c>
      <c r="AK1" s="1" t="s">
        <v>1753</v>
      </c>
      <c r="AL1" s="1" t="s">
        <v>1754</v>
      </c>
      <c r="AM1" s="1" t="s">
        <v>1755</v>
      </c>
      <c r="AN1" s="1" t="s">
        <v>1756</v>
      </c>
      <c r="AO1" s="1" t="s">
        <v>1757</v>
      </c>
      <c r="AP1" s="1" t="s">
        <v>1758</v>
      </c>
      <c r="AQ1" s="1" t="s">
        <v>1759</v>
      </c>
      <c r="AR1" s="1" t="s">
        <v>1760</v>
      </c>
      <c r="AS1" s="1" t="s">
        <v>1761</v>
      </c>
      <c r="AT1" s="1" t="s">
        <v>1762</v>
      </c>
      <c r="AU1" s="1" t="s">
        <v>1763</v>
      </c>
      <c r="AV1" s="1" t="s">
        <v>1764</v>
      </c>
      <c r="AW1" s="1" t="s">
        <v>1765</v>
      </c>
      <c r="AX1" s="1" t="s">
        <v>1766</v>
      </c>
      <c r="AY1" s="1" t="s">
        <v>1767</v>
      </c>
      <c r="AZ1" s="1" t="s">
        <v>1768</v>
      </c>
      <c r="BA1" s="1" t="s">
        <v>1769</v>
      </c>
      <c r="BB1" s="1" t="s">
        <v>1770</v>
      </c>
      <c r="BC1" s="1" t="s">
        <v>1771</v>
      </c>
      <c r="BD1" s="1" t="s">
        <v>1772</v>
      </c>
      <c r="BE1" s="1" t="s">
        <v>1773</v>
      </c>
      <c r="BF1" s="1" t="s">
        <v>1774</v>
      </c>
      <c r="BG1" s="1" t="s">
        <v>1775</v>
      </c>
      <c r="BH1" s="1" t="s">
        <v>1776</v>
      </c>
      <c r="BI1" s="1" t="s">
        <v>1777</v>
      </c>
      <c r="BJ1" s="1" t="s">
        <v>1778</v>
      </c>
      <c r="BK1" s="1" t="s">
        <v>1779</v>
      </c>
      <c r="BL1" s="1" t="s">
        <v>1780</v>
      </c>
      <c r="BM1" s="1" t="s">
        <v>1781</v>
      </c>
      <c r="BN1" s="4" t="s">
        <v>1782</v>
      </c>
      <c r="BO1" s="1" t="s">
        <v>1783</v>
      </c>
      <c r="BP1" s="4" t="s">
        <v>1784</v>
      </c>
      <c r="BQ1" s="4" t="s">
        <v>1785</v>
      </c>
      <c r="BR1" s="4" t="s">
        <v>1786</v>
      </c>
      <c r="BS1" s="1" t="s">
        <v>1787</v>
      </c>
      <c r="BT1" s="1" t="s">
        <v>1788</v>
      </c>
      <c r="BU1" s="1" t="s">
        <v>1789</v>
      </c>
      <c r="BV1" s="1" t="s">
        <v>1790</v>
      </c>
      <c r="BW1" s="1" t="s">
        <v>1791</v>
      </c>
      <c r="BX1" s="4" t="s">
        <v>1792</v>
      </c>
      <c r="BY1" s="4" t="s">
        <v>1793</v>
      </c>
      <c r="BZ1" s="4" t="s">
        <v>1794</v>
      </c>
      <c r="CA1" s="4" t="s">
        <v>1795</v>
      </c>
      <c r="CB1" s="4" t="s">
        <v>1796</v>
      </c>
      <c r="CC1" s="4" t="s">
        <v>1797</v>
      </c>
      <c r="CD1" s="4" t="s">
        <v>1798</v>
      </c>
      <c r="CE1" s="4" t="s">
        <v>1799</v>
      </c>
      <c r="CF1" s="4" t="s">
        <v>1800</v>
      </c>
      <c r="CG1" s="4" t="s">
        <v>1801</v>
      </c>
      <c r="CH1" t="s">
        <v>1802</v>
      </c>
      <c r="CI1" s="1" t="s">
        <v>17</v>
      </c>
      <c r="CJ1" s="1" t="s">
        <v>1803</v>
      </c>
      <c r="CK1" s="1" t="s">
        <v>1804</v>
      </c>
      <c r="CL1" s="4" t="s">
        <v>1805</v>
      </c>
      <c r="CM1" s="1" t="s">
        <v>1806</v>
      </c>
      <c r="CN1" s="1" t="s">
        <v>1807</v>
      </c>
      <c r="CO1" s="1" t="s">
        <v>1808</v>
      </c>
      <c r="CP1" s="1" t="s">
        <v>1809</v>
      </c>
      <c r="CQ1" s="1" t="s">
        <v>1810</v>
      </c>
      <c r="CR1" s="1" t="s">
        <v>1811</v>
      </c>
      <c r="CS1" s="1" t="s">
        <v>1812</v>
      </c>
      <c r="CT1" s="1" t="s">
        <v>1813</v>
      </c>
      <c r="CU1" s="1" t="s">
        <v>1814</v>
      </c>
      <c r="CV1" s="1" t="s">
        <v>1815</v>
      </c>
      <c r="CW1" s="1" t="s">
        <v>1816</v>
      </c>
      <c r="CX1" s="1" t="s">
        <v>1817</v>
      </c>
      <c r="CY1" s="1" t="s">
        <v>1818</v>
      </c>
      <c r="CZ1" s="1" t="s">
        <v>1819</v>
      </c>
      <c r="DA1" s="1" t="s">
        <v>1820</v>
      </c>
      <c r="DB1" s="1" t="s">
        <v>1821</v>
      </c>
      <c r="DC1" s="1" t="s">
        <v>1822</v>
      </c>
      <c r="DD1" s="1" t="s">
        <v>1823</v>
      </c>
      <c r="DE1" s="1" t="s">
        <v>1824</v>
      </c>
      <c r="DF1" s="1" t="s">
        <v>1825</v>
      </c>
      <c r="DG1" s="4" t="s">
        <v>1826</v>
      </c>
      <c r="DH1" s="4" t="s">
        <v>1827</v>
      </c>
      <c r="DI1" s="4" t="s">
        <v>1828</v>
      </c>
      <c r="DJ1" s="4" t="s">
        <v>1829</v>
      </c>
      <c r="DK1" s="392" t="s">
        <v>1830</v>
      </c>
      <c r="DL1" s="4" t="s">
        <v>1831</v>
      </c>
      <c r="DM1" s="4" t="s">
        <v>1832</v>
      </c>
      <c r="DN1" s="4" t="s">
        <v>1833</v>
      </c>
      <c r="DO1" s="4" t="s">
        <v>1834</v>
      </c>
      <c r="DP1" s="4" t="s">
        <v>1835</v>
      </c>
      <c r="DQ1" s="4" t="s">
        <v>1836</v>
      </c>
      <c r="DR1" s="4" t="s">
        <v>1837</v>
      </c>
      <c r="DS1" s="4" t="s">
        <v>1838</v>
      </c>
      <c r="DT1" s="4" t="s">
        <v>1839</v>
      </c>
      <c r="DU1" s="1" t="s">
        <v>1840</v>
      </c>
      <c r="DV1" s="4" t="s">
        <v>1841</v>
      </c>
      <c r="DW1" s="4" t="s">
        <v>1842</v>
      </c>
      <c r="DX1" s="4" t="s">
        <v>1843</v>
      </c>
      <c r="DY1" s="4" t="s">
        <v>1844</v>
      </c>
      <c r="DZ1" s="4" t="s">
        <v>1845</v>
      </c>
      <c r="EA1" s="1" t="s">
        <v>1846</v>
      </c>
      <c r="EB1" s="1" t="s">
        <v>1847</v>
      </c>
      <c r="EC1" s="1" t="s">
        <v>1848</v>
      </c>
      <c r="ED1" s="1" t="s">
        <v>1849</v>
      </c>
      <c r="EE1" s="4" t="s">
        <v>1850</v>
      </c>
      <c r="EF1" s="4" t="s">
        <v>1851</v>
      </c>
      <c r="EG1" s="4" t="s">
        <v>1852</v>
      </c>
      <c r="EH1" s="4" t="s">
        <v>1853</v>
      </c>
      <c r="EI1" s="4" t="s">
        <v>1854</v>
      </c>
      <c r="EJ1" s="4" t="s">
        <v>1855</v>
      </c>
      <c r="EK1" s="4" t="s">
        <v>1856</v>
      </c>
      <c r="EL1" s="4" t="s">
        <v>1857</v>
      </c>
      <c r="EM1" s="1" t="s">
        <v>1858</v>
      </c>
      <c r="EN1" s="4" t="s">
        <v>1859</v>
      </c>
      <c r="EO1" s="1" t="s">
        <v>1860</v>
      </c>
      <c r="EP1" s="1" t="s">
        <v>1861</v>
      </c>
      <c r="EQ1" s="1" t="s">
        <v>1862</v>
      </c>
      <c r="ER1" s="1" t="s">
        <v>1863</v>
      </c>
      <c r="ES1" s="1" t="s">
        <v>1864</v>
      </c>
      <c r="ET1" s="1" t="s">
        <v>1865</v>
      </c>
      <c r="EU1" s="1" t="s">
        <v>1866</v>
      </c>
      <c r="EV1" s="1" t="s">
        <v>1867</v>
      </c>
      <c r="EW1" s="1" t="s">
        <v>1868</v>
      </c>
      <c r="EX1" s="4" t="s">
        <v>1869</v>
      </c>
      <c r="EY1" s="5" t="s">
        <v>1870</v>
      </c>
      <c r="EZ1" s="1" t="s">
        <v>1871</v>
      </c>
      <c r="FA1" s="1" t="s">
        <v>1872</v>
      </c>
      <c r="FB1" s="4" t="s">
        <v>1873</v>
      </c>
      <c r="FC1" s="1" t="s">
        <v>1874</v>
      </c>
      <c r="FD1" s="1" t="s">
        <v>1875</v>
      </c>
      <c r="FE1" s="1" t="s">
        <v>1876</v>
      </c>
      <c r="FF1" s="1" t="s">
        <v>1877</v>
      </c>
      <c r="FG1" s="1" t="s">
        <v>1878</v>
      </c>
      <c r="FH1" s="1" t="s">
        <v>1879</v>
      </c>
      <c r="FI1" s="1" t="s">
        <v>1880</v>
      </c>
      <c r="FJ1" s="1" t="s">
        <v>1881</v>
      </c>
      <c r="FK1" s="4" t="s">
        <v>1882</v>
      </c>
      <c r="FL1" s="1" t="s">
        <v>1883</v>
      </c>
      <c r="FM1" s="1" t="s">
        <v>1884</v>
      </c>
      <c r="FN1" s="1" t="s">
        <v>1885</v>
      </c>
      <c r="FO1" s="1" t="s">
        <v>1886</v>
      </c>
      <c r="FP1" s="1" t="s">
        <v>1887</v>
      </c>
      <c r="FQ1" s="1" t="s">
        <v>1888</v>
      </c>
      <c r="FR1" s="1" t="s">
        <v>1889</v>
      </c>
      <c r="FS1" s="1" t="s">
        <v>1890</v>
      </c>
      <c r="FT1" s="1" t="s">
        <v>1891</v>
      </c>
      <c r="FU1" s="1" t="s">
        <v>1892</v>
      </c>
      <c r="FV1" s="392" t="s">
        <v>1893</v>
      </c>
      <c r="FW1" s="1" t="s">
        <v>1894</v>
      </c>
      <c r="FX1" s="1" t="s">
        <v>1895</v>
      </c>
      <c r="FY1" s="16" t="s">
        <v>1896</v>
      </c>
      <c r="FZ1" s="16" t="s">
        <v>1897</v>
      </c>
      <c r="GA1" s="1" t="s">
        <v>1898</v>
      </c>
      <c r="GB1" s="1" t="s">
        <v>1899</v>
      </c>
      <c r="GC1" s="4" t="s">
        <v>1900</v>
      </c>
      <c r="GD1" s="4" t="s">
        <v>1901</v>
      </c>
      <c r="GE1" s="1" t="s">
        <v>1902</v>
      </c>
      <c r="GF1" s="1" t="s">
        <v>1903</v>
      </c>
      <c r="GG1" s="1" t="s">
        <v>1904</v>
      </c>
      <c r="GH1" s="1" t="s">
        <v>1905</v>
      </c>
      <c r="GI1" s="1" t="s">
        <v>1906</v>
      </c>
      <c r="GJ1" s="1" t="s">
        <v>1907</v>
      </c>
      <c r="GK1" s="1" t="s">
        <v>1908</v>
      </c>
      <c r="GL1" s="1" t="s">
        <v>1909</v>
      </c>
      <c r="GM1" s="1" t="s">
        <v>1910</v>
      </c>
      <c r="GN1" s="1" t="s">
        <v>1911</v>
      </c>
      <c r="GO1" s="4" t="s">
        <v>1912</v>
      </c>
      <c r="GP1" s="1" t="s">
        <v>1913</v>
      </c>
      <c r="GQ1" s="1" t="s">
        <v>1914</v>
      </c>
      <c r="GR1" s="1" t="s">
        <v>1915</v>
      </c>
      <c r="GS1" s="1" t="s">
        <v>1916</v>
      </c>
      <c r="GT1" s="4" t="s">
        <v>1917</v>
      </c>
      <c r="GU1" s="1" t="s">
        <v>1918</v>
      </c>
      <c r="GV1" s="1" t="s">
        <v>1919</v>
      </c>
      <c r="GW1" s="1" t="s">
        <v>1920</v>
      </c>
      <c r="GX1" s="1" t="s">
        <v>1921</v>
      </c>
      <c r="GY1" s="1" t="s">
        <v>1922</v>
      </c>
      <c r="GZ1" s="1" t="s">
        <v>1923</v>
      </c>
      <c r="HA1" s="1" t="s">
        <v>1924</v>
      </c>
      <c r="HB1" s="1" t="s">
        <v>1925</v>
      </c>
      <c r="HC1" s="1" t="s">
        <v>1926</v>
      </c>
      <c r="HD1" s="1" t="s">
        <v>1927</v>
      </c>
      <c r="HE1" s="1" t="s">
        <v>1928</v>
      </c>
      <c r="HF1" s="1" t="s">
        <v>1929</v>
      </c>
      <c r="HG1" s="4" t="s">
        <v>1930</v>
      </c>
      <c r="HH1" s="4" t="s">
        <v>1931</v>
      </c>
      <c r="HI1" s="4" t="s">
        <v>1932</v>
      </c>
      <c r="HJ1" s="4" t="s">
        <v>1933</v>
      </c>
      <c r="HK1" s="4" t="s">
        <v>1934</v>
      </c>
      <c r="HL1" s="4" t="s">
        <v>1935</v>
      </c>
      <c r="HM1" s="4" t="s">
        <v>1936</v>
      </c>
      <c r="HN1" s="4" t="s">
        <v>1937</v>
      </c>
      <c r="HO1" s="4" t="s">
        <v>1938</v>
      </c>
      <c r="HP1" s="4" t="s">
        <v>1939</v>
      </c>
      <c r="HQ1" s="4" t="s">
        <v>1940</v>
      </c>
      <c r="HR1" s="4" t="s">
        <v>1941</v>
      </c>
      <c r="HS1" s="4" t="s">
        <v>1942</v>
      </c>
      <c r="HT1" s="4" t="s">
        <v>1943</v>
      </c>
      <c r="HU1" s="4" t="s">
        <v>1944</v>
      </c>
      <c r="HV1" s="4" t="s">
        <v>1945</v>
      </c>
      <c r="HW1" s="4" t="s">
        <v>1946</v>
      </c>
      <c r="HX1" s="4" t="s">
        <v>1947</v>
      </c>
      <c r="HY1" s="2" t="s">
        <v>1948</v>
      </c>
      <c r="HZ1" s="3" t="s">
        <v>1949</v>
      </c>
      <c r="IA1" s="1" t="s">
        <v>1950</v>
      </c>
      <c r="IB1" s="1" t="s">
        <v>1951</v>
      </c>
      <c r="IC1" s="1" t="s">
        <v>1952</v>
      </c>
      <c r="ID1" s="1" t="s">
        <v>1953</v>
      </c>
      <c r="IE1" s="1" t="s">
        <v>1954</v>
      </c>
      <c r="IF1" s="1" t="s">
        <v>1955</v>
      </c>
      <c r="IG1" s="1" t="s">
        <v>335</v>
      </c>
      <c r="IH1" s="5" t="s">
        <v>1956</v>
      </c>
      <c r="II1" s="1" t="s">
        <v>1957</v>
      </c>
      <c r="IJ1" s="1" t="s">
        <v>1958</v>
      </c>
      <c r="IK1" s="1" t="s">
        <v>1959</v>
      </c>
      <c r="IL1" s="1" t="s">
        <v>1960</v>
      </c>
      <c r="IM1" s="1" t="s">
        <v>1961</v>
      </c>
      <c r="IN1" s="4" t="s">
        <v>1962</v>
      </c>
      <c r="IO1" s="1" t="s">
        <v>1963</v>
      </c>
      <c r="IP1" s="1" t="s">
        <v>1964</v>
      </c>
      <c r="IQ1" s="1" t="s">
        <v>1965</v>
      </c>
      <c r="IR1" s="1" t="s">
        <v>1966</v>
      </c>
      <c r="IS1" s="1" t="s">
        <v>1967</v>
      </c>
      <c r="IT1" s="1" t="s">
        <v>1968</v>
      </c>
      <c r="IU1" s="1" t="s">
        <v>1969</v>
      </c>
      <c r="IV1" s="1" t="s">
        <v>1970</v>
      </c>
      <c r="IW1" s="1" t="s">
        <v>1971</v>
      </c>
      <c r="IX1" s="1" t="s">
        <v>1972</v>
      </c>
      <c r="IY1" s="1" t="s">
        <v>1973</v>
      </c>
      <c r="IZ1" s="1" t="s">
        <v>1974</v>
      </c>
      <c r="JA1" s="1" t="s">
        <v>1975</v>
      </c>
      <c r="JB1" s="6" t="s">
        <v>1976</v>
      </c>
      <c r="JC1" s="1" t="s">
        <v>1977</v>
      </c>
      <c r="JD1" s="1" t="s">
        <v>1978</v>
      </c>
      <c r="JE1" s="1" t="s">
        <v>1979</v>
      </c>
      <c r="JF1" s="1" t="s">
        <v>1980</v>
      </c>
      <c r="JG1" s="1" t="s">
        <v>1981</v>
      </c>
      <c r="JH1" s="1" t="s">
        <v>1982</v>
      </c>
      <c r="JI1" s="1" t="s">
        <v>1983</v>
      </c>
      <c r="JJ1" s="1" t="s">
        <v>1984</v>
      </c>
      <c r="JK1" s="4" t="s">
        <v>1985</v>
      </c>
      <c r="JL1" s="15" t="s">
        <v>1986</v>
      </c>
      <c r="JM1" s="1" t="s">
        <v>1987</v>
      </c>
      <c r="JN1" s="1" t="s">
        <v>1988</v>
      </c>
      <c r="JO1" s="1" t="s">
        <v>1989</v>
      </c>
      <c r="JP1" s="1" t="s">
        <v>1990</v>
      </c>
      <c r="JQ1" s="1" t="s">
        <v>1991</v>
      </c>
      <c r="JR1" s="1" t="s">
        <v>1992</v>
      </c>
      <c r="JS1" s="1" t="s">
        <v>1993</v>
      </c>
      <c r="JT1" s="1" t="s">
        <v>1994</v>
      </c>
      <c r="JU1" s="1" t="s">
        <v>1995</v>
      </c>
      <c r="JV1" s="1" t="s">
        <v>1996</v>
      </c>
      <c r="JW1" s="4" t="s">
        <v>1997</v>
      </c>
      <c r="JX1" s="1" t="s">
        <v>1998</v>
      </c>
      <c r="JY1" s="1" t="s">
        <v>1999</v>
      </c>
      <c r="JZ1" s="1" t="s">
        <v>2000</v>
      </c>
      <c r="KA1" s="1" t="s">
        <v>2001</v>
      </c>
      <c r="KB1" s="1" t="s">
        <v>2002</v>
      </c>
      <c r="KC1" s="1" t="s">
        <v>2003</v>
      </c>
      <c r="KD1" s="1" t="s">
        <v>2004</v>
      </c>
      <c r="KE1" s="1" t="s">
        <v>2005</v>
      </c>
      <c r="KF1" s="1" t="s">
        <v>2006</v>
      </c>
      <c r="KG1" s="1" t="s">
        <v>2007</v>
      </c>
      <c r="KH1" s="4" t="s">
        <v>2008</v>
      </c>
      <c r="KI1" s="4" t="s">
        <v>2009</v>
      </c>
      <c r="KJ1" s="3" t="s">
        <v>2010</v>
      </c>
      <c r="KK1" s="4" t="s">
        <v>2011</v>
      </c>
      <c r="KL1" s="4" t="s">
        <v>2012</v>
      </c>
      <c r="KM1" s="4" t="s">
        <v>2013</v>
      </c>
      <c r="KN1" s="4" t="s">
        <v>2014</v>
      </c>
      <c r="KO1" s="4" t="s">
        <v>2015</v>
      </c>
      <c r="KP1" s="4" t="s">
        <v>2016</v>
      </c>
      <c r="KQ1" s="4" t="s">
        <v>2017</v>
      </c>
      <c r="KR1" s="4" t="s">
        <v>2018</v>
      </c>
      <c r="KS1" s="4" t="s">
        <v>2019</v>
      </c>
      <c r="KT1" s="1" t="s">
        <v>2020</v>
      </c>
      <c r="KU1" s="1" t="s">
        <v>2021</v>
      </c>
      <c r="KV1" s="1" t="s">
        <v>2022</v>
      </c>
      <c r="KW1" s="1" t="s">
        <v>2023</v>
      </c>
      <c r="KX1" s="1" t="s">
        <v>2024</v>
      </c>
      <c r="KY1" s="1" t="s">
        <v>2025</v>
      </c>
      <c r="KZ1" s="1" t="s">
        <v>2026</v>
      </c>
      <c r="LA1" s="1" t="s">
        <v>2027</v>
      </c>
      <c r="LB1" s="1" t="s">
        <v>2028</v>
      </c>
      <c r="LC1" s="1" t="s">
        <v>2029</v>
      </c>
      <c r="LD1" s="1" t="s">
        <v>2030</v>
      </c>
      <c r="LE1" s="1" t="s">
        <v>2031</v>
      </c>
      <c r="LF1" s="1" t="s">
        <v>2032</v>
      </c>
      <c r="LG1" s="1" t="s">
        <v>2033</v>
      </c>
      <c r="LH1" s="1" t="s">
        <v>2034</v>
      </c>
      <c r="LI1" s="1" t="s">
        <v>2035</v>
      </c>
      <c r="LJ1" s="1" t="s">
        <v>2036</v>
      </c>
      <c r="LK1" s="1" t="s">
        <v>2037</v>
      </c>
      <c r="LL1" s="1" t="s">
        <v>2038</v>
      </c>
      <c r="LM1" s="1" t="s">
        <v>2039</v>
      </c>
      <c r="LN1" s="1" t="s">
        <v>2040</v>
      </c>
      <c r="LO1" s="1" t="s">
        <v>2041</v>
      </c>
      <c r="LP1" s="1" t="s">
        <v>2042</v>
      </c>
      <c r="LQ1" s="1" t="s">
        <v>2043</v>
      </c>
      <c r="LR1" s="1" t="s">
        <v>2044</v>
      </c>
      <c r="LS1" s="1" t="s">
        <v>2045</v>
      </c>
      <c r="LT1" s="1" t="s">
        <v>2046</v>
      </c>
      <c r="LU1" s="1" t="s">
        <v>2047</v>
      </c>
      <c r="LV1" s="1" t="s">
        <v>2048</v>
      </c>
      <c r="LW1" s="1" t="s">
        <v>2049</v>
      </c>
      <c r="LX1" s="1" t="s">
        <v>2050</v>
      </c>
      <c r="LY1" s="1" t="s">
        <v>2051</v>
      </c>
      <c r="LZ1" s="392" t="s">
        <v>2052</v>
      </c>
      <c r="MA1" s="1" t="s">
        <v>2053</v>
      </c>
      <c r="MB1" s="1" t="s">
        <v>2054</v>
      </c>
      <c r="MC1" s="1" t="s">
        <v>2055</v>
      </c>
      <c r="MD1" s="1" t="s">
        <v>2056</v>
      </c>
      <c r="ME1" s="1" t="s">
        <v>2057</v>
      </c>
      <c r="MF1" s="1" t="s">
        <v>2058</v>
      </c>
      <c r="MG1" s="1" t="s">
        <v>2059</v>
      </c>
    </row>
    <row r="2" spans="1:493" ht="93" customHeight="1" thickBot="1" x14ac:dyDescent="0.3">
      <c r="A2" s="232" t="s">
        <v>554</v>
      </c>
      <c r="B2" s="233" t="s">
        <v>278</v>
      </c>
      <c r="C2" s="233" t="s">
        <v>31</v>
      </c>
      <c r="D2" s="234" t="s">
        <v>582</v>
      </c>
      <c r="E2" s="233" t="s">
        <v>94</v>
      </c>
      <c r="F2" s="233" t="s">
        <v>21</v>
      </c>
      <c r="G2" s="233" t="s">
        <v>0</v>
      </c>
      <c r="H2" s="233" t="s">
        <v>1</v>
      </c>
      <c r="I2" s="233" t="s">
        <v>2</v>
      </c>
      <c r="J2" s="233" t="s">
        <v>3</v>
      </c>
      <c r="K2" s="233" t="s">
        <v>19</v>
      </c>
      <c r="L2" s="233" t="s">
        <v>20</v>
      </c>
      <c r="M2" s="233" t="s">
        <v>4</v>
      </c>
      <c r="N2" s="235" t="s">
        <v>5</v>
      </c>
      <c r="O2" s="233" t="s">
        <v>277</v>
      </c>
      <c r="P2" s="235" t="s">
        <v>42</v>
      </c>
      <c r="Q2" s="233" t="s">
        <v>562</v>
      </c>
      <c r="R2" s="236" t="s">
        <v>150</v>
      </c>
      <c r="S2" s="234" t="s">
        <v>28</v>
      </c>
      <c r="T2" s="234" t="s">
        <v>6</v>
      </c>
      <c r="U2" s="233" t="s">
        <v>127</v>
      </c>
      <c r="V2" s="234" t="s">
        <v>7</v>
      </c>
      <c r="W2" s="233" t="s">
        <v>48</v>
      </c>
      <c r="X2" s="233" t="s">
        <v>176</v>
      </c>
      <c r="Y2" s="233" t="s">
        <v>581</v>
      </c>
      <c r="Z2" s="237" t="s">
        <v>8</v>
      </c>
      <c r="AA2" s="234" t="s">
        <v>25</v>
      </c>
      <c r="AB2" s="233" t="s">
        <v>322</v>
      </c>
      <c r="AC2" s="234" t="s">
        <v>9</v>
      </c>
      <c r="AD2" s="237" t="s">
        <v>742</v>
      </c>
      <c r="AE2" s="234" t="s">
        <v>131</v>
      </c>
      <c r="AF2" s="234" t="s">
        <v>10</v>
      </c>
      <c r="AG2" s="234" t="s">
        <v>743</v>
      </c>
      <c r="AH2" s="234" t="s">
        <v>130</v>
      </c>
      <c r="AI2" s="233" t="s">
        <v>29</v>
      </c>
      <c r="AJ2" s="233" t="s">
        <v>324</v>
      </c>
      <c r="AK2" s="235" t="s">
        <v>49</v>
      </c>
      <c r="AL2" s="238" t="s">
        <v>435</v>
      </c>
      <c r="AM2" s="239" t="s">
        <v>763</v>
      </c>
      <c r="AN2" s="238" t="s">
        <v>745</v>
      </c>
      <c r="AO2" s="238" t="s">
        <v>744</v>
      </c>
      <c r="AP2" s="240" t="s">
        <v>762</v>
      </c>
      <c r="AQ2" s="238" t="s">
        <v>436</v>
      </c>
      <c r="AR2" s="238" t="s">
        <v>437</v>
      </c>
      <c r="AS2" s="238" t="s">
        <v>112</v>
      </c>
      <c r="AT2" s="238" t="s">
        <v>438</v>
      </c>
      <c r="AU2" s="238" t="s">
        <v>439</v>
      </c>
      <c r="AV2" s="238" t="s">
        <v>128</v>
      </c>
      <c r="AW2" s="238" t="s">
        <v>447</v>
      </c>
      <c r="AX2" s="238" t="s">
        <v>440</v>
      </c>
      <c r="AY2" s="238" t="s">
        <v>746</v>
      </c>
      <c r="AZ2" s="238" t="s">
        <v>441</v>
      </c>
      <c r="BA2" s="238" t="s">
        <v>442</v>
      </c>
      <c r="BB2" s="233" t="s">
        <v>771</v>
      </c>
      <c r="BC2" s="233" t="s">
        <v>765</v>
      </c>
      <c r="BD2" s="234" t="s">
        <v>133</v>
      </c>
      <c r="BE2" s="234" t="s">
        <v>134</v>
      </c>
      <c r="BF2" s="234" t="s">
        <v>135</v>
      </c>
      <c r="BG2" s="234" t="s">
        <v>136</v>
      </c>
      <c r="BH2" s="233" t="s">
        <v>146</v>
      </c>
      <c r="BI2" s="233" t="s">
        <v>327</v>
      </c>
      <c r="BJ2" s="233" t="s">
        <v>747</v>
      </c>
      <c r="BK2" s="234" t="s">
        <v>764</v>
      </c>
      <c r="BL2" s="233" t="s">
        <v>325</v>
      </c>
      <c r="BM2" s="233" t="s">
        <v>138</v>
      </c>
      <c r="BN2" s="234" t="s">
        <v>323</v>
      </c>
      <c r="BO2" s="285" t="s">
        <v>748</v>
      </c>
      <c r="BP2" s="233" t="s">
        <v>36</v>
      </c>
      <c r="BQ2" s="235" t="s">
        <v>34</v>
      </c>
      <c r="BR2" s="235" t="s">
        <v>52</v>
      </c>
      <c r="BS2" s="235" t="s">
        <v>11</v>
      </c>
      <c r="BT2" s="235" t="s">
        <v>12</v>
      </c>
      <c r="BU2" s="235" t="s">
        <v>13</v>
      </c>
      <c r="BV2" s="241" t="s">
        <v>755</v>
      </c>
      <c r="BW2" s="241" t="s">
        <v>50</v>
      </c>
      <c r="BX2" s="241" t="s">
        <v>51</v>
      </c>
      <c r="BY2" s="241" t="s">
        <v>756</v>
      </c>
      <c r="BZ2" s="241" t="s">
        <v>53</v>
      </c>
      <c r="CA2" s="241" t="s">
        <v>54</v>
      </c>
      <c r="CB2" s="242" t="s">
        <v>749</v>
      </c>
      <c r="CC2" s="242" t="s">
        <v>191</v>
      </c>
      <c r="CD2" s="242" t="s">
        <v>630</v>
      </c>
      <c r="CE2" s="242" t="s">
        <v>137</v>
      </c>
      <c r="CF2" s="234" t="s">
        <v>780</v>
      </c>
      <c r="CG2" s="233" t="s">
        <v>255</v>
      </c>
      <c r="CH2" s="233" t="s">
        <v>776</v>
      </c>
      <c r="CI2" s="235" t="s">
        <v>17</v>
      </c>
      <c r="CJ2" s="235" t="s">
        <v>779</v>
      </c>
      <c r="CK2" s="235" t="s">
        <v>783</v>
      </c>
      <c r="CL2" s="243" t="s">
        <v>790</v>
      </c>
      <c r="CM2" s="235" t="s">
        <v>774</v>
      </c>
      <c r="CN2" s="235" t="s">
        <v>773</v>
      </c>
      <c r="CO2" s="235" t="s">
        <v>775</v>
      </c>
      <c r="CP2" s="244" t="s">
        <v>784</v>
      </c>
      <c r="CQ2" s="235" t="s">
        <v>781</v>
      </c>
      <c r="CR2" s="234" t="s">
        <v>119</v>
      </c>
      <c r="CS2" s="234" t="s">
        <v>120</v>
      </c>
      <c r="CT2" s="235" t="s">
        <v>129</v>
      </c>
      <c r="CU2" s="233" t="s">
        <v>143</v>
      </c>
      <c r="CV2" s="234" t="s">
        <v>144</v>
      </c>
      <c r="CW2" s="235" t="s">
        <v>151</v>
      </c>
      <c r="CX2" s="234" t="s">
        <v>123</v>
      </c>
      <c r="CY2" s="234" t="s">
        <v>126</v>
      </c>
      <c r="CZ2" s="279" t="s">
        <v>782</v>
      </c>
      <c r="DA2" s="190" t="s">
        <v>791</v>
      </c>
      <c r="DB2" s="190" t="s">
        <v>792</v>
      </c>
      <c r="DC2" s="235" t="s">
        <v>785</v>
      </c>
      <c r="DD2" s="233" t="s">
        <v>320</v>
      </c>
      <c r="DE2" s="233" t="s">
        <v>321</v>
      </c>
      <c r="DF2" s="245" t="s">
        <v>55</v>
      </c>
      <c r="DG2" s="245" t="s">
        <v>56</v>
      </c>
      <c r="DH2" s="245" t="s">
        <v>57</v>
      </c>
      <c r="DI2" s="245" t="s">
        <v>58</v>
      </c>
      <c r="DJ2" s="245" t="s">
        <v>59</v>
      </c>
      <c r="DK2" s="245" t="s">
        <v>60</v>
      </c>
      <c r="DL2" s="245" t="s">
        <v>61</v>
      </c>
      <c r="DM2" s="245" t="s">
        <v>62</v>
      </c>
      <c r="DN2" s="245" t="s">
        <v>63</v>
      </c>
      <c r="DO2" s="245" t="s">
        <v>64</v>
      </c>
      <c r="DP2" s="245" t="s">
        <v>289</v>
      </c>
      <c r="DQ2" s="245" t="s">
        <v>560</v>
      </c>
      <c r="DR2" s="246" t="s">
        <v>636</v>
      </c>
      <c r="DS2" s="246" t="s">
        <v>623</v>
      </c>
      <c r="DT2" s="246" t="s">
        <v>750</v>
      </c>
      <c r="DU2" s="280" t="s">
        <v>631</v>
      </c>
      <c r="DV2" s="235" t="s">
        <v>44</v>
      </c>
      <c r="DW2" s="247" t="s">
        <v>22</v>
      </c>
      <c r="DX2" s="235" t="s">
        <v>290</v>
      </c>
      <c r="DY2" s="235" t="s">
        <v>256</v>
      </c>
      <c r="DZ2" s="235" t="s">
        <v>257</v>
      </c>
      <c r="EA2" s="235" t="s">
        <v>39</v>
      </c>
      <c r="EB2" s="235" t="s">
        <v>32</v>
      </c>
      <c r="EC2" s="235" t="s">
        <v>47</v>
      </c>
      <c r="ED2" s="235" t="s">
        <v>65</v>
      </c>
      <c r="EE2" s="248" t="s">
        <v>66</v>
      </c>
      <c r="EF2" s="248" t="s">
        <v>67</v>
      </c>
      <c r="EG2" s="234" t="s">
        <v>68</v>
      </c>
      <c r="EH2" s="234" t="s">
        <v>69</v>
      </c>
      <c r="EI2" s="236" t="s">
        <v>70</v>
      </c>
      <c r="EJ2" s="249" t="s">
        <v>314</v>
      </c>
      <c r="EK2" s="248" t="s">
        <v>114</v>
      </c>
      <c r="EL2" s="234" t="s">
        <v>113</v>
      </c>
      <c r="EM2" s="250" t="s">
        <v>772</v>
      </c>
      <c r="EN2" s="248" t="s">
        <v>71</v>
      </c>
      <c r="EO2" s="235" t="s">
        <v>72</v>
      </c>
      <c r="EP2" s="235" t="s">
        <v>115</v>
      </c>
      <c r="EQ2" s="235" t="s">
        <v>147</v>
      </c>
      <c r="ER2" s="251" t="s">
        <v>95</v>
      </c>
      <c r="ES2" s="233" t="s">
        <v>100</v>
      </c>
      <c r="ET2" s="235" t="s">
        <v>99</v>
      </c>
      <c r="EU2" s="235" t="s">
        <v>140</v>
      </c>
      <c r="EV2" s="251" t="s">
        <v>766</v>
      </c>
      <c r="EW2" s="233" t="s">
        <v>767</v>
      </c>
      <c r="EX2" s="236" t="s">
        <v>806</v>
      </c>
      <c r="EY2" s="235" t="s">
        <v>827</v>
      </c>
      <c r="EZ2" s="235" t="s">
        <v>828</v>
      </c>
      <c r="FA2" s="251" t="s">
        <v>332</v>
      </c>
      <c r="FB2" s="248" t="s">
        <v>132</v>
      </c>
      <c r="FC2" s="235" t="s">
        <v>149</v>
      </c>
      <c r="FD2" s="234" t="s">
        <v>101</v>
      </c>
      <c r="FE2" s="234" t="s">
        <v>102</v>
      </c>
      <c r="FF2" s="234" t="s">
        <v>103</v>
      </c>
      <c r="FG2" s="235" t="s">
        <v>98</v>
      </c>
      <c r="FH2" s="233" t="s">
        <v>104</v>
      </c>
      <c r="FI2" s="235" t="s">
        <v>122</v>
      </c>
      <c r="FJ2" s="252" t="s">
        <v>579</v>
      </c>
      <c r="FK2" s="248" t="s">
        <v>737</v>
      </c>
      <c r="FL2" s="235" t="s">
        <v>583</v>
      </c>
      <c r="FM2" s="252" t="s">
        <v>428</v>
      </c>
      <c r="FN2" s="234" t="s">
        <v>105</v>
      </c>
      <c r="FO2" s="235" t="s">
        <v>584</v>
      </c>
      <c r="FP2" s="253" t="s">
        <v>429</v>
      </c>
      <c r="FQ2" s="234" t="s">
        <v>106</v>
      </c>
      <c r="FR2" s="235" t="s">
        <v>585</v>
      </c>
      <c r="FS2" s="252" t="s">
        <v>430</v>
      </c>
      <c r="FT2" s="234" t="s">
        <v>107</v>
      </c>
      <c r="FU2" s="235" t="s">
        <v>586</v>
      </c>
      <c r="FV2" s="252" t="s">
        <v>73</v>
      </c>
      <c r="FW2" s="234" t="s">
        <v>74</v>
      </c>
      <c r="FX2" s="235" t="s">
        <v>75</v>
      </c>
      <c r="FY2" s="251" t="s">
        <v>580</v>
      </c>
      <c r="FZ2" s="254" t="s">
        <v>649</v>
      </c>
      <c r="GA2" s="235" t="s">
        <v>587</v>
      </c>
      <c r="GB2" s="251" t="s">
        <v>304</v>
      </c>
      <c r="GC2" s="236" t="s">
        <v>650</v>
      </c>
      <c r="GD2" s="235" t="s">
        <v>588</v>
      </c>
      <c r="GE2" s="251" t="s">
        <v>328</v>
      </c>
      <c r="GF2" s="233" t="s">
        <v>651</v>
      </c>
      <c r="GG2" s="235" t="s">
        <v>589</v>
      </c>
      <c r="GH2" s="251" t="s">
        <v>427</v>
      </c>
      <c r="GI2" s="233" t="s">
        <v>343</v>
      </c>
      <c r="GJ2" s="255" t="s">
        <v>306</v>
      </c>
      <c r="GK2" s="234" t="s">
        <v>307</v>
      </c>
      <c r="GL2" s="256" t="s">
        <v>308</v>
      </c>
      <c r="GM2" s="233" t="s">
        <v>309</v>
      </c>
      <c r="GN2" s="252" t="s">
        <v>76</v>
      </c>
      <c r="GO2" s="248" t="s">
        <v>77</v>
      </c>
      <c r="GP2" s="235" t="s">
        <v>141</v>
      </c>
      <c r="GQ2" s="252" t="s">
        <v>78</v>
      </c>
      <c r="GR2" s="252" t="s">
        <v>80</v>
      </c>
      <c r="GS2" s="235" t="s">
        <v>110</v>
      </c>
      <c r="GT2" s="248" t="s">
        <v>79</v>
      </c>
      <c r="GU2" s="235" t="s">
        <v>142</v>
      </c>
      <c r="GV2" s="235" t="s">
        <v>148</v>
      </c>
      <c r="GW2" s="233" t="s">
        <v>249</v>
      </c>
      <c r="GX2" s="234" t="s">
        <v>111</v>
      </c>
      <c r="GY2" s="233" t="s">
        <v>24</v>
      </c>
      <c r="GZ2" s="251" t="s">
        <v>590</v>
      </c>
      <c r="HA2" s="234" t="s">
        <v>591</v>
      </c>
      <c r="HB2" s="251" t="s">
        <v>592</v>
      </c>
      <c r="HC2" s="234" t="s">
        <v>593</v>
      </c>
      <c r="HD2" s="251" t="s">
        <v>594</v>
      </c>
      <c r="HE2" s="234" t="s">
        <v>595</v>
      </c>
      <c r="HF2" s="234" t="s">
        <v>576</v>
      </c>
      <c r="HG2" s="257" t="s">
        <v>284</v>
      </c>
      <c r="HH2" s="257" t="s">
        <v>344</v>
      </c>
      <c r="HI2" s="257" t="s">
        <v>340</v>
      </c>
      <c r="HJ2" s="257" t="s">
        <v>330</v>
      </c>
      <c r="HK2" s="257" t="s">
        <v>287</v>
      </c>
      <c r="HL2" s="257" t="s">
        <v>329</v>
      </c>
      <c r="HM2" s="257" t="s">
        <v>337</v>
      </c>
      <c r="HN2" s="257" t="s">
        <v>336</v>
      </c>
      <c r="HO2" s="258" t="s">
        <v>356</v>
      </c>
      <c r="HP2" s="234" t="s">
        <v>288</v>
      </c>
      <c r="HQ2" s="348" t="s">
        <v>787</v>
      </c>
      <c r="HR2" s="281" t="s">
        <v>788</v>
      </c>
      <c r="HS2" s="233" t="s">
        <v>544</v>
      </c>
      <c r="HT2" s="234" t="s">
        <v>259</v>
      </c>
      <c r="HU2" s="233" t="s">
        <v>545</v>
      </c>
      <c r="HV2" s="234" t="s">
        <v>258</v>
      </c>
      <c r="HW2" s="233" t="s">
        <v>546</v>
      </c>
      <c r="HX2" s="234" t="s">
        <v>264</v>
      </c>
      <c r="HY2" s="234" t="s">
        <v>33</v>
      </c>
      <c r="HZ2" s="235" t="s">
        <v>14</v>
      </c>
      <c r="IA2" s="233" t="s">
        <v>659</v>
      </c>
      <c r="IB2" s="259" t="s">
        <v>754</v>
      </c>
      <c r="IC2" s="233" t="s">
        <v>108</v>
      </c>
      <c r="ID2" s="234" t="s">
        <v>109</v>
      </c>
      <c r="IE2" s="235" t="s">
        <v>326</v>
      </c>
      <c r="IF2" s="233" t="s">
        <v>682</v>
      </c>
      <c r="IG2" s="235" t="s">
        <v>335</v>
      </c>
      <c r="IH2" s="260" t="s">
        <v>333</v>
      </c>
      <c r="II2" s="235" t="s">
        <v>334</v>
      </c>
      <c r="IJ2" s="261" t="s">
        <v>250</v>
      </c>
      <c r="IK2" s="262" t="s">
        <v>23</v>
      </c>
      <c r="IL2" s="262" t="s">
        <v>654</v>
      </c>
      <c r="IM2" s="262" t="s">
        <v>655</v>
      </c>
      <c r="IN2" s="351" t="s">
        <v>498</v>
      </c>
      <c r="IO2" s="262" t="s">
        <v>15</v>
      </c>
      <c r="IP2" s="235" t="s">
        <v>81</v>
      </c>
      <c r="IQ2" s="261" t="s">
        <v>152</v>
      </c>
      <c r="IR2" s="261" t="s">
        <v>417</v>
      </c>
      <c r="IS2" s="261" t="s">
        <v>16</v>
      </c>
      <c r="IT2" s="262" t="s">
        <v>596</v>
      </c>
      <c r="IU2" s="258" t="s">
        <v>316</v>
      </c>
      <c r="IV2" s="258" t="s">
        <v>318</v>
      </c>
      <c r="IW2" s="258" t="s">
        <v>317</v>
      </c>
      <c r="IX2" s="258" t="s">
        <v>641</v>
      </c>
      <c r="IY2" s="258" t="s">
        <v>642</v>
      </c>
      <c r="IZ2" s="258" t="s">
        <v>653</v>
      </c>
      <c r="JA2" s="261" t="s">
        <v>672</v>
      </c>
      <c r="JB2" s="263" t="s">
        <v>35</v>
      </c>
      <c r="JC2" s="263" t="s">
        <v>82</v>
      </c>
      <c r="JD2" s="264" t="s">
        <v>156</v>
      </c>
      <c r="JE2" s="235" t="s">
        <v>40</v>
      </c>
      <c r="JF2" s="264" t="s">
        <v>260</v>
      </c>
      <c r="JG2" s="263" t="s">
        <v>83</v>
      </c>
      <c r="JH2" s="263" t="s">
        <v>84</v>
      </c>
      <c r="JI2" s="263" t="s">
        <v>37</v>
      </c>
      <c r="JJ2" s="263" t="s">
        <v>38</v>
      </c>
      <c r="JK2" s="265" t="s">
        <v>116</v>
      </c>
      <c r="JL2" s="265" t="s">
        <v>96</v>
      </c>
      <c r="JM2" s="263" t="s">
        <v>85</v>
      </c>
      <c r="JN2" s="264" t="s">
        <v>155</v>
      </c>
      <c r="JO2" s="235" t="s">
        <v>86</v>
      </c>
      <c r="JP2" s="264" t="s">
        <v>261</v>
      </c>
      <c r="JQ2" s="263" t="s">
        <v>88</v>
      </c>
      <c r="JR2" s="263" t="s">
        <v>89</v>
      </c>
      <c r="JS2" s="263" t="s">
        <v>90</v>
      </c>
      <c r="JT2" s="263" t="s">
        <v>91</v>
      </c>
      <c r="JU2" s="263" t="s">
        <v>117</v>
      </c>
      <c r="JV2" s="263" t="s">
        <v>97</v>
      </c>
      <c r="JW2" s="265" t="s">
        <v>92</v>
      </c>
      <c r="JX2" s="235" t="s">
        <v>153</v>
      </c>
      <c r="JY2" s="234" t="s">
        <v>93</v>
      </c>
      <c r="JZ2" s="235" t="s">
        <v>154</v>
      </c>
      <c r="KA2" s="258" t="s">
        <v>416</v>
      </c>
      <c r="KB2" s="258" t="s">
        <v>354</v>
      </c>
      <c r="KC2" s="258" t="s">
        <v>355</v>
      </c>
      <c r="KD2" s="233" t="s">
        <v>313</v>
      </c>
      <c r="KE2" s="233" t="s">
        <v>251</v>
      </c>
      <c r="KF2" s="266" t="s">
        <v>551</v>
      </c>
      <c r="KG2" s="238" t="s">
        <v>552</v>
      </c>
      <c r="KH2" s="267" t="s">
        <v>345</v>
      </c>
      <c r="KI2" s="267" t="s">
        <v>338</v>
      </c>
      <c r="KJ2" s="268" t="s">
        <v>339</v>
      </c>
      <c r="KK2" s="267" t="s">
        <v>550</v>
      </c>
      <c r="KL2" s="267" t="s">
        <v>547</v>
      </c>
      <c r="KM2" s="267" t="s">
        <v>548</v>
      </c>
      <c r="KN2" s="267" t="s">
        <v>549</v>
      </c>
      <c r="KO2" s="269" t="s">
        <v>523</v>
      </c>
      <c r="KP2" s="269" t="s">
        <v>348</v>
      </c>
      <c r="KQ2" s="269" t="s">
        <v>350</v>
      </c>
      <c r="KR2" s="269" t="s">
        <v>524</v>
      </c>
      <c r="KS2" s="269" t="s">
        <v>347</v>
      </c>
      <c r="KT2" s="187" t="s">
        <v>265</v>
      </c>
      <c r="KU2" s="187" t="s">
        <v>263</v>
      </c>
      <c r="KV2" s="188" t="s">
        <v>262</v>
      </c>
      <c r="KW2" s="187" t="s">
        <v>293</v>
      </c>
      <c r="KX2" s="189" t="s">
        <v>267</v>
      </c>
      <c r="KY2" s="189" t="s">
        <v>268</v>
      </c>
      <c r="KZ2" s="188" t="s">
        <v>292</v>
      </c>
      <c r="LA2" s="189" t="s">
        <v>294</v>
      </c>
      <c r="LB2" s="187" t="s">
        <v>269</v>
      </c>
      <c r="LC2" s="187" t="s">
        <v>266</v>
      </c>
      <c r="LD2" s="188" t="s">
        <v>295</v>
      </c>
      <c r="LE2" s="187" t="s">
        <v>296</v>
      </c>
      <c r="LF2" s="189" t="s">
        <v>270</v>
      </c>
      <c r="LG2" s="189" t="s">
        <v>271</v>
      </c>
      <c r="LH2" s="188" t="s">
        <v>297</v>
      </c>
      <c r="LI2" s="189" t="s">
        <v>298</v>
      </c>
      <c r="LJ2" s="187" t="s">
        <v>272</v>
      </c>
      <c r="LK2" s="187" t="s">
        <v>273</v>
      </c>
      <c r="LL2" s="188" t="s">
        <v>299</v>
      </c>
      <c r="LM2" s="187" t="s">
        <v>300</v>
      </c>
      <c r="LN2" s="190" t="s">
        <v>291</v>
      </c>
      <c r="LO2" s="190" t="s">
        <v>274</v>
      </c>
      <c r="LP2" s="188" t="s">
        <v>301</v>
      </c>
      <c r="LQ2" s="190" t="s">
        <v>275</v>
      </c>
      <c r="LR2" s="187" t="s">
        <v>331</v>
      </c>
      <c r="LS2" s="187" t="s">
        <v>276</v>
      </c>
      <c r="LT2" s="188" t="s">
        <v>302</v>
      </c>
      <c r="LU2" s="187" t="s">
        <v>303</v>
      </c>
      <c r="LV2" s="190" t="s">
        <v>564</v>
      </c>
      <c r="LW2" s="190" t="s">
        <v>565</v>
      </c>
      <c r="LX2" s="188" t="s">
        <v>566</v>
      </c>
      <c r="LY2" s="190" t="s">
        <v>567</v>
      </c>
      <c r="LZ2" s="187" t="s">
        <v>568</v>
      </c>
      <c r="MA2" s="187" t="s">
        <v>569</v>
      </c>
      <c r="MB2" s="188" t="s">
        <v>570</v>
      </c>
      <c r="MC2" s="187" t="s">
        <v>571</v>
      </c>
      <c r="MD2" s="190" t="s">
        <v>572</v>
      </c>
      <c r="ME2" s="190" t="s">
        <v>573</v>
      </c>
      <c r="MF2" s="188" t="s">
        <v>574</v>
      </c>
      <c r="MG2" s="190" t="s">
        <v>575</v>
      </c>
      <c r="MH2" s="270" t="s">
        <v>253</v>
      </c>
      <c r="MI2" s="270" t="s">
        <v>351</v>
      </c>
      <c r="MJ2" s="270" t="s">
        <v>407</v>
      </c>
      <c r="MK2" s="270" t="s">
        <v>252</v>
      </c>
      <c r="ML2" s="270" t="s">
        <v>254</v>
      </c>
      <c r="MM2" s="270" t="s">
        <v>418</v>
      </c>
      <c r="MN2" s="270" t="s">
        <v>419</v>
      </c>
      <c r="MO2" s="270" t="s">
        <v>420</v>
      </c>
      <c r="MP2" s="270" t="s">
        <v>421</v>
      </c>
      <c r="MQ2" s="270" t="s">
        <v>422</v>
      </c>
      <c r="MR2" s="271" t="s">
        <v>423</v>
      </c>
      <c r="MS2" s="270" t="s">
        <v>279</v>
      </c>
      <c r="MT2" s="270" t="s">
        <v>769</v>
      </c>
      <c r="MU2" s="271" t="s">
        <v>280</v>
      </c>
      <c r="MV2" s="271" t="s">
        <v>281</v>
      </c>
      <c r="MW2" s="271" t="s">
        <v>282</v>
      </c>
      <c r="MX2" s="271" t="s">
        <v>341</v>
      </c>
      <c r="MY2" s="271" t="s">
        <v>342</v>
      </c>
      <c r="MZ2" s="271" t="s">
        <v>770</v>
      </c>
      <c r="NA2" s="271" t="s">
        <v>597</v>
      </c>
      <c r="NB2" s="271" t="s">
        <v>598</v>
      </c>
      <c r="NC2" s="271" t="s">
        <v>599</v>
      </c>
      <c r="ND2" s="270" t="s">
        <v>424</v>
      </c>
      <c r="NE2" s="270" t="s">
        <v>283</v>
      </c>
      <c r="NF2" s="270" t="s">
        <v>426</v>
      </c>
      <c r="NG2" s="270" t="s">
        <v>285</v>
      </c>
      <c r="NH2" s="270" t="s">
        <v>286</v>
      </c>
      <c r="NI2" s="270" t="s">
        <v>425</v>
      </c>
      <c r="NJ2" s="270" t="s">
        <v>403</v>
      </c>
      <c r="NK2" s="270" t="s">
        <v>404</v>
      </c>
      <c r="NL2" s="270" t="s">
        <v>315</v>
      </c>
      <c r="NM2" s="270" t="s">
        <v>310</v>
      </c>
      <c r="NN2" s="270" t="s">
        <v>311</v>
      </c>
      <c r="NO2" s="270" t="s">
        <v>312</v>
      </c>
      <c r="NP2" s="272" t="s">
        <v>739</v>
      </c>
      <c r="NQ2" s="272" t="s">
        <v>600</v>
      </c>
      <c r="NR2" s="272" t="s">
        <v>671</v>
      </c>
      <c r="NS2" s="272" t="s">
        <v>647</v>
      </c>
      <c r="NT2" s="272" t="s">
        <v>648</v>
      </c>
      <c r="NU2" s="272" t="s">
        <v>676</v>
      </c>
      <c r="NV2" s="272" t="s">
        <v>677</v>
      </c>
      <c r="NW2" s="272" t="s">
        <v>689</v>
      </c>
      <c r="NX2" s="272" t="s">
        <v>708</v>
      </c>
      <c r="NY2" s="273" t="s">
        <v>561</v>
      </c>
      <c r="NZ2" s="273" t="s">
        <v>777</v>
      </c>
      <c r="OA2" s="273" t="s">
        <v>778</v>
      </c>
      <c r="OB2" s="273">
        <v>10</v>
      </c>
      <c r="OC2" s="273">
        <v>11</v>
      </c>
      <c r="OD2" s="273">
        <v>12</v>
      </c>
      <c r="OE2" s="273">
        <v>13</v>
      </c>
      <c r="OF2" s="273">
        <v>14</v>
      </c>
      <c r="OG2" s="273">
        <v>15</v>
      </c>
      <c r="OH2" s="273">
        <v>16</v>
      </c>
      <c r="OI2" s="273">
        <v>17</v>
      </c>
      <c r="OJ2" s="273">
        <v>18</v>
      </c>
      <c r="OK2" s="273">
        <v>19</v>
      </c>
      <c r="OL2" s="273">
        <v>20</v>
      </c>
      <c r="OM2" s="273">
        <v>21</v>
      </c>
      <c r="ON2" s="273">
        <v>22</v>
      </c>
      <c r="OO2" s="273">
        <v>23</v>
      </c>
      <c r="OP2" s="273">
        <v>24</v>
      </c>
      <c r="OQ2" s="273">
        <v>25</v>
      </c>
      <c r="OR2" s="273">
        <v>26</v>
      </c>
      <c r="OS2" s="273">
        <v>27</v>
      </c>
      <c r="OT2" s="273">
        <v>28</v>
      </c>
      <c r="OU2" s="273">
        <v>29</v>
      </c>
      <c r="OV2" s="273">
        <v>30</v>
      </c>
      <c r="OW2" s="273">
        <v>31</v>
      </c>
      <c r="OX2" s="273">
        <v>32</v>
      </c>
      <c r="OY2" s="273">
        <v>33</v>
      </c>
      <c r="OZ2" s="273">
        <v>34</v>
      </c>
      <c r="PA2" s="273">
        <v>35</v>
      </c>
      <c r="PB2" s="273">
        <v>36</v>
      </c>
      <c r="PC2" s="273">
        <v>37</v>
      </c>
      <c r="PD2" s="273">
        <v>38</v>
      </c>
      <c r="PE2" s="273">
        <v>39</v>
      </c>
      <c r="PF2" s="273">
        <v>40</v>
      </c>
      <c r="PG2" s="273">
        <v>41</v>
      </c>
      <c r="PH2" s="273">
        <v>42</v>
      </c>
      <c r="PI2" s="274" t="s">
        <v>786</v>
      </c>
      <c r="PJ2" s="274" t="s">
        <v>778</v>
      </c>
      <c r="PK2" s="274">
        <v>10</v>
      </c>
      <c r="PL2" s="274">
        <v>11</v>
      </c>
      <c r="PM2" s="274">
        <v>12</v>
      </c>
      <c r="PN2" s="274">
        <v>13</v>
      </c>
      <c r="PO2" s="274">
        <v>14</v>
      </c>
      <c r="PP2" s="274">
        <v>15</v>
      </c>
      <c r="PQ2" s="274">
        <v>16</v>
      </c>
      <c r="PR2" s="274">
        <v>17</v>
      </c>
      <c r="PS2" s="274">
        <v>18</v>
      </c>
      <c r="PT2" s="274">
        <v>19</v>
      </c>
      <c r="PU2" s="274">
        <v>20</v>
      </c>
      <c r="PV2" s="274">
        <v>21</v>
      </c>
      <c r="PW2" s="274">
        <v>22</v>
      </c>
      <c r="PX2" s="274">
        <v>23</v>
      </c>
      <c r="PY2" s="274">
        <v>24</v>
      </c>
      <c r="PZ2" s="274">
        <v>25</v>
      </c>
      <c r="QA2" s="274">
        <v>26</v>
      </c>
      <c r="QB2" s="274">
        <v>27</v>
      </c>
      <c r="QC2" s="274">
        <v>28</v>
      </c>
      <c r="QD2" s="274">
        <v>29</v>
      </c>
      <c r="QE2" s="274">
        <v>30</v>
      </c>
      <c r="QF2" s="274">
        <v>31</v>
      </c>
      <c r="QG2" s="274">
        <v>32</v>
      </c>
      <c r="QH2" s="275">
        <v>33</v>
      </c>
      <c r="QI2" s="274">
        <v>34</v>
      </c>
      <c r="QJ2" s="274">
        <v>35</v>
      </c>
      <c r="QK2" s="274">
        <v>36</v>
      </c>
      <c r="QL2" s="274">
        <v>37</v>
      </c>
      <c r="QM2" s="274">
        <v>38</v>
      </c>
      <c r="QN2" s="274">
        <v>39</v>
      </c>
      <c r="QO2" s="274">
        <v>40</v>
      </c>
      <c r="QP2" s="274">
        <v>41</v>
      </c>
      <c r="QQ2" s="274">
        <v>42</v>
      </c>
      <c r="QR2" s="276" t="s">
        <v>786</v>
      </c>
      <c r="QS2" s="276" t="s">
        <v>778</v>
      </c>
      <c r="QT2" s="276">
        <v>13</v>
      </c>
      <c r="QU2" s="276">
        <v>14</v>
      </c>
      <c r="QV2" s="276">
        <v>15</v>
      </c>
      <c r="QW2" s="276">
        <v>16</v>
      </c>
      <c r="QX2" s="276">
        <v>17</v>
      </c>
      <c r="QY2" s="276">
        <v>18</v>
      </c>
      <c r="QZ2" s="276">
        <v>19</v>
      </c>
      <c r="RA2" s="276">
        <v>20</v>
      </c>
      <c r="RB2" s="276">
        <v>21</v>
      </c>
      <c r="RC2" s="276">
        <v>22</v>
      </c>
      <c r="RD2" s="276">
        <v>23</v>
      </c>
      <c r="RE2" s="276">
        <v>24</v>
      </c>
      <c r="RF2" s="276">
        <v>25</v>
      </c>
      <c r="RG2" s="276">
        <v>26</v>
      </c>
      <c r="RH2" s="276">
        <v>27</v>
      </c>
      <c r="RI2" s="276">
        <v>28</v>
      </c>
      <c r="RJ2" s="276">
        <v>29</v>
      </c>
      <c r="RK2" s="276">
        <v>30</v>
      </c>
      <c r="RL2" s="276">
        <v>31</v>
      </c>
      <c r="RM2" s="276">
        <v>32</v>
      </c>
      <c r="RN2" s="277">
        <v>33</v>
      </c>
      <c r="RO2" s="276">
        <v>34</v>
      </c>
      <c r="RP2" s="276">
        <v>35</v>
      </c>
      <c r="RQ2" s="276">
        <v>36</v>
      </c>
      <c r="RR2" s="276">
        <v>37</v>
      </c>
      <c r="RS2" s="276">
        <v>38</v>
      </c>
      <c r="RT2" s="276">
        <v>39</v>
      </c>
      <c r="RU2" s="276" t="s">
        <v>802</v>
      </c>
      <c r="RV2" s="278" t="s">
        <v>803</v>
      </c>
      <c r="RW2" s="282" t="s">
        <v>804</v>
      </c>
      <c r="RX2" s="21" t="s">
        <v>841</v>
      </c>
      <c r="RY2" s="21" t="s">
        <v>842</v>
      </c>
    </row>
    <row r="3" spans="1:493" ht="24.6" customHeight="1" x14ac:dyDescent="0.25">
      <c r="A3" s="208" t="s">
        <v>736</v>
      </c>
      <c r="B3" s="81"/>
      <c r="C3" s="81"/>
      <c r="D3" s="208"/>
      <c r="E3" s="81"/>
      <c r="F3" s="81"/>
      <c r="G3" s="81"/>
      <c r="H3" s="81"/>
      <c r="I3" s="209"/>
      <c r="J3" s="210"/>
      <c r="K3" s="81"/>
      <c r="L3" s="211"/>
      <c r="M3" s="212"/>
      <c r="N3" s="213" t="str">
        <f t="shared" ref="N3:N66" ca="1" si="0">IF(M3&gt;0,SUM(TODAY()-M3)/365,"")</f>
        <v/>
      </c>
      <c r="O3" s="212"/>
      <c r="P3" s="214" t="str">
        <f t="shared" ref="P3:P34" si="1">IF(AND(O3="",R3&gt;0),"ACUDE ESPONTANEAMENTE",IF(AND(AND(O3&gt;0,R3=""),OR(IN3&gt;0,IK3&lt;&gt;"")),"NA",IF(AND(O3&gt;0,IN3="",R3=""),"NO",IF(AND(O3&gt;0,R3&gt;0),"SI",""))))</f>
        <v/>
      </c>
      <c r="Q3" s="215"/>
      <c r="R3" s="212"/>
      <c r="S3" s="216"/>
      <c r="T3" s="217"/>
      <c r="U3" s="216"/>
      <c r="V3" s="216"/>
      <c r="W3" s="216"/>
      <c r="X3" s="216"/>
      <c r="Y3" s="216"/>
      <c r="Z3" s="216"/>
      <c r="AA3" s="216"/>
      <c r="AB3" s="218"/>
      <c r="AC3" s="215"/>
      <c r="AD3" s="186"/>
      <c r="AE3" s="215"/>
      <c r="AF3" s="215"/>
      <c r="AG3" s="219"/>
      <c r="AH3" s="219"/>
      <c r="AI3" s="217"/>
      <c r="AJ3" s="219"/>
      <c r="AK3" s="220" t="str">
        <f>IF(AND(AD3="",AE3="",AF3="",AG3="",AH3="",AI3="",AJ3=""),"",IF(OR(Tabla1[[#This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EVALUACIÓN",IF(AND(O3="",R3=""),"",IF(AND(OR(O3&gt;0,R3&gt;0),NG3&gt;=0,NG3&lt;2),"SIN RIESGO",IF(AND(OR(O3&gt;0,R3&gt;0),NG3&gt;=2),"CON RIESGO","ASD")))))</f>
        <v/>
      </c>
      <c r="AL3" s="219"/>
      <c r="AM3" s="215"/>
      <c r="AN3" s="215"/>
      <c r="AO3" s="215"/>
      <c r="AP3" s="215"/>
      <c r="AQ3" s="215"/>
      <c r="AR3" s="215"/>
      <c r="AS3" s="216"/>
      <c r="AT3" s="216"/>
      <c r="AU3" s="216"/>
      <c r="AV3" s="215"/>
      <c r="AW3" s="216"/>
      <c r="AX3" s="215"/>
      <c r="AY3" s="215"/>
      <c r="AZ3" s="215"/>
      <c r="BA3" s="215"/>
      <c r="BB3" s="215"/>
      <c r="BC3" s="215"/>
      <c r="BD3" s="215"/>
      <c r="BE3" s="221"/>
      <c r="BF3" s="215"/>
      <c r="BG3" s="215"/>
      <c r="BH3" s="215"/>
      <c r="BI3" s="215"/>
      <c r="BJ3" s="215"/>
      <c r="BK3" s="215"/>
      <c r="BL3" s="215"/>
      <c r="BM3" s="215"/>
      <c r="BN3" s="212"/>
      <c r="BO3" s="22"/>
      <c r="BP3" s="216"/>
      <c r="BQ3" s="222" t="str">
        <f t="shared" ref="BQ3:BQ66" si="2">IF(OR(BN3="SD",RW3=""),"",IF(BN3="",0,SUM(RW3-BN3)/30))</f>
        <v/>
      </c>
      <c r="BR3" s="223" t="str">
        <f t="shared" ref="BR3:BR66" si="3">IF(BX3&gt;0,SUM(BW3-NH3),"")</f>
        <v/>
      </c>
      <c r="BS3" s="224" t="str">
        <f t="shared" ref="BS3:BS66" si="4">IF(AND(BP3="Corregida",BO3&gt;0,R3&gt;0,ISBLANK(BX3)),"SIN SEMANAS X ECO",IF(AND(BP3="Corregida",BO3&gt;0,R3&gt;0),SUM(R3-BR3)/7,IF(AND(OR(BP3="SI",BP3="NO"),BO3&gt;0,R3&gt;0),SUM(R3-BO3)/7,"")))</f>
        <v/>
      </c>
      <c r="BT3" s="216" t="str">
        <f t="shared" ref="BT3:BT66" si="5">IF(AND(BS3="",IG3=""),"",IF(AND(BS3="",IG3="DEFINIR FPP POR ECO"),"SIN DATO",IF(BS3&lt;0,"ERROR FUM O INGRESO O ECO",IF(BP3="NO","DEFINIR CON ECO",IF(BS3&lt;10,"I TRIM",IF(BS3&lt;27,"II TRIM",IF(AND(BS3&gt;26,BS3&lt;45),"III TRIM","ERROR FUM O INGRESO O ECO")))))))</f>
        <v/>
      </c>
      <c r="BU3" s="214" t="str">
        <f t="shared" ref="BU3:BU66" ca="1" si="6">IF(AND(BO3="",BR3=""),"",IF(SUM((TODAY()-RW3)/7)&gt;43.1,"",IF(AND(RW3&gt;0,OR(BP3="si",BP3="Corregida",BP3="NO")),SUM((TODAY()-RW3)/7),"")))</f>
        <v/>
      </c>
      <c r="BV3" s="214"/>
      <c r="BW3" s="212"/>
      <c r="BX3" s="222"/>
      <c r="BY3" s="222"/>
      <c r="BZ3" s="212"/>
      <c r="CA3" s="216"/>
      <c r="CB3" s="215"/>
      <c r="CC3" s="215"/>
      <c r="CD3" s="215"/>
      <c r="CE3" s="215"/>
      <c r="CF3" s="212"/>
      <c r="CG3" s="216"/>
      <c r="CH3" s="216"/>
      <c r="CI3" s="214" t="str">
        <f t="shared" ref="CI3:CI66" si="7">IF(AND(OR(O3&gt;0,R3&gt;0),CG3=""),"SD",IF(AND(OR(O3="",R3=""),CG3=""),"",IF(AND(OR(O3&gt;0,R3&gt;0),CG3&gt;0,CH3&gt;0),SUM(CH3)/(CG3*CG3),"X")))</f>
        <v/>
      </c>
      <c r="CJ3" s="225" t="str">
        <f>IF(AND(CI3&lt;10,CH3="SD"),"SIN DATO PESO PREGESTACION O I TRIM",IF(AND(OR(R3&gt;0,O3&gt;0),CI3="X"),"INGRESAR DATO DE PESO",IF(CI3="SD","INGRESAR DATO DE TALLA Y PESO",IF(AND(OR(Tabla1[[#This Row],[MOMENTO EN QUE SE REALIZA EL PESO AL INGRESO A CPN]]="PREGESTACIÓN",NZ3="Menor"),CI3&lt;18.5),"BAJO PESO",IF(AND(OR(Tabla1[[#This Row],[MOMENTO EN QUE SE REALIZA EL PESO AL INGRESO A CPN]]="PREGESTACIÓN",NZ3="Menor"),CI3&lt;25),"NORMAL",IF(AND(OR(Tabla1[[#This Row],[MOMENTO EN QUE SE REALIZA EL PESO AL INGRESO A CPN]]="PREGESTACIÓN",NZ3="Menor"),CI3&lt;30),"SOBREPESO",IF(AND(OR(Tabla1[[#This Row],[MOMENTO EN QUE SE REALIZA EL PESO AL INGRESO A CPN]]="PREGESTACIÓN",NZ3="Menor"),CI3&gt;=30,CI3&lt;50),"OBESIDAD",IF(AND(BS3&gt;0,Tabla1[[#This Row],[MOMENTO EN QUE SE REALIZA EL PESO AL INGRESO A CPN]]="GESTACIÓN"),HLOOKUP(NZ3,$OA$2:PH3,NY3),""))))))))</f>
        <v/>
      </c>
      <c r="CK3" s="212" t="str">
        <f t="shared" ref="CK3:CK66" si="8">DY3</f>
        <v/>
      </c>
      <c r="CL3" s="216"/>
      <c r="CM3" s="214" t="str">
        <f t="shared" ref="CM3:CM66" si="9">IF(AND(OR(O3&gt;0,R3&gt;0),CG3=""),"SD",IF(AND(OR(O3="",R3=""),CG3=""),"",IF(AND(OR(O3&gt;0,R3&gt;0),CG3&gt;0),SUM(CL3)/(CG3*CG3),"X")))</f>
        <v/>
      </c>
      <c r="CN3" s="216" t="str">
        <f t="shared" ref="CN3:CN66" si="10">DZ3</f>
        <v/>
      </c>
      <c r="CO3" s="216" t="str">
        <f>IF(PI3="","",IF(PI3&gt;0,HLOOKUP(PI3,$PJ$2:QQ3,NY3),""))</f>
        <v/>
      </c>
      <c r="CP3" s="216"/>
      <c r="CQ3" s="216" t="str">
        <f>IF(QR3="Menor","NO APLICA-MENOR 13 SEM",IF(AND(CC3="SI",CN3&gt;23),"NO APLICA- GEMELAR",IF(QR3="","",IF(QR3&gt;0,HLOOKUP(QR3,$QS$2:RU3,NY3),""))))</f>
        <v/>
      </c>
      <c r="CR3" s="21"/>
      <c r="CS3" s="21"/>
      <c r="CT3" s="217" t="str">
        <f>IF(R3="","",IF(AND(BS3&gt;1,BS3&lt;12,Tabla1[[#This Row],[T.A. SISTOLICA - ANTES DE SEMANA 12]]="",Tabla1[[#This Row],[T.A. DIASTOLICA - ANTES DE SEMANA 12]]=""),"REGISTRE DATO TA ANTES SEMANA 12",IF(AND(BS3&gt;11,BS3&lt;43,Tabla1[[#This Row],[T.A. SISTOLICA - ANTES DE SEMANA 12]]="",Tabla1[[#This Row],[T.A. DIASTOLICA - ANTES DE SEMANA 12]]=""),"NO APLICA REGISTRO TA-INGRESO TARDIO",IF(AND(OR(O3&gt;0,R3&gt;0),OR(CR3&gt;=140,CS3&gt;=90)),"DEFINIR ESTADIO HTA",IF(AND(OR(O3&gt;0,R3&gt;0),AND(CR3&gt;120,CR3&lt;=139)),"PRE HTA SEGUIMIENTO",IF(AND(OR(O3&gt;0,R3&gt;0),AND(CS3&gt;80,CS3&lt;=89)),"PRE HTA SEGUIMIENTO",IF(AND(OR(O3&gt;0,R3&gt;0),AND(CR3&gt;=80,CR3&lt;=120)),"APARENTEMENTE NORMAL",IF(AND(OR(O3&gt;0,R3&gt;0),AND(CS3&gt;=50,CS3&lt;=80)),"APARENTEMENTE NORMAL",IF(AND(OR(O3&gt;0,R3&gt;0),AND(CR3&gt;1,CR3&lt;=70),AND(CS3&gt;1,CS3&lt;=40)),"HIPOTENSIÓN","")))))))))</f>
        <v/>
      </c>
      <c r="CU3" s="21"/>
      <c r="CV3" s="21"/>
      <c r="CW3" s="217" t="str">
        <f>IF(R3="","",IF(AND(CN3&gt;19,CN3&lt;27,Tabla1[[#This Row],[T.A. SISTOLICA (Entre semana 20 y 26)]]="",Tabla1[[#This Row],[T.A. DIATOLICA (Entre semana 20 y 26)]]=""),"ACUDE A CONTROL SEM 20 A 26 REGISTRE TA AHORA",IF(AND(BS3&gt;1,BS3&lt;27,BU3&gt;19,Tabla1[[#This Row],[T.A. SISTOLICA (Entre semana 20 y 26)]]="",Tabla1[[#This Row],[T.A. DIATOLICA (Entre semana 20 y 26)]]=""),"COMPLETE REGISTRO TA CONTROL SEM 20 A26 ",IF(AND(BS3&gt;26,BS3&lt;43,Tabla1[[#This Row],[T.A. SISTOLICA (Entre semana 20 y 26)]]="",Tabla1[[#This Row],[T.A. DIATOLICA (Entre semana 20 y 26)]]=""),"NO APLICA REGISTRO TA-INGRESO TARDIO",IF(AND(OR(O3&gt;0,R3&gt;0),OR(CU3&gt;=140,CV3&gt;=90)),"ALTO RIESGO PREECLAMPSIA,DEFINIR ESTADIO HTA",IF(AND(OR(O3&gt;0,R3&gt;0),AND(CU3&gt;120,CU3&lt;=139)),"PRE HTA SEGUIMIENTO,RIESGO HIPERTENSION INDUCIDA POR EL EMBARAZO",IF(AND(OR(O3&gt;0,R3&gt;0),AND(CV3&gt;80,CV3&lt;=89)),"PRE HTA SEGUIMIENTO, RIESGO HIPERTENSION INDUCIDA POR EL EMBARAZO",IF(AND(OR(O3&lt;&gt;"",R3&lt;&gt;""),CS3&lt;&gt;"",CV3&lt;&gt;"",CS3&lt;=CV3),"VIGILAR CIFRAS PRESION ARTERIAL",IF(AND(OR(O3&gt;0,R3&gt;0),AND(CU3&gt;120,CU3&lt;=139)),"PRE HTA SEGUIMIENTO",IF(AND(OR(O3&gt;0,R3&gt;0),AND(CU3&gt;1,CU3&lt;=70),AND(CV3&gt;1,CV3&lt;=40)),"HIPOTENSIÓN",IF(AND(OR(O3&lt;&gt;"",R3&lt;&gt;""),CS3&lt;&gt;"",CV3&lt;&gt;"",CS3&gt;CV3),"APARENTEMENTE NORMAL",IF(AND(OR(O3&gt;0,R3&gt;0),AND(CU3&gt;=80,CU3&lt;=120)),"APARENTEMENTE NORMAL",IF(AND(OR(O3&gt;0,R3&gt;0),AND(CV3&gt;=50,CV3&lt;=80)),"APARENTEMENTE NORMAL","")))))))))))))</f>
        <v/>
      </c>
      <c r="CX3" s="216"/>
      <c r="CY3" s="216"/>
      <c r="CZ3" s="216" t="str">
        <f t="shared" ref="CZ3:CZ34" si="11">IF(R3="","",IF(AND(CN3&gt;31,CN3&lt;35,CX3="",CY3=""),"ACUDE A CONTROL SEM 30 A 34- REGISTRE AHORA",IF(AND(BS3&gt;34,BS3&lt;43,CX4="",CY4=""),"NO APLICA-INGRESO TARDIO",IF(AND(OR(O3&gt;0,R3&gt;0),OR(CX3&gt;=140,CY3&gt;=90)),"ESTUDIO INMEDIATO HTA PARA DESCARTAR PREECLAMSIA",IF(AND(OR(O3&gt;0,R3&gt;0),AND(CX3&gt;=130,CX3&lt;=139)),"PRE HTA,RIESGO ALTO PREECLAMPSIA",IF(AND(OR(O3&gt;0,R3&gt;0),AND(CY3&gt;80,CY3&lt;=89)),"PRE HTA,RIESGO ALTO PREECLAMPSIA",IF(AND(OR(O3&gt;0,R3&gt;0),AND(CX3&gt;120,CX3&lt;=129)),"RANGO PREHIPERTENSIVO SEGUIMIENTO HTA",IF(AND(OR(O3&lt;&gt;"",R3&lt;&gt;""),CS3&lt;&gt;"",CY3&lt;&gt;"",CS3&lt;CY3),"VIGILAR CIFRAS PRESION ARTERIAL",IF(AND(OR(O3&lt;&gt;"",R3&lt;&gt;""),CS3&lt;&gt;"",CY3&lt;&gt;"",CS3=CY3),"APARENTEMENTE NORMAL",IF(AND(OR(O3&gt;0,R3&gt;0),CX3&gt;=80,CX3&lt;=120),"APARENTEMENTE NORMAL",IF(AND(OR(O3&gt;0,R3&gt;0),CY3&gt;=50,CY3&lt;=80),"APARENTEMENTE NORMAL","")))))))))))</f>
        <v/>
      </c>
      <c r="DA3" s="216"/>
      <c r="DB3" s="216"/>
      <c r="DC3" s="217" t="str">
        <f t="shared" ref="DC3:DC66" si="12">IF(AND(R3="",DA3="",DB3=""),"",IF(AND(R3&lt;&gt;"",DA3="",DB3=""),"REGISTRE DATO PRESIÓN ARTERIAL MENSUAL",IF(AND(OR(O3&gt;0,R3&gt;0),OR(DA3&gt;=140,DB3&gt;=90)),"ESTUDIO INMEDIATO HTA PARA DESCARTAR PREECLAMSIA",IF(AND(OR(O3&gt;0,R3&gt;0),AND(DA3&gt;=130,DA3&lt;=139)),"PRE HTA,RIESGO ALTO PREECLAMPSIA",IF(AND(OR(O3&gt;0,R3&gt;0),AND(DB3&gt;80,DB3&lt;=89)),"PRE HTA,RIESGO ALTO PREECLAMPSIA",IF(AND(OR(O3&gt;0,R3&gt;0),AND(DA3&gt;120,DA3&lt;=129)),"RANGO PREHIPERTENSIVO SEGUIMIENTO HTA",IF(AND(CN3&gt;34,CN3&lt;43,OR(O3&lt;&gt;"",R3&lt;&gt;""),CS3&lt;&gt;"",CY3&lt;&gt;"",DB3&lt;&gt;"",OR(CS3&lt;DB3,CS3&lt;CY3)),"VIGILAR CIFRAS PRESION ARTERIAL",IF(AND(CN3&gt;34,CN3&lt;43,OR(O3&lt;&gt;"",R3&lt;&gt;""),CR3="",CS3="",OR(CY3&lt;DB3,CX3&lt;DA3)),"VIGILAR CIFRAS PRESION ARTERIAL",IF(AND(CN3&gt;34,CN3&lt;43,OR(O3&lt;&gt;"",R3&lt;&gt;""),CS3&lt;&gt;"",CY3&lt;&gt;"",DB3&lt;&gt;"",OR(CS3=DB3,CS3=CY3)),"APARENTEMENTE NORMAL",IF(AND(OR(O3&gt;0,R3&gt;0),AND(DA3&gt;=80,DA3&lt;=120)),"APARENTEMENTE NORMAL",IF(AND(CN3&gt;34,CN3&lt;43,OR(O3&gt;0,R3&gt;0),AND(DB3&gt;=50,DB3&lt;=80)),"APARENTEMENTE NORMAL","")))))))))))</f>
        <v/>
      </c>
      <c r="DD3" s="212"/>
      <c r="DE3" s="212"/>
      <c r="DF3" s="212"/>
      <c r="DG3" s="212"/>
      <c r="DH3" s="212"/>
      <c r="DI3" s="212"/>
      <c r="DJ3" s="212"/>
      <c r="DK3" s="212"/>
      <c r="DL3" s="212"/>
      <c r="DM3" s="212"/>
      <c r="DN3" s="212"/>
      <c r="DO3" s="212"/>
      <c r="DP3" s="212"/>
      <c r="DQ3" s="212"/>
      <c r="DR3" s="222"/>
      <c r="DS3" s="212"/>
      <c r="DT3" s="212"/>
      <c r="DU3" s="216" t="str">
        <f t="shared" ref="DU3:DU34" si="13">IF(AND(BT3="ERROR FUM O INGRESO",DS3&gt;0),"ERROR FUM O INGRESO",IF(AND(DS3="",R3="",O3=""),"",IF(OR(AND(DS3&lt;&gt;"",DS3&lt;RW3),AND(DS3&lt;&gt;"",AND(SUM((DS3-RW3)/7)&gt;0,SUM((DS3-RW3)/7)&lt;28))),"PLAN REALIZADO ANTES III TRIM", IF(AND(DS3="",OR(O3&gt;0,R3&gt;0),AND(BU3&gt;=28, BU3&lt;35,DV3="ACTIVA INGRESO A CPN")),"PLANEAR PLAN DE PARTO", IF(AND(DS3="",OR(O3&gt;0,R3&gt;0),BU3&gt;=35,DV3="ACTIVA INGRESO A CPN"),"CONCERTAR PLAN DE PARTO INMEDIATO", IF(AND(DS3="",OR(O3&gt;0,R3&gt;0),AND(BU3&gt;0, BU3&lt;28),OR(DV3="ACTIVA INGRESO A CPN", DV3=" ACTIVA SIN INGRESO CPN")),"EN ESPERA", IF(AND(DS3="",OR(O3&gt;0,R3&gt;0),AND(IP3&gt;0, IP3&lt;28)),"NO APLICA SALE PROGRAMA ANTES III TRIM", IF(AND(DS3="",OR(O3&gt;0,R3&gt;0),AND(IP3&gt;=28, IP3&lt;35)),"SALE PROGRAMA ANTES SEMANA 35", IF(AND(DS3="",OR(O3&gt;0,R3&gt;0),IP3&gt;35),"SALE SIN PLAN DE PARTO",IF(DS3&gt;0,SUM(DS3-BO3)/7,""))))))))))</f>
        <v/>
      </c>
      <c r="DV3" s="226" t="str">
        <f t="shared" ref="DV3:DV34" si="14">IF(AND(R3&lt;&gt;"",IK3="CAMBIO DE RESIDENCIA",IK3="CAMBIO DE IPS",IK3="CAMBIO DE EPS"),"SEGUIMIENTO REPORTE EPS",IF(IK3="IVE","IVE",IF(AND(R3&lt;&gt;"",OR(IK3&lt;&gt;"",IN3&lt;&gt;"")),"SALIO PROGRAMA",IF(AND(AND(R3="",O3&gt;0),OR(IK3&lt;&gt;"",IN3&lt;&gt;"")),"SALE SIN INGRESO CPN",IF(AND(R3="",O3&gt;0,IK3="",IN3=""),"ACTIVA SIN INGRESO CPN",IF(AND(R3&lt;&gt;"",OR(IK3="",IN3="")),"ACTIVA INGRESO A CPN",""))))))</f>
        <v/>
      </c>
      <c r="DW3"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
      </c>
      <c r="DX3" s="216" t="str">
        <f t="shared" ref="DX3:DX66" ca="1" si="15">IF(NI3="SD","",IF(AND(NI3&lt;=33,NI3&gt;=8),"MES DE CONTROL",IF(AND(NI3&gt;=1,NI3&lt;8),"SEMANA DE CONTROL",IF(NI3=0,"DIA DE CONTROL",IF(NI3&lt;0,"INASISTENTE",IF(NI3="Y","SEGUIMIENTO FUERA MUNICIPIO",IF(NI3="Z","BUSCAR PARA INGRESO A CPN",IF(NI3="W","DEFINIR FECHA CITA",IF(NI3="X","NO REALIZO CPN",IF(NI3="I","IVE",IF(NI3="S","DILIGENCIAR FECHA SALIDA PROGRAMA","REVISAR FORMULA")))))))))))</f>
        <v/>
      </c>
      <c r="DY3" s="212" t="str">
        <f>IF(R3="","",IF(R3&gt;0,MAX(Tabla1[[#This Row],[FECHA C2]:[FECHA C13]],Tabla1[[#This Row],[FECHA CONSULTA PRIMERA VEZ PROGRAMA CPN ]])))</f>
        <v/>
      </c>
      <c r="DZ3" s="216" t="str">
        <f t="shared" ref="DZ3:DZ66" si="16">IF(AND(DY3="",RW3="",R3=""),"",IF(AND(R3="",RW3&gt;0,DY3=""),"",IF(AND(R3&gt;0,DY3&lt;RW3),"REVISAR FUM O FECHA CPN",IF(AND(R3&gt;0,DY3&gt;0,RW3=""),"SD",IF(AND(R3&gt;0,DY3&gt;0,RW3&gt;0),INT(SUM(DY3-RW3)/7))))))</f>
        <v/>
      </c>
      <c r="EA3" s="222" t="str">
        <f>IF(R3&gt;0,SUM(COUNTA(DF3:DQ3)+COUNTA(Tabla1[[#This Row],[FECHA CONSULTA PRIMERA VEZ PROGRAMA CPN ]])),"")</f>
        <v/>
      </c>
      <c r="EB3" s="222" t="str">
        <f t="shared" ref="EB3:EB66" si="17">IF(AND(EA3&gt;=0,EA3&lt;4),"NO",IF(AND(EA3&gt;=4,EA3&lt;12),"SI",""))</f>
        <v/>
      </c>
      <c r="EC3" s="214" t="str">
        <f t="shared" ref="EC3:EC66" si="18">IF(BS3="","",IF(BS3&gt;0,INT(SUM(((40-BS3)/4)+2)),"X"))</f>
        <v/>
      </c>
      <c r="ED3" s="227" t="str">
        <f t="shared" ref="ED3:ED66" si="19">IF(EC3="","",IF(EA3&gt;0,SUM(EA3/EC3),"X"))</f>
        <v/>
      </c>
      <c r="EE3" s="212"/>
      <c r="EF3" s="212"/>
      <c r="EG3" s="212"/>
      <c r="EH3" s="212"/>
      <c r="EI3" s="212"/>
      <c r="EJ3" s="212"/>
      <c r="EK3" s="212"/>
      <c r="EL3" s="216"/>
      <c r="EM3" s="216"/>
      <c r="EN3" s="212"/>
      <c r="EO3" s="222" t="str">
        <f t="shared" ref="EO3:EO66" si="20">IF(AND(BT3="ERROR FUM O INGRESO",EN3&gt;0),"ERROR FUM O INGRESO",IF(AND(EN3="",R3="",O3=""),"",IF(OR(AND(EN3&lt;&gt;"",EN3&lt;RW3),AND(EN3&lt;&gt;"",SUM((EN3-RW3)/7)&gt;40)),"CORREGIR FECHA RESULTADO",IF(AND(EN3="",OR(O3&gt;0,R3&gt;0)),"TOMAR EXAMEN",IF(EN3&gt;0,SUM(EN3-RW3)/7,"")))))</f>
        <v/>
      </c>
      <c r="EP3" s="214" t="str">
        <f t="shared" ref="EP3:EP66" si="21">IF(AND(OR(O3&gt;0,R3&gt;0),EM3=""),"",IF(AND(OR(O3&gt;0,R3&gt;0),EM3&gt;0,EM3&lt;11),"MANEJO MD POR ANEMIA FERROPENICA",IF(AND(OR(O3&gt;0,R3&gt;0),EM3&lt;=14),"NORMAL- SUMINISTRAR SULFATO FERROSO",IF(AND(OR(O3&gt;0,R3&gt;0),EM3&lt;20),"NO DAR SULFATO FERROSO",""))))</f>
        <v/>
      </c>
      <c r="EQ3" s="216" t="str">
        <f t="shared" ref="EQ3:EQ66" si="22">IF(AND(EO3="",BT3=""),"",IF(AND(EO3&lt;&gt;"",BT3="SIN DATO"),"SIN DATO",IF(AND(EO3="",BT3&lt;&gt;""),"",IF(AND(EO3&lt;0,BT3&gt;0),"ERROR FUM O INGRESO",IF(EO3&lt;=13,"I TRIM",IF(EO3&lt;28,"II TRIM",IF(AND(EO3&gt;27,EO3&lt;45),"III TRIM","POR DEFINIR")))))))</f>
        <v/>
      </c>
      <c r="ER3" s="217"/>
      <c r="ES3" s="212"/>
      <c r="ET3" s="29" t="str">
        <f t="shared" ref="ET3:ET34" si="23">IF(AND(BT3="ERROR FUM O INGRESO",ES3&gt;0),"ERROR FUM O INGRESO",IF(AND(ES3="",R3="",O3=""),"",IF(OR(AND(ES3&lt;&gt;"",ES3&lt;RW3),AND(ES3&lt;&gt;"",SUM((ES3-RW3)/7)&gt;40)),"CORREGIR FECHA RESULTADO",IF(AND(BU3&gt;1,BU3&lt;23,ER3="",ES3=""),"EN ESPERA PARA TOMA EXAMEN",IF(AND(BU3&gt;22,BU3&lt;26,ER3="",ES3=""),"PROGRAMAR TOMA HEMOGLOBINA A SEM 28",IF(AND(BU3&gt;25,BU3&lt;28,ER3="",ES3=""),"TOMA HEMOGLOBINA A SEM 28 EN 1 SEMANA",IF(AND(BU3&gt;27,BU3&lt;31,ES3="",OR(O3&gt;0,R3&gt;0)),"EN SEMANA 28 TOMA INMEDIATA DE EXAMEN",IF(AND(IP3&gt;0,IP3&lt;28,ES3="",OR(O3&gt;0,R3&gt;0)),"NO APLICA-SALE ANTES SEM 28",IF(AND(IP3&gt;28,IP3&lt;43,ES3="",OR(O3&gt;0,R3&gt;0)),"SALE SIN TAMIZAJE HEMOGLOBINA SEM 28",IF(AND(BS3&gt;0,ES3="",OR(O3&gt;0,R3&gt;0)),"TOMA DE HEMOGLOBINA TARDÍA",IF(ES3&gt;0,SUM(ES3-RW3)/7,"")))))))))))</f>
        <v/>
      </c>
      <c r="EU3" s="25" t="str">
        <f t="shared" ref="EU3:EU66" si="24">IF(AND(OR(O3&gt;0,R3&gt;0),ER3=""),"",IF(AND(OR(O3&gt;0,R3&gt;0),ER3&gt;0,ER3&lt;10.5),"MANEJO MD POR ANEMIA FERROPENICA",IF(AND(OR(O3&gt;0,R3&gt;0),ER3&lt;14),"NORMAL- SUMINISTRAR SULFATO FERROSO",IF(AND(OR(O3&gt;0,R3&gt;0),ER3&lt;20),"NO DAR SULFATO FERROSO",""))))</f>
        <v/>
      </c>
      <c r="EV3" s="24"/>
      <c r="EW3" s="32"/>
      <c r="EX3" s="22"/>
      <c r="EY3" s="29" t="str">
        <f t="shared" ref="EY3:EY34" si="25">IF(AND(BT3="ERROR FUM O INGRESO",EW3&gt;0),"ERROR FUM O INGRESO",IF(AND(EW3="",R3="",O3=""),"",IF(OR(AND(EW3&lt;&gt;"",EW3&lt;RW3),AND(EW3&lt;&gt;"",SUM((EW3-RW3)/7)&gt;40)),"CORREGIR FECHA RESULTADO",IF(AND(EW3="",OR(O3&gt;0,R3&gt;0)),"TOMAR EXAMEN",IF(EW3&gt;0,SUM(EW3-RW3)/7,"")))))</f>
        <v/>
      </c>
      <c r="EZ3" s="25" t="str">
        <f t="shared" ref="EZ3:EZ34" ca="1" si="26">IF(EV3="RH POSITIVO","SIN RIESGO DE ISOINMUNIZACIÓN",IF(AND(EV3="RH NEGATIVO CON COOMBS NEGATIVO",EX3="",BU3&lt;=24),"COOMBS C/MES Y APLICAR RHESUMAN SEM 28",IF(AND(EV3="RH NEGATIVO CON COOMBS NEGATIVO",EX3="",AND(BU3&gt;24,BU3&lt;27)),"FALTAN DE 4 A 2 SEMANAS PARA APLICAR RHESUMAN A SEM 28",IF(AND(EV3="RH NEGATIVO CON COOMBS NEGATIVO",EX3="",AND(BU3&gt;26.99,BU3&lt;27.99)),"FALTAN 1 SEMANAS PARA APLICAR RHESUMAN A SEM 28",IF(AND(EV3="RH NEGATIVO CON COOMBS NEGATIVO",EX3="",AND(BU3&gt;27.99,BU3&lt;29)),"SEMANA 28 APLICAR DE INMEDIATO RHESUMAN",IF(AND(EV3="RH NEGATIVO CON COOMBS NEGATIVO",EX3="",AND(BU3&gt;28.99,BU3&lt;42)),"DEBE APLICAR RHESUMAN, ES NO OPORTUNO &gt; 28 SEMANAS",IF(AND(EV3="RH NEGATIVO CON COOMBS NEGATIVO",EX3&gt;0),SUM(EX3-RW3)/7,IF(EV3="RH NEGATIVO SIN COOMBS","TOMAR COOMBS INMEDIATO PARA DEFINIR MANEJO",IF(EV3="RH NEGATIVO CON COOMBS POSITIVO","TOMAR COOMBS CUANTITATIVO Y REMISIÓN","")))))))))</f>
        <v/>
      </c>
      <c r="FA3" s="21"/>
      <c r="FB3" s="22"/>
      <c r="FC3" s="29" t="str">
        <f t="shared" ref="FC3:FC66" si="27">IF(AND(BT3="ERROR FUM O INGRESO",FB3&gt;0),"ERROR FUM O INGRESO",IF(AND(FB3="",R3="",O3=""),"",IF(OR(AND(FB3&lt;&gt;"",FB3&lt;RW3),AND(FB3&lt;&gt;"",SUM((FB3-RW3)/7)&gt;40)),"CORREGIR FECHA RESULTADO",IF(AND(FB3="",BS3&gt;=24,OR(O3&gt;0,R3&gt;0)),"PIERDE TOMA TAMIZAJE- INGRESO TARDIO",IF(AND(FB3="",OR(O3&gt;0,R3&gt;0)),"TOMAR EXAMEN",IF(SUM((FB3-RW3)/7)&gt;=24,"NO APLICA &gt; 23 SEM -TOMAR PTOG",IF(AND(SUM((FB3-RW3)/7)&lt;24,FA3&gt;126),"DIABETES PREGESTACIONAL- REMITIR",IF(FB3&gt;0,SUM(FB3-RW3)/7,""))))))))</f>
        <v/>
      </c>
      <c r="FD3" s="29"/>
      <c r="FE3" s="29"/>
      <c r="FF3" s="29"/>
      <c r="FG3" s="21" t="str">
        <f t="shared" ref="FG3:FG66" ca="1" si="28">IF(AND(OR(FD3&gt;0,FE3&gt;0,FF3&gt;0),FI3&gt;0,FI3&lt;24,AND(FD3&gt;1,FD3&lt;92),AND(FE3&gt;1,FE3&lt;180),AND(FF3&gt;1,FF3&lt;153)),"NORMAL, NO DESCARTA DIABETES POR REALIZARLO ANTES DE  SEMANA 24, ",IF(AND(OR(FD3&gt;0,FE3&gt;0,FF3&gt;0),FI3&gt;0,FI3&lt;24,OR(FD3&gt;=92,FE3&gt;=180,FF3&gt;=153)),"DIABETES, REMITIR",IF(AND(BU3="",FH3="",FD3="",FE3="",FF3=""),"",IF(AND(BU3&gt;=19,BU3&lt;24,FH3="",FD3="",FE3="",FF3=""),"PROGRAMAR TOMA PTOG SIGUIENTE CONTROL",IF(AND(BU3&gt;=24,FH3="",FD3="",FE3="",FF3=""),"TOMAR PTOG",IF(OR(FD3&gt;=92,FE3&gt;=180,FF3&gt;=153),"DIABETES, REMITIR",IF(AND(AND(FD3&gt;1,FD3&lt;92),AND(FE3&gt;1,FE3&lt;180),AND(FF3&gt;1,FF3&lt;153)),"NORMAL",IF(AND(FD3&gt;0,OR(FE3=0,FF3=0)),"NO COMPLETA EXAMEN",""))))))))</f>
        <v/>
      </c>
      <c r="FH3" s="31"/>
      <c r="FI3" s="29" t="str">
        <f t="shared" ref="FI3:FI66" si="29">IF(AND(BT3="ERROR FUM O INGRESO",FH3&gt;0),"ERROR FUM O INGRESO",IF(AND(FH3="",R3="",O3=""),"",IF(OR(AND(FH3&lt;&gt;"",FH3&lt;RW3),AND(FH3&lt;&gt;"",SUM((FH3-RW3)/7)&gt;40)),"CORREGIR FECHA RESULTADO",IF(AND(FH3="",OR(O3&gt;0,R3&gt;0)),"TOMAR EXAMEN",IF(FH3&gt;0,SUM(FH3-RW3)/7,"")))))</f>
        <v/>
      </c>
      <c r="FJ3" s="22"/>
      <c r="FK3" s="22"/>
      <c r="FL3" s="29" t="str">
        <f t="shared" ref="FL3:FL66" si="30">IF(AND(BT3="ERROR FUM O INGRESO",FK3&gt;0),"ERROR FUM O INGRESO",IF(AND(FK3="",R3="",O3=""),"",IF(OR(AND(FK3&lt;&gt;"",FK3&lt;RW3),AND(FK3&lt;&gt;"",AND(SUM((FK3-RW3)/7)&gt;=13,SUM((FK3-RW3)/7)&lt;27))),"REGISTRAR EN II TRIMESTRE",IF(OR(AND(FK3&lt;&gt;"",FK3&lt;RW3),AND(FK3&lt;&gt;"",AND(SUM((FK3-RW3)/7)&gt;=27,SUM((FK3-RW3)/7)&lt;44))),"REGISTRAR EN III TRIMESTRE",IF(AND(FK3="",OR(O3&gt;0,R3&gt;0),AND(BU3&gt;1,BU3&lt;10)),"EN RANGO PARA TOMAR EXAMEN",IF(AND(FK3="",OR(O3&gt;0,R3&gt;0),AND(BU3&gt;=10,BU3&lt;13)),"TOMA INMEDIATA DE TAMIZAJE",IF(AND(FK3="",BS3&lt;13,OR(O3&gt;0,R3&gt;0)),"PIERDE TOMA DE TAMIZAJE",IF(AND(FK3="",OR(O3&gt;0,R3&gt;0),AND(BS3&gt;=13,BS3&lt;43)),"NO APLICA-INGRESO TARDIO",IF(FK3&gt;0,SUM(FK3-RW3)/7,"")))))))))</f>
        <v/>
      </c>
      <c r="FM3" s="22"/>
      <c r="FN3" s="32"/>
      <c r="FO3" s="29" t="str">
        <f t="shared" ref="FO3:FO34" si="31">IF(AND(BT3="ERROR FUM O INGRESO",FN3&gt;0),"ERROR FUM O INGRESO",IF(AND(FN3="",R3="",O3=""),"",IF(AND(FN3&lt;&gt;"",FN3&lt;RW3), "INCOHERENCIA FUM Y FECHA TAMIZAJE",IF(AND(FN3="",DV3="ACTIVA INGRESO A CPN",AND(BU3&gt;0,BU3&lt;13)),"EN ESPERA-ESTÁ I TRIM", IF(AND(FN3="",AND(BS3&gt;0, BS3&lt;13),OR(O3&gt;0,R3&gt;0),AND(IP3&gt;0,IP3&lt;13)),"NO APLICA-SALIO DEL PROGRAMA I TRIM",IF(AND(FN3&lt;&gt;"",AND(SUM((FN3-RW3)/7)&gt;0,SUM((FN3-RW3)/7)&lt;13)),"REGISTRAR EN I TRIMESTRE",IF(AND(FN3&lt;&gt;"",AND(SUM((FN3-RW3)/7)&gt;=27,SUM((FN3-RW3)/7)&lt;44)),"REGISTRAR EN III TRIMESTRE",IF(AND(FN3="",OR(O3&gt;0,R3&gt;0),AND(BU3&gt;=13,BU3&lt;24),DV3="ACTIVA INGRESO A CPN"),"EN RANGO PARA TOMAR EXAMEN",IF(AND(FN3="",OR(O3&gt;0,R3&gt;0),AND(BU3&gt;=25,BU3&lt;27),DV3="ACTIVA INGRESO A CPN"),"TOMA INMEDIATA DE TAMIZAJE",IF(AND(FN3="",OR(O3&gt;0,R3&gt;0),AND(BS3&gt;=27,BS3&lt;44)),"NO APLICA-INGRESO TARDIO",IF(AND(FN3="",BS3&lt;27,OR(AND(IP3&gt;12,IP3&lt;44),BU3&gt;12)),"PIERDE TOMA DE TAMIZAJE",IF(FN3&gt;0,SUM(FN3-RW3)/7,""))))))))))))</f>
        <v/>
      </c>
      <c r="FP3" s="22"/>
      <c r="FQ3" s="32"/>
      <c r="FR3" s="29" t="str">
        <f t="shared" ref="FR3:FR34" si="32">IF(AND(BT3="ERROR FUM O INGRESO",FQ3&gt;0),"ERROR FUM O INGRESO",IF(AND(FQ3="",R3="",O3=""),"",IF(AND(FQ3&lt;&gt;"",FQ3&lt;RW3), "INCOHERENCIA FUM Y FECHA TAMIZAJE",IF(AND(FQ3="",DV3="ACTIVA INGRESO A CPN",AND(BU3&gt;0,BU3&lt;27)),"EN ESPERA-ESTÁ I TRIM O II TRIM", IF(AND(FQ3="",AND(BS3&gt;0, BS3&lt;27),OR(O3&gt;0,R3&gt;0),AND(IP3&gt;0,IP3&lt;27)),"NO APLICA-SALIO DEL PROGRAMA I O II TRIM",IF(AND(FQ3&lt;&gt;"",AND(SUM((FQ3-RW3)/7)&gt;0,SUM((FQ3-RW3)/7)&lt;13)),"REGISTAR EN I TRIMESTRE",IF(AND(FQ3&lt;&gt;"",AND(SUM((FQ3-RW3)/7)&gt;=13,SUM((FQ3-RW3)/7)&lt;27)),"REGISTRAR EN II TRIMESTRE",IF(AND(FQ3="",OR(O3&gt;0,R3&gt;0),AND(BU3&gt;=28,BU3&lt;35),DV3="ACTIVA INGRESO A CPN"),"EN RANGO PARA TOMAR EXAMEN",IF(AND(FQ3="",OR(O3&gt;0,R3&gt;0),BU3&gt;=35, DV3="ACTIVA INGRESO A CPN"),"TOMA INMEDIATA DE TAMIZAJE",IF(AND(FQ3="",DV3= "SALE SIN INGRESO CPN"),"NO APLICA-SIN CPN",IF(AND(FQ3="",AND(IP3&gt;26,IP3&lt;43)),"PIERDE TOMA DE TAMIZAJE",IF(FQ3&gt;0,SUM(FQ3-RW3)/7,""))))))))))))</f>
        <v/>
      </c>
      <c r="FS3" s="22"/>
      <c r="FT3" s="32"/>
      <c r="FU3" s="29" t="str">
        <f>IF(AND(FJ3="",FM3="",FP3="",FS3=""),"",IF(OR(OR(Tabla1[[#This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3" s="28"/>
      <c r="FW3" s="22"/>
      <c r="FX3" s="29" t="str">
        <f t="shared" ref="FX3:FX66" si="33">IF(AND(BT3="ERROR FUM O INGRESO",FW3&gt;0),"ERROR FUM O INGRESO",IF(AND(FW3="",R3="",O3=""),"",IF(OR(AND(FW3&lt;&gt;"",FW3&lt;RW3),AND(FW3&lt;&gt;"",SUM((FW3-RW3)/7)&gt;40)),"CORREGIR FECHA RESULTADO",IF(AND(FW3="",OR(O3&gt;0,R3&gt;0)),"TOMAR EXAMEN",IF(FW3&gt;0,SUM(FW3-RW3)/7,"")))))</f>
        <v/>
      </c>
      <c r="FY3" s="22"/>
      <c r="FZ3" s="22"/>
      <c r="GA3" s="29" t="str">
        <f t="shared" ref="GA3:GA34" si="34">IF(AND(BT3="ERROR FUM O INGRESO",FZ3&gt;0),"ERROR FUM O INGRESO",IF(AND(FZ3="",R3="",O3=""),"",IF(OR(AND(FZ3&lt;&gt;"",FZ3&lt;RW3),AND(FZ3&lt;&gt;"",AND(SUM((FZ3-RW3)/7)&gt;=13,SUM((FZ3-RW3)/7)&lt;27))),"REGISTRAR EN II TRIMESTRE",IF(OR(AND(FZ3&lt;&gt;"",FZ3&lt;RW3),AND(FZ3&lt;&gt;"",AND(SUM((FZ3-RW3)/7)&gt;=27,SUM((FZ3-RW3)/7)&lt;44))),"REGISTRAR EN III TRIMESTRE",IF(AND(FZ3="",OR(O3&gt;0,R3&gt;0),AND(BU3&gt;1,BU3&lt;10)),"EN RANGO PARA TOMAR EXAMEN",IF(AND(FZ3="",OR(O3&gt;0,R3&gt;0),AND(BU3&gt;=10,BU3&lt;12)),"TOMA INMEDIATA DE TAMIZAJE",IF(AND(FZ3="",BS3&lt;12,OR(O3&gt;0,R3&gt;0)),"PIERDE TOMA DE TAMIZAJE",IF(AND(FZ3="",OR(O3&gt;0,R3&gt;0),AND(BS3&gt;=13,BS3&lt;44)),"NO APLICA-INGRESO TARDIO",IF(FZ3&gt;0,SUM(FZ3-RW3)/7,"")))))))))</f>
        <v/>
      </c>
      <c r="GB3" s="22"/>
      <c r="GC3" s="22"/>
      <c r="GD3" s="29" t="str">
        <f t="shared" ref="GD3:GD34" si="35">IF(AND(BT3="ERROR FUM O INGRESO",GC3&gt;0),"ERROR FUM O INGRESO",IF(AND(GC3="",R3="",O3=""),"",IF(AND(GC3&lt;&gt;"",GC3&lt;RW3), "INCOHERENCIA FUM Y FECHA TAMIZAJE",IF(AND(GC3="",DV3="ACTIVA INGRESO A CPN",AND(BU3&gt;0,BU3&lt;13)),"EN ESPERA-ESTÁ I TRIM", IF(AND(GC3="",AND(BS3&gt;0, BS3&lt;12),OR(O3&gt;0,R3&gt;0),AND(IP3&gt;0,IP3&lt;13)),"NO APLICA-SALIO DEL PROGRAMA I TRIM",IF(AND(GC3&lt;&gt;"",AND(SUM((GC3-RW3)/7)&gt;0,SUM((GC3-RW3)/7)&lt;13)),"REGISTRAR EN I TRIMESTRE",IF(AND(GC3&lt;&gt;"",AND(SUM((GC3-RW3)/7)&gt;=27,SUM((GC3-RW3)/7)&lt;44)),"REGISTRAR EN III TRIMESTRE",IF(AND(GC3="",OR(O3&gt;0,R3&gt;0),AND(BU3&gt;=12,BU3&lt;25),DV3="ACTIVA INGRESO A CPN"),"EN RANGO PARA TOMAR EXAMEN",IF(AND(GC3="",OR(O3&gt;0,R3&gt;0),AND(BU3&gt;=25,BU3&lt;27),DV3="ACTIVA INGRESO A CPN"),"TOMA INMEDIATA DE TAMIZAJE",IF(AND(GC3="",OR(O3&gt;0,R3&gt;0),AND(BS3&gt;=27,BS3&lt;43)),"NO APLICA-INGRESO TARDIO",IF(AND(GC3="",BS3&lt;27),"PIERDE TOMA DE TAMIZAJE",IF(GC3&gt;0,SUM(GC3-RW3)/7,""))))))))))))</f>
        <v/>
      </c>
      <c r="GE3" s="22"/>
      <c r="GF3" s="22"/>
      <c r="GG3" s="29" t="str">
        <f t="shared" ref="GG3:GG34" si="36">IF(AND(BT3="ERROR FUM O INGRESO",GF3&gt;0),"ERROR FUM O INGRESO",IF(AND(GF3="",R3="",O3=""),"",IF(AND(GF3&lt;&gt;"",GF3&lt;RW3), "INCOHERENCIA FUM Y FECHA TAMIZAJE",IF(AND(GF3="",DV3="ACTIVA INGRESO A CPN",AND(BU3&gt;0,BU3&lt;27)),"EN ESPERA-ESTÁ I TRIM O II TRIM", IF(AND(GF3="",AND(BS3&gt;0, BS3&lt;28),OR(O3&gt;0,R3&gt;0),AND(IP3&gt;0,IP3&lt;28)),"NO APLICA-SALIO DEL PROGRAMA I O II TRIM",IF(AND(GF3&lt;&gt;"",AND(SUM((GF3-RW3)/7)&gt;0,SUM((GF3-RW3)/7)&lt;13)),"REGISTAR EN I TRIMESTRE",IF(AND(GF3&lt;&gt;"",AND(SUM((GF3-RW3)/7)&gt;=13,SUM((GF3-RW3)/7)&lt;27)),"REGISTRAR EN II TRIMESTRE",IF(AND(GF3="",OR(O3&gt;0,R3&gt;0),AND(BU3&gt;=28,BU3&lt;35),DV3="ACTIVA INGRESO A CPN"),"EN RANGO PARA TOMAR EXAMEN",IF(AND(GF3="",OR(O3&gt;0,R3&gt;0),BU3&gt;=35, DV3="ACTIVA INGRESO A CPN"),"TOMA INMEDIATA DE TAMIZAJE",IF(AND(GF3="",DV3= "SALE SIN INGRESO CPN"),"NO APLICA-SIN CPN",IF(AND(GF3="",BS3&lt;44),"PIERDE TOMA DE TAMIZAJE",IF(GF3&gt;0,SUM(GF3-RW3)/7,""))))))))))))</f>
        <v/>
      </c>
      <c r="GH3" s="22"/>
      <c r="GI3" s="29"/>
      <c r="GJ3" s="22"/>
      <c r="GK3" s="22"/>
      <c r="GL3" s="22"/>
      <c r="GM3" s="22"/>
      <c r="GN3" s="28"/>
      <c r="GO3" s="22"/>
      <c r="GP3" s="29" t="str">
        <f t="shared" ref="GP3:GP66" si="37">IF(AND(BT3="ERROR FUM O INGRESO",GO3&gt;0),"ERROR FUM O INGRESO",IF(AND(GO3="",R3="",O3=""),"",IF(OR(AND(GO3&lt;&gt;"",GO3&lt;RW3),AND(GO3&lt;&gt;"",SUM((GO3-RW3)/7)&gt;40)),"CORREGIR FECHA RESULTADO",IF(AND(GO3="",OR(O3&gt;0,R3&gt;0)),"TOMAR EXAMEN",IF(GO3&gt;0,SUM(GO3-RW3)/7,"")))))</f>
        <v/>
      </c>
      <c r="GQ3" s="28"/>
      <c r="GR3" s="28"/>
      <c r="GS3" s="22" t="str">
        <f t="shared" ref="GS3:GS34" si="38">IF(GQ3="NEGATIVO","CONTROL Igm",IF(AND(GQ3="POSITIVO",GR3="NEGATIVO"),"SE EXCLUYE INFECCION",IF(AND(GQ3="POSITIVO",GR3="POSITIVO"),"TOXOPLASMOSIS, REMITIR PARA MANEJO","")))</f>
        <v/>
      </c>
      <c r="GT3" s="22"/>
      <c r="GU3" s="29" t="str">
        <f t="shared" ref="GU3:GU66" si="39">IF(AND(BT3="ERROR FUM O INGRESO",GT3&gt;0),"ERROR FUM O INGRESO",IF(AND(GT3="",R3="",O3=""),"",IF(OR(AND(GT3&lt;&gt;"",GT3&lt;BO3),AND(GT3&lt;&gt;"",SUM((GT3-BO3)/7)&gt;40)),"CORREGIR FECHA RESULTADO",IF(AND(GT3="",OR(O3&gt;0,R3&gt;0)),"TOMAR EXAMEN",IF(GT3&gt;0,SUM(GT3-BO3)/7,"")))))</f>
        <v/>
      </c>
      <c r="GV3" s="21" t="str">
        <f t="shared" ref="GV3:GV66" si="40">IF(AND(GU3="",BT3=""),"",IF(AND(GU3&lt;&gt;"",BT3="SIN DATO"),"SIN DATO",IF(AND(GU3="",BT3&lt;&gt;""),"",IF(AND(GU3&lt;0,BT3&gt;0),"ERROR FUM O INGRESO",IF(GU3&lt;=13,"I TRIM",IF(GU3&lt;28,"II TRIM",IF(AND(GU3&gt;27,GU3&lt;45),"III TRIM","POR DEFINIR")))))))</f>
        <v/>
      </c>
      <c r="GW3" s="28"/>
      <c r="GX3" s="30"/>
      <c r="GY3" s="21"/>
      <c r="GZ3" s="21"/>
      <c r="HA3" s="21"/>
      <c r="HB3" s="21"/>
      <c r="HC3" s="21"/>
      <c r="HD3" s="21"/>
      <c r="HE3" s="21"/>
      <c r="HF3" s="22"/>
      <c r="HG3" s="22" t="str">
        <f>IF(OR(O3&gt;0,R3&gt;0),CONCATENATE(IF(Tabla1[[#This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
      </c>
      <c r="HH3" s="22" t="str">
        <f t="shared" ref="HH3:HH66" si="41">IF(OR(O3&gt;0,R3&gt;0),CONCATENATE(IF(AZ3="SI","ANTECEDENTE EMBARAZO MOLAR",""),"*",CONCATENATE(IF(BA3="SI","ANTECEDENTE MUERTE NEONATAL",""),"*",CONCATENATE(IF(AND(BQ3&gt;0,BQ3&lt;13),"PERIODO INTERGENESICO CORTO",""),"*",CONCATENATE(IF(AND(BS3&gt;13,BS3&lt;42),"INGRESO TARDIO A CPN",""),"*",CONCATENATE(IF(CO3="BAJO PESO","BAJO PESO",""),"*",CONCATENATE(IF(CO3="SOBREPESO","SOBREPESO",""),"*",CONCATENATE(IF(CO3="OBESIDAD","OBESIDAD",""),"*",CONCATENATE(IF(GN3="POSITIVO","SEGUIMIENTO INFECCIÓN HEP B",""),"*",CONCATENATE(IF(GS3="TOXOPLASMOSIS, REMITIR PARA MANEJO","INFECCIÓN TOXOPLASMOSIS",""),"*",CONCATENATE(IF(GS3="CONTROL Igm","PREVENCIÓN CONTAGIO TOXOPLASMOSIS",""),"*",CONCATENATE(IF(OR(HF3="COVID19 PRIMER TRIMESTRE",HF3="COVID19 SEGUNDO TRIMESTRE",HF3="COVID19 TERCER TRIMESTRE",HF3="COVID19 PUERPERIO"),"INFECCIÓN SARS-CoV2 CONFIRMADA",""),"*",CONCATENATE(IF(GY3="Esquema vigente – Alterado","DESCARTAR CANCER DE UTERO",""),"*",)))))))))))),"")</f>
        <v/>
      </c>
      <c r="HI3" s="22" t="str">
        <f t="shared" ref="HI3:HI66" si="42">IF(AND(O3="",R3=""),"",IF(AND(OR(O3&lt;&gt;"",R3&lt;&gt;""),OR(HK3="RIESGO ALTO DE COMPLICACIONES HIPERTENSIVAS VER MANEJO GUIA SUMINISTRO ASA Y CALCIO",HK3="RIESGO MODERADO (2 O MAS CRITERIOS) VER MANEJO GUIA SUMINISTRO ASA Y CALCIO")),"ALTO RIESGO",IF(AND(HH3="************",OR(O3&lt;&gt;"",R3&lt;&gt;""),AND(ND3&gt;=0,ND3&lt;3)),"BAJO RIESGO",IF(AND(OR(O3&lt;&gt;"",R3&lt;&gt;""),OR(HF3="COVID19 PRIMER TRIMESTRE",HF3="COVID19 SEGUNDO TRIMESTRE",HF3="COVID19 TERCER TRIMESTRE",HF3="COVID19 PUERPERIO")),"ALTO RIESGO",IF(AND(HH3&lt;&gt;"",OR(O3&lt;&gt;"",R3&lt;&gt;""),AND(ND3&gt;=0,ND3&lt;3)),"CON RIESGO",IF(AND(OR(O3&lt;&gt;"",R3&lt;&gt;""),ND3&gt;2),"ALTO RIESGO",""))))))</f>
        <v/>
      </c>
      <c r="HJ3" s="21" t="str">
        <f t="shared" ref="HJ3:HJ66" si="43">IF(OR(O3&gt;0,R3&gt;0),CONCATENATE(IF(AK3="CON RIESGO","RIESGO PSICOSOCIAL",""),"*",CONCATENATE(IF(AL3="SI","ANTECEDENTE PREECLAMPSIA",""),"*",CONCATENATE(IF(AM3="SI","ANTECEDENTE HEMORRAGIA POSTPARTO O RETENCIÓN DE PLACENTA",""),"*",CONCATENATE(IF(AN3="SI","ANTECEDENTE RN BAJO PESO",""),"*",CONCATENATE(IF(AQ3="SI","ANTECEDENTE TRABAJO DE PARTO PROLONGADO",""),"*",CONCATENATE(IF(AV3="SI","INFERTILIDAD",""),"*",CONCATENATE(IF(BD3="SI","ENFERMERDAD AUTOINMUNE",""),"*",CONCATENATE(IF(BE3="SI","DIABETES PREGESTACIONAL",""),"*",CONCATENATE(IF(BF3="SI","ENFERMEDAD CARDIACA",""),"*",CONCATENATE(IF(BG3="SI","HTA CRÓNICA",""),"*",CONCATENATE(IF(BH3="SI","ENFERMEDAD RENAL CRÓNICA",""),"*",CONCATENATE(IF(BK3="SI","ANOMALIA CONGÉNITA",""),"*",CONCATENATE(IF(OR(BL3="SI",BM3="SI"),"HEMORRAGIA DURANTE LA GESTACIÓN",""),"*",CONCATENATE(IF(CB3="SI","RCIU",""),"*",CONCATENATE(IF(CC3="SI","EMBARAZO GEMELAR",""),"*",CONCATENATE(IF(NA3=3,"PRESENTACIÓN FETAL PODALICA O TRANSVERSA",""),"*",CONCATENATE(IF(CE3="SI","POLIHIDRAMNIOS",""),"*",CONCATENATE(IF(FG3="DIABETES, REMITIR","DIABETES GESTACIONAL",""),"*",CONCATENATE(IF(FU3&lt;&gt;"","SEGUIMIENTO PARA SIFILIS GESTACIONAL",""),"*",CONCATENATE(IF(MZ3=3,"SEGUIMIENTO PARA VIH",""),"*",CONCATENATE(IF(MX3=1,"SEGUIMIENTO PARA ANEMIA",""),"*",CONCATENATE(IF(MU3=2,"MULTIPARIDAD",""),"*",CONCATENATE(IF(MU3=1,"MULTIPARIDAD",""),"*",CONCATENATE(IF(MT3=1,"ANTECEDENTE MUERTE PERINATAL",""),"*",CONCATENATE(IF(OR(MR3=2,MR3=1),"RIESGO POR EDAD",""),"*",CONCATENATE(IF(OR(MV3=1,MV3=2),"CESAREAS PREVIAS",""),"*",CONCATENATE(IF(MW3=1,"ANTECEDENTE ECTOPICO O CX UTERINA",""),"*",CONCATENATE(IF(MY3=1,"EMBARAZO PROLONGADO",""),"*",CONCATENATE(IF(NB3=2,"SEGUIMIENTO PARA CHAGAS",""),"*",CONCATENATE(IF(NC3=3,"SEGUIMIENTO PARA MALARIA",""),"*",CONCATENATE(IF(OR(HF3="COVID19 PRIMER TRIMESTRE",HF3="COVID19 SEGUNDO TRIMESTRE",HF3="COVID19 TERCER TRIMESTRE",HF3="COVID19 PUERPERIO"),"SEGUIMIENTO PARA COVID19",""),"*",CONCATENATE(IF(EZ3="COOMBS C/MES Y RESUMAN SEM 28","RIESGO DE ISOINMUNIZACIÓN RH",""),"*",CONCATENATE(IF(EZ3="TOMAR COOMBS CUANTITATIVO Y REMISIÓN","ISOINMUNIZACIÓN RH",""),"*",CONCATENATE(IF(BC3="SI, CONTROLADA","EPILEPSIA CONTROLADA",""),"*",CONCATENATE(IF(BC3="SI, SIN MANEJO","EPILEPSIA SIN MANEJO",""),"*",CONCATENATE(IF(BC3="SI, NO CONTROLADA","EPILEPSIA NO CONTROLADA",""),"*",CONCATENATE(IF(AP3="SI","AMENAZA PARTO PRETERMINO",""),"*",CONCATENATE(IF(AO3="SI","ANTECEDENTE MACROSOMICO",""),"*",CONCATENATE(IF(AD3="Consumo ActualI","USO SUSTANCIAS PSICOACTIVAS",""),"*"))))))))))))))))))))))))))))))))))))))),"")</f>
        <v/>
      </c>
      <c r="HK3" s="21" t="str">
        <f t="shared" ref="HK3:HK66" si="44">IF(AND(O3="",R3=""),"",IF(AND(OR(O3&gt;0,R3&gt;0),OR(AL3="SI",BG3="SI",BD3="SI",BE3="SI",BH3="SI")),"RIESGO ALTO DE COMPLICACIONES HIPERTENSIVAS VER MANEJO GUIA SUMINISTRO ASA Y CALCIO",IF(AND(OR(O3&gt;0,R3&gt;0),NE3&gt;1),"RIESGO MODERADO (2 O MAS CRITERIOS) VER MANEJO GUIA SUMINISTRO ASA Y CALCIO","SIN ANTECEDENTES DE RIESGO")))</f>
        <v/>
      </c>
      <c r="HL3" s="24" t="str">
        <f t="shared" ref="HL3:HL66" si="45">DC3</f>
        <v/>
      </c>
      <c r="HM3" s="21" t="str">
        <f t="shared" ref="HM3:HM66" ca="1" si="46">IF(NI3="SD","",IF(AND(NI3&lt;=33,NI3&gt;=8),"MES DE CONTROL",IF(AND(NI3&gt;=1,NI3&lt;8),"SEMANA DE CONTROL",IF(NI3=0,"DIA DE CONTROL",IF(NI3&lt;0,"INASISTENTE",IF(NI3="Y","SEGUIMIENTO FUERA MUNICIPIO",IF(NI3="Z","BUSCAR PARA INGRESO A CPN",IF(NI3="W","DEFINIR FECHA CITA",IF(NI3="X","NO REALIZO CPN",IF(NI3="S","DILIGENCIAR FECHA SALIDA PROGRAMA","REVISAR FORMULA"))))))))))</f>
        <v/>
      </c>
      <c r="HN3" s="30" t="str">
        <f t="shared" ref="HN3:HN34" si="47">IF(AND(R3&lt;&gt;"",IK3="CAMBIO DE RESIDENCIA"),"SEGUIMIENTO REPORTE EPS",IF(AND(R3&lt;&gt;"",OR(IK3&lt;&gt;"",IN3&lt;&gt;"")),"SALIO PROGRAMA",IF(AND(AND(R3="",O3&gt;0),OR(IK3&lt;&gt;"",IN3&lt;&gt;"")),"SALE SIN INGRESO CPN",IF(AND(R3="",O3&gt;0,IK3="",IN3=""),"ACTIVA SIN INGRESO CPN",IF(AND(R3&lt;&gt;"",OR(IK3="",IN3="")),"ACTIVA INGRESO A CPN","")))))</f>
        <v/>
      </c>
      <c r="HO3"/>
      <c r="HP3" s="21"/>
      <c r="HQ3" s="349"/>
      <c r="HR3" s="21" t="str">
        <f>IF(R3="","",IF(Tabla1[[#This Row],[ALARMA FACTORES DE RIESGO COMPLICACIONES HIPERTENSIVAS3]]="SIN ANTECEDENTES DE RIESGO","No Aplica para suministro de ASA",IF(AND(Tabla1[[#This Row],[FECHA INICIO DE SUMINISTRO DE ASA]]&gt;0,RV3&lt;12),"Inicia ASA ANTES de Sem 12",IF(AND(RV3&gt;11,RV3&lt;17,OR(HK3="RIESGO ALTO DE COMPLICACIONES HIPERTENSIVAS VER MANEJO GUIA SUMINISTRO ASA Y CALCIO",HK3="RIESGO MODERADO (2 O MAS CRITERIOS) VER MANEJO GUIA SUMINISTRO ASA Y CALCIO")),"Inicio oportuno de ASA",IF(AND(RV3&gt;12,OR(HK3="RIESGO ALTO DE COMPLICACIONES HIPERTENSIVAS VER MANEJO GUIA SUMINISTRO ASA Y CALCIO",HK3="RIESGO MODERADO (2 O MAS CRITERIOS) VER MANEJO GUIA SUMINISTRO ASA Y CALCIO")),"Inicio no oportuno mayor a 16 semanas",IF(AND(BU3&lt;12,OR(HK3="RIESGO ALTO DE COMPLICACIONES HIPERTENSIVAS VER MANEJO GUIA SUMINISTRO ASA Y CALCIO",HK3="RIESGO MODERADO (2 O MAS CRITERIOS) VER MANEJO GUIA SUMINISTRO ASA Y CALCIO")),"Pendiente Inicio de ASA a la semana 12",IF(AND(BU3&gt;11,BU3&lt;17,OR(HK3="RIESGO ALTO DE COMPLICACIONES HIPERTENSIVAS VER MANEJO GUIA SUMINISTRO ASA Y CALCIO",HK3="RIESGO MODERADO (2 O MAS CRITERIOS) VER MANEJO GUIA SUMINISTRO ASA Y CALCIO")),"Iniciar de inmediato ASA",IF(AND(BU3&gt;16,OR(HK3="RIESGO ALTO DE COMPLICACIONES HIPERTENSIVAS VER MANEJO GUIA SUMINISTRO ASA Y CALCIO",HK3="RIESGO MODERADO (2 O MAS CRITERIOS) VER MANEJO GUIA SUMINISTRO ASA Y CALCIO")),"Pierde Oportunidad, Inicio tardío de ASA","XXXXX"))))))))</f>
        <v/>
      </c>
      <c r="HS3" s="22"/>
      <c r="HT3" s="22"/>
      <c r="HU3" s="22"/>
      <c r="HV3" s="22"/>
      <c r="HW3" s="22"/>
      <c r="HX3" s="22"/>
      <c r="HY3" s="22"/>
      <c r="HZ3" s="28" t="str">
        <f t="shared" ref="HZ3:HZ66" si="48">IF(AND(BT3="ERROR FUM O INGRESO",HY3&gt;0),"ERROR FUM O INGRESO",IF(AND(HY3="",R3=""),"",IF(OR(AND(HY3&lt;&gt;"",HY3&lt;RW3),AND(HY3&lt;&gt;"",SUM((HY3-RW3)/7)&gt;40)),"CORREGIR FECHA CONSULTA",IF(AND(HY3="",R3&gt;0),"PENDIENTE CONSULTA",IF(HY3&gt;0,SUM(HY3-RW3)/7,"")))))</f>
        <v/>
      </c>
      <c r="IA3" s="26"/>
      <c r="IB3" s="26"/>
      <c r="IC3" s="111"/>
      <c r="ID3" s="22"/>
      <c r="IE3" s="22" t="str">
        <f t="shared" ref="IE3:IE66" si="49">IF(AND(RW3="",NF3="SD"),"SIN DATO EDAD GESTACIONAL",IF(AND(RW3="",ID3=""),"",IF(AND(AND(BU3&gt;0,BU3&lt;20),ID3=""),"EN ESPERA PARA VACUNAR",IF(AND(AND(BU3&gt;19,BU3&lt;27),ID3=""),"PROGRAMAR APLICACION DE VACUNA",IF(AND(AND(BU3&gt;26,BU3&lt;43),ID3=""),"INASISTENTE",IF(AND(AND(NF3&gt;19,NF3&lt;27),ID3&gt;0),"VACUNA APLICADA ENTRE SEMANA 20 Y SEMANA 26",IF(AND(NF3&lt;20,ID3&gt;0),"VACUNA APLICADA ANTES SEMANA 20",IF(AND(NF3&gt;26,ID3&gt;0),"VACUNA APLICADA ENTRE SEMANA 27 Y EL PARTO",IF(AND(OR(IK3="CESAREA",IK3="PARTO"),II3="POSIBLEMENTE NACIO",ID3=""),"SALE SIN VACUNA","")))))))))</f>
        <v/>
      </c>
      <c r="IF3" s="22"/>
      <c r="IG3" s="22" t="str">
        <f t="shared" ref="IG3:IG66" si="50">IF(OR(BP3="SI",BP3="Corregida",BP3="NO"),(RW3+280),IF(BP3="Sin Dato","DEFINIR FPP POR ECO",""))</f>
        <v/>
      </c>
      <c r="IH3" s="29" t="str">
        <f t="shared" ref="IH3:IH66" ca="1" si="51">IF(OR(IG3="DEFINIR FPP POR ECO",BT3="ERROR FUM O INGRESO"),"SIN DEFINIR",IF(IG3="","",IF(IG3&gt;0,SUM(IG3-TODAY()),"X")))</f>
        <v/>
      </c>
      <c r="II3" s="22" t="str">
        <f t="shared" ref="II3:II66" ca="1" si="52">IF(IH3&lt;0,"POSIBLEMENTE NACIO",IF(IH3="SIN DEFINIR","SIN DATO",IF(AND(IH3&gt;=0,IH3&lt;=7),"SEMANA DE PARTO",IF(AND(IH3&gt;=8,IH3&lt;=28),"MENOS DE 4 SEMANAS",IF(AND(IH3&gt;=29,IH3&lt;=280),"PENDIENTE","")))))</f>
        <v/>
      </c>
      <c r="IJ3" s="22"/>
      <c r="IK3" s="21"/>
      <c r="IL3" s="21"/>
      <c r="IM3" s="34"/>
      <c r="IN3" s="22"/>
      <c r="IO3" s="21"/>
      <c r="IP3" s="29" t="str">
        <f t="shared" ref="IP3:IP34" si="53">IF(AND(IN3&gt;0,IK3&lt;&gt;""),SUM(IN3-RW3)/7,"")</f>
        <v/>
      </c>
      <c r="IQ3" s="35"/>
      <c r="IR3" s="21"/>
      <c r="IS3" s="21"/>
      <c r="IT3" s="21"/>
      <c r="IU3" s="21"/>
      <c r="IV3" s="21"/>
      <c r="IW3" s="21"/>
      <c r="IX3" s="21"/>
      <c r="IY3" s="21"/>
      <c r="IZ3" s="21"/>
      <c r="JA3" s="21"/>
      <c r="JB3" s="30"/>
      <c r="JC3" s="21"/>
      <c r="JD3" s="36"/>
      <c r="JE3" s="21" t="str">
        <f t="shared" ref="JE3:JE34" si="54">IF(AND(JD3&gt;700,JD3&lt;2500,IP3&gt;36),"BAJO PESO AL NACER",IF(AND(JD3&gt;500,JD3&lt;2500,IP3&lt;37),"PREMATURO",IF(AND(JD3&gt;2499,JD3&lt;5000,IP3&lt;37),"ERROR VERIFICAR DATO EDAD GESTACIONAL VS PESO",IF(AND(JD3&gt;2499,JD3&lt;4000,IP3&gt;36),"PESO ADECUADO EDAD GESTACIONAL",IF(AND(JD3&gt;3999,JD3&lt;6000,IP3&gt;36),"PESO GRANDE EDAD GESTACIONAL","")))))</f>
        <v/>
      </c>
      <c r="JF3" s="30"/>
      <c r="JG3" s="21"/>
      <c r="JH3" s="21"/>
      <c r="JI3" s="21"/>
      <c r="JJ3" s="30"/>
      <c r="JK3" s="22"/>
      <c r="JL3" s="22"/>
      <c r="JM3" s="21"/>
      <c r="JN3" s="36"/>
      <c r="JO3" s="21" t="str">
        <f t="shared" ref="JO3:JO34" si="55">IF(AND(JN3&gt;700,JN3&lt;2500,IP3&gt;36,IP3&lt;43),"BAJO PESO AL NACER",IF(AND(JN3&gt;700,JN3&lt;2500,IP3&lt;37),"PREMATURO",IF(AND(JN3&gt;2499,JN3&lt;5000,IP3&lt;37),"ERROR VERIFICAR DATO EDAD GESTACIONAL VS PESO",IF(AND(JN3&gt;2499,JN3&lt;4000,IP3&gt;36,IP3&lt;43),"PESO ADECUADO EDAD GESTACIONAL",IF(AND(JN3&gt;3999,JN3&lt;6000,IP3&gt;36,IP3&lt;43),"PESO GRANDE EDAD GESTACIONAL","")))))</f>
        <v/>
      </c>
      <c r="JP3" s="22"/>
      <c r="JQ3" s="21"/>
      <c r="JR3" s="21"/>
      <c r="JS3" s="21"/>
      <c r="JT3" s="30"/>
      <c r="JU3" s="22"/>
      <c r="JV3" s="22"/>
      <c r="JW3" s="33"/>
      <c r="JX3" s="28" t="str">
        <f t="shared" ref="JX3:JX34" si="56">IF(AND(JW3&lt;&gt;"",JW3&lt;IN3),"INCONSISTENCIA FECHA CONTROL",IF(AND(OR(IK3="Parto",IK3="Cesarea"),JW3&gt;0,IN3&gt;0),SUM(JW3-IN3),IF(AND(OR(IK3="Parto",IK3="Cesarea"),JW3="",IN3&gt;0),"INASISTENTE","")))</f>
        <v/>
      </c>
      <c r="JY3" s="33"/>
      <c r="JZ3" s="28" t="str">
        <f t="shared" ref="JZ3:JZ34" si="57">IF(AND(JY3&lt;&gt;"",JY3&lt;IN3),"INCONSISTENCIA FECHA CONTROL",IF(AND(OR(IK3="Parto",IK3="Cesarea",IK3="Aborto Espontaneo",IK3="Aborto Inducido",IK3="IVE"),JY3&gt;0,IN3&gt;0),SUM(JY3-IN3),IF(AND(JY3&lt;&gt;"",JY3&lt;IN3),"INCONSISTENCIA FECHA CONTROL",IF(AND(OR(IK3="Parto",IK3="Cesarea",IK3="Aborto Espontaneo",IK3="Aborto Inducido",IK3="IVE"),JY3="",IN3&gt;0),"INASISTENTE",""))))</f>
        <v/>
      </c>
      <c r="KA3" s="21"/>
      <c r="KB3" s="21"/>
      <c r="KC3" s="21"/>
      <c r="KD3" s="37"/>
      <c r="KE3" s="28"/>
      <c r="KF3" s="28"/>
      <c r="KG3" s="28"/>
      <c r="KH3" s="39"/>
      <c r="KI3" s="39"/>
      <c r="KJ3" s="66"/>
      <c r="KK3" s="39"/>
      <c r="KL3" s="39"/>
      <c r="KM3" s="66"/>
      <c r="KN3" s="39"/>
      <c r="KO3" s="39"/>
      <c r="KP3" s="39"/>
      <c r="KQ3" s="39"/>
      <c r="KR3" s="39"/>
      <c r="KS3" s="39"/>
      <c r="KT3" s="185"/>
      <c r="KU3" s="186"/>
      <c r="KV3" s="186"/>
      <c r="KW3" s="186"/>
      <c r="KX3" s="185"/>
      <c r="KY3" s="186"/>
      <c r="KZ3" s="186"/>
      <c r="LA3" s="186"/>
      <c r="LB3" s="186"/>
      <c r="LC3" s="186"/>
      <c r="LD3" s="186"/>
      <c r="LE3" s="186"/>
      <c r="LF3" s="186"/>
      <c r="LG3" s="186"/>
      <c r="LH3" s="186"/>
      <c r="LI3" s="186"/>
      <c r="LJ3" s="186"/>
      <c r="LK3" s="186"/>
      <c r="LL3" s="186"/>
      <c r="LM3" s="186"/>
      <c r="LN3" s="186"/>
      <c r="LO3" s="186"/>
      <c r="LP3" s="186"/>
      <c r="LQ3" s="186"/>
      <c r="LR3" s="186"/>
      <c r="LS3" s="186"/>
      <c r="LT3" s="186"/>
      <c r="LU3" s="186"/>
      <c r="LV3" s="186"/>
      <c r="LW3" s="186"/>
      <c r="LX3" s="186"/>
      <c r="LY3" s="186"/>
      <c r="LZ3" s="186"/>
      <c r="MA3" s="186"/>
      <c r="MB3" s="186"/>
      <c r="MC3" s="186"/>
      <c r="MD3" s="186"/>
      <c r="ME3" s="186"/>
      <c r="MF3" s="186"/>
      <c r="MG3" s="186"/>
      <c r="MH3" s="81">
        <f t="shared" ref="MH3:MH34" si="58">SUM(COUNTIF(KU3,"PARTERO (A)"),COUNTIF(KY3,"PARTERO (A)"),COUNTIF(LC3,"PARTERO (A)"),COUNTIF(LG3,"PARTERO (A)"),COUNTIF(LK3,"PARTERO (A)"),COUNTIF(LO3,"PARTERO (A)"),COUNTIF(ME3,"PARTERO (A)"))</f>
        <v>0</v>
      </c>
      <c r="MI3" s="81" t="str">
        <f t="shared" ref="MI3:MI34" si="59">IF(AND(R3="",O3=""),"",IF(AND(OR(O3&gt;0,R3&gt;0),KT3&gt;0),SUM(KT3-RW3)/7,""))</f>
        <v/>
      </c>
      <c r="MJ3" s="81" t="str">
        <f t="shared" ref="MJ3:MJ34" si="60">IF(AND(MI3="",BT3=""),"",IF(AND(MI3&lt;&gt;"",BT3="SIN DATO"),"SIN DATO",IF(AND(MI3="",BT3&lt;&gt;""),"",IF(AND(MI3&lt;0,BT3&gt;0),"ERROR FUM O INGRESO",IF(MI3&lt;=13,"I TRIM",IF(MI3&lt;28,"II TRIM",IF(AND(MI3&gt;27,MI3&lt;45),"III TRIM","POR DEFINIR")))))))</f>
        <v/>
      </c>
      <c r="MK3" s="81">
        <f t="shared" ref="MK3:MK34" si="61">SUM(COUNTIF(KU3,"MEDICO (A) TRADICIONAL"),COUNTIF(KY3,"MEDICO (A) TRADICIONAL"),COUNTIF(LC3,"MEDICO (A) TRADICIONAL"),COUNTIF(LG3,"MEDICO (A) TRADICIONAL"),COUNTIF(LK3,"MEDICO (A) TRADICIONAL"),COUNTIF(LO3,"MEDICO (A) TRADICIONAL"),COUNTIF(ME3,"MEDICO (A) TRADICIONAL"))</f>
        <v>0</v>
      </c>
      <c r="ML3" s="81" t="str">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
      </c>
      <c r="MM3" s="81" t="str">
        <f t="shared" ref="MM3:MM34" si="62">IF(AND(O3&gt;0,RW3&gt;0),SUM(O3-RW3)/7,"")</f>
        <v/>
      </c>
      <c r="MN3" s="81" t="str">
        <f t="shared" ref="MN3:MN34" si="63">IF(R3&gt;0,MONTH(R3),"")</f>
        <v/>
      </c>
      <c r="MO3" s="81" t="str">
        <f t="shared" ref="MO3:MO34" si="64">IF(R3&gt;0,YEAR(R3),"")</f>
        <v/>
      </c>
      <c r="MP3" s="81" t="str">
        <f t="shared" ref="MP3:MP34" si="65">IF(AND(MN3&gt;=1,MN3&lt;=3),"I TRIMESTRE AÑO",IF(AND(MN3&gt;=4,MN3&lt;=6),"II TRIMESTRE AÑO",IF(AND(MN3&gt;=7,MN3&lt;=9),"III TRIMESTRE AÑO",IF(AND(MN3&gt;=10,MN3&lt;=12),"IV TRIMESTRE AÑO",""))))</f>
        <v/>
      </c>
      <c r="MQ3" s="81" t="str">
        <f t="shared" ref="MQ3:MQ34" si="66">IF(AND(M3&gt;0,R3&gt;0),DAYS360(M3,R3)/30.44/12,IF(AND(M3&gt;0,O3&gt;0,R3=""),DAYS360(M3,O3)/30.44/12,""))</f>
        <v/>
      </c>
      <c r="MR3" s="81" t="str">
        <f t="shared" ref="MR3:MR34" si="67">IF(AND(MQ3&gt;7,MQ3&lt;14),2,IF(MQ3&lt;16,1,IF(MQ3&lt;=35,0,IF(AND(MQ3&gt;35,MQ3&lt;50),2,""))))</f>
        <v/>
      </c>
      <c r="MS3" s="81" t="str">
        <f t="shared" ref="MS3:MS34" si="68">+IF(MQ3="","",IF(MQ3&lt;14,"MENOR 14 AÑOS",IF(MQ3&lt;20,"DE 14 A 19AÑOS",IF(MQ3&lt;25," DE 20 A 24 AÑOS",IF(MQ3&lt;30," DE 25 A 29 AÑOS",IF(MQ3&lt;35," DE 30 A 34 AÑOS",IF(MQ3&lt;40," DE 35 A 39 AÑOS"," DE 40 Y MAS")))))))</f>
        <v/>
      </c>
      <c r="MT3" s="81" t="str">
        <f t="shared" ref="MT3:MT34" si="69">IF(OR(AX3="SI",BA3="SI"),1,IF(AND(AX3="NO",BA3="NO"),0,""))</f>
        <v/>
      </c>
      <c r="MU3" s="81" t="str">
        <f t="shared" ref="MU3:MU34" si="70">IF(AT3="","",IF(AT3=0,1,IF(AND(AT3&gt;=1,AT3&lt;=4),0,IF(AT3&gt;=5,2,"X"))))</f>
        <v/>
      </c>
      <c r="MV3" s="81" t="str">
        <f t="shared" ref="MV3:MV34" si="71">IF(AW3="","",IF(AW3=0,0,IF(AW3=1,1,IF(OR(AW3=2,AW3="3 o MAS"),2,"X"))))</f>
        <v/>
      </c>
      <c r="MW3" s="81" t="str">
        <f t="shared" ref="MW3:MW34" si="72">IF(AY3="SI",1,IF(AY3="NO",0,""))</f>
        <v/>
      </c>
      <c r="MX3" s="81" t="str">
        <f t="shared" ref="MX3:MX34" si="73">IF(OR(AND(EM3&gt;0,EM3&lt;11),AND(ER3&gt;0,ER3&lt;10.5)),1,"")</f>
        <v/>
      </c>
      <c r="MY3" s="81" t="str">
        <f t="shared" ref="MY3:MY34" ca="1" si="74">IF(AND(AND(BU3&gt;40.9,BU3&lt;43),IN3=""),1,"")</f>
        <v/>
      </c>
      <c r="MZ3" s="81" t="str">
        <f t="shared" ref="MZ3:MZ34" si="75">IF(AND(GJ3="",GL3="",BB3=""),"",IF(OR(OR(GJ3="P.R REACTIVA",GJ3="ELISA REACTIVA"),OR(BB3="SI",GL3="POSITIVA",GL3="NO CONCLUYENTE")),3,""))</f>
        <v/>
      </c>
      <c r="NA3" s="81" t="str">
        <f t="shared" ref="NA3:NA34" si="76">IF(CD3="","",IF(OR(CD3="CEFÁLICA",CD3="SD"),0,IF(OR(CD3="PODÁLICA",CD3="TRANSVERSA O DE FRENTE",CD3="OBLICUA"),3,"")))</f>
        <v/>
      </c>
      <c r="NB3" s="81" t="str">
        <f t="shared" ref="NB3:NB34" si="77">IF(GZ3="","",IF(GZ3="POSITIVO",2,"0"))</f>
        <v/>
      </c>
      <c r="NC3" s="81" t="str">
        <f t="shared" ref="NC3:NC34" si="78">IF(AND(HB3="",HD3=""),"",IF(OR(HB3="POSITIVO",HD3="POSITIVO"),3,0))</f>
        <v/>
      </c>
      <c r="ND3" s="81" t="str">
        <f t="shared" ref="ND3:ND34" si="79">IF(AND(O3="",R3=""),"",IF(OR(O3&lt;&gt;"",R3&lt;&gt;""),SUM(COUNTIF(AL3:AR3,"SI"),COUNTIF(AV3,"SI"),COUNTIF(BC3,"SI, CONTROLADA"),COUNTIF(BI3,"SI"),COUNTIF(BM3,"SI"),SUM(COUNTIF(BC3,"SI, SIN MANEJO")*3),SUM(COUNTIF(BC3,"SI, NO CONTROLADA")*3),SUM(COUNTIF(BD3:BG3,"SI")*3),SUM(COUNTIF(CB3:CC3,"SI")*3),SUM(COUNTIF(AD3,"Consumo Actual")*3),SUM(COUNTIF(AD3,"Hasta Antes de la Gestación")*2),SUM(COUNTIF(BK3,"SI")*3),SUM(COUNTIF(BL3,"SI")*2),SUM(COUNTIF(CE3,"SI")*2),SUM(COUNTIF(BH3,"SI")*2),SUM(COUNTIF(FG3,"DIABETES, REMITIR")*2),SUM(MT3:NC3),SUM(MR3),SUM(NG3),SUM(COUNTIF(EZ3,"COOMBS C/MES Y RESUMAN SEM 28")*2),SUM(COUNTIF(EZ3,"TOMAR COOMBS CUANTITATIVO Y REMISIÓN")*3),SUM(COUNTIF(FU3,"SIFILIS GESTACIONAL")*3)),""))</f>
        <v/>
      </c>
      <c r="NE3" s="81" t="str">
        <f>IF(OR(O3&gt;0,R3&gt;0),SUM(COUNTIF(Tabla1[[#This Row],[AÑOS AL INICIO5 CPN]],"&gt;=40"),COUNTIF(AS3,"0"),COUNTIF(AR3,"SI"),COUNTIF(CC3,"SI"),COUNTIF(BQ3,"&gt;119"),COUNTIF(CI3,"&gt;=35")),"")</f>
        <v/>
      </c>
      <c r="NF3" s="81" t="str">
        <f t="shared" ref="NF3:NF34" si="80">IF(AND(R3="",O3=""),"",IF(AND(OR(O3&gt;0,R3&gt;0),RW3=""),"SD",IF(AND(OR(O3&gt;0,R3&gt;0),ID3&gt;0),SUM(ID3-RW3)/7,"")))</f>
        <v/>
      </c>
      <c r="NG3" s="81" t="str">
        <f t="shared" ref="NG3:NG34" si="81">IF(AND(AD3="",AE3="",AF3="",AG3="",AH3="",AI3="",AJ3=""),"",SUM(COUNTIF(AD3,"Hasta Antes de la Gestación")/2,SUM(COUNTIF(AE3,"NO")/2),COUNTIF(AF3,"NO"),SUM(COUNTIF(AG3,"SI")/2),COUNTIF(AH3,"SI"),SUM(COUNTIF(AJ3,"SI")*2),COUNTIF(AD3,"Consumo Actual"),COUNTIF(AI3,"HABITANTE DE CALLE"),COUNTIF(AI3,"DESPLAZADA"),COUNTIF(AI3,"MIGRATORIA"),COUNTIF(AI3,"DISCAPACIDAD FISICA"),COUNTIF(AI3,"DISCAPACIDAD CONDUCTUAL"),COUNTIF(AI3,"DISCAPACIDAD VISUAL"),COUNTIF(AI3,"DISCAPACIDAD AUDITIVA"),COUNTIF(AI3,"DISCAPACIDAD MULTIPLE"),COUNTIF(AI3,"DISCAPACIDAD SISTEMICA")))</f>
        <v/>
      </c>
      <c r="NH3" s="81" t="str">
        <f t="shared" ref="NH3:NH34" si="82">IF(BX3&gt;0,BX3*7,"")</f>
        <v/>
      </c>
      <c r="NI3" s="81"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CPN",P3="NO"),"Z",IF(AND(Tabla1[[#This Row],[CITA PROXIMO CONTROL]]="CITA MANUAL",Tabla1[[#This Row],[GESTANTES ACTUALES]]="ACTIVA INGRESO A CPN"),"W",IF(AND(Tabla1[[#This Row],[GESTANTES ACTUALES]]="SALIO PROGRAMA",IN3=""),"S",IF(AND(Tabla1[[#This Row],[CITA PROXIMO CONTROL]]&gt;0,IN3=""),(Tabla1[[#This Row],[CITA PROXIMO CONTROL]]-TODAY()),"SD"))))))))</f>
        <v>SD</v>
      </c>
      <c r="NJ3" s="81">
        <f>MONTH(Tabla1[[#This Row],[FECHA DE SALIDA  DEL PROGRAMA]])</f>
        <v>1</v>
      </c>
      <c r="NK3" s="81">
        <f>YEAR(Tabla1[[#This Row],[FECHA DE SALIDA  DEL PROGRAMA]])</f>
        <v>1900</v>
      </c>
      <c r="NL3" s="81" t="str">
        <f t="shared" ref="NL3:NL34" si="83">IF(AND(O3&gt;0,R3=""),"NO CPN",IF(AND(O3="",R3=""),"",IF(AND(R3&gt;0,EJ3&gt;0,EI3&gt;0),_xlfn.DAYS(EJ3,EI3),IF(AND(R3&gt;0,EJ3&gt;0,EI3=""),"NO CITA","X"))))</f>
        <v/>
      </c>
      <c r="NM3" s="81" t="str">
        <f t="shared" ref="NM3:NM34" si="84">IF(AND(O3&gt;0,R3=""),"NO CPN",IF(AND(O3="",R3=""),"",IF(AND(EN3&lt;&gt;"",EX3&lt;&gt;"",FB3&lt;&gt;"",FK3&lt;&gt;"",FW3&lt;&gt;"",FZ3&lt;&gt;"",GO3&lt;&gt;"",GQ3&lt;&gt;"",GR3&lt;&gt;""),"SI","NO")))</f>
        <v/>
      </c>
      <c r="NN3" s="81" t="str">
        <f>IF(AND(O3&gt;0,R3=""),"NO CPN",IF(AND(O3="",R3=""),"",IF(AND(R3&gt;0,Tabla1[[#This Row],[SEMANAS DE GESTACION ACTUALIZADAS]]&lt;=12),"NO APLICA",IF(AND(FH3&lt;&gt;"",FN3&lt;&gt;""),"SI","NO"))))</f>
        <v/>
      </c>
      <c r="NO3" s="81" t="str">
        <f>IF(AND(O3&gt;0,R3=""),"NO CPN",IF(AND(O3="",R3=""),"",IF(AND(R3&gt;0,Tabla1[[#This Row],[SEMANAS DE GESTACION ACTUALIZADAS]]&lt;=27),"NO APLICA",IF(AND(ES3&lt;&gt;"",FQ3&lt;&gt;"",GF3&lt;&gt;""),"SI","NO"))))</f>
        <v/>
      </c>
      <c r="NP3" s="228" t="str">
        <f t="shared" ref="NP3:NP34" si="85">IF(AND(BS3="",IG3=""),"",IF(AND(BS3="",IG3="DEFINIR FPP POR ECO"),"SIN DATO",IF(BS3&lt;0,"ERROR FUM O INGRESO",IF(BP3="NO","DEFINIR CON ECO",IF(BS3&lt;12,"I TRIM",IF(BS3&lt;27,"II TRIM",IF(AND(BS3&gt;26,BS3&lt;45),"III TRIM","ERROR FUM O INGRESO")))))))</f>
        <v/>
      </c>
      <c r="NQ3" s="216" t="str">
        <f t="shared" ref="NQ3:NQ34" si="86">IF(AND(IP4&gt;0,IP4&lt;37),10,IF(OR(CD4="Transversa",CD4="Oblicua"),9,IF(CC4="SI",8,IF(AND(AT4=0,AW4=0,CC4="NO",CD4="Cefálica",IP4&gt;=37,IT4="INICIO ESPONTÁNEO"),1,IF(AND(AND(AT4=0,AW4=0,CC4="NO",CD4="Cefálica",IP4&gt;=37),OR(IT4="LE HACEN INDUCCIÓN",IT4="LE HACEN CESÁREA SIN INICIO TRABAJO DE PARTO")),2,IF(AND(AT4&gt;=1,AW4=0,CC4="NO",CD4="Cefálica",IP4&gt;=37,IT4="INICIO ESPONTÁNEO"),3,IF(AND(AND(AT4&gt;=1,AW4=0,CC4="NO",CD4="Cefálica",IP4&gt;=37),OR(IT4="LE HACEN INDUCCIÓN",IT4="LE HACEN CESÁREA SIN INICIO TRABAJO DE PARTO")),4,IF(AND(AND(AT4&gt;=1,AW4&gt;=1,CC4="NO",CD4="Cefálica",IP4&gt;=37),OR(IT4="LE HACEN INDUCCIÓN",IT4="LE HACEN CESÁREA SIN INICIO TRABAJO DE PARTO",IT4="INICIO ESPONTÁNEO")),5,IF(AND(AND(AT4=0,AW4=0,CC4="NO",CD4="Podálica",IP4&gt;=1),OR(IT4="LE HACEN INDUCCIÓN",IT4="LE HACEN CESÁREA SIN INICIO TRABAJO DE PARTO",IT4="INICIO ESPONTÁNEO")),6,IF(AND(AND(AT4&gt;=1,CC4="NO",CD4="Podálica",IP4&gt;=1),OR(IT4="LE HACEN INDUCCIÓN",IT4="LE HACEN CESÁREA SIN INICIO TRABAJO DE PARTO",IT4="INICIO ESPONTÁNEO"),OR(AW4=0,AW4&gt;=1)),7,""))))))))))</f>
        <v/>
      </c>
      <c r="NR3" s="216" t="str">
        <f t="shared" ref="NR3:NR34" si="87">IF(AND(O3="",R3=""),"",IF(AND(BS3&gt;0,BS3&lt;12,IP3&gt;28,IP3&lt;44),3, IF(OR(AND(BS3&gt;=12,BS3&lt;28,IP3&gt;=28,IP3&lt;44),AND(BS3&gt;0,BS3&lt;12,IP3&gt;=12,IP3&lt;29)),2,IF(OR(AND(BS3&gt;=28,BS3&lt;44),AND(BS3&gt;0,BS3&lt;12,IP3&gt;0,IP3&lt;12),AND(BS3&gt;=12,BS3&lt;28,IP3&gt;=12,IP3&lt;28)),1,IF(AND(BS3&gt;0,BS3&lt;12,BU3&gt;=28,BU3&lt;44,DV3="ACTIVA INGRESO A CPN"),3,IF(OR(AND(BS3&gt;0,BS3&lt;12,BU3&gt;=12,BU3&lt;28,DV3="ACTIVA INGRESO A CPN"),AND(BS3&gt;=12,BS3&lt;28,BU3&gt;=28,BU3&lt;44,DV3="ACTIVA INGRESO A CPN")),2,IF(OR(AND(BS3&gt;0,BS3&lt;12,BU3&gt;0,BU3&lt;12,DV3="ACTIVA INGRESO A CPN"),AND(BS3&gt;=12,BS3&lt;28,BU3&gt;=12,BU3&lt;28,DV3="ACTIVA INGRESO A CPN")),1,"REVISAR FUM O FECHA SALIDA PROGRAMA")))))))</f>
        <v/>
      </c>
      <c r="NS3" s="229">
        <f t="shared" ref="NS3:NS34" si="88">COUNT(FL3,FO3,FR3,FT3)</f>
        <v>0</v>
      </c>
      <c r="NT3" s="216">
        <f t="shared" ref="NT3:NT34" si="89">COUNT(GA3,GD3,GG3,GI3)</f>
        <v>0</v>
      </c>
      <c r="NU3" s="216" t="str">
        <f t="shared" ref="NU3:NU34" si="90">IF(NR3="","",IF(NR3="REVISAR FUM O FECHA SALIDA PROGRAMA","POR DEFINIR",IF(OR(NR3=NS3,NS3&gt;NR3),"COMPLETO",IF(NS3&lt;NR3,"INCOMPLETO",""))))</f>
        <v/>
      </c>
      <c r="NV3" s="216" t="str">
        <f t="shared" ref="NV3:NV34" si="91">IF(NR3="","",IF(NR3="REVISAR FUM O FECHA SALIDA PROGRAMA","POR DEFINIR",IF(OR(NR3=NT3,NT3&gt;NR3),"COMPLETO",IF(NT3&lt;NR3,"INCOMPLETO",""))))</f>
        <v/>
      </c>
      <c r="NW3" s="230" t="str">
        <f>IF(AND(O3="",R3=""),"",IF(OR(AND(Tabla1[[#This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
      </c>
      <c r="NX3" s="231" t="str">
        <f t="shared" ref="NX3:NX34" si="92">IF(AND(O3="",R3=""),"",IF(OR(IE3="VACUNA APLICADA ENTRE SEMANA 20 Y SEMANA 26",IE3="VACUNA APLICADA ENTRE SEMANA 27 Y EL PARTO",IE3="VACUNA APLICADA ANTES SEMANA 20"),"VACUNADA","SIN VACUNAR"))</f>
        <v/>
      </c>
      <c r="NY3" s="81">
        <f>ROW(Tabla1[[#This Row],['# DE TAMIZAJES SIFILIS TOMADOS ]])</f>
        <v>3</v>
      </c>
      <c r="NZ3" s="81" t="str">
        <f t="shared" ref="NZ3:NZ66" si="93">IF(BS3="","",IF(BS3&lt;10,"Menor",INT(BS3)))</f>
        <v/>
      </c>
      <c r="OA3" s="81" t="str">
        <f t="shared" ref="OA3:OA66" si="94">IF(AND(NZ3=$OA$2,CI3&gt;10,CI3&lt;18.5),"BAJO PESO",IF(AND(NZ3=$OA$2,CI3&gt;18.4,CI3&lt;25),"NORMAL",IF(AND(NZ3=$OA$2,CI3&gt;24,CI3&lt;30),"SOBREPESO",IF(AND(NZ3=$OA$2,CI3&gt;29,CI3&lt;50),"OBESIDAD",""))))</f>
        <v/>
      </c>
      <c r="OB3" s="81" t="str">
        <f t="shared" ref="OB3:OB66" si="95">IF(AND(NZ3=$OB$2,CI3&gt;10,CI3&lt;20.3),"BAJO PESO",IF(AND(NZ3=$OB$2,CI3&gt;20.2,CI3&lt;25.3),"NORMAL",IF(AND(NZ3=$OB$2,CI3&gt;25.2,CI3&lt;30.3),"SOBREPESO",IF(AND(NZ3=$OB$2,CI3&gt;30.2,CI3&lt;50),"OBESIDAD",""))))</f>
        <v/>
      </c>
      <c r="OC3" s="81" t="str">
        <f t="shared" ref="OC3:OC66" si="96">IF(AND(NZ3=$OC$2,CI3&gt;10,CI3&lt;20.4),"BAJO PESO",IF(AND(NZ3=$OC$2,CI3&gt;20.3,CI3&lt;25.4),"NORMAL",IF(AND(NZ3=$OC$2,CI3&gt;25.3,CI3&lt;30.4),"SOBREPESO",IF(AND(NZ3=$OC$2,CI3&gt;30.3,CI3&lt;50),"OBESIDAD",""))))</f>
        <v/>
      </c>
      <c r="OD3" s="81" t="str">
        <f t="shared" ref="OD3:OD66" si="97">IF(AND(NZ3=$OD$2,CI3&gt;10,CI3&lt;20.5),"BAJO PESO",IF(AND(NZ3=$OD$2,CI3&gt;20.4,CI3&lt;25.5),"NORMAL",IF(AND(NZ3=$OD$2,CI3&gt;25.4,CI3&lt;30.4),"SOBREPESO",IF(AND(NZ3=$OD$2,CI3&gt;30.3,CI3&lt;50),"OBESIDAD",""))))</f>
        <v/>
      </c>
      <c r="OE3" s="81" t="str">
        <f t="shared" ref="OE3:OE66" si="98">IF(AND(NZ3=$OE$2,CI3&gt;10,CI3&lt;20.7),"BAJO PESO",IF(AND(NZ3=$OE$2,CI3&gt;20.6,CI3&lt;25.7),"NORMAL",IF(AND(NZ3=$OE$2,CI3&gt;25.7,CI3&lt;30.5),"SOBREPESO",IF(AND(NZ3=$OE$2,CI3&gt;30.4,CI3&lt;50),"OBESIDAD",""))))</f>
        <v/>
      </c>
      <c r="OF3" s="81" t="str">
        <f t="shared" ref="OF3:OF66" si="99">IF(AND(NZ3=$OF$2,CI3&gt;10,CI3&lt;20.8),"BAJO PESO",IF(AND(NZ3=$OF$2,CI3&gt;20.7,CI3&lt;25.8),"NORMAL",IF(AND(NZ3=$OF$2,CI3&gt;25.7,CI3&lt;30.6),"SOBREPESO",IF(AND(NZ3=$OF$2,CI3&gt;30.5,CI3&lt;50),"OBESIDAD",""))))</f>
        <v/>
      </c>
      <c r="OG3" s="81" t="str">
        <f t="shared" ref="OG3:OG66" si="100">IF(AND(NZ3=$OG$2,CI3&gt;10,CI3&lt;20.9),"BAJO PESO",IF(AND(NZ3=$OG$2,CI3&gt;20.8,CI3&lt;25.9),"NORMAL",IF(AND(NZ3=$OG$2,CI3&gt;25.8,CI3&lt;30.7),"SOBREPESO",IF(AND(NZ3=$OG$2,CI3&gt;30.6,CI3&lt;50),"OBESIDAD",""))))</f>
        <v/>
      </c>
      <c r="OH3" s="81" t="str">
        <f t="shared" ref="OH3:OH66" si="101">IF(AND(NZ3=$OH$2,CI3&gt;10,CI3&lt;21.1),"BAJO PESO",IF(AND(NZ3=$OH$2,CI3&gt;21,CI3&lt;26),"NORMAL",IF(AND(NZ3=$OH$2,CI3&gt;25.9,CI3&lt;30.8),"SOBREPESO",IF(AND(NZ3=$OH$2,CI3&gt;30.7,CI3&lt;50),"OBESIDAD",""))))</f>
        <v/>
      </c>
      <c r="OI3" s="81" t="str">
        <f t="shared" ref="OI3:OI66" si="102">IF(AND(NZ3=$OI$2,CI3&gt;10,CI3&lt;21.2),"BAJO PESO",IF(AND(NZ3=$OI$2,CI3&gt;21.1,CI3&lt;26.1),"NORMAL",IF(AND(NZ3=$OI$2,CI3&gt;26,CI3&lt;31.9),"SOBREPESO",IF(AND(NZ3=$OI$2,CI3&gt;30.8,CI3&lt;50),"OBESIDAD",""))))</f>
        <v/>
      </c>
      <c r="OJ3" s="81" t="str">
        <f t="shared" ref="OJ3:OJ66" si="103">IF(AND(NZ3=$OJ$2,CI3&gt;10,CI3&lt;21.3),"BAJO PESO",IF(AND(NZ3=$OJ$2,CI3&gt;21.2,CI3&lt;26.2),"NORMAL",IF(AND(NZ3=$OJ$2,CI3&gt;26.1,CI3&lt;31),"SOBREPESO",IF(AND(NZ3=$OJ$2,CI3&gt;30.9,CI3&lt;50),"OBESIDAD",""))))</f>
        <v/>
      </c>
      <c r="OK3" s="81" t="str">
        <f t="shared" ref="OK3:OK66" si="104">IF(AND(NZ3=$OK$2,CI3&gt;10,CI3&lt;21.5),"BAJO PESO",IF(AND(NZ3=$OK$2,CI3&gt;21.4,CI3&lt;26.3),"NORMAL",IF(AND(NZ3=$OK$2,CI3&gt;26.2,CI3&lt;31),"SOBREPESO",IF(AND(NZ3=$OK$2,CI3&gt;30.9,CI3&lt;50),"OBESIDAD",""))))</f>
        <v/>
      </c>
      <c r="OL3" s="81" t="str">
        <f t="shared" ref="OL3:OL66" si="105">IF(AND(NZ3=$OL$2,CI3&gt;10,CI3&lt;21.6),"BAJO PESO",IF(AND(NZ3=$OL$2,CI3&gt;21.5,CI3&lt;26.4),"NORMAL",IF(AND(NZ3=$OL$2,CI3&gt;26.3,CI3&lt;31.1),"SOBREPESO",IF(AND(NZ3=$OL$2,CI3&gt;31,CI3&lt;50),"OBESIDAD",""))))</f>
        <v/>
      </c>
      <c r="OM3" s="81" t="str">
        <f t="shared" ref="OM3:OM66" si="106">IF(AND(NZ3=$OM$2,CI3&gt;10,CI3&lt;21.8),"BAJO PESO",IF(AND(NZ3=$OM$2,CI3&gt;21.7,CI3&lt;26.5),"NORMAL",IF(AND(NZ3=$OM$2,CI3&gt;26.4,CI3&lt;31.2),"SOBREPESO",IF(AND(NZ3=$OM$2,CI3&gt;31.1,CI3&lt;50),"OBESIDAD",""))))</f>
        <v/>
      </c>
      <c r="ON3" s="81" t="str">
        <f t="shared" ref="ON3:ON66" si="107">IF(AND(NZ3=$ON$2,CI3&gt;10,CI3&lt;21.9),"BAJO PESO",IF(AND(NZ3=$ON$2,CI3&gt;21.8,CI3&lt;26.7),"NORMAL",IF(AND(NZ3=$ON$2,CI3&gt;26.6,CI3&lt;31.3),"SOBREPESO",IF(AND(NZ3=$ON$2,CI3&gt;31.2,CI3&lt;50),"OBESIDAD",""))))</f>
        <v/>
      </c>
      <c r="OO3" s="81" t="str">
        <f t="shared" ref="OO3:OO66" si="108">IF(AND(NZ3=$OO$2,CI3&gt;10,CI3&lt;22.1),"BAJO PESO",IF(AND(NZ3=$OO$2,CI3&gt;22,CI3&lt;26.8),"NORMAL",IF(AND(NZ3=$OO$2,CI3&gt;26.7,CI3&lt;31.4),"SOBREPESO",IF(AND(NZ3=$OO$2,CI3&gt;31.3,CI3&lt;50),"OBESIDAD",""))))</f>
        <v/>
      </c>
      <c r="OP3" s="81" t="str">
        <f t="shared" ref="OP3:OP66" si="109">IF(AND(NZ3=$OP$2,CI3&gt;10,CI3&lt;22.3),"BAJO PESO",IF(AND(NZ3=$OP$2,CI3&gt;22.2,CI3&lt;27),"NORMAL",IF(AND(NZ3=$OP$2,CI3&gt;26.9,CI3&lt;31.6),"SOBREPESO",IF(AND(NZ3=$OP$2,CI3&gt;31.5,CI3&lt;50),"OBESIDAD",""))))</f>
        <v/>
      </c>
      <c r="OQ3" s="81" t="str">
        <f t="shared" ref="OQ3:OQ66" si="110">IF(AND(NZ3=$OQ$2,$CI3&gt;10,CI3&lt;22.5),"BAJO PESO",IF(AND(NZ3=$OQ$2,CI3&gt;22.4,CI3&lt;27.1),"NORMAL",IF(AND(NZ3=$OQ$2,CI3&gt;27,CI3&lt;31.7),"SOBREPESO",IF(AND(NZ3=$OQ$2,CI3&gt;31.6,CI3&lt;50),"OBESIDAD",""))))</f>
        <v/>
      </c>
      <c r="OR3" s="81" t="str">
        <f t="shared" ref="OR3:OR66" si="111">IF(AND(NZ3=$OR$2,CI3&gt;10,CI3&lt;22.7),"BAJO PESO",IF(AND(NZ3=$OR$2,CI3&gt;22.6,CI3&lt;27.3),"NORMAL",IF(AND(NZ3=$OR$2,CI3&gt;27.1,CI3&lt;31.8),"SOBREPESO",IF(AND(NZ3=$OR$2,CI3&gt;31.7,CI3&lt;50),"OBESIDAD",""))))</f>
        <v/>
      </c>
      <c r="OS3" s="81" t="str">
        <f t="shared" ref="OS3:OS66" si="112">IF(AND(NZ3=$OS$2,CI3&gt;10,CI3&lt;22.8),"BAJO PESO",IF(AND(NZ3=$OS$2,CI3&gt;22.7,CI3&lt;27.4),"NORMAL",IF(AND(NZ3=$OS$2,CI3&gt;27.3,CI3&lt;31.9),"SOBREPESO",IF(AND(NZ3=$OS$2,CI3&gt;31.8,CI3&lt;50),"OBESIDAD",""))))</f>
        <v/>
      </c>
      <c r="OT3" s="81" t="str">
        <f t="shared" ref="OT3:OT66" si="113">IF(AND(NZ3=$OT$2,CI3&gt;10,CI3&lt;23),"BAJO PESO",IF(AND(NZ3=$OT$2,CI3&gt;22.9,CI3&lt;27.6),"NORMAL",IF(AND(NZ3=$OT$2,CI3&gt;27.5,CI3&lt;32),"SOBREPESO",IF(AND(NZ3=$OT$2,CI3&gt;31.9,CI3&lt;50),"OBESIDAD",""))))</f>
        <v/>
      </c>
      <c r="OU3" s="81" t="str">
        <f t="shared" ref="OU3:OU66" si="114">IF(AND(NZ3=$OU$2,CI3&gt;10,CI3&lt;23.2),"BAJO PESO",IF(AND(NZ3=$OU$2,CI3&gt;23.1,CI3&lt;27.7),"NORMAL",IF(AND(NZ3=$OU$2,CI3&gt;27.6,CI3&lt;32.1),"SOBREPESO",IF(AND(NZ3=$OU$2,CI3&gt;32,CI3&lt;50),"OBESIDAD",""))))</f>
        <v/>
      </c>
      <c r="OV3" s="210" t="str">
        <f t="shared" ref="OV3:OV66" si="115">IF(AND(NZ3=$OV$2,CI3&gt;10,CI3&lt;23.4),"BAJO PESO",IF(AND(NZ3=$OV$2,CI3&gt;23.3,CI3&lt;27.9),"NORMAL",IF(AND(NZ3=$OV$2,CI3&gt;27.8,CI3&lt;32.2),"SOBREPESO",IF(AND(NZ3=$OV$2,CI3&gt;32.1,CI3&lt;50),"OBESIDAD",""))))</f>
        <v/>
      </c>
      <c r="OW3" s="81" t="str">
        <f t="shared" ref="OW3:OW66" si="116">IF(AND(NZ3=$OW$2,CI3&gt;10,CI3&lt;23.5),"BAJO PESO",IF(AND(NZ3=$OW$2,CI3&gt;23.4,CI3&lt;28),"NORMAL",IF(AND(NZ3=$OW$2,CI3&gt;27.9,CI3&lt;32.1),"SOBREPESO",IF(AND(NZ3=$OW$2,CI3&gt;32.2,CI3&lt;50),"OBESIDAD",""))))</f>
        <v/>
      </c>
      <c r="OX3" s="81" t="str">
        <f t="shared" ref="OX3:OX66" si="117">IF(AND(NZ3=$OX$2,CI3&gt;10,CI3&lt;23.7),"BAJO PESO",IF(AND(NZ3=$OX$2,CI3&gt;23.6,CI3&lt;28.1),"NORMAL",IF(AND(NZ3=$OX$2,CI3&gt;28,CI3&lt;33.4),"SOBREPESO",IF(AND(NZ3=$OX$2,CI3&gt;33.3,CI3&lt;50),"OBESIDAD",""))))</f>
        <v/>
      </c>
      <c r="OY3" s="81" t="str">
        <f t="shared" ref="OY3:OY66" si="118">IF(AND(NZ3=$OY$2,CI3&gt;10,CI3&lt;23.9),"BAJO PESO",IF(AND(NZ3=$OY$2,CI3&gt;23.8,CI3&lt;28.2),"NORMAL",IF(AND(NZ3=$OY$2,CI3&gt;28.1,CI3&lt;33.5),"SOBREPESO",IF(AND(NZ3=$OY$2,CI3&gt;33.4,CI3&lt;50),"OBESIDAD",""))))</f>
        <v/>
      </c>
      <c r="OZ3" s="81" t="str">
        <f t="shared" ref="OZ3:OZ66" si="119">IF(AND(NZ3=$OZ$2,CI3&gt;10,CI3&lt;24),"BAJO PESO",IF(AND(NZ3=$OZ$2,CI3&gt;23.9,CI3&lt;28.4),"NORMAL",IF(AND(NZ3=$OZ$2,CI3&gt;28.3,CI3&lt;33.6),"SOBREPESO",IF(AND(NZ3=$OZ$2,CI3&gt;33.5,CI3&lt;50),"OBESIDAD",""))))</f>
        <v/>
      </c>
      <c r="PA3" s="81" t="str">
        <f t="shared" ref="PA3:PA66" si="120">IF(AND(NZ3=$PA$2,CI3&gt;10,CI3&lt;24.2),"BAJO PESO",IF(AND(NZ3=$PA$2,CI3&gt;24.1,CI3&lt;28.5),"NORMAL",IF(AND(NZ3=$PA$2,CI3&gt;28.4,CI3&lt;33.7),"SOBREPESO",IF(AND(NZ3=$PA$2,CI3&gt;33.6,CI3&lt;50),"OBESIDAD",""))))</f>
        <v/>
      </c>
      <c r="PB3" s="81" t="str">
        <f t="shared" ref="PB3:PB66" si="121">IF(AND(NZ3=$PB$2,CI3&gt;10,CI3&lt;24.3),"BAJO PESO",IF(AND(NZ3=$PB$2,CI3&gt;24.2,CI3&lt;28.6),"NORMAL",IF(AND(NZ3=$PB$2,CI3&gt;28.5,CI3&lt;33.8),"SOBREPESO",IF(AND(NZ3=$PB$2,CI3&gt;33.7,CI3&lt;50),"OBESIDAD",""))))</f>
        <v/>
      </c>
      <c r="PC3" s="81" t="str">
        <f t="shared" ref="PC3:PC66" si="122">IF(AND(NZ3=$PC$2,CI3&gt;10,CI3&lt;24.5),"BAJO PESO",IF(AND(NZ3=$PC$2,CI3&gt;24.4,CI3&lt;28.8),"NORMAL",IF(AND(NZ3=$PC$2,CI3&gt;28.7,CI3&lt;32.9),"SOBREPESO",IF(AND(NZ3=$PC$2,CI3&gt;32.8,CI3&lt;50),"OBESIDAD",""))))</f>
        <v/>
      </c>
      <c r="PD3" s="81" t="str">
        <f t="shared" ref="PD3:PD66" si="123">IF(AND(NZ3=$PD$2,CI3&gt;10,CI3&lt;24.6),"BAJO PESO",IF(AND(NZ3=$PD$2,CI3&gt;24.5,CI3&lt;28.9),"NORMAL",IF(AND(NZ3=$PD$2,CI3&gt;28.8,CI3&lt;33),"SOBREPESO",IF(AND(NZ3=$PD$2,CI3&gt;32.9,CI3&lt;50),"OBESIDAD",""))))</f>
        <v/>
      </c>
      <c r="PE3" s="81" t="str">
        <f t="shared" ref="PE3:PE66" si="124">IF(AND(NZ3=$PE$2,CI3&gt;10,CI3&lt;24.8),"BAJO PESO",IF(AND(NZ3=$PE$2,CI3&gt;24.7,CI3&lt;29),"NORMAL",IF(AND(NZ3=$PE$2,CI3&gt;28.9,CI3&lt;33.1),"SOBREPESO",IF(AND(NZ3=$PE$2,CI3&gt;33,CI3&lt;50),"OBESIDAD",""))))</f>
        <v/>
      </c>
      <c r="PF3" s="81" t="str">
        <f t="shared" ref="PF3:PF66" si="125">IF(AND(NZ3=$PF$2,CI3&gt;10,CI3&lt;25),"BAJO PESO",IF(AND(NZ3=$PF$2,CI3&gt;24.9,CI3&lt;29.2),"NORMAL",IF(AND(NZ3=$PF$2,CI3&gt;29.1,CI3&lt;33.2),"SOBREPESO",IF(AND(NZ3=$PF$2,CI3&gt;33.1,CI3&lt;50),"OBESIDAD",""))))</f>
        <v/>
      </c>
      <c r="PG3" s="81" t="str">
        <f t="shared" ref="PG3:PG66" si="126">IF(AND(NZ3=$PG$2,CI3&gt;10,CI3&lt;25.1),"BAJO PESO",IF(AND(NZ3=$PG$2,CI3&gt;25,CI3&lt;29.3),"NORMAL",IF(AND(NZ3=$PG$2,CI3&gt;29.2,CI3&lt;33.3),"SOBREPESO",IF(AND(NZ3=$PG$2,CI3&gt;33.2,CI3&lt;50),"OBESIDAD",""))))</f>
        <v/>
      </c>
      <c r="PH3" s="81" t="str">
        <f t="shared" ref="PH3:PH66" si="127">IF(AND(NZ3=$PH$2,CI3&gt;10,CI3&lt;25.1),"BAJO PESO",IF(AND(NZ3=$PH$2,CI3&gt;25,CI3&lt;29.4),"NORMAL",IF(AND(NZ3=$PH$2,CI3&gt;29.3,CI3&lt;33.3),"SOBREPESO",IF(AND(NZ3=$PH$2,CI3&gt;33.2,CI3&lt;50),"OBESIDAD",""))))</f>
        <v/>
      </c>
      <c r="PI3" s="81" t="str">
        <f t="shared" ref="PI3:PI66" si="128">IF(DZ3="","",IF(DZ3&lt;10,"Menor",DZ3))</f>
        <v/>
      </c>
      <c r="PJ3" s="81" t="str">
        <f t="shared" ref="PJ3:PJ66" si="129">IF(AND(PI3=$PJ$2,CM3&gt;10,CM3&lt;18.5),"BAJO PESO",IF(AND(PI3=$PJ$2,CM3&gt;18.4,CM3&lt;25),"NORMAL",IF(AND(PI3=$PJ$2,CM3&gt;24,CM3&lt;30),"SOBREPESO",IF(AND(PI3=$PJ$2,CM3&gt;29,CM3&lt;50),"OBESIDAD",""))))</f>
        <v/>
      </c>
      <c r="PK3" s="81" t="str">
        <f t="shared" ref="PK3:PK66" si="130">IF(AND(PI3=$PK$2,CM3&gt;10,CM3&lt;20.3),"BAJO PESO",IF(AND(PI3=$PK$2,CM3&gt;20.2,CM3&lt;25.3),"NORMAL",IF(AND(PI3=$PK$2,CM3&gt;25.2,CM3&lt;30.3),"SOBREPESO",IF(AND(PI3=$PK$2,CM3&gt;30.2,CM3&lt;50),"OBESIDAD",""))))</f>
        <v/>
      </c>
      <c r="PL3" s="81" t="str">
        <f t="shared" ref="PL3:PL66" si="131">IF(AND(PI3=$PL$2,CM3&gt;10,CM3&lt;20.4),"BAJO PESO",IF(AND(PI3=$PL$2,CM3&gt;20.3,CM3&lt;25.4),"NORMAL",IF(AND(PI3=$PL$2,CM3&gt;25.3,CM3&lt;30.4),"SOBREPESO",IF(AND(PI3=$PL$2,CM3&gt;30.3,CM3&lt;50),"OBESIDAD",""))))</f>
        <v/>
      </c>
      <c r="PM3" s="81" t="str">
        <f t="shared" ref="PM3:PM66" si="132">IF(AND(PI3=$PM$2,CM3&gt;10,CM3&lt;20.5),"BAJO PESO",IF(AND(PI3=$PM$2,CM3&gt;20.4,CM3&lt;25.5),"NORMAL",IF(AND(PI3=$PM$2,CM3&gt;25.4,CM3&lt;30.4),"SOBREPESO",IF(AND(PI3=$PM$2,CM3&gt;30.3,CM3&lt;50),"OBESIDAD",""))))</f>
        <v/>
      </c>
      <c r="PN3" s="81" t="str">
        <f t="shared" ref="PN3:PN66" si="133">IF(AND(PI3=$PN$2,CM3&gt;10,CM3&lt;20.7),"BAJO PESO",IF(AND(PI3=$PN$2,CM3&gt;20.6,CM3&lt;25.7),"NORMAL",IF(AND(PI3=$PN$2,CM3&gt;25.7,CM3&lt;30.5),"SOBREPESO",IF(AND(PI3=$PN$2,CM3&gt;30.4,CM3&lt;50),"OBESIDAD",""))))</f>
        <v/>
      </c>
      <c r="PO3" s="81" t="str">
        <f t="shared" ref="PO3:PO66" si="134">IF(AND(PI3=$PO$2,CM3&gt;10,CM3&lt;20.8),"BAJO PESO",IF(AND(PI3=$PO$2,CM3&gt;20.7,CM3&lt;25.8),"NORMAL",IF(AND(PI3=$PO$2,CM3&gt;25.7,CM3&lt;30.6),"SOBREPESO",IF(AND(PI3=$PO$2,CM3&gt;30.5,CM3&lt;50),"OBESIDAD",""))))</f>
        <v/>
      </c>
      <c r="PP3" s="81" t="str">
        <f t="shared" ref="PP3:PP66" si="135">IF(AND(PI3=$PP$2,CM3&gt;10,CM3&lt;20.9),"BAJO PESO",IF(AND(PI3=$PP$2,CM3&gt;20.8,CM3&lt;25.9),"NORMAL",IF(AND(PI3=$PP$2,CM3&gt;25.8,CM3&lt;30.7),"SOBREPESO",IF(AND(PI3=$PP$2,CM3&gt;30.6,CM3&lt;50),"OBESIDAD",""))))</f>
        <v/>
      </c>
      <c r="PQ3" s="81" t="str">
        <f t="shared" ref="PQ3:PQ66" si="136">IF(AND(PI3=$PQ$2,CM3&gt;10,CM3&lt;21.1),"BAJO PESO",IF(AND(PI3=$PQ$2,CM3&gt;21,CM3&lt;26),"NORMAL",IF(AND(PI3=$PQ$2,CM3&gt;25.9,CM3&lt;30.8),"SOBREPESO",IF(AND(PI3=$PQ$2,CM3&gt;30.7,CM3&lt;50),"OBESIDAD",""))))</f>
        <v/>
      </c>
      <c r="PR3" s="81" t="str">
        <f t="shared" ref="PR3:PR66" si="137">IF(AND(PI3=$PR$2,CM3&gt;10,CM3&lt;21.2),"BAJO PESO",IF(AND(PI3=$PR$2,CM3&gt;21.1,CM3&lt;26.1),"NORMAL",IF(AND(PI3=$PR$2,CM3&gt;26,CM3&lt;31.9),"SOBREPESO",IF(AND(PI3=$PR$2,CM3&gt;30.8,CM3&lt;50),"OBESIDAD",""))))</f>
        <v/>
      </c>
      <c r="PS3" s="81" t="str">
        <f t="shared" ref="PS3:PS66" si="138">IF(AND(PI3=$PS$2,CM3&gt;10,CM3&lt;21.3),"BAJO PESO",IF(AND(PI3=$PS$2,CM3&gt;21.2,CM3&lt;26.2),"NORMAL",IF(AND(PI3=$PS$2,CM3&gt;26.1,CM3&lt;31),"SOBREPESO",IF(AND(PI3=$PS$2,CM3&gt;30.9,CM3&lt;50),"OBESIDAD",""))))</f>
        <v/>
      </c>
      <c r="PT3" s="81" t="str">
        <f t="shared" ref="PT3:PT66" si="139">IF(AND(PI3=$PT$2,CM3&gt;10,CM3&lt;21.5),"BAJO PESO",IF(AND(PI3=$PT$2,CM3&gt;21.4,CM3&lt;26.3),"NORMAL",IF(AND(PI3=$PT$2,CM3&gt;26.2,CM3&lt;31),"SOBREPESO",IF(AND(PI3=$PT$2,CM3&gt;30.9,CM3&lt;50),"OBESIDAD",""))))</f>
        <v/>
      </c>
      <c r="PU3" s="81" t="str">
        <f t="shared" ref="PU3:PU66" si="140">IF(AND(PI3=$PU$2,CM3&gt;10,CM3&lt;21.6),"BAJO PESO",IF(AND(PI3=$PU$2,CM3&gt;21.5,CM3&lt;26.4),"NORMAL",IF(AND(PI3=$PU$2,CM3&gt;26.3,CM3&lt;31.1),"SOBREPESO",IF(AND(PI3=$PU$2,CM3&gt;31,CM3&lt;50),"OBESIDAD",""))))</f>
        <v/>
      </c>
      <c r="PV3" s="81" t="str">
        <f t="shared" ref="PV3:PV66" si="141">IF(AND(PI3=$PV$2,CM3&gt;10,CM3&lt;21.8),"BAJO PESO",IF(AND(PI3=$PV$2,CM3&gt;21.7,CM3&lt;26.5),"NORMAL",IF(AND(PI3=$PV$2,CM3&gt;26.4,CM3&lt;31.2),"SOBREPESO",IF(AND(PI3=$PV$2,CM3&gt;31.1,CM3&lt;50),"OBESIDAD",""))))</f>
        <v/>
      </c>
      <c r="PW3" s="81" t="str">
        <f t="shared" ref="PW3:PW66" si="142">IF(AND(PI3=$PW$2,CM3&gt;10,CM3&lt;21.9),"BAJO PESO",IF(AND(PI3=$PW$2,CM3&gt;21.8,CM3&lt;26.7),"NORMAL",IF(AND(PI3=$PW$2,CM3&gt;26.6,CM3&lt;31.3),"SOBREPESO",IF(AND(PI3=$PW$2,CM3&gt;31.2,CM3&lt;50),"OBESIDAD",""))))</f>
        <v/>
      </c>
      <c r="PX3" s="81" t="str">
        <f t="shared" ref="PX3:PX66" si="143">IF(AND(PI3=$PX$2,CM3&gt;10,CM3&lt;22.1),"BAJO PESO",IF(AND(PI3=$PX$2,CM3&gt;22,CM3&lt;26.8),"NORMAL",IF(AND(PI3=$PX$2,CM3&gt;26.7,CM3&lt;31.4),"SOBREPESO",IF(AND(PI3=$PX$2,CM3&gt;31.3,CM3&lt;50),"OBESIDAD",""))))</f>
        <v/>
      </c>
      <c r="PY3" s="81" t="str">
        <f t="shared" ref="PY3:PY66" si="144">IF(AND(PI3=$PY$2,CM3&gt;10,CM3&lt;22.3),"BAJO PESO",IF(AND(PI3=$PY$2,CM3&gt;22.2,CM3&lt;27),"NORMAL",IF(AND(PI3=$PY$2,CM3&gt;26.9,CM3&lt;31.6),"SOBREPESO",IF(AND(PI3=$PY$2,CM3&gt;31.5,CM3&lt;50),"OBESIDAD",""))))</f>
        <v/>
      </c>
      <c r="PZ3" s="81" t="str">
        <f t="shared" ref="PZ3:PZ66" si="145">IF(AND(PI3=$PZ$2,$CM3&gt;10,CM3&lt;22.5),"BAJO PESO",IF(AND(PI3=$PZ$2,CM3&gt;22.4,CM3&lt;27.1),"NORMAL",IF(AND(PI3=$PZ$2,CM3&gt;27,CM3&lt;31.7),"SOBREPESO",IF(AND(PI3=$PZ$2,CM3&gt;31.6,CM3&lt;50),"OBESIDAD",""))))</f>
        <v/>
      </c>
      <c r="QA3" s="81" t="str">
        <f t="shared" ref="QA3:QA66" si="146">IF(AND(PI3=$QA$2,CM3&gt;10,CM3&lt;22.7),"BAJO PESO",IF(AND(PI3=$QA$2,CM3&gt;22.6,CM3&lt;27.3),"NORMAL",IF(AND(PI3=$QA$2,CM3&gt;27.1,CM3&lt;31.8),"SOBREPESO",IF(AND(PI3=$QA$2,CM3&gt;31.7,CM3&lt;50),"OBESIDAD",""))))</f>
        <v/>
      </c>
      <c r="QB3" s="81" t="str">
        <f t="shared" ref="QB3:QB66" si="147">IF(AND(PI3=$QB$2,CM3&gt;10,CM3&lt;22.8),"BAJO PESO",IF(AND(PI3=$QB$2,CM3&gt;22.7,CM3&lt;27.4),"NORMAL",IF(AND(PI3=$QB$2,CM3&gt;27.3,CM3&lt;31.9),"SOBREPESO",IF(AND(PI3=$QB$2,CM3&gt;31.8,CM3&lt;50),"OBESIDAD",""))))</f>
        <v/>
      </c>
      <c r="QC3" s="81" t="str">
        <f t="shared" ref="QC3:QC66" si="148">IF(AND(PI3=$QC$2,CM3&gt;10,CM3&lt;23),"BAJO PESO",IF(AND(PI3=$QC$2,CM3&gt;22.9,CM3&lt;27.6),"NORMAL",IF(AND(PI3=$QC$2,CM3&gt;27.5,CM3&lt;32),"SOBREPESO",IF(AND(PI3=$QC$2,CM3&gt;31.9,CM3&lt;50),"OBESIDAD",""))))</f>
        <v/>
      </c>
      <c r="QD3" s="81" t="str">
        <f t="shared" ref="QD3:QD66" si="149">IF(AND(PI3=$QD$2,CM3&gt;10,CM3&lt;23.2),"BAJO PESO",IF(AND(PI3=$QD$2,CM3&gt;23.1,CM3&lt;27.7),"NORMAL",IF(AND(PI3=$QD$2,CM3&gt;27.6,CM3&lt;32.1),"SOBREPESO",IF(AND(PI3=$QD$2,CM3&gt;32,CM3&lt;50),"OBESIDAD",""))))</f>
        <v/>
      </c>
      <c r="QE3" s="81" t="str">
        <f t="shared" ref="QE3:QE66" si="150">IF(AND(PI3=$QE$2,CM3&gt;10,CM3&lt;23.4),"BAJO PESO",IF(AND(PI3=$QE$2,CM3&gt;23.3,CM3&lt;27.9),"NORMAL",IF(AND(PI3=$QE$2,CM3&gt;27.8,CM3&lt;32.2),"SOBREPESO",IF(AND(PI3=$QE$2,CM3&gt;32.1,CM3&lt;50),"OBESIDAD",""))))</f>
        <v/>
      </c>
      <c r="QF3" s="81" t="str">
        <f t="shared" ref="QF3:QF66" si="151">IF(AND(PI3=$QF$2,CM3&gt;10,CM3&lt;23.5),"BAJO PESO",IF(AND(PI3=$QF$2,CM3&gt;23.4,CM3&lt;28),"NORMAL",IF(AND(PI3=$QF$2,CM3&gt;27.9,CM3&lt;32.1),"SOBREPESO",IF(AND(PI3=$QF$2,CM3&gt;32.2,CM3&lt;50),"OBESIDAD",""))))</f>
        <v/>
      </c>
      <c r="QG3" s="81" t="str">
        <f t="shared" ref="QG3:QG66" si="152">IF(AND(PI3=$QG$2,CM3&gt;10,CM3&lt;23.7),"BAJO PESO",IF(AND(PI3=$QG$2,CM3&gt;23.6,CM3&lt;28.1),"NORMAL",IF(AND(PI3=$QG$2,CM3&gt;28,CM3&lt;33.4),"SOBREPESO",IF(AND(PI3=$QG$2,CM3&gt;33.3,CM3&lt;50),"OBESIDAD",""))))</f>
        <v/>
      </c>
      <c r="QH3" s="81" t="str">
        <f t="shared" ref="QH3:QH66" si="153">IF(AND(PI3=$QH$2,CM3&gt;10,CM3&lt;23.9),"BAJO PESO",IF(AND(PI3=$QH$2,CM3&gt;23.8,CM3&lt;28.2),"NORMAL",IF(AND(PI3=$QH$2,CM3&gt;28.1,CM3&lt;33.5),"SOBREPESO",IF(AND(PI3=$QH$2,CM3&gt;33.4,CM3&lt;50),"OBESIDAD",""))))</f>
        <v/>
      </c>
      <c r="QI3" s="81" t="str">
        <f t="shared" ref="QI3:QI66" si="154">IF(AND(PI3=$QI$2,CM3&gt;10,CM3&lt;24),"BAJO PESO",IF(AND(PI3=$QI$2,CM3&gt;23.9,CM3&lt;28.4),"NORMAL",IF(AND(PI3=$QI$2,CM3&gt;28.3,CM3&lt;33.6),"SOBREPESO",IF(AND(PI3=$QI$2,CM3&gt;33.5,CM3&lt;50),"OBESIDAD",""))))</f>
        <v/>
      </c>
      <c r="QJ3" s="81" t="str">
        <f t="shared" ref="QJ3:QJ66" si="155">IF(AND(PI3=$QJ$2,CM3&gt;10,CM3&lt;24.2),"BAJO PESO",IF(AND(PI3=$QJ$2,CM3&gt;24.1,CM3&lt;28.5),"NORMAL",IF(AND(PI3=$QJ$2,CM3&gt;28.4,CM3&lt;33.7),"SOBREPESO",IF(AND(PI3=$QJ$2,CM3&gt;33.6,CM3&lt;50),"OBESIDAD",""))))</f>
        <v/>
      </c>
      <c r="QK3" s="81" t="str">
        <f t="shared" ref="QK3:QK66" si="156">IF(AND(PI3=$QK$2,CM3&gt;10,CM3&lt;24.3),"BAJO PESO",IF(AND(PI3=$QK$2,CM3&gt;24.2,CM3&lt;28.6),"NORMAL",IF(AND(PI3=$QK$2,CM3&gt;28.5,CM3&lt;33.8),"SOBREPESO",IF(AND(PI3=$QK$2,CM3&gt;33.7,CM3&lt;50),"OBESIDAD",""))))</f>
        <v/>
      </c>
      <c r="QL3" s="81" t="str">
        <f t="shared" ref="QL3:QL66" si="157">IF(AND(PI3=$QL$2,CM3&gt;10,CM3&lt;24.5),"BAJO PESO",IF(AND(PI3=$QL$2,CM3&gt;24.4,CM3&lt;28.8),"NORMAL",IF(AND(PI3=$QL$2,CM3&gt;28.7,CM3&lt;32.9),"SOBREPESO",IF(AND(PI3=$QL$2,CM3&gt;32.8,CM3&lt;50),"OBESIDAD",""))))</f>
        <v/>
      </c>
      <c r="QM3" s="81" t="str">
        <f t="shared" ref="QM3:QM66" si="158">IF(AND(PI3=$QM$2,CM3&gt;10,CM3&lt;24.6),"BAJO PESO",IF(AND(PI3=$QM$2,CM3&gt;24.5,CM3&lt;28.9),"NORMAL",IF(AND(PI3=$QM$2,CM3&gt;28.8,CM3&lt;33),"SOBREPESO",IF(AND(PI3=$QM$2,CM3&gt;32.9,CM3&lt;50),"OBESIDAD",""))))</f>
        <v/>
      </c>
      <c r="QN3" s="81" t="str">
        <f t="shared" ref="QN3:QN66" si="159">IF(AND(PI3=$QN$2,CM3&gt;10,CM3&lt;24.8),"BAJO PESO",IF(AND(PI3=$QN$2,CM3&gt;24.7,CM3&lt;29),"NORMAL",IF(AND(PI3=$QN$2,CM3&gt;28.9,CM3&lt;33.1),"SOBREPESO",IF(AND(PI3=$QN$2,CM3&gt;33,CM3&lt;50),"OBESIDAD",""))))</f>
        <v/>
      </c>
      <c r="QO3" s="81" t="str">
        <f t="shared" ref="QO3:QO66" si="160">IF(AND(PI3=$QO$2,CM3&gt;10,CM3&lt;25),"BAJO PESO",IF(AND(PI3=$QO$2,CM3&gt;24.9,CM3&lt;29.2),"NORMAL",IF(AND(PI3=$QO$2,CM3&gt;29.1,CM3&lt;33.2),"SOBREPESO",IF(AND(PI3=$QO$2,CM3&gt;33.1,CM3&lt;50),"OBESIDAD",""))))</f>
        <v/>
      </c>
      <c r="QP3" s="81" t="str">
        <f t="shared" ref="QP3:QP66" si="161">IF(AND(PI3=$QP$2,CM3&gt;10,CM3&lt;25.1),"BAJO PESO",IF(AND(PI3=$QP$2,CM3&gt;25,CM3&lt;29.3),"NORMAL",IF(AND(PI3=$QP$2,CM3&gt;29.2,CM3&lt;33.3),"SOBREPESO",IF(AND(PI3=$QP$2,CM3&gt;33.2,CM3&lt;50),"OBESIDAD",""))))</f>
        <v/>
      </c>
      <c r="QQ3" s="81" t="str">
        <f t="shared" ref="QQ3:QQ66" si="162">IF(AND(PI3=$QQ$2,CM3&gt;10,CM3&lt;25.1),"BAJO PESO",IF(AND(PI3=$QQ$2,CM3&gt;25,CM3&lt;29.4),"NORMAL",IF(AND(PI3=$QQ$2,CM3&gt;29.3,CM3&lt;33.3),"SOBREPESO",IF(AND(PI3=$QQ$2,CM3&gt;33.2,CM3&lt;50),"OBESIDAD",""))))</f>
        <v/>
      </c>
      <c r="QR3" s="81" t="str">
        <f>IF(DZ3="","",IF(DZ3&lt;13,"Menor",IF(DZ3&gt;=40,"Mayor",DZ3)))</f>
        <v/>
      </c>
      <c r="QS3" s="81"/>
      <c r="QT3" s="216" t="str">
        <f t="shared" ref="QT3:QT66" si="163">IF(AND(QR3=$QT$2,CP3&gt;1,CP3&lt;8),"BAJO PARA EDAD GESTACIONAL",IF(AND(QR3=$QT$2,CP3&gt;=8,CP3&lt;=12),"ADECUADO PARA EDAD GESTACIONAL",IF(AND(QR3=$QT$2,CP3&gt;12,CP3&lt;38),"ALTO PARA EDAD GESTACIONAL","")))</f>
        <v/>
      </c>
      <c r="QU3" s="216" t="str">
        <f t="shared" ref="QU3:QU66" si="164">IF(AND(QR3=$QU$2,CP3&gt;1,CP3&lt;8.5),"BAJO PARA EDAD GESTACIONAL",IF(AND(QR3=$QU$2,CP3&gt;=8.5,CP3&lt;=14.5),"ADECUADO PARA EDAD GESTACIONAL",IF(AND(QR3=$QU$2,CP3&gt;14.5,CP3&lt;38),"ALTO PARA EDAD GESTACIONAL","")))</f>
        <v/>
      </c>
      <c r="QV3" s="216" t="str">
        <f t="shared" ref="QV3:QV66" si="165">IF(AND(QR3=$QV$2,CP3&gt;1,CP3&lt;9.5),"BAJO PARA EDAD GESTACIONAL",IF(AND(QR3=$QV$2,CP3&gt;=9.5,CP3&lt;=15),"ADECUADO PARA EDAD GESTACIONAL",IF(AND(QR3=$QV$2,CP3&gt;15,CP3&lt;38),"ALTO PARA EDAD GESTACIONAL","")))</f>
        <v/>
      </c>
      <c r="QW3" s="216" t="str">
        <f t="shared" ref="QW3:QW66" si="166">IF(AND(QR3=$QW$2,CP3&gt;1,CP3&lt;11.5),"BAJO PARA EDAD GESTACIONAL",IF(AND(QR3=$QW$2,CP3&gt;=11.5,CP3&lt;=18),"ADECUADO PARA EDAD GESTACIONAL",IF(AND(QR3=$QW$2,CP3&gt;18,CP3&lt;38),"ALTO PARA EDAD GESTACIONAL","")))</f>
        <v/>
      </c>
      <c r="QX3" s="216" t="str">
        <f t="shared" ref="QX3:QX66" si="167">IF(AND(QR3=$QX$2,CP3&gt;1,CP3&lt;12.5),"BAJO PARA EDAD GESTACIONAL",IF(AND(QR3=$QX$2,CP3&gt;=12.5,CP3&lt;=18),"ADECUADO PARA EDAD GESTACIONAL",IF(AND(QR3=$QX$2,CP3&gt;18,CP3&lt;38),"ALTO PARA EDAD GESTACIONAL","")))</f>
        <v/>
      </c>
      <c r="QY3" s="216" t="str">
        <f t="shared" ref="QY3:QY66" si="168">IF(AND(QR3=$QY$2,CP3&gt;1,CP3&lt;13.5),"BAJO PARA EDAD GESTACIONAL",IF(AND(QR3=$QY$2,CP3&gt;=13.5,CP3&lt;=19),"ADECUADO PARA EDAD GESTACIONAL",IF(AND(QR3=$QY$2,CP3&gt;19,CP3&lt;38),"ALTO PARA EDAD GESTACIONAL","")))</f>
        <v/>
      </c>
      <c r="QZ3" s="216" t="str">
        <f t="shared" ref="QZ3:QZ66" si="169">IF(AND(QR3=$QZ$2,CP3&gt;1,CP3&lt;14),"BAJO PARA EDAD GESTACIONAL",IF(AND(QR3=$QZ$2,CP3&gt;=14,CP3&lt;=19.5),"ADECUADO PARA EDAD GESTACIONAL",IF(AND(QR3=$QZ$2,CP3&gt;19.5,CP3&lt;38),"ALTO PARA EDAD GESTACIONAL","")))</f>
        <v/>
      </c>
      <c r="RA3" s="216" t="str">
        <f t="shared" ref="RA3:RA66" si="170">IF(AND(QR3=$RA$2,CP3&gt;1,CP3&lt;15),"BAJO PARA EDAD GESTACIONAL",IF(AND(QR3=$RA$2,CP3&gt;=15,CP3&lt;=21),"ADECUADO PARA EDAD GESTACIONAL",IF(AND(QR3=$RA$2,CP3&gt;21,CP3&lt;38),"ALTO PARA EDAD GESTACIONAL","")))</f>
        <v/>
      </c>
      <c r="RB3" s="216" t="str">
        <f t="shared" ref="RB3:RB66" si="171">IF(AND(QR3=$RB$2,CP3&gt;1,CP3&lt;15.5),"BAJO PARA EDAD GESTACIONAL",IF(AND(QR3=$RB$2,CP3&gt;=15.5,CP3&lt;=21.5),"ADECUADO PARA EDAD GESTACIONAL",IF(AND(QR3=$RB$2,CP3&gt;21.5,CP3&lt;38),"ALTO PARA EDAD GESTACIONAL","")))</f>
        <v/>
      </c>
      <c r="RC3" s="216" t="str">
        <f t="shared" ref="RC3:RC66" si="172">IF(AND(QR3=$RC$2,CP3&gt;1,CP3&lt;16.5),"BAJO PARA EDAD GESTACIONAL",IF(AND(QR3=$RC$2,CP3&gt;=16.5,CP3&lt;=22.5),"ADECUADO PARA EDAD GESTACIONAL",IF(AND(QR3=$RC$2,CP3&gt;22.5,CP3&lt;38),"ALTO PARA EDAD GESTACIONAL","")))</f>
        <v/>
      </c>
      <c r="RD3" s="216" t="str">
        <f t="shared" ref="RD3:RD66" si="173">IF(AND(QR3=$RD$2,CP3&gt;1,CP3&lt;17.5),"BAJO PARA EDAD GESTACIONAL",IF(AND(QR3=$RD$2,CP3&gt;=17.5,CP3&lt;=23),"ADECUADO PARA EDAD GESTACIONAL",IF(AND(QR3=$RD$2,CP3&gt;23,CP3&lt;38),"ALTO PARA EDAD GESTACIONAL","")))</f>
        <v/>
      </c>
      <c r="RE3" s="216" t="str">
        <f t="shared" ref="RE3:RE66" si="174">IF(AND(QR3=$RE$2,CP3&gt;1,CP3&lt;18.5),"BAJO PARA EDAD GESTACIONAL",IF(AND(QR3=$RE$2,CP3&gt;=18.5,CP3&lt;=24),"ADECUADO PARA EDAD GESTACIONAL",IF(AND(QR3=$RE$2,CP3&gt;24,CP3&lt;38),"ALTO PARA EDAD GESTACIONAL","")))</f>
        <v/>
      </c>
      <c r="RF3" s="216" t="str">
        <f t="shared" ref="RF3:RF66" si="175">IF(AND(QR3=$RF$2,CP3&gt;1,CP3&lt;19.5),"BAJO PARA EDAD GESTACIONAL",IF(AND(QR3=$RF$2,CP3&gt;=19.5,CP3&lt;=25),"ADECUADO PARA EDAD GESTACIONAL",IF(AND(QR3=$RF$2,CP3&gt;25,CP3&lt;38),"ALTO PARA EDAD GESTACIONAL","")))</f>
        <v/>
      </c>
      <c r="RG3" s="216" t="str">
        <f t="shared" ref="RG3:RG66" si="176">IF(AND(QR3=$RG$2,CP3&gt;1,CP3&lt;20),"BAJO PARA EDAD GESTACIONAL",IF(AND(QR3=$RG$2,CP3&gt;=20,CP3&lt;=25.5),"ADECUADO PARA EDAD GESTACIONAL",IF(AND(QR3=$RG$2,CP3&gt;25.5,CP3&lt;38),"ALTO PARA EDAD GESTACIONAL","")))</f>
        <v/>
      </c>
      <c r="RH3" s="216" t="str">
        <f t="shared" ref="RH3:RH66" si="177">IF(AND(QR3=$RH$2,CP3&gt;1,CP3&lt;20.5),"BAJO PARA EDAD GESTACIONAL",IF(AND(QR3=$RH$2,CP3&gt;=20.5,CP3&lt;=26.5),"ADECUADO PARA EDAD GESTACIONAL",IF(AND(QR3=$RH$2,CP3&gt;26.5,CP3&lt;38),"ALTO PARA EDAD GESTACIONAL","")))</f>
        <v/>
      </c>
      <c r="RI3" s="216" t="str">
        <f t="shared" ref="RI3:RI66" si="178">IF(AND(QR3=$RI$2,CP3&gt;1,CP3&lt;21),"BAJO PARA EDAD GESTACIONAL",IF(AND(QR3=$RI$2,CP3&gt;=21,CP3&lt;=27),"ADECUADO PARA EDAD GESTACIONAL",IF(AND(QR3=$RI$2,CP3&gt;27,CP3&lt;38),"ALTO PARA EDAD GESTACIONAL","")))</f>
        <v/>
      </c>
      <c r="RJ3" s="216" t="str">
        <f t="shared" ref="RJ3:RJ66" si="179">IF(AND(QR3=$RJ$2,CP3&gt;1,CP3&lt;22.5),"BAJO PARA EDAD GESTACIONAL",IF(AND(QR3=$RJ$2,CP3&gt;=22.5,CP3&lt;=28),"ADECUADO PARA EDAD GESTACIONAL",IF(AND(QR3=$RJ$2,CP3&gt;28,CP3&lt;38),"ALTO PARA EDAD GESTACIONAL","")))</f>
        <v/>
      </c>
      <c r="RK3" s="216" t="str">
        <f t="shared" ref="RK3:RK66" si="180">IF(AND(QR3=$RK$2,CP3&gt;1,CP3&lt;23.5),"BAJO PARA EDAD GESTACIONAL",IF(AND(QR3=$RK$2,CP3&gt;=23.5,CP3&lt;=29),"ADECUADO PARA EDAD GESTACIONAL",IF(AND(QR3=$RK$2,CP3&gt;29,CP3&lt;38),"ALTO PARA EDAD GESTACIONAL","")))</f>
        <v/>
      </c>
      <c r="RL3" s="216" t="str">
        <f t="shared" ref="RL3:RL66" si="181">IF(AND(QR3=$RL$2,CP3&gt;1,CP3&lt;24),"BAJO PARA EDAD GESTACIONAL",IF(AND(QR3=$RL$2,CP3&gt;=24,CP3&lt;=29.5),"ADECUADO PARA EDAD GESTACIONAL",IF(AND(QR3=$RL$2,CP3&gt;29.5,CP3&lt;38),"ALTO PARA EDAD GESTACIONAL","")))</f>
        <v/>
      </c>
      <c r="RM3" s="216" t="str">
        <f t="shared" ref="RM3:RM66" si="182">IF(AND(QR3=$RM$2,CP3&gt;1,CP3&lt;25),"BAJO PARA EDAD GESTACIONAL",IF(AND(QR3=$RM$2,CP3&gt;=25,CP3&lt;=30),"ADECUADO PARA EDAD GESTACIONAL",IF(AND(QR3=$RM$2,CP3&gt;30,CP3&lt;38),"ALTO PARA EDAD GESTACIONAL","")))</f>
        <v/>
      </c>
      <c r="RN3" s="216" t="str">
        <f t="shared" ref="RN3:RN66" si="183">IF(AND(QR3=$RN$2,CP3&gt;1,CP3&lt;25.5),"BAJO PARA EDAD GESTACIONAL",IF(AND(QR3=$RN$2,CP3&gt;=25.5,CP3&lt;=31),"ADECUADO PARA EDAD GESTACIONAL",IF(AND(QR3=$RN$2,CP3&gt;31,CP3&lt;38),"ALTO PARA EDAD GESTACIONAL","")))</f>
        <v/>
      </c>
      <c r="RO3" s="216" t="str">
        <f t="shared" ref="RO3:RO66" si="184">IF(AND(QR3=$RO$2,CP3&gt;1,CP3&lt;26),"BAJO PARA EDAD GESTACIONAL",IF(AND(QR3=$RO$2,CP3&gt;=26,CP3&lt;=32),"ADECUADO PARA EDAD GESTACIONAL",IF(AND(QR3=$RO$2,CP3&gt;32,CP3&lt;38),"ALTO PARA EDAD GESTACIONAL","")))</f>
        <v/>
      </c>
      <c r="RP3" s="216" t="str">
        <f t="shared" ref="RP3:RP66" si="185">IF(AND(QR3=$RP$2,CP3&gt;1,CP3&lt;26.5),"BAJO PARA EDAD GESTACIONAL",IF(AND(QR3=$RP$2,CP3&gt;=26.5,CP3&lt;=33),"ADECUADO PARA EDAD GESTACIONAL",IF(AND(QR3=$RP$2,CP3&gt;33,CP3&lt;38),"ALTO PARA EDAD GESTACIONAL","")))</f>
        <v/>
      </c>
      <c r="RQ3" s="216" t="str">
        <f t="shared" ref="RQ3:RQ66" si="186">IF(AND(QR3=$RQ$2,CP3&gt;1,CP3&lt;28),"BAJO PARA EDAD GESTACIONAL",IF(AND(QR3=$RQ$2,CP3&gt;=28,CP3&lt;=33),"ADECUADO PARA EDAD GESTACIONAL",IF(AND(QR3=$RQ$2,CP3&gt;33,CP3&lt;38),"ALTO PARA EDAD GESTACIONAL","")))</f>
        <v/>
      </c>
      <c r="RR3" s="216" t="str">
        <f t="shared" ref="RR3:RR66" si="187">IF(AND(QR3=$RR$2,CP3&gt;1,CP3&lt;28.5),"BAJO PARA EDAD GESTACIONAL",IF(AND(QR3=$RR$2,CP3&gt;=28.5,CP3&lt;=34),"ADECUADO PARA EDAD GESTACIONAL",IF(AND(QR3=$RR$2,CP3&gt;34,CP3&lt;38),"ALTO PARA EDAD GESTACIONAL","")))</f>
        <v/>
      </c>
      <c r="RS3" s="216" t="str">
        <f t="shared" ref="RS3:RS66" si="188">IF(AND(QR3=$RS$2,CP3&gt;1,CP3&lt;29.5),"BAJO PARA EDAD GESTACIONAL",IF(AND(QR3=$RS$2,CP3&gt;=29.5,CP3&lt;=34),"ADECUADO PARA EDAD GESTACIONAL",IF(AND(QR3=$RS$2,CP3&gt;34,CP3&lt;38),"ALTO PARA EDAD GESTACIONAL","")))</f>
        <v/>
      </c>
      <c r="RT3" s="216" t="str">
        <f t="shared" ref="RT3:RT66" si="189">IF(AND(QR3=$RT$2,CP3&gt;1,CP3&lt;30.5),"BAJO PARA EDAD GESTACIONAL",IF(AND(QR3=$RT$2,CP3&gt;=30.5,CP3&lt;=34),"ADECUADO PARA EDAD GESTACIONAL",IF(AND(QR3=$RT$2,CP3&gt;34,CP3&lt;38),"ALTO PARA EDAD GESTACIONAL","")))</f>
        <v/>
      </c>
      <c r="RU3" s="216" t="str">
        <f t="shared" ref="RU3:RU66" si="190">IF(AND(QR3=$RU$2,CP3&gt;1,CP3&lt;31),"BAJO PARA EDAD GESTACIONAL",IF(AND(QR3=$RU$2,CP3&gt;=31,CP3&lt;=34.5),"ADECUADO PARA EDAD GESTACIONAL",IF(AND(QR3=$RU$2,CP3&gt;34.5,CP3&lt;38),"ALTO PARA EDAD GESTACIONAL","")))</f>
        <v/>
      </c>
      <c r="RV3" s="216" t="str">
        <f t="shared" ref="RV3:RV66" si="191">IF(AND(R3="",HQ3=""),"",IF(SUM((HQ3-RW3)/7)&gt;43.1,"",IF(SUM((HQ3-RW3)/7)&lt;0,-1,SUM((HQ3-RW3)/7))))</f>
        <v/>
      </c>
      <c r="RW3" s="283" t="str">
        <f>IF(OR(Tabla1[[#This Row],[FUM FORMULA CONFIABLE]]="",Tabla1[[#This Row],[FUM FORMULA CONFIABLE]]="SD"),"",IF(Tabla1[[#This Row],[FUM FORMULA CONFIABLE]]="CORREGIDA",Tabla1[[#This Row],[FUM X ECO 1]],Tabla1[[#This Row],[FUM x AMENORREA]]))</f>
        <v/>
      </c>
      <c r="RX3" s="21" t="str">
        <f>IF(AND(Tabla1[[#This Row],[FUM X ECO 1]]="",Tabla1[[#This Row],[FUM x AMENORREA]]=""),"",IF(AND(Tabla1[[#This Row],[FUM X ECO 1]]="",Tabla1[[#This Row],[FUM x AMENORREA]]&lt;&gt;""),"X",SUM(Tabla1[[#This Row],[FUM X ECO 1]]-Tabla1[[#This Row],[FUM x AMENORREA]])))</f>
        <v/>
      </c>
      <c r="RY3" s="21" t="str">
        <f>IF(RX3="","",IF(RX3="x","x",IF(OR(RX3&gt;6,RX3&lt;-7),1,0)))</f>
        <v/>
      </c>
    </row>
    <row r="4" spans="1:493" ht="66.599999999999994" customHeight="1" x14ac:dyDescent="0.25">
      <c r="A4" s="109" t="s">
        <v>844</v>
      </c>
      <c r="B4" s="43" t="s">
        <v>2061</v>
      </c>
      <c r="C4" s="43" t="s">
        <v>845</v>
      </c>
      <c r="D4" s="124" t="s">
        <v>846</v>
      </c>
      <c r="E4" s="43" t="s">
        <v>847</v>
      </c>
      <c r="F4" s="43" t="s">
        <v>848</v>
      </c>
      <c r="G4" s="43" t="s">
        <v>849</v>
      </c>
      <c r="H4" s="43" t="s">
        <v>850</v>
      </c>
      <c r="I4" s="109" t="s">
        <v>851</v>
      </c>
      <c r="J4" s="110">
        <v>1002848782</v>
      </c>
      <c r="K4" s="43" t="s">
        <v>852</v>
      </c>
      <c r="L4" s="175" t="s">
        <v>853</v>
      </c>
      <c r="M4" s="22">
        <v>37086</v>
      </c>
      <c r="N4" s="213">
        <f t="shared" ca="1" si="0"/>
        <v>22.317808219178083</v>
      </c>
      <c r="O4" s="22">
        <v>44911</v>
      </c>
      <c r="P4" s="214" t="str">
        <f t="shared" si="1"/>
        <v>SI</v>
      </c>
      <c r="Q4" s="26" t="s">
        <v>855</v>
      </c>
      <c r="R4" s="22">
        <v>44911</v>
      </c>
      <c r="S4" s="21" t="s">
        <v>856</v>
      </c>
      <c r="T4" s="24" t="s">
        <v>690</v>
      </c>
      <c r="U4" s="21" t="s">
        <v>857</v>
      </c>
      <c r="V4" s="21" t="s">
        <v>858</v>
      </c>
      <c r="W4" s="21" t="s">
        <v>859</v>
      </c>
      <c r="X4" s="21" t="s">
        <v>859</v>
      </c>
      <c r="Y4" s="21" t="s">
        <v>859</v>
      </c>
      <c r="Z4" s="21">
        <v>3113138231</v>
      </c>
      <c r="AA4" s="21" t="s">
        <v>860</v>
      </c>
      <c r="AB4" s="27" t="s">
        <v>861</v>
      </c>
      <c r="AC4" s="26" t="s">
        <v>862</v>
      </c>
      <c r="AD4" s="21" t="s">
        <v>863</v>
      </c>
      <c r="AE4" s="26" t="s">
        <v>854</v>
      </c>
      <c r="AF4" s="26" t="s">
        <v>854</v>
      </c>
      <c r="AG4" s="23" t="s">
        <v>864</v>
      </c>
      <c r="AH4" s="23" t="s">
        <v>864</v>
      </c>
      <c r="AI4" s="24" t="s">
        <v>863</v>
      </c>
      <c r="AJ4" s="23" t="s">
        <v>864</v>
      </c>
      <c r="AK4" s="220" t="str">
        <f>IF(AND(AD4="",AE4="",AF4="",AG4="",AH4="",AI4="",AJ4=""),"",IF(OR(Tabla1[[#This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EVALUACIÓN",IF(AND(O4="",R4=""),"",IF(AND(OR(O4&gt;0,R4&gt;0),NG4&gt;=0,NG4&lt;2),"SIN RIESGO",IF(AND(OR(O4&gt;0,R4&gt;0),NG4&gt;=2),"CON RIESGO","ASD")))))</f>
        <v>SIN RIESGO</v>
      </c>
      <c r="AL4" s="23" t="s">
        <v>864</v>
      </c>
      <c r="AM4" s="26" t="s">
        <v>864</v>
      </c>
      <c r="AN4" s="26" t="s">
        <v>864</v>
      </c>
      <c r="AO4" s="26" t="s">
        <v>864</v>
      </c>
      <c r="AP4" s="26" t="s">
        <v>864</v>
      </c>
      <c r="AQ4" s="26" t="s">
        <v>864</v>
      </c>
      <c r="AR4" s="26" t="s">
        <v>864</v>
      </c>
      <c r="AS4" s="21">
        <v>2</v>
      </c>
      <c r="AT4" s="21">
        <v>1</v>
      </c>
      <c r="AU4" s="21">
        <v>1</v>
      </c>
      <c r="AV4" s="26" t="s">
        <v>864</v>
      </c>
      <c r="AW4" s="21">
        <v>0</v>
      </c>
      <c r="AX4" s="26" t="s">
        <v>864</v>
      </c>
      <c r="AY4" s="26" t="s">
        <v>864</v>
      </c>
      <c r="AZ4" s="26" t="s">
        <v>864</v>
      </c>
      <c r="BA4" s="26" t="s">
        <v>864</v>
      </c>
      <c r="BB4" s="26" t="s">
        <v>864</v>
      </c>
      <c r="BC4" s="26" t="s">
        <v>864</v>
      </c>
      <c r="BD4" s="26" t="s">
        <v>864</v>
      </c>
      <c r="BE4" s="203" t="s">
        <v>864</v>
      </c>
      <c r="BF4" s="26" t="s">
        <v>864</v>
      </c>
      <c r="BG4" s="26" t="s">
        <v>864</v>
      </c>
      <c r="BH4" s="26" t="s">
        <v>864</v>
      </c>
      <c r="BI4" s="26" t="s">
        <v>864</v>
      </c>
      <c r="BJ4" s="26"/>
      <c r="BK4" s="26"/>
      <c r="BL4" s="26" t="s">
        <v>864</v>
      </c>
      <c r="BM4" s="26" t="s">
        <v>864</v>
      </c>
      <c r="BN4" s="22">
        <v>44456</v>
      </c>
      <c r="BO4" s="286">
        <v>44813</v>
      </c>
      <c r="BP4" s="21" t="s">
        <v>854</v>
      </c>
      <c r="BQ4" s="222">
        <f t="shared" si="2"/>
        <v>11.9</v>
      </c>
      <c r="BR4" s="223">
        <f t="shared" si="3"/>
        <v>44813</v>
      </c>
      <c r="BS4" s="224">
        <f t="shared" si="4"/>
        <v>14</v>
      </c>
      <c r="BT4" s="216" t="str">
        <f t="shared" si="5"/>
        <v>II TRIM</v>
      </c>
      <c r="BU4" s="214" t="str">
        <f t="shared" ca="1" si="6"/>
        <v/>
      </c>
      <c r="BV4" s="25"/>
      <c r="BW4" s="22">
        <v>44918</v>
      </c>
      <c r="BX4" s="28">
        <v>15</v>
      </c>
      <c r="BY4" s="28"/>
      <c r="BZ4" s="22">
        <v>45016</v>
      </c>
      <c r="CA4" s="21">
        <v>28.5</v>
      </c>
      <c r="CB4" s="26" t="s">
        <v>864</v>
      </c>
      <c r="CC4" s="26" t="s">
        <v>864</v>
      </c>
      <c r="CD4" s="26" t="s">
        <v>865</v>
      </c>
      <c r="CE4" s="26" t="s">
        <v>864</v>
      </c>
      <c r="CF4" s="22">
        <v>44911</v>
      </c>
      <c r="CG4" s="21">
        <v>1.48</v>
      </c>
      <c r="CH4" s="21">
        <v>46.8</v>
      </c>
      <c r="CI4" s="214">
        <f t="shared" si="7"/>
        <v>21.365960555149744</v>
      </c>
      <c r="CJ4" s="225" t="str">
        <f>IF(AND(CI4&lt;10,CH4="SD"),"SIN DATO PESO PREGESTACION O I TRIM",IF(AND(OR(R4&gt;0,O4&gt;0),CI4="X"),"INGRESAR DATO DE PESO",IF(CI4="SD","INGRESAR DATO DE TALLA Y PESO",IF(AND(OR(Tabla1[[#This Row],[MOMENTO EN QUE SE REALIZA EL PESO AL INGRESO A CPN]]="PREGESTACIÓN",NZ4="Menor"),CI4&lt;18.5),"BAJO PESO",IF(AND(OR(Tabla1[[#This Row],[MOMENTO EN QUE SE REALIZA EL PESO AL INGRESO A CPN]]="PREGESTACIÓN",NZ4="Menor"),CI4&lt;25),"NORMAL",IF(AND(OR(Tabla1[[#This Row],[MOMENTO EN QUE SE REALIZA EL PESO AL INGRESO A CPN]]="PREGESTACIÓN",NZ4="Menor"),CI4&lt;30),"SOBREPESO",IF(AND(OR(Tabla1[[#This Row],[MOMENTO EN QUE SE REALIZA EL PESO AL INGRESO A CPN]]="PREGESTACIÓN",NZ4="Menor"),CI4&gt;=30,CI4&lt;50),"OBESIDAD",IF(AND(BS4&gt;0,Tabla1[[#This Row],[MOMENTO EN QUE SE REALIZA EL PESO AL INGRESO A CPN]]="GESTACIÓN"),HLOOKUP(NZ4,$OA$2:PH4,NY4),""))))))))</f>
        <v/>
      </c>
      <c r="CK4" s="212">
        <f t="shared" si="8"/>
        <v>45070</v>
      </c>
      <c r="CL4" s="21">
        <v>51.9</v>
      </c>
      <c r="CM4" s="214">
        <f t="shared" si="9"/>
        <v>23.694302410518628</v>
      </c>
      <c r="CN4" s="216">
        <f t="shared" si="10"/>
        <v>36</v>
      </c>
      <c r="CO4" s="216" t="e">
        <f>IF(PI4="","",IF(PI4&gt;0,HLOOKUP(PI4,$PJ$2:QQ4,NY4),""))</f>
        <v>#REF!</v>
      </c>
      <c r="CP4" s="21">
        <v>31</v>
      </c>
      <c r="CQ4" s="216" t="e">
        <f>IF(QR4="Menor","NO APLICA-MENOR 13 SEM",IF(AND(CC4="SI",CN4&gt;23),"NO APLICA- GEMELAR",IF(QR4="","",IF(QR4&gt;0,HLOOKUP(QR4,$QS$2:RU4,NY4),""))))</f>
        <v>#REF!</v>
      </c>
      <c r="CR4" s="21">
        <v>100</v>
      </c>
      <c r="CS4" s="21">
        <v>60</v>
      </c>
      <c r="CT4" s="217" t="str">
        <f>IF(R4="","",IF(AND(BS4&gt;1,BS4&lt;12,Tabla1[[#This Row],[T.A. SISTOLICA - ANTES DE SEMANA 12]]="",Tabla1[[#This Row],[T.A. DIASTOLICA - ANTES DE SEMANA 12]]=""),"REGISTRE DATO TA ANTES SEMANA 12",IF(AND(BS4&gt;11,BS4&lt;43,Tabla1[[#This Row],[T.A. SISTOLICA - ANTES DE SEMANA 12]]="",Tabla1[[#This Row],[T.A. DIASTOLICA - ANTES DE SEMANA 12]]=""),"NO APLICA REGISTRO TA-INGRESO TARDIO",IF(AND(OR(O4&gt;0,R4&gt;0),OR(CR4&gt;=140,CS4&gt;=90)),"DEFINIR ESTADIO HTA",IF(AND(OR(O4&gt;0,R4&gt;0),AND(CR4&gt;120,CR4&lt;=139)),"PRE HTA SEGUIMIENTO",IF(AND(OR(O4&gt;0,R4&gt;0),AND(CS4&gt;80,CS4&lt;=89)),"PRE HTA SEGUIMIENTO",IF(AND(OR(O4&gt;0,R4&gt;0),AND(CR4&gt;=80,CR4&lt;=120)),"APARENTEMENTE NORMAL",IF(AND(OR(O4&gt;0,R4&gt;0),AND(CS4&gt;=50,CS4&lt;=80)),"APARENTEMENTE NORMAL",IF(AND(OR(O4&gt;0,R4&gt;0),AND(CR4&gt;1,CR4&lt;=70),AND(CS4&gt;1,CS4&lt;=40)),"HIPOTENSIÓN","")))))))))</f>
        <v>APARENTEMENTE NORMAL</v>
      </c>
      <c r="CU4" s="21"/>
      <c r="CV4" s="21"/>
      <c r="CW4" s="217" t="str">
        <f ca="1">IF(R4="","",IF(AND(CN4&gt;19,CN4&lt;27,Tabla1[[#This Row],[T.A. SISTOLICA (Entre semana 20 y 26)]]="",Tabla1[[#This Row],[T.A. DIATOLICA (Entre semana 20 y 26)]]=""),"ACUDE A CONTROL SEM 20 A 26 REGISTRE TA AHORA",IF(AND(BS4&gt;1,BS4&lt;27,BU4&gt;19,Tabla1[[#This Row],[T.A. SISTOLICA (Entre semana 20 y 26)]]="",Tabla1[[#This Row],[T.A. DIATOLICA (Entre semana 20 y 26)]]=""),"COMPLETE REGISTRO TA CONTROL SEM 20 A26 ",IF(AND(BS4&gt;26,BS4&lt;43,Tabla1[[#This Row],[T.A. SISTOLICA (Entre semana 20 y 26)]]="",Tabla1[[#This Row],[T.A. DIATOLICA (Entre semana 20 y 26)]]=""),"NO APLICA REGISTRO TA-INGRESO TARDIO",IF(AND(OR(O4&gt;0,R4&gt;0),OR(CU4&gt;=140,CV4&gt;=90)),"ALTO RIESGO PREECLAMPSIA,DEFINIR ESTADIO HTA",IF(AND(OR(O4&gt;0,R4&gt;0),AND(CU4&gt;120,CU4&lt;=139)),"PRE HTA SEGUIMIENTO,RIESGO HIPERTENSION INDUCIDA POR EL EMBARAZO",IF(AND(OR(O4&gt;0,R4&gt;0),AND(CV4&gt;80,CV4&lt;=89)),"PRE HTA SEGUIMIENTO, RIESGO HIPERTENSION INDUCIDA POR EL EMBARAZO",IF(AND(OR(O4&lt;&gt;"",R4&lt;&gt;""),CS4&lt;&gt;"",CV4&lt;&gt;"",CS4&lt;=CV4),"VIGILAR CIFRAS PRESION ARTERIAL",IF(AND(OR(O4&gt;0,R4&gt;0),AND(CU4&gt;120,CU4&lt;=139)),"PRE HTA SEGUIMIENTO",IF(AND(OR(O4&gt;0,R4&gt;0),AND(CU4&gt;1,CU4&lt;=70),AND(CV4&gt;1,CV4&lt;=40)),"HIPOTENSIÓN",IF(AND(OR(O4&lt;&gt;"",R4&lt;&gt;""),CS4&lt;&gt;"",CV4&lt;&gt;"",CS4&gt;CV4),"APARENTEMENTE NORMAL",IF(AND(OR(O4&gt;0,R4&gt;0),AND(CU4&gt;=80,CU4&lt;=120)),"APARENTEMENTE NORMAL",IF(AND(OR(O4&gt;0,R4&gt;0),AND(CV4&gt;=50,CV4&lt;=80)),"APARENTEMENTE NORMAL","")))))))))))))</f>
        <v xml:space="preserve">COMPLETE REGISTRO TA CONTROL SEM 20 A26 </v>
      </c>
      <c r="CX4" s="21">
        <v>100</v>
      </c>
      <c r="CY4" s="21">
        <v>40</v>
      </c>
      <c r="CZ4" s="216" t="str">
        <f t="shared" si="11"/>
        <v>APARENTEMENTE NORMAL</v>
      </c>
      <c r="DA4" s="21">
        <v>90</v>
      </c>
      <c r="DB4" s="21">
        <v>60</v>
      </c>
      <c r="DC4" s="217" t="str">
        <f t="shared" si="12"/>
        <v>APARENTEMENTE NORMAL</v>
      </c>
      <c r="DD4" s="22">
        <v>44910</v>
      </c>
      <c r="DE4" s="22">
        <v>44910</v>
      </c>
      <c r="DF4" s="22">
        <v>44957</v>
      </c>
      <c r="DG4" s="22">
        <v>44992</v>
      </c>
      <c r="DH4" s="22">
        <v>45031</v>
      </c>
      <c r="DI4" s="22">
        <v>45070</v>
      </c>
      <c r="DJ4" s="22"/>
      <c r="DK4" s="22"/>
      <c r="DL4" s="22"/>
      <c r="DM4" s="22"/>
      <c r="DN4" s="22"/>
      <c r="DO4" s="22"/>
      <c r="DP4" s="22"/>
      <c r="DQ4" s="22"/>
      <c r="DR4" s="28">
        <v>2</v>
      </c>
      <c r="DS4" s="22"/>
      <c r="DT4" s="22"/>
      <c r="DU4" s="216" t="str">
        <f t="shared" ca="1" si="13"/>
        <v>SALE SIN PLAN DE PARTO</v>
      </c>
      <c r="DV4" s="226" t="str">
        <f t="shared" si="14"/>
        <v>SALIO PROGRAMA</v>
      </c>
      <c r="DW4"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4" s="216" t="str">
        <f t="shared" ca="1" si="15"/>
        <v/>
      </c>
      <c r="DY4" s="212">
        <f>IF(R4="","",IF(R4&gt;0,MAX(Tabla1[[#This Row],[FECHA C2]:[FECHA C13]],Tabla1[[#This Row],[FECHA CONSULTA PRIMERA VEZ PROGRAMA CPN ]])))</f>
        <v>45070</v>
      </c>
      <c r="DZ4" s="216">
        <f t="shared" si="16"/>
        <v>36</v>
      </c>
      <c r="EA4" s="222">
        <f>IF(R4&gt;0,SUM(COUNTA(DF4:DQ4)+COUNTA(Tabla1[[#This Row],[FECHA CONSULTA PRIMERA VEZ PROGRAMA CPN ]])),"")</f>
        <v>5</v>
      </c>
      <c r="EB4" s="222" t="str">
        <f t="shared" si="17"/>
        <v>SI</v>
      </c>
      <c r="EC4" s="214">
        <f t="shared" si="18"/>
        <v>8</v>
      </c>
      <c r="ED4" s="227">
        <f t="shared" si="19"/>
        <v>0.625</v>
      </c>
      <c r="EE4" s="22">
        <v>44910</v>
      </c>
      <c r="EF4" s="22">
        <v>44911</v>
      </c>
      <c r="EG4" s="22">
        <v>44910</v>
      </c>
      <c r="EH4" s="22"/>
      <c r="EI4" s="22">
        <v>44910</v>
      </c>
      <c r="EJ4" s="22"/>
      <c r="EK4" s="22"/>
      <c r="EL4" s="21"/>
      <c r="EM4" s="21">
        <v>13.9</v>
      </c>
      <c r="EN4" s="22">
        <v>44911</v>
      </c>
      <c r="EO4" s="222">
        <f t="shared" si="20"/>
        <v>14</v>
      </c>
      <c r="EP4" s="214" t="str">
        <f t="shared" si="21"/>
        <v>NORMAL- SUMINISTRAR SULFATO FERROSO</v>
      </c>
      <c r="EQ4" s="216" t="str">
        <f t="shared" si="22"/>
        <v>II TRIM</v>
      </c>
      <c r="ER4" s="24">
        <v>13.1</v>
      </c>
      <c r="ES4" s="22">
        <v>44911</v>
      </c>
      <c r="ET4" s="29">
        <f t="shared" ca="1" si="23"/>
        <v>14</v>
      </c>
      <c r="EU4" s="25" t="str">
        <f t="shared" si="24"/>
        <v>NORMAL- SUMINISTRAR SULFATO FERROSO</v>
      </c>
      <c r="EV4" s="24" t="s">
        <v>866</v>
      </c>
      <c r="EW4" s="32">
        <v>44911</v>
      </c>
      <c r="EX4" s="22"/>
      <c r="EY4" s="29">
        <f t="shared" si="25"/>
        <v>14</v>
      </c>
      <c r="EZ4" s="25" t="str">
        <f t="shared" ca="1" si="26"/>
        <v/>
      </c>
      <c r="FA4" s="21">
        <v>73</v>
      </c>
      <c r="FB4" s="22">
        <v>44911</v>
      </c>
      <c r="FC4" s="29">
        <f t="shared" si="27"/>
        <v>14</v>
      </c>
      <c r="FD4" s="29">
        <v>83</v>
      </c>
      <c r="FE4" s="29">
        <v>86</v>
      </c>
      <c r="FF4" s="29">
        <v>91</v>
      </c>
      <c r="FG4" s="21" t="str">
        <f t="shared" ca="1" si="28"/>
        <v>NORMAL</v>
      </c>
      <c r="FH4" s="31">
        <v>45016</v>
      </c>
      <c r="FI4" s="29">
        <f t="shared" si="29"/>
        <v>29</v>
      </c>
      <c r="FJ4" s="22"/>
      <c r="FK4" s="22"/>
      <c r="FL4" s="29" t="str">
        <f t="shared" ca="1" si="30"/>
        <v>NO APLICA-INGRESO TARDIO</v>
      </c>
      <c r="FM4" s="22" t="s">
        <v>867</v>
      </c>
      <c r="FN4" s="32">
        <v>44911</v>
      </c>
      <c r="FO4" s="29">
        <f t="shared" ca="1" si="31"/>
        <v>14</v>
      </c>
      <c r="FP4" s="22" t="s">
        <v>867</v>
      </c>
      <c r="FQ4" s="32">
        <v>45016</v>
      </c>
      <c r="FR4" s="29">
        <f t="shared" ca="1" si="32"/>
        <v>29</v>
      </c>
      <c r="FS4" s="22"/>
      <c r="FT4" s="32"/>
      <c r="FU4" s="29" t="str">
        <f>IF(AND(FJ4="",FM4="",FP4="",FS4=""),"",IF(OR(OR(Tabla1[[#This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4" s="28"/>
      <c r="FW4" s="22"/>
      <c r="FX4" s="29" t="str">
        <f t="shared" si="33"/>
        <v>TOMAR EXAMEN</v>
      </c>
      <c r="FY4" s="22">
        <v>44911</v>
      </c>
      <c r="FZ4" s="22">
        <v>44911</v>
      </c>
      <c r="GA4" s="29" t="str">
        <f t="shared" si="34"/>
        <v>REGISTRAR EN II TRIMESTRE</v>
      </c>
      <c r="GB4" s="22" t="s">
        <v>868</v>
      </c>
      <c r="GC4" s="22">
        <v>44911</v>
      </c>
      <c r="GD4" s="29">
        <f t="shared" ca="1" si="35"/>
        <v>14</v>
      </c>
      <c r="GE4" s="22"/>
      <c r="GF4" s="22"/>
      <c r="GG4" s="29" t="str">
        <f t="shared" ca="1" si="36"/>
        <v>PIERDE TOMA DE TAMIZAJE</v>
      </c>
      <c r="GH4" s="22"/>
      <c r="GI4" s="29"/>
      <c r="GJ4" s="22"/>
      <c r="GK4" s="22"/>
      <c r="GL4" s="22"/>
      <c r="GM4" s="22"/>
      <c r="GN4" s="28" t="s">
        <v>869</v>
      </c>
      <c r="GO4" s="22">
        <v>44911</v>
      </c>
      <c r="GP4" s="29">
        <f t="shared" si="37"/>
        <v>14</v>
      </c>
      <c r="GQ4" s="28" t="s">
        <v>869</v>
      </c>
      <c r="GR4" s="28" t="s">
        <v>869</v>
      </c>
      <c r="GS4" s="22" t="str">
        <f t="shared" si="38"/>
        <v>CONTROL Igm</v>
      </c>
      <c r="GT4" s="22">
        <v>44911</v>
      </c>
      <c r="GU4" s="29">
        <f t="shared" si="39"/>
        <v>14</v>
      </c>
      <c r="GV4" s="21" t="str">
        <f t="shared" si="40"/>
        <v>II TRIM</v>
      </c>
      <c r="GW4" s="28" t="s">
        <v>869</v>
      </c>
      <c r="GX4" s="30"/>
      <c r="GY4" s="21"/>
      <c r="GZ4" s="21"/>
      <c r="HA4" s="21"/>
      <c r="HB4" s="21"/>
      <c r="HC4" s="21"/>
      <c r="HD4" s="21"/>
      <c r="HE4" s="21"/>
      <c r="HF4" s="22"/>
      <c r="HG4" s="22" t="str">
        <f>IF(OR(O4&gt;0,R4&gt;0),CONCATENATE(IF(Tabla1[[#This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4" s="22" t="e">
        <f t="shared" si="41"/>
        <v>#REF!</v>
      </c>
      <c r="HI4" s="22" t="e">
        <f t="shared" ca="1" si="42"/>
        <v>#REF!</v>
      </c>
      <c r="HJ4" s="21" t="str">
        <f t="shared" ca="1" si="43"/>
        <v>***************************************</v>
      </c>
      <c r="HK4" s="21" t="str">
        <f t="shared" si="44"/>
        <v>SIN ANTECEDENTES DE RIESGO</v>
      </c>
      <c r="HL4" s="24" t="str">
        <f t="shared" si="45"/>
        <v>APARENTEMENTE NORMAL</v>
      </c>
      <c r="HM4" s="21" t="str">
        <f t="shared" ca="1" si="46"/>
        <v/>
      </c>
      <c r="HN4" s="30" t="str">
        <f t="shared" si="47"/>
        <v>SALIO PROGRAMA</v>
      </c>
      <c r="HO4" s="21"/>
      <c r="HP4" s="21"/>
      <c r="HQ4" s="22">
        <v>44992</v>
      </c>
      <c r="HR4" s="21" t="str">
        <f>IF(R4="","",IF(Tabla1[[#This Row],[ALARMA FACTORES DE RIESGO COMPLICACIONES HIPERTENSIVAS3]]="SIN ANTECEDENTES DE RIESGO","No Aplica para suministro de ASA",IF(AND(Tabla1[[#This Row],[FECHA INICIO DE SUMINISTRO DE ASA]]&gt;0,RV4&lt;12),"Inicia ASA ANTES de Sem 12",IF(AND(RV4&gt;11,RV4&lt;17,OR(HK4="RIESGO ALTO DE COMPLICACIONES HIPERTENSIVAS VER MANEJO GUIA SUMINISTRO ASA Y CALCIO",HK4="RIESGO MODERADO (2 O MAS CRITERIOS) VER MANEJO GUIA SUMINISTRO ASA Y CALCIO")),"Inicio oportuno de ASA",IF(AND(RV4&gt;12,OR(HK4="RIESGO ALTO DE COMPLICACIONES HIPERTENSIVAS VER MANEJO GUIA SUMINISTRO ASA Y CALCIO",HK4="RIESGO MODERADO (2 O MAS CRITERIOS) VER MANEJO GUIA SUMINISTRO ASA Y CALCIO")),"Inicio no oportuno mayor a 16 semanas",IF(AND(BU4&lt;12,OR(HK4="RIESGO ALTO DE COMPLICACIONES HIPERTENSIVAS VER MANEJO GUIA SUMINISTRO ASA Y CALCIO",HK4="RIESGO MODERADO (2 O MAS CRITERIOS) VER MANEJO GUIA SUMINISTRO ASA Y CALCIO")),"Pendiente Inicio de ASA a la semana 12",IF(AND(BU4&gt;11,BU4&lt;17,OR(HK4="RIESGO ALTO DE COMPLICACIONES HIPERTENSIVAS VER MANEJO GUIA SUMINISTRO ASA Y CALCIO",HK4="RIESGO MODERADO (2 O MAS CRITERIOS) VER MANEJO GUIA SUMINISTRO ASA Y CALCIO")),"Iniciar de inmediato ASA",IF(AND(BU4&gt;16,OR(HK4="RIESGO ALTO DE COMPLICACIONES HIPERTENSIVAS VER MANEJO GUIA SUMINISTRO ASA Y CALCIO",HK4="RIESGO MODERADO (2 O MAS CRITERIOS) VER MANEJO GUIA SUMINISTRO ASA Y CALCIO")),"Pierde Oportunidad, Inicio tardío de ASA","XXXXX"))))))))</f>
        <v>No Aplica para suministro de ASA</v>
      </c>
      <c r="HS4" s="22">
        <v>44992</v>
      </c>
      <c r="HT4" s="22" t="s">
        <v>870</v>
      </c>
      <c r="HU4" s="22"/>
      <c r="HV4" s="22"/>
      <c r="HW4" s="22">
        <v>44992</v>
      </c>
      <c r="HX4" s="22" t="s">
        <v>870</v>
      </c>
      <c r="HY4" s="22">
        <v>44911</v>
      </c>
      <c r="HZ4" s="28">
        <f t="shared" si="48"/>
        <v>14</v>
      </c>
      <c r="IA4" s="26"/>
      <c r="IB4" s="26"/>
      <c r="IC4" s="111"/>
      <c r="ID4" s="22"/>
      <c r="IE4" s="22" t="str">
        <f t="shared" ca="1" si="49"/>
        <v>SALE SIN VACUNA</v>
      </c>
      <c r="IF4" s="22"/>
      <c r="IG4" s="22">
        <f t="shared" si="50"/>
        <v>45093</v>
      </c>
      <c r="IH4" s="29">
        <f t="shared" ca="1" si="51"/>
        <v>-139</v>
      </c>
      <c r="II4" s="22" t="str">
        <f t="shared" ca="1" si="52"/>
        <v>POSIBLEMENTE NACIO</v>
      </c>
      <c r="IJ4" s="22"/>
      <c r="IK4" s="21" t="s">
        <v>898</v>
      </c>
      <c r="IL4" s="21"/>
      <c r="IM4" s="34"/>
      <c r="IN4" s="349">
        <v>45088</v>
      </c>
      <c r="IO4" s="21" t="s">
        <v>1186</v>
      </c>
      <c r="IP4" s="29">
        <f t="shared" si="53"/>
        <v>39.285714285714285</v>
      </c>
      <c r="IQ4" s="35" t="s">
        <v>1650</v>
      </c>
      <c r="IR4" s="21" t="s">
        <v>1651</v>
      </c>
      <c r="IS4" s="21" t="s">
        <v>1646</v>
      </c>
      <c r="IT4" s="21" t="s">
        <v>1642</v>
      </c>
      <c r="IU4" s="21"/>
      <c r="IV4" s="21"/>
      <c r="IW4" s="21"/>
      <c r="IX4" s="21"/>
      <c r="IY4" s="21"/>
      <c r="IZ4" s="21"/>
      <c r="JA4" s="21"/>
      <c r="JB4" s="30">
        <v>1</v>
      </c>
      <c r="JC4" s="21" t="s">
        <v>1643</v>
      </c>
      <c r="JD4" s="36">
        <v>3300</v>
      </c>
      <c r="JE4" s="21" t="str">
        <f t="shared" si="54"/>
        <v>PESO ADECUADO EDAD GESTACIONAL</v>
      </c>
      <c r="JF4" s="30"/>
      <c r="JG4" s="21"/>
      <c r="JH4" s="21"/>
      <c r="JI4" s="21" t="s">
        <v>854</v>
      </c>
      <c r="JJ4" s="30" t="s">
        <v>1030</v>
      </c>
      <c r="JK4" s="22"/>
      <c r="JL4" s="22"/>
      <c r="JM4" s="21"/>
      <c r="JN4" s="36"/>
      <c r="JO4" s="21" t="str">
        <f t="shared" si="55"/>
        <v/>
      </c>
      <c r="JP4" s="22"/>
      <c r="JQ4" s="21"/>
      <c r="JR4" s="21"/>
      <c r="JS4" s="21"/>
      <c r="JT4" s="30"/>
      <c r="JU4" s="22"/>
      <c r="JV4" s="22"/>
      <c r="JW4" s="33"/>
      <c r="JX4" s="28" t="str">
        <f t="shared" si="56"/>
        <v>INASISTENTE</v>
      </c>
      <c r="JY4" s="33"/>
      <c r="JZ4" s="28" t="str">
        <f t="shared" si="57"/>
        <v>INASISTENTE</v>
      </c>
      <c r="KA4" s="21"/>
      <c r="KB4" s="21"/>
      <c r="KC4" s="21"/>
      <c r="KD4" s="37"/>
      <c r="KE4" s="28"/>
      <c r="KF4" s="28"/>
      <c r="KG4" s="28"/>
      <c r="KH4" s="39"/>
      <c r="KI4" s="39"/>
      <c r="KJ4" s="66"/>
      <c r="KK4" s="39"/>
      <c r="KL4" s="39"/>
      <c r="KM4" s="66"/>
      <c r="KN4" s="39"/>
      <c r="KO4" s="39"/>
      <c r="KP4" s="39"/>
      <c r="KQ4" s="39"/>
      <c r="KR4" s="39"/>
      <c r="KS4" s="39"/>
      <c r="KT4" s="39"/>
      <c r="KU4" s="38"/>
      <c r="KV4" s="38"/>
      <c r="KW4" s="38"/>
      <c r="KX4" s="38"/>
      <c r="KY4" s="38"/>
      <c r="KZ4" s="38"/>
      <c r="LA4" s="38"/>
      <c r="LB4" s="38"/>
      <c r="LC4" s="38"/>
      <c r="LD4" s="38"/>
      <c r="LE4" s="38"/>
      <c r="LF4" s="38"/>
      <c r="LG4" s="38"/>
      <c r="LH4" s="38"/>
      <c r="LI4" s="38"/>
      <c r="LJ4" s="38"/>
      <c r="LK4" s="38"/>
      <c r="LL4" s="38"/>
      <c r="LM4" s="38"/>
      <c r="LN4" s="38"/>
      <c r="LO4" s="38"/>
      <c r="LP4" s="38"/>
      <c r="LQ4" s="38"/>
      <c r="LR4" s="38"/>
      <c r="LS4" s="38"/>
      <c r="LT4" s="38"/>
      <c r="LU4" s="38"/>
      <c r="LV4" s="38"/>
      <c r="LW4" s="38"/>
      <c r="LX4" s="38"/>
      <c r="LY4" s="38"/>
      <c r="LZ4" s="38"/>
      <c r="MA4" s="38"/>
      <c r="MB4" s="38"/>
      <c r="MC4" s="38"/>
      <c r="MD4" s="38"/>
      <c r="ME4" s="38"/>
      <c r="MF4" s="38"/>
      <c r="MG4" s="21" t="s">
        <v>2060</v>
      </c>
      <c r="MH4" s="43">
        <f t="shared" si="58"/>
        <v>0</v>
      </c>
      <c r="MI4" s="43" t="str">
        <f t="shared" si="59"/>
        <v/>
      </c>
      <c r="MJ4" s="43" t="str">
        <f t="shared" si="60"/>
        <v/>
      </c>
      <c r="MK4" s="43">
        <f t="shared" si="61"/>
        <v>0</v>
      </c>
      <c r="ML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4" s="43">
        <f t="shared" si="62"/>
        <v>14</v>
      </c>
      <c r="MN4" s="43">
        <f t="shared" si="63"/>
        <v>12</v>
      </c>
      <c r="MO4" s="43">
        <f t="shared" si="64"/>
        <v>2022</v>
      </c>
      <c r="MP4" s="43" t="str">
        <f t="shared" si="65"/>
        <v>IV TRIMESTRE AÑO</v>
      </c>
      <c r="MQ4" s="43">
        <f t="shared" si="66"/>
        <v>21.112571178274198</v>
      </c>
      <c r="MR4" s="43">
        <f t="shared" si="67"/>
        <v>0</v>
      </c>
      <c r="MS4" s="43" t="str">
        <f t="shared" si="68"/>
        <v xml:space="preserve"> DE 20 A 24 AÑOS</v>
      </c>
      <c r="MT4" s="43">
        <f t="shared" si="69"/>
        <v>0</v>
      </c>
      <c r="MU4" s="43">
        <f t="shared" si="70"/>
        <v>0</v>
      </c>
      <c r="MV4" s="43">
        <f t="shared" si="71"/>
        <v>0</v>
      </c>
      <c r="MW4" s="43">
        <f t="shared" si="72"/>
        <v>0</v>
      </c>
      <c r="MX4" s="43" t="str">
        <f t="shared" si="73"/>
        <v/>
      </c>
      <c r="MY4" s="43" t="str">
        <f t="shared" ca="1" si="74"/>
        <v/>
      </c>
      <c r="MZ4" s="43" t="str">
        <f t="shared" si="75"/>
        <v/>
      </c>
      <c r="NA4" s="43">
        <f t="shared" si="76"/>
        <v>0</v>
      </c>
      <c r="NB4" s="43" t="str">
        <f t="shared" si="77"/>
        <v/>
      </c>
      <c r="NC4" s="43" t="str">
        <f t="shared" si="78"/>
        <v/>
      </c>
      <c r="ND4" s="43">
        <f t="shared" ca="1" si="79"/>
        <v>0</v>
      </c>
      <c r="NE4" s="43">
        <f>IF(OR(O4&gt;0,R4&gt;0),SUM(COUNTIF(Tabla1[[#This Row],[AÑOS AL INICIO5 CPN]],"&gt;=40"),COUNTIF(AS4,"0"),COUNTIF(AR4,"SI"),COUNTIF(CC4,"SI"),COUNTIF(BQ4,"&gt;119"),COUNTIF(CI4,"&gt;=35")),"")</f>
        <v>0</v>
      </c>
      <c r="NF4" s="43" t="str">
        <f t="shared" si="80"/>
        <v/>
      </c>
      <c r="NG4" s="43">
        <f t="shared" si="81"/>
        <v>0</v>
      </c>
      <c r="NH4" s="43">
        <f t="shared" si="82"/>
        <v>105</v>
      </c>
      <c r="NI4"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CPN",P4="NO"),"Z",IF(AND(Tabla1[[#This Row],[CITA PROXIMO CONTROL]]="CITA MANUAL",Tabla1[[#This Row],[GESTANTES ACTUALES]]="ACTIVA INGRESO A CPN"),"W",IF(AND(Tabla1[[#This Row],[GESTANTES ACTUALES]]="SALIO PROGRAMA",IN4=""),"S",IF(AND(Tabla1[[#This Row],[CITA PROXIMO CONTROL]]&gt;0,IN4=""),(Tabla1[[#This Row],[CITA PROXIMO CONTROL]]-TODAY()),"SD"))))))))</f>
        <v>SD</v>
      </c>
      <c r="NJ4" s="43">
        <f>MONTH(Tabla1[[#This Row],[FECHA DE SALIDA  DEL PROGRAMA]])</f>
        <v>6</v>
      </c>
      <c r="NK4" s="43">
        <f>YEAR(Tabla1[[#This Row],[FECHA DE SALIDA  DEL PROGRAMA]])</f>
        <v>2023</v>
      </c>
      <c r="NL4" s="43" t="str">
        <f t="shared" si="83"/>
        <v>X</v>
      </c>
      <c r="NM4" s="43" t="str">
        <f t="shared" si="84"/>
        <v>NO</v>
      </c>
      <c r="NN4" s="43" t="str">
        <f ca="1">IF(AND(O4&gt;0,R4=""),"NO CPN",IF(AND(O4="",R4=""),"",IF(AND(R4&gt;0,Tabla1[[#This Row],[SEMANAS DE GESTACION ACTUALIZADAS]]&lt;=12),"NO APLICA",IF(AND(FH4&lt;&gt;"",FN4&lt;&gt;""),"SI","NO"))))</f>
        <v>SI</v>
      </c>
      <c r="NO4" s="43" t="str">
        <f ca="1">IF(AND(O4&gt;0,R4=""),"NO CPN",IF(AND(O4="",R4=""),"",IF(AND(R4&gt;0,Tabla1[[#This Row],[SEMANAS DE GESTACION ACTUALIZADAS]]&lt;=27),"NO APLICA",IF(AND(ES4&lt;&gt;"",FQ4&lt;&gt;"",GF4&lt;&gt;""),"SI","NO"))))</f>
        <v>NO</v>
      </c>
      <c r="NP4" s="204" t="str">
        <f t="shared" si="85"/>
        <v>II TRIM</v>
      </c>
      <c r="NQ4" s="21">
        <f t="shared" si="86"/>
        <v>1</v>
      </c>
      <c r="NR4" s="21">
        <f t="shared" si="87"/>
        <v>2</v>
      </c>
      <c r="NS4" s="205">
        <f t="shared" ca="1" si="88"/>
        <v>2</v>
      </c>
      <c r="NT4" s="21">
        <f t="shared" ca="1" si="89"/>
        <v>1</v>
      </c>
      <c r="NU4" s="21" t="str">
        <f t="shared" ca="1" si="90"/>
        <v>COMPLETO</v>
      </c>
      <c r="NV4" s="21" t="str">
        <f t="shared" ca="1" si="91"/>
        <v>INCOMPLETO</v>
      </c>
      <c r="NW4" s="206" t="str">
        <f>IF(AND(O4="",R4=""),"",IF(OR(AND(Tabla1[[#This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4" s="207" t="str">
        <f t="shared" ca="1" si="92"/>
        <v>SIN VACUNAR</v>
      </c>
      <c r="NY4" s="43">
        <f>ROW(Tabla1[[#This Row],['# DE TAMIZAJES SIFILIS TOMADOS ]])</f>
        <v>4</v>
      </c>
      <c r="NZ4" s="43">
        <f t="shared" si="93"/>
        <v>14</v>
      </c>
      <c r="OA4" s="43" t="str">
        <f t="shared" si="94"/>
        <v/>
      </c>
      <c r="OB4" s="43" t="str">
        <f t="shared" si="95"/>
        <v/>
      </c>
      <c r="OC4" s="43" t="str">
        <f t="shared" si="96"/>
        <v/>
      </c>
      <c r="OD4" s="43" t="str">
        <f t="shared" si="97"/>
        <v/>
      </c>
      <c r="OE4" s="43" t="str">
        <f t="shared" si="98"/>
        <v/>
      </c>
      <c r="OF4" s="43" t="str">
        <f t="shared" si="99"/>
        <v>NORMAL</v>
      </c>
      <c r="OG4" s="43" t="str">
        <f t="shared" si="100"/>
        <v/>
      </c>
      <c r="OH4" s="43" t="str">
        <f t="shared" si="101"/>
        <v/>
      </c>
      <c r="OI4" s="43" t="str">
        <f t="shared" si="102"/>
        <v/>
      </c>
      <c r="OJ4" s="43" t="str">
        <f t="shared" si="103"/>
        <v/>
      </c>
      <c r="OK4" s="43" t="str">
        <f t="shared" si="104"/>
        <v/>
      </c>
      <c r="OL4" s="43" t="str">
        <f t="shared" si="105"/>
        <v/>
      </c>
      <c r="OM4" s="43" t="str">
        <f t="shared" si="106"/>
        <v/>
      </c>
      <c r="ON4" s="43" t="str">
        <f t="shared" si="107"/>
        <v/>
      </c>
      <c r="OO4" s="43" t="str">
        <f t="shared" si="108"/>
        <v/>
      </c>
      <c r="OP4" s="43" t="str">
        <f t="shared" si="109"/>
        <v/>
      </c>
      <c r="OQ4" s="43" t="str">
        <f t="shared" si="110"/>
        <v/>
      </c>
      <c r="OR4" s="43" t="str">
        <f t="shared" si="111"/>
        <v/>
      </c>
      <c r="OS4" s="43" t="str">
        <f t="shared" si="112"/>
        <v/>
      </c>
      <c r="OT4" s="43" t="str">
        <f t="shared" si="113"/>
        <v/>
      </c>
      <c r="OU4" s="43" t="str">
        <f t="shared" si="114"/>
        <v/>
      </c>
      <c r="OV4" s="110" t="str">
        <f t="shared" si="115"/>
        <v/>
      </c>
      <c r="OW4" s="43" t="str">
        <f t="shared" si="116"/>
        <v/>
      </c>
      <c r="OX4" s="43" t="str">
        <f t="shared" si="117"/>
        <v/>
      </c>
      <c r="OY4" s="43" t="str">
        <f t="shared" si="118"/>
        <v/>
      </c>
      <c r="OZ4" s="43" t="str">
        <f t="shared" si="119"/>
        <v/>
      </c>
      <c r="PA4" s="43" t="str">
        <f t="shared" si="120"/>
        <v/>
      </c>
      <c r="PB4" s="43" t="str">
        <f t="shared" si="121"/>
        <v/>
      </c>
      <c r="PC4" s="43" t="str">
        <f t="shared" si="122"/>
        <v/>
      </c>
      <c r="PD4" s="43" t="str">
        <f t="shared" si="123"/>
        <v/>
      </c>
      <c r="PE4" s="43" t="str">
        <f t="shared" si="124"/>
        <v/>
      </c>
      <c r="PF4" s="43" t="str">
        <f t="shared" si="125"/>
        <v/>
      </c>
      <c r="PG4" s="43" t="str">
        <f t="shared" si="126"/>
        <v/>
      </c>
      <c r="PH4" s="43" t="str">
        <f t="shared" si="127"/>
        <v/>
      </c>
      <c r="PI4" s="43">
        <f t="shared" si="128"/>
        <v>36</v>
      </c>
      <c r="PJ4" s="43" t="str">
        <f t="shared" si="129"/>
        <v/>
      </c>
      <c r="PK4" s="43" t="str">
        <f t="shared" si="130"/>
        <v/>
      </c>
      <c r="PL4" s="43" t="str">
        <f t="shared" si="131"/>
        <v/>
      </c>
      <c r="PM4" s="43" t="str">
        <f t="shared" si="132"/>
        <v/>
      </c>
      <c r="PN4" s="43" t="str">
        <f t="shared" si="133"/>
        <v/>
      </c>
      <c r="PO4" s="43" t="str">
        <f t="shared" si="134"/>
        <v/>
      </c>
      <c r="PP4" s="43" t="str">
        <f t="shared" si="135"/>
        <v/>
      </c>
      <c r="PQ4" s="43" t="str">
        <f t="shared" si="136"/>
        <v/>
      </c>
      <c r="PR4" s="43" t="str">
        <f t="shared" si="137"/>
        <v/>
      </c>
      <c r="PS4" s="43" t="str">
        <f t="shared" si="138"/>
        <v/>
      </c>
      <c r="PT4" s="43" t="str">
        <f t="shared" si="139"/>
        <v/>
      </c>
      <c r="PU4" s="43" t="str">
        <f t="shared" si="140"/>
        <v/>
      </c>
      <c r="PV4" s="43" t="str">
        <f t="shared" si="141"/>
        <v/>
      </c>
      <c r="PW4" s="43" t="str">
        <f t="shared" si="142"/>
        <v/>
      </c>
      <c r="PX4" s="43" t="str">
        <f t="shared" si="143"/>
        <v/>
      </c>
      <c r="PY4" s="43" t="str">
        <f t="shared" si="144"/>
        <v/>
      </c>
      <c r="PZ4" s="43" t="str">
        <f t="shared" si="145"/>
        <v/>
      </c>
      <c r="QA4" s="43" t="str">
        <f t="shared" si="146"/>
        <v/>
      </c>
      <c r="QB4" s="43" t="str">
        <f t="shared" si="147"/>
        <v/>
      </c>
      <c r="QC4" s="43" t="str">
        <f t="shared" si="148"/>
        <v/>
      </c>
      <c r="QD4" s="43" t="str">
        <f t="shared" si="149"/>
        <v/>
      </c>
      <c r="QE4" s="43" t="str">
        <f t="shared" si="150"/>
        <v/>
      </c>
      <c r="QF4" s="43" t="str">
        <f t="shared" si="151"/>
        <v/>
      </c>
      <c r="QG4" s="43" t="str">
        <f t="shared" si="152"/>
        <v/>
      </c>
      <c r="QH4" s="43" t="str">
        <f t="shared" si="153"/>
        <v/>
      </c>
      <c r="QI4" s="43" t="str">
        <f t="shared" si="154"/>
        <v/>
      </c>
      <c r="QJ4" s="43" t="str">
        <f t="shared" si="155"/>
        <v/>
      </c>
      <c r="QK4" s="43" t="str">
        <f t="shared" si="156"/>
        <v>BAJO PESO</v>
      </c>
      <c r="QL4" s="43" t="str">
        <f t="shared" si="157"/>
        <v/>
      </c>
      <c r="QM4" s="43" t="str">
        <f t="shared" si="158"/>
        <v/>
      </c>
      <c r="QN4" s="43" t="str">
        <f t="shared" si="159"/>
        <v/>
      </c>
      <c r="QO4" s="43" t="str">
        <f t="shared" si="160"/>
        <v/>
      </c>
      <c r="QP4" s="43" t="str">
        <f t="shared" si="161"/>
        <v/>
      </c>
      <c r="QQ4" s="43" t="str">
        <f t="shared" si="162"/>
        <v/>
      </c>
      <c r="QR4" s="43">
        <f t="shared" ref="QR4:QR67" si="192">IF(DZ4="","",IF(DZ4&lt;13,"Menor",IF(DZ4&gt;40,"Mayor",DZ4)))</f>
        <v>36</v>
      </c>
      <c r="QS4" s="43"/>
      <c r="QT4" s="21" t="str">
        <f t="shared" si="163"/>
        <v/>
      </c>
      <c r="QU4" s="21" t="str">
        <f t="shared" si="164"/>
        <v/>
      </c>
      <c r="QV4" s="21" t="str">
        <f t="shared" si="165"/>
        <v/>
      </c>
      <c r="QW4" s="21" t="str">
        <f t="shared" si="166"/>
        <v/>
      </c>
      <c r="QX4" s="21" t="str">
        <f t="shared" si="167"/>
        <v/>
      </c>
      <c r="QY4" s="21" t="str">
        <f t="shared" si="168"/>
        <v/>
      </c>
      <c r="QZ4" s="21" t="str">
        <f t="shared" si="169"/>
        <v/>
      </c>
      <c r="RA4" s="21" t="str">
        <f t="shared" si="170"/>
        <v/>
      </c>
      <c r="RB4" s="21" t="str">
        <f t="shared" si="171"/>
        <v/>
      </c>
      <c r="RC4" s="21" t="str">
        <f t="shared" si="172"/>
        <v/>
      </c>
      <c r="RD4" s="21" t="str">
        <f t="shared" si="173"/>
        <v/>
      </c>
      <c r="RE4" s="21" t="str">
        <f t="shared" si="174"/>
        <v/>
      </c>
      <c r="RF4" s="21" t="str">
        <f t="shared" si="175"/>
        <v/>
      </c>
      <c r="RG4" s="21" t="str">
        <f t="shared" si="176"/>
        <v/>
      </c>
      <c r="RH4" s="21" t="str">
        <f t="shared" si="177"/>
        <v/>
      </c>
      <c r="RI4" s="21" t="str">
        <f t="shared" si="178"/>
        <v/>
      </c>
      <c r="RJ4" s="21" t="str">
        <f t="shared" si="179"/>
        <v/>
      </c>
      <c r="RK4" s="21" t="str">
        <f t="shared" si="180"/>
        <v/>
      </c>
      <c r="RL4" s="21" t="str">
        <f t="shared" si="181"/>
        <v/>
      </c>
      <c r="RM4" s="21" t="str">
        <f t="shared" si="182"/>
        <v/>
      </c>
      <c r="RN4" s="21" t="str">
        <f t="shared" si="183"/>
        <v/>
      </c>
      <c r="RO4" s="21" t="str">
        <f t="shared" si="184"/>
        <v/>
      </c>
      <c r="RP4" s="21" t="str">
        <f t="shared" si="185"/>
        <v/>
      </c>
      <c r="RQ4" s="21" t="str">
        <f t="shared" si="186"/>
        <v>ADECUADO PARA EDAD GESTACIONAL</v>
      </c>
      <c r="RR4" s="21" t="str">
        <f t="shared" si="187"/>
        <v/>
      </c>
      <c r="RS4" s="21" t="str">
        <f t="shared" si="188"/>
        <v/>
      </c>
      <c r="RT4" s="21" t="str">
        <f t="shared" si="189"/>
        <v/>
      </c>
      <c r="RU4" s="21" t="str">
        <f t="shared" si="190"/>
        <v/>
      </c>
      <c r="RV4" s="21">
        <f t="shared" si="191"/>
        <v>25.571428571428573</v>
      </c>
      <c r="RW4" s="284">
        <f>IF(OR(Tabla1[[#This Row],[FUM FORMULA CONFIABLE]]="",Tabla1[[#This Row],[FUM FORMULA CONFIABLE]]="SD"),"",IF(Tabla1[[#This Row],[FUM FORMULA CONFIABLE]]="CORREGIDA",Tabla1[[#This Row],[FUM X ECO 1]],Tabla1[[#This Row],[FUM x AMENORREA]]))</f>
        <v>44813</v>
      </c>
      <c r="RX4" s="21">
        <f>IF(AND(Tabla1[[#This Row],[FUM X ECO 1]]="",Tabla1[[#This Row],[FUM x AMENORREA]]=""),"",IF(AND(Tabla1[[#This Row],[FUM X ECO 1]]="",Tabla1[[#This Row],[FUM x AMENORREA]]&lt;&gt;""),"X",SUM(Tabla1[[#This Row],[FUM X ECO 1]]-Tabla1[[#This Row],[FUM x AMENORREA]])))</f>
        <v>0</v>
      </c>
      <c r="RY4" s="21">
        <f t="shared" ref="RY4:RY67" si="193">IF(RX4="","",IF(RX4="x","x",IF(OR(RX4&gt;6,RX4&lt;-7),1,0)))</f>
        <v>0</v>
      </c>
    </row>
    <row r="5" spans="1:493" ht="66" customHeight="1" x14ac:dyDescent="0.25">
      <c r="A5" s="109" t="s">
        <v>871</v>
      </c>
      <c r="B5" s="43" t="s">
        <v>872</v>
      </c>
      <c r="C5" s="43" t="s">
        <v>845</v>
      </c>
      <c r="D5" s="124" t="s">
        <v>846</v>
      </c>
      <c r="E5" s="43" t="s">
        <v>873</v>
      </c>
      <c r="F5" s="43" t="s">
        <v>874</v>
      </c>
      <c r="G5" s="43" t="s">
        <v>875</v>
      </c>
      <c r="H5" s="43" t="s">
        <v>850</v>
      </c>
      <c r="I5" s="109" t="s">
        <v>851</v>
      </c>
      <c r="J5" s="110">
        <v>1193574048</v>
      </c>
      <c r="K5" s="43" t="s">
        <v>852</v>
      </c>
      <c r="L5" s="175" t="s">
        <v>853</v>
      </c>
      <c r="M5" s="22">
        <v>37393</v>
      </c>
      <c r="N5" s="213">
        <f t="shared" ca="1" si="0"/>
        <v>21.476712328767125</v>
      </c>
      <c r="O5" s="22">
        <v>44820</v>
      </c>
      <c r="P5" s="214" t="str">
        <f t="shared" si="1"/>
        <v>SI</v>
      </c>
      <c r="Q5" s="26" t="s">
        <v>855</v>
      </c>
      <c r="R5" s="22">
        <v>44820</v>
      </c>
      <c r="S5" s="21" t="s">
        <v>856</v>
      </c>
      <c r="T5" s="24" t="s">
        <v>690</v>
      </c>
      <c r="U5" s="21" t="s">
        <v>857</v>
      </c>
      <c r="V5" s="21" t="s">
        <v>858</v>
      </c>
      <c r="W5" s="21" t="s">
        <v>876</v>
      </c>
      <c r="X5" s="21" t="s">
        <v>876</v>
      </c>
      <c r="Y5" s="21" t="s">
        <v>859</v>
      </c>
      <c r="Z5" s="21">
        <v>3147413365</v>
      </c>
      <c r="AA5" s="21" t="s">
        <v>860</v>
      </c>
      <c r="AB5" s="27" t="s">
        <v>861</v>
      </c>
      <c r="AC5" s="26" t="s">
        <v>877</v>
      </c>
      <c r="AD5" s="38" t="s">
        <v>846</v>
      </c>
      <c r="AE5" s="26" t="s">
        <v>854</v>
      </c>
      <c r="AF5" s="26" t="s">
        <v>854</v>
      </c>
      <c r="AG5" s="23" t="s">
        <v>864</v>
      </c>
      <c r="AH5" s="23" t="s">
        <v>864</v>
      </c>
      <c r="AI5" s="24" t="s">
        <v>863</v>
      </c>
      <c r="AJ5" s="23" t="s">
        <v>864</v>
      </c>
      <c r="AK5" s="220" t="str">
        <f>IF(AND(AD5="",AE5="",AF5="",AG5="",AH5="",AI5="",AJ5=""),"",IF(OR(Tabla1[[#This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EVALUACIÓN",IF(AND(O5="",R5=""),"",IF(AND(OR(O5&gt;0,R5&gt;0),NG5&gt;=0,NG5&lt;2),"SIN RIESGO",IF(AND(OR(O5&gt;0,R5&gt;0),NG5&gt;=2),"CON RIESGO","ASD")))))</f>
        <v>SIN RIESGO</v>
      </c>
      <c r="AL5" s="23" t="s">
        <v>864</v>
      </c>
      <c r="AM5" s="26" t="s">
        <v>864</v>
      </c>
      <c r="AN5" s="26" t="s">
        <v>864</v>
      </c>
      <c r="AO5" s="26" t="s">
        <v>864</v>
      </c>
      <c r="AP5" s="26" t="s">
        <v>864</v>
      </c>
      <c r="AQ5" s="26" t="s">
        <v>864</v>
      </c>
      <c r="AR5" s="26" t="s">
        <v>864</v>
      </c>
      <c r="AS5" s="21">
        <v>1</v>
      </c>
      <c r="AT5" s="21">
        <v>0</v>
      </c>
      <c r="AU5" s="21">
        <v>1</v>
      </c>
      <c r="AV5" s="26" t="s">
        <v>864</v>
      </c>
      <c r="AW5" s="21">
        <v>0</v>
      </c>
      <c r="AX5" s="26" t="s">
        <v>864</v>
      </c>
      <c r="AY5" s="26" t="s">
        <v>864</v>
      </c>
      <c r="AZ5" s="26" t="s">
        <v>864</v>
      </c>
      <c r="BA5" s="26" t="s">
        <v>864</v>
      </c>
      <c r="BB5" s="26" t="s">
        <v>864</v>
      </c>
      <c r="BC5" s="26" t="s">
        <v>864</v>
      </c>
      <c r="BD5" s="26" t="s">
        <v>864</v>
      </c>
      <c r="BE5" s="203" t="s">
        <v>864</v>
      </c>
      <c r="BF5" s="26" t="s">
        <v>864</v>
      </c>
      <c r="BG5" s="26" t="s">
        <v>864</v>
      </c>
      <c r="BH5" s="26" t="s">
        <v>865</v>
      </c>
      <c r="BI5" s="26" t="s">
        <v>864</v>
      </c>
      <c r="BJ5" s="26"/>
      <c r="BK5" s="26"/>
      <c r="BL5" s="26" t="s">
        <v>865</v>
      </c>
      <c r="BM5" s="26" t="s">
        <v>864</v>
      </c>
      <c r="BN5" s="22">
        <v>44589</v>
      </c>
      <c r="BO5" s="286">
        <v>44729</v>
      </c>
      <c r="BP5" s="21" t="s">
        <v>854</v>
      </c>
      <c r="BQ5" s="222">
        <f t="shared" si="2"/>
        <v>4.666666666666667</v>
      </c>
      <c r="BR5" s="223">
        <f t="shared" si="3"/>
        <v>44729</v>
      </c>
      <c r="BS5" s="224">
        <f t="shared" si="4"/>
        <v>13</v>
      </c>
      <c r="BT5" s="216" t="str">
        <f t="shared" si="5"/>
        <v>II TRIM</v>
      </c>
      <c r="BU5" s="214" t="str">
        <f t="shared" ca="1" si="6"/>
        <v/>
      </c>
      <c r="BV5" s="25"/>
      <c r="BW5" s="22">
        <v>44834</v>
      </c>
      <c r="BX5" s="28">
        <v>15</v>
      </c>
      <c r="BY5" s="28"/>
      <c r="BZ5" s="22">
        <v>44960</v>
      </c>
      <c r="CA5" s="21">
        <v>32.200000000000003</v>
      </c>
      <c r="CB5" s="26" t="s">
        <v>864</v>
      </c>
      <c r="CC5" s="26" t="s">
        <v>864</v>
      </c>
      <c r="CD5" s="26" t="s">
        <v>878</v>
      </c>
      <c r="CE5" s="26" t="s">
        <v>864</v>
      </c>
      <c r="CF5" s="22">
        <v>44266</v>
      </c>
      <c r="CG5" s="21">
        <v>1.5</v>
      </c>
      <c r="CH5" s="21">
        <v>66</v>
      </c>
      <c r="CI5" s="214">
        <f t="shared" si="7"/>
        <v>29.333333333333332</v>
      </c>
      <c r="CJ5" s="225" t="str">
        <f>IF(AND(CI5&lt;10,CH5="SD"),"SIN DATO PESO PREGESTACION O I TRIM",IF(AND(OR(R5&gt;0,O5&gt;0),CI5="X"),"INGRESAR DATO DE PESO",IF(CI5="SD","INGRESAR DATO DE TALLA Y PESO",IF(AND(OR(Tabla1[[#This Row],[MOMENTO EN QUE SE REALIZA EL PESO AL INGRESO A CPN]]="PREGESTACIÓN",NZ5="Menor"),CI5&lt;18.5),"BAJO PESO",IF(AND(OR(Tabla1[[#This Row],[MOMENTO EN QUE SE REALIZA EL PESO AL INGRESO A CPN]]="PREGESTACIÓN",NZ5="Menor"),CI5&lt;25),"NORMAL",IF(AND(OR(Tabla1[[#This Row],[MOMENTO EN QUE SE REALIZA EL PESO AL INGRESO A CPN]]="PREGESTACIÓN",NZ5="Menor"),CI5&lt;30),"SOBREPESO",IF(AND(OR(Tabla1[[#This Row],[MOMENTO EN QUE SE REALIZA EL PESO AL INGRESO A CPN]]="PREGESTACIÓN",NZ5="Menor"),CI5&gt;=30,CI5&lt;50),"OBESIDAD",IF(AND(BS5&gt;0,Tabla1[[#This Row],[MOMENTO EN QUE SE REALIZA EL PESO AL INGRESO A CPN]]="GESTACIÓN"),HLOOKUP(NZ5,$OA$2:PH5,NY5),""))))))))</f>
        <v/>
      </c>
      <c r="CK5" s="212">
        <f t="shared" si="8"/>
        <v>45003</v>
      </c>
      <c r="CL5" s="21"/>
      <c r="CM5" s="214">
        <f t="shared" si="9"/>
        <v>0</v>
      </c>
      <c r="CN5" s="216">
        <f t="shared" si="10"/>
        <v>39</v>
      </c>
      <c r="CO5" s="216" t="e">
        <f>IF(PI5="","",IF(PI5&gt;0,HLOOKUP(PI5,$PJ$2:QQ5,NY5),""))</f>
        <v>#REF!</v>
      </c>
      <c r="CP5" s="21"/>
      <c r="CQ5" s="216" t="e">
        <f>IF(QR5="Menor","NO APLICA-MENOR 13 SEM",IF(AND(CC5="SI",CN5&gt;23),"NO APLICA- GEMELAR",IF(QR5="","",IF(QR5&gt;0,HLOOKUP(QR5,$QS$2:RU5,NY5),""))))</f>
        <v>#REF!</v>
      </c>
      <c r="CR5" s="21">
        <v>100</v>
      </c>
      <c r="CS5" s="21">
        <v>60</v>
      </c>
      <c r="CT5" s="217" t="str">
        <f>IF(R5="","",IF(AND(BS5&gt;1,BS5&lt;12,Tabla1[[#This Row],[T.A. SISTOLICA - ANTES DE SEMANA 12]]="",Tabla1[[#This Row],[T.A. DIASTOLICA - ANTES DE SEMANA 12]]=""),"REGISTRE DATO TA ANTES SEMANA 12",IF(AND(BS5&gt;11,BS5&lt;43,Tabla1[[#This Row],[T.A. SISTOLICA - ANTES DE SEMANA 12]]="",Tabla1[[#This Row],[T.A. DIASTOLICA - ANTES DE SEMANA 12]]=""),"NO APLICA REGISTRO TA-INGRESO TARDIO",IF(AND(OR(O5&gt;0,R5&gt;0),OR(CR5&gt;=140,CS5&gt;=90)),"DEFINIR ESTADIO HTA",IF(AND(OR(O5&gt;0,R5&gt;0),AND(CR5&gt;120,CR5&lt;=139)),"PRE HTA SEGUIMIENTO",IF(AND(OR(O5&gt;0,R5&gt;0),AND(CS5&gt;80,CS5&lt;=89)),"PRE HTA SEGUIMIENTO",IF(AND(OR(O5&gt;0,R5&gt;0),AND(CR5&gt;=80,CR5&lt;=120)),"APARENTEMENTE NORMAL",IF(AND(OR(O5&gt;0,R5&gt;0),AND(CS5&gt;=50,CS5&lt;=80)),"APARENTEMENTE NORMAL",IF(AND(OR(O5&gt;0,R5&gt;0),AND(CR5&gt;1,CR5&lt;=70),AND(CS5&gt;1,CS5&lt;=40)),"HIPOTENSIÓN","")))))))))</f>
        <v>APARENTEMENTE NORMAL</v>
      </c>
      <c r="CU5" s="21">
        <v>100</v>
      </c>
      <c r="CV5" s="21">
        <v>70</v>
      </c>
      <c r="CW5" s="217" t="str">
        <f ca="1">IF(R5="","",IF(AND(CN5&gt;19,CN5&lt;27,Tabla1[[#This Row],[T.A. SISTOLICA (Entre semana 20 y 26)]]="",Tabla1[[#This Row],[T.A. DIATOLICA (Entre semana 20 y 26)]]=""),"ACUDE A CONTROL SEM 20 A 26 REGISTRE TA AHORA",IF(AND(BS5&gt;1,BS5&lt;27,BU5&gt;19,Tabla1[[#This Row],[T.A. SISTOLICA (Entre semana 20 y 26)]]="",Tabla1[[#This Row],[T.A. DIATOLICA (Entre semana 20 y 26)]]=""),"COMPLETE REGISTRO TA CONTROL SEM 20 A26 ",IF(AND(BS5&gt;26,BS5&lt;43,Tabla1[[#This Row],[T.A. SISTOLICA (Entre semana 20 y 26)]]="",Tabla1[[#This Row],[T.A. DIATOLICA (Entre semana 20 y 26)]]=""),"NO APLICA REGISTRO TA-INGRESO TARDIO",IF(AND(OR(O5&gt;0,R5&gt;0),OR(CU5&gt;=140,CV5&gt;=90)),"ALTO RIESGO PREECLAMPSIA,DEFINIR ESTADIO HTA",IF(AND(OR(O5&gt;0,R5&gt;0),AND(CU5&gt;120,CU5&lt;=139)),"PRE HTA SEGUIMIENTO,RIESGO HIPERTENSION INDUCIDA POR EL EMBARAZO",IF(AND(OR(O5&gt;0,R5&gt;0),AND(CV5&gt;80,CV5&lt;=89)),"PRE HTA SEGUIMIENTO, RIESGO HIPERTENSION INDUCIDA POR EL EMBARAZO",IF(AND(OR(O5&lt;&gt;"",R5&lt;&gt;""),CS5&lt;&gt;"",CV5&lt;&gt;"",CS5&lt;=CV5),"VIGILAR CIFRAS PRESION ARTERIAL",IF(AND(OR(O5&gt;0,R5&gt;0),AND(CU5&gt;120,CU5&lt;=139)),"PRE HTA SEGUIMIENTO",IF(AND(OR(O5&gt;0,R5&gt;0),AND(CU5&gt;1,CU5&lt;=70),AND(CV5&gt;1,CV5&lt;=40)),"HIPOTENSIÓN",IF(AND(OR(O5&lt;&gt;"",R5&lt;&gt;""),CS5&lt;&gt;"",CV5&lt;&gt;"",CS5&gt;CV5),"APARENTEMENTE NORMAL",IF(AND(OR(O5&gt;0,R5&gt;0),AND(CU5&gt;=80,CU5&lt;=120)),"APARENTEMENTE NORMAL",IF(AND(OR(O5&gt;0,R5&gt;0),AND(CV5&gt;=50,CV5&lt;=80)),"APARENTEMENTE NORMAL","")))))))))))))</f>
        <v>VIGILAR CIFRAS PRESION ARTERIAL</v>
      </c>
      <c r="CX5" s="21">
        <v>100</v>
      </c>
      <c r="CY5" s="21">
        <v>70</v>
      </c>
      <c r="CZ5" s="216" t="str">
        <f t="shared" si="11"/>
        <v>VIGILAR CIFRAS PRESION ARTERIAL</v>
      </c>
      <c r="DA5" s="21"/>
      <c r="DB5" s="21"/>
      <c r="DC5" s="217" t="str">
        <f t="shared" si="12"/>
        <v>REGISTRE DATO PRESIÓN ARTERIAL MENSUAL</v>
      </c>
      <c r="DD5" s="22">
        <v>44820</v>
      </c>
      <c r="DE5" s="22">
        <v>44820</v>
      </c>
      <c r="DF5" s="22">
        <v>44887</v>
      </c>
      <c r="DG5" s="22">
        <v>44939</v>
      </c>
      <c r="DH5" s="22">
        <v>45003</v>
      </c>
      <c r="DI5" s="22"/>
      <c r="DJ5" s="22"/>
      <c r="DK5" s="22"/>
      <c r="DL5" s="22"/>
      <c r="DM5" s="22"/>
      <c r="DN5" s="22"/>
      <c r="DO5" s="22"/>
      <c r="DP5" s="22"/>
      <c r="DQ5" s="22"/>
      <c r="DR5" s="28">
        <v>2</v>
      </c>
      <c r="DS5" s="22"/>
      <c r="DT5" s="22"/>
      <c r="DU5" s="216" t="str">
        <f t="shared" ca="1" si="13"/>
        <v>SALE SIN PLAN DE PARTO</v>
      </c>
      <c r="DV5" s="226" t="str">
        <f t="shared" si="14"/>
        <v>SALIO PROGRAMA</v>
      </c>
      <c r="DW5"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5" s="216" t="str">
        <f t="shared" ca="1" si="15"/>
        <v/>
      </c>
      <c r="DY5" s="212">
        <f>IF(R5="","",IF(R5&gt;0,MAX(Tabla1[[#This Row],[FECHA C2]:[FECHA C13]],Tabla1[[#This Row],[FECHA CONSULTA PRIMERA VEZ PROGRAMA CPN ]])))</f>
        <v>45003</v>
      </c>
      <c r="DZ5" s="216">
        <f t="shared" si="16"/>
        <v>39</v>
      </c>
      <c r="EA5" s="222">
        <f>IF(R5&gt;0,SUM(COUNTA(DF5:DQ5)+COUNTA(Tabla1[[#This Row],[FECHA CONSULTA PRIMERA VEZ PROGRAMA CPN ]])),"")</f>
        <v>4</v>
      </c>
      <c r="EB5" s="222" t="str">
        <f t="shared" si="17"/>
        <v>SI</v>
      </c>
      <c r="EC5" s="214">
        <f t="shared" si="18"/>
        <v>8</v>
      </c>
      <c r="ED5" s="227">
        <f t="shared" si="19"/>
        <v>0.5</v>
      </c>
      <c r="EE5" s="22">
        <v>44751</v>
      </c>
      <c r="EF5" s="22">
        <v>44751</v>
      </c>
      <c r="EG5" s="22">
        <v>44751</v>
      </c>
      <c r="EH5" s="22"/>
      <c r="EI5" s="22">
        <v>44751</v>
      </c>
      <c r="EJ5" s="22"/>
      <c r="EK5" s="22"/>
      <c r="EL5" s="21"/>
      <c r="EM5" s="21"/>
      <c r="EN5" s="22">
        <v>44960</v>
      </c>
      <c r="EO5" s="222">
        <f t="shared" si="20"/>
        <v>33</v>
      </c>
      <c r="EP5" s="214" t="str">
        <f t="shared" si="21"/>
        <v/>
      </c>
      <c r="EQ5" s="216" t="str">
        <f t="shared" si="22"/>
        <v>III TRIM</v>
      </c>
      <c r="ER5" s="24"/>
      <c r="ES5" s="22"/>
      <c r="ET5" s="29" t="str">
        <f t="shared" ca="1" si="23"/>
        <v>SALE SIN TAMIZAJE HEMOGLOBINA SEM 28</v>
      </c>
      <c r="EU5" s="25" t="str">
        <f t="shared" si="24"/>
        <v/>
      </c>
      <c r="EV5" s="24" t="s">
        <v>866</v>
      </c>
      <c r="EW5" s="24">
        <v>44960</v>
      </c>
      <c r="EX5" s="22"/>
      <c r="EY5" s="29">
        <f t="shared" si="25"/>
        <v>33</v>
      </c>
      <c r="EZ5" s="25" t="str">
        <f t="shared" ca="1" si="26"/>
        <v/>
      </c>
      <c r="FA5" s="21">
        <v>67</v>
      </c>
      <c r="FB5" s="22">
        <v>44960</v>
      </c>
      <c r="FC5" s="29" t="str">
        <f t="shared" si="27"/>
        <v>NO APLICA &gt; 23 SEM -TOMAR PTOG</v>
      </c>
      <c r="FD5" s="29"/>
      <c r="FE5" s="29"/>
      <c r="FF5" s="29"/>
      <c r="FG5" s="21" t="str">
        <f t="shared" ca="1" si="28"/>
        <v/>
      </c>
      <c r="FH5" s="31"/>
      <c r="FI5" s="29" t="str">
        <f t="shared" si="29"/>
        <v>TOMAR EXAMEN</v>
      </c>
      <c r="FJ5" s="22"/>
      <c r="FK5" s="22"/>
      <c r="FL5" s="29" t="str">
        <f t="shared" ca="1" si="30"/>
        <v>NO APLICA-INGRESO TARDIO</v>
      </c>
      <c r="FM5" s="22"/>
      <c r="FN5" s="32"/>
      <c r="FO5" s="29" t="str">
        <f t="shared" ca="1" si="31"/>
        <v>PIERDE TOMA DE TAMIZAJE</v>
      </c>
      <c r="FP5" s="22" t="s">
        <v>867</v>
      </c>
      <c r="FQ5" s="32">
        <v>44960</v>
      </c>
      <c r="FR5" s="29">
        <f t="shared" ca="1" si="32"/>
        <v>33</v>
      </c>
      <c r="FS5" s="22"/>
      <c r="FT5" s="32"/>
      <c r="FU5" s="29" t="str">
        <f>IF(AND(FJ5="",FM5="",FP5="",FS5=""),"",IF(OR(OR(Tabla1[[#This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5" s="28"/>
      <c r="FW5" s="22"/>
      <c r="FX5" s="29" t="str">
        <f t="shared" si="33"/>
        <v>TOMAR EXAMEN</v>
      </c>
      <c r="FY5" s="22">
        <v>44960</v>
      </c>
      <c r="FZ5" s="22">
        <v>44960</v>
      </c>
      <c r="GA5" s="29" t="str">
        <f t="shared" si="34"/>
        <v>REGISTRAR EN III TRIMESTRE</v>
      </c>
      <c r="GB5" s="22" t="s">
        <v>868</v>
      </c>
      <c r="GC5" s="22">
        <v>44266</v>
      </c>
      <c r="GD5" s="29" t="str">
        <f t="shared" si="35"/>
        <v>INCOHERENCIA FUM Y FECHA TAMIZAJE</v>
      </c>
      <c r="GE5" s="22" t="s">
        <v>868</v>
      </c>
      <c r="GF5" s="22">
        <v>44960</v>
      </c>
      <c r="GG5" s="29">
        <f t="shared" ca="1" si="36"/>
        <v>33</v>
      </c>
      <c r="GH5" s="22" t="s">
        <v>879</v>
      </c>
      <c r="GI5" s="29"/>
      <c r="GJ5" s="22" t="s">
        <v>879</v>
      </c>
      <c r="GK5" s="22"/>
      <c r="GL5" s="22" t="s">
        <v>879</v>
      </c>
      <c r="GM5" s="22"/>
      <c r="GN5" s="28" t="s">
        <v>869</v>
      </c>
      <c r="GO5" s="22">
        <v>44266</v>
      </c>
      <c r="GP5" s="29" t="str">
        <f t="shared" si="37"/>
        <v>CORREGIR FECHA RESULTADO</v>
      </c>
      <c r="GQ5" s="28" t="s">
        <v>880</v>
      </c>
      <c r="GR5" s="28" t="s">
        <v>869</v>
      </c>
      <c r="GS5" s="22" t="str">
        <f t="shared" si="38"/>
        <v>SE EXCLUYE INFECCION</v>
      </c>
      <c r="GT5" s="22">
        <v>44266</v>
      </c>
      <c r="GU5" s="29" t="str">
        <f t="shared" si="39"/>
        <v>CORREGIR FECHA RESULTADO</v>
      </c>
      <c r="GV5" s="21" t="str">
        <f t="shared" si="40"/>
        <v>POR DEFINIR</v>
      </c>
      <c r="GW5" s="28" t="s">
        <v>869</v>
      </c>
      <c r="GX5" s="30"/>
      <c r="GY5" s="21" t="s">
        <v>846</v>
      </c>
      <c r="GZ5" s="21"/>
      <c r="HA5" s="21"/>
      <c r="HB5" s="21"/>
      <c r="HC5" s="21"/>
      <c r="HD5" s="21"/>
      <c r="HE5" s="21"/>
      <c r="HF5" s="22"/>
      <c r="HG5" s="22" t="str">
        <f>IF(OR(O5&gt;0,R5&gt;0),CONCATENATE(IF(Tabla1[[#This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5" s="22" t="e">
        <f t="shared" si="41"/>
        <v>#REF!</v>
      </c>
      <c r="HI5" s="22" t="e">
        <f t="shared" ca="1" si="42"/>
        <v>#REF!</v>
      </c>
      <c r="HJ5" s="21" t="str">
        <f t="shared" ca="1" si="43"/>
        <v>**********************MULTIPARIDAD*****************</v>
      </c>
      <c r="HK5" s="21" t="str">
        <f t="shared" si="44"/>
        <v>SIN ANTECEDENTES DE RIESGO</v>
      </c>
      <c r="HL5" s="24" t="str">
        <f t="shared" si="45"/>
        <v>REGISTRE DATO PRESIÓN ARTERIAL MENSUAL</v>
      </c>
      <c r="HM5" s="21" t="str">
        <f t="shared" ca="1" si="46"/>
        <v/>
      </c>
      <c r="HN5" s="30" t="str">
        <f t="shared" si="47"/>
        <v>SALIO PROGRAMA</v>
      </c>
      <c r="HO5" s="21"/>
      <c r="HP5" s="21" t="s">
        <v>879</v>
      </c>
      <c r="HQ5" s="22"/>
      <c r="HR5" s="21" t="str">
        <f>IF(R5="","",IF(Tabla1[[#This Row],[ALARMA FACTORES DE RIESGO COMPLICACIONES HIPERTENSIVAS3]]="SIN ANTECEDENTES DE RIESGO","No Aplica para suministro de ASA",IF(AND(Tabla1[[#This Row],[FECHA INICIO DE SUMINISTRO DE ASA]]&gt;0,RV5&lt;12),"Inicia ASA ANTES de Sem 12",IF(AND(RV5&gt;11,RV5&lt;17,OR(HK5="RIESGO ALTO DE COMPLICACIONES HIPERTENSIVAS VER MANEJO GUIA SUMINISTRO ASA Y CALCIO",HK5="RIESGO MODERADO (2 O MAS CRITERIOS) VER MANEJO GUIA SUMINISTRO ASA Y CALCIO")),"Inicio oportuno de ASA",IF(AND(RV5&gt;12,OR(HK5="RIESGO ALTO DE COMPLICACIONES HIPERTENSIVAS VER MANEJO GUIA SUMINISTRO ASA Y CALCIO",HK5="RIESGO MODERADO (2 O MAS CRITERIOS) VER MANEJO GUIA SUMINISTRO ASA Y CALCIO")),"Inicio no oportuno mayor a 16 semanas",IF(AND(BU5&lt;12,OR(HK5="RIESGO ALTO DE COMPLICACIONES HIPERTENSIVAS VER MANEJO GUIA SUMINISTRO ASA Y CALCIO",HK5="RIESGO MODERADO (2 O MAS CRITERIOS) VER MANEJO GUIA SUMINISTRO ASA Y CALCIO")),"Pendiente Inicio de ASA a la semana 12",IF(AND(BU5&gt;11,BU5&lt;17,OR(HK5="RIESGO ALTO DE COMPLICACIONES HIPERTENSIVAS VER MANEJO GUIA SUMINISTRO ASA Y CALCIO",HK5="RIESGO MODERADO (2 O MAS CRITERIOS) VER MANEJO GUIA SUMINISTRO ASA Y CALCIO")),"Iniciar de inmediato ASA",IF(AND(BU5&gt;16,OR(HK5="RIESGO ALTO DE COMPLICACIONES HIPERTENSIVAS VER MANEJO GUIA SUMINISTRO ASA Y CALCIO",HK5="RIESGO MODERADO (2 O MAS CRITERIOS) VER MANEJO GUIA SUMINISTRO ASA Y CALCIO")),"Pierde Oportunidad, Inicio tardío de ASA","XXXXX"))))))))</f>
        <v>No Aplica para suministro de ASA</v>
      </c>
      <c r="HS5" s="22"/>
      <c r="HT5" s="22" t="s">
        <v>846</v>
      </c>
      <c r="HU5" s="22">
        <v>44406</v>
      </c>
      <c r="HV5" s="22" t="s">
        <v>870</v>
      </c>
      <c r="HW5" s="22">
        <v>44406</v>
      </c>
      <c r="HX5" s="22" t="s">
        <v>870</v>
      </c>
      <c r="HY5" s="22">
        <v>44407</v>
      </c>
      <c r="HZ5" s="28" t="str">
        <f t="shared" si="48"/>
        <v>CORREGIR FECHA CONSULTA</v>
      </c>
      <c r="IA5" s="26" t="s">
        <v>865</v>
      </c>
      <c r="IB5" s="26"/>
      <c r="IC5" s="111"/>
      <c r="ID5" s="22"/>
      <c r="IE5" s="22" t="str">
        <f t="shared" ca="1" si="49"/>
        <v>SALE SIN VACUNA</v>
      </c>
      <c r="IF5" s="22"/>
      <c r="IG5" s="22">
        <f t="shared" si="50"/>
        <v>45009</v>
      </c>
      <c r="IH5" s="29">
        <f t="shared" ca="1" si="51"/>
        <v>-223</v>
      </c>
      <c r="II5" s="22" t="str">
        <f t="shared" ca="1" si="52"/>
        <v>POSIBLEMENTE NACIO</v>
      </c>
      <c r="IJ5" s="22"/>
      <c r="IK5" s="21" t="s">
        <v>898</v>
      </c>
      <c r="IL5" s="21"/>
      <c r="IM5" s="34"/>
      <c r="IN5" s="349">
        <v>45008</v>
      </c>
      <c r="IO5" s="21" t="s">
        <v>1186</v>
      </c>
      <c r="IP5" s="29">
        <f t="shared" si="53"/>
        <v>39.857142857142854</v>
      </c>
      <c r="IQ5" s="35" t="s">
        <v>1650</v>
      </c>
      <c r="IR5" s="21" t="s">
        <v>1651</v>
      </c>
      <c r="IS5" s="21" t="s">
        <v>1646</v>
      </c>
      <c r="IT5" s="21" t="s">
        <v>1642</v>
      </c>
      <c r="IU5" s="21"/>
      <c r="IV5" s="21"/>
      <c r="IW5" s="21"/>
      <c r="IX5" s="21"/>
      <c r="IY5" s="21"/>
      <c r="IZ5" s="21"/>
      <c r="JA5" s="21"/>
      <c r="JB5" s="30">
        <v>1</v>
      </c>
      <c r="JC5" s="21" t="s">
        <v>1643</v>
      </c>
      <c r="JD5" s="36">
        <v>3130</v>
      </c>
      <c r="JE5" s="21" t="str">
        <f t="shared" si="54"/>
        <v>PESO ADECUADO EDAD GESTACIONAL</v>
      </c>
      <c r="JF5" s="30"/>
      <c r="JG5" s="21"/>
      <c r="JH5" s="21"/>
      <c r="JI5" s="21" t="s">
        <v>854</v>
      </c>
      <c r="JJ5" s="30" t="s">
        <v>866</v>
      </c>
      <c r="JK5" s="22"/>
      <c r="JL5" s="22"/>
      <c r="JM5" s="21"/>
      <c r="JN5" s="36"/>
      <c r="JO5" s="21" t="str">
        <f t="shared" si="55"/>
        <v/>
      </c>
      <c r="JP5" s="22"/>
      <c r="JQ5" s="21"/>
      <c r="JR5" s="21"/>
      <c r="JS5" s="21"/>
      <c r="JT5" s="30"/>
      <c r="JU5" s="22"/>
      <c r="JV5" s="22"/>
      <c r="JW5" s="33"/>
      <c r="JX5" s="28" t="str">
        <f t="shared" si="56"/>
        <v>INASISTENTE</v>
      </c>
      <c r="JY5" s="33"/>
      <c r="JZ5" s="28" t="str">
        <f t="shared" si="57"/>
        <v>INASISTENTE</v>
      </c>
      <c r="KA5" s="21"/>
      <c r="KB5" s="21"/>
      <c r="KC5" s="21"/>
      <c r="KD5" s="37"/>
      <c r="KE5" s="28"/>
      <c r="KF5" s="28"/>
      <c r="KG5" s="28"/>
      <c r="KH5" s="39"/>
      <c r="KI5" s="39"/>
      <c r="KJ5" s="66"/>
      <c r="KK5" s="39"/>
      <c r="KL5" s="39"/>
      <c r="KM5" s="66"/>
      <c r="KN5" s="39"/>
      <c r="KO5" s="39"/>
      <c r="KP5" s="39"/>
      <c r="KQ5" s="39"/>
      <c r="KR5" s="39"/>
      <c r="KS5" s="39"/>
      <c r="KT5" s="39"/>
      <c r="KU5" s="38"/>
      <c r="KV5" s="38"/>
      <c r="KW5" s="38"/>
      <c r="KX5" s="38"/>
      <c r="KY5" s="38"/>
      <c r="KZ5" s="38"/>
      <c r="LA5" s="38"/>
      <c r="LB5" s="38"/>
      <c r="LC5" s="38"/>
      <c r="LD5" s="38"/>
      <c r="LE5" s="38"/>
      <c r="LF5" s="38"/>
      <c r="LG5" s="38"/>
      <c r="LH5" s="38"/>
      <c r="LI5" s="38"/>
      <c r="LJ5" s="38"/>
      <c r="LK5" s="38"/>
      <c r="LL5" s="38"/>
      <c r="LM5" s="38"/>
      <c r="LN5" s="38"/>
      <c r="LO5" s="38"/>
      <c r="LP5" s="38"/>
      <c r="LQ5" s="38"/>
      <c r="LR5" s="38"/>
      <c r="LS5" s="38"/>
      <c r="LT5" s="38"/>
      <c r="LU5" s="38"/>
      <c r="LV5" s="38"/>
      <c r="LW5" s="38"/>
      <c r="LX5" s="38"/>
      <c r="LY5" s="38"/>
      <c r="LZ5" s="38"/>
      <c r="MA5" s="38"/>
      <c r="MB5" s="38"/>
      <c r="MC5" s="38"/>
      <c r="MD5" s="38"/>
      <c r="ME5" s="38"/>
      <c r="MF5" s="38"/>
      <c r="MG5" s="38"/>
      <c r="MH5" s="43">
        <f t="shared" si="58"/>
        <v>0</v>
      </c>
      <c r="MI5" s="43" t="str">
        <f t="shared" si="59"/>
        <v/>
      </c>
      <c r="MJ5" s="43" t="str">
        <f t="shared" si="60"/>
        <v/>
      </c>
      <c r="MK5" s="43">
        <f t="shared" si="61"/>
        <v>0</v>
      </c>
      <c r="ML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5" s="43">
        <f t="shared" si="62"/>
        <v>13</v>
      </c>
      <c r="MN5" s="43">
        <f t="shared" si="63"/>
        <v>9</v>
      </c>
      <c r="MO5" s="43">
        <f t="shared" si="64"/>
        <v>2022</v>
      </c>
      <c r="MP5" s="43" t="str">
        <f t="shared" si="65"/>
        <v>III TRIMESTRE AÑO</v>
      </c>
      <c r="MQ5" s="43">
        <f t="shared" si="66"/>
        <v>20.036684187472623</v>
      </c>
      <c r="MR5" s="43">
        <f t="shared" si="67"/>
        <v>0</v>
      </c>
      <c r="MS5" s="43" t="str">
        <f t="shared" si="68"/>
        <v xml:space="preserve"> DE 20 A 24 AÑOS</v>
      </c>
      <c r="MT5" s="43">
        <f t="shared" si="69"/>
        <v>0</v>
      </c>
      <c r="MU5" s="43">
        <f t="shared" si="70"/>
        <v>1</v>
      </c>
      <c r="MV5" s="43">
        <f t="shared" si="71"/>
        <v>0</v>
      </c>
      <c r="MW5" s="43">
        <f t="shared" si="72"/>
        <v>0</v>
      </c>
      <c r="MX5" s="43" t="str">
        <f t="shared" si="73"/>
        <v/>
      </c>
      <c r="MY5" s="43" t="str">
        <f t="shared" ca="1" si="74"/>
        <v/>
      </c>
      <c r="MZ5" s="43" t="str">
        <f t="shared" si="75"/>
        <v/>
      </c>
      <c r="NA5" s="43">
        <f t="shared" si="76"/>
        <v>0</v>
      </c>
      <c r="NB5" s="43" t="str">
        <f t="shared" si="77"/>
        <v/>
      </c>
      <c r="NC5" s="43" t="str">
        <f t="shared" si="78"/>
        <v/>
      </c>
      <c r="ND5" s="43">
        <f t="shared" ca="1" si="79"/>
        <v>1</v>
      </c>
      <c r="NE5" s="43">
        <f>IF(OR(O5&gt;0,R5&gt;0),SUM(COUNTIF(Tabla1[[#This Row],[AÑOS AL INICIO5 CPN]],"&gt;=40"),COUNTIF(AS5,"0"),COUNTIF(AR5,"SI"),COUNTIF(CC5,"SI"),COUNTIF(BQ5,"&gt;119"),COUNTIF(CI5,"&gt;=35")),"")</f>
        <v>0</v>
      </c>
      <c r="NF5" s="43" t="str">
        <f t="shared" si="80"/>
        <v/>
      </c>
      <c r="NG5" s="43">
        <f t="shared" si="81"/>
        <v>0</v>
      </c>
      <c r="NH5" s="43">
        <f t="shared" si="82"/>
        <v>105</v>
      </c>
      <c r="NI5"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CPN",P5="NO"),"Z",IF(AND(Tabla1[[#This Row],[CITA PROXIMO CONTROL]]="CITA MANUAL",Tabla1[[#This Row],[GESTANTES ACTUALES]]="ACTIVA INGRESO A CPN"),"W",IF(AND(Tabla1[[#This Row],[GESTANTES ACTUALES]]="SALIO PROGRAMA",IN5=""),"S",IF(AND(Tabla1[[#This Row],[CITA PROXIMO CONTROL]]&gt;0,IN5=""),(Tabla1[[#This Row],[CITA PROXIMO CONTROL]]-TODAY()),"SD"))))))))</f>
        <v>SD</v>
      </c>
      <c r="NJ5" s="43">
        <f>MONTH(Tabla1[[#This Row],[FECHA DE SALIDA  DEL PROGRAMA]])</f>
        <v>3</v>
      </c>
      <c r="NK5" s="43">
        <f>YEAR(Tabla1[[#This Row],[FECHA DE SALIDA  DEL PROGRAMA]])</f>
        <v>2023</v>
      </c>
      <c r="NL5" s="43" t="str">
        <f t="shared" si="83"/>
        <v>X</v>
      </c>
      <c r="NM5" s="43" t="str">
        <f t="shared" si="84"/>
        <v>NO</v>
      </c>
      <c r="NN5" s="43" t="str">
        <f ca="1">IF(AND(O5&gt;0,R5=""),"NO CPN",IF(AND(O5="",R5=""),"",IF(AND(R5&gt;0,Tabla1[[#This Row],[SEMANAS DE GESTACION ACTUALIZADAS]]&lt;=12),"NO APLICA",IF(AND(FH5&lt;&gt;"",FN5&lt;&gt;""),"SI","NO"))))</f>
        <v>NO</v>
      </c>
      <c r="NO5" s="43" t="str">
        <f ca="1">IF(AND(O5&gt;0,R5=""),"NO CPN",IF(AND(O5="",R5=""),"",IF(AND(R5&gt;0,Tabla1[[#This Row],[SEMANAS DE GESTACION ACTUALIZADAS]]&lt;=27),"NO APLICA",IF(AND(ES5&lt;&gt;"",FQ5&lt;&gt;"",GF5&lt;&gt;""),"SI","NO"))))</f>
        <v>NO</v>
      </c>
      <c r="NP5" s="204" t="str">
        <f t="shared" si="85"/>
        <v>II TRIM</v>
      </c>
      <c r="NQ5" s="21">
        <f t="shared" si="86"/>
        <v>1</v>
      </c>
      <c r="NR5" s="21">
        <f t="shared" si="87"/>
        <v>2</v>
      </c>
      <c r="NS5" s="205">
        <f t="shared" ca="1" si="88"/>
        <v>1</v>
      </c>
      <c r="NT5" s="21">
        <f t="shared" ca="1" si="89"/>
        <v>1</v>
      </c>
      <c r="NU5" s="21" t="str">
        <f t="shared" ca="1" si="90"/>
        <v>INCOMPLETO</v>
      </c>
      <c r="NV5" s="21" t="str">
        <f t="shared" ca="1" si="91"/>
        <v>INCOMPLETO</v>
      </c>
      <c r="NW5" s="206" t="str">
        <f>IF(AND(O5="",R5=""),"",IF(OR(AND(Tabla1[[#This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5" s="207" t="str">
        <f t="shared" ca="1" si="92"/>
        <v>SIN VACUNAR</v>
      </c>
      <c r="NY5" s="43">
        <f>ROW(Tabla1[[#This Row],['# DE TAMIZAJES SIFILIS TOMADOS ]])</f>
        <v>5</v>
      </c>
      <c r="NZ5" s="43">
        <f t="shared" si="93"/>
        <v>13</v>
      </c>
      <c r="OA5" s="43" t="str">
        <f t="shared" si="94"/>
        <v/>
      </c>
      <c r="OB5" s="43" t="str">
        <f t="shared" si="95"/>
        <v/>
      </c>
      <c r="OC5" s="43" t="str">
        <f t="shared" si="96"/>
        <v/>
      </c>
      <c r="OD5" s="43" t="str">
        <f t="shared" si="97"/>
        <v/>
      </c>
      <c r="OE5" s="43" t="str">
        <f t="shared" si="98"/>
        <v>SOBREPESO</v>
      </c>
      <c r="OF5" s="43" t="str">
        <f t="shared" si="99"/>
        <v/>
      </c>
      <c r="OG5" s="43" t="str">
        <f t="shared" si="100"/>
        <v/>
      </c>
      <c r="OH5" s="43" t="str">
        <f t="shared" si="101"/>
        <v/>
      </c>
      <c r="OI5" s="43" t="str">
        <f t="shared" si="102"/>
        <v/>
      </c>
      <c r="OJ5" s="43" t="str">
        <f t="shared" si="103"/>
        <v/>
      </c>
      <c r="OK5" s="43" t="str">
        <f t="shared" si="104"/>
        <v/>
      </c>
      <c r="OL5" s="43" t="str">
        <f t="shared" si="105"/>
        <v/>
      </c>
      <c r="OM5" s="43" t="str">
        <f t="shared" si="106"/>
        <v/>
      </c>
      <c r="ON5" s="43" t="str">
        <f t="shared" si="107"/>
        <v/>
      </c>
      <c r="OO5" s="43" t="str">
        <f t="shared" si="108"/>
        <v/>
      </c>
      <c r="OP5" s="43" t="str">
        <f t="shared" si="109"/>
        <v/>
      </c>
      <c r="OQ5" s="43" t="str">
        <f t="shared" si="110"/>
        <v/>
      </c>
      <c r="OR5" s="43" t="str">
        <f t="shared" si="111"/>
        <v/>
      </c>
      <c r="OS5" s="43" t="str">
        <f t="shared" si="112"/>
        <v/>
      </c>
      <c r="OT5" s="43" t="str">
        <f t="shared" si="113"/>
        <v/>
      </c>
      <c r="OU5" s="43" t="str">
        <f t="shared" si="114"/>
        <v/>
      </c>
      <c r="OV5" s="110" t="str">
        <f t="shared" si="115"/>
        <v/>
      </c>
      <c r="OW5" s="43" t="str">
        <f t="shared" si="116"/>
        <v/>
      </c>
      <c r="OX5" s="43" t="str">
        <f t="shared" si="117"/>
        <v/>
      </c>
      <c r="OY5" s="43" t="str">
        <f t="shared" si="118"/>
        <v/>
      </c>
      <c r="OZ5" s="43" t="str">
        <f t="shared" si="119"/>
        <v/>
      </c>
      <c r="PA5" s="43" t="str">
        <f t="shared" si="120"/>
        <v/>
      </c>
      <c r="PB5" s="43" t="str">
        <f t="shared" si="121"/>
        <v/>
      </c>
      <c r="PC5" s="43" t="str">
        <f t="shared" si="122"/>
        <v/>
      </c>
      <c r="PD5" s="43" t="str">
        <f t="shared" si="123"/>
        <v/>
      </c>
      <c r="PE5" s="43" t="str">
        <f t="shared" si="124"/>
        <v/>
      </c>
      <c r="PF5" s="43" t="str">
        <f t="shared" si="125"/>
        <v/>
      </c>
      <c r="PG5" s="43" t="str">
        <f t="shared" si="126"/>
        <v/>
      </c>
      <c r="PH5" s="43" t="str">
        <f t="shared" si="127"/>
        <v/>
      </c>
      <c r="PI5" s="43">
        <f t="shared" si="128"/>
        <v>39</v>
      </c>
      <c r="PJ5" s="43" t="str">
        <f t="shared" si="129"/>
        <v/>
      </c>
      <c r="PK5" s="43" t="str">
        <f t="shared" si="130"/>
        <v/>
      </c>
      <c r="PL5" s="43" t="str">
        <f t="shared" si="131"/>
        <v/>
      </c>
      <c r="PM5" s="43" t="str">
        <f t="shared" si="132"/>
        <v/>
      </c>
      <c r="PN5" s="43" t="str">
        <f t="shared" si="133"/>
        <v/>
      </c>
      <c r="PO5" s="43" t="str">
        <f t="shared" si="134"/>
        <v/>
      </c>
      <c r="PP5" s="43" t="str">
        <f t="shared" si="135"/>
        <v/>
      </c>
      <c r="PQ5" s="43" t="str">
        <f t="shared" si="136"/>
        <v/>
      </c>
      <c r="PR5" s="43" t="str">
        <f t="shared" si="137"/>
        <v/>
      </c>
      <c r="PS5" s="43" t="str">
        <f t="shared" si="138"/>
        <v/>
      </c>
      <c r="PT5" s="43" t="str">
        <f t="shared" si="139"/>
        <v/>
      </c>
      <c r="PU5" s="43" t="str">
        <f t="shared" si="140"/>
        <v/>
      </c>
      <c r="PV5" s="43" t="str">
        <f t="shared" si="141"/>
        <v/>
      </c>
      <c r="PW5" s="43" t="str">
        <f t="shared" si="142"/>
        <v/>
      </c>
      <c r="PX5" s="43" t="str">
        <f t="shared" si="143"/>
        <v/>
      </c>
      <c r="PY5" s="43" t="str">
        <f t="shared" si="144"/>
        <v/>
      </c>
      <c r="PZ5" s="43" t="str">
        <f t="shared" si="145"/>
        <v/>
      </c>
      <c r="QA5" s="43" t="str">
        <f t="shared" si="146"/>
        <v/>
      </c>
      <c r="QB5" s="43" t="str">
        <f t="shared" si="147"/>
        <v/>
      </c>
      <c r="QC5" s="43" t="str">
        <f t="shared" si="148"/>
        <v/>
      </c>
      <c r="QD5" s="43" t="str">
        <f t="shared" si="149"/>
        <v/>
      </c>
      <c r="QE5" s="43" t="str">
        <f t="shared" si="150"/>
        <v/>
      </c>
      <c r="QF5" s="43" t="str">
        <f t="shared" si="151"/>
        <v/>
      </c>
      <c r="QG5" s="43" t="str">
        <f t="shared" si="152"/>
        <v/>
      </c>
      <c r="QH5" s="43" t="str">
        <f t="shared" si="153"/>
        <v/>
      </c>
      <c r="QI5" s="43" t="str">
        <f t="shared" si="154"/>
        <v/>
      </c>
      <c r="QJ5" s="43" t="str">
        <f t="shared" si="155"/>
        <v/>
      </c>
      <c r="QK5" s="43" t="str">
        <f t="shared" si="156"/>
        <v/>
      </c>
      <c r="QL5" s="43" t="str">
        <f t="shared" si="157"/>
        <v/>
      </c>
      <c r="QM5" s="43" t="str">
        <f t="shared" si="158"/>
        <v/>
      </c>
      <c r="QN5" s="43" t="str">
        <f t="shared" si="159"/>
        <v/>
      </c>
      <c r="QO5" s="43" t="str">
        <f t="shared" si="160"/>
        <v/>
      </c>
      <c r="QP5" s="43" t="str">
        <f t="shared" si="161"/>
        <v/>
      </c>
      <c r="QQ5" s="43" t="str">
        <f t="shared" si="162"/>
        <v/>
      </c>
      <c r="QR5" s="43">
        <f t="shared" si="192"/>
        <v>39</v>
      </c>
      <c r="QS5" s="43"/>
      <c r="QT5" s="21" t="str">
        <f t="shared" si="163"/>
        <v/>
      </c>
      <c r="QU5" s="21" t="str">
        <f t="shared" si="164"/>
        <v/>
      </c>
      <c r="QV5" s="21" t="str">
        <f t="shared" si="165"/>
        <v/>
      </c>
      <c r="QW5" s="21" t="str">
        <f t="shared" si="166"/>
        <v/>
      </c>
      <c r="QX5" s="21" t="str">
        <f t="shared" si="167"/>
        <v/>
      </c>
      <c r="QY5" s="21" t="str">
        <f t="shared" si="168"/>
        <v/>
      </c>
      <c r="QZ5" s="21" t="str">
        <f t="shared" si="169"/>
        <v/>
      </c>
      <c r="RA5" s="21" t="str">
        <f t="shared" si="170"/>
        <v/>
      </c>
      <c r="RB5" s="21" t="str">
        <f t="shared" si="171"/>
        <v/>
      </c>
      <c r="RC5" s="21" t="str">
        <f t="shared" si="172"/>
        <v/>
      </c>
      <c r="RD5" s="21" t="str">
        <f t="shared" si="173"/>
        <v/>
      </c>
      <c r="RE5" s="21" t="str">
        <f t="shared" si="174"/>
        <v/>
      </c>
      <c r="RF5" s="21" t="str">
        <f t="shared" si="175"/>
        <v/>
      </c>
      <c r="RG5" s="21" t="str">
        <f t="shared" si="176"/>
        <v/>
      </c>
      <c r="RH5" s="21" t="str">
        <f t="shared" si="177"/>
        <v/>
      </c>
      <c r="RI5" s="21" t="str">
        <f t="shared" si="178"/>
        <v/>
      </c>
      <c r="RJ5" s="21" t="str">
        <f t="shared" si="179"/>
        <v/>
      </c>
      <c r="RK5" s="21" t="str">
        <f t="shared" si="180"/>
        <v/>
      </c>
      <c r="RL5" s="21" t="str">
        <f t="shared" si="181"/>
        <v/>
      </c>
      <c r="RM5" s="21" t="str">
        <f t="shared" si="182"/>
        <v/>
      </c>
      <c r="RN5" s="21" t="str">
        <f t="shared" si="183"/>
        <v/>
      </c>
      <c r="RO5" s="21" t="str">
        <f t="shared" si="184"/>
        <v/>
      </c>
      <c r="RP5" s="21" t="str">
        <f t="shared" si="185"/>
        <v/>
      </c>
      <c r="RQ5" s="21" t="str">
        <f t="shared" si="186"/>
        <v/>
      </c>
      <c r="RR5" s="21" t="str">
        <f t="shared" si="187"/>
        <v/>
      </c>
      <c r="RS5" s="21" t="str">
        <f t="shared" si="188"/>
        <v/>
      </c>
      <c r="RT5" s="21" t="str">
        <f t="shared" si="189"/>
        <v/>
      </c>
      <c r="RU5" s="21" t="str">
        <f t="shared" si="190"/>
        <v/>
      </c>
      <c r="RV5" s="21">
        <f t="shared" si="191"/>
        <v>-1</v>
      </c>
      <c r="RW5" s="284">
        <f>IF(OR(Tabla1[[#This Row],[FUM FORMULA CONFIABLE]]="",Tabla1[[#This Row],[FUM FORMULA CONFIABLE]]="SD"),"",IF(Tabla1[[#This Row],[FUM FORMULA CONFIABLE]]="CORREGIDA",Tabla1[[#This Row],[FUM X ECO 1]],Tabla1[[#This Row],[FUM x AMENORREA]]))</f>
        <v>44729</v>
      </c>
      <c r="RX5" s="21">
        <f>IF(AND(Tabla1[[#This Row],[FUM X ECO 1]]="",Tabla1[[#This Row],[FUM x AMENORREA]]=""),"",IF(AND(Tabla1[[#This Row],[FUM X ECO 1]]="",Tabla1[[#This Row],[FUM x AMENORREA]]&lt;&gt;""),"X",SUM(Tabla1[[#This Row],[FUM X ECO 1]]-Tabla1[[#This Row],[FUM x AMENORREA]])))</f>
        <v>0</v>
      </c>
      <c r="RY5" s="21">
        <f t="shared" si="193"/>
        <v>0</v>
      </c>
    </row>
    <row r="6" spans="1:493" ht="45" customHeight="1" x14ac:dyDescent="0.25">
      <c r="A6" s="109" t="s">
        <v>881</v>
      </c>
      <c r="B6" s="43" t="s">
        <v>882</v>
      </c>
      <c r="C6" s="43" t="s">
        <v>845</v>
      </c>
      <c r="D6" s="124" t="s">
        <v>846</v>
      </c>
      <c r="E6" s="43" t="s">
        <v>883</v>
      </c>
      <c r="F6" s="43" t="s">
        <v>884</v>
      </c>
      <c r="G6" s="43" t="s">
        <v>885</v>
      </c>
      <c r="H6" s="43" t="s">
        <v>850</v>
      </c>
      <c r="I6" s="109" t="s">
        <v>851</v>
      </c>
      <c r="J6" s="110">
        <v>1059594099</v>
      </c>
      <c r="K6" s="43" t="s">
        <v>852</v>
      </c>
      <c r="L6" s="175" t="s">
        <v>886</v>
      </c>
      <c r="M6" s="22">
        <v>37916</v>
      </c>
      <c r="N6" s="213">
        <f t="shared" ca="1" si="0"/>
        <v>20.043835616438358</v>
      </c>
      <c r="O6" s="22">
        <v>44768</v>
      </c>
      <c r="P6" s="214" t="str">
        <f t="shared" si="1"/>
        <v>SI</v>
      </c>
      <c r="Q6" s="26" t="s">
        <v>855</v>
      </c>
      <c r="R6" s="22">
        <v>44771</v>
      </c>
      <c r="S6" s="21" t="s">
        <v>856</v>
      </c>
      <c r="T6" s="24" t="s">
        <v>690</v>
      </c>
      <c r="U6" s="21" t="s">
        <v>857</v>
      </c>
      <c r="V6" s="21" t="s">
        <v>858</v>
      </c>
      <c r="W6" s="21" t="s">
        <v>887</v>
      </c>
      <c r="X6" s="21" t="s">
        <v>887</v>
      </c>
      <c r="Y6" s="21" t="s">
        <v>859</v>
      </c>
      <c r="Z6" s="21" t="s">
        <v>846</v>
      </c>
      <c r="AA6" s="21" t="s">
        <v>860</v>
      </c>
      <c r="AB6" s="27" t="s">
        <v>861</v>
      </c>
      <c r="AC6" s="26" t="s">
        <v>888</v>
      </c>
      <c r="AD6" s="21" t="s">
        <v>846</v>
      </c>
      <c r="AE6" s="26" t="s">
        <v>864</v>
      </c>
      <c r="AF6" s="26" t="s">
        <v>854</v>
      </c>
      <c r="AG6" s="23" t="s">
        <v>864</v>
      </c>
      <c r="AH6" s="23" t="s">
        <v>864</v>
      </c>
      <c r="AI6" s="24" t="s">
        <v>863</v>
      </c>
      <c r="AJ6" s="23" t="s">
        <v>864</v>
      </c>
      <c r="AK6" s="220" t="str">
        <f>IF(AND(AD6="",AE6="",AF6="",AG6="",AH6="",AI6="",AJ6=""),"",IF(OR(Tabla1[[#This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EVALUACIÓN",IF(AND(O6="",R6=""),"",IF(AND(OR(O6&gt;0,R6&gt;0),NG6&gt;=0,NG6&lt;2),"SIN RIESGO",IF(AND(OR(O6&gt;0,R6&gt;0),NG6&gt;=2),"CON RIESGO","ASD")))))</f>
        <v>SIN RIESGO</v>
      </c>
      <c r="AL6" s="23" t="s">
        <v>864</v>
      </c>
      <c r="AM6" s="26" t="s">
        <v>864</v>
      </c>
      <c r="AN6" s="26" t="s">
        <v>864</v>
      </c>
      <c r="AO6" s="26" t="s">
        <v>864</v>
      </c>
      <c r="AP6" s="26" t="s">
        <v>864</v>
      </c>
      <c r="AQ6" s="26" t="s">
        <v>864</v>
      </c>
      <c r="AR6" s="26" t="s">
        <v>864</v>
      </c>
      <c r="AS6" s="21">
        <v>0</v>
      </c>
      <c r="AT6" s="21">
        <v>0</v>
      </c>
      <c r="AU6" s="21">
        <v>0</v>
      </c>
      <c r="AV6" s="26" t="s">
        <v>864</v>
      </c>
      <c r="AW6" s="21">
        <v>0</v>
      </c>
      <c r="AX6" s="26" t="s">
        <v>864</v>
      </c>
      <c r="AY6" s="26" t="s">
        <v>864</v>
      </c>
      <c r="AZ6" s="26" t="s">
        <v>864</v>
      </c>
      <c r="BA6" s="26" t="s">
        <v>864</v>
      </c>
      <c r="BB6" s="26" t="s">
        <v>864</v>
      </c>
      <c r="BC6" s="26" t="s">
        <v>864</v>
      </c>
      <c r="BD6" s="26" t="s">
        <v>864</v>
      </c>
      <c r="BE6" s="203" t="s">
        <v>864</v>
      </c>
      <c r="BF6" s="26" t="s">
        <v>864</v>
      </c>
      <c r="BG6" s="26" t="s">
        <v>864</v>
      </c>
      <c r="BH6" s="26"/>
      <c r="BI6" s="26" t="s">
        <v>864</v>
      </c>
      <c r="BJ6" s="26"/>
      <c r="BK6" s="26"/>
      <c r="BL6" s="26"/>
      <c r="BM6" s="26" t="s">
        <v>864</v>
      </c>
      <c r="BN6" s="22"/>
      <c r="BO6" s="286">
        <v>44721</v>
      </c>
      <c r="BP6" s="21" t="s">
        <v>854</v>
      </c>
      <c r="BQ6" s="222">
        <f t="shared" si="2"/>
        <v>0</v>
      </c>
      <c r="BR6" s="223">
        <f t="shared" si="3"/>
        <v>44721.3</v>
      </c>
      <c r="BS6" s="224">
        <f t="shared" si="4"/>
        <v>7.1428571428571432</v>
      </c>
      <c r="BT6" s="216" t="str">
        <f t="shared" si="5"/>
        <v>I TRIM</v>
      </c>
      <c r="BU6" s="214" t="str">
        <f t="shared" ca="1" si="6"/>
        <v/>
      </c>
      <c r="BV6" s="25"/>
      <c r="BW6" s="22">
        <v>44771</v>
      </c>
      <c r="BX6" s="28">
        <v>7.1</v>
      </c>
      <c r="BY6" s="28"/>
      <c r="BZ6" s="22">
        <v>44960</v>
      </c>
      <c r="CA6" s="21">
        <v>33.4</v>
      </c>
      <c r="CB6" s="26" t="s">
        <v>864</v>
      </c>
      <c r="CC6" s="26" t="s">
        <v>864</v>
      </c>
      <c r="CD6" s="26" t="s">
        <v>878</v>
      </c>
      <c r="CE6" s="26" t="s">
        <v>864</v>
      </c>
      <c r="CF6" s="22">
        <v>44771</v>
      </c>
      <c r="CG6" s="21">
        <v>1.46</v>
      </c>
      <c r="CH6" s="21">
        <v>45</v>
      </c>
      <c r="CI6" s="214">
        <f t="shared" si="7"/>
        <v>21.110902608369305</v>
      </c>
      <c r="CJ6" s="225" t="str">
        <f>IF(AND(CI6&lt;10,CH6="SD"),"SIN DATO PESO PREGESTACION O I TRIM",IF(AND(OR(R6&gt;0,O6&gt;0),CI6="X"),"INGRESAR DATO DE PESO",IF(CI6="SD","INGRESAR DATO DE TALLA Y PESO",IF(AND(OR(Tabla1[[#This Row],[MOMENTO EN QUE SE REALIZA EL PESO AL INGRESO A CPN]]="PREGESTACIÓN",NZ6="Menor"),CI6&lt;18.5),"BAJO PESO",IF(AND(OR(Tabla1[[#This Row],[MOMENTO EN QUE SE REALIZA EL PESO AL INGRESO A CPN]]="PREGESTACIÓN",NZ6="Menor"),CI6&lt;25),"NORMAL",IF(AND(OR(Tabla1[[#This Row],[MOMENTO EN QUE SE REALIZA EL PESO AL INGRESO A CPN]]="PREGESTACIÓN",NZ6="Menor"),CI6&lt;30),"SOBREPESO",IF(AND(OR(Tabla1[[#This Row],[MOMENTO EN QUE SE REALIZA EL PESO AL INGRESO A CPN]]="PREGESTACIÓN",NZ6="Menor"),CI6&gt;=30,CI6&lt;50),"OBESIDAD",IF(AND(BS6&gt;0,Tabla1[[#This Row],[MOMENTO EN QUE SE REALIZA EL PESO AL INGRESO A CPN]]="GESTACIÓN"),HLOOKUP(NZ6,$OA$2:PH6,NY6),""))))))))</f>
        <v>NORMAL</v>
      </c>
      <c r="CK6" s="212">
        <f t="shared" si="8"/>
        <v>44960</v>
      </c>
      <c r="CL6" s="21"/>
      <c r="CM6" s="214">
        <f t="shared" si="9"/>
        <v>0</v>
      </c>
      <c r="CN6" s="216">
        <f t="shared" si="10"/>
        <v>34</v>
      </c>
      <c r="CO6" s="216" t="e">
        <f>IF(PI6="","",IF(PI6&gt;0,HLOOKUP(PI6,$PJ$2:QQ6,NY6),""))</f>
        <v>#REF!</v>
      </c>
      <c r="CP6" s="21"/>
      <c r="CQ6" s="216" t="e">
        <f>IF(QR6="Menor","NO APLICA-MENOR 13 SEM",IF(AND(CC6="SI",CN6&gt;23),"NO APLICA- GEMELAR",IF(QR6="","",IF(QR6&gt;0,HLOOKUP(QR6,$QS$2:RU6,NY6),""))))</f>
        <v>#REF!</v>
      </c>
      <c r="CR6" s="21">
        <v>100</v>
      </c>
      <c r="CS6" s="21">
        <v>60</v>
      </c>
      <c r="CT6" s="217" t="str">
        <f>IF(R6="","",IF(AND(BS6&gt;1,BS6&lt;12,Tabla1[[#This Row],[T.A. SISTOLICA - ANTES DE SEMANA 12]]="",Tabla1[[#This Row],[T.A. DIASTOLICA - ANTES DE SEMANA 12]]=""),"REGISTRE DATO TA ANTES SEMANA 12",IF(AND(BS6&gt;11,BS6&lt;43,Tabla1[[#This Row],[T.A. SISTOLICA - ANTES DE SEMANA 12]]="",Tabla1[[#This Row],[T.A. DIASTOLICA - ANTES DE SEMANA 12]]=""),"NO APLICA REGISTRO TA-INGRESO TARDIO",IF(AND(OR(O6&gt;0,R6&gt;0),OR(CR6&gt;=140,CS6&gt;=90)),"DEFINIR ESTADIO HTA",IF(AND(OR(O6&gt;0,R6&gt;0),AND(CR6&gt;120,CR6&lt;=139)),"PRE HTA SEGUIMIENTO",IF(AND(OR(O6&gt;0,R6&gt;0),AND(CS6&gt;80,CS6&lt;=89)),"PRE HTA SEGUIMIENTO",IF(AND(OR(O6&gt;0,R6&gt;0),AND(CR6&gt;=80,CR6&lt;=120)),"APARENTEMENTE NORMAL",IF(AND(OR(O6&gt;0,R6&gt;0),AND(CS6&gt;=50,CS6&lt;=80)),"APARENTEMENTE NORMAL",IF(AND(OR(O6&gt;0,R6&gt;0),AND(CR6&gt;1,CR6&lt;=70),AND(CS6&gt;1,CS6&lt;=40)),"HIPOTENSIÓN","")))))))))</f>
        <v>APARENTEMENTE NORMAL</v>
      </c>
      <c r="CU6" s="21">
        <v>120</v>
      </c>
      <c r="CV6" s="21">
        <v>60</v>
      </c>
      <c r="CW6" s="217" t="str">
        <f ca="1">IF(R6="","",IF(AND(CN6&gt;19,CN6&lt;27,Tabla1[[#This Row],[T.A. SISTOLICA (Entre semana 20 y 26)]]="",Tabla1[[#This Row],[T.A. DIATOLICA (Entre semana 20 y 26)]]=""),"ACUDE A CONTROL SEM 20 A 26 REGISTRE TA AHORA",IF(AND(BS6&gt;1,BS6&lt;27,BU6&gt;19,Tabla1[[#This Row],[T.A. SISTOLICA (Entre semana 20 y 26)]]="",Tabla1[[#This Row],[T.A. DIATOLICA (Entre semana 20 y 26)]]=""),"COMPLETE REGISTRO TA CONTROL SEM 20 A26 ",IF(AND(BS6&gt;26,BS6&lt;43,Tabla1[[#This Row],[T.A. SISTOLICA (Entre semana 20 y 26)]]="",Tabla1[[#This Row],[T.A. DIATOLICA (Entre semana 20 y 26)]]=""),"NO APLICA REGISTRO TA-INGRESO TARDIO",IF(AND(OR(O6&gt;0,R6&gt;0),OR(CU6&gt;=140,CV6&gt;=90)),"ALTO RIESGO PREECLAMPSIA,DEFINIR ESTADIO HTA",IF(AND(OR(O6&gt;0,R6&gt;0),AND(CU6&gt;120,CU6&lt;=139)),"PRE HTA SEGUIMIENTO,RIESGO HIPERTENSION INDUCIDA POR EL EMBARAZO",IF(AND(OR(O6&gt;0,R6&gt;0),AND(CV6&gt;80,CV6&lt;=89)),"PRE HTA SEGUIMIENTO, RIESGO HIPERTENSION INDUCIDA POR EL EMBARAZO",IF(AND(OR(O6&lt;&gt;"",R6&lt;&gt;""),CS6&lt;&gt;"",CV6&lt;&gt;"",CS6&lt;=CV6),"VIGILAR CIFRAS PRESION ARTERIAL",IF(AND(OR(O6&gt;0,R6&gt;0),AND(CU6&gt;120,CU6&lt;=139)),"PRE HTA SEGUIMIENTO",IF(AND(OR(O6&gt;0,R6&gt;0),AND(CU6&gt;1,CU6&lt;=70),AND(CV6&gt;1,CV6&lt;=40)),"HIPOTENSIÓN",IF(AND(OR(O6&lt;&gt;"",R6&lt;&gt;""),CS6&lt;&gt;"",CV6&lt;&gt;"",CS6&gt;CV6),"APARENTEMENTE NORMAL",IF(AND(OR(O6&gt;0,R6&gt;0),AND(CU6&gt;=80,CU6&lt;=120)),"APARENTEMENTE NORMAL",IF(AND(OR(O6&gt;0,R6&gt;0),AND(CV6&gt;=50,CV6&lt;=80)),"APARENTEMENTE NORMAL","")))))))))))))</f>
        <v>VIGILAR CIFRAS PRESION ARTERIAL</v>
      </c>
      <c r="CX6" s="21">
        <v>100</v>
      </c>
      <c r="CY6" s="21">
        <v>60</v>
      </c>
      <c r="CZ6" s="216" t="str">
        <f t="shared" si="11"/>
        <v>APARENTEMENTE NORMAL</v>
      </c>
      <c r="DA6" s="21"/>
      <c r="DB6" s="21"/>
      <c r="DC6" s="217" t="str">
        <f t="shared" si="12"/>
        <v>REGISTRE DATO PRESIÓN ARTERIAL MENSUAL</v>
      </c>
      <c r="DD6" s="22">
        <v>44771</v>
      </c>
      <c r="DE6" s="22">
        <v>44771</v>
      </c>
      <c r="DF6" s="22">
        <v>44819</v>
      </c>
      <c r="DG6" s="22">
        <v>44862</v>
      </c>
      <c r="DH6" s="22">
        <v>44922</v>
      </c>
      <c r="DI6" s="22">
        <v>44960</v>
      </c>
      <c r="DJ6" s="22"/>
      <c r="DK6" s="22"/>
      <c r="DL6" s="22"/>
      <c r="DM6" s="22"/>
      <c r="DN6" s="22"/>
      <c r="DO6" s="22"/>
      <c r="DP6" s="22"/>
      <c r="DQ6" s="22"/>
      <c r="DR6" s="28">
        <v>2</v>
      </c>
      <c r="DS6" s="22"/>
      <c r="DT6" s="22"/>
      <c r="DU6" s="216" t="str">
        <f t="shared" ca="1" si="13"/>
        <v>SALE SIN PLAN DE PARTO</v>
      </c>
      <c r="DV6" s="226" t="str">
        <f t="shared" si="14"/>
        <v>SALIO PROGRAMA</v>
      </c>
      <c r="DW6"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6" s="216" t="str">
        <f t="shared" ca="1" si="15"/>
        <v/>
      </c>
      <c r="DY6" s="212">
        <f>IF(R6="","",IF(R6&gt;0,MAX(Tabla1[[#This Row],[FECHA C2]:[FECHA C13]],Tabla1[[#This Row],[FECHA CONSULTA PRIMERA VEZ PROGRAMA CPN ]])))</f>
        <v>44960</v>
      </c>
      <c r="DZ6" s="216">
        <f t="shared" si="16"/>
        <v>34</v>
      </c>
      <c r="EA6" s="222">
        <f>IF(R6&gt;0,SUM(COUNTA(DF6:DQ6)+COUNTA(Tabla1[[#This Row],[FECHA CONSULTA PRIMERA VEZ PROGRAMA CPN ]])),"")</f>
        <v>5</v>
      </c>
      <c r="EB6" s="222" t="str">
        <f t="shared" si="17"/>
        <v>SI</v>
      </c>
      <c r="EC6" s="214">
        <f t="shared" si="18"/>
        <v>10</v>
      </c>
      <c r="ED6" s="227">
        <f t="shared" si="19"/>
        <v>0.5</v>
      </c>
      <c r="EE6" s="22">
        <v>44771</v>
      </c>
      <c r="EF6" s="22">
        <v>44775</v>
      </c>
      <c r="EG6" s="22" t="s">
        <v>889</v>
      </c>
      <c r="EH6" s="22"/>
      <c r="EI6" s="22">
        <v>44771</v>
      </c>
      <c r="EJ6" s="22"/>
      <c r="EK6" s="22"/>
      <c r="EL6" s="21"/>
      <c r="EM6" s="21">
        <v>12.9</v>
      </c>
      <c r="EN6" s="22">
        <v>44774</v>
      </c>
      <c r="EO6" s="222">
        <f t="shared" si="20"/>
        <v>7.5714285714285712</v>
      </c>
      <c r="EP6" s="214" t="str">
        <f t="shared" si="21"/>
        <v>NORMAL- SUMINISTRAR SULFATO FERROSO</v>
      </c>
      <c r="EQ6" s="216" t="str">
        <f t="shared" si="22"/>
        <v>I TRIM</v>
      </c>
      <c r="ER6" s="24"/>
      <c r="ES6" s="22"/>
      <c r="ET6" s="29" t="str">
        <f t="shared" ca="1" si="23"/>
        <v>SALE SIN TAMIZAJE HEMOGLOBINA SEM 28</v>
      </c>
      <c r="EU6" s="25" t="str">
        <f t="shared" si="24"/>
        <v/>
      </c>
      <c r="EV6" s="24" t="s">
        <v>866</v>
      </c>
      <c r="EW6" s="24">
        <v>44774</v>
      </c>
      <c r="EX6" s="22"/>
      <c r="EY6" s="29">
        <f t="shared" si="25"/>
        <v>7.5714285714285712</v>
      </c>
      <c r="EZ6" s="25" t="str">
        <f t="shared" ca="1" si="26"/>
        <v/>
      </c>
      <c r="FA6" s="21">
        <v>96</v>
      </c>
      <c r="FB6" s="22">
        <v>44774</v>
      </c>
      <c r="FC6" s="29">
        <f t="shared" si="27"/>
        <v>7.5714285714285712</v>
      </c>
      <c r="FD6" s="29"/>
      <c r="FE6" s="29"/>
      <c r="FF6" s="29"/>
      <c r="FG6" s="21" t="str">
        <f t="shared" ca="1" si="28"/>
        <v/>
      </c>
      <c r="FH6" s="31"/>
      <c r="FI6" s="29" t="str">
        <f t="shared" si="29"/>
        <v>TOMAR EXAMEN</v>
      </c>
      <c r="FJ6" s="22" t="s">
        <v>867</v>
      </c>
      <c r="FK6" s="22">
        <v>44774</v>
      </c>
      <c r="FL6" s="29">
        <f t="shared" ca="1" si="30"/>
        <v>7.5714285714285712</v>
      </c>
      <c r="FM6" s="22"/>
      <c r="FN6" s="32"/>
      <c r="FO6" s="29" t="str">
        <f t="shared" ca="1" si="31"/>
        <v>PIERDE TOMA DE TAMIZAJE</v>
      </c>
      <c r="FP6" s="22"/>
      <c r="FQ6" s="32"/>
      <c r="FR6" s="29" t="str">
        <f t="shared" ca="1" si="32"/>
        <v>PIERDE TOMA DE TAMIZAJE</v>
      </c>
      <c r="FS6" s="22"/>
      <c r="FT6" s="32"/>
      <c r="FU6" s="29" t="str">
        <f>IF(AND(FJ6="",FM6="",FP6="",FS6=""),"",IF(OR(OR(Tabla1[[#This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6" s="28"/>
      <c r="FW6" s="22"/>
      <c r="FX6" s="29" t="str">
        <f t="shared" si="33"/>
        <v>TOMAR EXAMEN</v>
      </c>
      <c r="FY6" s="22">
        <v>44771</v>
      </c>
      <c r="FZ6" s="22">
        <v>44771</v>
      </c>
      <c r="GA6" s="29">
        <f t="shared" ca="1" si="34"/>
        <v>7.1428571428571432</v>
      </c>
      <c r="GB6" s="22"/>
      <c r="GC6" s="22"/>
      <c r="GD6" s="29" t="str">
        <f t="shared" ca="1" si="35"/>
        <v>PIERDE TOMA DE TAMIZAJE</v>
      </c>
      <c r="GE6" s="22"/>
      <c r="GF6" s="22"/>
      <c r="GG6" s="29" t="str">
        <f t="shared" ca="1" si="36"/>
        <v>PIERDE TOMA DE TAMIZAJE</v>
      </c>
      <c r="GH6" s="22"/>
      <c r="GI6" s="29"/>
      <c r="GJ6" s="22"/>
      <c r="GK6" s="22"/>
      <c r="GL6" s="22" t="s">
        <v>879</v>
      </c>
      <c r="GM6" s="22"/>
      <c r="GN6" s="28" t="s">
        <v>869</v>
      </c>
      <c r="GO6" s="22">
        <v>44774</v>
      </c>
      <c r="GP6" s="29">
        <f t="shared" si="37"/>
        <v>7.5714285714285712</v>
      </c>
      <c r="GQ6" s="28" t="s">
        <v>869</v>
      </c>
      <c r="GR6" s="28" t="s">
        <v>869</v>
      </c>
      <c r="GS6" s="22" t="str">
        <f t="shared" si="38"/>
        <v>CONTROL Igm</v>
      </c>
      <c r="GT6" s="22">
        <v>44774</v>
      </c>
      <c r="GU6" s="29">
        <f t="shared" si="39"/>
        <v>7.5714285714285712</v>
      </c>
      <c r="GV6" s="21" t="str">
        <f t="shared" si="40"/>
        <v>I TRIM</v>
      </c>
      <c r="GW6" s="28" t="s">
        <v>869</v>
      </c>
      <c r="GX6" s="30"/>
      <c r="GY6" s="21"/>
      <c r="GZ6" s="21"/>
      <c r="HA6" s="21"/>
      <c r="HB6" s="21"/>
      <c r="HC6" s="21"/>
      <c r="HD6" s="21"/>
      <c r="HE6" s="21"/>
      <c r="HF6" s="22"/>
      <c r="HG6" s="22" t="str">
        <f>IF(OR(O6&gt;0,R6&gt;0),CONCATENATE(IF(Tabla1[[#This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6" s="22" t="e">
        <f t="shared" si="41"/>
        <v>#REF!</v>
      </c>
      <c r="HI6" s="22" t="e">
        <f t="shared" ca="1" si="42"/>
        <v>#REF!</v>
      </c>
      <c r="HJ6" s="21" t="str">
        <f t="shared" ca="1" si="43"/>
        <v>**********************MULTIPARIDAD*****************</v>
      </c>
      <c r="HK6" s="21" t="str">
        <f t="shared" si="44"/>
        <v>SIN ANTECEDENTES DE RIESGO</v>
      </c>
      <c r="HL6" s="24" t="str">
        <f t="shared" si="45"/>
        <v>REGISTRE DATO PRESIÓN ARTERIAL MENSUAL</v>
      </c>
      <c r="HM6" s="21" t="str">
        <f t="shared" ca="1" si="46"/>
        <v/>
      </c>
      <c r="HN6" s="30" t="str">
        <f t="shared" si="47"/>
        <v>SALIO PROGRAMA</v>
      </c>
      <c r="HO6" s="21"/>
      <c r="HP6" s="21"/>
      <c r="HQ6" s="22">
        <v>44771</v>
      </c>
      <c r="HR6" s="21" t="str">
        <f>IF(R6="","",IF(Tabla1[[#This Row],[ALARMA FACTORES DE RIESGO COMPLICACIONES HIPERTENSIVAS3]]="SIN ANTECEDENTES DE RIESGO","No Aplica para suministro de ASA",IF(AND(Tabla1[[#This Row],[FECHA INICIO DE SUMINISTRO DE ASA]]&gt;0,RV6&lt;12),"Inicia ASA ANTES de Sem 12",IF(AND(RV6&gt;11,RV6&lt;17,OR(HK6="RIESGO ALTO DE COMPLICACIONES HIPERTENSIVAS VER MANEJO GUIA SUMINISTRO ASA Y CALCIO",HK6="RIESGO MODERADO (2 O MAS CRITERIOS) VER MANEJO GUIA SUMINISTRO ASA Y CALCIO")),"Inicio oportuno de ASA",IF(AND(RV6&gt;12,OR(HK6="RIESGO ALTO DE COMPLICACIONES HIPERTENSIVAS VER MANEJO GUIA SUMINISTRO ASA Y CALCIO",HK6="RIESGO MODERADO (2 O MAS CRITERIOS) VER MANEJO GUIA SUMINISTRO ASA Y CALCIO")),"Inicio no oportuno mayor a 16 semanas",IF(AND(BU6&lt;12,OR(HK6="RIESGO ALTO DE COMPLICACIONES HIPERTENSIVAS VER MANEJO GUIA SUMINISTRO ASA Y CALCIO",HK6="RIESGO MODERADO (2 O MAS CRITERIOS) VER MANEJO GUIA SUMINISTRO ASA Y CALCIO")),"Pendiente Inicio de ASA a la semana 12",IF(AND(BU6&gt;11,BU6&lt;17,OR(HK6="RIESGO ALTO DE COMPLICACIONES HIPERTENSIVAS VER MANEJO GUIA SUMINISTRO ASA Y CALCIO",HK6="RIESGO MODERADO (2 O MAS CRITERIOS) VER MANEJO GUIA SUMINISTRO ASA Y CALCIO")),"Iniciar de inmediato ASA",IF(AND(BU6&gt;16,OR(HK6="RIESGO ALTO DE COMPLICACIONES HIPERTENSIVAS VER MANEJO GUIA SUMINISTRO ASA Y CALCIO",HK6="RIESGO MODERADO (2 O MAS CRITERIOS) VER MANEJO GUIA SUMINISTRO ASA Y CALCIO")),"Pierde Oportunidad, Inicio tardío de ASA","XXXXX"))))))))</f>
        <v>No Aplica para suministro de ASA</v>
      </c>
      <c r="HS6" s="22">
        <v>44771</v>
      </c>
      <c r="HT6" s="22" t="s">
        <v>870</v>
      </c>
      <c r="HU6" s="22"/>
      <c r="HV6" s="22"/>
      <c r="HW6" s="22">
        <v>44771</v>
      </c>
      <c r="HX6" s="22" t="s">
        <v>870</v>
      </c>
      <c r="HY6" s="22">
        <v>44771</v>
      </c>
      <c r="HZ6" s="28">
        <f t="shared" si="48"/>
        <v>7.1428571428571432</v>
      </c>
      <c r="IA6" s="26"/>
      <c r="IB6" s="26"/>
      <c r="IC6" s="111"/>
      <c r="ID6" s="22"/>
      <c r="IE6" s="22" t="str">
        <f t="shared" ca="1" si="49"/>
        <v>SALE SIN VACUNA</v>
      </c>
      <c r="IF6" s="22"/>
      <c r="IG6" s="22">
        <f t="shared" si="50"/>
        <v>45001</v>
      </c>
      <c r="IH6" s="29">
        <f t="shared" ca="1" si="51"/>
        <v>-231</v>
      </c>
      <c r="II6" s="22" t="str">
        <f t="shared" ca="1" si="52"/>
        <v>POSIBLEMENTE NACIO</v>
      </c>
      <c r="IJ6" s="22"/>
      <c r="IK6" s="21" t="s">
        <v>898</v>
      </c>
      <c r="IL6" s="21"/>
      <c r="IM6" s="34"/>
      <c r="IN6" s="349">
        <v>45011</v>
      </c>
      <c r="IO6" s="21" t="s">
        <v>1640</v>
      </c>
      <c r="IP6" s="29">
        <f t="shared" si="53"/>
        <v>41.428571428571431</v>
      </c>
      <c r="IQ6" s="35"/>
      <c r="IR6" s="21" t="s">
        <v>879</v>
      </c>
      <c r="IS6" s="21" t="s">
        <v>1648</v>
      </c>
      <c r="IT6" s="21" t="s">
        <v>1642</v>
      </c>
      <c r="IU6" s="21"/>
      <c r="IV6" s="21"/>
      <c r="IW6" s="21"/>
      <c r="IX6" s="21"/>
      <c r="IY6" s="21"/>
      <c r="IZ6" s="21"/>
      <c r="JA6" s="21"/>
      <c r="JB6" s="30">
        <v>1</v>
      </c>
      <c r="JC6" s="21" t="s">
        <v>1643</v>
      </c>
      <c r="JD6" s="36">
        <v>3500</v>
      </c>
      <c r="JE6" s="21" t="str">
        <f t="shared" si="54"/>
        <v>PESO ADECUADO EDAD GESTACIONAL</v>
      </c>
      <c r="JF6" s="30"/>
      <c r="JG6" s="21"/>
      <c r="JH6" s="21"/>
      <c r="JI6" s="21"/>
      <c r="JJ6" s="30"/>
      <c r="JK6" s="22"/>
      <c r="JL6" s="22"/>
      <c r="JM6" s="21"/>
      <c r="JN6" s="36"/>
      <c r="JO6" s="21" t="str">
        <f t="shared" si="55"/>
        <v/>
      </c>
      <c r="JP6" s="22"/>
      <c r="JQ6" s="21"/>
      <c r="JR6" s="21"/>
      <c r="JS6" s="21"/>
      <c r="JT6" s="30"/>
      <c r="JU6" s="22"/>
      <c r="JV6" s="22"/>
      <c r="JW6" s="33"/>
      <c r="JX6" s="28" t="str">
        <f t="shared" si="56"/>
        <v>INASISTENTE</v>
      </c>
      <c r="JY6" s="33"/>
      <c r="JZ6" s="28" t="str">
        <f t="shared" si="57"/>
        <v>INASISTENTE</v>
      </c>
      <c r="KA6" s="21"/>
      <c r="KB6" s="21"/>
      <c r="KC6" s="21"/>
      <c r="KD6" s="37"/>
      <c r="KE6" s="28"/>
      <c r="KF6" s="28"/>
      <c r="KG6" s="28"/>
      <c r="KH6" s="39"/>
      <c r="KI6" s="39"/>
      <c r="KJ6" s="66"/>
      <c r="KK6" s="39"/>
      <c r="KL6" s="39"/>
      <c r="KM6" s="66"/>
      <c r="KN6" s="39"/>
      <c r="KO6" s="39"/>
      <c r="KP6" s="39"/>
      <c r="KQ6" s="39"/>
      <c r="KR6" s="39"/>
      <c r="KS6" s="39"/>
      <c r="KT6" s="39"/>
      <c r="KU6" s="38"/>
      <c r="KV6" s="38"/>
      <c r="KW6" s="38"/>
      <c r="KX6" s="38"/>
      <c r="KY6" s="38"/>
      <c r="KZ6" s="38"/>
      <c r="LA6" s="38"/>
      <c r="LB6" s="38"/>
      <c r="LC6" s="38"/>
      <c r="LD6" s="38"/>
      <c r="LE6" s="38"/>
      <c r="LF6" s="38"/>
      <c r="LG6" s="38"/>
      <c r="LH6" s="38"/>
      <c r="LI6" s="38"/>
      <c r="LJ6" s="38"/>
      <c r="LK6" s="38"/>
      <c r="LL6" s="38"/>
      <c r="LM6" s="38"/>
      <c r="LN6" s="38"/>
      <c r="LO6" s="38"/>
      <c r="LP6" s="38"/>
      <c r="LQ6" s="38"/>
      <c r="LR6" s="38"/>
      <c r="LS6" s="38"/>
      <c r="LT6" s="38"/>
      <c r="LU6" s="38"/>
      <c r="LV6" s="38"/>
      <c r="LW6" s="38"/>
      <c r="LX6" s="38"/>
      <c r="LY6" s="38"/>
      <c r="LZ6" s="38"/>
      <c r="MA6" s="38"/>
      <c r="MB6" s="38"/>
      <c r="MC6" s="38"/>
      <c r="MD6" s="38"/>
      <c r="ME6" s="38"/>
      <c r="MF6" s="38"/>
      <c r="MG6" s="38"/>
      <c r="MH6" s="43">
        <f t="shared" si="58"/>
        <v>0</v>
      </c>
      <c r="MI6" s="43" t="str">
        <f t="shared" si="59"/>
        <v/>
      </c>
      <c r="MJ6" s="43" t="str">
        <f t="shared" si="60"/>
        <v/>
      </c>
      <c r="MK6" s="43">
        <f t="shared" si="61"/>
        <v>0</v>
      </c>
      <c r="ML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3</v>
      </c>
      <c r="MM6" s="43">
        <f t="shared" si="62"/>
        <v>6.7142857142857144</v>
      </c>
      <c r="MN6" s="43">
        <f t="shared" si="63"/>
        <v>7</v>
      </c>
      <c r="MO6" s="43">
        <f t="shared" si="64"/>
        <v>2022</v>
      </c>
      <c r="MP6" s="43" t="str">
        <f t="shared" si="65"/>
        <v>III TRIMESTRE AÑO</v>
      </c>
      <c r="MQ6" s="43">
        <f t="shared" si="66"/>
        <v>18.498138414367059</v>
      </c>
      <c r="MR6" s="43">
        <f t="shared" si="67"/>
        <v>0</v>
      </c>
      <c r="MS6" s="43" t="str">
        <f t="shared" si="68"/>
        <v>DE 14 A 19AÑOS</v>
      </c>
      <c r="MT6" s="43">
        <f t="shared" si="69"/>
        <v>0</v>
      </c>
      <c r="MU6" s="43">
        <f t="shared" si="70"/>
        <v>1</v>
      </c>
      <c r="MV6" s="43">
        <f t="shared" si="71"/>
        <v>0</v>
      </c>
      <c r="MW6" s="43">
        <f t="shared" si="72"/>
        <v>0</v>
      </c>
      <c r="MX6" s="43" t="str">
        <f t="shared" si="73"/>
        <v/>
      </c>
      <c r="MY6" s="43" t="str">
        <f t="shared" ca="1" si="74"/>
        <v/>
      </c>
      <c r="MZ6" s="43" t="str">
        <f t="shared" si="75"/>
        <v/>
      </c>
      <c r="NA6" s="43">
        <f t="shared" si="76"/>
        <v>0</v>
      </c>
      <c r="NB6" s="43" t="str">
        <f t="shared" si="77"/>
        <v/>
      </c>
      <c r="NC6" s="43" t="str">
        <f t="shared" si="78"/>
        <v/>
      </c>
      <c r="ND6" s="43">
        <f t="shared" ca="1" si="79"/>
        <v>1.5</v>
      </c>
      <c r="NE6" s="43">
        <f>IF(OR(O6&gt;0,R6&gt;0),SUM(COUNTIF(Tabla1[[#This Row],[AÑOS AL INICIO5 CPN]],"&gt;=40"),COUNTIF(AS6,"0"),COUNTIF(AR6,"SI"),COUNTIF(CC6,"SI"),COUNTIF(BQ6,"&gt;119"),COUNTIF(CI6,"&gt;=35")),"")</f>
        <v>1</v>
      </c>
      <c r="NF6" s="43" t="str">
        <f t="shared" si="80"/>
        <v/>
      </c>
      <c r="NG6" s="43">
        <f t="shared" si="81"/>
        <v>0.5</v>
      </c>
      <c r="NH6" s="43">
        <f t="shared" si="82"/>
        <v>49.699999999999996</v>
      </c>
      <c r="NI6"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CPN",P6="NO"),"Z",IF(AND(Tabla1[[#This Row],[CITA PROXIMO CONTROL]]="CITA MANUAL",Tabla1[[#This Row],[GESTANTES ACTUALES]]="ACTIVA INGRESO A CPN"),"W",IF(AND(Tabla1[[#This Row],[GESTANTES ACTUALES]]="SALIO PROGRAMA",IN6=""),"S",IF(AND(Tabla1[[#This Row],[CITA PROXIMO CONTROL]]&gt;0,IN6=""),(Tabla1[[#This Row],[CITA PROXIMO CONTROL]]-TODAY()),"SD"))))))))</f>
        <v>SD</v>
      </c>
      <c r="NJ6" s="43">
        <f>MONTH(Tabla1[[#This Row],[FECHA DE SALIDA  DEL PROGRAMA]])</f>
        <v>3</v>
      </c>
      <c r="NK6" s="43">
        <f>YEAR(Tabla1[[#This Row],[FECHA DE SALIDA  DEL PROGRAMA]])</f>
        <v>2023</v>
      </c>
      <c r="NL6" s="43" t="str">
        <f t="shared" si="83"/>
        <v>X</v>
      </c>
      <c r="NM6" s="43" t="str">
        <f t="shared" si="84"/>
        <v>NO</v>
      </c>
      <c r="NN6" s="43" t="str">
        <f ca="1">IF(AND(O6&gt;0,R6=""),"NO CPN",IF(AND(O6="",R6=""),"",IF(AND(R6&gt;0,Tabla1[[#This Row],[SEMANAS DE GESTACION ACTUALIZADAS]]&lt;=12),"NO APLICA",IF(AND(FH6&lt;&gt;"",FN6&lt;&gt;""),"SI","NO"))))</f>
        <v>NO</v>
      </c>
      <c r="NO6" s="43" t="str">
        <f ca="1">IF(AND(O6&gt;0,R6=""),"NO CPN",IF(AND(O6="",R6=""),"",IF(AND(R6&gt;0,Tabla1[[#This Row],[SEMANAS DE GESTACION ACTUALIZADAS]]&lt;=27),"NO APLICA",IF(AND(ES6&lt;&gt;"",FQ6&lt;&gt;"",GF6&lt;&gt;""),"SI","NO"))))</f>
        <v>NO</v>
      </c>
      <c r="NP6" s="204" t="str">
        <f t="shared" si="85"/>
        <v>I TRIM</v>
      </c>
      <c r="NQ6" s="21">
        <f t="shared" si="86"/>
        <v>3</v>
      </c>
      <c r="NR6" s="21">
        <f t="shared" si="87"/>
        <v>3</v>
      </c>
      <c r="NS6" s="205">
        <f t="shared" ca="1" si="88"/>
        <v>1</v>
      </c>
      <c r="NT6" s="21">
        <f t="shared" ca="1" si="89"/>
        <v>1</v>
      </c>
      <c r="NU6" s="21" t="str">
        <f t="shared" ca="1" si="90"/>
        <v>INCOMPLETO</v>
      </c>
      <c r="NV6" s="21" t="str">
        <f t="shared" ca="1" si="91"/>
        <v>INCOMPLETO</v>
      </c>
      <c r="NW6" s="206" t="str">
        <f>IF(AND(O6="",R6=""),"",IF(OR(AND(Tabla1[[#This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6" s="207" t="str">
        <f t="shared" ca="1" si="92"/>
        <v>SIN VACUNAR</v>
      </c>
      <c r="NY6" s="43">
        <f>ROW(Tabla1[[#This Row],['# DE TAMIZAJES SIFILIS TOMADOS ]])</f>
        <v>6</v>
      </c>
      <c r="NZ6" s="43" t="str">
        <f t="shared" si="93"/>
        <v>Menor</v>
      </c>
      <c r="OA6" s="43" t="str">
        <f t="shared" si="94"/>
        <v>NORMAL</v>
      </c>
      <c r="OB6" s="43" t="str">
        <f t="shared" si="95"/>
        <v/>
      </c>
      <c r="OC6" s="43" t="str">
        <f t="shared" si="96"/>
        <v/>
      </c>
      <c r="OD6" s="43" t="str">
        <f t="shared" si="97"/>
        <v/>
      </c>
      <c r="OE6" s="43" t="str">
        <f t="shared" si="98"/>
        <v/>
      </c>
      <c r="OF6" s="43" t="str">
        <f t="shared" si="99"/>
        <v/>
      </c>
      <c r="OG6" s="43" t="str">
        <f t="shared" si="100"/>
        <v/>
      </c>
      <c r="OH6" s="43" t="str">
        <f t="shared" si="101"/>
        <v/>
      </c>
      <c r="OI6" s="43" t="str">
        <f t="shared" si="102"/>
        <v/>
      </c>
      <c r="OJ6" s="43" t="str">
        <f t="shared" si="103"/>
        <v/>
      </c>
      <c r="OK6" s="43" t="str">
        <f t="shared" si="104"/>
        <v/>
      </c>
      <c r="OL6" s="43" t="str">
        <f t="shared" si="105"/>
        <v/>
      </c>
      <c r="OM6" s="43" t="str">
        <f t="shared" si="106"/>
        <v/>
      </c>
      <c r="ON6" s="43" t="str">
        <f t="shared" si="107"/>
        <v/>
      </c>
      <c r="OO6" s="43" t="str">
        <f t="shared" si="108"/>
        <v/>
      </c>
      <c r="OP6" s="43" t="str">
        <f t="shared" si="109"/>
        <v/>
      </c>
      <c r="OQ6" s="43" t="str">
        <f t="shared" si="110"/>
        <v/>
      </c>
      <c r="OR6" s="43" t="str">
        <f t="shared" si="111"/>
        <v/>
      </c>
      <c r="OS6" s="43" t="str">
        <f t="shared" si="112"/>
        <v/>
      </c>
      <c r="OT6" s="43" t="str">
        <f t="shared" si="113"/>
        <v/>
      </c>
      <c r="OU6" s="43" t="str">
        <f t="shared" si="114"/>
        <v/>
      </c>
      <c r="OV6" s="110" t="str">
        <f t="shared" si="115"/>
        <v/>
      </c>
      <c r="OW6" s="43" t="str">
        <f t="shared" si="116"/>
        <v/>
      </c>
      <c r="OX6" s="43" t="str">
        <f t="shared" si="117"/>
        <v/>
      </c>
      <c r="OY6" s="43" t="str">
        <f t="shared" si="118"/>
        <v/>
      </c>
      <c r="OZ6" s="43" t="str">
        <f t="shared" si="119"/>
        <v/>
      </c>
      <c r="PA6" s="43" t="str">
        <f t="shared" si="120"/>
        <v/>
      </c>
      <c r="PB6" s="43" t="str">
        <f t="shared" si="121"/>
        <v/>
      </c>
      <c r="PC6" s="43" t="str">
        <f t="shared" si="122"/>
        <v/>
      </c>
      <c r="PD6" s="43" t="str">
        <f t="shared" si="123"/>
        <v/>
      </c>
      <c r="PE6" s="43" t="str">
        <f t="shared" si="124"/>
        <v/>
      </c>
      <c r="PF6" s="43" t="str">
        <f t="shared" si="125"/>
        <v/>
      </c>
      <c r="PG6" s="43" t="str">
        <f t="shared" si="126"/>
        <v/>
      </c>
      <c r="PH6" s="43" t="str">
        <f t="shared" si="127"/>
        <v/>
      </c>
      <c r="PI6" s="43">
        <f t="shared" si="128"/>
        <v>34</v>
      </c>
      <c r="PJ6" s="43" t="str">
        <f t="shared" si="129"/>
        <v/>
      </c>
      <c r="PK6" s="43" t="str">
        <f t="shared" si="130"/>
        <v/>
      </c>
      <c r="PL6" s="43" t="str">
        <f t="shared" si="131"/>
        <v/>
      </c>
      <c r="PM6" s="43" t="str">
        <f t="shared" si="132"/>
        <v/>
      </c>
      <c r="PN6" s="43" t="str">
        <f t="shared" si="133"/>
        <v/>
      </c>
      <c r="PO6" s="43" t="str">
        <f t="shared" si="134"/>
        <v/>
      </c>
      <c r="PP6" s="43" t="str">
        <f t="shared" si="135"/>
        <v/>
      </c>
      <c r="PQ6" s="43" t="str">
        <f t="shared" si="136"/>
        <v/>
      </c>
      <c r="PR6" s="43" t="str">
        <f t="shared" si="137"/>
        <v/>
      </c>
      <c r="PS6" s="43" t="str">
        <f t="shared" si="138"/>
        <v/>
      </c>
      <c r="PT6" s="43" t="str">
        <f t="shared" si="139"/>
        <v/>
      </c>
      <c r="PU6" s="43" t="str">
        <f t="shared" si="140"/>
        <v/>
      </c>
      <c r="PV6" s="43" t="str">
        <f t="shared" si="141"/>
        <v/>
      </c>
      <c r="PW6" s="43" t="str">
        <f t="shared" si="142"/>
        <v/>
      </c>
      <c r="PX6" s="43" t="str">
        <f t="shared" si="143"/>
        <v/>
      </c>
      <c r="PY6" s="43" t="str">
        <f t="shared" si="144"/>
        <v/>
      </c>
      <c r="PZ6" s="43" t="str">
        <f t="shared" si="145"/>
        <v/>
      </c>
      <c r="QA6" s="43" t="str">
        <f t="shared" si="146"/>
        <v/>
      </c>
      <c r="QB6" s="43" t="str">
        <f t="shared" si="147"/>
        <v/>
      </c>
      <c r="QC6" s="43" t="str">
        <f t="shared" si="148"/>
        <v/>
      </c>
      <c r="QD6" s="43" t="str">
        <f t="shared" si="149"/>
        <v/>
      </c>
      <c r="QE6" s="43" t="str">
        <f t="shared" si="150"/>
        <v/>
      </c>
      <c r="QF6" s="43" t="str">
        <f t="shared" si="151"/>
        <v/>
      </c>
      <c r="QG6" s="43" t="str">
        <f t="shared" si="152"/>
        <v/>
      </c>
      <c r="QH6" s="43" t="str">
        <f t="shared" si="153"/>
        <v/>
      </c>
      <c r="QI6" s="43" t="str">
        <f t="shared" si="154"/>
        <v/>
      </c>
      <c r="QJ6" s="43" t="str">
        <f t="shared" si="155"/>
        <v/>
      </c>
      <c r="QK6" s="43" t="str">
        <f t="shared" si="156"/>
        <v/>
      </c>
      <c r="QL6" s="43" t="str">
        <f t="shared" si="157"/>
        <v/>
      </c>
      <c r="QM6" s="43" t="str">
        <f t="shared" si="158"/>
        <v/>
      </c>
      <c r="QN6" s="43" t="str">
        <f t="shared" si="159"/>
        <v/>
      </c>
      <c r="QO6" s="43" t="str">
        <f t="shared" si="160"/>
        <v/>
      </c>
      <c r="QP6" s="43" t="str">
        <f t="shared" si="161"/>
        <v/>
      </c>
      <c r="QQ6" s="43" t="str">
        <f t="shared" si="162"/>
        <v/>
      </c>
      <c r="QR6" s="43">
        <f t="shared" si="192"/>
        <v>34</v>
      </c>
      <c r="QS6" s="43"/>
      <c r="QT6" s="21" t="str">
        <f t="shared" si="163"/>
        <v/>
      </c>
      <c r="QU6" s="21" t="str">
        <f t="shared" si="164"/>
        <v/>
      </c>
      <c r="QV6" s="21" t="str">
        <f t="shared" si="165"/>
        <v/>
      </c>
      <c r="QW6" s="21" t="str">
        <f t="shared" si="166"/>
        <v/>
      </c>
      <c r="QX6" s="21" t="str">
        <f t="shared" si="167"/>
        <v/>
      </c>
      <c r="QY6" s="21" t="str">
        <f t="shared" si="168"/>
        <v/>
      </c>
      <c r="QZ6" s="21" t="str">
        <f t="shared" si="169"/>
        <v/>
      </c>
      <c r="RA6" s="21" t="str">
        <f t="shared" si="170"/>
        <v/>
      </c>
      <c r="RB6" s="21" t="str">
        <f t="shared" si="171"/>
        <v/>
      </c>
      <c r="RC6" s="21" t="str">
        <f t="shared" si="172"/>
        <v/>
      </c>
      <c r="RD6" s="21" t="str">
        <f t="shared" si="173"/>
        <v/>
      </c>
      <c r="RE6" s="21" t="str">
        <f t="shared" si="174"/>
        <v/>
      </c>
      <c r="RF6" s="21" t="str">
        <f t="shared" si="175"/>
        <v/>
      </c>
      <c r="RG6" s="21" t="str">
        <f t="shared" si="176"/>
        <v/>
      </c>
      <c r="RH6" s="21" t="str">
        <f t="shared" si="177"/>
        <v/>
      </c>
      <c r="RI6" s="21" t="str">
        <f t="shared" si="178"/>
        <v/>
      </c>
      <c r="RJ6" s="21" t="str">
        <f t="shared" si="179"/>
        <v/>
      </c>
      <c r="RK6" s="21" t="str">
        <f t="shared" si="180"/>
        <v/>
      </c>
      <c r="RL6" s="21" t="str">
        <f t="shared" si="181"/>
        <v/>
      </c>
      <c r="RM6" s="21" t="str">
        <f t="shared" si="182"/>
        <v/>
      </c>
      <c r="RN6" s="21" t="str">
        <f t="shared" si="183"/>
        <v/>
      </c>
      <c r="RO6" s="21" t="str">
        <f t="shared" si="184"/>
        <v/>
      </c>
      <c r="RP6" s="21" t="str">
        <f t="shared" si="185"/>
        <v/>
      </c>
      <c r="RQ6" s="21" t="str">
        <f t="shared" si="186"/>
        <v/>
      </c>
      <c r="RR6" s="21" t="str">
        <f t="shared" si="187"/>
        <v/>
      </c>
      <c r="RS6" s="21" t="str">
        <f t="shared" si="188"/>
        <v/>
      </c>
      <c r="RT6" s="21" t="str">
        <f t="shared" si="189"/>
        <v/>
      </c>
      <c r="RU6" s="21" t="str">
        <f t="shared" si="190"/>
        <v/>
      </c>
      <c r="RV6" s="21">
        <f t="shared" si="191"/>
        <v>7.1428571428571432</v>
      </c>
      <c r="RW6" s="284">
        <f>IF(OR(Tabla1[[#This Row],[FUM FORMULA CONFIABLE]]="",Tabla1[[#This Row],[FUM FORMULA CONFIABLE]]="SD"),"",IF(Tabla1[[#This Row],[FUM FORMULA CONFIABLE]]="CORREGIDA",Tabla1[[#This Row],[FUM X ECO 1]],Tabla1[[#This Row],[FUM x AMENORREA]]))</f>
        <v>44721</v>
      </c>
      <c r="RX6" s="21">
        <f>IF(AND(Tabla1[[#This Row],[FUM X ECO 1]]="",Tabla1[[#This Row],[FUM x AMENORREA]]=""),"",IF(AND(Tabla1[[#This Row],[FUM X ECO 1]]="",Tabla1[[#This Row],[FUM x AMENORREA]]&lt;&gt;""),"X",SUM(Tabla1[[#This Row],[FUM X ECO 1]]-Tabla1[[#This Row],[FUM x AMENORREA]])))</f>
        <v>0.30000000000291038</v>
      </c>
      <c r="RY6" s="21">
        <f t="shared" si="193"/>
        <v>0</v>
      </c>
    </row>
    <row r="7" spans="1:493" ht="45" customHeight="1" x14ac:dyDescent="0.25">
      <c r="A7" s="109"/>
      <c r="B7" s="43" t="s">
        <v>890</v>
      </c>
      <c r="C7" s="43" t="s">
        <v>845</v>
      </c>
      <c r="D7" s="124" t="s">
        <v>846</v>
      </c>
      <c r="E7" s="43" t="s">
        <v>874</v>
      </c>
      <c r="F7" s="43" t="s">
        <v>891</v>
      </c>
      <c r="G7" s="43" t="s">
        <v>892</v>
      </c>
      <c r="H7" s="43"/>
      <c r="I7" s="109" t="s">
        <v>851</v>
      </c>
      <c r="J7" s="110">
        <v>1059597797</v>
      </c>
      <c r="K7" s="43" t="s">
        <v>852</v>
      </c>
      <c r="L7" s="175" t="s">
        <v>853</v>
      </c>
      <c r="M7" s="22">
        <v>32040</v>
      </c>
      <c r="N7" s="213">
        <f t="shared" ca="1" si="0"/>
        <v>36.142465753424659</v>
      </c>
      <c r="O7" s="22">
        <v>44778</v>
      </c>
      <c r="P7" s="214" t="str">
        <f t="shared" si="1"/>
        <v>SI</v>
      </c>
      <c r="Q7" s="26" t="s">
        <v>855</v>
      </c>
      <c r="R7" s="22">
        <v>44778</v>
      </c>
      <c r="S7" s="21" t="s">
        <v>856</v>
      </c>
      <c r="T7" s="24" t="s">
        <v>690</v>
      </c>
      <c r="U7" s="21" t="s">
        <v>857</v>
      </c>
      <c r="V7" s="21" t="s">
        <v>858</v>
      </c>
      <c r="W7" s="21" t="s">
        <v>893</v>
      </c>
      <c r="X7" s="21" t="s">
        <v>893</v>
      </c>
      <c r="Y7" s="21" t="s">
        <v>859</v>
      </c>
      <c r="Z7" s="21" t="s">
        <v>894</v>
      </c>
      <c r="AA7" s="21" t="s">
        <v>860</v>
      </c>
      <c r="AB7" s="27" t="s">
        <v>861</v>
      </c>
      <c r="AC7" s="26" t="s">
        <v>862</v>
      </c>
      <c r="AD7" s="38" t="s">
        <v>846</v>
      </c>
      <c r="AE7" s="26" t="s">
        <v>864</v>
      </c>
      <c r="AF7" s="26" t="s">
        <v>854</v>
      </c>
      <c r="AG7" s="23" t="s">
        <v>864</v>
      </c>
      <c r="AH7" s="23" t="s">
        <v>864</v>
      </c>
      <c r="AI7" s="24" t="s">
        <v>863</v>
      </c>
      <c r="AJ7" s="23" t="s">
        <v>864</v>
      </c>
      <c r="AK7" s="220" t="str">
        <f>IF(AND(AD7="",AE7="",AF7="",AG7="",AH7="",AI7="",AJ7=""),"",IF(OR(Tabla1[[#This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EVALUACIÓN",IF(AND(O7="",R7=""),"",IF(AND(OR(O7&gt;0,R7&gt;0),NG7&gt;=0,NG7&lt;2),"SIN RIESGO",IF(AND(OR(O7&gt;0,R7&gt;0),NG7&gt;=2),"CON RIESGO","ASD")))))</f>
        <v>SIN RIESGO</v>
      </c>
      <c r="AL7" s="23" t="s">
        <v>864</v>
      </c>
      <c r="AM7" s="26" t="s">
        <v>864</v>
      </c>
      <c r="AN7" s="26" t="s">
        <v>864</v>
      </c>
      <c r="AO7" s="26" t="s">
        <v>864</v>
      </c>
      <c r="AP7" s="26" t="s">
        <v>864</v>
      </c>
      <c r="AQ7" s="26" t="s">
        <v>864</v>
      </c>
      <c r="AR7" s="26" t="s">
        <v>864</v>
      </c>
      <c r="AS7" s="21">
        <v>7</v>
      </c>
      <c r="AT7" s="21">
        <v>7</v>
      </c>
      <c r="AU7" s="21">
        <v>0</v>
      </c>
      <c r="AV7" s="26" t="s">
        <v>864</v>
      </c>
      <c r="AW7" s="21">
        <v>0</v>
      </c>
      <c r="AX7" s="26" t="s">
        <v>864</v>
      </c>
      <c r="AY7" s="26" t="s">
        <v>864</v>
      </c>
      <c r="AZ7" s="26" t="s">
        <v>854</v>
      </c>
      <c r="BA7" s="26" t="s">
        <v>864</v>
      </c>
      <c r="BB7" s="26" t="s">
        <v>864</v>
      </c>
      <c r="BC7" s="26" t="s">
        <v>864</v>
      </c>
      <c r="BD7" s="26" t="s">
        <v>864</v>
      </c>
      <c r="BE7" s="26" t="s">
        <v>864</v>
      </c>
      <c r="BF7" s="26" t="s">
        <v>864</v>
      </c>
      <c r="BG7" s="26" t="s">
        <v>864</v>
      </c>
      <c r="BH7" s="26" t="s">
        <v>864</v>
      </c>
      <c r="BI7" s="26" t="s">
        <v>864</v>
      </c>
      <c r="BJ7" s="26"/>
      <c r="BK7" s="26"/>
      <c r="BL7" s="26" t="s">
        <v>864</v>
      </c>
      <c r="BM7" s="26" t="s">
        <v>864</v>
      </c>
      <c r="BN7" s="22"/>
      <c r="BO7" s="286">
        <v>44740</v>
      </c>
      <c r="BP7" s="21" t="s">
        <v>854</v>
      </c>
      <c r="BQ7" s="222">
        <f t="shared" si="2"/>
        <v>0</v>
      </c>
      <c r="BR7" s="223">
        <f t="shared" si="3"/>
        <v>44740.9</v>
      </c>
      <c r="BS7" s="224">
        <f t="shared" si="4"/>
        <v>5.4285714285714288</v>
      </c>
      <c r="BT7" s="216" t="str">
        <f t="shared" si="5"/>
        <v>I TRIM</v>
      </c>
      <c r="BU7" s="214" t="str">
        <f t="shared" ca="1" si="6"/>
        <v/>
      </c>
      <c r="BV7" s="25"/>
      <c r="BW7" s="22">
        <v>44960</v>
      </c>
      <c r="BX7" s="28">
        <v>31.3</v>
      </c>
      <c r="BY7" s="28"/>
      <c r="BZ7" s="22"/>
      <c r="CA7" s="21"/>
      <c r="CB7" s="26" t="s">
        <v>864</v>
      </c>
      <c r="CC7" s="26" t="s">
        <v>864</v>
      </c>
      <c r="CD7" s="26" t="s">
        <v>878</v>
      </c>
      <c r="CE7" s="26" t="s">
        <v>864</v>
      </c>
      <c r="CF7" s="22">
        <v>44778</v>
      </c>
      <c r="CG7" s="21">
        <v>1.64</v>
      </c>
      <c r="CH7" s="21">
        <v>59</v>
      </c>
      <c r="CI7" s="214">
        <f t="shared" si="7"/>
        <v>21.936347412254616</v>
      </c>
      <c r="CJ7" s="225" t="str">
        <f>IF(AND(CI7&lt;10,CH7="SD"),"SIN DATO PESO PREGESTACION O I TRIM",IF(AND(OR(R7&gt;0,O7&gt;0),CI7="X"),"INGRESAR DATO DE PESO",IF(CI7="SD","INGRESAR DATO DE TALLA Y PESO",IF(AND(OR(Tabla1[[#This Row],[MOMENTO EN QUE SE REALIZA EL PESO AL INGRESO A CPN]]="PREGESTACIÓN",NZ7="Menor"),CI7&lt;18.5),"BAJO PESO",IF(AND(OR(Tabla1[[#This Row],[MOMENTO EN QUE SE REALIZA EL PESO AL INGRESO A CPN]]="PREGESTACIÓN",NZ7="Menor"),CI7&lt;25),"NORMAL",IF(AND(OR(Tabla1[[#This Row],[MOMENTO EN QUE SE REALIZA EL PESO AL INGRESO A CPN]]="PREGESTACIÓN",NZ7="Menor"),CI7&lt;30),"SOBREPESO",IF(AND(OR(Tabla1[[#This Row],[MOMENTO EN QUE SE REALIZA EL PESO AL INGRESO A CPN]]="PREGESTACIÓN",NZ7="Menor"),CI7&gt;=30,CI7&lt;50),"OBESIDAD",IF(AND(BS7&gt;0,Tabla1[[#This Row],[MOMENTO EN QUE SE REALIZA EL PESO AL INGRESO A CPN]]="GESTACIÓN"),HLOOKUP(NZ7,$OA$2:PH7,NY7),""))))))))</f>
        <v>NORMAL</v>
      </c>
      <c r="CK7" s="212">
        <f t="shared" si="8"/>
        <v>44960</v>
      </c>
      <c r="CL7" s="21"/>
      <c r="CM7" s="214">
        <f t="shared" si="9"/>
        <v>0</v>
      </c>
      <c r="CN7" s="216">
        <f t="shared" si="10"/>
        <v>31</v>
      </c>
      <c r="CO7" s="216" t="e">
        <f>IF(PI7="","",IF(PI7&gt;0,HLOOKUP(PI7,$PJ$2:QQ7,NY7),""))</f>
        <v>#REF!</v>
      </c>
      <c r="CP7" s="21"/>
      <c r="CQ7" s="216" t="e">
        <f>IF(QR7="Menor","NO APLICA-MENOR 13 SEM",IF(AND(CC7="SI",CN7&gt;23),"NO APLICA- GEMELAR",IF(QR7="","",IF(QR7&gt;0,HLOOKUP(QR7,$QS$2:RU7,NY7),""))))</f>
        <v>#REF!</v>
      </c>
      <c r="CR7" s="21">
        <v>120</v>
      </c>
      <c r="CS7" s="21">
        <v>60</v>
      </c>
      <c r="CT7" s="217" t="str">
        <f>IF(R7="","",IF(AND(BS7&gt;1,BS7&lt;12,Tabla1[[#This Row],[T.A. SISTOLICA - ANTES DE SEMANA 12]]="",Tabla1[[#This Row],[T.A. DIASTOLICA - ANTES DE SEMANA 12]]=""),"REGISTRE DATO TA ANTES SEMANA 12",IF(AND(BS7&gt;11,BS7&lt;43,Tabla1[[#This Row],[T.A. SISTOLICA - ANTES DE SEMANA 12]]="",Tabla1[[#This Row],[T.A. DIASTOLICA - ANTES DE SEMANA 12]]=""),"NO APLICA REGISTRO TA-INGRESO TARDIO",IF(AND(OR(O7&gt;0,R7&gt;0),OR(CR7&gt;=140,CS7&gt;=90)),"DEFINIR ESTADIO HTA",IF(AND(OR(O7&gt;0,R7&gt;0),AND(CR7&gt;120,CR7&lt;=139)),"PRE HTA SEGUIMIENTO",IF(AND(OR(O7&gt;0,R7&gt;0),AND(CS7&gt;80,CS7&lt;=89)),"PRE HTA SEGUIMIENTO",IF(AND(OR(O7&gt;0,R7&gt;0),AND(CR7&gt;=80,CR7&lt;=120)),"APARENTEMENTE NORMAL",IF(AND(OR(O7&gt;0,R7&gt;0),AND(CS7&gt;=50,CS7&lt;=80)),"APARENTEMENTE NORMAL",IF(AND(OR(O7&gt;0,R7&gt;0),AND(CR7&gt;1,CR7&lt;=70),AND(CS7&gt;1,CS7&lt;=40)),"HIPOTENSIÓN","")))))))))</f>
        <v>APARENTEMENTE NORMAL</v>
      </c>
      <c r="CU7" s="21">
        <v>100</v>
      </c>
      <c r="CV7" s="21">
        <v>70</v>
      </c>
      <c r="CW7" s="217" t="str">
        <f ca="1">IF(R7="","",IF(AND(CN7&gt;19,CN7&lt;27,Tabla1[[#This Row],[T.A. SISTOLICA (Entre semana 20 y 26)]]="",Tabla1[[#This Row],[T.A. DIATOLICA (Entre semana 20 y 26)]]=""),"ACUDE A CONTROL SEM 20 A 26 REGISTRE TA AHORA",IF(AND(BS7&gt;1,BS7&lt;27,BU7&gt;19,Tabla1[[#This Row],[T.A. SISTOLICA (Entre semana 20 y 26)]]="",Tabla1[[#This Row],[T.A. DIATOLICA (Entre semana 20 y 26)]]=""),"COMPLETE REGISTRO TA CONTROL SEM 20 A26 ",IF(AND(BS7&gt;26,BS7&lt;43,Tabla1[[#This Row],[T.A. SISTOLICA (Entre semana 20 y 26)]]="",Tabla1[[#This Row],[T.A. DIATOLICA (Entre semana 20 y 26)]]=""),"NO APLICA REGISTRO TA-INGRESO TARDIO",IF(AND(OR(O7&gt;0,R7&gt;0),OR(CU7&gt;=140,CV7&gt;=90)),"ALTO RIESGO PREECLAMPSIA,DEFINIR ESTADIO HTA",IF(AND(OR(O7&gt;0,R7&gt;0),AND(CU7&gt;120,CU7&lt;=139)),"PRE HTA SEGUIMIENTO,RIESGO HIPERTENSION INDUCIDA POR EL EMBARAZO",IF(AND(OR(O7&gt;0,R7&gt;0),AND(CV7&gt;80,CV7&lt;=89)),"PRE HTA SEGUIMIENTO, RIESGO HIPERTENSION INDUCIDA POR EL EMBARAZO",IF(AND(OR(O7&lt;&gt;"",R7&lt;&gt;""),CS7&lt;&gt;"",CV7&lt;&gt;"",CS7&lt;=CV7),"VIGILAR CIFRAS PRESION ARTERIAL",IF(AND(OR(O7&gt;0,R7&gt;0),AND(CU7&gt;120,CU7&lt;=139)),"PRE HTA SEGUIMIENTO",IF(AND(OR(O7&gt;0,R7&gt;0),AND(CU7&gt;1,CU7&lt;=70),AND(CV7&gt;1,CV7&lt;=40)),"HIPOTENSIÓN",IF(AND(OR(O7&lt;&gt;"",R7&lt;&gt;""),CS7&lt;&gt;"",CV7&lt;&gt;"",CS7&gt;CV7),"APARENTEMENTE NORMAL",IF(AND(OR(O7&gt;0,R7&gt;0),AND(CU7&gt;=80,CU7&lt;=120)),"APARENTEMENTE NORMAL",IF(AND(OR(O7&gt;0,R7&gt;0),AND(CV7&gt;=50,CV7&lt;=80)),"APARENTEMENTE NORMAL","")))))))))))))</f>
        <v>VIGILAR CIFRAS PRESION ARTERIAL</v>
      </c>
      <c r="CX7" s="21">
        <v>100</v>
      </c>
      <c r="CY7" s="21">
        <v>60</v>
      </c>
      <c r="CZ7" s="216" t="str">
        <f t="shared" si="11"/>
        <v>APARENTEMENTE NORMAL</v>
      </c>
      <c r="DA7" s="21"/>
      <c r="DB7" s="21"/>
      <c r="DC7" s="217" t="str">
        <f t="shared" si="12"/>
        <v>REGISTRE DATO PRESIÓN ARTERIAL MENSUAL</v>
      </c>
      <c r="DD7" s="22">
        <v>44778</v>
      </c>
      <c r="DE7" s="22">
        <v>44778</v>
      </c>
      <c r="DF7" s="22">
        <v>44852</v>
      </c>
      <c r="DG7" s="22">
        <v>44897</v>
      </c>
      <c r="DH7" s="22">
        <v>44960</v>
      </c>
      <c r="DI7" s="22"/>
      <c r="DJ7" s="22"/>
      <c r="DK7" s="22"/>
      <c r="DL7" s="22"/>
      <c r="DM7" s="22"/>
      <c r="DN7" s="22"/>
      <c r="DO7" s="22"/>
      <c r="DP7" s="22"/>
      <c r="DQ7" s="22"/>
      <c r="DR7" s="28">
        <v>2</v>
      </c>
      <c r="DS7" s="22"/>
      <c r="DT7" s="22"/>
      <c r="DU7" s="216" t="str">
        <f t="shared" ca="1" si="13"/>
        <v>SALE SIN PLAN DE PARTO</v>
      </c>
      <c r="DV7" s="226" t="str">
        <f t="shared" si="14"/>
        <v>SALIO PROGRAMA</v>
      </c>
      <c r="DW7"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7" s="216" t="str">
        <f t="shared" ca="1" si="15"/>
        <v/>
      </c>
      <c r="DY7" s="212">
        <f>IF(R7="","",IF(R7&gt;0,MAX(Tabla1[[#This Row],[FECHA C2]:[FECHA C13]],Tabla1[[#This Row],[FECHA CONSULTA PRIMERA VEZ PROGRAMA CPN ]])))</f>
        <v>44960</v>
      </c>
      <c r="DZ7" s="216">
        <f t="shared" si="16"/>
        <v>31</v>
      </c>
      <c r="EA7" s="222">
        <f>IF(R7&gt;0,SUM(COUNTA(DF7:DQ7)+COUNTA(Tabla1[[#This Row],[FECHA CONSULTA PRIMERA VEZ PROGRAMA CPN ]])),"")</f>
        <v>4</v>
      </c>
      <c r="EB7" s="222" t="str">
        <f t="shared" si="17"/>
        <v>SI</v>
      </c>
      <c r="EC7" s="214">
        <f t="shared" si="18"/>
        <v>10</v>
      </c>
      <c r="ED7" s="227">
        <f t="shared" si="19"/>
        <v>0.4</v>
      </c>
      <c r="EE7" s="22">
        <v>44778</v>
      </c>
      <c r="EF7" s="22">
        <v>44897</v>
      </c>
      <c r="EG7" s="22">
        <v>44778</v>
      </c>
      <c r="EH7" s="22"/>
      <c r="EI7" s="22">
        <v>44778</v>
      </c>
      <c r="EJ7" s="22"/>
      <c r="EK7" s="22"/>
      <c r="EL7" s="21"/>
      <c r="EM7" s="21">
        <v>12.6</v>
      </c>
      <c r="EN7" s="22">
        <v>44778</v>
      </c>
      <c r="EO7" s="222">
        <f t="shared" si="20"/>
        <v>5.4285714285714288</v>
      </c>
      <c r="EP7" s="214" t="str">
        <f t="shared" si="21"/>
        <v>NORMAL- SUMINISTRAR SULFATO FERROSO</v>
      </c>
      <c r="EQ7" s="216" t="str">
        <f t="shared" si="22"/>
        <v>I TRIM</v>
      </c>
      <c r="ER7" s="24">
        <v>12.6</v>
      </c>
      <c r="ES7" s="22">
        <v>44778</v>
      </c>
      <c r="ET7" s="29">
        <f t="shared" ca="1" si="23"/>
        <v>5.4285714285714288</v>
      </c>
      <c r="EU7" s="25" t="str">
        <f t="shared" si="24"/>
        <v>NORMAL- SUMINISTRAR SULFATO FERROSO</v>
      </c>
      <c r="EV7" s="24" t="s">
        <v>866</v>
      </c>
      <c r="EW7" s="24">
        <v>44778</v>
      </c>
      <c r="EX7" s="22"/>
      <c r="EY7" s="29">
        <f t="shared" si="25"/>
        <v>5.4285714285714288</v>
      </c>
      <c r="EZ7" s="25" t="str">
        <f t="shared" ca="1" si="26"/>
        <v/>
      </c>
      <c r="FA7" s="21">
        <v>80</v>
      </c>
      <c r="FB7" s="22">
        <v>44778</v>
      </c>
      <c r="FC7" s="29">
        <f t="shared" si="27"/>
        <v>5.4285714285714288</v>
      </c>
      <c r="FD7" s="29"/>
      <c r="FE7" s="29"/>
      <c r="FF7" s="29"/>
      <c r="FG7" s="21" t="str">
        <f t="shared" ca="1" si="28"/>
        <v/>
      </c>
      <c r="FH7" s="31"/>
      <c r="FI7" s="29" t="str">
        <f t="shared" si="29"/>
        <v>TOMAR EXAMEN</v>
      </c>
      <c r="FJ7" s="22" t="s">
        <v>867</v>
      </c>
      <c r="FK7" s="22">
        <v>44778</v>
      </c>
      <c r="FL7" s="29">
        <f t="shared" ca="1" si="30"/>
        <v>5.4285714285714288</v>
      </c>
      <c r="FM7" s="22"/>
      <c r="FN7" s="32"/>
      <c r="FO7" s="29" t="str">
        <f t="shared" ca="1" si="31"/>
        <v>PIERDE TOMA DE TAMIZAJE</v>
      </c>
      <c r="FP7" s="22"/>
      <c r="FQ7" s="32"/>
      <c r="FR7" s="29" t="str">
        <f t="shared" ca="1" si="32"/>
        <v>PIERDE TOMA DE TAMIZAJE</v>
      </c>
      <c r="FS7" s="22"/>
      <c r="FT7" s="32"/>
      <c r="FU7" s="29" t="str">
        <f>IF(AND(FJ7="",FM7="",FP7="",FS7=""),"",IF(OR(OR(Tabla1[[#This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7" s="28"/>
      <c r="FW7" s="22"/>
      <c r="FX7" s="29" t="str">
        <f t="shared" si="33"/>
        <v>TOMAR EXAMEN</v>
      </c>
      <c r="FY7" s="22">
        <v>44778</v>
      </c>
      <c r="FZ7" s="22">
        <v>44778</v>
      </c>
      <c r="GA7" s="29">
        <f t="shared" ca="1" si="34"/>
        <v>5.4285714285714288</v>
      </c>
      <c r="GB7" s="22"/>
      <c r="GC7" s="22"/>
      <c r="GD7" s="29" t="str">
        <f t="shared" ca="1" si="35"/>
        <v>PIERDE TOMA DE TAMIZAJE</v>
      </c>
      <c r="GE7" s="22"/>
      <c r="GF7" s="22"/>
      <c r="GG7" s="29" t="str">
        <f t="shared" ca="1" si="36"/>
        <v>PIERDE TOMA DE TAMIZAJE</v>
      </c>
      <c r="GH7" s="22"/>
      <c r="GI7" s="29"/>
      <c r="GJ7" s="22"/>
      <c r="GK7" s="22"/>
      <c r="GL7" s="22" t="s">
        <v>879</v>
      </c>
      <c r="GM7" s="22"/>
      <c r="GN7" s="28" t="s">
        <v>869</v>
      </c>
      <c r="GO7" s="22">
        <v>44778</v>
      </c>
      <c r="GP7" s="29">
        <f t="shared" si="37"/>
        <v>5.4285714285714288</v>
      </c>
      <c r="GQ7" s="28" t="s">
        <v>880</v>
      </c>
      <c r="GR7" s="28" t="s">
        <v>869</v>
      </c>
      <c r="GS7" s="22" t="str">
        <f t="shared" si="38"/>
        <v>SE EXCLUYE INFECCION</v>
      </c>
      <c r="GT7" s="22">
        <v>44778</v>
      </c>
      <c r="GU7" s="29">
        <f t="shared" si="39"/>
        <v>5.4285714285714288</v>
      </c>
      <c r="GV7" s="21" t="str">
        <f t="shared" si="40"/>
        <v>I TRIM</v>
      </c>
      <c r="GW7" s="28" t="s">
        <v>869</v>
      </c>
      <c r="GX7" s="30"/>
      <c r="GY7" s="21"/>
      <c r="GZ7" s="21"/>
      <c r="HA7" s="21"/>
      <c r="HB7" s="21"/>
      <c r="HC7" s="21"/>
      <c r="HD7" s="21"/>
      <c r="HE7" s="21"/>
      <c r="HF7" s="22"/>
      <c r="HG7" s="22" t="str">
        <f>IF(OR(O7&gt;0,R7&gt;0),CONCATENATE(IF(Tabla1[[#This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7" s="22" t="e">
        <f t="shared" si="41"/>
        <v>#REF!</v>
      </c>
      <c r="HI7" s="22" t="e">
        <f t="shared" ca="1" si="42"/>
        <v>#REF!</v>
      </c>
      <c r="HJ7" s="21" t="str">
        <f t="shared" ca="1" si="43"/>
        <v>*********************MULTIPARIDAD******************</v>
      </c>
      <c r="HK7" s="21" t="str">
        <f t="shared" si="44"/>
        <v>SIN ANTECEDENTES DE RIESGO</v>
      </c>
      <c r="HL7" s="24" t="str">
        <f t="shared" si="45"/>
        <v>REGISTRE DATO PRESIÓN ARTERIAL MENSUAL</v>
      </c>
      <c r="HM7" s="21" t="str">
        <f t="shared" ca="1" si="46"/>
        <v/>
      </c>
      <c r="HN7" s="30" t="str">
        <f t="shared" si="47"/>
        <v>SALIO PROGRAMA</v>
      </c>
      <c r="HO7" s="21"/>
      <c r="HP7" s="21"/>
      <c r="HQ7" s="21"/>
      <c r="HR7" s="21" t="str">
        <f>IF(R7="","",IF(Tabla1[[#This Row],[ALARMA FACTORES DE RIESGO COMPLICACIONES HIPERTENSIVAS3]]="SIN ANTECEDENTES DE RIESGO","No Aplica para suministro de ASA",IF(AND(Tabla1[[#This Row],[FECHA INICIO DE SUMINISTRO DE ASA]]&gt;0,RV7&lt;12),"Inicia ASA ANTES de Sem 12",IF(AND(RV7&gt;11,RV7&lt;17,OR(HK7="RIESGO ALTO DE COMPLICACIONES HIPERTENSIVAS VER MANEJO GUIA SUMINISTRO ASA Y CALCIO",HK7="RIESGO MODERADO (2 O MAS CRITERIOS) VER MANEJO GUIA SUMINISTRO ASA Y CALCIO")),"Inicio oportuno de ASA",IF(AND(RV7&gt;12,OR(HK7="RIESGO ALTO DE COMPLICACIONES HIPERTENSIVAS VER MANEJO GUIA SUMINISTRO ASA Y CALCIO",HK7="RIESGO MODERADO (2 O MAS CRITERIOS) VER MANEJO GUIA SUMINISTRO ASA Y CALCIO")),"Inicio no oportuno mayor a 16 semanas",IF(AND(BU7&lt;12,OR(HK7="RIESGO ALTO DE COMPLICACIONES HIPERTENSIVAS VER MANEJO GUIA SUMINISTRO ASA Y CALCIO",HK7="RIESGO MODERADO (2 O MAS CRITERIOS) VER MANEJO GUIA SUMINISTRO ASA Y CALCIO")),"Pendiente Inicio de ASA a la semana 12",IF(AND(BU7&gt;11,BU7&lt;17,OR(HK7="RIESGO ALTO DE COMPLICACIONES HIPERTENSIVAS VER MANEJO GUIA SUMINISTRO ASA Y CALCIO",HK7="RIESGO MODERADO (2 O MAS CRITERIOS) VER MANEJO GUIA SUMINISTRO ASA Y CALCIO")),"Iniciar de inmediato ASA",IF(AND(BU7&gt;16,OR(HK7="RIESGO ALTO DE COMPLICACIONES HIPERTENSIVAS VER MANEJO GUIA SUMINISTRO ASA Y CALCIO",HK7="RIESGO MODERADO (2 O MAS CRITERIOS) VER MANEJO GUIA SUMINISTRO ASA Y CALCIO")),"Pierde Oportunidad, Inicio tardío de ASA","XXXXX"))))))))</f>
        <v>No Aplica para suministro de ASA</v>
      </c>
      <c r="HS7" s="22"/>
      <c r="HT7" s="22"/>
      <c r="HU7" s="22">
        <v>44778</v>
      </c>
      <c r="HV7" s="22" t="s">
        <v>870</v>
      </c>
      <c r="HW7" s="22">
        <v>44778</v>
      </c>
      <c r="HX7" s="22" t="s">
        <v>870</v>
      </c>
      <c r="HY7" s="22"/>
      <c r="HZ7" s="28" t="str">
        <f t="shared" si="48"/>
        <v>PENDIENTE CONSULTA</v>
      </c>
      <c r="IA7" s="26"/>
      <c r="IB7" s="26"/>
      <c r="IC7" s="111">
        <v>44960</v>
      </c>
      <c r="ID7" s="22">
        <v>44960</v>
      </c>
      <c r="IE7" s="22" t="str">
        <f t="shared" ca="1" si="49"/>
        <v>VACUNA APLICADA ENTRE SEMANA 27 Y EL PARTO</v>
      </c>
      <c r="IF7" s="22"/>
      <c r="IG7" s="22">
        <f t="shared" si="50"/>
        <v>45020</v>
      </c>
      <c r="IH7" s="29">
        <f t="shared" ca="1" si="51"/>
        <v>-212</v>
      </c>
      <c r="II7" s="22" t="str">
        <f t="shared" ca="1" si="52"/>
        <v>POSIBLEMENTE NACIO</v>
      </c>
      <c r="IJ7" s="22"/>
      <c r="IK7" s="21" t="s">
        <v>898</v>
      </c>
      <c r="IL7" s="21"/>
      <c r="IM7" s="34"/>
      <c r="IN7" s="349">
        <v>45024</v>
      </c>
      <c r="IO7" s="21" t="s">
        <v>1640</v>
      </c>
      <c r="IP7" s="29">
        <f t="shared" si="53"/>
        <v>40.571428571428569</v>
      </c>
      <c r="IQ7" s="35"/>
      <c r="IR7" s="21" t="s">
        <v>879</v>
      </c>
      <c r="IS7" s="21" t="s">
        <v>1648</v>
      </c>
      <c r="IT7" s="21" t="s">
        <v>1642</v>
      </c>
      <c r="IU7" s="21"/>
      <c r="IV7" s="21"/>
      <c r="IW7" s="21"/>
      <c r="IX7" s="21"/>
      <c r="IY7" s="21"/>
      <c r="IZ7" s="21"/>
      <c r="JA7" s="21"/>
      <c r="JB7" s="30">
        <v>1</v>
      </c>
      <c r="JC7" s="21" t="s">
        <v>1647</v>
      </c>
      <c r="JD7" s="36">
        <v>3600</v>
      </c>
      <c r="JE7" s="21" t="str">
        <f t="shared" si="54"/>
        <v>PESO ADECUADO EDAD GESTACIONAL</v>
      </c>
      <c r="JF7" s="30"/>
      <c r="JG7" s="21"/>
      <c r="JH7" s="21"/>
      <c r="JI7" s="21"/>
      <c r="JJ7" s="30"/>
      <c r="JK7" s="22"/>
      <c r="JL7" s="22"/>
      <c r="JM7" s="21"/>
      <c r="JN7" s="36"/>
      <c r="JO7" s="21" t="str">
        <f t="shared" si="55"/>
        <v/>
      </c>
      <c r="JP7" s="22"/>
      <c r="JQ7" s="21"/>
      <c r="JR7" s="21"/>
      <c r="JS7" s="21"/>
      <c r="JT7" s="30"/>
      <c r="JU7" s="22"/>
      <c r="JV7" s="22"/>
      <c r="JW7" s="33"/>
      <c r="JX7" s="28" t="str">
        <f t="shared" si="56"/>
        <v>INASISTENTE</v>
      </c>
      <c r="JY7" s="33"/>
      <c r="JZ7" s="28" t="str">
        <f t="shared" si="57"/>
        <v>INASISTENTE</v>
      </c>
      <c r="KA7" s="21"/>
      <c r="KB7" s="21"/>
      <c r="KC7" s="21"/>
      <c r="KD7" s="37"/>
      <c r="KE7" s="28"/>
      <c r="KF7" s="28"/>
      <c r="KG7" s="28"/>
      <c r="KH7" s="39"/>
      <c r="KI7" s="39"/>
      <c r="KJ7" s="66"/>
      <c r="KK7" s="39"/>
      <c r="KL7" s="39"/>
      <c r="KM7" s="66"/>
      <c r="KN7" s="39"/>
      <c r="KO7" s="39"/>
      <c r="KP7" s="39"/>
      <c r="KQ7" s="39"/>
      <c r="KR7" s="39"/>
      <c r="KS7" s="39"/>
      <c r="KT7" s="39"/>
      <c r="KU7" s="38"/>
      <c r="KV7" s="38"/>
      <c r="KW7" s="38"/>
      <c r="KX7" s="38"/>
      <c r="KY7" s="38"/>
      <c r="KZ7" s="38"/>
      <c r="LA7" s="38"/>
      <c r="LB7" s="38"/>
      <c r="LC7" s="38"/>
      <c r="LD7" s="38"/>
      <c r="LE7" s="38"/>
      <c r="LF7" s="38"/>
      <c r="LG7" s="38"/>
      <c r="LH7" s="38"/>
      <c r="LI7" s="38"/>
      <c r="LJ7" s="38"/>
      <c r="LK7" s="38"/>
      <c r="LL7" s="38"/>
      <c r="LM7" s="38"/>
      <c r="LN7" s="38"/>
      <c r="LO7" s="38"/>
      <c r="LP7" s="38"/>
      <c r="LQ7" s="38"/>
      <c r="LR7" s="38"/>
      <c r="LS7" s="38"/>
      <c r="LT7" s="38"/>
      <c r="LU7" s="38"/>
      <c r="LV7" s="38"/>
      <c r="LW7" s="38"/>
      <c r="LX7" s="38"/>
      <c r="LY7" s="38"/>
      <c r="LZ7" s="38"/>
      <c r="MA7" s="38"/>
      <c r="MB7" s="38"/>
      <c r="MC7" s="38"/>
      <c r="MD7" s="38"/>
      <c r="ME7" s="38"/>
      <c r="MF7" s="38"/>
      <c r="MG7" s="38"/>
      <c r="MH7" s="43">
        <f t="shared" si="58"/>
        <v>0</v>
      </c>
      <c r="MI7" s="43" t="str">
        <f t="shared" si="59"/>
        <v/>
      </c>
      <c r="MJ7" s="43" t="str">
        <f t="shared" si="60"/>
        <v/>
      </c>
      <c r="MK7" s="43">
        <f t="shared" si="61"/>
        <v>0</v>
      </c>
      <c r="ML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7" s="43">
        <f t="shared" si="62"/>
        <v>5.4285714285714288</v>
      </c>
      <c r="MN7" s="43">
        <f t="shared" si="63"/>
        <v>8</v>
      </c>
      <c r="MO7" s="43">
        <f t="shared" si="64"/>
        <v>2022</v>
      </c>
      <c r="MP7" s="43" t="str">
        <f t="shared" si="65"/>
        <v>III TRIMESTRE AÑO</v>
      </c>
      <c r="MQ7" s="43">
        <f t="shared" si="66"/>
        <v>34.370893561103806</v>
      </c>
      <c r="MR7" s="43">
        <f t="shared" si="67"/>
        <v>0</v>
      </c>
      <c r="MS7" s="43" t="str">
        <f t="shared" si="68"/>
        <v xml:space="preserve"> DE 30 A 34 AÑOS</v>
      </c>
      <c r="MT7" s="43">
        <f t="shared" si="69"/>
        <v>0</v>
      </c>
      <c r="MU7" s="43">
        <f t="shared" si="70"/>
        <v>2</v>
      </c>
      <c r="MV7" s="43">
        <f t="shared" si="71"/>
        <v>0</v>
      </c>
      <c r="MW7" s="43">
        <f t="shared" si="72"/>
        <v>0</v>
      </c>
      <c r="MX7" s="43" t="str">
        <f t="shared" si="73"/>
        <v/>
      </c>
      <c r="MY7" s="43" t="str">
        <f t="shared" ca="1" si="74"/>
        <v/>
      </c>
      <c r="MZ7" s="43" t="str">
        <f t="shared" si="75"/>
        <v/>
      </c>
      <c r="NA7" s="43">
        <f t="shared" si="76"/>
        <v>0</v>
      </c>
      <c r="NB7" s="43" t="str">
        <f t="shared" si="77"/>
        <v/>
      </c>
      <c r="NC7" s="43" t="str">
        <f t="shared" si="78"/>
        <v/>
      </c>
      <c r="ND7" s="43">
        <f t="shared" ca="1" si="79"/>
        <v>2.5</v>
      </c>
      <c r="NE7" s="43">
        <f>IF(OR(O7&gt;0,R7&gt;0),SUM(COUNTIF(Tabla1[[#This Row],[AÑOS AL INICIO5 CPN]],"&gt;=40"),COUNTIF(AS7,"0"),COUNTIF(AR7,"SI"),COUNTIF(CC7,"SI"),COUNTIF(BQ7,"&gt;119"),COUNTIF(CI7,"&gt;=35")),"")</f>
        <v>0</v>
      </c>
      <c r="NF7" s="43">
        <f t="shared" si="80"/>
        <v>31.428571428571427</v>
      </c>
      <c r="NG7" s="43">
        <f t="shared" si="81"/>
        <v>0.5</v>
      </c>
      <c r="NH7" s="43">
        <f t="shared" si="82"/>
        <v>219.1</v>
      </c>
      <c r="NI7"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CPN",P7="NO"),"Z",IF(AND(Tabla1[[#This Row],[CITA PROXIMO CONTROL]]="CITA MANUAL",Tabla1[[#This Row],[GESTANTES ACTUALES]]="ACTIVA INGRESO A CPN"),"W",IF(AND(Tabla1[[#This Row],[GESTANTES ACTUALES]]="SALIO PROGRAMA",IN7=""),"S",IF(AND(Tabla1[[#This Row],[CITA PROXIMO CONTROL]]&gt;0,IN7=""),(Tabla1[[#This Row],[CITA PROXIMO CONTROL]]-TODAY()),"SD"))))))))</f>
        <v>SD</v>
      </c>
      <c r="NJ7" s="43">
        <f>MONTH(Tabla1[[#This Row],[FECHA DE SALIDA  DEL PROGRAMA]])</f>
        <v>4</v>
      </c>
      <c r="NK7" s="43">
        <f>YEAR(Tabla1[[#This Row],[FECHA DE SALIDA  DEL PROGRAMA]])</f>
        <v>2023</v>
      </c>
      <c r="NL7" s="43" t="str">
        <f t="shared" si="83"/>
        <v>X</v>
      </c>
      <c r="NM7" s="43" t="str">
        <f t="shared" si="84"/>
        <v>NO</v>
      </c>
      <c r="NN7" s="43" t="str">
        <f ca="1">IF(AND(O7&gt;0,R7=""),"NO CPN",IF(AND(O7="",R7=""),"",IF(AND(R7&gt;0,Tabla1[[#This Row],[SEMANAS DE GESTACION ACTUALIZADAS]]&lt;=12),"NO APLICA",IF(AND(FH7&lt;&gt;"",FN7&lt;&gt;""),"SI","NO"))))</f>
        <v>NO</v>
      </c>
      <c r="NO7" s="43" t="str">
        <f ca="1">IF(AND(O7&gt;0,R7=""),"NO CPN",IF(AND(O7="",R7=""),"",IF(AND(R7&gt;0,Tabla1[[#This Row],[SEMANAS DE GESTACION ACTUALIZADAS]]&lt;=27),"NO APLICA",IF(AND(ES7&lt;&gt;"",FQ7&lt;&gt;"",GF7&lt;&gt;""),"SI","NO"))))</f>
        <v>NO</v>
      </c>
      <c r="NP7" s="204" t="str">
        <f t="shared" si="85"/>
        <v>I TRIM</v>
      </c>
      <c r="NQ7" s="21">
        <f t="shared" si="86"/>
        <v>3</v>
      </c>
      <c r="NR7" s="21">
        <f t="shared" si="87"/>
        <v>3</v>
      </c>
      <c r="NS7" s="205">
        <f t="shared" ca="1" si="88"/>
        <v>1</v>
      </c>
      <c r="NT7" s="21">
        <f t="shared" ca="1" si="89"/>
        <v>1</v>
      </c>
      <c r="NU7" s="21" t="str">
        <f t="shared" ca="1" si="90"/>
        <v>INCOMPLETO</v>
      </c>
      <c r="NV7" s="21" t="str">
        <f t="shared" ca="1" si="91"/>
        <v>INCOMPLETO</v>
      </c>
      <c r="NW7" s="206" t="str">
        <f>IF(AND(O7="",R7=""),"",IF(OR(AND(Tabla1[[#This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7" s="207" t="str">
        <f t="shared" ca="1" si="92"/>
        <v>VACUNADA</v>
      </c>
      <c r="NY7" s="43">
        <f>ROW(Tabla1[[#This Row],['# DE TAMIZAJES SIFILIS TOMADOS ]])</f>
        <v>7</v>
      </c>
      <c r="NZ7" s="43" t="str">
        <f t="shared" si="93"/>
        <v>Menor</v>
      </c>
      <c r="OA7" s="43" t="str">
        <f t="shared" si="94"/>
        <v>NORMAL</v>
      </c>
      <c r="OB7" s="43" t="str">
        <f t="shared" si="95"/>
        <v/>
      </c>
      <c r="OC7" s="43" t="str">
        <f t="shared" si="96"/>
        <v/>
      </c>
      <c r="OD7" s="43" t="str">
        <f t="shared" si="97"/>
        <v/>
      </c>
      <c r="OE7" s="43" t="str">
        <f t="shared" si="98"/>
        <v/>
      </c>
      <c r="OF7" s="43" t="str">
        <f t="shared" si="99"/>
        <v/>
      </c>
      <c r="OG7" s="43" t="str">
        <f t="shared" si="100"/>
        <v/>
      </c>
      <c r="OH7" s="43" t="str">
        <f t="shared" si="101"/>
        <v/>
      </c>
      <c r="OI7" s="43" t="str">
        <f t="shared" si="102"/>
        <v/>
      </c>
      <c r="OJ7" s="43" t="str">
        <f t="shared" si="103"/>
        <v/>
      </c>
      <c r="OK7" s="43" t="str">
        <f t="shared" si="104"/>
        <v/>
      </c>
      <c r="OL7" s="43" t="str">
        <f t="shared" si="105"/>
        <v/>
      </c>
      <c r="OM7" s="43" t="str">
        <f t="shared" si="106"/>
        <v/>
      </c>
      <c r="ON7" s="43" t="str">
        <f t="shared" si="107"/>
        <v/>
      </c>
      <c r="OO7" s="43" t="str">
        <f t="shared" si="108"/>
        <v/>
      </c>
      <c r="OP7" s="43" t="str">
        <f t="shared" si="109"/>
        <v/>
      </c>
      <c r="OQ7" s="43" t="str">
        <f t="shared" si="110"/>
        <v/>
      </c>
      <c r="OR7" s="43" t="str">
        <f t="shared" si="111"/>
        <v/>
      </c>
      <c r="OS7" s="43" t="str">
        <f t="shared" si="112"/>
        <v/>
      </c>
      <c r="OT7" s="43" t="str">
        <f t="shared" si="113"/>
        <v/>
      </c>
      <c r="OU7" s="43" t="str">
        <f t="shared" si="114"/>
        <v/>
      </c>
      <c r="OV7" s="110" t="str">
        <f t="shared" si="115"/>
        <v/>
      </c>
      <c r="OW7" s="43" t="str">
        <f t="shared" si="116"/>
        <v/>
      </c>
      <c r="OX7" s="43" t="str">
        <f t="shared" si="117"/>
        <v/>
      </c>
      <c r="OY7" s="43" t="str">
        <f t="shared" si="118"/>
        <v/>
      </c>
      <c r="OZ7" s="43" t="str">
        <f t="shared" si="119"/>
        <v/>
      </c>
      <c r="PA7" s="43" t="str">
        <f t="shared" si="120"/>
        <v/>
      </c>
      <c r="PB7" s="43" t="str">
        <f t="shared" si="121"/>
        <v/>
      </c>
      <c r="PC7" s="43" t="str">
        <f t="shared" si="122"/>
        <v/>
      </c>
      <c r="PD7" s="43" t="str">
        <f t="shared" si="123"/>
        <v/>
      </c>
      <c r="PE7" s="43" t="str">
        <f t="shared" si="124"/>
        <v/>
      </c>
      <c r="PF7" s="43" t="str">
        <f t="shared" si="125"/>
        <v/>
      </c>
      <c r="PG7" s="43" t="str">
        <f t="shared" si="126"/>
        <v/>
      </c>
      <c r="PH7" s="43" t="str">
        <f t="shared" si="127"/>
        <v/>
      </c>
      <c r="PI7" s="43">
        <f t="shared" si="128"/>
        <v>31</v>
      </c>
      <c r="PJ7" s="43" t="str">
        <f t="shared" si="129"/>
        <v/>
      </c>
      <c r="PK7" s="43" t="str">
        <f t="shared" si="130"/>
        <v/>
      </c>
      <c r="PL7" s="43" t="str">
        <f t="shared" si="131"/>
        <v/>
      </c>
      <c r="PM7" s="43" t="str">
        <f t="shared" si="132"/>
        <v/>
      </c>
      <c r="PN7" s="43" t="str">
        <f t="shared" si="133"/>
        <v/>
      </c>
      <c r="PO7" s="43" t="str">
        <f t="shared" si="134"/>
        <v/>
      </c>
      <c r="PP7" s="43" t="str">
        <f t="shared" si="135"/>
        <v/>
      </c>
      <c r="PQ7" s="43" t="str">
        <f t="shared" si="136"/>
        <v/>
      </c>
      <c r="PR7" s="43" t="str">
        <f t="shared" si="137"/>
        <v/>
      </c>
      <c r="PS7" s="43" t="str">
        <f t="shared" si="138"/>
        <v/>
      </c>
      <c r="PT7" s="43" t="str">
        <f t="shared" si="139"/>
        <v/>
      </c>
      <c r="PU7" s="43" t="str">
        <f t="shared" si="140"/>
        <v/>
      </c>
      <c r="PV7" s="43" t="str">
        <f t="shared" si="141"/>
        <v/>
      </c>
      <c r="PW7" s="43" t="str">
        <f t="shared" si="142"/>
        <v/>
      </c>
      <c r="PX7" s="43" t="str">
        <f t="shared" si="143"/>
        <v/>
      </c>
      <c r="PY7" s="43" t="str">
        <f t="shared" si="144"/>
        <v/>
      </c>
      <c r="PZ7" s="43" t="str">
        <f t="shared" si="145"/>
        <v/>
      </c>
      <c r="QA7" s="43" t="str">
        <f t="shared" si="146"/>
        <v/>
      </c>
      <c r="QB7" s="43" t="str">
        <f t="shared" si="147"/>
        <v/>
      </c>
      <c r="QC7" s="43" t="str">
        <f t="shared" si="148"/>
        <v/>
      </c>
      <c r="QD7" s="43" t="str">
        <f t="shared" si="149"/>
        <v/>
      </c>
      <c r="QE7" s="43" t="str">
        <f t="shared" si="150"/>
        <v/>
      </c>
      <c r="QF7" s="43" t="str">
        <f t="shared" si="151"/>
        <v/>
      </c>
      <c r="QG7" s="43" t="str">
        <f t="shared" si="152"/>
        <v/>
      </c>
      <c r="QH7" s="43" t="str">
        <f t="shared" si="153"/>
        <v/>
      </c>
      <c r="QI7" s="43" t="str">
        <f t="shared" si="154"/>
        <v/>
      </c>
      <c r="QJ7" s="43" t="str">
        <f t="shared" si="155"/>
        <v/>
      </c>
      <c r="QK7" s="43" t="str">
        <f t="shared" si="156"/>
        <v/>
      </c>
      <c r="QL7" s="43" t="str">
        <f t="shared" si="157"/>
        <v/>
      </c>
      <c r="QM7" s="43" t="str">
        <f t="shared" si="158"/>
        <v/>
      </c>
      <c r="QN7" s="43" t="str">
        <f t="shared" si="159"/>
        <v/>
      </c>
      <c r="QO7" s="43" t="str">
        <f t="shared" si="160"/>
        <v/>
      </c>
      <c r="QP7" s="43" t="str">
        <f t="shared" si="161"/>
        <v/>
      </c>
      <c r="QQ7" s="43" t="str">
        <f t="shared" si="162"/>
        <v/>
      </c>
      <c r="QR7" s="43">
        <f t="shared" si="192"/>
        <v>31</v>
      </c>
      <c r="QS7" s="43"/>
      <c r="QT7" s="21" t="str">
        <f t="shared" si="163"/>
        <v/>
      </c>
      <c r="QU7" s="21" t="str">
        <f t="shared" si="164"/>
        <v/>
      </c>
      <c r="QV7" s="21" t="str">
        <f t="shared" si="165"/>
        <v/>
      </c>
      <c r="QW7" s="21" t="str">
        <f t="shared" si="166"/>
        <v/>
      </c>
      <c r="QX7" s="21" t="str">
        <f t="shared" si="167"/>
        <v/>
      </c>
      <c r="QY7" s="21" t="str">
        <f t="shared" si="168"/>
        <v/>
      </c>
      <c r="QZ7" s="21" t="str">
        <f t="shared" si="169"/>
        <v/>
      </c>
      <c r="RA7" s="21" t="str">
        <f t="shared" si="170"/>
        <v/>
      </c>
      <c r="RB7" s="21" t="str">
        <f t="shared" si="171"/>
        <v/>
      </c>
      <c r="RC7" s="21" t="str">
        <f t="shared" si="172"/>
        <v/>
      </c>
      <c r="RD7" s="21" t="str">
        <f t="shared" si="173"/>
        <v/>
      </c>
      <c r="RE7" s="21" t="str">
        <f t="shared" si="174"/>
        <v/>
      </c>
      <c r="RF7" s="21" t="str">
        <f t="shared" si="175"/>
        <v/>
      </c>
      <c r="RG7" s="21" t="str">
        <f t="shared" si="176"/>
        <v/>
      </c>
      <c r="RH7" s="21" t="str">
        <f t="shared" si="177"/>
        <v/>
      </c>
      <c r="RI7" s="21" t="str">
        <f t="shared" si="178"/>
        <v/>
      </c>
      <c r="RJ7" s="21" t="str">
        <f t="shared" si="179"/>
        <v/>
      </c>
      <c r="RK7" s="21" t="str">
        <f t="shared" si="180"/>
        <v/>
      </c>
      <c r="RL7" s="21" t="str">
        <f t="shared" si="181"/>
        <v/>
      </c>
      <c r="RM7" s="21" t="str">
        <f t="shared" si="182"/>
        <v/>
      </c>
      <c r="RN7" s="21" t="str">
        <f t="shared" si="183"/>
        <v/>
      </c>
      <c r="RO7" s="21" t="str">
        <f t="shared" si="184"/>
        <v/>
      </c>
      <c r="RP7" s="21" t="str">
        <f t="shared" si="185"/>
        <v/>
      </c>
      <c r="RQ7" s="21" t="str">
        <f t="shared" si="186"/>
        <v/>
      </c>
      <c r="RR7" s="21" t="str">
        <f t="shared" si="187"/>
        <v/>
      </c>
      <c r="RS7" s="21" t="str">
        <f t="shared" si="188"/>
        <v/>
      </c>
      <c r="RT7" s="21" t="str">
        <f t="shared" si="189"/>
        <v/>
      </c>
      <c r="RU7" s="21" t="str">
        <f t="shared" si="190"/>
        <v/>
      </c>
      <c r="RV7" s="21">
        <f t="shared" si="191"/>
        <v>-1</v>
      </c>
      <c r="RW7" s="284">
        <f>IF(OR(Tabla1[[#This Row],[FUM FORMULA CONFIABLE]]="",Tabla1[[#This Row],[FUM FORMULA CONFIABLE]]="SD"),"",IF(Tabla1[[#This Row],[FUM FORMULA CONFIABLE]]="CORREGIDA",Tabla1[[#This Row],[FUM X ECO 1]],Tabla1[[#This Row],[FUM x AMENORREA]]))</f>
        <v>44740</v>
      </c>
      <c r="RX7" s="21">
        <f>IF(AND(Tabla1[[#This Row],[FUM X ECO 1]]="",Tabla1[[#This Row],[FUM x AMENORREA]]=""),"",IF(AND(Tabla1[[#This Row],[FUM X ECO 1]]="",Tabla1[[#This Row],[FUM x AMENORREA]]&lt;&gt;""),"X",SUM(Tabla1[[#This Row],[FUM X ECO 1]]-Tabla1[[#This Row],[FUM x AMENORREA]])))</f>
        <v>0.90000000000145519</v>
      </c>
      <c r="RY7" s="21">
        <f t="shared" si="193"/>
        <v>0</v>
      </c>
    </row>
    <row r="8" spans="1:493" ht="45" customHeight="1" x14ac:dyDescent="0.25">
      <c r="A8" s="109"/>
      <c r="B8" s="43" t="s">
        <v>895</v>
      </c>
      <c r="C8" s="43" t="s">
        <v>845</v>
      </c>
      <c r="D8" s="124" t="s">
        <v>846</v>
      </c>
      <c r="E8" s="43" t="s">
        <v>896</v>
      </c>
      <c r="F8" s="43" t="s">
        <v>873</v>
      </c>
      <c r="G8" s="43"/>
      <c r="H8" s="43"/>
      <c r="I8" s="109" t="s">
        <v>851</v>
      </c>
      <c r="J8" s="110">
        <v>1002847560</v>
      </c>
      <c r="K8" s="43" t="s">
        <v>852</v>
      </c>
      <c r="L8" s="175" t="s">
        <v>853</v>
      </c>
      <c r="M8" s="22">
        <v>37461</v>
      </c>
      <c r="N8" s="213">
        <f t="shared" ca="1" si="0"/>
        <v>21.290410958904111</v>
      </c>
      <c r="O8" s="22">
        <v>44778</v>
      </c>
      <c r="P8" s="214" t="str">
        <f t="shared" si="1"/>
        <v>SI</v>
      </c>
      <c r="Q8" s="26" t="s">
        <v>855</v>
      </c>
      <c r="R8" s="22">
        <v>44778</v>
      </c>
      <c r="S8" s="21" t="s">
        <v>856</v>
      </c>
      <c r="T8" s="24" t="s">
        <v>690</v>
      </c>
      <c r="U8" s="21" t="s">
        <v>857</v>
      </c>
      <c r="V8" s="21" t="s">
        <v>858</v>
      </c>
      <c r="W8" s="21" t="s">
        <v>859</v>
      </c>
      <c r="X8" s="21" t="s">
        <v>859</v>
      </c>
      <c r="Y8" s="21" t="s">
        <v>859</v>
      </c>
      <c r="Z8" s="21" t="s">
        <v>894</v>
      </c>
      <c r="AA8" s="21" t="s">
        <v>860</v>
      </c>
      <c r="AB8" s="27" t="s">
        <v>861</v>
      </c>
      <c r="AC8" s="26" t="s">
        <v>897</v>
      </c>
      <c r="AD8" s="38" t="s">
        <v>846</v>
      </c>
      <c r="AE8" s="26" t="s">
        <v>864</v>
      </c>
      <c r="AF8" s="26" t="s">
        <v>854</v>
      </c>
      <c r="AG8" s="23" t="s">
        <v>864</v>
      </c>
      <c r="AH8" s="23" t="s">
        <v>864</v>
      </c>
      <c r="AI8" s="24" t="s">
        <v>863</v>
      </c>
      <c r="AJ8" s="23" t="s">
        <v>864</v>
      </c>
      <c r="AK8" s="220" t="str">
        <f>IF(AND(AD8="",AE8="",AF8="",AG8="",AH8="",AI8="",AJ8=""),"",IF(OR(Tabla1[[#This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EVALUACIÓN",IF(AND(O8="",R8=""),"",IF(AND(OR(O8&gt;0,R8&gt;0),NG8&gt;=0,NG8&lt;2),"SIN RIESGO",IF(AND(OR(O8&gt;0,R8&gt;0),NG8&gt;=2),"CON RIESGO","ASD")))))</f>
        <v>SIN RIESGO</v>
      </c>
      <c r="AL8" s="23" t="s">
        <v>864</v>
      </c>
      <c r="AM8" s="26" t="s">
        <v>864</v>
      </c>
      <c r="AN8" s="26" t="s">
        <v>864</v>
      </c>
      <c r="AO8" s="26" t="s">
        <v>864</v>
      </c>
      <c r="AP8" s="26" t="s">
        <v>864</v>
      </c>
      <c r="AQ8" s="26" t="s">
        <v>864</v>
      </c>
      <c r="AR8" s="26" t="s">
        <v>864</v>
      </c>
      <c r="AS8" s="21">
        <v>2</v>
      </c>
      <c r="AT8" s="21">
        <v>2</v>
      </c>
      <c r="AU8" s="21">
        <v>0</v>
      </c>
      <c r="AV8" s="26" t="s">
        <v>864</v>
      </c>
      <c r="AW8" s="21">
        <v>0</v>
      </c>
      <c r="AX8" s="26" t="s">
        <v>864</v>
      </c>
      <c r="AY8" s="26" t="s">
        <v>864</v>
      </c>
      <c r="AZ8" s="26" t="s">
        <v>864</v>
      </c>
      <c r="BA8" s="26" t="s">
        <v>864</v>
      </c>
      <c r="BB8" s="26" t="s">
        <v>864</v>
      </c>
      <c r="BC8" s="26" t="s">
        <v>864</v>
      </c>
      <c r="BD8" s="26" t="s">
        <v>864</v>
      </c>
      <c r="BE8" s="26" t="s">
        <v>864</v>
      </c>
      <c r="BF8" s="26" t="s">
        <v>864</v>
      </c>
      <c r="BG8" s="26" t="s">
        <v>864</v>
      </c>
      <c r="BH8" s="26" t="s">
        <v>864</v>
      </c>
      <c r="BI8" s="26" t="s">
        <v>864</v>
      </c>
      <c r="BJ8" s="26"/>
      <c r="BK8" s="26"/>
      <c r="BL8" s="26" t="s">
        <v>864</v>
      </c>
      <c r="BM8" s="26" t="s">
        <v>864</v>
      </c>
      <c r="BN8" s="22"/>
      <c r="BO8" s="286">
        <v>44726</v>
      </c>
      <c r="BP8" s="21" t="s">
        <v>854</v>
      </c>
      <c r="BQ8" s="222">
        <f t="shared" si="2"/>
        <v>0</v>
      </c>
      <c r="BR8" s="223">
        <f t="shared" si="3"/>
        <v>44726.2</v>
      </c>
      <c r="BS8" s="224">
        <f t="shared" si="4"/>
        <v>7.4285714285714288</v>
      </c>
      <c r="BT8" s="216" t="str">
        <f t="shared" si="5"/>
        <v>I TRIM</v>
      </c>
      <c r="BU8" s="214" t="str">
        <f t="shared" ca="1" si="6"/>
        <v/>
      </c>
      <c r="BV8" s="25"/>
      <c r="BW8" s="22">
        <v>44862</v>
      </c>
      <c r="BX8" s="28">
        <v>19.399999999999999</v>
      </c>
      <c r="BY8" s="28"/>
      <c r="BZ8" s="22">
        <v>44960</v>
      </c>
      <c r="CA8" s="21">
        <v>34</v>
      </c>
      <c r="CB8" s="26" t="s">
        <v>864</v>
      </c>
      <c r="CC8" s="26" t="s">
        <v>864</v>
      </c>
      <c r="CD8" s="26" t="s">
        <v>878</v>
      </c>
      <c r="CE8" s="26" t="s">
        <v>864</v>
      </c>
      <c r="CF8" s="22">
        <v>44778</v>
      </c>
      <c r="CG8" s="21">
        <v>1.52</v>
      </c>
      <c r="CH8" s="21">
        <v>55</v>
      </c>
      <c r="CI8" s="214">
        <f t="shared" si="7"/>
        <v>23.80540166204986</v>
      </c>
      <c r="CJ8" s="225" t="str">
        <f>IF(AND(CI8&lt;10,CH8="SD"),"SIN DATO PESO PREGESTACION O I TRIM",IF(AND(OR(R8&gt;0,O8&gt;0),CI8="X"),"INGRESAR DATO DE PESO",IF(CI8="SD","INGRESAR DATO DE TALLA Y PESO",IF(AND(OR(Tabla1[[#This Row],[MOMENTO EN QUE SE REALIZA EL PESO AL INGRESO A CPN]]="PREGESTACIÓN",NZ8="Menor"),CI8&lt;18.5),"BAJO PESO",IF(AND(OR(Tabla1[[#This Row],[MOMENTO EN QUE SE REALIZA EL PESO AL INGRESO A CPN]]="PREGESTACIÓN",NZ8="Menor"),CI8&lt;25),"NORMAL",IF(AND(OR(Tabla1[[#This Row],[MOMENTO EN QUE SE REALIZA EL PESO AL INGRESO A CPN]]="PREGESTACIÓN",NZ8="Menor"),CI8&lt;30),"SOBREPESO",IF(AND(OR(Tabla1[[#This Row],[MOMENTO EN QUE SE REALIZA EL PESO AL INGRESO A CPN]]="PREGESTACIÓN",NZ8="Menor"),CI8&gt;=30,CI8&lt;50),"OBESIDAD",IF(AND(BS8&gt;0,Tabla1[[#This Row],[MOMENTO EN QUE SE REALIZA EL PESO AL INGRESO A CPN]]="GESTACIÓN"),HLOOKUP(NZ8,$OA$2:PH8,NY8),""))))))))</f>
        <v>NORMAL</v>
      </c>
      <c r="CK8" s="212">
        <f t="shared" si="8"/>
        <v>44940</v>
      </c>
      <c r="CL8" s="21"/>
      <c r="CM8" s="214">
        <f t="shared" si="9"/>
        <v>0</v>
      </c>
      <c r="CN8" s="216">
        <f t="shared" si="10"/>
        <v>30</v>
      </c>
      <c r="CO8" s="216" t="e">
        <f>IF(PI8="","",IF(PI8&gt;0,HLOOKUP(PI8,$PJ$2:QQ8,NY8),""))</f>
        <v>#REF!</v>
      </c>
      <c r="CP8" s="21"/>
      <c r="CQ8" s="216" t="e">
        <f>IF(QR8="Menor","NO APLICA-MENOR 13 SEM",IF(AND(CC8="SI",CN8&gt;23),"NO APLICA- GEMELAR",IF(QR8="","",IF(QR8&gt;0,HLOOKUP(QR8,$QS$2:RU8,NY8),""))))</f>
        <v>#REF!</v>
      </c>
      <c r="CR8" s="21">
        <v>100</v>
      </c>
      <c r="CS8" s="21">
        <v>60</v>
      </c>
      <c r="CT8" s="217" t="str">
        <f>IF(R8="","",IF(AND(BS8&gt;1,BS8&lt;12,Tabla1[[#This Row],[T.A. SISTOLICA - ANTES DE SEMANA 12]]="",Tabla1[[#This Row],[T.A. DIASTOLICA - ANTES DE SEMANA 12]]=""),"REGISTRE DATO TA ANTES SEMANA 12",IF(AND(BS8&gt;11,BS8&lt;43,Tabla1[[#This Row],[T.A. SISTOLICA - ANTES DE SEMANA 12]]="",Tabla1[[#This Row],[T.A. DIASTOLICA - ANTES DE SEMANA 12]]=""),"NO APLICA REGISTRO TA-INGRESO TARDIO",IF(AND(OR(O8&gt;0,R8&gt;0),OR(CR8&gt;=140,CS8&gt;=90)),"DEFINIR ESTADIO HTA",IF(AND(OR(O8&gt;0,R8&gt;0),AND(CR8&gt;120,CR8&lt;=139)),"PRE HTA SEGUIMIENTO",IF(AND(OR(O8&gt;0,R8&gt;0),AND(CS8&gt;80,CS8&lt;=89)),"PRE HTA SEGUIMIENTO",IF(AND(OR(O8&gt;0,R8&gt;0),AND(CR8&gt;=80,CR8&lt;=120)),"APARENTEMENTE NORMAL",IF(AND(OR(O8&gt;0,R8&gt;0),AND(CS8&gt;=50,CS8&lt;=80)),"APARENTEMENTE NORMAL",IF(AND(OR(O8&gt;0,R8&gt;0),AND(CR8&gt;1,CR8&lt;=70),AND(CS8&gt;1,CS8&lt;=40)),"HIPOTENSIÓN","")))))))))</f>
        <v>APARENTEMENTE NORMAL</v>
      </c>
      <c r="CU8" s="21"/>
      <c r="CV8" s="21"/>
      <c r="CW8" s="217" t="str">
        <f ca="1">IF(R8="","",IF(AND(CN8&gt;19,CN8&lt;27,Tabla1[[#This Row],[T.A. SISTOLICA (Entre semana 20 y 26)]]="",Tabla1[[#This Row],[T.A. DIATOLICA (Entre semana 20 y 26)]]=""),"ACUDE A CONTROL SEM 20 A 26 REGISTRE TA AHORA",IF(AND(BS8&gt;1,BS8&lt;27,BU8&gt;19,Tabla1[[#This Row],[T.A. SISTOLICA (Entre semana 20 y 26)]]="",Tabla1[[#This Row],[T.A. DIATOLICA (Entre semana 20 y 26)]]=""),"COMPLETE REGISTRO TA CONTROL SEM 20 A26 ",IF(AND(BS8&gt;26,BS8&lt;43,Tabla1[[#This Row],[T.A. SISTOLICA (Entre semana 20 y 26)]]="",Tabla1[[#This Row],[T.A. DIATOLICA (Entre semana 20 y 26)]]=""),"NO APLICA REGISTRO TA-INGRESO TARDIO",IF(AND(OR(O8&gt;0,R8&gt;0),OR(CU8&gt;=140,CV8&gt;=90)),"ALTO RIESGO PREECLAMPSIA,DEFINIR ESTADIO HTA",IF(AND(OR(O8&gt;0,R8&gt;0),AND(CU8&gt;120,CU8&lt;=139)),"PRE HTA SEGUIMIENTO,RIESGO HIPERTENSION INDUCIDA POR EL EMBARAZO",IF(AND(OR(O8&gt;0,R8&gt;0),AND(CV8&gt;80,CV8&lt;=89)),"PRE HTA SEGUIMIENTO, RIESGO HIPERTENSION INDUCIDA POR EL EMBARAZO",IF(AND(OR(O8&lt;&gt;"",R8&lt;&gt;""),CS8&lt;&gt;"",CV8&lt;&gt;"",CS8&lt;=CV8),"VIGILAR CIFRAS PRESION ARTERIAL",IF(AND(OR(O8&gt;0,R8&gt;0),AND(CU8&gt;120,CU8&lt;=139)),"PRE HTA SEGUIMIENTO",IF(AND(OR(O8&gt;0,R8&gt;0),AND(CU8&gt;1,CU8&lt;=70),AND(CV8&gt;1,CV8&lt;=40)),"HIPOTENSIÓN",IF(AND(OR(O8&lt;&gt;"",R8&lt;&gt;""),CS8&lt;&gt;"",CV8&lt;&gt;"",CS8&gt;CV8),"APARENTEMENTE NORMAL",IF(AND(OR(O8&gt;0,R8&gt;0),AND(CU8&gt;=80,CU8&lt;=120)),"APARENTEMENTE NORMAL",IF(AND(OR(O8&gt;0,R8&gt;0),AND(CV8&gt;=50,CV8&lt;=80)),"APARENTEMENTE NORMAL","")))))))))))))</f>
        <v xml:space="preserve">COMPLETE REGISTRO TA CONTROL SEM 20 A26 </v>
      </c>
      <c r="CX8" s="21">
        <v>100</v>
      </c>
      <c r="CY8" s="21">
        <v>60</v>
      </c>
      <c r="CZ8" s="216" t="str">
        <f t="shared" si="11"/>
        <v>APARENTEMENTE NORMAL</v>
      </c>
      <c r="DA8" s="21"/>
      <c r="DB8" s="21"/>
      <c r="DC8" s="217" t="str">
        <f t="shared" si="12"/>
        <v>REGISTRE DATO PRESIÓN ARTERIAL MENSUAL</v>
      </c>
      <c r="DD8" s="22">
        <v>44778</v>
      </c>
      <c r="DE8" s="22">
        <v>44778</v>
      </c>
      <c r="DF8" s="22">
        <v>44837</v>
      </c>
      <c r="DG8" s="22">
        <v>44886</v>
      </c>
      <c r="DH8" s="22">
        <v>44940</v>
      </c>
      <c r="DI8" s="22"/>
      <c r="DJ8" s="22"/>
      <c r="DK8" s="22"/>
      <c r="DL8" s="22"/>
      <c r="DM8" s="22"/>
      <c r="DN8" s="22"/>
      <c r="DO8" s="22"/>
      <c r="DP8" s="22"/>
      <c r="DQ8" s="22"/>
      <c r="DR8" s="28">
        <v>2</v>
      </c>
      <c r="DS8" s="22"/>
      <c r="DT8" s="22"/>
      <c r="DU8" s="216" t="str">
        <f t="shared" ca="1" si="13"/>
        <v>SALE SIN PLAN DE PARTO</v>
      </c>
      <c r="DV8" s="226" t="str">
        <f t="shared" si="14"/>
        <v>SALIO PROGRAMA</v>
      </c>
      <c r="DW8"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8" s="216" t="str">
        <f t="shared" ca="1" si="15"/>
        <v/>
      </c>
      <c r="DY8" s="212">
        <f>IF(R8="","",IF(R8&gt;0,MAX(Tabla1[[#This Row],[FECHA C2]:[FECHA C13]],Tabla1[[#This Row],[FECHA CONSULTA PRIMERA VEZ PROGRAMA CPN ]])))</f>
        <v>44940</v>
      </c>
      <c r="DZ8" s="216">
        <f t="shared" si="16"/>
        <v>30</v>
      </c>
      <c r="EA8" s="222">
        <f>IF(R8&gt;0,SUM(COUNTA(DF8:DQ8)+COUNTA(Tabla1[[#This Row],[FECHA CONSULTA PRIMERA VEZ PROGRAMA CPN ]])),"")</f>
        <v>4</v>
      </c>
      <c r="EB8" s="222" t="str">
        <f t="shared" si="17"/>
        <v>SI</v>
      </c>
      <c r="EC8" s="214">
        <f t="shared" si="18"/>
        <v>10</v>
      </c>
      <c r="ED8" s="227">
        <f t="shared" si="19"/>
        <v>0.4</v>
      </c>
      <c r="EE8" s="22">
        <v>44778</v>
      </c>
      <c r="EF8" s="22">
        <v>44859</v>
      </c>
      <c r="EG8" s="22">
        <v>44837</v>
      </c>
      <c r="EH8" s="22"/>
      <c r="EI8" s="22">
        <v>44837</v>
      </c>
      <c r="EJ8" s="22"/>
      <c r="EK8" s="22"/>
      <c r="EL8" s="21"/>
      <c r="EM8" s="21">
        <v>12.9</v>
      </c>
      <c r="EN8" s="22">
        <v>44862</v>
      </c>
      <c r="EO8" s="222">
        <f t="shared" si="20"/>
        <v>19.428571428571427</v>
      </c>
      <c r="EP8" s="214" t="str">
        <f t="shared" si="21"/>
        <v>NORMAL- SUMINISTRAR SULFATO FERROSO</v>
      </c>
      <c r="EQ8" s="216" t="str">
        <f t="shared" si="22"/>
        <v>II TRIM</v>
      </c>
      <c r="ER8" s="24"/>
      <c r="ES8" s="22"/>
      <c r="ET8" s="29" t="str">
        <f t="shared" ca="1" si="23"/>
        <v>SALE SIN TAMIZAJE HEMOGLOBINA SEM 28</v>
      </c>
      <c r="EU8" s="25" t="str">
        <f t="shared" si="24"/>
        <v/>
      </c>
      <c r="EV8" s="24" t="s">
        <v>866</v>
      </c>
      <c r="EW8" s="24">
        <v>44862</v>
      </c>
      <c r="EX8" s="22"/>
      <c r="EY8" s="29">
        <f t="shared" si="25"/>
        <v>19.428571428571427</v>
      </c>
      <c r="EZ8" s="25" t="str">
        <f t="shared" ca="1" si="26"/>
        <v/>
      </c>
      <c r="FA8" s="21">
        <v>69</v>
      </c>
      <c r="FB8" s="22">
        <v>44862</v>
      </c>
      <c r="FC8" s="29">
        <f t="shared" si="27"/>
        <v>19.428571428571427</v>
      </c>
      <c r="FD8" s="29"/>
      <c r="FE8" s="29"/>
      <c r="FF8" s="29"/>
      <c r="FG8" s="21" t="str">
        <f t="shared" ca="1" si="28"/>
        <v/>
      </c>
      <c r="FH8" s="31"/>
      <c r="FI8" s="29" t="str">
        <f t="shared" si="29"/>
        <v>TOMAR EXAMEN</v>
      </c>
      <c r="FJ8" s="22"/>
      <c r="FK8" s="22"/>
      <c r="FL8" s="29" t="str">
        <f t="shared" ca="1" si="30"/>
        <v>PIERDE TOMA DE TAMIZAJE</v>
      </c>
      <c r="FM8" s="22" t="s">
        <v>867</v>
      </c>
      <c r="FN8" s="32">
        <v>44862</v>
      </c>
      <c r="FO8" s="29">
        <f t="shared" ca="1" si="31"/>
        <v>19.428571428571427</v>
      </c>
      <c r="FP8" s="22"/>
      <c r="FQ8" s="32"/>
      <c r="FR8" s="29" t="str">
        <f t="shared" ca="1" si="32"/>
        <v>PIERDE TOMA DE TAMIZAJE</v>
      </c>
      <c r="FS8" s="22"/>
      <c r="FT8" s="32"/>
      <c r="FU8" s="29" t="str">
        <f>IF(AND(FJ8="",FM8="",FP8="",FS8=""),"",IF(OR(OR(Tabla1[[#This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8" s="28"/>
      <c r="FW8" s="22"/>
      <c r="FX8" s="29" t="str">
        <f t="shared" si="33"/>
        <v>TOMAR EXAMEN</v>
      </c>
      <c r="FY8" s="22">
        <v>44862</v>
      </c>
      <c r="FZ8" s="22">
        <v>44862</v>
      </c>
      <c r="GA8" s="29" t="str">
        <f t="shared" si="34"/>
        <v>REGISTRAR EN II TRIMESTRE</v>
      </c>
      <c r="GB8" s="22" t="s">
        <v>868</v>
      </c>
      <c r="GC8" s="22">
        <v>44862</v>
      </c>
      <c r="GD8" s="29">
        <f t="shared" ca="1" si="35"/>
        <v>19.428571428571427</v>
      </c>
      <c r="GE8" s="22"/>
      <c r="GF8" s="22"/>
      <c r="GG8" s="29" t="str">
        <f t="shared" ca="1" si="36"/>
        <v>PIERDE TOMA DE TAMIZAJE</v>
      </c>
      <c r="GH8" s="22"/>
      <c r="GI8" s="29"/>
      <c r="GJ8" s="22"/>
      <c r="GK8" s="22"/>
      <c r="GL8" s="22" t="s">
        <v>879</v>
      </c>
      <c r="GM8" s="22"/>
      <c r="GN8" s="28" t="s">
        <v>869</v>
      </c>
      <c r="GO8" s="22">
        <v>44862</v>
      </c>
      <c r="GP8" s="29">
        <f t="shared" si="37"/>
        <v>19.428571428571427</v>
      </c>
      <c r="GQ8" s="28" t="s">
        <v>869</v>
      </c>
      <c r="GR8" s="28" t="s">
        <v>869</v>
      </c>
      <c r="GS8" s="22" t="str">
        <f t="shared" si="38"/>
        <v>CONTROL Igm</v>
      </c>
      <c r="GT8" s="22">
        <v>44862</v>
      </c>
      <c r="GU8" s="29">
        <f t="shared" si="39"/>
        <v>19.428571428571427</v>
      </c>
      <c r="GV8" s="21" t="str">
        <f t="shared" si="40"/>
        <v>II TRIM</v>
      </c>
      <c r="GW8" s="28" t="s">
        <v>869</v>
      </c>
      <c r="GX8" s="30"/>
      <c r="GY8" s="21"/>
      <c r="GZ8" s="21"/>
      <c r="HA8" s="21"/>
      <c r="HB8" s="21"/>
      <c r="HC8" s="21"/>
      <c r="HD8" s="21"/>
      <c r="HE8" s="21"/>
      <c r="HF8" s="22"/>
      <c r="HG8" s="22" t="str">
        <f>IF(OR(O8&gt;0,R8&gt;0),CONCATENATE(IF(Tabla1[[#This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8" s="22" t="e">
        <f t="shared" si="41"/>
        <v>#REF!</v>
      </c>
      <c r="HI8" s="22" t="e">
        <f t="shared" ca="1" si="42"/>
        <v>#REF!</v>
      </c>
      <c r="HJ8" s="21" t="str">
        <f t="shared" ca="1" si="43"/>
        <v>***************************************</v>
      </c>
      <c r="HK8" s="21" t="str">
        <f t="shared" si="44"/>
        <v>SIN ANTECEDENTES DE RIESGO</v>
      </c>
      <c r="HL8" s="24" t="str">
        <f t="shared" si="45"/>
        <v>REGISTRE DATO PRESIÓN ARTERIAL MENSUAL</v>
      </c>
      <c r="HM8" s="21" t="str">
        <f t="shared" ca="1" si="46"/>
        <v/>
      </c>
      <c r="HN8" s="30" t="str">
        <f t="shared" si="47"/>
        <v>SALIO PROGRAMA</v>
      </c>
      <c r="HO8" s="21"/>
      <c r="HP8" s="21"/>
      <c r="HQ8" s="21">
        <v>44837</v>
      </c>
      <c r="HR8" s="21" t="str">
        <f>IF(R8="","",IF(Tabla1[[#This Row],[ALARMA FACTORES DE RIESGO COMPLICACIONES HIPERTENSIVAS3]]="SIN ANTECEDENTES DE RIESGO","No Aplica para suministro de ASA",IF(AND(Tabla1[[#This Row],[FECHA INICIO DE SUMINISTRO DE ASA]]&gt;0,RV8&lt;12),"Inicia ASA ANTES de Sem 12",IF(AND(RV8&gt;11,RV8&lt;17,OR(HK8="RIESGO ALTO DE COMPLICACIONES HIPERTENSIVAS VER MANEJO GUIA SUMINISTRO ASA Y CALCIO",HK8="RIESGO MODERADO (2 O MAS CRITERIOS) VER MANEJO GUIA SUMINISTRO ASA Y CALCIO")),"Inicio oportuno de ASA",IF(AND(RV8&gt;12,OR(HK8="RIESGO ALTO DE COMPLICACIONES HIPERTENSIVAS VER MANEJO GUIA SUMINISTRO ASA Y CALCIO",HK8="RIESGO MODERADO (2 O MAS CRITERIOS) VER MANEJO GUIA SUMINISTRO ASA Y CALCIO")),"Inicio no oportuno mayor a 16 semanas",IF(AND(BU8&lt;12,OR(HK8="RIESGO ALTO DE COMPLICACIONES HIPERTENSIVAS VER MANEJO GUIA SUMINISTRO ASA Y CALCIO",HK8="RIESGO MODERADO (2 O MAS CRITERIOS) VER MANEJO GUIA SUMINISTRO ASA Y CALCIO")),"Pendiente Inicio de ASA a la semana 12",IF(AND(BU8&gt;11,BU8&lt;17,OR(HK8="RIESGO ALTO DE COMPLICACIONES HIPERTENSIVAS VER MANEJO GUIA SUMINISTRO ASA Y CALCIO",HK8="RIESGO MODERADO (2 O MAS CRITERIOS) VER MANEJO GUIA SUMINISTRO ASA Y CALCIO")),"Iniciar de inmediato ASA",IF(AND(BU8&gt;16,OR(HK8="RIESGO ALTO DE COMPLICACIONES HIPERTENSIVAS VER MANEJO GUIA SUMINISTRO ASA Y CALCIO",HK8="RIESGO MODERADO (2 O MAS CRITERIOS) VER MANEJO GUIA SUMINISTRO ASA Y CALCIO")),"Pierde Oportunidad, Inicio tardío de ASA","XXXXX"))))))))</f>
        <v>No Aplica para suministro de ASA</v>
      </c>
      <c r="HS8" s="22">
        <v>44837</v>
      </c>
      <c r="HT8" s="22" t="s">
        <v>870</v>
      </c>
      <c r="HU8" s="22">
        <v>44837</v>
      </c>
      <c r="HV8" s="22" t="s">
        <v>870</v>
      </c>
      <c r="HW8" s="22">
        <v>44837</v>
      </c>
      <c r="HX8" s="22" t="s">
        <v>870</v>
      </c>
      <c r="HY8" s="22">
        <v>44837</v>
      </c>
      <c r="HZ8" s="28">
        <f t="shared" si="48"/>
        <v>15.857142857142858</v>
      </c>
      <c r="IA8" s="26" t="s">
        <v>864</v>
      </c>
      <c r="IB8" s="26"/>
      <c r="IC8" s="111">
        <v>44862</v>
      </c>
      <c r="ID8" s="22"/>
      <c r="IE8" s="22" t="str">
        <f t="shared" ca="1" si="49"/>
        <v>SALE SIN VACUNA</v>
      </c>
      <c r="IF8" s="22"/>
      <c r="IG8" s="22">
        <f t="shared" si="50"/>
        <v>45006</v>
      </c>
      <c r="IH8" s="29">
        <f t="shared" ca="1" si="51"/>
        <v>-226</v>
      </c>
      <c r="II8" s="22" t="str">
        <f t="shared" ca="1" si="52"/>
        <v>POSIBLEMENTE NACIO</v>
      </c>
      <c r="IJ8" s="22"/>
      <c r="IK8" s="21" t="s">
        <v>898</v>
      </c>
      <c r="IL8" s="21"/>
      <c r="IM8" s="34"/>
      <c r="IN8" s="349">
        <v>44986</v>
      </c>
      <c r="IO8" s="21" t="s">
        <v>1640</v>
      </c>
      <c r="IP8" s="29">
        <f t="shared" si="53"/>
        <v>37.142857142857146</v>
      </c>
      <c r="IQ8" s="35"/>
      <c r="IR8" s="21" t="s">
        <v>879</v>
      </c>
      <c r="IS8" s="21" t="s">
        <v>1648</v>
      </c>
      <c r="IT8" s="21" t="s">
        <v>1642</v>
      </c>
      <c r="IU8" s="21"/>
      <c r="IV8" s="21"/>
      <c r="IW8" s="21"/>
      <c r="IX8" s="21"/>
      <c r="IY8" s="21"/>
      <c r="IZ8" s="21"/>
      <c r="JA8" s="21"/>
      <c r="JB8" s="30">
        <v>1</v>
      </c>
      <c r="JC8" s="21" t="s">
        <v>1643</v>
      </c>
      <c r="JD8" s="36">
        <v>3400</v>
      </c>
      <c r="JE8" s="21" t="str">
        <f t="shared" si="54"/>
        <v>PESO ADECUADO EDAD GESTACIONAL</v>
      </c>
      <c r="JF8" s="30"/>
      <c r="JG8" s="21"/>
      <c r="JH8" s="21"/>
      <c r="JI8" s="21"/>
      <c r="JJ8" s="30"/>
      <c r="JK8" s="22"/>
      <c r="JL8" s="22"/>
      <c r="JM8" s="21"/>
      <c r="JN8" s="36"/>
      <c r="JO8" s="21" t="str">
        <f t="shared" si="55"/>
        <v/>
      </c>
      <c r="JP8" s="22"/>
      <c r="JQ8" s="21"/>
      <c r="JR8" s="21"/>
      <c r="JS8" s="21"/>
      <c r="JT8" s="30"/>
      <c r="JU8" s="22"/>
      <c r="JV8" s="22"/>
      <c r="JW8" s="33"/>
      <c r="JX8" s="28" t="str">
        <f t="shared" si="56"/>
        <v>INASISTENTE</v>
      </c>
      <c r="JY8" s="33"/>
      <c r="JZ8" s="28" t="str">
        <f t="shared" si="57"/>
        <v>INASISTENTE</v>
      </c>
      <c r="KA8" s="21"/>
      <c r="KB8" s="21"/>
      <c r="KC8" s="21"/>
      <c r="KD8" s="37"/>
      <c r="KE8" s="28"/>
      <c r="KF8" s="28"/>
      <c r="KG8" s="28"/>
      <c r="KH8" s="39"/>
      <c r="KI8" s="39"/>
      <c r="KJ8" s="66"/>
      <c r="KK8" s="39"/>
      <c r="KL8" s="39"/>
      <c r="KM8" s="66"/>
      <c r="KN8" s="39"/>
      <c r="KO8" s="39"/>
      <c r="KP8" s="39"/>
      <c r="KQ8" s="39"/>
      <c r="KR8" s="39"/>
      <c r="KS8" s="39"/>
      <c r="KT8" s="39"/>
      <c r="KU8" s="38"/>
      <c r="KV8" s="38"/>
      <c r="KW8" s="38"/>
      <c r="KX8" s="38"/>
      <c r="KY8" s="38"/>
      <c r="KZ8" s="38"/>
      <c r="LA8" s="38"/>
      <c r="LB8" s="38"/>
      <c r="LC8" s="38"/>
      <c r="LD8" s="38"/>
      <c r="LE8" s="38"/>
      <c r="LF8" s="38"/>
      <c r="LG8" s="38"/>
      <c r="LH8" s="38"/>
      <c r="LI8" s="38"/>
      <c r="LJ8" s="38"/>
      <c r="LK8" s="38"/>
      <c r="LL8" s="38"/>
      <c r="LM8" s="38"/>
      <c r="LN8" s="38"/>
      <c r="LO8" s="38"/>
      <c r="LP8" s="38"/>
      <c r="LQ8" s="38"/>
      <c r="LR8" s="38"/>
      <c r="LS8" s="38"/>
      <c r="LT8" s="38"/>
      <c r="LU8" s="38"/>
      <c r="LV8" s="38"/>
      <c r="LW8" s="38"/>
      <c r="LX8" s="38"/>
      <c r="LY8" s="38"/>
      <c r="LZ8" s="38"/>
      <c r="MA8" s="38"/>
      <c r="MB8" s="38"/>
      <c r="MC8" s="38"/>
      <c r="MD8" s="38"/>
      <c r="ME8" s="38"/>
      <c r="MF8" s="38"/>
      <c r="MG8" s="38"/>
      <c r="MH8" s="43">
        <f t="shared" si="58"/>
        <v>0</v>
      </c>
      <c r="MI8" s="43" t="str">
        <f t="shared" si="59"/>
        <v/>
      </c>
      <c r="MJ8" s="43" t="str">
        <f t="shared" si="60"/>
        <v/>
      </c>
      <c r="MK8" s="43">
        <f t="shared" si="61"/>
        <v>0</v>
      </c>
      <c r="ML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8" s="43">
        <f t="shared" si="62"/>
        <v>7.4285714285714288</v>
      </c>
      <c r="MN8" s="43">
        <f t="shared" si="63"/>
        <v>8</v>
      </c>
      <c r="MO8" s="43">
        <f t="shared" si="64"/>
        <v>2022</v>
      </c>
      <c r="MP8" s="43" t="str">
        <f t="shared" si="65"/>
        <v>III TRIMESTRE AÑO</v>
      </c>
      <c r="MQ8" s="43">
        <f t="shared" si="66"/>
        <v>19.741020586946998</v>
      </c>
      <c r="MR8" s="43">
        <f t="shared" si="67"/>
        <v>0</v>
      </c>
      <c r="MS8" s="43" t="str">
        <f t="shared" si="68"/>
        <v>DE 14 A 19AÑOS</v>
      </c>
      <c r="MT8" s="43">
        <f t="shared" si="69"/>
        <v>0</v>
      </c>
      <c r="MU8" s="43">
        <f t="shared" si="70"/>
        <v>0</v>
      </c>
      <c r="MV8" s="43">
        <f t="shared" si="71"/>
        <v>0</v>
      </c>
      <c r="MW8" s="43">
        <f t="shared" si="72"/>
        <v>0</v>
      </c>
      <c r="MX8" s="43" t="str">
        <f t="shared" si="73"/>
        <v/>
      </c>
      <c r="MY8" s="43" t="str">
        <f t="shared" ca="1" si="74"/>
        <v/>
      </c>
      <c r="MZ8" s="43" t="str">
        <f t="shared" si="75"/>
        <v/>
      </c>
      <c r="NA8" s="43">
        <f t="shared" si="76"/>
        <v>0</v>
      </c>
      <c r="NB8" s="43" t="str">
        <f t="shared" si="77"/>
        <v/>
      </c>
      <c r="NC8" s="43" t="str">
        <f t="shared" si="78"/>
        <v/>
      </c>
      <c r="ND8" s="43">
        <f t="shared" ca="1" si="79"/>
        <v>0.5</v>
      </c>
      <c r="NE8" s="43">
        <f>IF(OR(O8&gt;0,R8&gt;0),SUM(COUNTIF(Tabla1[[#This Row],[AÑOS AL INICIO5 CPN]],"&gt;=40"),COUNTIF(AS8,"0"),COUNTIF(AR8,"SI"),COUNTIF(CC8,"SI"),COUNTIF(BQ8,"&gt;119"),COUNTIF(CI8,"&gt;=35")),"")</f>
        <v>0</v>
      </c>
      <c r="NF8" s="43" t="str">
        <f t="shared" si="80"/>
        <v/>
      </c>
      <c r="NG8" s="43">
        <f t="shared" si="81"/>
        <v>0.5</v>
      </c>
      <c r="NH8" s="43">
        <f t="shared" si="82"/>
        <v>135.79999999999998</v>
      </c>
      <c r="NI8"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CPN",P8="NO"),"Z",IF(AND(Tabla1[[#This Row],[CITA PROXIMO CONTROL]]="CITA MANUAL",Tabla1[[#This Row],[GESTANTES ACTUALES]]="ACTIVA INGRESO A CPN"),"W",IF(AND(Tabla1[[#This Row],[GESTANTES ACTUALES]]="SALIO PROGRAMA",IN8=""),"S",IF(AND(Tabla1[[#This Row],[CITA PROXIMO CONTROL]]&gt;0,IN8=""),(Tabla1[[#This Row],[CITA PROXIMO CONTROL]]-TODAY()),"SD"))))))))</f>
        <v>SD</v>
      </c>
      <c r="NJ8" s="43">
        <f>MONTH(Tabla1[[#This Row],[FECHA DE SALIDA  DEL PROGRAMA]])</f>
        <v>3</v>
      </c>
      <c r="NK8" s="43">
        <f>YEAR(Tabla1[[#This Row],[FECHA DE SALIDA  DEL PROGRAMA]])</f>
        <v>2023</v>
      </c>
      <c r="NL8" s="43" t="str">
        <f t="shared" si="83"/>
        <v>X</v>
      </c>
      <c r="NM8" s="43" t="str">
        <f t="shared" si="84"/>
        <v>NO</v>
      </c>
      <c r="NN8" s="43" t="str">
        <f ca="1">IF(AND(O8&gt;0,R8=""),"NO CPN",IF(AND(O8="",R8=""),"",IF(AND(R8&gt;0,Tabla1[[#This Row],[SEMANAS DE GESTACION ACTUALIZADAS]]&lt;=12),"NO APLICA",IF(AND(FH8&lt;&gt;"",FN8&lt;&gt;""),"SI","NO"))))</f>
        <v>NO</v>
      </c>
      <c r="NO8" s="43" t="str">
        <f ca="1">IF(AND(O8&gt;0,R8=""),"NO CPN",IF(AND(O8="",R8=""),"",IF(AND(R8&gt;0,Tabla1[[#This Row],[SEMANAS DE GESTACION ACTUALIZADAS]]&lt;=27),"NO APLICA",IF(AND(ES8&lt;&gt;"",FQ8&lt;&gt;"",GF8&lt;&gt;""),"SI","NO"))))</f>
        <v>NO</v>
      </c>
      <c r="NP8" s="204" t="str">
        <f t="shared" si="85"/>
        <v>I TRIM</v>
      </c>
      <c r="NQ8" s="21" t="str">
        <f t="shared" si="86"/>
        <v/>
      </c>
      <c r="NR8" s="21">
        <f t="shared" si="87"/>
        <v>3</v>
      </c>
      <c r="NS8" s="205">
        <f t="shared" ca="1" si="88"/>
        <v>1</v>
      </c>
      <c r="NT8" s="21">
        <f t="shared" ca="1" si="89"/>
        <v>1</v>
      </c>
      <c r="NU8" s="21" t="str">
        <f t="shared" ca="1" si="90"/>
        <v>INCOMPLETO</v>
      </c>
      <c r="NV8" s="21" t="str">
        <f t="shared" ca="1" si="91"/>
        <v>INCOMPLETO</v>
      </c>
      <c r="NW8" s="206" t="str">
        <f>IF(AND(O8="",R8=""),"",IF(OR(AND(Tabla1[[#This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8" s="207" t="str">
        <f t="shared" ca="1" si="92"/>
        <v>SIN VACUNAR</v>
      </c>
      <c r="NY8" s="43">
        <f>ROW(Tabla1[[#This Row],['# DE TAMIZAJES SIFILIS TOMADOS ]])</f>
        <v>8</v>
      </c>
      <c r="NZ8" s="43" t="str">
        <f t="shared" si="93"/>
        <v>Menor</v>
      </c>
      <c r="OA8" s="43" t="str">
        <f t="shared" si="94"/>
        <v>NORMAL</v>
      </c>
      <c r="OB8" s="43" t="str">
        <f t="shared" si="95"/>
        <v/>
      </c>
      <c r="OC8" s="43" t="str">
        <f t="shared" si="96"/>
        <v/>
      </c>
      <c r="OD8" s="43" t="str">
        <f t="shared" si="97"/>
        <v/>
      </c>
      <c r="OE8" s="43" t="str">
        <f t="shared" si="98"/>
        <v/>
      </c>
      <c r="OF8" s="43" t="str">
        <f t="shared" si="99"/>
        <v/>
      </c>
      <c r="OG8" s="43" t="str">
        <f t="shared" si="100"/>
        <v/>
      </c>
      <c r="OH8" s="43" t="str">
        <f t="shared" si="101"/>
        <v/>
      </c>
      <c r="OI8" s="43" t="str">
        <f t="shared" si="102"/>
        <v/>
      </c>
      <c r="OJ8" s="43" t="str">
        <f t="shared" si="103"/>
        <v/>
      </c>
      <c r="OK8" s="43" t="str">
        <f t="shared" si="104"/>
        <v/>
      </c>
      <c r="OL8" s="43" t="str">
        <f t="shared" si="105"/>
        <v/>
      </c>
      <c r="OM8" s="43" t="str">
        <f t="shared" si="106"/>
        <v/>
      </c>
      <c r="ON8" s="43" t="str">
        <f t="shared" si="107"/>
        <v/>
      </c>
      <c r="OO8" s="43" t="str">
        <f t="shared" si="108"/>
        <v/>
      </c>
      <c r="OP8" s="43" t="str">
        <f t="shared" si="109"/>
        <v/>
      </c>
      <c r="OQ8" s="43" t="str">
        <f t="shared" si="110"/>
        <v/>
      </c>
      <c r="OR8" s="43" t="str">
        <f t="shared" si="111"/>
        <v/>
      </c>
      <c r="OS8" s="43" t="str">
        <f t="shared" si="112"/>
        <v/>
      </c>
      <c r="OT8" s="43" t="str">
        <f t="shared" si="113"/>
        <v/>
      </c>
      <c r="OU8" s="43" t="str">
        <f t="shared" si="114"/>
        <v/>
      </c>
      <c r="OV8" s="110" t="str">
        <f t="shared" si="115"/>
        <v/>
      </c>
      <c r="OW8" s="43" t="str">
        <f t="shared" si="116"/>
        <v/>
      </c>
      <c r="OX8" s="43" t="str">
        <f t="shared" si="117"/>
        <v/>
      </c>
      <c r="OY8" s="43" t="str">
        <f t="shared" si="118"/>
        <v/>
      </c>
      <c r="OZ8" s="43" t="str">
        <f t="shared" si="119"/>
        <v/>
      </c>
      <c r="PA8" s="43" t="str">
        <f t="shared" si="120"/>
        <v/>
      </c>
      <c r="PB8" s="43" t="str">
        <f t="shared" si="121"/>
        <v/>
      </c>
      <c r="PC8" s="43" t="str">
        <f t="shared" si="122"/>
        <v/>
      </c>
      <c r="PD8" s="43" t="str">
        <f t="shared" si="123"/>
        <v/>
      </c>
      <c r="PE8" s="43" t="str">
        <f t="shared" si="124"/>
        <v/>
      </c>
      <c r="PF8" s="43" t="str">
        <f t="shared" si="125"/>
        <v/>
      </c>
      <c r="PG8" s="43" t="str">
        <f t="shared" si="126"/>
        <v/>
      </c>
      <c r="PH8" s="43" t="str">
        <f t="shared" si="127"/>
        <v/>
      </c>
      <c r="PI8" s="43">
        <f t="shared" si="128"/>
        <v>30</v>
      </c>
      <c r="PJ8" s="43" t="str">
        <f t="shared" si="129"/>
        <v/>
      </c>
      <c r="PK8" s="43" t="str">
        <f t="shared" si="130"/>
        <v/>
      </c>
      <c r="PL8" s="43" t="str">
        <f t="shared" si="131"/>
        <v/>
      </c>
      <c r="PM8" s="43" t="str">
        <f t="shared" si="132"/>
        <v/>
      </c>
      <c r="PN8" s="43" t="str">
        <f t="shared" si="133"/>
        <v/>
      </c>
      <c r="PO8" s="43" t="str">
        <f t="shared" si="134"/>
        <v/>
      </c>
      <c r="PP8" s="43" t="str">
        <f t="shared" si="135"/>
        <v/>
      </c>
      <c r="PQ8" s="43" t="str">
        <f t="shared" si="136"/>
        <v/>
      </c>
      <c r="PR8" s="43" t="str">
        <f t="shared" si="137"/>
        <v/>
      </c>
      <c r="PS8" s="43" t="str">
        <f t="shared" si="138"/>
        <v/>
      </c>
      <c r="PT8" s="43" t="str">
        <f t="shared" si="139"/>
        <v/>
      </c>
      <c r="PU8" s="43" t="str">
        <f t="shared" si="140"/>
        <v/>
      </c>
      <c r="PV8" s="43" t="str">
        <f t="shared" si="141"/>
        <v/>
      </c>
      <c r="PW8" s="43" t="str">
        <f t="shared" si="142"/>
        <v/>
      </c>
      <c r="PX8" s="43" t="str">
        <f t="shared" si="143"/>
        <v/>
      </c>
      <c r="PY8" s="43" t="str">
        <f t="shared" si="144"/>
        <v/>
      </c>
      <c r="PZ8" s="43" t="str">
        <f t="shared" si="145"/>
        <v/>
      </c>
      <c r="QA8" s="43" t="str">
        <f t="shared" si="146"/>
        <v/>
      </c>
      <c r="QB8" s="43" t="str">
        <f t="shared" si="147"/>
        <v/>
      </c>
      <c r="QC8" s="43" t="str">
        <f t="shared" si="148"/>
        <v/>
      </c>
      <c r="QD8" s="43" t="str">
        <f t="shared" si="149"/>
        <v/>
      </c>
      <c r="QE8" s="43" t="str">
        <f t="shared" si="150"/>
        <v/>
      </c>
      <c r="QF8" s="43" t="str">
        <f t="shared" si="151"/>
        <v/>
      </c>
      <c r="QG8" s="43" t="str">
        <f t="shared" si="152"/>
        <v/>
      </c>
      <c r="QH8" s="43" t="str">
        <f t="shared" si="153"/>
        <v/>
      </c>
      <c r="QI8" s="43" t="str">
        <f t="shared" si="154"/>
        <v/>
      </c>
      <c r="QJ8" s="43" t="str">
        <f t="shared" si="155"/>
        <v/>
      </c>
      <c r="QK8" s="43" t="str">
        <f t="shared" si="156"/>
        <v/>
      </c>
      <c r="QL8" s="43" t="str">
        <f t="shared" si="157"/>
        <v/>
      </c>
      <c r="QM8" s="43" t="str">
        <f t="shared" si="158"/>
        <v/>
      </c>
      <c r="QN8" s="43" t="str">
        <f t="shared" si="159"/>
        <v/>
      </c>
      <c r="QO8" s="43" t="str">
        <f t="shared" si="160"/>
        <v/>
      </c>
      <c r="QP8" s="43" t="str">
        <f t="shared" si="161"/>
        <v/>
      </c>
      <c r="QQ8" s="43" t="str">
        <f t="shared" si="162"/>
        <v/>
      </c>
      <c r="QR8" s="43">
        <f t="shared" si="192"/>
        <v>30</v>
      </c>
      <c r="QS8" s="43"/>
      <c r="QT8" s="21" t="str">
        <f t="shared" si="163"/>
        <v/>
      </c>
      <c r="QU8" s="21" t="str">
        <f t="shared" si="164"/>
        <v/>
      </c>
      <c r="QV8" s="21" t="str">
        <f t="shared" si="165"/>
        <v/>
      </c>
      <c r="QW8" s="21" t="str">
        <f t="shared" si="166"/>
        <v/>
      </c>
      <c r="QX8" s="21" t="str">
        <f t="shared" si="167"/>
        <v/>
      </c>
      <c r="QY8" s="21" t="str">
        <f t="shared" si="168"/>
        <v/>
      </c>
      <c r="QZ8" s="21" t="str">
        <f t="shared" si="169"/>
        <v/>
      </c>
      <c r="RA8" s="21" t="str">
        <f t="shared" si="170"/>
        <v/>
      </c>
      <c r="RB8" s="21" t="str">
        <f t="shared" si="171"/>
        <v/>
      </c>
      <c r="RC8" s="21" t="str">
        <f t="shared" si="172"/>
        <v/>
      </c>
      <c r="RD8" s="21" t="str">
        <f t="shared" si="173"/>
        <v/>
      </c>
      <c r="RE8" s="21" t="str">
        <f t="shared" si="174"/>
        <v/>
      </c>
      <c r="RF8" s="21" t="str">
        <f t="shared" si="175"/>
        <v/>
      </c>
      <c r="RG8" s="21" t="str">
        <f t="shared" si="176"/>
        <v/>
      </c>
      <c r="RH8" s="21" t="str">
        <f t="shared" si="177"/>
        <v/>
      </c>
      <c r="RI8" s="21" t="str">
        <f t="shared" si="178"/>
        <v/>
      </c>
      <c r="RJ8" s="21" t="str">
        <f t="shared" si="179"/>
        <v/>
      </c>
      <c r="RK8" s="21" t="str">
        <f t="shared" si="180"/>
        <v/>
      </c>
      <c r="RL8" s="21" t="str">
        <f t="shared" si="181"/>
        <v/>
      </c>
      <c r="RM8" s="21" t="str">
        <f t="shared" si="182"/>
        <v/>
      </c>
      <c r="RN8" s="21" t="str">
        <f t="shared" si="183"/>
        <v/>
      </c>
      <c r="RO8" s="21" t="str">
        <f t="shared" si="184"/>
        <v/>
      </c>
      <c r="RP8" s="21" t="str">
        <f t="shared" si="185"/>
        <v/>
      </c>
      <c r="RQ8" s="21" t="str">
        <f t="shared" si="186"/>
        <v/>
      </c>
      <c r="RR8" s="21" t="str">
        <f t="shared" si="187"/>
        <v/>
      </c>
      <c r="RS8" s="21" t="str">
        <f t="shared" si="188"/>
        <v/>
      </c>
      <c r="RT8" s="21" t="str">
        <f t="shared" si="189"/>
        <v/>
      </c>
      <c r="RU8" s="21" t="str">
        <f t="shared" si="190"/>
        <v/>
      </c>
      <c r="RV8" s="21">
        <f t="shared" si="191"/>
        <v>15.857142857142858</v>
      </c>
      <c r="RW8" s="284">
        <f>IF(OR(Tabla1[[#This Row],[FUM FORMULA CONFIABLE]]="",Tabla1[[#This Row],[FUM FORMULA CONFIABLE]]="SD"),"",IF(Tabla1[[#This Row],[FUM FORMULA CONFIABLE]]="CORREGIDA",Tabla1[[#This Row],[FUM X ECO 1]],Tabla1[[#This Row],[FUM x AMENORREA]]))</f>
        <v>44726</v>
      </c>
      <c r="RX8" s="21">
        <f>IF(AND(Tabla1[[#This Row],[FUM X ECO 1]]="",Tabla1[[#This Row],[FUM x AMENORREA]]=""),"",IF(AND(Tabla1[[#This Row],[FUM X ECO 1]]="",Tabla1[[#This Row],[FUM x AMENORREA]]&lt;&gt;""),"X",SUM(Tabla1[[#This Row],[FUM X ECO 1]]-Tabla1[[#This Row],[FUM x AMENORREA]])))</f>
        <v>0.19999999999708962</v>
      </c>
      <c r="RY8" s="21">
        <f t="shared" si="193"/>
        <v>0</v>
      </c>
    </row>
    <row r="9" spans="1:493" ht="45" customHeight="1" x14ac:dyDescent="0.25">
      <c r="A9" s="109" t="s">
        <v>899</v>
      </c>
      <c r="B9" s="43" t="s">
        <v>900</v>
      </c>
      <c r="C9" s="43" t="s">
        <v>845</v>
      </c>
      <c r="D9" s="124" t="s">
        <v>846</v>
      </c>
      <c r="E9" s="43" t="s">
        <v>901</v>
      </c>
      <c r="F9" s="43" t="s">
        <v>902</v>
      </c>
      <c r="G9" s="43" t="s">
        <v>903</v>
      </c>
      <c r="H9" s="43" t="s">
        <v>850</v>
      </c>
      <c r="I9" s="109" t="s">
        <v>851</v>
      </c>
      <c r="J9" s="110">
        <v>1002950264</v>
      </c>
      <c r="K9" s="43" t="s">
        <v>904</v>
      </c>
      <c r="L9" s="175" t="s">
        <v>853</v>
      </c>
      <c r="M9" s="22">
        <v>37963</v>
      </c>
      <c r="N9" s="213">
        <f t="shared" ca="1" si="0"/>
        <v>19.915068493150685</v>
      </c>
      <c r="O9" s="22">
        <v>44792</v>
      </c>
      <c r="P9" s="214" t="str">
        <f t="shared" si="1"/>
        <v>SI</v>
      </c>
      <c r="Q9" s="26" t="s">
        <v>855</v>
      </c>
      <c r="R9" s="22">
        <v>44792</v>
      </c>
      <c r="S9" s="21" t="s">
        <v>856</v>
      </c>
      <c r="T9" s="24" t="s">
        <v>690</v>
      </c>
      <c r="U9" s="21" t="s">
        <v>857</v>
      </c>
      <c r="V9" s="21" t="s">
        <v>858</v>
      </c>
      <c r="W9" s="21" t="s">
        <v>905</v>
      </c>
      <c r="X9" s="21" t="s">
        <v>905</v>
      </c>
      <c r="Y9" s="21" t="s">
        <v>859</v>
      </c>
      <c r="Z9" s="21">
        <v>3135389403</v>
      </c>
      <c r="AA9" s="21" t="s">
        <v>860</v>
      </c>
      <c r="AB9" s="27" t="s">
        <v>861</v>
      </c>
      <c r="AC9" s="26" t="s">
        <v>888</v>
      </c>
      <c r="AD9" s="38" t="s">
        <v>846</v>
      </c>
      <c r="AE9" s="26" t="s">
        <v>864</v>
      </c>
      <c r="AF9" s="26" t="s">
        <v>854</v>
      </c>
      <c r="AG9" s="23" t="s">
        <v>864</v>
      </c>
      <c r="AH9" s="23" t="s">
        <v>864</v>
      </c>
      <c r="AI9" s="24" t="s">
        <v>863</v>
      </c>
      <c r="AJ9" s="23" t="s">
        <v>864</v>
      </c>
      <c r="AK9" s="220" t="str">
        <f>IF(AND(AD9="",AE9="",AF9="",AG9="",AH9="",AI9="",AJ9=""),"",IF(OR(Tabla1[[#This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EVALUACIÓN",IF(AND(O9="",R9=""),"",IF(AND(OR(O9&gt;0,R9&gt;0),NG9&gt;=0,NG9&lt;2),"SIN RIESGO",IF(AND(OR(O9&gt;0,R9&gt;0),NG9&gt;=2),"CON RIESGO","ASD")))))</f>
        <v>SIN RIESGO</v>
      </c>
      <c r="AL9" s="23" t="s">
        <v>864</v>
      </c>
      <c r="AM9" s="26" t="s">
        <v>864</v>
      </c>
      <c r="AN9" s="26" t="s">
        <v>864</v>
      </c>
      <c r="AO9" s="26" t="s">
        <v>864</v>
      </c>
      <c r="AP9" s="26" t="s">
        <v>864</v>
      </c>
      <c r="AQ9" s="26" t="s">
        <v>864</v>
      </c>
      <c r="AR9" s="26" t="s">
        <v>864</v>
      </c>
      <c r="AS9" s="21">
        <v>0</v>
      </c>
      <c r="AT9" s="21">
        <v>0</v>
      </c>
      <c r="AU9" s="21">
        <v>0</v>
      </c>
      <c r="AV9" s="26" t="s">
        <v>864</v>
      </c>
      <c r="AW9" s="21">
        <v>0</v>
      </c>
      <c r="AX9" s="26" t="s">
        <v>864</v>
      </c>
      <c r="AY9" s="26" t="s">
        <v>864</v>
      </c>
      <c r="AZ9" s="26" t="s">
        <v>864</v>
      </c>
      <c r="BA9" s="26" t="s">
        <v>864</v>
      </c>
      <c r="BB9" s="26" t="s">
        <v>864</v>
      </c>
      <c r="BC9" s="26" t="s">
        <v>864</v>
      </c>
      <c r="BD9" s="26" t="s">
        <v>864</v>
      </c>
      <c r="BE9" s="26" t="s">
        <v>864</v>
      </c>
      <c r="BF9" s="26" t="s">
        <v>864</v>
      </c>
      <c r="BG9" s="26" t="s">
        <v>864</v>
      </c>
      <c r="BH9" s="26"/>
      <c r="BI9" s="26" t="s">
        <v>864</v>
      </c>
      <c r="BJ9" s="26"/>
      <c r="BK9" s="26"/>
      <c r="BL9" s="26"/>
      <c r="BM9" s="26" t="s">
        <v>864</v>
      </c>
      <c r="BN9" s="22"/>
      <c r="BO9" s="22">
        <v>44761</v>
      </c>
      <c r="BP9" s="21" t="s">
        <v>1380</v>
      </c>
      <c r="BQ9" s="222">
        <f t="shared" si="2"/>
        <v>0</v>
      </c>
      <c r="BR9" s="223">
        <f t="shared" si="3"/>
        <v>44725.5</v>
      </c>
      <c r="BS9" s="224">
        <f t="shared" si="4"/>
        <v>9.5</v>
      </c>
      <c r="BT9" s="216" t="str">
        <f t="shared" si="5"/>
        <v>I TRIM</v>
      </c>
      <c r="BU9" s="214" t="str">
        <f t="shared" ca="1" si="6"/>
        <v/>
      </c>
      <c r="BV9" s="25"/>
      <c r="BW9" s="22">
        <v>44799</v>
      </c>
      <c r="BX9" s="28">
        <v>10.5</v>
      </c>
      <c r="BY9" s="28"/>
      <c r="BZ9" s="22"/>
      <c r="CA9" s="21"/>
      <c r="CB9" s="26" t="s">
        <v>865</v>
      </c>
      <c r="CC9" s="26" t="s">
        <v>864</v>
      </c>
      <c r="CD9" s="26" t="s">
        <v>865</v>
      </c>
      <c r="CE9" s="26" t="s">
        <v>865</v>
      </c>
      <c r="CF9" s="22">
        <v>44792</v>
      </c>
      <c r="CG9" s="21">
        <v>1.63</v>
      </c>
      <c r="CH9" s="21">
        <v>61.4</v>
      </c>
      <c r="CI9" s="214">
        <f t="shared" si="7"/>
        <v>23.109639053031731</v>
      </c>
      <c r="CJ9" s="225" t="str">
        <f>IF(AND(CI9&lt;10,CH9="SD"),"SIN DATO PESO PREGESTACION O I TRIM",IF(AND(OR(R9&gt;0,O9&gt;0),CI9="X"),"INGRESAR DATO DE PESO",IF(CI9="SD","INGRESAR DATO DE TALLA Y PESO",IF(AND(OR(Tabla1[[#This Row],[MOMENTO EN QUE SE REALIZA EL PESO AL INGRESO A CPN]]="PREGESTACIÓN",NZ9="Menor"),CI9&lt;18.5),"BAJO PESO",IF(AND(OR(Tabla1[[#This Row],[MOMENTO EN QUE SE REALIZA EL PESO AL INGRESO A CPN]]="PREGESTACIÓN",NZ9="Menor"),CI9&lt;25),"NORMAL",IF(AND(OR(Tabla1[[#This Row],[MOMENTO EN QUE SE REALIZA EL PESO AL INGRESO A CPN]]="PREGESTACIÓN",NZ9="Menor"),CI9&lt;30),"SOBREPESO",IF(AND(OR(Tabla1[[#This Row],[MOMENTO EN QUE SE REALIZA EL PESO AL INGRESO A CPN]]="PREGESTACIÓN",NZ9="Menor"),CI9&gt;=30,CI9&lt;50),"OBESIDAD",IF(AND(BS9&gt;0,Tabla1[[#This Row],[MOMENTO EN QUE SE REALIZA EL PESO AL INGRESO A CPN]]="GESTACIÓN"),HLOOKUP(NZ9,$OA$2:PH9,NY9),""))))))))</f>
        <v>NORMAL</v>
      </c>
      <c r="CK9" s="212">
        <f t="shared" si="8"/>
        <v>44971</v>
      </c>
      <c r="CL9" s="21"/>
      <c r="CM9" s="214">
        <f t="shared" si="9"/>
        <v>0</v>
      </c>
      <c r="CN9" s="216">
        <f t="shared" si="10"/>
        <v>35</v>
      </c>
      <c r="CO9" s="216" t="e">
        <f>IF(PI9="","",IF(PI9&gt;0,HLOOKUP(PI9,$PJ$2:QQ9,NY9),""))</f>
        <v>#REF!</v>
      </c>
      <c r="CP9" s="21"/>
      <c r="CQ9" s="216" t="e">
        <f>IF(QR9="Menor","NO APLICA-MENOR 13 SEM",IF(AND(CC9="SI",CN9&gt;23),"NO APLICA- GEMELAR",IF(QR9="","",IF(QR9&gt;0,HLOOKUP(QR9,$QS$2:RU9,NY9),""))))</f>
        <v>#REF!</v>
      </c>
      <c r="CR9" s="21">
        <v>100</v>
      </c>
      <c r="CS9" s="21">
        <v>60</v>
      </c>
      <c r="CT9" s="217" t="str">
        <f>IF(R9="","",IF(AND(BS9&gt;1,BS9&lt;12,Tabla1[[#This Row],[T.A. SISTOLICA - ANTES DE SEMANA 12]]="",Tabla1[[#This Row],[T.A. DIASTOLICA - ANTES DE SEMANA 12]]=""),"REGISTRE DATO TA ANTES SEMANA 12",IF(AND(BS9&gt;11,BS9&lt;43,Tabla1[[#This Row],[T.A. SISTOLICA - ANTES DE SEMANA 12]]="",Tabla1[[#This Row],[T.A. DIASTOLICA - ANTES DE SEMANA 12]]=""),"NO APLICA REGISTRO TA-INGRESO TARDIO",IF(AND(OR(O9&gt;0,R9&gt;0),OR(CR9&gt;=140,CS9&gt;=90)),"DEFINIR ESTADIO HTA",IF(AND(OR(O9&gt;0,R9&gt;0),AND(CR9&gt;120,CR9&lt;=139)),"PRE HTA SEGUIMIENTO",IF(AND(OR(O9&gt;0,R9&gt;0),AND(CS9&gt;80,CS9&lt;=89)),"PRE HTA SEGUIMIENTO",IF(AND(OR(O9&gt;0,R9&gt;0),AND(CR9&gt;=80,CR9&lt;=120)),"APARENTEMENTE NORMAL",IF(AND(OR(O9&gt;0,R9&gt;0),AND(CS9&gt;=50,CS9&lt;=80)),"APARENTEMENTE NORMAL",IF(AND(OR(O9&gt;0,R9&gt;0),AND(CR9&gt;1,CR9&lt;=70),AND(CS9&gt;1,CS9&lt;=40)),"HIPOTENSIÓN","")))))))))</f>
        <v>APARENTEMENTE NORMAL</v>
      </c>
      <c r="CU9" s="21"/>
      <c r="CV9" s="21"/>
      <c r="CW9" s="217" t="str">
        <f ca="1">IF(R9="","",IF(AND(CN9&gt;19,CN9&lt;27,Tabla1[[#This Row],[T.A. SISTOLICA (Entre semana 20 y 26)]]="",Tabla1[[#This Row],[T.A. DIATOLICA (Entre semana 20 y 26)]]=""),"ACUDE A CONTROL SEM 20 A 26 REGISTRE TA AHORA",IF(AND(BS9&gt;1,BS9&lt;27,BU9&gt;19,Tabla1[[#This Row],[T.A. SISTOLICA (Entre semana 20 y 26)]]="",Tabla1[[#This Row],[T.A. DIATOLICA (Entre semana 20 y 26)]]=""),"COMPLETE REGISTRO TA CONTROL SEM 20 A26 ",IF(AND(BS9&gt;26,BS9&lt;43,Tabla1[[#This Row],[T.A. SISTOLICA (Entre semana 20 y 26)]]="",Tabla1[[#This Row],[T.A. DIATOLICA (Entre semana 20 y 26)]]=""),"NO APLICA REGISTRO TA-INGRESO TARDIO",IF(AND(OR(O9&gt;0,R9&gt;0),OR(CU9&gt;=140,CV9&gt;=90)),"ALTO RIESGO PREECLAMPSIA,DEFINIR ESTADIO HTA",IF(AND(OR(O9&gt;0,R9&gt;0),AND(CU9&gt;120,CU9&lt;=139)),"PRE HTA SEGUIMIENTO,RIESGO HIPERTENSION INDUCIDA POR EL EMBARAZO",IF(AND(OR(O9&gt;0,R9&gt;0),AND(CV9&gt;80,CV9&lt;=89)),"PRE HTA SEGUIMIENTO, RIESGO HIPERTENSION INDUCIDA POR EL EMBARAZO",IF(AND(OR(O9&lt;&gt;"",R9&lt;&gt;""),CS9&lt;&gt;"",CV9&lt;&gt;"",CS9&lt;=CV9),"VIGILAR CIFRAS PRESION ARTERIAL",IF(AND(OR(O9&gt;0,R9&gt;0),AND(CU9&gt;120,CU9&lt;=139)),"PRE HTA SEGUIMIENTO",IF(AND(OR(O9&gt;0,R9&gt;0),AND(CU9&gt;1,CU9&lt;=70),AND(CV9&gt;1,CV9&lt;=40)),"HIPOTENSIÓN",IF(AND(OR(O9&lt;&gt;"",R9&lt;&gt;""),CS9&lt;&gt;"",CV9&lt;&gt;"",CS9&gt;CV9),"APARENTEMENTE NORMAL",IF(AND(OR(O9&gt;0,R9&gt;0),AND(CU9&gt;=80,CU9&lt;=120)),"APARENTEMENTE NORMAL",IF(AND(OR(O9&gt;0,R9&gt;0),AND(CV9&gt;=50,CV9&lt;=80)),"APARENTEMENTE NORMAL","")))))))))))))</f>
        <v xml:space="preserve">COMPLETE REGISTRO TA CONTROL SEM 20 A26 </v>
      </c>
      <c r="CX9" s="21">
        <v>100</v>
      </c>
      <c r="CY9" s="21">
        <v>60</v>
      </c>
      <c r="CZ9" s="216" t="str">
        <f t="shared" si="11"/>
        <v>APARENTEMENTE NORMAL</v>
      </c>
      <c r="DA9" s="21"/>
      <c r="DB9" s="21"/>
      <c r="DC9" s="217" t="str">
        <f t="shared" si="12"/>
        <v>REGISTRE DATO PRESIÓN ARTERIAL MENSUAL</v>
      </c>
      <c r="DD9" s="22">
        <v>44792</v>
      </c>
      <c r="DE9" s="22">
        <v>44792</v>
      </c>
      <c r="DF9" s="22">
        <v>44971</v>
      </c>
      <c r="DG9" s="22"/>
      <c r="DH9" s="22"/>
      <c r="DI9" s="22"/>
      <c r="DJ9" s="22"/>
      <c r="DK9" s="22"/>
      <c r="DL9" s="22"/>
      <c r="DM9" s="22"/>
      <c r="DN9" s="22"/>
      <c r="DO9" s="22"/>
      <c r="DP9" s="22"/>
      <c r="DQ9" s="22"/>
      <c r="DR9" s="28">
        <v>1</v>
      </c>
      <c r="DS9" s="22"/>
      <c r="DT9" s="22"/>
      <c r="DU9" s="216" t="str">
        <f t="shared" ca="1" si="13"/>
        <v>SALE SIN PLAN DE PARTO</v>
      </c>
      <c r="DV9" s="226" t="str">
        <f t="shared" si="14"/>
        <v>SALIO PROGRAMA</v>
      </c>
      <c r="DW9"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9" s="216" t="str">
        <f t="shared" ca="1" si="15"/>
        <v/>
      </c>
      <c r="DY9" s="212">
        <f>IF(R9="","",IF(R9&gt;0,MAX(Tabla1[[#This Row],[FECHA C2]:[FECHA C13]],Tabla1[[#This Row],[FECHA CONSULTA PRIMERA VEZ PROGRAMA CPN ]])))</f>
        <v>44971</v>
      </c>
      <c r="DZ9" s="216">
        <f t="shared" si="16"/>
        <v>35</v>
      </c>
      <c r="EA9" s="222">
        <f>IF(R9&gt;0,SUM(COUNTA(DF9:DQ9)+COUNTA(Tabla1[[#This Row],[FECHA CONSULTA PRIMERA VEZ PROGRAMA CPN ]])),"")</f>
        <v>2</v>
      </c>
      <c r="EB9" s="222" t="str">
        <f t="shared" si="17"/>
        <v>NO</v>
      </c>
      <c r="EC9" s="214">
        <f t="shared" si="18"/>
        <v>9</v>
      </c>
      <c r="ED9" s="227">
        <f t="shared" si="19"/>
        <v>0.22222222222222221</v>
      </c>
      <c r="EE9" s="22">
        <v>44792</v>
      </c>
      <c r="EF9" s="22">
        <v>44792</v>
      </c>
      <c r="EG9" s="22">
        <v>44792</v>
      </c>
      <c r="EH9" s="22"/>
      <c r="EI9" s="22">
        <v>44792</v>
      </c>
      <c r="EJ9" s="22"/>
      <c r="EK9" s="22"/>
      <c r="EL9" s="21"/>
      <c r="EM9" s="21">
        <v>13.5</v>
      </c>
      <c r="EN9" s="22">
        <v>44793</v>
      </c>
      <c r="EO9" s="222">
        <f t="shared" si="20"/>
        <v>9.6428571428571423</v>
      </c>
      <c r="EP9" s="214" t="str">
        <f t="shared" si="21"/>
        <v>NORMAL- SUMINISTRAR SULFATO FERROSO</v>
      </c>
      <c r="EQ9" s="216" t="str">
        <f t="shared" si="22"/>
        <v>I TRIM</v>
      </c>
      <c r="ER9" s="24"/>
      <c r="ES9" s="22"/>
      <c r="ET9" s="29" t="str">
        <f t="shared" ca="1" si="23"/>
        <v>SALE SIN TAMIZAJE HEMOGLOBINA SEM 28</v>
      </c>
      <c r="EU9" s="25" t="str">
        <f t="shared" si="24"/>
        <v/>
      </c>
      <c r="EV9" s="24" t="s">
        <v>866</v>
      </c>
      <c r="EW9" s="24">
        <v>44793</v>
      </c>
      <c r="EX9" s="22"/>
      <c r="EY9" s="29">
        <f t="shared" si="25"/>
        <v>9.6428571428571423</v>
      </c>
      <c r="EZ9" s="25" t="str">
        <f t="shared" ca="1" si="26"/>
        <v/>
      </c>
      <c r="FA9" s="21">
        <v>77</v>
      </c>
      <c r="FB9" s="22">
        <v>44793</v>
      </c>
      <c r="FC9" s="29">
        <f t="shared" si="27"/>
        <v>9.6428571428571423</v>
      </c>
      <c r="FD9" s="29"/>
      <c r="FE9" s="29"/>
      <c r="FF9" s="29"/>
      <c r="FG9" s="21" t="str">
        <f t="shared" ca="1" si="28"/>
        <v/>
      </c>
      <c r="FH9" s="31"/>
      <c r="FI9" s="29" t="str">
        <f t="shared" si="29"/>
        <v>TOMAR EXAMEN</v>
      </c>
      <c r="FJ9" s="22" t="s">
        <v>867</v>
      </c>
      <c r="FK9" s="22"/>
      <c r="FL9" s="29" t="str">
        <f t="shared" ca="1" si="30"/>
        <v>PIERDE TOMA DE TAMIZAJE</v>
      </c>
      <c r="FM9" s="22"/>
      <c r="FN9" s="32"/>
      <c r="FO9" s="29" t="str">
        <f t="shared" ca="1" si="31"/>
        <v>PIERDE TOMA DE TAMIZAJE</v>
      </c>
      <c r="FP9" s="22" t="s">
        <v>867</v>
      </c>
      <c r="FQ9" s="32">
        <v>44971</v>
      </c>
      <c r="FR9" s="29">
        <f t="shared" ca="1" si="32"/>
        <v>35.071428571428569</v>
      </c>
      <c r="FS9" s="22"/>
      <c r="FT9" s="32"/>
      <c r="FU9" s="29" t="str">
        <f>IF(AND(FJ9="",FM9="",FP9="",FS9=""),"",IF(OR(OR(Tabla1[[#This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9" s="28"/>
      <c r="FW9" s="22"/>
      <c r="FX9" s="29" t="str">
        <f t="shared" si="33"/>
        <v>TOMAR EXAMEN</v>
      </c>
      <c r="FY9" s="22">
        <v>44792</v>
      </c>
      <c r="FZ9" s="22">
        <v>44782</v>
      </c>
      <c r="GA9" s="29">
        <f t="shared" ca="1" si="34"/>
        <v>8.0714285714285712</v>
      </c>
      <c r="GB9" s="22"/>
      <c r="GC9" s="22"/>
      <c r="GD9" s="29" t="str">
        <f t="shared" ca="1" si="35"/>
        <v>PIERDE TOMA DE TAMIZAJE</v>
      </c>
      <c r="GE9" s="22" t="s">
        <v>868</v>
      </c>
      <c r="GF9" s="22">
        <v>44971</v>
      </c>
      <c r="GG9" s="29">
        <f t="shared" ca="1" si="36"/>
        <v>35.071428571428569</v>
      </c>
      <c r="GH9" s="22"/>
      <c r="GI9" s="29"/>
      <c r="GJ9" s="22"/>
      <c r="GK9" s="22"/>
      <c r="GL9" s="22" t="s">
        <v>879</v>
      </c>
      <c r="GM9" s="22"/>
      <c r="GN9" s="28" t="s">
        <v>869</v>
      </c>
      <c r="GO9" s="22">
        <v>44793</v>
      </c>
      <c r="GP9" s="29">
        <f t="shared" si="37"/>
        <v>9.6428571428571423</v>
      </c>
      <c r="GQ9" s="28" t="s">
        <v>869</v>
      </c>
      <c r="GR9" s="28" t="s">
        <v>869</v>
      </c>
      <c r="GS9" s="22" t="str">
        <f t="shared" si="38"/>
        <v>CONTROL Igm</v>
      </c>
      <c r="GT9" s="22">
        <v>44793</v>
      </c>
      <c r="GU9" s="29">
        <f t="shared" si="39"/>
        <v>4.5714285714285712</v>
      </c>
      <c r="GV9" s="21" t="str">
        <f t="shared" si="40"/>
        <v>I TRIM</v>
      </c>
      <c r="GW9" s="28" t="s">
        <v>869</v>
      </c>
      <c r="GX9" s="30"/>
      <c r="GY9" s="21" t="s">
        <v>906</v>
      </c>
      <c r="GZ9" s="21"/>
      <c r="HA9" s="21"/>
      <c r="HB9" s="21"/>
      <c r="HC9" s="21"/>
      <c r="HD9" s="21"/>
      <c r="HE9" s="21"/>
      <c r="HF9" s="22"/>
      <c r="HG9" s="22" t="str">
        <f>IF(OR(O9&gt;0,R9&gt;0),CONCATENATE(IF(Tabla1[[#This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9" s="22" t="e">
        <f t="shared" si="41"/>
        <v>#REF!</v>
      </c>
      <c r="HI9" s="22" t="e">
        <f t="shared" ca="1" si="42"/>
        <v>#REF!</v>
      </c>
      <c r="HJ9" s="21" t="str">
        <f t="shared" ca="1" si="43"/>
        <v>**********************MULTIPARIDAD*****************</v>
      </c>
      <c r="HK9" s="21" t="str">
        <f t="shared" si="44"/>
        <v>SIN ANTECEDENTES DE RIESGO</v>
      </c>
      <c r="HL9" s="24" t="str">
        <f t="shared" si="45"/>
        <v>REGISTRE DATO PRESIÓN ARTERIAL MENSUAL</v>
      </c>
      <c r="HM9" s="21" t="str">
        <f t="shared" ca="1" si="46"/>
        <v/>
      </c>
      <c r="HN9" s="30" t="str">
        <f t="shared" si="47"/>
        <v>SALIO PROGRAMA</v>
      </c>
      <c r="HO9" s="21"/>
      <c r="HP9" s="21"/>
      <c r="HQ9" s="21">
        <v>44792</v>
      </c>
      <c r="HR9" s="21" t="str">
        <f>IF(R9="","",IF(Tabla1[[#This Row],[ALARMA FACTORES DE RIESGO COMPLICACIONES HIPERTENSIVAS3]]="SIN ANTECEDENTES DE RIESGO","No Aplica para suministro de ASA",IF(AND(Tabla1[[#This Row],[FECHA INICIO DE SUMINISTRO DE ASA]]&gt;0,RV9&lt;12),"Inicia ASA ANTES de Sem 12",IF(AND(RV9&gt;11,RV9&lt;17,OR(HK9="RIESGO ALTO DE COMPLICACIONES HIPERTENSIVAS VER MANEJO GUIA SUMINISTRO ASA Y CALCIO",HK9="RIESGO MODERADO (2 O MAS CRITERIOS) VER MANEJO GUIA SUMINISTRO ASA Y CALCIO")),"Inicio oportuno de ASA",IF(AND(RV9&gt;12,OR(HK9="RIESGO ALTO DE COMPLICACIONES HIPERTENSIVAS VER MANEJO GUIA SUMINISTRO ASA Y CALCIO",HK9="RIESGO MODERADO (2 O MAS CRITERIOS) VER MANEJO GUIA SUMINISTRO ASA Y CALCIO")),"Inicio no oportuno mayor a 16 semanas",IF(AND(BU9&lt;12,OR(HK9="RIESGO ALTO DE COMPLICACIONES HIPERTENSIVAS VER MANEJO GUIA SUMINISTRO ASA Y CALCIO",HK9="RIESGO MODERADO (2 O MAS CRITERIOS) VER MANEJO GUIA SUMINISTRO ASA Y CALCIO")),"Pendiente Inicio de ASA a la semana 12",IF(AND(BU9&gt;11,BU9&lt;17,OR(HK9="RIESGO ALTO DE COMPLICACIONES HIPERTENSIVAS VER MANEJO GUIA SUMINISTRO ASA Y CALCIO",HK9="RIESGO MODERADO (2 O MAS CRITERIOS) VER MANEJO GUIA SUMINISTRO ASA Y CALCIO")),"Iniciar de inmediato ASA",IF(AND(BU9&gt;16,OR(HK9="RIESGO ALTO DE COMPLICACIONES HIPERTENSIVAS VER MANEJO GUIA SUMINISTRO ASA Y CALCIO",HK9="RIESGO MODERADO (2 O MAS CRITERIOS) VER MANEJO GUIA SUMINISTRO ASA Y CALCIO")),"Pierde Oportunidad, Inicio tardío de ASA","XXXXX"))))))))</f>
        <v>No Aplica para suministro de ASA</v>
      </c>
      <c r="HS9" s="22">
        <v>44792</v>
      </c>
      <c r="HT9" s="22" t="s">
        <v>870</v>
      </c>
      <c r="HU9" s="22">
        <v>44792</v>
      </c>
      <c r="HV9" s="22" t="s">
        <v>870</v>
      </c>
      <c r="HW9" s="22">
        <v>44792</v>
      </c>
      <c r="HX9" s="22" t="s">
        <v>870</v>
      </c>
      <c r="HY9" s="22">
        <v>44792</v>
      </c>
      <c r="HZ9" s="28">
        <f t="shared" si="48"/>
        <v>9.5</v>
      </c>
      <c r="IA9" s="26"/>
      <c r="IB9" s="26"/>
      <c r="IC9" s="111"/>
      <c r="ID9" s="22"/>
      <c r="IE9" s="22" t="str">
        <f t="shared" ca="1" si="49"/>
        <v>SALE SIN VACUNA</v>
      </c>
      <c r="IF9" s="22"/>
      <c r="IG9" s="22">
        <f t="shared" si="50"/>
        <v>45005.5</v>
      </c>
      <c r="IH9" s="29">
        <f t="shared" ca="1" si="51"/>
        <v>-226.5</v>
      </c>
      <c r="II9" s="22" t="str">
        <f t="shared" ca="1" si="52"/>
        <v>POSIBLEMENTE NACIO</v>
      </c>
      <c r="IJ9" s="22"/>
      <c r="IK9" s="21" t="s">
        <v>898</v>
      </c>
      <c r="IL9" s="21"/>
      <c r="IM9" s="34"/>
      <c r="IN9" s="349">
        <v>45002</v>
      </c>
      <c r="IO9" s="21" t="s">
        <v>1186</v>
      </c>
      <c r="IP9" s="29">
        <f t="shared" si="53"/>
        <v>39.5</v>
      </c>
      <c r="IQ9" s="35" t="s">
        <v>1644</v>
      </c>
      <c r="IR9" s="21" t="s">
        <v>1645</v>
      </c>
      <c r="IS9" s="21" t="s">
        <v>1646</v>
      </c>
      <c r="IT9" s="21" t="s">
        <v>1642</v>
      </c>
      <c r="IU9" s="21"/>
      <c r="IV9" s="21"/>
      <c r="IW9" s="21"/>
      <c r="IX9" s="21"/>
      <c r="IY9" s="21"/>
      <c r="IZ9" s="21"/>
      <c r="JA9" s="21"/>
      <c r="JB9" s="30">
        <v>1</v>
      </c>
      <c r="JC9" s="21" t="s">
        <v>1643</v>
      </c>
      <c r="JD9" s="36">
        <v>3000</v>
      </c>
      <c r="JE9" s="21" t="str">
        <f t="shared" si="54"/>
        <v>PESO ADECUADO EDAD GESTACIONAL</v>
      </c>
      <c r="JF9" s="30"/>
      <c r="JG9" s="21"/>
      <c r="JH9" s="21"/>
      <c r="JI9" s="21" t="s">
        <v>854</v>
      </c>
      <c r="JJ9" s="30" t="s">
        <v>866</v>
      </c>
      <c r="JK9" s="22"/>
      <c r="JL9" s="22"/>
      <c r="JM9" s="21"/>
      <c r="JN9" s="36"/>
      <c r="JO9" s="21" t="str">
        <f t="shared" si="55"/>
        <v/>
      </c>
      <c r="JP9" s="22"/>
      <c r="JQ9" s="21"/>
      <c r="JR9" s="21"/>
      <c r="JS9" s="21"/>
      <c r="JT9" s="30"/>
      <c r="JU9" s="22"/>
      <c r="JV9" s="22"/>
      <c r="JW9" s="33"/>
      <c r="JX9" s="28" t="str">
        <f t="shared" si="56"/>
        <v>INASISTENTE</v>
      </c>
      <c r="JY9" s="33"/>
      <c r="JZ9" s="28" t="str">
        <f t="shared" si="57"/>
        <v>INASISTENTE</v>
      </c>
      <c r="KA9" s="21"/>
      <c r="KB9" s="21"/>
      <c r="KC9" s="21"/>
      <c r="KD9" s="37"/>
      <c r="KE9" s="28"/>
      <c r="KF9" s="28"/>
      <c r="KG9" s="28"/>
      <c r="KH9" s="39"/>
      <c r="KI9" s="39"/>
      <c r="KJ9" s="66"/>
      <c r="KK9" s="39"/>
      <c r="KL9" s="39"/>
      <c r="KM9" s="66"/>
      <c r="KN9" s="39"/>
      <c r="KO9" s="39"/>
      <c r="KP9" s="39"/>
      <c r="KQ9" s="39"/>
      <c r="KR9" s="39"/>
      <c r="KS9" s="39"/>
      <c r="KT9" s="39"/>
      <c r="KU9" s="38"/>
      <c r="KV9" s="38"/>
      <c r="KW9" s="38"/>
      <c r="KX9" s="38"/>
      <c r="KY9" s="38"/>
      <c r="KZ9" s="38"/>
      <c r="LA9" s="38"/>
      <c r="LB9" s="38"/>
      <c r="LC9" s="38"/>
      <c r="LD9" s="38"/>
      <c r="LE9" s="38"/>
      <c r="LF9" s="38"/>
      <c r="LG9" s="38"/>
      <c r="LH9" s="38"/>
      <c r="LI9" s="38"/>
      <c r="LJ9" s="38"/>
      <c r="LK9" s="38"/>
      <c r="LL9" s="38"/>
      <c r="LM9" s="38"/>
      <c r="LN9" s="38"/>
      <c r="LO9" s="38"/>
      <c r="LP9" s="38"/>
      <c r="LQ9" s="38"/>
      <c r="LR9" s="38"/>
      <c r="LS9" s="38"/>
      <c r="LT9" s="38"/>
      <c r="LU9" s="38"/>
      <c r="LV9" s="38"/>
      <c r="LW9" s="38"/>
      <c r="LX9" s="38"/>
      <c r="LY9" s="38"/>
      <c r="LZ9" s="38"/>
      <c r="MA9" s="38"/>
      <c r="MB9" s="38"/>
      <c r="MC9" s="38"/>
      <c r="MD9" s="38"/>
      <c r="ME9" s="38"/>
      <c r="MF9" s="38"/>
      <c r="MG9" s="38"/>
      <c r="MH9" s="43">
        <f t="shared" si="58"/>
        <v>0</v>
      </c>
      <c r="MI9" s="43" t="str">
        <f t="shared" si="59"/>
        <v/>
      </c>
      <c r="MJ9" s="43" t="str">
        <f t="shared" si="60"/>
        <v/>
      </c>
      <c r="MK9" s="43">
        <f t="shared" si="61"/>
        <v>0</v>
      </c>
      <c r="ML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9" s="43">
        <f t="shared" si="62"/>
        <v>9.5</v>
      </c>
      <c r="MN9" s="43">
        <f t="shared" si="63"/>
        <v>8</v>
      </c>
      <c r="MO9" s="43">
        <f t="shared" si="64"/>
        <v>2022</v>
      </c>
      <c r="MP9" s="43" t="str">
        <f t="shared" si="65"/>
        <v>III TRIMESTRE AÑO</v>
      </c>
      <c r="MQ9" s="43">
        <f t="shared" si="66"/>
        <v>18.426960140166447</v>
      </c>
      <c r="MR9" s="43">
        <f t="shared" si="67"/>
        <v>0</v>
      </c>
      <c r="MS9" s="43" t="str">
        <f t="shared" si="68"/>
        <v>DE 14 A 19AÑOS</v>
      </c>
      <c r="MT9" s="43">
        <f t="shared" si="69"/>
        <v>0</v>
      </c>
      <c r="MU9" s="43">
        <f t="shared" si="70"/>
        <v>1</v>
      </c>
      <c r="MV9" s="43">
        <f t="shared" si="71"/>
        <v>0</v>
      </c>
      <c r="MW9" s="43">
        <f t="shared" si="72"/>
        <v>0</v>
      </c>
      <c r="MX9" s="43" t="str">
        <f t="shared" si="73"/>
        <v/>
      </c>
      <c r="MY9" s="43" t="str">
        <f t="shared" ca="1" si="74"/>
        <v/>
      </c>
      <c r="MZ9" s="43" t="str">
        <f t="shared" si="75"/>
        <v/>
      </c>
      <c r="NA9" s="43">
        <f t="shared" si="76"/>
        <v>0</v>
      </c>
      <c r="NB9" s="43" t="str">
        <f t="shared" si="77"/>
        <v/>
      </c>
      <c r="NC9" s="43" t="str">
        <f t="shared" si="78"/>
        <v/>
      </c>
      <c r="ND9" s="43">
        <f t="shared" ca="1" si="79"/>
        <v>1.5</v>
      </c>
      <c r="NE9" s="43">
        <f>IF(OR(O9&gt;0,R9&gt;0),SUM(COUNTIF(Tabla1[[#This Row],[AÑOS AL INICIO5 CPN]],"&gt;=40"),COUNTIF(AS9,"0"),COUNTIF(AR9,"SI"),COUNTIF(CC9,"SI"),COUNTIF(BQ9,"&gt;119"),COUNTIF(CI9,"&gt;=35")),"")</f>
        <v>1</v>
      </c>
      <c r="NF9" s="43" t="str">
        <f t="shared" si="80"/>
        <v/>
      </c>
      <c r="NG9" s="43">
        <f t="shared" si="81"/>
        <v>0.5</v>
      </c>
      <c r="NH9" s="43">
        <f t="shared" si="82"/>
        <v>73.5</v>
      </c>
      <c r="NI9"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CPN",P9="NO"),"Z",IF(AND(Tabla1[[#This Row],[CITA PROXIMO CONTROL]]="CITA MANUAL",Tabla1[[#This Row],[GESTANTES ACTUALES]]="ACTIVA INGRESO A CPN"),"W",IF(AND(Tabla1[[#This Row],[GESTANTES ACTUALES]]="SALIO PROGRAMA",IN9=""),"S",IF(AND(Tabla1[[#This Row],[CITA PROXIMO CONTROL]]&gt;0,IN9=""),(Tabla1[[#This Row],[CITA PROXIMO CONTROL]]-TODAY()),"SD"))))))))</f>
        <v>SD</v>
      </c>
      <c r="NJ9" s="43">
        <f>MONTH(Tabla1[[#This Row],[FECHA DE SALIDA  DEL PROGRAMA]])</f>
        <v>3</v>
      </c>
      <c r="NK9" s="43">
        <f>YEAR(Tabla1[[#This Row],[FECHA DE SALIDA  DEL PROGRAMA]])</f>
        <v>2023</v>
      </c>
      <c r="NL9" s="43" t="str">
        <f t="shared" si="83"/>
        <v>X</v>
      </c>
      <c r="NM9" s="43" t="str">
        <f t="shared" si="84"/>
        <v>NO</v>
      </c>
      <c r="NN9" s="43" t="str">
        <f ca="1">IF(AND(O9&gt;0,R9=""),"NO CPN",IF(AND(O9="",R9=""),"",IF(AND(R9&gt;0,Tabla1[[#This Row],[SEMANAS DE GESTACION ACTUALIZADAS]]&lt;=12),"NO APLICA",IF(AND(FH9&lt;&gt;"",FN9&lt;&gt;""),"SI","NO"))))</f>
        <v>NO</v>
      </c>
      <c r="NO9" s="43" t="str">
        <f ca="1">IF(AND(O9&gt;0,R9=""),"NO CPN",IF(AND(O9="",R9=""),"",IF(AND(R9&gt;0,Tabla1[[#This Row],[SEMANAS DE GESTACION ACTUALIZADAS]]&lt;=27),"NO APLICA",IF(AND(ES9&lt;&gt;"",FQ9&lt;&gt;"",GF9&lt;&gt;""),"SI","NO"))))</f>
        <v>NO</v>
      </c>
      <c r="NP9" s="204" t="str">
        <f t="shared" si="85"/>
        <v>I TRIM</v>
      </c>
      <c r="NQ9" s="21">
        <f t="shared" si="86"/>
        <v>3</v>
      </c>
      <c r="NR9" s="21">
        <f t="shared" si="87"/>
        <v>3</v>
      </c>
      <c r="NS9" s="205">
        <f t="shared" ca="1" si="88"/>
        <v>1</v>
      </c>
      <c r="NT9" s="21">
        <f t="shared" ca="1" si="89"/>
        <v>2</v>
      </c>
      <c r="NU9" s="21" t="str">
        <f t="shared" ca="1" si="90"/>
        <v>INCOMPLETO</v>
      </c>
      <c r="NV9" s="21" t="str">
        <f t="shared" ca="1" si="91"/>
        <v>INCOMPLETO</v>
      </c>
      <c r="NW9" s="206" t="str">
        <f>IF(AND(O9="",R9=""),"",IF(OR(AND(Tabla1[[#This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9" s="207" t="str">
        <f t="shared" ca="1" si="92"/>
        <v>SIN VACUNAR</v>
      </c>
      <c r="NY9" s="43">
        <f>ROW(Tabla1[[#This Row],['# DE TAMIZAJES SIFILIS TOMADOS ]])</f>
        <v>9</v>
      </c>
      <c r="NZ9" s="43" t="str">
        <f t="shared" si="93"/>
        <v>Menor</v>
      </c>
      <c r="OA9" s="43" t="str">
        <f t="shared" si="94"/>
        <v>NORMAL</v>
      </c>
      <c r="OB9" s="43" t="str">
        <f t="shared" si="95"/>
        <v/>
      </c>
      <c r="OC9" s="43" t="str">
        <f t="shared" si="96"/>
        <v/>
      </c>
      <c r="OD9" s="43" t="str">
        <f t="shared" si="97"/>
        <v/>
      </c>
      <c r="OE9" s="43" t="str">
        <f t="shared" si="98"/>
        <v/>
      </c>
      <c r="OF9" s="43" t="str">
        <f t="shared" si="99"/>
        <v/>
      </c>
      <c r="OG9" s="43" t="str">
        <f t="shared" si="100"/>
        <v/>
      </c>
      <c r="OH9" s="43" t="str">
        <f t="shared" si="101"/>
        <v/>
      </c>
      <c r="OI9" s="43" t="str">
        <f t="shared" si="102"/>
        <v/>
      </c>
      <c r="OJ9" s="43" t="str">
        <f t="shared" si="103"/>
        <v/>
      </c>
      <c r="OK9" s="43" t="str">
        <f t="shared" si="104"/>
        <v/>
      </c>
      <c r="OL9" s="43" t="str">
        <f t="shared" si="105"/>
        <v/>
      </c>
      <c r="OM9" s="43" t="str">
        <f t="shared" si="106"/>
        <v/>
      </c>
      <c r="ON9" s="43" t="str">
        <f t="shared" si="107"/>
        <v/>
      </c>
      <c r="OO9" s="43" t="str">
        <f t="shared" si="108"/>
        <v/>
      </c>
      <c r="OP9" s="43" t="str">
        <f t="shared" si="109"/>
        <v/>
      </c>
      <c r="OQ9" s="43" t="str">
        <f t="shared" si="110"/>
        <v/>
      </c>
      <c r="OR9" s="43" t="str">
        <f t="shared" si="111"/>
        <v/>
      </c>
      <c r="OS9" s="43" t="str">
        <f t="shared" si="112"/>
        <v/>
      </c>
      <c r="OT9" s="43" t="str">
        <f t="shared" si="113"/>
        <v/>
      </c>
      <c r="OU9" s="43" t="str">
        <f t="shared" si="114"/>
        <v/>
      </c>
      <c r="OV9" s="110" t="str">
        <f t="shared" si="115"/>
        <v/>
      </c>
      <c r="OW9" s="43" t="str">
        <f t="shared" si="116"/>
        <v/>
      </c>
      <c r="OX9" s="43" t="str">
        <f t="shared" si="117"/>
        <v/>
      </c>
      <c r="OY9" s="43" t="str">
        <f t="shared" si="118"/>
        <v/>
      </c>
      <c r="OZ9" s="43" t="str">
        <f t="shared" si="119"/>
        <v/>
      </c>
      <c r="PA9" s="43" t="str">
        <f t="shared" si="120"/>
        <v/>
      </c>
      <c r="PB9" s="43" t="str">
        <f t="shared" si="121"/>
        <v/>
      </c>
      <c r="PC9" s="43" t="str">
        <f t="shared" si="122"/>
        <v/>
      </c>
      <c r="PD9" s="43" t="str">
        <f t="shared" si="123"/>
        <v/>
      </c>
      <c r="PE9" s="43" t="str">
        <f t="shared" si="124"/>
        <v/>
      </c>
      <c r="PF9" s="43" t="str">
        <f t="shared" si="125"/>
        <v/>
      </c>
      <c r="PG9" s="43" t="str">
        <f t="shared" si="126"/>
        <v/>
      </c>
      <c r="PH9" s="43" t="str">
        <f t="shared" si="127"/>
        <v/>
      </c>
      <c r="PI9" s="43">
        <f t="shared" si="128"/>
        <v>35</v>
      </c>
      <c r="PJ9" s="43" t="str">
        <f t="shared" si="129"/>
        <v/>
      </c>
      <c r="PK9" s="43" t="str">
        <f t="shared" si="130"/>
        <v/>
      </c>
      <c r="PL9" s="43" t="str">
        <f t="shared" si="131"/>
        <v/>
      </c>
      <c r="PM9" s="43" t="str">
        <f t="shared" si="132"/>
        <v/>
      </c>
      <c r="PN9" s="43" t="str">
        <f t="shared" si="133"/>
        <v/>
      </c>
      <c r="PO9" s="43" t="str">
        <f t="shared" si="134"/>
        <v/>
      </c>
      <c r="PP9" s="43" t="str">
        <f t="shared" si="135"/>
        <v/>
      </c>
      <c r="PQ9" s="43" t="str">
        <f t="shared" si="136"/>
        <v/>
      </c>
      <c r="PR9" s="43" t="str">
        <f t="shared" si="137"/>
        <v/>
      </c>
      <c r="PS9" s="43" t="str">
        <f t="shared" si="138"/>
        <v/>
      </c>
      <c r="PT9" s="43" t="str">
        <f t="shared" si="139"/>
        <v/>
      </c>
      <c r="PU9" s="43" t="str">
        <f t="shared" si="140"/>
        <v/>
      </c>
      <c r="PV9" s="43" t="str">
        <f t="shared" si="141"/>
        <v/>
      </c>
      <c r="PW9" s="43" t="str">
        <f t="shared" si="142"/>
        <v/>
      </c>
      <c r="PX9" s="43" t="str">
        <f t="shared" si="143"/>
        <v/>
      </c>
      <c r="PY9" s="43" t="str">
        <f t="shared" si="144"/>
        <v/>
      </c>
      <c r="PZ9" s="43" t="str">
        <f t="shared" si="145"/>
        <v/>
      </c>
      <c r="QA9" s="43" t="str">
        <f t="shared" si="146"/>
        <v/>
      </c>
      <c r="QB9" s="43" t="str">
        <f t="shared" si="147"/>
        <v/>
      </c>
      <c r="QC9" s="43" t="str">
        <f t="shared" si="148"/>
        <v/>
      </c>
      <c r="QD9" s="43" t="str">
        <f t="shared" si="149"/>
        <v/>
      </c>
      <c r="QE9" s="43" t="str">
        <f t="shared" si="150"/>
        <v/>
      </c>
      <c r="QF9" s="43" t="str">
        <f t="shared" si="151"/>
        <v/>
      </c>
      <c r="QG9" s="43" t="str">
        <f t="shared" si="152"/>
        <v/>
      </c>
      <c r="QH9" s="43" t="str">
        <f t="shared" si="153"/>
        <v/>
      </c>
      <c r="QI9" s="43" t="str">
        <f t="shared" si="154"/>
        <v/>
      </c>
      <c r="QJ9" s="43" t="str">
        <f t="shared" si="155"/>
        <v/>
      </c>
      <c r="QK9" s="43" t="str">
        <f t="shared" si="156"/>
        <v/>
      </c>
      <c r="QL9" s="43" t="str">
        <f t="shared" si="157"/>
        <v/>
      </c>
      <c r="QM9" s="43" t="str">
        <f t="shared" si="158"/>
        <v/>
      </c>
      <c r="QN9" s="43" t="str">
        <f t="shared" si="159"/>
        <v/>
      </c>
      <c r="QO9" s="43" t="str">
        <f t="shared" si="160"/>
        <v/>
      </c>
      <c r="QP9" s="43" t="str">
        <f t="shared" si="161"/>
        <v/>
      </c>
      <c r="QQ9" s="43" t="str">
        <f t="shared" si="162"/>
        <v/>
      </c>
      <c r="QR9" s="43">
        <f t="shared" si="192"/>
        <v>35</v>
      </c>
      <c r="QS9" s="43"/>
      <c r="QT9" s="21" t="str">
        <f t="shared" si="163"/>
        <v/>
      </c>
      <c r="QU9" s="21" t="str">
        <f t="shared" si="164"/>
        <v/>
      </c>
      <c r="QV9" s="21" t="str">
        <f t="shared" si="165"/>
        <v/>
      </c>
      <c r="QW9" s="21" t="str">
        <f t="shared" si="166"/>
        <v/>
      </c>
      <c r="QX9" s="21" t="str">
        <f t="shared" si="167"/>
        <v/>
      </c>
      <c r="QY9" s="21" t="str">
        <f t="shared" si="168"/>
        <v/>
      </c>
      <c r="QZ9" s="21" t="str">
        <f t="shared" si="169"/>
        <v/>
      </c>
      <c r="RA9" s="21" t="str">
        <f t="shared" si="170"/>
        <v/>
      </c>
      <c r="RB9" s="21" t="str">
        <f t="shared" si="171"/>
        <v/>
      </c>
      <c r="RC9" s="21" t="str">
        <f t="shared" si="172"/>
        <v/>
      </c>
      <c r="RD9" s="21" t="str">
        <f t="shared" si="173"/>
        <v/>
      </c>
      <c r="RE9" s="21" t="str">
        <f t="shared" si="174"/>
        <v/>
      </c>
      <c r="RF9" s="21" t="str">
        <f t="shared" si="175"/>
        <v/>
      </c>
      <c r="RG9" s="21" t="str">
        <f t="shared" si="176"/>
        <v/>
      </c>
      <c r="RH9" s="21" t="str">
        <f t="shared" si="177"/>
        <v/>
      </c>
      <c r="RI9" s="21" t="str">
        <f t="shared" si="178"/>
        <v/>
      </c>
      <c r="RJ9" s="21" t="str">
        <f t="shared" si="179"/>
        <v/>
      </c>
      <c r="RK9" s="21" t="str">
        <f t="shared" si="180"/>
        <v/>
      </c>
      <c r="RL9" s="21" t="str">
        <f t="shared" si="181"/>
        <v/>
      </c>
      <c r="RM9" s="21" t="str">
        <f t="shared" si="182"/>
        <v/>
      </c>
      <c r="RN9" s="21" t="str">
        <f t="shared" si="183"/>
        <v/>
      </c>
      <c r="RO9" s="21" t="str">
        <f t="shared" si="184"/>
        <v/>
      </c>
      <c r="RP9" s="21" t="str">
        <f t="shared" si="185"/>
        <v/>
      </c>
      <c r="RQ9" s="21" t="str">
        <f t="shared" si="186"/>
        <v/>
      </c>
      <c r="RR9" s="21" t="str">
        <f t="shared" si="187"/>
        <v/>
      </c>
      <c r="RS9" s="21" t="str">
        <f t="shared" si="188"/>
        <v/>
      </c>
      <c r="RT9" s="21" t="str">
        <f t="shared" si="189"/>
        <v/>
      </c>
      <c r="RU9" s="21" t="str">
        <f t="shared" si="190"/>
        <v/>
      </c>
      <c r="RV9" s="21">
        <f t="shared" si="191"/>
        <v>9.5</v>
      </c>
      <c r="RW9" s="284">
        <f>IF(OR(Tabla1[[#This Row],[FUM FORMULA CONFIABLE]]="",Tabla1[[#This Row],[FUM FORMULA CONFIABLE]]="SD"),"",IF(Tabla1[[#This Row],[FUM FORMULA CONFIABLE]]="CORREGIDA",Tabla1[[#This Row],[FUM X ECO 1]],Tabla1[[#This Row],[FUM x AMENORREA]]))</f>
        <v>44725.5</v>
      </c>
      <c r="RX9" s="21">
        <f>IF(AND(Tabla1[[#This Row],[FUM X ECO 1]]="",Tabla1[[#This Row],[FUM x AMENORREA]]=""),"",IF(AND(Tabla1[[#This Row],[FUM X ECO 1]]="",Tabla1[[#This Row],[FUM x AMENORREA]]&lt;&gt;""),"X",SUM(Tabla1[[#This Row],[FUM X ECO 1]]-Tabla1[[#This Row],[FUM x AMENORREA]])))</f>
        <v>-35.5</v>
      </c>
      <c r="RY9" s="21">
        <f t="shared" si="193"/>
        <v>1</v>
      </c>
    </row>
    <row r="10" spans="1:493" ht="45" customHeight="1" x14ac:dyDescent="0.25">
      <c r="A10" s="109" t="s">
        <v>907</v>
      </c>
      <c r="B10" s="43">
        <v>1113541820</v>
      </c>
      <c r="C10" s="43" t="s">
        <v>845</v>
      </c>
      <c r="D10" s="124" t="s">
        <v>846</v>
      </c>
      <c r="E10" s="43" t="s">
        <v>908</v>
      </c>
      <c r="F10" s="43" t="s">
        <v>909</v>
      </c>
      <c r="G10" s="43" t="s">
        <v>910</v>
      </c>
      <c r="H10" s="43" t="s">
        <v>850</v>
      </c>
      <c r="I10" s="109" t="s">
        <v>851</v>
      </c>
      <c r="J10" s="110">
        <v>1002846321</v>
      </c>
      <c r="K10" s="43" t="s">
        <v>852</v>
      </c>
      <c r="L10" s="175" t="s">
        <v>886</v>
      </c>
      <c r="M10" s="22">
        <v>35911</v>
      </c>
      <c r="N10" s="213">
        <f t="shared" ca="1" si="0"/>
        <v>25.536986301369861</v>
      </c>
      <c r="O10" s="22">
        <v>44799</v>
      </c>
      <c r="P10" s="214" t="str">
        <f t="shared" si="1"/>
        <v>SI</v>
      </c>
      <c r="Q10" s="26" t="s">
        <v>855</v>
      </c>
      <c r="R10" s="22">
        <v>44799</v>
      </c>
      <c r="S10" s="21" t="s">
        <v>856</v>
      </c>
      <c r="T10" s="24" t="s">
        <v>690</v>
      </c>
      <c r="U10" s="21" t="s">
        <v>857</v>
      </c>
      <c r="V10" s="21" t="s">
        <v>858</v>
      </c>
      <c r="W10" s="21" t="s">
        <v>911</v>
      </c>
      <c r="X10" s="21" t="s">
        <v>912</v>
      </c>
      <c r="Y10" s="21" t="s">
        <v>859</v>
      </c>
      <c r="Z10" s="21">
        <v>3126069889</v>
      </c>
      <c r="AA10" s="21" t="s">
        <v>860</v>
      </c>
      <c r="AB10" s="27" t="s">
        <v>861</v>
      </c>
      <c r="AC10" s="26" t="s">
        <v>897</v>
      </c>
      <c r="AD10" s="38" t="s">
        <v>846</v>
      </c>
      <c r="AE10" s="26" t="s">
        <v>864</v>
      </c>
      <c r="AF10" s="26" t="s">
        <v>854</v>
      </c>
      <c r="AG10" s="23" t="s">
        <v>864</v>
      </c>
      <c r="AH10" s="23" t="s">
        <v>864</v>
      </c>
      <c r="AI10" s="24" t="s">
        <v>863</v>
      </c>
      <c r="AJ10" s="23" t="s">
        <v>864</v>
      </c>
      <c r="AK10" s="220" t="str">
        <f>IF(AND(AD10="",AE10="",AF10="",AG10="",AH10="",AI10="",AJ10=""),"",IF(OR(Tabla1[[#This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EVALUACIÓN",IF(AND(O10="",R10=""),"",IF(AND(OR(O10&gt;0,R10&gt;0),NG10&gt;=0,NG10&lt;2),"SIN RIESGO",IF(AND(OR(O10&gt;0,R10&gt;0),NG10&gt;=2),"CON RIESGO","ASD")))))</f>
        <v>SIN RIESGO</v>
      </c>
      <c r="AL10" s="23" t="s">
        <v>864</v>
      </c>
      <c r="AM10" s="26" t="s">
        <v>864</v>
      </c>
      <c r="AN10" s="26" t="s">
        <v>864</v>
      </c>
      <c r="AO10" s="26" t="s">
        <v>864</v>
      </c>
      <c r="AP10" s="26" t="s">
        <v>864</v>
      </c>
      <c r="AQ10" s="26" t="s">
        <v>864</v>
      </c>
      <c r="AR10" s="26" t="s">
        <v>864</v>
      </c>
      <c r="AS10" s="21">
        <v>1</v>
      </c>
      <c r="AT10" s="21">
        <v>1</v>
      </c>
      <c r="AU10" s="21">
        <v>0</v>
      </c>
      <c r="AV10" s="26" t="s">
        <v>864</v>
      </c>
      <c r="AW10" s="21">
        <v>0</v>
      </c>
      <c r="AX10" s="26" t="s">
        <v>864</v>
      </c>
      <c r="AY10" s="26" t="s">
        <v>864</v>
      </c>
      <c r="AZ10" s="26" t="s">
        <v>864</v>
      </c>
      <c r="BA10" s="26" t="s">
        <v>864</v>
      </c>
      <c r="BB10" s="26" t="s">
        <v>864</v>
      </c>
      <c r="BC10" s="26" t="s">
        <v>864</v>
      </c>
      <c r="BD10" s="26" t="s">
        <v>864</v>
      </c>
      <c r="BE10" s="26" t="s">
        <v>864</v>
      </c>
      <c r="BF10" s="26" t="s">
        <v>864</v>
      </c>
      <c r="BG10" s="26" t="s">
        <v>864</v>
      </c>
      <c r="BH10" s="26"/>
      <c r="BI10" s="26" t="s">
        <v>864</v>
      </c>
      <c r="BJ10" s="26"/>
      <c r="BK10" s="26"/>
      <c r="BL10" s="26"/>
      <c r="BM10" s="26" t="s">
        <v>864</v>
      </c>
      <c r="BN10" s="22">
        <v>44370</v>
      </c>
      <c r="BO10" s="22">
        <v>44731</v>
      </c>
      <c r="BP10" s="21" t="s">
        <v>854</v>
      </c>
      <c r="BQ10" s="222">
        <f t="shared" si="2"/>
        <v>12.033333333333333</v>
      </c>
      <c r="BR10" s="223">
        <f t="shared" si="3"/>
        <v>44731.8</v>
      </c>
      <c r="BS10" s="224">
        <f t="shared" si="4"/>
        <v>9.7142857142857135</v>
      </c>
      <c r="BT10" s="216" t="str">
        <f t="shared" si="5"/>
        <v>I TRIM</v>
      </c>
      <c r="BU10" s="214" t="str">
        <f t="shared" ca="1" si="6"/>
        <v/>
      </c>
      <c r="BV10" s="25"/>
      <c r="BW10" s="22">
        <v>44799</v>
      </c>
      <c r="BX10" s="28">
        <v>9.6</v>
      </c>
      <c r="BY10" s="28"/>
      <c r="BZ10" s="22"/>
      <c r="CA10" s="21"/>
      <c r="CB10" s="26" t="s">
        <v>864</v>
      </c>
      <c r="CC10" s="26" t="s">
        <v>864</v>
      </c>
      <c r="CD10" s="26" t="s">
        <v>878</v>
      </c>
      <c r="CE10" s="26" t="s">
        <v>864</v>
      </c>
      <c r="CF10" s="22">
        <v>44799</v>
      </c>
      <c r="CG10" s="21">
        <v>1.5</v>
      </c>
      <c r="CH10" s="21">
        <v>53.5</v>
      </c>
      <c r="CI10" s="214">
        <f t="shared" si="7"/>
        <v>23.777777777777779</v>
      </c>
      <c r="CJ10" s="225" t="str">
        <f>IF(AND(CI10&lt;10,CH10="SD"),"SIN DATO PESO PREGESTACION O I TRIM",IF(AND(OR(R10&gt;0,O10&gt;0),CI10="X"),"INGRESAR DATO DE PESO",IF(CI10="SD","INGRESAR DATO DE TALLA Y PESO",IF(AND(OR(Tabla1[[#This Row],[MOMENTO EN QUE SE REALIZA EL PESO AL INGRESO A CPN]]="PREGESTACIÓN",NZ10="Menor"),CI10&lt;18.5),"BAJO PESO",IF(AND(OR(Tabla1[[#This Row],[MOMENTO EN QUE SE REALIZA EL PESO AL INGRESO A CPN]]="PREGESTACIÓN",NZ10="Menor"),CI10&lt;25),"NORMAL",IF(AND(OR(Tabla1[[#This Row],[MOMENTO EN QUE SE REALIZA EL PESO AL INGRESO A CPN]]="PREGESTACIÓN",NZ10="Menor"),CI10&lt;30),"SOBREPESO",IF(AND(OR(Tabla1[[#This Row],[MOMENTO EN QUE SE REALIZA EL PESO AL INGRESO A CPN]]="PREGESTACIÓN",NZ10="Menor"),CI10&gt;=30,CI10&lt;50),"OBESIDAD",IF(AND(BS10&gt;0,Tabla1[[#This Row],[MOMENTO EN QUE SE REALIZA EL PESO AL INGRESO A CPN]]="GESTACIÓN"),HLOOKUP(NZ10,$OA$2:PH10,NY10),""))))))))</f>
        <v>NORMAL</v>
      </c>
      <c r="CK10" s="212">
        <f t="shared" si="8"/>
        <v>44978</v>
      </c>
      <c r="CL10" s="21"/>
      <c r="CM10" s="214">
        <f t="shared" si="9"/>
        <v>0</v>
      </c>
      <c r="CN10" s="216">
        <f t="shared" si="10"/>
        <v>35</v>
      </c>
      <c r="CO10" s="216" t="e">
        <f>IF(PI10="","",IF(PI10&gt;0,HLOOKUP(PI10,$PJ$2:QQ10,NY10),""))</f>
        <v>#REF!</v>
      </c>
      <c r="CP10" s="21"/>
      <c r="CQ10" s="216" t="e">
        <f>IF(QR10="Menor","NO APLICA-MENOR 13 SEM",IF(AND(CC10="SI",CN10&gt;23),"NO APLICA- GEMELAR",IF(QR10="","",IF(QR10&gt;0,HLOOKUP(QR10,$QS$2:RU10,NY10),""))))</f>
        <v>#REF!</v>
      </c>
      <c r="CR10" s="21">
        <v>120</v>
      </c>
      <c r="CS10" s="21">
        <v>60</v>
      </c>
      <c r="CT10" s="217" t="str">
        <f>IF(R10="","",IF(AND(BS10&gt;1,BS10&lt;12,Tabla1[[#This Row],[T.A. SISTOLICA - ANTES DE SEMANA 12]]="",Tabla1[[#This Row],[T.A. DIASTOLICA - ANTES DE SEMANA 12]]=""),"REGISTRE DATO TA ANTES SEMANA 12",IF(AND(BS10&gt;11,BS10&lt;43,Tabla1[[#This Row],[T.A. SISTOLICA - ANTES DE SEMANA 12]]="",Tabla1[[#This Row],[T.A. DIASTOLICA - ANTES DE SEMANA 12]]=""),"NO APLICA REGISTRO TA-INGRESO TARDIO",IF(AND(OR(O10&gt;0,R10&gt;0),OR(CR10&gt;=140,CS10&gt;=90)),"DEFINIR ESTADIO HTA",IF(AND(OR(O10&gt;0,R10&gt;0),AND(CR10&gt;120,CR10&lt;=139)),"PRE HTA SEGUIMIENTO",IF(AND(OR(O10&gt;0,R10&gt;0),AND(CS10&gt;80,CS10&lt;=89)),"PRE HTA SEGUIMIENTO",IF(AND(OR(O10&gt;0,R10&gt;0),AND(CR10&gt;=80,CR10&lt;=120)),"APARENTEMENTE NORMAL",IF(AND(OR(O10&gt;0,R10&gt;0),AND(CS10&gt;=50,CS10&lt;=80)),"APARENTEMENTE NORMAL",IF(AND(OR(O10&gt;0,R10&gt;0),AND(CR10&gt;1,CR10&lt;=70),AND(CS10&gt;1,CS10&lt;=40)),"HIPOTENSIÓN","")))))))))</f>
        <v>APARENTEMENTE NORMAL</v>
      </c>
      <c r="CU10" s="21">
        <v>100</v>
      </c>
      <c r="CV10" s="21">
        <v>60</v>
      </c>
      <c r="CW10" s="217" t="str">
        <f ca="1">IF(R10="","",IF(AND(CN10&gt;19,CN10&lt;27,Tabla1[[#This Row],[T.A. SISTOLICA (Entre semana 20 y 26)]]="",Tabla1[[#This Row],[T.A. DIATOLICA (Entre semana 20 y 26)]]=""),"ACUDE A CONTROL SEM 20 A 26 REGISTRE TA AHORA",IF(AND(BS10&gt;1,BS10&lt;27,BU10&gt;19,Tabla1[[#This Row],[T.A. SISTOLICA (Entre semana 20 y 26)]]="",Tabla1[[#This Row],[T.A. DIATOLICA (Entre semana 20 y 26)]]=""),"COMPLETE REGISTRO TA CONTROL SEM 20 A26 ",IF(AND(BS10&gt;26,BS10&lt;43,Tabla1[[#This Row],[T.A. SISTOLICA (Entre semana 20 y 26)]]="",Tabla1[[#This Row],[T.A. DIATOLICA (Entre semana 20 y 26)]]=""),"NO APLICA REGISTRO TA-INGRESO TARDIO",IF(AND(OR(O10&gt;0,R10&gt;0),OR(CU10&gt;=140,CV10&gt;=90)),"ALTO RIESGO PREECLAMPSIA,DEFINIR ESTADIO HTA",IF(AND(OR(O10&gt;0,R10&gt;0),AND(CU10&gt;120,CU10&lt;=139)),"PRE HTA SEGUIMIENTO,RIESGO HIPERTENSION INDUCIDA POR EL EMBARAZO",IF(AND(OR(O10&gt;0,R10&gt;0),AND(CV10&gt;80,CV10&lt;=89)),"PRE HTA SEGUIMIENTO, RIESGO HIPERTENSION INDUCIDA POR EL EMBARAZO",IF(AND(OR(O10&lt;&gt;"",R10&lt;&gt;""),CS10&lt;&gt;"",CV10&lt;&gt;"",CS10&lt;=CV10),"VIGILAR CIFRAS PRESION ARTERIAL",IF(AND(OR(O10&gt;0,R10&gt;0),AND(CU10&gt;120,CU10&lt;=139)),"PRE HTA SEGUIMIENTO",IF(AND(OR(O10&gt;0,R10&gt;0),AND(CU10&gt;1,CU10&lt;=70),AND(CV10&gt;1,CV10&lt;=40)),"HIPOTENSIÓN",IF(AND(OR(O10&lt;&gt;"",R10&lt;&gt;""),CS10&lt;&gt;"",CV10&lt;&gt;"",CS10&gt;CV10),"APARENTEMENTE NORMAL",IF(AND(OR(O10&gt;0,R10&gt;0),AND(CU10&gt;=80,CU10&lt;=120)),"APARENTEMENTE NORMAL",IF(AND(OR(O10&gt;0,R10&gt;0),AND(CV10&gt;=50,CV10&lt;=80)),"APARENTEMENTE NORMAL","")))))))))))))</f>
        <v>VIGILAR CIFRAS PRESION ARTERIAL</v>
      </c>
      <c r="CX10" s="21"/>
      <c r="CY10" s="21"/>
      <c r="CZ10" s="216" t="str">
        <f t="shared" si="11"/>
        <v/>
      </c>
      <c r="DA10" s="21"/>
      <c r="DB10" s="21"/>
      <c r="DC10" s="217" t="str">
        <f t="shared" si="12"/>
        <v>REGISTRE DATO PRESIÓN ARTERIAL MENSUAL</v>
      </c>
      <c r="DD10" s="22">
        <v>44799</v>
      </c>
      <c r="DE10" s="22">
        <v>44799</v>
      </c>
      <c r="DF10" s="22">
        <v>44884</v>
      </c>
      <c r="DG10" s="22">
        <v>44918</v>
      </c>
      <c r="DH10" s="22">
        <v>44978</v>
      </c>
      <c r="DI10" s="22"/>
      <c r="DJ10" s="22"/>
      <c r="DK10" s="22"/>
      <c r="DL10" s="22"/>
      <c r="DM10" s="22"/>
      <c r="DN10" s="22"/>
      <c r="DO10" s="22"/>
      <c r="DP10" s="22"/>
      <c r="DQ10" s="22"/>
      <c r="DR10" s="28">
        <v>2</v>
      </c>
      <c r="DS10" s="22"/>
      <c r="DT10" s="22"/>
      <c r="DU10" s="216" t="str">
        <f t="shared" ca="1" si="13"/>
        <v>SALE SIN PLAN DE PARTO</v>
      </c>
      <c r="DV10" s="226" t="str">
        <f t="shared" si="14"/>
        <v>SALIO PROGRAMA</v>
      </c>
      <c r="DW10"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0" s="216" t="str">
        <f t="shared" ca="1" si="15"/>
        <v/>
      </c>
      <c r="DY10" s="212">
        <f>IF(R10="","",IF(R10&gt;0,MAX(Tabla1[[#This Row],[FECHA C2]:[FECHA C13]],Tabla1[[#This Row],[FECHA CONSULTA PRIMERA VEZ PROGRAMA CPN ]])))</f>
        <v>44978</v>
      </c>
      <c r="DZ10" s="216">
        <f t="shared" si="16"/>
        <v>35</v>
      </c>
      <c r="EA10" s="222">
        <f>IF(R10&gt;0,SUM(COUNTA(DF10:DQ10)+COUNTA(Tabla1[[#This Row],[FECHA CONSULTA PRIMERA VEZ PROGRAMA CPN ]])),"")</f>
        <v>4</v>
      </c>
      <c r="EB10" s="222" t="str">
        <f t="shared" si="17"/>
        <v>SI</v>
      </c>
      <c r="EC10" s="214">
        <f t="shared" si="18"/>
        <v>9</v>
      </c>
      <c r="ED10" s="227">
        <f t="shared" si="19"/>
        <v>0.44444444444444442</v>
      </c>
      <c r="EE10" s="22">
        <v>44799</v>
      </c>
      <c r="EF10" s="22">
        <v>44799</v>
      </c>
      <c r="EG10" s="22">
        <v>44799</v>
      </c>
      <c r="EH10" s="22"/>
      <c r="EI10" s="22">
        <v>44799</v>
      </c>
      <c r="EJ10" s="22">
        <v>45001</v>
      </c>
      <c r="EK10" s="22">
        <v>45001</v>
      </c>
      <c r="EL10" s="21"/>
      <c r="EM10" s="21">
        <v>12.5</v>
      </c>
      <c r="EN10" s="22">
        <v>44799</v>
      </c>
      <c r="EO10" s="222">
        <f t="shared" si="20"/>
        <v>9.7142857142857135</v>
      </c>
      <c r="EP10" s="214" t="str">
        <f t="shared" si="21"/>
        <v>NORMAL- SUMINISTRAR SULFATO FERROSO</v>
      </c>
      <c r="EQ10" s="216" t="str">
        <f t="shared" si="22"/>
        <v>I TRIM</v>
      </c>
      <c r="ER10" s="24"/>
      <c r="ES10" s="22"/>
      <c r="ET10" s="29" t="str">
        <f t="shared" ca="1" si="23"/>
        <v>SALE SIN TAMIZAJE HEMOGLOBINA SEM 28</v>
      </c>
      <c r="EU10" s="25" t="str">
        <f t="shared" si="24"/>
        <v/>
      </c>
      <c r="EV10" s="24" t="s">
        <v>866</v>
      </c>
      <c r="EW10" s="24">
        <v>44799</v>
      </c>
      <c r="EX10" s="22"/>
      <c r="EY10" s="29">
        <f t="shared" si="25"/>
        <v>9.7142857142857135</v>
      </c>
      <c r="EZ10" s="25" t="str">
        <f t="shared" ca="1" si="26"/>
        <v/>
      </c>
      <c r="FA10" s="21">
        <v>74</v>
      </c>
      <c r="FB10" s="22">
        <v>44799</v>
      </c>
      <c r="FC10" s="29">
        <f t="shared" si="27"/>
        <v>9.7142857142857135</v>
      </c>
      <c r="FD10" s="29">
        <v>76</v>
      </c>
      <c r="FE10" s="29">
        <v>109</v>
      </c>
      <c r="FF10" s="29">
        <v>105</v>
      </c>
      <c r="FG10" s="21" t="str">
        <f t="shared" si="28"/>
        <v xml:space="preserve">NORMAL, NO DESCARTA DIABETES POR REALIZARLO ANTES DE  SEMANA 24, </v>
      </c>
      <c r="FH10" s="31">
        <v>44896</v>
      </c>
      <c r="FI10" s="29">
        <f t="shared" si="29"/>
        <v>23.571428571428573</v>
      </c>
      <c r="FJ10" s="22" t="s">
        <v>867</v>
      </c>
      <c r="FK10" s="22">
        <v>44799</v>
      </c>
      <c r="FL10" s="29">
        <f t="shared" ca="1" si="30"/>
        <v>9.7142857142857135</v>
      </c>
      <c r="FM10" s="22" t="s">
        <v>867</v>
      </c>
      <c r="FN10" s="32">
        <v>44896</v>
      </c>
      <c r="FO10" s="29">
        <f t="shared" ca="1" si="31"/>
        <v>23.571428571428573</v>
      </c>
      <c r="FP10" s="22" t="s">
        <v>867</v>
      </c>
      <c r="FQ10" s="32"/>
      <c r="FR10" s="29" t="str">
        <f t="shared" ca="1" si="32"/>
        <v>PIERDE TOMA DE TAMIZAJE</v>
      </c>
      <c r="FS10" s="22"/>
      <c r="FT10" s="32"/>
      <c r="FU10" s="29" t="str">
        <f>IF(AND(FJ10="",FM10="",FP10="",FS10=""),"",IF(OR(OR(Tabla1[[#This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0" s="28"/>
      <c r="FW10" s="22"/>
      <c r="FX10" s="29" t="str">
        <f t="shared" si="33"/>
        <v>TOMAR EXAMEN</v>
      </c>
      <c r="FY10" s="22">
        <v>44799</v>
      </c>
      <c r="FZ10" s="22">
        <v>44799</v>
      </c>
      <c r="GA10" s="29">
        <f t="shared" ca="1" si="34"/>
        <v>9.7142857142857135</v>
      </c>
      <c r="GB10" s="22" t="s">
        <v>868</v>
      </c>
      <c r="GC10" s="22">
        <v>44896</v>
      </c>
      <c r="GD10" s="29">
        <f t="shared" ca="1" si="35"/>
        <v>23.571428571428573</v>
      </c>
      <c r="GE10" s="22"/>
      <c r="GF10" s="22"/>
      <c r="GG10" s="29" t="str">
        <f t="shared" ca="1" si="36"/>
        <v>PIERDE TOMA DE TAMIZAJE</v>
      </c>
      <c r="GH10" s="22"/>
      <c r="GI10" s="29"/>
      <c r="GJ10" s="22"/>
      <c r="GK10" s="22"/>
      <c r="GL10" s="22" t="s">
        <v>879</v>
      </c>
      <c r="GM10" s="22"/>
      <c r="GN10" s="28" t="s">
        <v>869</v>
      </c>
      <c r="GO10" s="22">
        <v>44799</v>
      </c>
      <c r="GP10" s="29">
        <f t="shared" si="37"/>
        <v>9.7142857142857135</v>
      </c>
      <c r="GQ10" s="28" t="s">
        <v>880</v>
      </c>
      <c r="GR10" s="28" t="s">
        <v>869</v>
      </c>
      <c r="GS10" s="22" t="str">
        <f t="shared" si="38"/>
        <v>SE EXCLUYE INFECCION</v>
      </c>
      <c r="GT10" s="22">
        <v>44799</v>
      </c>
      <c r="GU10" s="29">
        <f t="shared" si="39"/>
        <v>9.7142857142857135</v>
      </c>
      <c r="GV10" s="21" t="str">
        <f t="shared" si="40"/>
        <v>I TRIM</v>
      </c>
      <c r="GW10" s="28" t="s">
        <v>869</v>
      </c>
      <c r="GX10" s="30"/>
      <c r="GY10" s="21" t="s">
        <v>906</v>
      </c>
      <c r="GZ10" s="21"/>
      <c r="HA10" s="21"/>
      <c r="HB10" s="21"/>
      <c r="HC10" s="21"/>
      <c r="HD10" s="21"/>
      <c r="HE10" s="21"/>
      <c r="HF10" s="22"/>
      <c r="HG10" s="22" t="str">
        <f>IF(OR(O10&gt;0,R10&gt;0),CONCATENATE(IF(Tabla1[[#This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0" s="22" t="e">
        <f t="shared" si="41"/>
        <v>#REF!</v>
      </c>
      <c r="HI10" s="22" t="e">
        <f t="shared" ca="1" si="42"/>
        <v>#REF!</v>
      </c>
      <c r="HJ10" s="21" t="str">
        <f t="shared" ca="1" si="43"/>
        <v>***************************************</v>
      </c>
      <c r="HK10" s="21" t="str">
        <f t="shared" si="44"/>
        <v>SIN ANTECEDENTES DE RIESGO</v>
      </c>
      <c r="HL10" s="24" t="str">
        <f t="shared" si="45"/>
        <v>REGISTRE DATO PRESIÓN ARTERIAL MENSUAL</v>
      </c>
      <c r="HM10" s="21" t="str">
        <f t="shared" ca="1" si="46"/>
        <v/>
      </c>
      <c r="HN10" s="30" t="str">
        <f t="shared" si="47"/>
        <v>SALIO PROGRAMA</v>
      </c>
      <c r="HO10" s="21"/>
      <c r="HP10" s="21"/>
      <c r="HQ10" s="21"/>
      <c r="HR10" s="21" t="str">
        <f>IF(R10="","",IF(Tabla1[[#This Row],[ALARMA FACTORES DE RIESGO COMPLICACIONES HIPERTENSIVAS3]]="SIN ANTECEDENTES DE RIESGO","No Aplica para suministro de ASA",IF(AND(Tabla1[[#This Row],[FECHA INICIO DE SUMINISTRO DE ASA]]&gt;0,RV10&lt;12),"Inicia ASA ANTES de Sem 12",IF(AND(RV10&gt;11,RV10&lt;17,OR(HK10="RIESGO ALTO DE COMPLICACIONES HIPERTENSIVAS VER MANEJO GUIA SUMINISTRO ASA Y CALCIO",HK10="RIESGO MODERADO (2 O MAS CRITERIOS) VER MANEJO GUIA SUMINISTRO ASA Y CALCIO")),"Inicio oportuno de ASA",IF(AND(RV10&gt;12,OR(HK10="RIESGO ALTO DE COMPLICACIONES HIPERTENSIVAS VER MANEJO GUIA SUMINISTRO ASA Y CALCIO",HK10="RIESGO MODERADO (2 O MAS CRITERIOS) VER MANEJO GUIA SUMINISTRO ASA Y CALCIO")),"Inicio no oportuno mayor a 16 semanas",IF(AND(BU10&lt;12,OR(HK10="RIESGO ALTO DE COMPLICACIONES HIPERTENSIVAS VER MANEJO GUIA SUMINISTRO ASA Y CALCIO",HK10="RIESGO MODERADO (2 O MAS CRITERIOS) VER MANEJO GUIA SUMINISTRO ASA Y CALCIO")),"Pendiente Inicio de ASA a la semana 12",IF(AND(BU10&gt;11,BU10&lt;17,OR(HK10="RIESGO ALTO DE COMPLICACIONES HIPERTENSIVAS VER MANEJO GUIA SUMINISTRO ASA Y CALCIO",HK10="RIESGO MODERADO (2 O MAS CRITERIOS) VER MANEJO GUIA SUMINISTRO ASA Y CALCIO")),"Iniciar de inmediato ASA",IF(AND(BU10&gt;16,OR(HK10="RIESGO ALTO DE COMPLICACIONES HIPERTENSIVAS VER MANEJO GUIA SUMINISTRO ASA Y CALCIO",HK10="RIESGO MODERADO (2 O MAS CRITERIOS) VER MANEJO GUIA SUMINISTRO ASA Y CALCIO")),"Pierde Oportunidad, Inicio tardío de ASA","XXXXX"))))))))</f>
        <v>No Aplica para suministro de ASA</v>
      </c>
      <c r="HS10" s="22"/>
      <c r="HT10" s="22"/>
      <c r="HU10" s="22">
        <v>44799</v>
      </c>
      <c r="HV10" s="22" t="s">
        <v>870</v>
      </c>
      <c r="HW10" s="22">
        <v>44799</v>
      </c>
      <c r="HX10" s="22" t="s">
        <v>870</v>
      </c>
      <c r="HY10" s="22">
        <v>44799</v>
      </c>
      <c r="HZ10" s="28">
        <f t="shared" si="48"/>
        <v>9.7142857142857135</v>
      </c>
      <c r="IA10" s="26"/>
      <c r="IB10" s="26"/>
      <c r="IC10" s="111"/>
      <c r="ID10" s="22"/>
      <c r="IE10" s="22" t="str">
        <f t="shared" ca="1" si="49"/>
        <v>SALE SIN VACUNA</v>
      </c>
      <c r="IF10" s="22"/>
      <c r="IG10" s="22">
        <f t="shared" si="50"/>
        <v>45011</v>
      </c>
      <c r="IH10" s="29">
        <f t="shared" ca="1" si="51"/>
        <v>-221</v>
      </c>
      <c r="II10" s="22" t="str">
        <f t="shared" ca="1" si="52"/>
        <v>POSIBLEMENTE NACIO</v>
      </c>
      <c r="IJ10" s="22"/>
      <c r="IK10" s="21" t="s">
        <v>1652</v>
      </c>
      <c r="IL10" s="21"/>
      <c r="IM10" s="34"/>
      <c r="IN10" s="349">
        <v>45013</v>
      </c>
      <c r="IO10" s="21" t="s">
        <v>1186</v>
      </c>
      <c r="IP10" s="29">
        <f t="shared" si="53"/>
        <v>40.285714285714285</v>
      </c>
      <c r="IQ10" s="35" t="s">
        <v>1650</v>
      </c>
      <c r="IR10" s="21" t="s">
        <v>1651</v>
      </c>
      <c r="IS10" s="21" t="s">
        <v>1646</v>
      </c>
      <c r="IT10" s="21" t="s">
        <v>1642</v>
      </c>
      <c r="IU10" s="21"/>
      <c r="IV10" s="21"/>
      <c r="IW10" s="21"/>
      <c r="IX10" s="21"/>
      <c r="IY10" s="21"/>
      <c r="IZ10" s="21"/>
      <c r="JA10" s="21"/>
      <c r="JB10" s="30">
        <v>1</v>
      </c>
      <c r="JC10" s="21" t="s">
        <v>1643</v>
      </c>
      <c r="JD10" s="36">
        <v>3430</v>
      </c>
      <c r="JE10" s="21" t="str">
        <f t="shared" si="54"/>
        <v>PESO ADECUADO EDAD GESTACIONAL</v>
      </c>
      <c r="JF10" s="30"/>
      <c r="JG10" s="21"/>
      <c r="JH10" s="21"/>
      <c r="JI10" s="21" t="s">
        <v>854</v>
      </c>
      <c r="JJ10" s="30" t="s">
        <v>866</v>
      </c>
      <c r="JK10" s="22"/>
      <c r="JL10" s="22"/>
      <c r="JM10" s="21"/>
      <c r="JN10" s="36"/>
      <c r="JO10" s="21" t="str">
        <f t="shared" si="55"/>
        <v/>
      </c>
      <c r="JP10" s="22"/>
      <c r="JQ10" s="21"/>
      <c r="JR10" s="21"/>
      <c r="JS10" s="21"/>
      <c r="JT10" s="30"/>
      <c r="JU10" s="22"/>
      <c r="JV10" s="22"/>
      <c r="JW10" s="33"/>
      <c r="JX10" s="28" t="str">
        <f t="shared" si="56"/>
        <v>INASISTENTE</v>
      </c>
      <c r="JY10" s="33"/>
      <c r="JZ10" s="28" t="str">
        <f t="shared" si="57"/>
        <v>INASISTENTE</v>
      </c>
      <c r="KA10" s="21"/>
      <c r="KB10" s="21"/>
      <c r="KC10" s="21"/>
      <c r="KD10" s="37"/>
      <c r="KE10" s="28"/>
      <c r="KF10" s="28"/>
      <c r="KG10" s="28"/>
      <c r="KH10" s="39"/>
      <c r="KI10" s="39"/>
      <c r="KJ10" s="66"/>
      <c r="KK10" s="39"/>
      <c r="KL10" s="39"/>
      <c r="KM10" s="66"/>
      <c r="KN10" s="39"/>
      <c r="KO10" s="39"/>
      <c r="KP10" s="39"/>
      <c r="KQ10" s="39"/>
      <c r="KR10" s="39"/>
      <c r="KS10" s="39"/>
      <c r="KT10" s="39"/>
      <c r="KU10" s="38"/>
      <c r="KV10" s="38"/>
      <c r="KW10" s="38"/>
      <c r="KX10" s="38"/>
      <c r="KY10" s="38"/>
      <c r="KZ10" s="38"/>
      <c r="LA10" s="38"/>
      <c r="LB10" s="38"/>
      <c r="LC10" s="38"/>
      <c r="LD10" s="38"/>
      <c r="LE10" s="38"/>
      <c r="LF10" s="38"/>
      <c r="LG10" s="38"/>
      <c r="LH10" s="38"/>
      <c r="LI10" s="38"/>
      <c r="LJ10" s="38"/>
      <c r="LK10" s="38"/>
      <c r="LL10" s="38"/>
      <c r="LM10" s="38"/>
      <c r="LN10" s="38"/>
      <c r="LO10" s="38"/>
      <c r="LP10" s="38"/>
      <c r="LQ10" s="38"/>
      <c r="LR10" s="38"/>
      <c r="LS10" s="38"/>
      <c r="LT10" s="38"/>
      <c r="LU10" s="38"/>
      <c r="LV10" s="38"/>
      <c r="LW10" s="38"/>
      <c r="LX10" s="38"/>
      <c r="LY10" s="38"/>
      <c r="LZ10" s="38"/>
      <c r="MA10" s="38"/>
      <c r="MB10" s="38"/>
      <c r="MC10" s="38"/>
      <c r="MD10" s="38"/>
      <c r="ME10" s="38"/>
      <c r="MF10" s="38"/>
      <c r="MG10" s="38"/>
      <c r="MH10" s="43">
        <f t="shared" si="58"/>
        <v>0</v>
      </c>
      <c r="MI10" s="43" t="str">
        <f t="shared" si="59"/>
        <v/>
      </c>
      <c r="MJ10" s="43" t="str">
        <f t="shared" si="60"/>
        <v/>
      </c>
      <c r="MK10" s="43">
        <f t="shared" si="61"/>
        <v>0</v>
      </c>
      <c r="ML1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0" s="43">
        <f t="shared" si="62"/>
        <v>9.7142857142857135</v>
      </c>
      <c r="MN10" s="43">
        <f t="shared" si="63"/>
        <v>8</v>
      </c>
      <c r="MO10" s="43">
        <f t="shared" si="64"/>
        <v>2022</v>
      </c>
      <c r="MP10" s="43" t="str">
        <f t="shared" si="65"/>
        <v>III TRIMESTRE AÑO</v>
      </c>
      <c r="MQ10" s="43">
        <f t="shared" si="66"/>
        <v>23.98160315374507</v>
      </c>
      <c r="MR10" s="43">
        <f t="shared" si="67"/>
        <v>0</v>
      </c>
      <c r="MS10" s="43" t="str">
        <f t="shared" si="68"/>
        <v xml:space="preserve"> DE 20 A 24 AÑOS</v>
      </c>
      <c r="MT10" s="43">
        <f t="shared" si="69"/>
        <v>0</v>
      </c>
      <c r="MU10" s="43">
        <f t="shared" si="70"/>
        <v>0</v>
      </c>
      <c r="MV10" s="43">
        <f t="shared" si="71"/>
        <v>0</v>
      </c>
      <c r="MW10" s="43">
        <f t="shared" si="72"/>
        <v>0</v>
      </c>
      <c r="MX10" s="43" t="str">
        <f t="shared" si="73"/>
        <v/>
      </c>
      <c r="MY10" s="43" t="str">
        <f t="shared" ca="1" si="74"/>
        <v/>
      </c>
      <c r="MZ10" s="43" t="str">
        <f t="shared" si="75"/>
        <v/>
      </c>
      <c r="NA10" s="43">
        <f t="shared" si="76"/>
        <v>0</v>
      </c>
      <c r="NB10" s="43" t="str">
        <f t="shared" si="77"/>
        <v/>
      </c>
      <c r="NC10" s="43" t="str">
        <f t="shared" si="78"/>
        <v/>
      </c>
      <c r="ND10" s="43">
        <f t="shared" ca="1" si="79"/>
        <v>0.5</v>
      </c>
      <c r="NE10" s="43">
        <f>IF(OR(O10&gt;0,R10&gt;0),SUM(COUNTIF(Tabla1[[#This Row],[AÑOS AL INICIO5 CPN]],"&gt;=40"),COUNTIF(AS10,"0"),COUNTIF(AR10,"SI"),COUNTIF(CC10,"SI"),COUNTIF(BQ10,"&gt;119"),COUNTIF(CI10,"&gt;=35")),"")</f>
        <v>0</v>
      </c>
      <c r="NF10" s="43" t="str">
        <f t="shared" si="80"/>
        <v/>
      </c>
      <c r="NG10" s="43">
        <f t="shared" si="81"/>
        <v>0.5</v>
      </c>
      <c r="NH10" s="43">
        <f t="shared" si="82"/>
        <v>67.2</v>
      </c>
      <c r="NI10"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CPN",P10="NO"),"Z",IF(AND(Tabla1[[#This Row],[CITA PROXIMO CONTROL]]="CITA MANUAL",Tabla1[[#This Row],[GESTANTES ACTUALES]]="ACTIVA INGRESO A CPN"),"W",IF(AND(Tabla1[[#This Row],[GESTANTES ACTUALES]]="SALIO PROGRAMA",IN10=""),"S",IF(AND(Tabla1[[#This Row],[CITA PROXIMO CONTROL]]&gt;0,IN10=""),(Tabla1[[#This Row],[CITA PROXIMO CONTROL]]-TODAY()),"SD"))))))))</f>
        <v>SD</v>
      </c>
      <c r="NJ10" s="43">
        <f>MONTH(Tabla1[[#This Row],[FECHA DE SALIDA  DEL PROGRAMA]])</f>
        <v>3</v>
      </c>
      <c r="NK10" s="43">
        <f>YEAR(Tabla1[[#This Row],[FECHA DE SALIDA  DEL PROGRAMA]])</f>
        <v>2023</v>
      </c>
      <c r="NL10" s="43">
        <f t="shared" si="83"/>
        <v>202</v>
      </c>
      <c r="NM10" s="43" t="str">
        <f t="shared" si="84"/>
        <v>NO</v>
      </c>
      <c r="NN10" s="43" t="str">
        <f ca="1">IF(AND(O10&gt;0,R10=""),"NO CPN",IF(AND(O10="",R10=""),"",IF(AND(R10&gt;0,Tabla1[[#This Row],[SEMANAS DE GESTACION ACTUALIZADAS]]&lt;=12),"NO APLICA",IF(AND(FH10&lt;&gt;"",FN10&lt;&gt;""),"SI","NO"))))</f>
        <v>SI</v>
      </c>
      <c r="NO10" s="43" t="str">
        <f ca="1">IF(AND(O10&gt;0,R10=""),"NO CPN",IF(AND(O10="",R10=""),"",IF(AND(R10&gt;0,Tabla1[[#This Row],[SEMANAS DE GESTACION ACTUALIZADAS]]&lt;=27),"NO APLICA",IF(AND(ES10&lt;&gt;"",FQ10&lt;&gt;"",GF10&lt;&gt;""),"SI","NO"))))</f>
        <v>NO</v>
      </c>
      <c r="NP10" s="204" t="str">
        <f t="shared" si="85"/>
        <v>I TRIM</v>
      </c>
      <c r="NQ10" s="21">
        <f t="shared" si="86"/>
        <v>1</v>
      </c>
      <c r="NR10" s="21">
        <f t="shared" si="87"/>
        <v>3</v>
      </c>
      <c r="NS10" s="205">
        <f t="shared" ca="1" si="88"/>
        <v>2</v>
      </c>
      <c r="NT10" s="21">
        <f t="shared" ca="1" si="89"/>
        <v>2</v>
      </c>
      <c r="NU10" s="21" t="str">
        <f t="shared" ca="1" si="90"/>
        <v>INCOMPLETO</v>
      </c>
      <c r="NV10" s="21" t="str">
        <f t="shared" ca="1" si="91"/>
        <v>INCOMPLETO</v>
      </c>
      <c r="NW10" s="206" t="str">
        <f>IF(AND(O10="",R10=""),"",IF(OR(AND(Tabla1[[#This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0" s="207" t="str">
        <f t="shared" ca="1" si="92"/>
        <v>SIN VACUNAR</v>
      </c>
      <c r="NY10" s="43">
        <f>ROW(Tabla1[[#This Row],['# DE TAMIZAJES SIFILIS TOMADOS ]])</f>
        <v>10</v>
      </c>
      <c r="NZ10" s="43" t="str">
        <f t="shared" si="93"/>
        <v>Menor</v>
      </c>
      <c r="OA10" s="43" t="str">
        <f t="shared" si="94"/>
        <v>NORMAL</v>
      </c>
      <c r="OB10" s="43" t="str">
        <f t="shared" si="95"/>
        <v/>
      </c>
      <c r="OC10" s="43" t="str">
        <f t="shared" si="96"/>
        <v/>
      </c>
      <c r="OD10" s="43" t="str">
        <f t="shared" si="97"/>
        <v/>
      </c>
      <c r="OE10" s="43" t="str">
        <f t="shared" si="98"/>
        <v/>
      </c>
      <c r="OF10" s="43" t="str">
        <f t="shared" si="99"/>
        <v/>
      </c>
      <c r="OG10" s="43" t="str">
        <f t="shared" si="100"/>
        <v/>
      </c>
      <c r="OH10" s="43" t="str">
        <f t="shared" si="101"/>
        <v/>
      </c>
      <c r="OI10" s="43" t="str">
        <f t="shared" si="102"/>
        <v/>
      </c>
      <c r="OJ10" s="43" t="str">
        <f t="shared" si="103"/>
        <v/>
      </c>
      <c r="OK10" s="43" t="str">
        <f t="shared" si="104"/>
        <v/>
      </c>
      <c r="OL10" s="43" t="str">
        <f t="shared" si="105"/>
        <v/>
      </c>
      <c r="OM10" s="43" t="str">
        <f t="shared" si="106"/>
        <v/>
      </c>
      <c r="ON10" s="43" t="str">
        <f t="shared" si="107"/>
        <v/>
      </c>
      <c r="OO10" s="43" t="str">
        <f t="shared" si="108"/>
        <v/>
      </c>
      <c r="OP10" s="43" t="str">
        <f t="shared" si="109"/>
        <v/>
      </c>
      <c r="OQ10" s="43" t="str">
        <f t="shared" si="110"/>
        <v/>
      </c>
      <c r="OR10" s="43" t="str">
        <f t="shared" si="111"/>
        <v/>
      </c>
      <c r="OS10" s="43" t="str">
        <f t="shared" si="112"/>
        <v/>
      </c>
      <c r="OT10" s="43" t="str">
        <f t="shared" si="113"/>
        <v/>
      </c>
      <c r="OU10" s="43" t="str">
        <f t="shared" si="114"/>
        <v/>
      </c>
      <c r="OV10" s="110" t="str">
        <f t="shared" si="115"/>
        <v/>
      </c>
      <c r="OW10" s="43" t="str">
        <f t="shared" si="116"/>
        <v/>
      </c>
      <c r="OX10" s="43" t="str">
        <f t="shared" si="117"/>
        <v/>
      </c>
      <c r="OY10" s="43" t="str">
        <f t="shared" si="118"/>
        <v/>
      </c>
      <c r="OZ10" s="43" t="str">
        <f t="shared" si="119"/>
        <v/>
      </c>
      <c r="PA10" s="43" t="str">
        <f t="shared" si="120"/>
        <v/>
      </c>
      <c r="PB10" s="43" t="str">
        <f t="shared" si="121"/>
        <v/>
      </c>
      <c r="PC10" s="43" t="str">
        <f t="shared" si="122"/>
        <v/>
      </c>
      <c r="PD10" s="43" t="str">
        <f t="shared" si="123"/>
        <v/>
      </c>
      <c r="PE10" s="43" t="str">
        <f t="shared" si="124"/>
        <v/>
      </c>
      <c r="PF10" s="43" t="str">
        <f t="shared" si="125"/>
        <v/>
      </c>
      <c r="PG10" s="43" t="str">
        <f t="shared" si="126"/>
        <v/>
      </c>
      <c r="PH10" s="43" t="str">
        <f t="shared" si="127"/>
        <v/>
      </c>
      <c r="PI10" s="43">
        <f t="shared" si="128"/>
        <v>35</v>
      </c>
      <c r="PJ10" s="43" t="str">
        <f t="shared" si="129"/>
        <v/>
      </c>
      <c r="PK10" s="43" t="str">
        <f t="shared" si="130"/>
        <v/>
      </c>
      <c r="PL10" s="43" t="str">
        <f t="shared" si="131"/>
        <v/>
      </c>
      <c r="PM10" s="43" t="str">
        <f t="shared" si="132"/>
        <v/>
      </c>
      <c r="PN10" s="43" t="str">
        <f t="shared" si="133"/>
        <v/>
      </c>
      <c r="PO10" s="43" t="str">
        <f t="shared" si="134"/>
        <v/>
      </c>
      <c r="PP10" s="43" t="str">
        <f t="shared" si="135"/>
        <v/>
      </c>
      <c r="PQ10" s="43" t="str">
        <f t="shared" si="136"/>
        <v/>
      </c>
      <c r="PR10" s="43" t="str">
        <f t="shared" si="137"/>
        <v/>
      </c>
      <c r="PS10" s="43" t="str">
        <f t="shared" si="138"/>
        <v/>
      </c>
      <c r="PT10" s="43" t="str">
        <f t="shared" si="139"/>
        <v/>
      </c>
      <c r="PU10" s="43" t="str">
        <f t="shared" si="140"/>
        <v/>
      </c>
      <c r="PV10" s="43" t="str">
        <f t="shared" si="141"/>
        <v/>
      </c>
      <c r="PW10" s="43" t="str">
        <f t="shared" si="142"/>
        <v/>
      </c>
      <c r="PX10" s="43" t="str">
        <f t="shared" si="143"/>
        <v/>
      </c>
      <c r="PY10" s="43" t="str">
        <f t="shared" si="144"/>
        <v/>
      </c>
      <c r="PZ10" s="43" t="str">
        <f t="shared" si="145"/>
        <v/>
      </c>
      <c r="QA10" s="43" t="str">
        <f t="shared" si="146"/>
        <v/>
      </c>
      <c r="QB10" s="43" t="str">
        <f t="shared" si="147"/>
        <v/>
      </c>
      <c r="QC10" s="43" t="str">
        <f t="shared" si="148"/>
        <v/>
      </c>
      <c r="QD10" s="43" t="str">
        <f t="shared" si="149"/>
        <v/>
      </c>
      <c r="QE10" s="43" t="str">
        <f t="shared" si="150"/>
        <v/>
      </c>
      <c r="QF10" s="43" t="str">
        <f t="shared" si="151"/>
        <v/>
      </c>
      <c r="QG10" s="43" t="str">
        <f t="shared" si="152"/>
        <v/>
      </c>
      <c r="QH10" s="43" t="str">
        <f t="shared" si="153"/>
        <v/>
      </c>
      <c r="QI10" s="43" t="str">
        <f t="shared" si="154"/>
        <v/>
      </c>
      <c r="QJ10" s="43" t="str">
        <f t="shared" si="155"/>
        <v/>
      </c>
      <c r="QK10" s="43" t="str">
        <f t="shared" si="156"/>
        <v/>
      </c>
      <c r="QL10" s="43" t="str">
        <f t="shared" si="157"/>
        <v/>
      </c>
      <c r="QM10" s="43" t="str">
        <f t="shared" si="158"/>
        <v/>
      </c>
      <c r="QN10" s="43" t="str">
        <f t="shared" si="159"/>
        <v/>
      </c>
      <c r="QO10" s="43" t="str">
        <f t="shared" si="160"/>
        <v/>
      </c>
      <c r="QP10" s="43" t="str">
        <f t="shared" si="161"/>
        <v/>
      </c>
      <c r="QQ10" s="43" t="str">
        <f t="shared" si="162"/>
        <v/>
      </c>
      <c r="QR10" s="43">
        <f t="shared" si="192"/>
        <v>35</v>
      </c>
      <c r="QS10" s="43"/>
      <c r="QT10" s="21" t="str">
        <f t="shared" si="163"/>
        <v/>
      </c>
      <c r="QU10" s="21" t="str">
        <f t="shared" si="164"/>
        <v/>
      </c>
      <c r="QV10" s="21" t="str">
        <f t="shared" si="165"/>
        <v/>
      </c>
      <c r="QW10" s="21" t="str">
        <f t="shared" si="166"/>
        <v/>
      </c>
      <c r="QX10" s="21" t="str">
        <f t="shared" si="167"/>
        <v/>
      </c>
      <c r="QY10" s="21" t="str">
        <f t="shared" si="168"/>
        <v/>
      </c>
      <c r="QZ10" s="21" t="str">
        <f t="shared" si="169"/>
        <v/>
      </c>
      <c r="RA10" s="21" t="str">
        <f t="shared" si="170"/>
        <v/>
      </c>
      <c r="RB10" s="21" t="str">
        <f t="shared" si="171"/>
        <v/>
      </c>
      <c r="RC10" s="21" t="str">
        <f t="shared" si="172"/>
        <v/>
      </c>
      <c r="RD10" s="21" t="str">
        <f t="shared" si="173"/>
        <v/>
      </c>
      <c r="RE10" s="21" t="str">
        <f t="shared" si="174"/>
        <v/>
      </c>
      <c r="RF10" s="21" t="str">
        <f t="shared" si="175"/>
        <v/>
      </c>
      <c r="RG10" s="21" t="str">
        <f t="shared" si="176"/>
        <v/>
      </c>
      <c r="RH10" s="21" t="str">
        <f t="shared" si="177"/>
        <v/>
      </c>
      <c r="RI10" s="21" t="str">
        <f t="shared" si="178"/>
        <v/>
      </c>
      <c r="RJ10" s="21" t="str">
        <f t="shared" si="179"/>
        <v/>
      </c>
      <c r="RK10" s="21" t="str">
        <f t="shared" si="180"/>
        <v/>
      </c>
      <c r="RL10" s="21" t="str">
        <f t="shared" si="181"/>
        <v/>
      </c>
      <c r="RM10" s="21" t="str">
        <f t="shared" si="182"/>
        <v/>
      </c>
      <c r="RN10" s="21" t="str">
        <f t="shared" si="183"/>
        <v/>
      </c>
      <c r="RO10" s="21" t="str">
        <f t="shared" si="184"/>
        <v/>
      </c>
      <c r="RP10" s="21" t="str">
        <f t="shared" si="185"/>
        <v/>
      </c>
      <c r="RQ10" s="21" t="str">
        <f t="shared" si="186"/>
        <v/>
      </c>
      <c r="RR10" s="21" t="str">
        <f t="shared" si="187"/>
        <v/>
      </c>
      <c r="RS10" s="21" t="str">
        <f t="shared" si="188"/>
        <v/>
      </c>
      <c r="RT10" s="21" t="str">
        <f t="shared" si="189"/>
        <v/>
      </c>
      <c r="RU10" s="21" t="str">
        <f t="shared" si="190"/>
        <v/>
      </c>
      <c r="RV10" s="21">
        <f t="shared" si="191"/>
        <v>-1</v>
      </c>
      <c r="RW10" s="284">
        <f>IF(OR(Tabla1[[#This Row],[FUM FORMULA CONFIABLE]]="",Tabla1[[#This Row],[FUM FORMULA CONFIABLE]]="SD"),"",IF(Tabla1[[#This Row],[FUM FORMULA CONFIABLE]]="CORREGIDA",Tabla1[[#This Row],[FUM X ECO 1]],Tabla1[[#This Row],[FUM x AMENORREA]]))</f>
        <v>44731</v>
      </c>
      <c r="RX10" s="21">
        <f>IF(AND(Tabla1[[#This Row],[FUM X ECO 1]]="",Tabla1[[#This Row],[FUM x AMENORREA]]=""),"",IF(AND(Tabla1[[#This Row],[FUM X ECO 1]]="",Tabla1[[#This Row],[FUM x AMENORREA]]&lt;&gt;""),"X",SUM(Tabla1[[#This Row],[FUM X ECO 1]]-Tabla1[[#This Row],[FUM x AMENORREA]])))</f>
        <v>0.80000000000291038</v>
      </c>
      <c r="RY10" s="21">
        <f t="shared" si="193"/>
        <v>0</v>
      </c>
    </row>
    <row r="11" spans="1:493" ht="45" customHeight="1" x14ac:dyDescent="0.25">
      <c r="A11" s="109"/>
      <c r="B11" s="43" t="s">
        <v>913</v>
      </c>
      <c r="C11" s="43" t="s">
        <v>914</v>
      </c>
      <c r="D11" s="124" t="s">
        <v>915</v>
      </c>
      <c r="E11" s="43" t="s">
        <v>916</v>
      </c>
      <c r="F11" s="43" t="s">
        <v>917</v>
      </c>
      <c r="G11" s="43" t="s">
        <v>918</v>
      </c>
      <c r="H11" s="43" t="s">
        <v>919</v>
      </c>
      <c r="I11" s="109" t="s">
        <v>851</v>
      </c>
      <c r="J11" s="110">
        <v>1059595527</v>
      </c>
      <c r="K11" s="43" t="s">
        <v>904</v>
      </c>
      <c r="L11" s="175" t="s">
        <v>846</v>
      </c>
      <c r="M11" s="22">
        <v>37918</v>
      </c>
      <c r="N11" s="213">
        <f t="shared" ca="1" si="0"/>
        <v>20.038356164383561</v>
      </c>
      <c r="O11" s="22">
        <v>44810</v>
      </c>
      <c r="P11" s="214" t="str">
        <f t="shared" si="1"/>
        <v>SI</v>
      </c>
      <c r="Q11" s="26" t="s">
        <v>855</v>
      </c>
      <c r="R11" s="22">
        <v>44810</v>
      </c>
      <c r="S11" s="21" t="s">
        <v>856</v>
      </c>
      <c r="T11" s="24" t="s">
        <v>690</v>
      </c>
      <c r="U11" s="21" t="s">
        <v>857</v>
      </c>
      <c r="V11" s="21" t="s">
        <v>858</v>
      </c>
      <c r="W11" s="21" t="s">
        <v>920</v>
      </c>
      <c r="X11" s="21" t="s">
        <v>920</v>
      </c>
      <c r="Y11" s="21" t="s">
        <v>859</v>
      </c>
      <c r="Z11" s="21" t="s">
        <v>894</v>
      </c>
      <c r="AA11" s="21" t="s">
        <v>860</v>
      </c>
      <c r="AB11" s="27" t="s">
        <v>861</v>
      </c>
      <c r="AC11" s="26" t="s">
        <v>877</v>
      </c>
      <c r="AD11" s="38" t="s">
        <v>846</v>
      </c>
      <c r="AE11" s="26" t="s">
        <v>864</v>
      </c>
      <c r="AF11" s="26" t="s">
        <v>854</v>
      </c>
      <c r="AG11" s="23" t="s">
        <v>864</v>
      </c>
      <c r="AH11" s="23" t="s">
        <v>864</v>
      </c>
      <c r="AI11" s="24" t="s">
        <v>863</v>
      </c>
      <c r="AJ11" s="23" t="s">
        <v>864</v>
      </c>
      <c r="AK11" s="220" t="str">
        <f>IF(AND(AD11="",AE11="",AF11="",AG11="",AH11="",AI11="",AJ11=""),"",IF(OR(Tabla1[[#This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EVALUACIÓN",IF(AND(O11="",R11=""),"",IF(AND(OR(O11&gt;0,R11&gt;0),NG11&gt;=0,NG11&lt;2),"SIN RIESGO",IF(AND(OR(O11&gt;0,R11&gt;0),NG11&gt;=2),"CON RIESGO","ASD")))))</f>
        <v>SIN RIESGO</v>
      </c>
      <c r="AL11" s="23" t="s">
        <v>864</v>
      </c>
      <c r="AM11" s="26" t="s">
        <v>864</v>
      </c>
      <c r="AN11" s="26" t="s">
        <v>864</v>
      </c>
      <c r="AO11" s="26" t="s">
        <v>864</v>
      </c>
      <c r="AP11" s="26" t="s">
        <v>864</v>
      </c>
      <c r="AQ11" s="26" t="s">
        <v>864</v>
      </c>
      <c r="AR11" s="26" t="s">
        <v>864</v>
      </c>
      <c r="AS11" s="21">
        <v>0</v>
      </c>
      <c r="AT11" s="21">
        <v>0</v>
      </c>
      <c r="AU11" s="21">
        <v>0</v>
      </c>
      <c r="AV11" s="26" t="s">
        <v>864</v>
      </c>
      <c r="AW11" s="21">
        <v>0</v>
      </c>
      <c r="AX11" s="26" t="s">
        <v>864</v>
      </c>
      <c r="AY11" s="26" t="s">
        <v>864</v>
      </c>
      <c r="AZ11" s="26" t="s">
        <v>864</v>
      </c>
      <c r="BA11" s="26" t="s">
        <v>864</v>
      </c>
      <c r="BB11" s="26" t="s">
        <v>864</v>
      </c>
      <c r="BC11" s="26" t="s">
        <v>864</v>
      </c>
      <c r="BD11" s="26" t="s">
        <v>864</v>
      </c>
      <c r="BE11" s="26" t="s">
        <v>864</v>
      </c>
      <c r="BF11" s="26" t="s">
        <v>864</v>
      </c>
      <c r="BG11" s="26" t="s">
        <v>864</v>
      </c>
      <c r="BH11" s="26" t="s">
        <v>864</v>
      </c>
      <c r="BI11" s="26" t="s">
        <v>864</v>
      </c>
      <c r="BJ11" s="26"/>
      <c r="BK11" s="26"/>
      <c r="BL11" s="26" t="s">
        <v>864</v>
      </c>
      <c r="BM11" s="26" t="s">
        <v>864</v>
      </c>
      <c r="BN11" s="22"/>
      <c r="BO11" s="22">
        <v>44773</v>
      </c>
      <c r="BP11" s="21" t="s">
        <v>854</v>
      </c>
      <c r="BQ11" s="222">
        <f t="shared" si="2"/>
        <v>0</v>
      </c>
      <c r="BR11" s="223">
        <f t="shared" si="3"/>
        <v>44754.5</v>
      </c>
      <c r="BS11" s="224">
        <f t="shared" si="4"/>
        <v>5.2857142857142856</v>
      </c>
      <c r="BT11" s="216" t="str">
        <f t="shared" si="5"/>
        <v>I TRIM</v>
      </c>
      <c r="BU11" s="214" t="str">
        <f t="shared" ca="1" si="6"/>
        <v/>
      </c>
      <c r="BV11" s="25"/>
      <c r="BW11" s="22">
        <v>44898</v>
      </c>
      <c r="BX11" s="28">
        <v>20.5</v>
      </c>
      <c r="BY11" s="28"/>
      <c r="BZ11" s="22">
        <v>44960</v>
      </c>
      <c r="CA11" s="21">
        <v>29.2</v>
      </c>
      <c r="CB11" s="26" t="s">
        <v>864</v>
      </c>
      <c r="CC11" s="26" t="s">
        <v>864</v>
      </c>
      <c r="CD11" s="26" t="s">
        <v>878</v>
      </c>
      <c r="CE11" s="26" t="s">
        <v>864</v>
      </c>
      <c r="CF11" s="22">
        <v>44810</v>
      </c>
      <c r="CG11" s="21">
        <v>1.43</v>
      </c>
      <c r="CH11" s="21">
        <v>43</v>
      </c>
      <c r="CI11" s="214">
        <f t="shared" si="7"/>
        <v>21.027923125825225</v>
      </c>
      <c r="CJ11" s="225" t="str">
        <f>IF(AND(CI11&lt;10,CH11="SD"),"SIN DATO PESO PREGESTACION O I TRIM",IF(AND(OR(R11&gt;0,O11&gt;0),CI11="X"),"INGRESAR DATO DE PESO",IF(CI11="SD","INGRESAR DATO DE TALLA Y PESO",IF(AND(OR(Tabla1[[#This Row],[MOMENTO EN QUE SE REALIZA EL PESO AL INGRESO A CPN]]="PREGESTACIÓN",NZ11="Menor"),CI11&lt;18.5),"BAJO PESO",IF(AND(OR(Tabla1[[#This Row],[MOMENTO EN QUE SE REALIZA EL PESO AL INGRESO A CPN]]="PREGESTACIÓN",NZ11="Menor"),CI11&lt;25),"NORMAL",IF(AND(OR(Tabla1[[#This Row],[MOMENTO EN QUE SE REALIZA EL PESO AL INGRESO A CPN]]="PREGESTACIÓN",NZ11="Menor"),CI11&lt;30),"SOBREPESO",IF(AND(OR(Tabla1[[#This Row],[MOMENTO EN QUE SE REALIZA EL PESO AL INGRESO A CPN]]="PREGESTACIÓN",NZ11="Menor"),CI11&gt;=30,CI11&lt;50),"OBESIDAD",IF(AND(BS11&gt;0,Tabla1[[#This Row],[MOMENTO EN QUE SE REALIZA EL PESO AL INGRESO A CPN]]="GESTACIÓN"),HLOOKUP(NZ11,$OA$2:PH11,NY11),""))))))))</f>
        <v>NORMAL</v>
      </c>
      <c r="CK11" s="212">
        <f t="shared" si="8"/>
        <v>45028</v>
      </c>
      <c r="CL11" s="21"/>
      <c r="CM11" s="214">
        <f t="shared" si="9"/>
        <v>0</v>
      </c>
      <c r="CN11" s="216">
        <f t="shared" si="10"/>
        <v>36</v>
      </c>
      <c r="CO11" s="216" t="e">
        <f>IF(PI11="","",IF(PI11&gt;0,HLOOKUP(PI11,$PJ$2:QQ11,NY11),""))</f>
        <v>#REF!</v>
      </c>
      <c r="CP11" s="21"/>
      <c r="CQ11" s="216" t="e">
        <f>IF(QR11="Menor","NO APLICA-MENOR 13 SEM",IF(AND(CC11="SI",CN11&gt;23),"NO APLICA- GEMELAR",IF(QR11="","",IF(QR11&gt;0,HLOOKUP(QR11,$QS$2:RU11,NY11),""))))</f>
        <v>#REF!</v>
      </c>
      <c r="CR11" s="21">
        <v>120</v>
      </c>
      <c r="CS11" s="21">
        <v>60</v>
      </c>
      <c r="CT11" s="217" t="str">
        <f>IF(R11="","",IF(AND(BS11&gt;1,BS11&lt;12,Tabla1[[#This Row],[T.A. SISTOLICA - ANTES DE SEMANA 12]]="",Tabla1[[#This Row],[T.A. DIASTOLICA - ANTES DE SEMANA 12]]=""),"REGISTRE DATO TA ANTES SEMANA 12",IF(AND(BS11&gt;11,BS11&lt;43,Tabla1[[#This Row],[T.A. SISTOLICA - ANTES DE SEMANA 12]]="",Tabla1[[#This Row],[T.A. DIASTOLICA - ANTES DE SEMANA 12]]=""),"NO APLICA REGISTRO TA-INGRESO TARDIO",IF(AND(OR(O11&gt;0,R11&gt;0),OR(CR11&gt;=140,CS11&gt;=90)),"DEFINIR ESTADIO HTA",IF(AND(OR(O11&gt;0,R11&gt;0),AND(CR11&gt;120,CR11&lt;=139)),"PRE HTA SEGUIMIENTO",IF(AND(OR(O11&gt;0,R11&gt;0),AND(CS11&gt;80,CS11&lt;=89)),"PRE HTA SEGUIMIENTO",IF(AND(OR(O11&gt;0,R11&gt;0),AND(CR11&gt;=80,CR11&lt;=120)),"APARENTEMENTE NORMAL",IF(AND(OR(O11&gt;0,R11&gt;0),AND(CS11&gt;=50,CS11&lt;=80)),"APARENTEMENTE NORMAL",IF(AND(OR(O11&gt;0,R11&gt;0),AND(CR11&gt;1,CR11&lt;=70),AND(CS11&gt;1,CS11&lt;=40)),"HIPOTENSIÓN","")))))))))</f>
        <v>APARENTEMENTE NORMAL</v>
      </c>
      <c r="CU11" s="21">
        <v>90</v>
      </c>
      <c r="CV11" s="21">
        <v>60</v>
      </c>
      <c r="CW11" s="217" t="str">
        <f ca="1">IF(R11="","",IF(AND(CN11&gt;19,CN11&lt;27,Tabla1[[#This Row],[T.A. SISTOLICA (Entre semana 20 y 26)]]="",Tabla1[[#This Row],[T.A. DIATOLICA (Entre semana 20 y 26)]]=""),"ACUDE A CONTROL SEM 20 A 26 REGISTRE TA AHORA",IF(AND(BS11&gt;1,BS11&lt;27,BU11&gt;19,Tabla1[[#This Row],[T.A. SISTOLICA (Entre semana 20 y 26)]]="",Tabla1[[#This Row],[T.A. DIATOLICA (Entre semana 20 y 26)]]=""),"COMPLETE REGISTRO TA CONTROL SEM 20 A26 ",IF(AND(BS11&gt;26,BS11&lt;43,Tabla1[[#This Row],[T.A. SISTOLICA (Entre semana 20 y 26)]]="",Tabla1[[#This Row],[T.A. DIATOLICA (Entre semana 20 y 26)]]=""),"NO APLICA REGISTRO TA-INGRESO TARDIO",IF(AND(OR(O11&gt;0,R11&gt;0),OR(CU11&gt;=140,CV11&gt;=90)),"ALTO RIESGO PREECLAMPSIA,DEFINIR ESTADIO HTA",IF(AND(OR(O11&gt;0,R11&gt;0),AND(CU11&gt;120,CU11&lt;=139)),"PRE HTA SEGUIMIENTO,RIESGO HIPERTENSION INDUCIDA POR EL EMBARAZO",IF(AND(OR(O11&gt;0,R11&gt;0),AND(CV11&gt;80,CV11&lt;=89)),"PRE HTA SEGUIMIENTO, RIESGO HIPERTENSION INDUCIDA POR EL EMBARAZO",IF(AND(OR(O11&lt;&gt;"",R11&lt;&gt;""),CS11&lt;&gt;"",CV11&lt;&gt;"",CS11&lt;=CV11),"VIGILAR CIFRAS PRESION ARTERIAL",IF(AND(OR(O11&gt;0,R11&gt;0),AND(CU11&gt;120,CU11&lt;=139)),"PRE HTA SEGUIMIENTO",IF(AND(OR(O11&gt;0,R11&gt;0),AND(CU11&gt;1,CU11&lt;=70),AND(CV11&gt;1,CV11&lt;=40)),"HIPOTENSIÓN",IF(AND(OR(O11&lt;&gt;"",R11&lt;&gt;""),CS11&lt;&gt;"",CV11&lt;&gt;"",CS11&gt;CV11),"APARENTEMENTE NORMAL",IF(AND(OR(O11&gt;0,R11&gt;0),AND(CU11&gt;=80,CU11&lt;=120)),"APARENTEMENTE NORMAL",IF(AND(OR(O11&gt;0,R11&gt;0),AND(CV11&gt;=50,CV11&lt;=80)),"APARENTEMENTE NORMAL","")))))))))))))</f>
        <v>VIGILAR CIFRAS PRESION ARTERIAL</v>
      </c>
      <c r="CX11" s="21">
        <v>90</v>
      </c>
      <c r="CY11" s="21">
        <v>60</v>
      </c>
      <c r="CZ11" s="216" t="str">
        <f t="shared" si="11"/>
        <v>APARENTEMENTE NORMAL</v>
      </c>
      <c r="DA11" s="21"/>
      <c r="DB11" s="21"/>
      <c r="DC11" s="217" t="str">
        <f t="shared" si="12"/>
        <v>REGISTRE DATO PRESIÓN ARTERIAL MENSUAL</v>
      </c>
      <c r="DD11" s="22">
        <v>44810</v>
      </c>
      <c r="DE11" s="22">
        <v>44810</v>
      </c>
      <c r="DF11" s="22">
        <v>44897</v>
      </c>
      <c r="DG11" s="22">
        <v>44939</v>
      </c>
      <c r="DH11" s="22">
        <v>44960</v>
      </c>
      <c r="DI11" s="22">
        <v>45028</v>
      </c>
      <c r="DJ11" s="22"/>
      <c r="DK11" s="22"/>
      <c r="DL11" s="22"/>
      <c r="DM11" s="22"/>
      <c r="DN11" s="22"/>
      <c r="DO11" s="22"/>
      <c r="DP11" s="22"/>
      <c r="DQ11" s="22"/>
      <c r="DR11" s="28">
        <v>1</v>
      </c>
      <c r="DS11" s="22"/>
      <c r="DT11" s="22"/>
      <c r="DU11" s="216" t="str">
        <f t="shared" ca="1" si="13"/>
        <v>SALE SIN PLAN DE PARTO</v>
      </c>
      <c r="DV11" s="226" t="str">
        <f t="shared" si="14"/>
        <v>SALIO PROGRAMA</v>
      </c>
      <c r="DW11"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1" s="216" t="str">
        <f t="shared" ca="1" si="15"/>
        <v/>
      </c>
      <c r="DY11" s="212">
        <f>IF(R11="","",IF(R11&gt;0,MAX(Tabla1[[#This Row],[FECHA C2]:[FECHA C13]],Tabla1[[#This Row],[FECHA CONSULTA PRIMERA VEZ PROGRAMA CPN ]])))</f>
        <v>45028</v>
      </c>
      <c r="DZ11" s="216">
        <f t="shared" si="16"/>
        <v>36</v>
      </c>
      <c r="EA11" s="222">
        <f>IF(R11&gt;0,SUM(COUNTA(DF11:DQ11)+COUNTA(Tabla1[[#This Row],[FECHA CONSULTA PRIMERA VEZ PROGRAMA CPN ]])),"")</f>
        <v>5</v>
      </c>
      <c r="EB11" s="222" t="str">
        <f t="shared" si="17"/>
        <v>SI</v>
      </c>
      <c r="EC11" s="214">
        <f t="shared" si="18"/>
        <v>10</v>
      </c>
      <c r="ED11" s="227">
        <f t="shared" si="19"/>
        <v>0.5</v>
      </c>
      <c r="EE11" s="22">
        <v>44810</v>
      </c>
      <c r="EF11" s="22">
        <v>44810</v>
      </c>
      <c r="EG11" s="22">
        <v>44810</v>
      </c>
      <c r="EH11" s="22"/>
      <c r="EI11" s="22">
        <v>44810</v>
      </c>
      <c r="EJ11" s="22"/>
      <c r="EK11" s="22"/>
      <c r="EL11" s="21"/>
      <c r="EM11" s="21">
        <v>14</v>
      </c>
      <c r="EN11" s="22">
        <v>44810</v>
      </c>
      <c r="EO11" s="222">
        <f t="shared" si="20"/>
        <v>5.2857142857142856</v>
      </c>
      <c r="EP11" s="214" t="str">
        <f t="shared" si="21"/>
        <v>NORMAL- SUMINISTRAR SULFATO FERROSO</v>
      </c>
      <c r="EQ11" s="216" t="str">
        <f t="shared" si="22"/>
        <v>I TRIM</v>
      </c>
      <c r="ER11" s="24">
        <v>12.5</v>
      </c>
      <c r="ES11" s="22">
        <v>44960</v>
      </c>
      <c r="ET11" s="29">
        <f t="shared" ca="1" si="23"/>
        <v>26.714285714285715</v>
      </c>
      <c r="EU11" s="25" t="str">
        <f t="shared" si="24"/>
        <v>NORMAL- SUMINISTRAR SULFATO FERROSO</v>
      </c>
      <c r="EV11" s="24" t="s">
        <v>866</v>
      </c>
      <c r="EW11" s="24">
        <v>44810</v>
      </c>
      <c r="EX11" s="22"/>
      <c r="EY11" s="29">
        <f t="shared" si="25"/>
        <v>5.2857142857142856</v>
      </c>
      <c r="EZ11" s="25" t="str">
        <f t="shared" ca="1" si="26"/>
        <v/>
      </c>
      <c r="FA11" s="21">
        <v>76</v>
      </c>
      <c r="FB11" s="22">
        <v>44810</v>
      </c>
      <c r="FC11" s="29">
        <f t="shared" si="27"/>
        <v>5.2857142857142856</v>
      </c>
      <c r="FD11" s="29">
        <v>62</v>
      </c>
      <c r="FE11" s="29">
        <v>141</v>
      </c>
      <c r="FF11" s="29">
        <v>89</v>
      </c>
      <c r="FG11" s="21" t="str">
        <f t="shared" si="28"/>
        <v xml:space="preserve">NORMAL, NO DESCARTA DIABETES POR REALIZARLO ANTES DE  SEMANA 24, </v>
      </c>
      <c r="FH11" s="31">
        <v>44898</v>
      </c>
      <c r="FI11" s="29">
        <f t="shared" si="29"/>
        <v>17.857142857142858</v>
      </c>
      <c r="FJ11" s="22" t="s">
        <v>867</v>
      </c>
      <c r="FK11" s="22">
        <v>44810</v>
      </c>
      <c r="FL11" s="29">
        <f t="shared" ca="1" si="30"/>
        <v>5.2857142857142856</v>
      </c>
      <c r="FM11" s="22"/>
      <c r="FN11" s="32"/>
      <c r="FO11" s="29" t="str">
        <f t="shared" ca="1" si="31"/>
        <v>PIERDE TOMA DE TAMIZAJE</v>
      </c>
      <c r="FP11" s="22"/>
      <c r="FQ11" s="32"/>
      <c r="FR11" s="29" t="str">
        <f t="shared" ca="1" si="32"/>
        <v>PIERDE TOMA DE TAMIZAJE</v>
      </c>
      <c r="FS11" s="22"/>
      <c r="FT11" s="32"/>
      <c r="FU11" s="29" t="str">
        <f>IF(AND(FJ11="",FM11="",FP11="",FS11=""),"",IF(OR(OR(Tabla1[[#This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1" s="28"/>
      <c r="FW11" s="22"/>
      <c r="FX11" s="29" t="str">
        <f t="shared" si="33"/>
        <v>TOMAR EXAMEN</v>
      </c>
      <c r="FY11" s="22">
        <v>44810</v>
      </c>
      <c r="FZ11" s="22">
        <v>44810</v>
      </c>
      <c r="GA11" s="29">
        <f t="shared" ca="1" si="34"/>
        <v>5.2857142857142856</v>
      </c>
      <c r="GB11" s="22" t="s">
        <v>868</v>
      </c>
      <c r="GC11" s="22">
        <v>44960</v>
      </c>
      <c r="GD11" s="29">
        <f t="shared" ca="1" si="35"/>
        <v>26.714285714285715</v>
      </c>
      <c r="GE11" s="22"/>
      <c r="GF11" s="22"/>
      <c r="GG11" s="29" t="str">
        <f t="shared" ca="1" si="36"/>
        <v>PIERDE TOMA DE TAMIZAJE</v>
      </c>
      <c r="GH11" s="22"/>
      <c r="GI11" s="29"/>
      <c r="GJ11" s="22"/>
      <c r="GK11" s="22"/>
      <c r="GL11" s="22" t="s">
        <v>879</v>
      </c>
      <c r="GM11" s="22"/>
      <c r="GN11" s="28" t="s">
        <v>869</v>
      </c>
      <c r="GO11" s="22">
        <v>44810</v>
      </c>
      <c r="GP11" s="29">
        <f t="shared" si="37"/>
        <v>5.2857142857142856</v>
      </c>
      <c r="GQ11" s="28" t="s">
        <v>869</v>
      </c>
      <c r="GR11" s="28" t="s">
        <v>869</v>
      </c>
      <c r="GS11" s="22" t="str">
        <f t="shared" si="38"/>
        <v>CONTROL Igm</v>
      </c>
      <c r="GT11" s="22">
        <v>44810</v>
      </c>
      <c r="GU11" s="29">
        <f t="shared" si="39"/>
        <v>5.2857142857142856</v>
      </c>
      <c r="GV11" s="21" t="str">
        <f t="shared" si="40"/>
        <v>I TRIM</v>
      </c>
      <c r="GW11" s="28" t="s">
        <v>869</v>
      </c>
      <c r="GX11" s="30"/>
      <c r="GY11" s="21"/>
      <c r="GZ11" s="21"/>
      <c r="HA11" s="21"/>
      <c r="HB11" s="21"/>
      <c r="HC11" s="21"/>
      <c r="HD11" s="21"/>
      <c r="HE11" s="21"/>
      <c r="HF11" s="22"/>
      <c r="HG11" s="22" t="str">
        <f>IF(OR(O11&gt;0,R11&gt;0),CONCATENATE(IF(Tabla1[[#This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1" s="22" t="e">
        <f t="shared" si="41"/>
        <v>#REF!</v>
      </c>
      <c r="HI11" s="22" t="e">
        <f t="shared" ca="1" si="42"/>
        <v>#REF!</v>
      </c>
      <c r="HJ11" s="21" t="str">
        <f t="shared" ca="1" si="43"/>
        <v>**********************MULTIPARIDAD*****************</v>
      </c>
      <c r="HK11" s="21" t="str">
        <f t="shared" si="44"/>
        <v>SIN ANTECEDENTES DE RIESGO</v>
      </c>
      <c r="HL11" s="24" t="str">
        <f t="shared" si="45"/>
        <v>REGISTRE DATO PRESIÓN ARTERIAL MENSUAL</v>
      </c>
      <c r="HM11" s="21" t="str">
        <f t="shared" ca="1" si="46"/>
        <v/>
      </c>
      <c r="HN11" s="30" t="str">
        <f t="shared" si="47"/>
        <v>SALIO PROGRAMA</v>
      </c>
      <c r="HO11" s="21"/>
      <c r="HP11" s="21" t="s">
        <v>864</v>
      </c>
      <c r="HQ11" s="21">
        <v>44897</v>
      </c>
      <c r="HR11" s="21" t="str">
        <f>IF(R11="","",IF(Tabla1[[#This Row],[ALARMA FACTORES DE RIESGO COMPLICACIONES HIPERTENSIVAS3]]="SIN ANTECEDENTES DE RIESGO","No Aplica para suministro de ASA",IF(AND(Tabla1[[#This Row],[FECHA INICIO DE SUMINISTRO DE ASA]]&gt;0,RV11&lt;12),"Inicia ASA ANTES de Sem 12",IF(AND(RV11&gt;11,RV11&lt;17,OR(HK11="RIESGO ALTO DE COMPLICACIONES HIPERTENSIVAS VER MANEJO GUIA SUMINISTRO ASA Y CALCIO",HK11="RIESGO MODERADO (2 O MAS CRITERIOS) VER MANEJO GUIA SUMINISTRO ASA Y CALCIO")),"Inicio oportuno de ASA",IF(AND(RV11&gt;12,OR(HK11="RIESGO ALTO DE COMPLICACIONES HIPERTENSIVAS VER MANEJO GUIA SUMINISTRO ASA Y CALCIO",HK11="RIESGO MODERADO (2 O MAS CRITERIOS) VER MANEJO GUIA SUMINISTRO ASA Y CALCIO")),"Inicio no oportuno mayor a 16 semanas",IF(AND(BU11&lt;12,OR(HK11="RIESGO ALTO DE COMPLICACIONES HIPERTENSIVAS VER MANEJO GUIA SUMINISTRO ASA Y CALCIO",HK11="RIESGO MODERADO (2 O MAS CRITERIOS) VER MANEJO GUIA SUMINISTRO ASA Y CALCIO")),"Pendiente Inicio de ASA a la semana 12",IF(AND(BU11&gt;11,BU11&lt;17,OR(HK11="RIESGO ALTO DE COMPLICACIONES HIPERTENSIVAS VER MANEJO GUIA SUMINISTRO ASA Y CALCIO",HK11="RIESGO MODERADO (2 O MAS CRITERIOS) VER MANEJO GUIA SUMINISTRO ASA Y CALCIO")),"Iniciar de inmediato ASA",IF(AND(BU11&gt;16,OR(HK11="RIESGO ALTO DE COMPLICACIONES HIPERTENSIVAS VER MANEJO GUIA SUMINISTRO ASA Y CALCIO",HK11="RIESGO MODERADO (2 O MAS CRITERIOS) VER MANEJO GUIA SUMINISTRO ASA Y CALCIO")),"Pierde Oportunidad, Inicio tardío de ASA","XXXXX"))))))))</f>
        <v>No Aplica para suministro de ASA</v>
      </c>
      <c r="HS11" s="22">
        <v>44897</v>
      </c>
      <c r="HT11" s="22" t="s">
        <v>870</v>
      </c>
      <c r="HU11" s="22">
        <v>44810</v>
      </c>
      <c r="HV11" s="22" t="s">
        <v>870</v>
      </c>
      <c r="HW11" s="22">
        <v>44810</v>
      </c>
      <c r="HX11" s="22" t="s">
        <v>870</v>
      </c>
      <c r="HY11" s="22">
        <v>44810</v>
      </c>
      <c r="HZ11" s="28">
        <f t="shared" si="48"/>
        <v>5.2857142857142856</v>
      </c>
      <c r="IA11" s="26"/>
      <c r="IB11" s="26"/>
      <c r="IC11" s="111">
        <v>44897</v>
      </c>
      <c r="ID11" s="22">
        <v>44897</v>
      </c>
      <c r="IE11" s="22" t="str">
        <f t="shared" ca="1" si="49"/>
        <v>VACUNA APLICADA ANTES SEMANA 20</v>
      </c>
      <c r="IF11" s="22"/>
      <c r="IG11" s="22">
        <f t="shared" si="50"/>
        <v>45053</v>
      </c>
      <c r="IH11" s="29">
        <f t="shared" ca="1" si="51"/>
        <v>-179</v>
      </c>
      <c r="II11" s="22" t="str">
        <f t="shared" ca="1" si="52"/>
        <v>POSIBLEMENTE NACIO</v>
      </c>
      <c r="IJ11" s="22"/>
      <c r="IK11" s="21" t="s">
        <v>1652</v>
      </c>
      <c r="IL11" s="21"/>
      <c r="IM11" s="34"/>
      <c r="IN11" s="349">
        <v>45034</v>
      </c>
      <c r="IO11" s="21" t="s">
        <v>1186</v>
      </c>
      <c r="IP11" s="29">
        <f t="shared" si="53"/>
        <v>37.285714285714285</v>
      </c>
      <c r="IQ11" s="35" t="s">
        <v>1650</v>
      </c>
      <c r="IR11" s="21" t="s">
        <v>1651</v>
      </c>
      <c r="IS11" s="21" t="s">
        <v>1646</v>
      </c>
      <c r="IT11" s="21" t="s">
        <v>1642</v>
      </c>
      <c r="IU11" s="21"/>
      <c r="IV11" s="21"/>
      <c r="IW11" s="21"/>
      <c r="IX11" s="21"/>
      <c r="IY11" s="21"/>
      <c r="IZ11" s="21"/>
      <c r="JA11" s="21"/>
      <c r="JB11" s="30">
        <v>1</v>
      </c>
      <c r="JC11" s="21" t="s">
        <v>1643</v>
      </c>
      <c r="JD11" s="36">
        <v>3160</v>
      </c>
      <c r="JE11" s="21" t="str">
        <f t="shared" si="54"/>
        <v>PESO ADECUADO EDAD GESTACIONAL</v>
      </c>
      <c r="JF11" s="30"/>
      <c r="JG11" s="21"/>
      <c r="JH11" s="21"/>
      <c r="JI11" s="21" t="s">
        <v>854</v>
      </c>
      <c r="JJ11" s="30" t="s">
        <v>866</v>
      </c>
      <c r="JK11" s="22"/>
      <c r="JL11" s="22"/>
      <c r="JM11" s="21"/>
      <c r="JN11" s="36"/>
      <c r="JO11" s="21" t="str">
        <f t="shared" si="55"/>
        <v/>
      </c>
      <c r="JP11" s="22"/>
      <c r="JQ11" s="21"/>
      <c r="JR11" s="21"/>
      <c r="JS11" s="21"/>
      <c r="JT11" s="30"/>
      <c r="JU11" s="22"/>
      <c r="JV11" s="22"/>
      <c r="JW11" s="33"/>
      <c r="JX11" s="28" t="str">
        <f t="shared" si="56"/>
        <v>INASISTENTE</v>
      </c>
      <c r="JY11" s="33"/>
      <c r="JZ11" s="28" t="str">
        <f t="shared" si="57"/>
        <v>INASISTENTE</v>
      </c>
      <c r="KA11" s="21"/>
      <c r="KB11" s="21"/>
      <c r="KC11" s="21"/>
      <c r="KD11" s="37"/>
      <c r="KE11" s="28"/>
      <c r="KF11" s="28"/>
      <c r="KG11" s="28"/>
      <c r="KH11" s="39"/>
      <c r="KI11" s="39"/>
      <c r="KJ11" s="66"/>
      <c r="KK11" s="39"/>
      <c r="KL11" s="39"/>
      <c r="KM11" s="66"/>
      <c r="KN11" s="39"/>
      <c r="KO11" s="39"/>
      <c r="KP11" s="39"/>
      <c r="KQ11" s="39"/>
      <c r="KR11" s="39"/>
      <c r="KS11" s="39"/>
      <c r="KT11" s="39"/>
      <c r="KU11" s="38"/>
      <c r="KV11" s="38"/>
      <c r="KW11" s="38"/>
      <c r="KX11" s="38"/>
      <c r="KY11" s="38"/>
      <c r="KZ11" s="38"/>
      <c r="LA11" s="38"/>
      <c r="LB11" s="38"/>
      <c r="LC11" s="38"/>
      <c r="LD11" s="38"/>
      <c r="LE11" s="38"/>
      <c r="LF11" s="38"/>
      <c r="LG11" s="38"/>
      <c r="LH11" s="38"/>
      <c r="LI11" s="38"/>
      <c r="LJ11" s="38"/>
      <c r="LK11" s="38"/>
      <c r="LL11" s="38"/>
      <c r="LM11" s="38"/>
      <c r="LN11" s="38"/>
      <c r="LO11" s="38"/>
      <c r="LP11" s="38"/>
      <c r="LQ11" s="38"/>
      <c r="LR11" s="38"/>
      <c r="LS11" s="38"/>
      <c r="LT11" s="38"/>
      <c r="LU11" s="38"/>
      <c r="LV11" s="38"/>
      <c r="LW11" s="38"/>
      <c r="LX11" s="38"/>
      <c r="LY11" s="38"/>
      <c r="LZ11" s="38"/>
      <c r="MA11" s="38"/>
      <c r="MB11" s="38"/>
      <c r="MC11" s="38"/>
      <c r="MD11" s="38"/>
      <c r="ME11" s="38"/>
      <c r="MF11" s="38"/>
      <c r="MG11" s="38"/>
      <c r="MH11" s="43">
        <f t="shared" si="58"/>
        <v>0</v>
      </c>
      <c r="MI11" s="43" t="str">
        <f t="shared" si="59"/>
        <v/>
      </c>
      <c r="MJ11" s="43" t="str">
        <f t="shared" si="60"/>
        <v/>
      </c>
      <c r="MK11" s="43">
        <f t="shared" si="61"/>
        <v>0</v>
      </c>
      <c r="ML1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1" s="43">
        <f t="shared" si="62"/>
        <v>5.2857142857142856</v>
      </c>
      <c r="MN11" s="43">
        <f t="shared" si="63"/>
        <v>9</v>
      </c>
      <c r="MO11" s="43">
        <f t="shared" si="64"/>
        <v>2022</v>
      </c>
      <c r="MP11" s="43" t="str">
        <f t="shared" si="65"/>
        <v>III TRIMESTRE AÑO</v>
      </c>
      <c r="MQ11" s="43">
        <f t="shared" si="66"/>
        <v>18.593955321944808</v>
      </c>
      <c r="MR11" s="43">
        <f t="shared" si="67"/>
        <v>0</v>
      </c>
      <c r="MS11" s="43" t="str">
        <f t="shared" si="68"/>
        <v>DE 14 A 19AÑOS</v>
      </c>
      <c r="MT11" s="43">
        <f t="shared" si="69"/>
        <v>0</v>
      </c>
      <c r="MU11" s="43">
        <f t="shared" si="70"/>
        <v>1</v>
      </c>
      <c r="MV11" s="43">
        <f t="shared" si="71"/>
        <v>0</v>
      </c>
      <c r="MW11" s="43">
        <f t="shared" si="72"/>
        <v>0</v>
      </c>
      <c r="MX11" s="43" t="str">
        <f t="shared" si="73"/>
        <v/>
      </c>
      <c r="MY11" s="43" t="str">
        <f t="shared" ca="1" si="74"/>
        <v/>
      </c>
      <c r="MZ11" s="43" t="str">
        <f t="shared" si="75"/>
        <v/>
      </c>
      <c r="NA11" s="43">
        <f t="shared" si="76"/>
        <v>0</v>
      </c>
      <c r="NB11" s="43" t="str">
        <f t="shared" si="77"/>
        <v/>
      </c>
      <c r="NC11" s="43" t="str">
        <f t="shared" si="78"/>
        <v/>
      </c>
      <c r="ND11" s="43">
        <f t="shared" ca="1" si="79"/>
        <v>1.5</v>
      </c>
      <c r="NE11" s="43">
        <f>IF(OR(O11&gt;0,R11&gt;0),SUM(COUNTIF(Tabla1[[#This Row],[AÑOS AL INICIO5 CPN]],"&gt;=40"),COUNTIF(AS11,"0"),COUNTIF(AR11,"SI"),COUNTIF(CC11,"SI"),COUNTIF(BQ11,"&gt;119"),COUNTIF(CI11,"&gt;=35")),"")</f>
        <v>1</v>
      </c>
      <c r="NF11" s="43">
        <f t="shared" si="80"/>
        <v>17.714285714285715</v>
      </c>
      <c r="NG11" s="43">
        <f t="shared" si="81"/>
        <v>0.5</v>
      </c>
      <c r="NH11" s="43">
        <f t="shared" si="82"/>
        <v>143.5</v>
      </c>
      <c r="NI11"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CPN",P11="NO"),"Z",IF(AND(Tabla1[[#This Row],[CITA PROXIMO CONTROL]]="CITA MANUAL",Tabla1[[#This Row],[GESTANTES ACTUALES]]="ACTIVA INGRESO A CPN"),"W",IF(AND(Tabla1[[#This Row],[GESTANTES ACTUALES]]="SALIO PROGRAMA",IN11=""),"S",IF(AND(Tabla1[[#This Row],[CITA PROXIMO CONTROL]]&gt;0,IN11=""),(Tabla1[[#This Row],[CITA PROXIMO CONTROL]]-TODAY()),"SD"))))))))</f>
        <v>SD</v>
      </c>
      <c r="NJ11" s="43">
        <f>MONTH(Tabla1[[#This Row],[FECHA DE SALIDA  DEL PROGRAMA]])</f>
        <v>4</v>
      </c>
      <c r="NK11" s="43">
        <f>YEAR(Tabla1[[#This Row],[FECHA DE SALIDA  DEL PROGRAMA]])</f>
        <v>2023</v>
      </c>
      <c r="NL11" s="43" t="str">
        <f t="shared" si="83"/>
        <v>X</v>
      </c>
      <c r="NM11" s="43" t="str">
        <f t="shared" si="84"/>
        <v>NO</v>
      </c>
      <c r="NN11" s="43" t="str">
        <f ca="1">IF(AND(O11&gt;0,R11=""),"NO CPN",IF(AND(O11="",R11=""),"",IF(AND(R11&gt;0,Tabla1[[#This Row],[SEMANAS DE GESTACION ACTUALIZADAS]]&lt;=12),"NO APLICA",IF(AND(FH11&lt;&gt;"",FN11&lt;&gt;""),"SI","NO"))))</f>
        <v>NO</v>
      </c>
      <c r="NO11" s="43" t="str">
        <f ca="1">IF(AND(O11&gt;0,R11=""),"NO CPN",IF(AND(O11="",R11=""),"",IF(AND(R11&gt;0,Tabla1[[#This Row],[SEMANAS DE GESTACION ACTUALIZADAS]]&lt;=27),"NO APLICA",IF(AND(ES11&lt;&gt;"",FQ11&lt;&gt;"",GF11&lt;&gt;""),"SI","NO"))))</f>
        <v>NO</v>
      </c>
      <c r="NP11" s="204" t="str">
        <f t="shared" si="85"/>
        <v>I TRIM</v>
      </c>
      <c r="NQ11" s="21">
        <f t="shared" si="86"/>
        <v>3</v>
      </c>
      <c r="NR11" s="21">
        <f t="shared" si="87"/>
        <v>3</v>
      </c>
      <c r="NS11" s="205">
        <f t="shared" ca="1" si="88"/>
        <v>1</v>
      </c>
      <c r="NT11" s="21">
        <f t="shared" ca="1" si="89"/>
        <v>2</v>
      </c>
      <c r="NU11" s="21" t="str">
        <f t="shared" ca="1" si="90"/>
        <v>INCOMPLETO</v>
      </c>
      <c r="NV11" s="21" t="str">
        <f t="shared" ca="1" si="91"/>
        <v>INCOMPLETO</v>
      </c>
      <c r="NW11" s="206" t="str">
        <f>IF(AND(O11="",R11=""),"",IF(OR(AND(Tabla1[[#This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1" s="207" t="str">
        <f t="shared" ca="1" si="92"/>
        <v>VACUNADA</v>
      </c>
      <c r="NY11" s="43">
        <f>ROW(Tabla1[[#This Row],['# DE TAMIZAJES SIFILIS TOMADOS ]])</f>
        <v>11</v>
      </c>
      <c r="NZ11" s="43" t="str">
        <f t="shared" si="93"/>
        <v>Menor</v>
      </c>
      <c r="OA11" s="43" t="str">
        <f t="shared" si="94"/>
        <v>NORMAL</v>
      </c>
      <c r="OB11" s="43" t="str">
        <f t="shared" si="95"/>
        <v/>
      </c>
      <c r="OC11" s="43" t="str">
        <f t="shared" si="96"/>
        <v/>
      </c>
      <c r="OD11" s="43" t="str">
        <f t="shared" si="97"/>
        <v/>
      </c>
      <c r="OE11" s="43" t="str">
        <f t="shared" si="98"/>
        <v/>
      </c>
      <c r="OF11" s="43" t="str">
        <f t="shared" si="99"/>
        <v/>
      </c>
      <c r="OG11" s="43" t="str">
        <f t="shared" si="100"/>
        <v/>
      </c>
      <c r="OH11" s="43" t="str">
        <f t="shared" si="101"/>
        <v/>
      </c>
      <c r="OI11" s="43" t="str">
        <f t="shared" si="102"/>
        <v/>
      </c>
      <c r="OJ11" s="43" t="str">
        <f t="shared" si="103"/>
        <v/>
      </c>
      <c r="OK11" s="43" t="str">
        <f t="shared" si="104"/>
        <v/>
      </c>
      <c r="OL11" s="43" t="str">
        <f t="shared" si="105"/>
        <v/>
      </c>
      <c r="OM11" s="43" t="str">
        <f t="shared" si="106"/>
        <v/>
      </c>
      <c r="ON11" s="43" t="str">
        <f t="shared" si="107"/>
        <v/>
      </c>
      <c r="OO11" s="43" t="str">
        <f t="shared" si="108"/>
        <v/>
      </c>
      <c r="OP11" s="43" t="str">
        <f t="shared" si="109"/>
        <v/>
      </c>
      <c r="OQ11" s="43" t="str">
        <f t="shared" si="110"/>
        <v/>
      </c>
      <c r="OR11" s="43" t="str">
        <f t="shared" si="111"/>
        <v/>
      </c>
      <c r="OS11" s="43" t="str">
        <f t="shared" si="112"/>
        <v/>
      </c>
      <c r="OT11" s="43" t="str">
        <f t="shared" si="113"/>
        <v/>
      </c>
      <c r="OU11" s="43" t="str">
        <f t="shared" si="114"/>
        <v/>
      </c>
      <c r="OV11" s="110" t="str">
        <f t="shared" si="115"/>
        <v/>
      </c>
      <c r="OW11" s="43" t="str">
        <f t="shared" si="116"/>
        <v/>
      </c>
      <c r="OX11" s="43" t="str">
        <f t="shared" si="117"/>
        <v/>
      </c>
      <c r="OY11" s="43" t="str">
        <f t="shared" si="118"/>
        <v/>
      </c>
      <c r="OZ11" s="43" t="str">
        <f t="shared" si="119"/>
        <v/>
      </c>
      <c r="PA11" s="43" t="str">
        <f t="shared" si="120"/>
        <v/>
      </c>
      <c r="PB11" s="43" t="str">
        <f t="shared" si="121"/>
        <v/>
      </c>
      <c r="PC11" s="43" t="str">
        <f t="shared" si="122"/>
        <v/>
      </c>
      <c r="PD11" s="43" t="str">
        <f t="shared" si="123"/>
        <v/>
      </c>
      <c r="PE11" s="43" t="str">
        <f t="shared" si="124"/>
        <v/>
      </c>
      <c r="PF11" s="43" t="str">
        <f t="shared" si="125"/>
        <v/>
      </c>
      <c r="PG11" s="43" t="str">
        <f t="shared" si="126"/>
        <v/>
      </c>
      <c r="PH11" s="43" t="str">
        <f t="shared" si="127"/>
        <v/>
      </c>
      <c r="PI11" s="43">
        <f t="shared" si="128"/>
        <v>36</v>
      </c>
      <c r="PJ11" s="43" t="str">
        <f t="shared" si="129"/>
        <v/>
      </c>
      <c r="PK11" s="43" t="str">
        <f t="shared" si="130"/>
        <v/>
      </c>
      <c r="PL11" s="43" t="str">
        <f t="shared" si="131"/>
        <v/>
      </c>
      <c r="PM11" s="43" t="str">
        <f t="shared" si="132"/>
        <v/>
      </c>
      <c r="PN11" s="43" t="str">
        <f t="shared" si="133"/>
        <v/>
      </c>
      <c r="PO11" s="43" t="str">
        <f t="shared" si="134"/>
        <v/>
      </c>
      <c r="PP11" s="43" t="str">
        <f t="shared" si="135"/>
        <v/>
      </c>
      <c r="PQ11" s="43" t="str">
        <f t="shared" si="136"/>
        <v/>
      </c>
      <c r="PR11" s="43" t="str">
        <f t="shared" si="137"/>
        <v/>
      </c>
      <c r="PS11" s="43" t="str">
        <f t="shared" si="138"/>
        <v/>
      </c>
      <c r="PT11" s="43" t="str">
        <f t="shared" si="139"/>
        <v/>
      </c>
      <c r="PU11" s="43" t="str">
        <f t="shared" si="140"/>
        <v/>
      </c>
      <c r="PV11" s="43" t="str">
        <f t="shared" si="141"/>
        <v/>
      </c>
      <c r="PW11" s="43" t="str">
        <f t="shared" si="142"/>
        <v/>
      </c>
      <c r="PX11" s="43" t="str">
        <f t="shared" si="143"/>
        <v/>
      </c>
      <c r="PY11" s="43" t="str">
        <f t="shared" si="144"/>
        <v/>
      </c>
      <c r="PZ11" s="43" t="str">
        <f t="shared" si="145"/>
        <v/>
      </c>
      <c r="QA11" s="43" t="str">
        <f t="shared" si="146"/>
        <v/>
      </c>
      <c r="QB11" s="43" t="str">
        <f t="shared" si="147"/>
        <v/>
      </c>
      <c r="QC11" s="43" t="str">
        <f t="shared" si="148"/>
        <v/>
      </c>
      <c r="QD11" s="43" t="str">
        <f t="shared" si="149"/>
        <v/>
      </c>
      <c r="QE11" s="43" t="str">
        <f t="shared" si="150"/>
        <v/>
      </c>
      <c r="QF11" s="43" t="str">
        <f t="shared" si="151"/>
        <v/>
      </c>
      <c r="QG11" s="43" t="str">
        <f t="shared" si="152"/>
        <v/>
      </c>
      <c r="QH11" s="43" t="str">
        <f t="shared" si="153"/>
        <v/>
      </c>
      <c r="QI11" s="43" t="str">
        <f t="shared" si="154"/>
        <v/>
      </c>
      <c r="QJ11" s="43" t="str">
        <f t="shared" si="155"/>
        <v/>
      </c>
      <c r="QK11" s="43" t="str">
        <f t="shared" si="156"/>
        <v/>
      </c>
      <c r="QL11" s="43" t="str">
        <f t="shared" si="157"/>
        <v/>
      </c>
      <c r="QM11" s="43" t="str">
        <f t="shared" si="158"/>
        <v/>
      </c>
      <c r="QN11" s="43" t="str">
        <f t="shared" si="159"/>
        <v/>
      </c>
      <c r="QO11" s="43" t="str">
        <f t="shared" si="160"/>
        <v/>
      </c>
      <c r="QP11" s="43" t="str">
        <f t="shared" si="161"/>
        <v/>
      </c>
      <c r="QQ11" s="43" t="str">
        <f t="shared" si="162"/>
        <v/>
      </c>
      <c r="QR11" s="43">
        <f t="shared" si="192"/>
        <v>36</v>
      </c>
      <c r="QS11" s="43"/>
      <c r="QT11" s="21" t="str">
        <f t="shared" si="163"/>
        <v/>
      </c>
      <c r="QU11" s="21" t="str">
        <f t="shared" si="164"/>
        <v/>
      </c>
      <c r="QV11" s="21" t="str">
        <f t="shared" si="165"/>
        <v/>
      </c>
      <c r="QW11" s="21" t="str">
        <f t="shared" si="166"/>
        <v/>
      </c>
      <c r="QX11" s="21" t="str">
        <f t="shared" si="167"/>
        <v/>
      </c>
      <c r="QY11" s="21" t="str">
        <f t="shared" si="168"/>
        <v/>
      </c>
      <c r="QZ11" s="21" t="str">
        <f t="shared" si="169"/>
        <v/>
      </c>
      <c r="RA11" s="21" t="str">
        <f t="shared" si="170"/>
        <v/>
      </c>
      <c r="RB11" s="21" t="str">
        <f t="shared" si="171"/>
        <v/>
      </c>
      <c r="RC11" s="21" t="str">
        <f t="shared" si="172"/>
        <v/>
      </c>
      <c r="RD11" s="21" t="str">
        <f t="shared" si="173"/>
        <v/>
      </c>
      <c r="RE11" s="21" t="str">
        <f t="shared" si="174"/>
        <v/>
      </c>
      <c r="RF11" s="21" t="str">
        <f t="shared" si="175"/>
        <v/>
      </c>
      <c r="RG11" s="21" t="str">
        <f t="shared" si="176"/>
        <v/>
      </c>
      <c r="RH11" s="21" t="str">
        <f t="shared" si="177"/>
        <v/>
      </c>
      <c r="RI11" s="21" t="str">
        <f t="shared" si="178"/>
        <v/>
      </c>
      <c r="RJ11" s="21" t="str">
        <f t="shared" si="179"/>
        <v/>
      </c>
      <c r="RK11" s="21" t="str">
        <f t="shared" si="180"/>
        <v/>
      </c>
      <c r="RL11" s="21" t="str">
        <f t="shared" si="181"/>
        <v/>
      </c>
      <c r="RM11" s="21" t="str">
        <f t="shared" si="182"/>
        <v/>
      </c>
      <c r="RN11" s="21" t="str">
        <f t="shared" si="183"/>
        <v/>
      </c>
      <c r="RO11" s="21" t="str">
        <f t="shared" si="184"/>
        <v/>
      </c>
      <c r="RP11" s="21" t="str">
        <f t="shared" si="185"/>
        <v/>
      </c>
      <c r="RQ11" s="21" t="str">
        <f t="shared" si="186"/>
        <v/>
      </c>
      <c r="RR11" s="21" t="str">
        <f t="shared" si="187"/>
        <v/>
      </c>
      <c r="RS11" s="21" t="str">
        <f t="shared" si="188"/>
        <v/>
      </c>
      <c r="RT11" s="21" t="str">
        <f t="shared" si="189"/>
        <v/>
      </c>
      <c r="RU11" s="21" t="str">
        <f t="shared" si="190"/>
        <v/>
      </c>
      <c r="RV11" s="21">
        <f t="shared" si="191"/>
        <v>17.714285714285715</v>
      </c>
      <c r="RW11" s="284">
        <f>IF(OR(Tabla1[[#This Row],[FUM FORMULA CONFIABLE]]="",Tabla1[[#This Row],[FUM FORMULA CONFIABLE]]="SD"),"",IF(Tabla1[[#This Row],[FUM FORMULA CONFIABLE]]="CORREGIDA",Tabla1[[#This Row],[FUM X ECO 1]],Tabla1[[#This Row],[FUM x AMENORREA]]))</f>
        <v>44773</v>
      </c>
      <c r="RX11" s="21">
        <f>IF(AND(Tabla1[[#This Row],[FUM X ECO 1]]="",Tabla1[[#This Row],[FUM x AMENORREA]]=""),"",IF(AND(Tabla1[[#This Row],[FUM X ECO 1]]="",Tabla1[[#This Row],[FUM x AMENORREA]]&lt;&gt;""),"X",SUM(Tabla1[[#This Row],[FUM X ECO 1]]-Tabla1[[#This Row],[FUM x AMENORREA]])))</f>
        <v>-18.5</v>
      </c>
      <c r="RY11" s="21">
        <f t="shared" si="193"/>
        <v>1</v>
      </c>
    </row>
    <row r="12" spans="1:493" ht="45" customHeight="1" x14ac:dyDescent="0.25">
      <c r="A12" s="109"/>
      <c r="B12" s="43" t="s">
        <v>921</v>
      </c>
      <c r="C12" s="43" t="s">
        <v>845</v>
      </c>
      <c r="D12" s="124" t="s">
        <v>846</v>
      </c>
      <c r="E12" s="43" t="s">
        <v>922</v>
      </c>
      <c r="F12" s="43" t="s">
        <v>923</v>
      </c>
      <c r="G12" s="43" t="s">
        <v>924</v>
      </c>
      <c r="H12" s="43"/>
      <c r="I12" s="109" t="s">
        <v>851</v>
      </c>
      <c r="J12" s="110">
        <v>25546638</v>
      </c>
      <c r="K12" s="43" t="s">
        <v>852</v>
      </c>
      <c r="L12" s="175" t="s">
        <v>853</v>
      </c>
      <c r="M12" s="22">
        <v>29393</v>
      </c>
      <c r="N12" s="213">
        <f t="shared" ca="1" si="0"/>
        <v>43.394520547945206</v>
      </c>
      <c r="O12" s="22">
        <v>44806</v>
      </c>
      <c r="P12" s="214" t="str">
        <f t="shared" si="1"/>
        <v>SI</v>
      </c>
      <c r="Q12" s="26" t="s">
        <v>855</v>
      </c>
      <c r="R12" s="22">
        <v>44810</v>
      </c>
      <c r="S12" s="21" t="s">
        <v>856</v>
      </c>
      <c r="T12" s="24" t="s">
        <v>690</v>
      </c>
      <c r="U12" s="21" t="s">
        <v>857</v>
      </c>
      <c r="V12" s="21" t="s">
        <v>858</v>
      </c>
      <c r="W12" s="21" t="s">
        <v>925</v>
      </c>
      <c r="X12" s="21" t="s">
        <v>925</v>
      </c>
      <c r="Y12" s="21" t="s">
        <v>859</v>
      </c>
      <c r="Z12" s="21">
        <v>3132605017</v>
      </c>
      <c r="AA12" s="21" t="s">
        <v>860</v>
      </c>
      <c r="AB12" s="27" t="s">
        <v>861</v>
      </c>
      <c r="AC12" s="26" t="s">
        <v>877</v>
      </c>
      <c r="AD12" s="38" t="s">
        <v>846</v>
      </c>
      <c r="AE12" s="26" t="s">
        <v>854</v>
      </c>
      <c r="AF12" s="26" t="s">
        <v>854</v>
      </c>
      <c r="AG12" s="23" t="s">
        <v>864</v>
      </c>
      <c r="AH12" s="23" t="s">
        <v>864</v>
      </c>
      <c r="AI12" s="24" t="s">
        <v>863</v>
      </c>
      <c r="AJ12" s="23" t="s">
        <v>864</v>
      </c>
      <c r="AK12" s="220" t="str">
        <f>IF(AND(AD12="",AE12="",AF12="",AG12="",AH12="",AI12="",AJ12=""),"",IF(OR(Tabla1[[#This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EVALUACIÓN",IF(AND(O12="",R12=""),"",IF(AND(OR(O12&gt;0,R12&gt;0),NG12&gt;=0,NG12&lt;2),"SIN RIESGO",IF(AND(OR(O12&gt;0,R12&gt;0),NG12&gt;=2),"CON RIESGO","ASD")))))</f>
        <v>SIN RIESGO</v>
      </c>
      <c r="AL12" s="23" t="s">
        <v>864</v>
      </c>
      <c r="AM12" s="26" t="s">
        <v>864</v>
      </c>
      <c r="AN12" s="26" t="s">
        <v>864</v>
      </c>
      <c r="AO12" s="26" t="s">
        <v>865</v>
      </c>
      <c r="AP12" s="26" t="s">
        <v>865</v>
      </c>
      <c r="AQ12" s="26" t="s">
        <v>865</v>
      </c>
      <c r="AR12" s="26" t="s">
        <v>865</v>
      </c>
      <c r="AS12" s="21">
        <v>1</v>
      </c>
      <c r="AT12" s="21">
        <v>1</v>
      </c>
      <c r="AU12" s="21">
        <v>0</v>
      </c>
      <c r="AV12" s="26" t="s">
        <v>864</v>
      </c>
      <c r="AW12" s="21">
        <v>0</v>
      </c>
      <c r="AX12" s="26" t="s">
        <v>864</v>
      </c>
      <c r="AY12" s="26" t="s">
        <v>864</v>
      </c>
      <c r="AZ12" s="26" t="s">
        <v>864</v>
      </c>
      <c r="BA12" s="26" t="s">
        <v>864</v>
      </c>
      <c r="BB12" s="26" t="s">
        <v>864</v>
      </c>
      <c r="BC12" s="26" t="s">
        <v>864</v>
      </c>
      <c r="BD12" s="26" t="s">
        <v>864</v>
      </c>
      <c r="BE12" s="26" t="s">
        <v>864</v>
      </c>
      <c r="BF12" s="26" t="s">
        <v>864</v>
      </c>
      <c r="BG12" s="26" t="s">
        <v>864</v>
      </c>
      <c r="BH12" s="26"/>
      <c r="BI12" s="26" t="s">
        <v>864</v>
      </c>
      <c r="BJ12" s="26"/>
      <c r="BK12" s="26"/>
      <c r="BL12" s="26"/>
      <c r="BM12" s="26" t="s">
        <v>864</v>
      </c>
      <c r="BN12" s="22">
        <v>37909</v>
      </c>
      <c r="BO12" s="22">
        <v>44750</v>
      </c>
      <c r="BP12" s="21" t="s">
        <v>1380</v>
      </c>
      <c r="BQ12" s="222">
        <f t="shared" si="2"/>
        <v>227.73000000000005</v>
      </c>
      <c r="BR12" s="223">
        <f t="shared" si="3"/>
        <v>44740.9</v>
      </c>
      <c r="BS12" s="224">
        <f t="shared" si="4"/>
        <v>9.8714285714283641</v>
      </c>
      <c r="BT12" s="216" t="str">
        <f t="shared" si="5"/>
        <v>I TRIM</v>
      </c>
      <c r="BU12" s="214" t="str">
        <f t="shared" ca="1" si="6"/>
        <v/>
      </c>
      <c r="BV12" s="25"/>
      <c r="BW12" s="22">
        <v>44834</v>
      </c>
      <c r="BX12" s="28">
        <v>13.3</v>
      </c>
      <c r="BY12" s="28"/>
      <c r="BZ12" s="22">
        <v>44846</v>
      </c>
      <c r="CA12" s="21">
        <v>22</v>
      </c>
      <c r="CB12" s="26" t="s">
        <v>864</v>
      </c>
      <c r="CC12" s="26" t="s">
        <v>864</v>
      </c>
      <c r="CD12" s="26" t="s">
        <v>878</v>
      </c>
      <c r="CE12" s="26" t="s">
        <v>864</v>
      </c>
      <c r="CF12" s="22">
        <v>44845</v>
      </c>
      <c r="CG12" s="21">
        <v>1.44</v>
      </c>
      <c r="CH12" s="21">
        <v>54</v>
      </c>
      <c r="CI12" s="214">
        <f t="shared" si="7"/>
        <v>26.041666666666668</v>
      </c>
      <c r="CJ12" s="225" t="str">
        <f>IF(AND(CI12&lt;10,CH12="SD"),"SIN DATO PESO PREGESTACION O I TRIM",IF(AND(OR(R12&gt;0,O12&gt;0),CI12="X"),"INGRESAR DATO DE PESO",IF(CI12="SD","INGRESAR DATO DE TALLA Y PESO",IF(AND(OR(Tabla1[[#This Row],[MOMENTO EN QUE SE REALIZA EL PESO AL INGRESO A CPN]]="PREGESTACIÓN",NZ12="Menor"),CI12&lt;18.5),"BAJO PESO",IF(AND(OR(Tabla1[[#This Row],[MOMENTO EN QUE SE REALIZA EL PESO AL INGRESO A CPN]]="PREGESTACIÓN",NZ12="Menor"),CI12&lt;25),"NORMAL",IF(AND(OR(Tabla1[[#This Row],[MOMENTO EN QUE SE REALIZA EL PESO AL INGRESO A CPN]]="PREGESTACIÓN",NZ12="Menor"),CI12&lt;30),"SOBREPESO",IF(AND(OR(Tabla1[[#This Row],[MOMENTO EN QUE SE REALIZA EL PESO AL INGRESO A CPN]]="PREGESTACIÓN",NZ12="Menor"),CI12&gt;=30,CI12&lt;50),"OBESIDAD",IF(AND(BS12&gt;0,Tabla1[[#This Row],[MOMENTO EN QUE SE REALIZA EL PESO AL INGRESO A CPN]]="GESTACIÓN"),HLOOKUP(NZ12,$OA$2:PH12,NY12),""))))))))</f>
        <v>SOBREPESO</v>
      </c>
      <c r="CK12" s="212">
        <f t="shared" si="8"/>
        <v>44933</v>
      </c>
      <c r="CL12" s="21"/>
      <c r="CM12" s="214">
        <f t="shared" si="9"/>
        <v>0</v>
      </c>
      <c r="CN12" s="216">
        <f t="shared" si="10"/>
        <v>27</v>
      </c>
      <c r="CO12" s="216" t="e">
        <f>IF(PI12="","",IF(PI12&gt;0,HLOOKUP(PI12,$PJ$2:QQ12,NY12),""))</f>
        <v>#REF!</v>
      </c>
      <c r="CP12" s="21"/>
      <c r="CQ12" s="216" t="e">
        <f>IF(QR12="Menor","NO APLICA-MENOR 13 SEM",IF(AND(CC12="SI",CN12&gt;23),"NO APLICA- GEMELAR",IF(QR12="","",IF(QR12&gt;0,HLOOKUP(QR12,$QS$2:RU12,NY12),""))))</f>
        <v>#REF!</v>
      </c>
      <c r="CR12" s="21">
        <v>120</v>
      </c>
      <c r="CS12" s="21">
        <v>70</v>
      </c>
      <c r="CT12" s="217" t="str">
        <f>IF(R12="","",IF(AND(BS12&gt;1,BS12&lt;12,Tabla1[[#This Row],[T.A. SISTOLICA - ANTES DE SEMANA 12]]="",Tabla1[[#This Row],[T.A. DIASTOLICA - ANTES DE SEMANA 12]]=""),"REGISTRE DATO TA ANTES SEMANA 12",IF(AND(BS12&gt;11,BS12&lt;43,Tabla1[[#This Row],[T.A. SISTOLICA - ANTES DE SEMANA 12]]="",Tabla1[[#This Row],[T.A. DIASTOLICA - ANTES DE SEMANA 12]]=""),"NO APLICA REGISTRO TA-INGRESO TARDIO",IF(AND(OR(O12&gt;0,R12&gt;0),OR(CR12&gt;=140,CS12&gt;=90)),"DEFINIR ESTADIO HTA",IF(AND(OR(O12&gt;0,R12&gt;0),AND(CR12&gt;120,CR12&lt;=139)),"PRE HTA SEGUIMIENTO",IF(AND(OR(O12&gt;0,R12&gt;0),AND(CS12&gt;80,CS12&lt;=89)),"PRE HTA SEGUIMIENTO",IF(AND(OR(O12&gt;0,R12&gt;0),AND(CR12&gt;=80,CR12&lt;=120)),"APARENTEMENTE NORMAL",IF(AND(OR(O12&gt;0,R12&gt;0),AND(CS12&gt;=50,CS12&lt;=80)),"APARENTEMENTE NORMAL",IF(AND(OR(O12&gt;0,R12&gt;0),AND(CR12&gt;1,CR12&lt;=70),AND(CS12&gt;1,CS12&lt;=40)),"HIPOTENSIÓN","")))))))))</f>
        <v>APARENTEMENTE NORMAL</v>
      </c>
      <c r="CU12" s="21">
        <v>100</v>
      </c>
      <c r="CV12" s="21">
        <v>60</v>
      </c>
      <c r="CW12" s="217" t="str">
        <f ca="1">IF(R12="","",IF(AND(CN12&gt;19,CN12&lt;27,Tabla1[[#This Row],[T.A. SISTOLICA (Entre semana 20 y 26)]]="",Tabla1[[#This Row],[T.A. DIATOLICA (Entre semana 20 y 26)]]=""),"ACUDE A CONTROL SEM 20 A 26 REGISTRE TA AHORA",IF(AND(BS12&gt;1,BS12&lt;27,BU12&gt;19,Tabla1[[#This Row],[T.A. SISTOLICA (Entre semana 20 y 26)]]="",Tabla1[[#This Row],[T.A. DIATOLICA (Entre semana 20 y 26)]]=""),"COMPLETE REGISTRO TA CONTROL SEM 20 A26 ",IF(AND(BS12&gt;26,BS12&lt;43,Tabla1[[#This Row],[T.A. SISTOLICA (Entre semana 20 y 26)]]="",Tabla1[[#This Row],[T.A. DIATOLICA (Entre semana 20 y 26)]]=""),"NO APLICA REGISTRO TA-INGRESO TARDIO",IF(AND(OR(O12&gt;0,R12&gt;0),OR(CU12&gt;=140,CV12&gt;=90)),"ALTO RIESGO PREECLAMPSIA,DEFINIR ESTADIO HTA",IF(AND(OR(O12&gt;0,R12&gt;0),AND(CU12&gt;120,CU12&lt;=139)),"PRE HTA SEGUIMIENTO,RIESGO HIPERTENSION INDUCIDA POR EL EMBARAZO",IF(AND(OR(O12&gt;0,R12&gt;0),AND(CV12&gt;80,CV12&lt;=89)),"PRE HTA SEGUIMIENTO, RIESGO HIPERTENSION INDUCIDA POR EL EMBARAZO",IF(AND(OR(O12&lt;&gt;"",R12&lt;&gt;""),CS12&lt;&gt;"",CV12&lt;&gt;"",CS12&lt;=CV12),"VIGILAR CIFRAS PRESION ARTERIAL",IF(AND(OR(O12&gt;0,R12&gt;0),AND(CU12&gt;120,CU12&lt;=139)),"PRE HTA SEGUIMIENTO",IF(AND(OR(O12&gt;0,R12&gt;0),AND(CU12&gt;1,CU12&lt;=70),AND(CV12&gt;1,CV12&lt;=40)),"HIPOTENSIÓN",IF(AND(OR(O12&lt;&gt;"",R12&lt;&gt;""),CS12&lt;&gt;"",CV12&lt;&gt;"",CS12&gt;CV12),"APARENTEMENTE NORMAL",IF(AND(OR(O12&gt;0,R12&gt;0),AND(CU12&gt;=80,CU12&lt;=120)),"APARENTEMENTE NORMAL",IF(AND(OR(O12&gt;0,R12&gt;0),AND(CV12&gt;=50,CV12&lt;=80)),"APARENTEMENTE NORMAL","")))))))))))))</f>
        <v>APARENTEMENTE NORMAL</v>
      </c>
      <c r="CX12" s="21"/>
      <c r="CY12" s="21"/>
      <c r="CZ12" s="216" t="str">
        <f t="shared" si="11"/>
        <v/>
      </c>
      <c r="DA12" s="21"/>
      <c r="DB12" s="21"/>
      <c r="DC12" s="217" t="str">
        <f t="shared" si="12"/>
        <v>REGISTRE DATO PRESIÓN ARTERIAL MENSUAL</v>
      </c>
      <c r="DD12" s="22">
        <v>44810</v>
      </c>
      <c r="DE12" s="22">
        <v>44810</v>
      </c>
      <c r="DF12" s="22">
        <v>44845</v>
      </c>
      <c r="DG12" s="22">
        <v>44884</v>
      </c>
      <c r="DH12" s="22">
        <v>44933</v>
      </c>
      <c r="DI12" s="22"/>
      <c r="DJ12" s="22"/>
      <c r="DK12" s="22"/>
      <c r="DL12" s="22"/>
      <c r="DM12" s="22"/>
      <c r="DN12" s="22"/>
      <c r="DO12" s="22"/>
      <c r="DP12" s="22"/>
      <c r="DQ12" s="22"/>
      <c r="DR12" s="28">
        <v>1</v>
      </c>
      <c r="DS12" s="22"/>
      <c r="DT12" s="22"/>
      <c r="DU12" s="216" t="str">
        <f t="shared" ca="1" si="13"/>
        <v>SALE SIN PLAN DE PARTO</v>
      </c>
      <c r="DV12" s="226" t="str">
        <f t="shared" si="14"/>
        <v>SALIO PROGRAMA</v>
      </c>
      <c r="DW12"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2" s="216" t="str">
        <f t="shared" ca="1" si="15"/>
        <v/>
      </c>
      <c r="DY12" s="212">
        <f>IF(R12="","",IF(R12&gt;0,MAX(Tabla1[[#This Row],[FECHA C2]:[FECHA C13]],Tabla1[[#This Row],[FECHA CONSULTA PRIMERA VEZ PROGRAMA CPN ]])))</f>
        <v>44933</v>
      </c>
      <c r="DZ12" s="216">
        <f t="shared" si="16"/>
        <v>27</v>
      </c>
      <c r="EA12" s="222">
        <f>IF(R12&gt;0,SUM(COUNTA(DF12:DQ12)+COUNTA(Tabla1[[#This Row],[FECHA CONSULTA PRIMERA VEZ PROGRAMA CPN ]])),"")</f>
        <v>4</v>
      </c>
      <c r="EB12" s="222" t="str">
        <f t="shared" si="17"/>
        <v>SI</v>
      </c>
      <c r="EC12" s="214">
        <f t="shared" si="18"/>
        <v>9</v>
      </c>
      <c r="ED12" s="227">
        <f t="shared" si="19"/>
        <v>0.44444444444444442</v>
      </c>
      <c r="EE12" s="22">
        <v>44810</v>
      </c>
      <c r="EF12" s="22">
        <v>44810</v>
      </c>
      <c r="EG12" s="22">
        <v>44810</v>
      </c>
      <c r="EH12" s="22">
        <v>44832</v>
      </c>
      <c r="EI12" s="22">
        <v>44810</v>
      </c>
      <c r="EJ12" s="22">
        <v>44832</v>
      </c>
      <c r="EK12" s="22">
        <v>44832</v>
      </c>
      <c r="EL12" s="21">
        <v>1</v>
      </c>
      <c r="EM12" s="21">
        <v>13</v>
      </c>
      <c r="EN12" s="22">
        <v>44804</v>
      </c>
      <c r="EO12" s="222">
        <f t="shared" si="20"/>
        <v>9.0142857142855064</v>
      </c>
      <c r="EP12" s="214" t="str">
        <f t="shared" si="21"/>
        <v>NORMAL- SUMINISTRAR SULFATO FERROSO</v>
      </c>
      <c r="EQ12" s="216" t="str">
        <f t="shared" si="22"/>
        <v>I TRIM</v>
      </c>
      <c r="ER12" s="24"/>
      <c r="ES12" s="22"/>
      <c r="ET12" s="29" t="str">
        <f t="shared" ca="1" si="23"/>
        <v>SALE SIN TAMIZAJE HEMOGLOBINA SEM 28</v>
      </c>
      <c r="EU12" s="25" t="str">
        <f t="shared" si="24"/>
        <v/>
      </c>
      <c r="EV12" s="24" t="s">
        <v>926</v>
      </c>
      <c r="EW12" s="24">
        <v>44804</v>
      </c>
      <c r="EX12" s="22"/>
      <c r="EY12" s="29">
        <f t="shared" si="25"/>
        <v>9.0142857142855064</v>
      </c>
      <c r="EZ12" s="25" t="str">
        <f t="shared" ca="1" si="26"/>
        <v/>
      </c>
      <c r="FA12" s="21">
        <v>67</v>
      </c>
      <c r="FB12" s="22">
        <v>44804</v>
      </c>
      <c r="FC12" s="29">
        <f t="shared" si="27"/>
        <v>9.0142857142855064</v>
      </c>
      <c r="FD12" s="29"/>
      <c r="FE12" s="29"/>
      <c r="FF12" s="29"/>
      <c r="FG12" s="21" t="str">
        <f t="shared" ca="1" si="28"/>
        <v/>
      </c>
      <c r="FH12" s="31"/>
      <c r="FI12" s="29" t="str">
        <f t="shared" si="29"/>
        <v>TOMAR EXAMEN</v>
      </c>
      <c r="FJ12" s="22" t="s">
        <v>867</v>
      </c>
      <c r="FK12" s="22">
        <v>44804</v>
      </c>
      <c r="FL12" s="29">
        <f t="shared" ca="1" si="30"/>
        <v>9.0142857142855064</v>
      </c>
      <c r="FM12" s="22" t="s">
        <v>867</v>
      </c>
      <c r="FN12" s="32">
        <v>44898</v>
      </c>
      <c r="FO12" s="29">
        <f t="shared" ca="1" si="31"/>
        <v>22.442857142856933</v>
      </c>
      <c r="FP12" s="22"/>
      <c r="FQ12" s="32"/>
      <c r="FR12" s="29" t="str">
        <f t="shared" ca="1" si="32"/>
        <v>PIERDE TOMA DE TAMIZAJE</v>
      </c>
      <c r="FS12" s="22"/>
      <c r="FT12" s="32"/>
      <c r="FU12" s="29" t="str">
        <f>IF(AND(FJ12="",FM12="",FP12="",FS12=""),"",IF(OR(OR(Tabla1[[#This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2" s="28"/>
      <c r="FW12" s="22"/>
      <c r="FX12" s="29" t="str">
        <f t="shared" si="33"/>
        <v>TOMAR EXAMEN</v>
      </c>
      <c r="FY12" s="22">
        <v>44804</v>
      </c>
      <c r="FZ12" s="22">
        <v>44804</v>
      </c>
      <c r="GA12" s="29">
        <f t="shared" ca="1" si="34"/>
        <v>9.0142857142855064</v>
      </c>
      <c r="GB12" s="22" t="s">
        <v>868</v>
      </c>
      <c r="GC12" s="22">
        <v>44898</v>
      </c>
      <c r="GD12" s="29">
        <f t="shared" ca="1" si="35"/>
        <v>22.442857142856933</v>
      </c>
      <c r="GE12" s="22"/>
      <c r="GF12" s="22"/>
      <c r="GG12" s="29" t="str">
        <f t="shared" ca="1" si="36"/>
        <v>PIERDE TOMA DE TAMIZAJE</v>
      </c>
      <c r="GH12" s="22"/>
      <c r="GI12" s="29"/>
      <c r="GJ12" s="22"/>
      <c r="GK12" s="22"/>
      <c r="GL12" s="22" t="s">
        <v>879</v>
      </c>
      <c r="GM12" s="22"/>
      <c r="GN12" s="28" t="s">
        <v>869</v>
      </c>
      <c r="GO12" s="22">
        <v>44804</v>
      </c>
      <c r="GP12" s="29">
        <f t="shared" si="37"/>
        <v>9.0142857142855064</v>
      </c>
      <c r="GQ12" s="28" t="s">
        <v>880</v>
      </c>
      <c r="GR12" s="28" t="s">
        <v>869</v>
      </c>
      <c r="GS12" s="22" t="str">
        <f t="shared" si="38"/>
        <v>SE EXCLUYE INFECCION</v>
      </c>
      <c r="GT12" s="22">
        <v>44804</v>
      </c>
      <c r="GU12" s="29">
        <f t="shared" si="39"/>
        <v>7.7142857142857144</v>
      </c>
      <c r="GV12" s="21" t="str">
        <f t="shared" si="40"/>
        <v>I TRIM</v>
      </c>
      <c r="GW12" s="28" t="s">
        <v>869</v>
      </c>
      <c r="GX12" s="30"/>
      <c r="GY12" s="21"/>
      <c r="GZ12" s="21"/>
      <c r="HA12" s="21"/>
      <c r="HB12" s="21"/>
      <c r="HC12" s="21"/>
      <c r="HD12" s="21"/>
      <c r="HE12" s="21"/>
      <c r="HF12" s="22"/>
      <c r="HG12" s="22" t="str">
        <f>IF(OR(O12&gt;0,R12&gt;0),CONCATENATE(IF(Tabla1[[#This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2" s="22" t="e">
        <f t="shared" si="41"/>
        <v>#REF!</v>
      </c>
      <c r="HI12" s="22" t="str">
        <f t="shared" si="42"/>
        <v>ALTO RIESGO</v>
      </c>
      <c r="HJ12" s="21" t="str">
        <f t="shared" ca="1" si="43"/>
        <v>************************RIESGO POR EDAD***************</v>
      </c>
      <c r="HK12" s="21" t="str">
        <f t="shared" si="44"/>
        <v>RIESGO MODERADO (2 O MAS CRITERIOS) VER MANEJO GUIA SUMINISTRO ASA Y CALCIO</v>
      </c>
      <c r="HL12" s="24" t="str">
        <f t="shared" si="45"/>
        <v>REGISTRE DATO PRESIÓN ARTERIAL MENSUAL</v>
      </c>
      <c r="HM12" s="21" t="str">
        <f t="shared" ca="1" si="46"/>
        <v/>
      </c>
      <c r="HN12" s="30" t="str">
        <f t="shared" si="47"/>
        <v>SALIO PROGRAMA</v>
      </c>
      <c r="HO12" s="21"/>
      <c r="HP12" s="21"/>
      <c r="HQ12" s="21">
        <v>44845</v>
      </c>
      <c r="HR12" s="21" t="str">
        <f>IF(R12="","",IF(Tabla1[[#This Row],[ALARMA FACTORES DE RIESGO COMPLICACIONES HIPERTENSIVAS3]]="SIN ANTECEDENTES DE RIESGO","No Aplica para suministro de ASA",IF(AND(Tabla1[[#This Row],[FECHA INICIO DE SUMINISTRO DE ASA]]&gt;0,RV12&lt;12),"Inicia ASA ANTES de Sem 12",IF(AND(RV12&gt;11,RV12&lt;17,OR(HK12="RIESGO ALTO DE COMPLICACIONES HIPERTENSIVAS VER MANEJO GUIA SUMINISTRO ASA Y CALCIO",HK12="RIESGO MODERADO (2 O MAS CRITERIOS) VER MANEJO GUIA SUMINISTRO ASA Y CALCIO")),"Inicio oportuno de ASA",IF(AND(RV12&gt;12,OR(HK12="RIESGO ALTO DE COMPLICACIONES HIPERTENSIVAS VER MANEJO GUIA SUMINISTRO ASA Y CALCIO",HK12="RIESGO MODERADO (2 O MAS CRITERIOS) VER MANEJO GUIA SUMINISTRO ASA Y CALCIO")),"Inicio no oportuno mayor a 16 semanas",IF(AND(BU12&lt;12,OR(HK12="RIESGO ALTO DE COMPLICACIONES HIPERTENSIVAS VER MANEJO GUIA SUMINISTRO ASA Y CALCIO",HK12="RIESGO MODERADO (2 O MAS CRITERIOS) VER MANEJO GUIA SUMINISTRO ASA Y CALCIO")),"Pendiente Inicio de ASA a la semana 12",IF(AND(BU12&gt;11,BU12&lt;17,OR(HK12="RIESGO ALTO DE COMPLICACIONES HIPERTENSIVAS VER MANEJO GUIA SUMINISTRO ASA Y CALCIO",HK12="RIESGO MODERADO (2 O MAS CRITERIOS) VER MANEJO GUIA SUMINISTRO ASA Y CALCIO")),"Iniciar de inmediato ASA",IF(AND(BU12&gt;16,OR(HK12="RIESGO ALTO DE COMPLICACIONES HIPERTENSIVAS VER MANEJO GUIA SUMINISTRO ASA Y CALCIO",HK12="RIESGO MODERADO (2 O MAS CRITERIOS) VER MANEJO GUIA SUMINISTRO ASA Y CALCIO")),"Pierde Oportunidad, Inicio tardío de ASA","XXXXX"))))))))</f>
        <v>Inicio oportuno de ASA</v>
      </c>
      <c r="HS12" s="22">
        <v>44845</v>
      </c>
      <c r="HT12" s="22" t="s">
        <v>870</v>
      </c>
      <c r="HU12" s="22">
        <v>44845</v>
      </c>
      <c r="HV12" s="22" t="s">
        <v>870</v>
      </c>
      <c r="HW12" s="22">
        <v>44845</v>
      </c>
      <c r="HX12" s="22" t="s">
        <v>870</v>
      </c>
      <c r="HY12" s="22">
        <v>44812</v>
      </c>
      <c r="HZ12" s="28">
        <f t="shared" si="48"/>
        <v>10.157142857142649</v>
      </c>
      <c r="IA12" s="26"/>
      <c r="IB12" s="26"/>
      <c r="IC12" s="111">
        <v>44856</v>
      </c>
      <c r="ID12" s="22">
        <v>44891</v>
      </c>
      <c r="IE12" s="22" t="str">
        <f t="shared" ca="1" si="49"/>
        <v>VACUNA APLICADA ENTRE SEMANA 20 Y SEMANA 26</v>
      </c>
      <c r="IF12" s="22"/>
      <c r="IG12" s="22">
        <f t="shared" si="50"/>
        <v>45020.9</v>
      </c>
      <c r="IH12" s="29">
        <f t="shared" ca="1" si="51"/>
        <v>-211.09999999999854</v>
      </c>
      <c r="II12" s="22" t="str">
        <f t="shared" ca="1" si="52"/>
        <v>POSIBLEMENTE NACIO</v>
      </c>
      <c r="IJ12" s="22"/>
      <c r="IK12" s="21" t="s">
        <v>1652</v>
      </c>
      <c r="IL12" s="21"/>
      <c r="IM12" s="34"/>
      <c r="IN12" s="349">
        <v>45025</v>
      </c>
      <c r="IO12" s="21" t="s">
        <v>1186</v>
      </c>
      <c r="IP12" s="29">
        <f t="shared" si="53"/>
        <v>40.585714285714076</v>
      </c>
      <c r="IQ12" s="35" t="s">
        <v>1650</v>
      </c>
      <c r="IR12" s="21" t="s">
        <v>1651</v>
      </c>
      <c r="IS12" s="21" t="s">
        <v>1646</v>
      </c>
      <c r="IT12" s="21" t="s">
        <v>1642</v>
      </c>
      <c r="IU12" s="21"/>
      <c r="IV12" s="21"/>
      <c r="IW12" s="21"/>
      <c r="IX12" s="21"/>
      <c r="IY12" s="21"/>
      <c r="IZ12" s="21"/>
      <c r="JA12" s="21"/>
      <c r="JB12" s="30">
        <v>1</v>
      </c>
      <c r="JC12" s="21" t="s">
        <v>1647</v>
      </c>
      <c r="JD12" s="36">
        <v>3350</v>
      </c>
      <c r="JE12" s="21" t="str">
        <f t="shared" si="54"/>
        <v>PESO ADECUADO EDAD GESTACIONAL</v>
      </c>
      <c r="JF12" s="30"/>
      <c r="JG12" s="21"/>
      <c r="JH12" s="21"/>
      <c r="JI12" s="21" t="s">
        <v>854</v>
      </c>
      <c r="JJ12" s="30" t="s">
        <v>926</v>
      </c>
      <c r="JK12" s="22"/>
      <c r="JL12" s="22"/>
      <c r="JM12" s="21"/>
      <c r="JN12" s="36"/>
      <c r="JO12" s="21" t="str">
        <f t="shared" si="55"/>
        <v/>
      </c>
      <c r="JP12" s="22"/>
      <c r="JQ12" s="21"/>
      <c r="JR12" s="21"/>
      <c r="JS12" s="21"/>
      <c r="JT12" s="30"/>
      <c r="JU12" s="22"/>
      <c r="JV12" s="22"/>
      <c r="JW12" s="33"/>
      <c r="JX12" s="28" t="str">
        <f t="shared" si="56"/>
        <v>INASISTENTE</v>
      </c>
      <c r="JY12" s="33"/>
      <c r="JZ12" s="28" t="str">
        <f t="shared" si="57"/>
        <v>INASISTENTE</v>
      </c>
      <c r="KA12" s="21"/>
      <c r="KB12" s="21"/>
      <c r="KC12" s="21"/>
      <c r="KD12" s="37"/>
      <c r="KE12" s="28"/>
      <c r="KF12" s="28"/>
      <c r="KG12" s="28"/>
      <c r="KH12" s="39"/>
      <c r="KI12" s="39"/>
      <c r="KJ12" s="66"/>
      <c r="KK12" s="39"/>
      <c r="KL12" s="39"/>
      <c r="KM12" s="66"/>
      <c r="KN12" s="39"/>
      <c r="KO12" s="39"/>
      <c r="KP12" s="39"/>
      <c r="KQ12" s="39"/>
      <c r="KR12" s="39"/>
      <c r="KS12" s="39"/>
      <c r="KT12" s="39"/>
      <c r="KU12" s="38"/>
      <c r="KV12" s="38"/>
      <c r="KW12" s="38"/>
      <c r="KX12" s="38"/>
      <c r="KY12" s="38"/>
      <c r="KZ12" s="38"/>
      <c r="LA12" s="38"/>
      <c r="LB12" s="38"/>
      <c r="LC12" s="38"/>
      <c r="LD12" s="38"/>
      <c r="LE12" s="38"/>
      <c r="LF12" s="38"/>
      <c r="LG12" s="38"/>
      <c r="LH12" s="38"/>
      <c r="LI12" s="38"/>
      <c r="LJ12" s="38"/>
      <c r="LK12" s="38"/>
      <c r="LL12" s="38"/>
      <c r="LM12" s="38"/>
      <c r="LN12" s="38"/>
      <c r="LO12" s="38"/>
      <c r="LP12" s="38"/>
      <c r="LQ12" s="38"/>
      <c r="LR12" s="38"/>
      <c r="LS12" s="38"/>
      <c r="LT12" s="38"/>
      <c r="LU12" s="38"/>
      <c r="LV12" s="38"/>
      <c r="LW12" s="38"/>
      <c r="LX12" s="38"/>
      <c r="LY12" s="38"/>
      <c r="LZ12" s="38"/>
      <c r="MA12" s="38"/>
      <c r="MB12" s="38"/>
      <c r="MC12" s="38"/>
      <c r="MD12" s="38"/>
      <c r="ME12" s="38"/>
      <c r="MF12" s="38"/>
      <c r="MG12" s="38"/>
      <c r="MH12" s="43">
        <f t="shared" si="58"/>
        <v>0</v>
      </c>
      <c r="MI12" s="43" t="str">
        <f t="shared" si="59"/>
        <v/>
      </c>
      <c r="MJ12" s="43" t="str">
        <f t="shared" si="60"/>
        <v/>
      </c>
      <c r="MK12" s="43">
        <f t="shared" si="61"/>
        <v>0</v>
      </c>
      <c r="ML1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4</v>
      </c>
      <c r="MM12" s="43">
        <f t="shared" si="62"/>
        <v>9.2999999999997929</v>
      </c>
      <c r="MN12" s="43">
        <f t="shared" si="63"/>
        <v>9</v>
      </c>
      <c r="MO12" s="43">
        <f t="shared" si="64"/>
        <v>2022</v>
      </c>
      <c r="MP12" s="43" t="str">
        <f t="shared" si="65"/>
        <v>III TRIMESTRE AÑO</v>
      </c>
      <c r="MQ12" s="43">
        <f t="shared" si="66"/>
        <v>41.598226018396844</v>
      </c>
      <c r="MR12" s="43">
        <f t="shared" si="67"/>
        <v>2</v>
      </c>
      <c r="MS12" s="43" t="str">
        <f t="shared" si="68"/>
        <v xml:space="preserve"> DE 40 Y MAS</v>
      </c>
      <c r="MT12" s="43">
        <f t="shared" si="69"/>
        <v>0</v>
      </c>
      <c r="MU12" s="43">
        <f t="shared" si="70"/>
        <v>0</v>
      </c>
      <c r="MV12" s="43">
        <f t="shared" si="71"/>
        <v>0</v>
      </c>
      <c r="MW12" s="43">
        <f t="shared" si="72"/>
        <v>0</v>
      </c>
      <c r="MX12" s="43" t="str">
        <f t="shared" si="73"/>
        <v/>
      </c>
      <c r="MY12" s="43" t="str">
        <f t="shared" ca="1" si="74"/>
        <v/>
      </c>
      <c r="MZ12" s="43" t="str">
        <f t="shared" si="75"/>
        <v/>
      </c>
      <c r="NA12" s="43">
        <f t="shared" si="76"/>
        <v>0</v>
      </c>
      <c r="NB12" s="43" t="str">
        <f t="shared" si="77"/>
        <v/>
      </c>
      <c r="NC12" s="43" t="str">
        <f t="shared" si="78"/>
        <v/>
      </c>
      <c r="ND12" s="43">
        <f t="shared" ca="1" si="79"/>
        <v>2</v>
      </c>
      <c r="NE12" s="43">
        <f>IF(OR(O12&gt;0,R12&gt;0),SUM(COUNTIF(Tabla1[[#This Row],[AÑOS AL INICIO5 CPN]],"&gt;=40"),COUNTIF(AS12,"0"),COUNTIF(AR12,"SI"),COUNTIF(CC12,"SI"),COUNTIF(BQ12,"&gt;119"),COUNTIF(CI12,"&gt;=35")),"")</f>
        <v>2</v>
      </c>
      <c r="NF12" s="43">
        <f t="shared" si="80"/>
        <v>21.442857142856933</v>
      </c>
      <c r="NG12" s="43">
        <f t="shared" si="81"/>
        <v>0</v>
      </c>
      <c r="NH12" s="43">
        <f t="shared" si="82"/>
        <v>93.100000000000009</v>
      </c>
      <c r="NI12"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CPN",P12="NO"),"Z",IF(AND(Tabla1[[#This Row],[CITA PROXIMO CONTROL]]="CITA MANUAL",Tabla1[[#This Row],[GESTANTES ACTUALES]]="ACTIVA INGRESO A CPN"),"W",IF(AND(Tabla1[[#This Row],[GESTANTES ACTUALES]]="SALIO PROGRAMA",IN12=""),"S",IF(AND(Tabla1[[#This Row],[CITA PROXIMO CONTROL]]&gt;0,IN12=""),(Tabla1[[#This Row],[CITA PROXIMO CONTROL]]-TODAY()),"SD"))))))))</f>
        <v>SD</v>
      </c>
      <c r="NJ12" s="43">
        <f>MONTH(Tabla1[[#This Row],[FECHA DE SALIDA  DEL PROGRAMA]])</f>
        <v>4</v>
      </c>
      <c r="NK12" s="43">
        <f>YEAR(Tabla1[[#This Row],[FECHA DE SALIDA  DEL PROGRAMA]])</f>
        <v>2023</v>
      </c>
      <c r="NL12" s="43">
        <f t="shared" si="83"/>
        <v>22</v>
      </c>
      <c r="NM12" s="43" t="str">
        <f t="shared" si="84"/>
        <v>NO</v>
      </c>
      <c r="NN12" s="43" t="str">
        <f ca="1">IF(AND(O12&gt;0,R12=""),"NO CPN",IF(AND(O12="",R12=""),"",IF(AND(R12&gt;0,Tabla1[[#This Row],[SEMANAS DE GESTACION ACTUALIZADAS]]&lt;=12),"NO APLICA",IF(AND(FH12&lt;&gt;"",FN12&lt;&gt;""),"SI","NO"))))</f>
        <v>NO</v>
      </c>
      <c r="NO12" s="43" t="str">
        <f ca="1">IF(AND(O12&gt;0,R12=""),"NO CPN",IF(AND(O12="",R12=""),"",IF(AND(R12&gt;0,Tabla1[[#This Row],[SEMANAS DE GESTACION ACTUALIZADAS]]&lt;=27),"NO APLICA",IF(AND(ES12&lt;&gt;"",FQ12&lt;&gt;"",GF12&lt;&gt;""),"SI","NO"))))</f>
        <v>NO</v>
      </c>
      <c r="NP12" s="204" t="str">
        <f t="shared" si="85"/>
        <v>I TRIM</v>
      </c>
      <c r="NQ12" s="21">
        <f t="shared" si="86"/>
        <v>8</v>
      </c>
      <c r="NR12" s="21">
        <f t="shared" si="87"/>
        <v>3</v>
      </c>
      <c r="NS12" s="205">
        <f t="shared" ca="1" si="88"/>
        <v>2</v>
      </c>
      <c r="NT12" s="21">
        <f t="shared" ca="1" si="89"/>
        <v>2</v>
      </c>
      <c r="NU12" s="21" t="str">
        <f t="shared" ca="1" si="90"/>
        <v>INCOMPLETO</v>
      </c>
      <c r="NV12" s="21" t="str">
        <f t="shared" ca="1" si="91"/>
        <v>INCOMPLETO</v>
      </c>
      <c r="NW12" s="206" t="str">
        <f>IF(AND(O12="",R12=""),"",IF(OR(AND(Tabla1[[#This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2" s="207" t="str">
        <f t="shared" ca="1" si="92"/>
        <v>VACUNADA</v>
      </c>
      <c r="NY12" s="43">
        <f>ROW(Tabla1[[#This Row],['# DE TAMIZAJES SIFILIS TOMADOS ]])</f>
        <v>12</v>
      </c>
      <c r="NZ12" s="43" t="str">
        <f t="shared" si="93"/>
        <v>Menor</v>
      </c>
      <c r="OA12" s="43" t="str">
        <f t="shared" si="94"/>
        <v>SOBREPESO</v>
      </c>
      <c r="OB12" s="43" t="str">
        <f t="shared" si="95"/>
        <v/>
      </c>
      <c r="OC12" s="43" t="str">
        <f t="shared" si="96"/>
        <v/>
      </c>
      <c r="OD12" s="43" t="str">
        <f t="shared" si="97"/>
        <v/>
      </c>
      <c r="OE12" s="43" t="str">
        <f t="shared" si="98"/>
        <v/>
      </c>
      <c r="OF12" s="43" t="str">
        <f t="shared" si="99"/>
        <v/>
      </c>
      <c r="OG12" s="43" t="str">
        <f t="shared" si="100"/>
        <v/>
      </c>
      <c r="OH12" s="43" t="str">
        <f t="shared" si="101"/>
        <v/>
      </c>
      <c r="OI12" s="43" t="str">
        <f t="shared" si="102"/>
        <v/>
      </c>
      <c r="OJ12" s="43" t="str">
        <f t="shared" si="103"/>
        <v/>
      </c>
      <c r="OK12" s="43" t="str">
        <f t="shared" si="104"/>
        <v/>
      </c>
      <c r="OL12" s="43" t="str">
        <f t="shared" si="105"/>
        <v/>
      </c>
      <c r="OM12" s="43" t="str">
        <f t="shared" si="106"/>
        <v/>
      </c>
      <c r="ON12" s="43" t="str">
        <f t="shared" si="107"/>
        <v/>
      </c>
      <c r="OO12" s="43" t="str">
        <f t="shared" si="108"/>
        <v/>
      </c>
      <c r="OP12" s="43" t="str">
        <f t="shared" si="109"/>
        <v/>
      </c>
      <c r="OQ12" s="43" t="str">
        <f t="shared" si="110"/>
        <v/>
      </c>
      <c r="OR12" s="43" t="str">
        <f t="shared" si="111"/>
        <v/>
      </c>
      <c r="OS12" s="43" t="str">
        <f t="shared" si="112"/>
        <v/>
      </c>
      <c r="OT12" s="43" t="str">
        <f t="shared" si="113"/>
        <v/>
      </c>
      <c r="OU12" s="43" t="str">
        <f t="shared" si="114"/>
        <v/>
      </c>
      <c r="OV12" s="110" t="str">
        <f t="shared" si="115"/>
        <v/>
      </c>
      <c r="OW12" s="43" t="str">
        <f t="shared" si="116"/>
        <v/>
      </c>
      <c r="OX12" s="43" t="str">
        <f t="shared" si="117"/>
        <v/>
      </c>
      <c r="OY12" s="43" t="str">
        <f t="shared" si="118"/>
        <v/>
      </c>
      <c r="OZ12" s="43" t="str">
        <f t="shared" si="119"/>
        <v/>
      </c>
      <c r="PA12" s="43" t="str">
        <f t="shared" si="120"/>
        <v/>
      </c>
      <c r="PB12" s="43" t="str">
        <f t="shared" si="121"/>
        <v/>
      </c>
      <c r="PC12" s="43" t="str">
        <f t="shared" si="122"/>
        <v/>
      </c>
      <c r="PD12" s="43" t="str">
        <f t="shared" si="123"/>
        <v/>
      </c>
      <c r="PE12" s="43" t="str">
        <f t="shared" si="124"/>
        <v/>
      </c>
      <c r="PF12" s="43" t="str">
        <f t="shared" si="125"/>
        <v/>
      </c>
      <c r="PG12" s="43" t="str">
        <f t="shared" si="126"/>
        <v/>
      </c>
      <c r="PH12" s="43" t="str">
        <f t="shared" si="127"/>
        <v/>
      </c>
      <c r="PI12" s="43">
        <f t="shared" si="128"/>
        <v>27</v>
      </c>
      <c r="PJ12" s="43" t="str">
        <f t="shared" si="129"/>
        <v/>
      </c>
      <c r="PK12" s="43" t="str">
        <f t="shared" si="130"/>
        <v/>
      </c>
      <c r="PL12" s="43" t="str">
        <f t="shared" si="131"/>
        <v/>
      </c>
      <c r="PM12" s="43" t="str">
        <f t="shared" si="132"/>
        <v/>
      </c>
      <c r="PN12" s="43" t="str">
        <f t="shared" si="133"/>
        <v/>
      </c>
      <c r="PO12" s="43" t="str">
        <f t="shared" si="134"/>
        <v/>
      </c>
      <c r="PP12" s="43" t="str">
        <f t="shared" si="135"/>
        <v/>
      </c>
      <c r="PQ12" s="43" t="str">
        <f t="shared" si="136"/>
        <v/>
      </c>
      <c r="PR12" s="43" t="str">
        <f t="shared" si="137"/>
        <v/>
      </c>
      <c r="PS12" s="43" t="str">
        <f t="shared" si="138"/>
        <v/>
      </c>
      <c r="PT12" s="43" t="str">
        <f t="shared" si="139"/>
        <v/>
      </c>
      <c r="PU12" s="43" t="str">
        <f t="shared" si="140"/>
        <v/>
      </c>
      <c r="PV12" s="43" t="str">
        <f t="shared" si="141"/>
        <v/>
      </c>
      <c r="PW12" s="43" t="str">
        <f t="shared" si="142"/>
        <v/>
      </c>
      <c r="PX12" s="43" t="str">
        <f t="shared" si="143"/>
        <v/>
      </c>
      <c r="PY12" s="43" t="str">
        <f t="shared" si="144"/>
        <v/>
      </c>
      <c r="PZ12" s="43" t="str">
        <f t="shared" si="145"/>
        <v/>
      </c>
      <c r="QA12" s="43" t="str">
        <f t="shared" si="146"/>
        <v/>
      </c>
      <c r="QB12" s="43" t="str">
        <f t="shared" si="147"/>
        <v/>
      </c>
      <c r="QC12" s="43" t="str">
        <f t="shared" si="148"/>
        <v/>
      </c>
      <c r="QD12" s="43" t="str">
        <f t="shared" si="149"/>
        <v/>
      </c>
      <c r="QE12" s="43" t="str">
        <f t="shared" si="150"/>
        <v/>
      </c>
      <c r="QF12" s="43" t="str">
        <f t="shared" si="151"/>
        <v/>
      </c>
      <c r="QG12" s="43" t="str">
        <f t="shared" si="152"/>
        <v/>
      </c>
      <c r="QH12" s="43" t="str">
        <f t="shared" si="153"/>
        <v/>
      </c>
      <c r="QI12" s="43" t="str">
        <f t="shared" si="154"/>
        <v/>
      </c>
      <c r="QJ12" s="43" t="str">
        <f t="shared" si="155"/>
        <v/>
      </c>
      <c r="QK12" s="43" t="str">
        <f t="shared" si="156"/>
        <v/>
      </c>
      <c r="QL12" s="43" t="str">
        <f t="shared" si="157"/>
        <v/>
      </c>
      <c r="QM12" s="43" t="str">
        <f t="shared" si="158"/>
        <v/>
      </c>
      <c r="QN12" s="43" t="str">
        <f t="shared" si="159"/>
        <v/>
      </c>
      <c r="QO12" s="43" t="str">
        <f t="shared" si="160"/>
        <v/>
      </c>
      <c r="QP12" s="43" t="str">
        <f t="shared" si="161"/>
        <v/>
      </c>
      <c r="QQ12" s="43" t="str">
        <f t="shared" si="162"/>
        <v/>
      </c>
      <c r="QR12" s="43">
        <f t="shared" si="192"/>
        <v>27</v>
      </c>
      <c r="QS12" s="43"/>
      <c r="QT12" s="21" t="str">
        <f t="shared" si="163"/>
        <v/>
      </c>
      <c r="QU12" s="21" t="str">
        <f t="shared" si="164"/>
        <v/>
      </c>
      <c r="QV12" s="21" t="str">
        <f t="shared" si="165"/>
        <v/>
      </c>
      <c r="QW12" s="21" t="str">
        <f t="shared" si="166"/>
        <v/>
      </c>
      <c r="QX12" s="21" t="str">
        <f t="shared" si="167"/>
        <v/>
      </c>
      <c r="QY12" s="21" t="str">
        <f t="shared" si="168"/>
        <v/>
      </c>
      <c r="QZ12" s="21" t="str">
        <f t="shared" si="169"/>
        <v/>
      </c>
      <c r="RA12" s="21" t="str">
        <f t="shared" si="170"/>
        <v/>
      </c>
      <c r="RB12" s="21" t="str">
        <f t="shared" si="171"/>
        <v/>
      </c>
      <c r="RC12" s="21" t="str">
        <f t="shared" si="172"/>
        <v/>
      </c>
      <c r="RD12" s="21" t="str">
        <f t="shared" si="173"/>
        <v/>
      </c>
      <c r="RE12" s="21" t="str">
        <f t="shared" si="174"/>
        <v/>
      </c>
      <c r="RF12" s="21" t="str">
        <f t="shared" si="175"/>
        <v/>
      </c>
      <c r="RG12" s="21" t="str">
        <f t="shared" si="176"/>
        <v/>
      </c>
      <c r="RH12" s="21" t="str">
        <f t="shared" si="177"/>
        <v/>
      </c>
      <c r="RI12" s="21" t="str">
        <f t="shared" si="178"/>
        <v/>
      </c>
      <c r="RJ12" s="21" t="str">
        <f t="shared" si="179"/>
        <v/>
      </c>
      <c r="RK12" s="21" t="str">
        <f t="shared" si="180"/>
        <v/>
      </c>
      <c r="RL12" s="21" t="str">
        <f t="shared" si="181"/>
        <v/>
      </c>
      <c r="RM12" s="21" t="str">
        <f t="shared" si="182"/>
        <v/>
      </c>
      <c r="RN12" s="21" t="str">
        <f t="shared" si="183"/>
        <v/>
      </c>
      <c r="RO12" s="21" t="str">
        <f t="shared" si="184"/>
        <v/>
      </c>
      <c r="RP12" s="21" t="str">
        <f t="shared" si="185"/>
        <v/>
      </c>
      <c r="RQ12" s="21" t="str">
        <f t="shared" si="186"/>
        <v/>
      </c>
      <c r="RR12" s="21" t="str">
        <f t="shared" si="187"/>
        <v/>
      </c>
      <c r="RS12" s="21" t="str">
        <f t="shared" si="188"/>
        <v/>
      </c>
      <c r="RT12" s="21" t="str">
        <f t="shared" si="189"/>
        <v/>
      </c>
      <c r="RU12" s="21" t="str">
        <f t="shared" si="190"/>
        <v/>
      </c>
      <c r="RV12" s="21">
        <f t="shared" si="191"/>
        <v>14.871428571428364</v>
      </c>
      <c r="RW12" s="284">
        <f>IF(OR(Tabla1[[#This Row],[FUM FORMULA CONFIABLE]]="",Tabla1[[#This Row],[FUM FORMULA CONFIABLE]]="SD"),"",IF(Tabla1[[#This Row],[FUM FORMULA CONFIABLE]]="CORREGIDA",Tabla1[[#This Row],[FUM X ECO 1]],Tabla1[[#This Row],[FUM x AMENORREA]]))</f>
        <v>44740.9</v>
      </c>
      <c r="RX12" s="21">
        <f>IF(AND(Tabla1[[#This Row],[FUM X ECO 1]]="",Tabla1[[#This Row],[FUM x AMENORREA]]=""),"",IF(AND(Tabla1[[#This Row],[FUM X ECO 1]]="",Tabla1[[#This Row],[FUM x AMENORREA]]&lt;&gt;""),"X",SUM(Tabla1[[#This Row],[FUM X ECO 1]]-Tabla1[[#This Row],[FUM x AMENORREA]])))</f>
        <v>-9.0999999999985448</v>
      </c>
      <c r="RY12" s="21">
        <f t="shared" si="193"/>
        <v>1</v>
      </c>
    </row>
    <row r="13" spans="1:493" ht="45" customHeight="1" x14ac:dyDescent="0.25">
      <c r="A13" s="109"/>
      <c r="B13" s="43" t="s">
        <v>927</v>
      </c>
      <c r="C13" s="43" t="s">
        <v>845</v>
      </c>
      <c r="D13" s="124" t="s">
        <v>846</v>
      </c>
      <c r="E13" s="43" t="s">
        <v>928</v>
      </c>
      <c r="F13" s="43" t="s">
        <v>929</v>
      </c>
      <c r="G13" s="43" t="s">
        <v>930</v>
      </c>
      <c r="H13" s="43" t="s">
        <v>931</v>
      </c>
      <c r="I13" s="109" t="s">
        <v>851</v>
      </c>
      <c r="J13" s="110">
        <v>1002847209</v>
      </c>
      <c r="K13" s="43" t="s">
        <v>932</v>
      </c>
      <c r="L13" s="175" t="s">
        <v>853</v>
      </c>
      <c r="M13" s="22">
        <v>35188</v>
      </c>
      <c r="N13" s="213">
        <f t="shared" ca="1" si="0"/>
        <v>27.517808219178082</v>
      </c>
      <c r="O13" s="22">
        <v>44796</v>
      </c>
      <c r="P13" s="214" t="str">
        <f t="shared" si="1"/>
        <v>SI</v>
      </c>
      <c r="Q13" s="26" t="s">
        <v>855</v>
      </c>
      <c r="R13" s="22">
        <v>44814</v>
      </c>
      <c r="S13" s="21" t="s">
        <v>856</v>
      </c>
      <c r="T13" s="24" t="s">
        <v>690</v>
      </c>
      <c r="U13" s="21" t="s">
        <v>857</v>
      </c>
      <c r="V13" s="21" t="s">
        <v>858</v>
      </c>
      <c r="W13" s="21" t="s">
        <v>933</v>
      </c>
      <c r="X13" s="21" t="s">
        <v>933</v>
      </c>
      <c r="Y13" s="21" t="s">
        <v>859</v>
      </c>
      <c r="Z13" s="21" t="s">
        <v>894</v>
      </c>
      <c r="AA13" s="21" t="s">
        <v>860</v>
      </c>
      <c r="AB13" s="27" t="s">
        <v>861</v>
      </c>
      <c r="AC13" s="26" t="s">
        <v>888</v>
      </c>
      <c r="AD13" s="38" t="s">
        <v>846</v>
      </c>
      <c r="AE13" s="26" t="s">
        <v>864</v>
      </c>
      <c r="AF13" s="26" t="s">
        <v>854</v>
      </c>
      <c r="AG13" s="23" t="s">
        <v>864</v>
      </c>
      <c r="AH13" s="23" t="s">
        <v>864</v>
      </c>
      <c r="AI13" s="24" t="s">
        <v>863</v>
      </c>
      <c r="AJ13" s="23" t="s">
        <v>864</v>
      </c>
      <c r="AK13" s="220" t="str">
        <f>IF(AND(AD13="",AE13="",AF13="",AG13="",AH13="",AI13="",AJ13=""),"",IF(OR(Tabla1[[#This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EVALUACIÓN",IF(AND(O13="",R13=""),"",IF(AND(OR(O13&gt;0,R13&gt;0),NG13&gt;=0,NG13&lt;2),"SIN RIESGO",IF(AND(OR(O13&gt;0,R13&gt;0),NG13&gt;=2),"CON RIESGO","ASD")))))</f>
        <v>SIN RIESGO</v>
      </c>
      <c r="AL13" s="23" t="s">
        <v>864</v>
      </c>
      <c r="AM13" s="26" t="s">
        <v>864</v>
      </c>
      <c r="AN13" s="26" t="s">
        <v>864</v>
      </c>
      <c r="AO13" s="26" t="s">
        <v>864</v>
      </c>
      <c r="AP13" s="26" t="s">
        <v>864</v>
      </c>
      <c r="AQ13" s="26" t="s">
        <v>864</v>
      </c>
      <c r="AR13" s="26" t="s">
        <v>864</v>
      </c>
      <c r="AS13" s="21">
        <v>2</v>
      </c>
      <c r="AT13" s="21">
        <v>2</v>
      </c>
      <c r="AU13" s="21">
        <v>0</v>
      </c>
      <c r="AV13" s="26" t="s">
        <v>864</v>
      </c>
      <c r="AW13" s="21">
        <v>0</v>
      </c>
      <c r="AX13" s="26" t="s">
        <v>864</v>
      </c>
      <c r="AY13" s="26" t="s">
        <v>864</v>
      </c>
      <c r="AZ13" s="26" t="s">
        <v>864</v>
      </c>
      <c r="BA13" s="26" t="s">
        <v>864</v>
      </c>
      <c r="BB13" s="26" t="s">
        <v>864</v>
      </c>
      <c r="BC13" s="26" t="s">
        <v>864</v>
      </c>
      <c r="BD13" s="26" t="s">
        <v>864</v>
      </c>
      <c r="BE13" s="26" t="s">
        <v>864</v>
      </c>
      <c r="BF13" s="26" t="s">
        <v>864</v>
      </c>
      <c r="BG13" s="26" t="s">
        <v>864</v>
      </c>
      <c r="BH13" s="26"/>
      <c r="BI13" s="26" t="s">
        <v>864</v>
      </c>
      <c r="BJ13" s="26"/>
      <c r="BK13" s="26"/>
      <c r="BL13" s="26"/>
      <c r="BM13" s="26" t="s">
        <v>864</v>
      </c>
      <c r="BN13" s="22">
        <v>44144</v>
      </c>
      <c r="BO13" s="22">
        <v>44719</v>
      </c>
      <c r="BP13" s="21" t="s">
        <v>854</v>
      </c>
      <c r="BQ13" s="222">
        <f t="shared" si="2"/>
        <v>19.166666666666668</v>
      </c>
      <c r="BR13" s="223">
        <f t="shared" si="3"/>
        <v>44719.9</v>
      </c>
      <c r="BS13" s="224">
        <f t="shared" si="4"/>
        <v>13.571428571428571</v>
      </c>
      <c r="BT13" s="216" t="str">
        <f t="shared" si="5"/>
        <v>II TRIM</v>
      </c>
      <c r="BU13" s="214" t="str">
        <f t="shared" ca="1" si="6"/>
        <v/>
      </c>
      <c r="BV13" s="25"/>
      <c r="BW13" s="22">
        <v>44834</v>
      </c>
      <c r="BX13" s="28">
        <v>16.3</v>
      </c>
      <c r="BY13" s="28"/>
      <c r="BZ13" s="22">
        <v>44995</v>
      </c>
      <c r="CA13" s="21"/>
      <c r="CB13" s="26"/>
      <c r="CC13" s="26" t="s">
        <v>854</v>
      </c>
      <c r="CD13" s="26" t="s">
        <v>878</v>
      </c>
      <c r="CE13" s="26" t="s">
        <v>864</v>
      </c>
      <c r="CF13" s="22">
        <v>44814</v>
      </c>
      <c r="CG13" s="21">
        <v>1.57</v>
      </c>
      <c r="CH13" s="21" t="s">
        <v>934</v>
      </c>
      <c r="CI13" s="214">
        <f t="shared" si="7"/>
        <v>0</v>
      </c>
      <c r="CJ13" s="225" t="str">
        <f>IF(AND(CI13&lt;10,CH13="SD"),"SIN DATO PESO PREGESTACION O I TRIM",IF(AND(OR(R13&gt;0,O13&gt;0),CI13="X"),"INGRESAR DATO DE PESO",IF(CI13="SD","INGRESAR DATO DE TALLA Y PESO",IF(AND(OR(Tabla1[[#This Row],[MOMENTO EN QUE SE REALIZA EL PESO AL INGRESO A CPN]]="PREGESTACIÓN",NZ13="Menor"),CI13&lt;18.5),"BAJO PESO",IF(AND(OR(Tabla1[[#This Row],[MOMENTO EN QUE SE REALIZA EL PESO AL INGRESO A CPN]]="PREGESTACIÓN",NZ13="Menor"),CI13&lt;25),"NORMAL",IF(AND(OR(Tabla1[[#This Row],[MOMENTO EN QUE SE REALIZA EL PESO AL INGRESO A CPN]]="PREGESTACIÓN",NZ13="Menor"),CI13&lt;30),"SOBREPESO",IF(AND(OR(Tabla1[[#This Row],[MOMENTO EN QUE SE REALIZA EL PESO AL INGRESO A CPN]]="PREGESTACIÓN",NZ13="Menor"),CI13&gt;=30,CI13&lt;50),"OBESIDAD",IF(AND(BS13&gt;0,Tabla1[[#This Row],[MOMENTO EN QUE SE REALIZA EL PESO AL INGRESO A CPN]]="GESTACIÓN"),HLOOKUP(NZ13,$OA$2:PH13,NY13),""))))))))</f>
        <v/>
      </c>
      <c r="CK13" s="212">
        <f t="shared" si="8"/>
        <v>44980</v>
      </c>
      <c r="CL13" s="21"/>
      <c r="CM13" s="214">
        <f t="shared" si="9"/>
        <v>0</v>
      </c>
      <c r="CN13" s="216">
        <f t="shared" si="10"/>
        <v>37</v>
      </c>
      <c r="CO13" s="216" t="e">
        <f>IF(PI13="","",IF(PI13&gt;0,HLOOKUP(PI13,$PJ$2:QQ13,NY13),""))</f>
        <v>#REF!</v>
      </c>
      <c r="CP13" s="21"/>
      <c r="CQ13" s="216" t="str">
        <f>IF(QR13="Menor","NO APLICA-MENOR 13 SEM",IF(AND(CC13="SI",CN13&gt;23),"NO APLICA- GEMELAR",IF(QR13="","",IF(QR13&gt;0,HLOOKUP(QR13,$QS$2:RU13,NY13),""))))</f>
        <v>NO APLICA- GEMELAR</v>
      </c>
      <c r="CR13" s="21">
        <v>120</v>
      </c>
      <c r="CS13" s="21">
        <v>60</v>
      </c>
      <c r="CT13" s="217" t="str">
        <f>IF(R13="","",IF(AND(BS13&gt;1,BS13&lt;12,Tabla1[[#This Row],[T.A. SISTOLICA - ANTES DE SEMANA 12]]="",Tabla1[[#This Row],[T.A. DIASTOLICA - ANTES DE SEMANA 12]]=""),"REGISTRE DATO TA ANTES SEMANA 12",IF(AND(BS13&gt;11,BS13&lt;43,Tabla1[[#This Row],[T.A. SISTOLICA - ANTES DE SEMANA 12]]="",Tabla1[[#This Row],[T.A. DIASTOLICA - ANTES DE SEMANA 12]]=""),"NO APLICA REGISTRO TA-INGRESO TARDIO",IF(AND(OR(O13&gt;0,R13&gt;0),OR(CR13&gt;=140,CS13&gt;=90)),"DEFINIR ESTADIO HTA",IF(AND(OR(O13&gt;0,R13&gt;0),AND(CR13&gt;120,CR13&lt;=139)),"PRE HTA SEGUIMIENTO",IF(AND(OR(O13&gt;0,R13&gt;0),AND(CS13&gt;80,CS13&lt;=89)),"PRE HTA SEGUIMIENTO",IF(AND(OR(O13&gt;0,R13&gt;0),AND(CR13&gt;=80,CR13&lt;=120)),"APARENTEMENTE NORMAL",IF(AND(OR(O13&gt;0,R13&gt;0),AND(CS13&gt;=50,CS13&lt;=80)),"APARENTEMENTE NORMAL",IF(AND(OR(O13&gt;0,R13&gt;0),AND(CR13&gt;1,CR13&lt;=70),AND(CS13&gt;1,CS13&lt;=40)),"HIPOTENSIÓN","")))))))))</f>
        <v>APARENTEMENTE NORMAL</v>
      </c>
      <c r="CU13" s="21">
        <v>90</v>
      </c>
      <c r="CV13" s="21">
        <v>60</v>
      </c>
      <c r="CW13" s="217" t="str">
        <f ca="1">IF(R13="","",IF(AND(CN13&gt;19,CN13&lt;27,Tabla1[[#This Row],[T.A. SISTOLICA (Entre semana 20 y 26)]]="",Tabla1[[#This Row],[T.A. DIATOLICA (Entre semana 20 y 26)]]=""),"ACUDE A CONTROL SEM 20 A 26 REGISTRE TA AHORA",IF(AND(BS13&gt;1,BS13&lt;27,BU13&gt;19,Tabla1[[#This Row],[T.A. SISTOLICA (Entre semana 20 y 26)]]="",Tabla1[[#This Row],[T.A. DIATOLICA (Entre semana 20 y 26)]]=""),"COMPLETE REGISTRO TA CONTROL SEM 20 A26 ",IF(AND(BS13&gt;26,BS13&lt;43,Tabla1[[#This Row],[T.A. SISTOLICA (Entre semana 20 y 26)]]="",Tabla1[[#This Row],[T.A. DIATOLICA (Entre semana 20 y 26)]]=""),"NO APLICA REGISTRO TA-INGRESO TARDIO",IF(AND(OR(O13&gt;0,R13&gt;0),OR(CU13&gt;=140,CV13&gt;=90)),"ALTO RIESGO PREECLAMPSIA,DEFINIR ESTADIO HTA",IF(AND(OR(O13&gt;0,R13&gt;0),AND(CU13&gt;120,CU13&lt;=139)),"PRE HTA SEGUIMIENTO,RIESGO HIPERTENSION INDUCIDA POR EL EMBARAZO",IF(AND(OR(O13&gt;0,R13&gt;0),AND(CV13&gt;80,CV13&lt;=89)),"PRE HTA SEGUIMIENTO, RIESGO HIPERTENSION INDUCIDA POR EL EMBARAZO",IF(AND(OR(O13&lt;&gt;"",R13&lt;&gt;""),CS13&lt;&gt;"",CV13&lt;&gt;"",CS13&lt;=CV13),"VIGILAR CIFRAS PRESION ARTERIAL",IF(AND(OR(O13&gt;0,R13&gt;0),AND(CU13&gt;120,CU13&lt;=139)),"PRE HTA SEGUIMIENTO",IF(AND(OR(O13&gt;0,R13&gt;0),AND(CU13&gt;1,CU13&lt;=70),AND(CV13&gt;1,CV13&lt;=40)),"HIPOTENSIÓN",IF(AND(OR(O13&lt;&gt;"",R13&lt;&gt;""),CS13&lt;&gt;"",CV13&lt;&gt;"",CS13&gt;CV13),"APARENTEMENTE NORMAL",IF(AND(OR(O13&gt;0,R13&gt;0),AND(CU13&gt;=80,CU13&lt;=120)),"APARENTEMENTE NORMAL",IF(AND(OR(O13&gt;0,R13&gt;0),AND(CV13&gt;=50,CV13&lt;=80)),"APARENTEMENTE NORMAL","")))))))))))))</f>
        <v>VIGILAR CIFRAS PRESION ARTERIAL</v>
      </c>
      <c r="CX13" s="21"/>
      <c r="CY13" s="21"/>
      <c r="CZ13" s="216" t="str">
        <f t="shared" si="11"/>
        <v/>
      </c>
      <c r="DA13" s="21"/>
      <c r="DB13" s="21"/>
      <c r="DC13" s="217" t="str">
        <f t="shared" si="12"/>
        <v>REGISTRE DATO PRESIÓN ARTERIAL MENSUAL</v>
      </c>
      <c r="DD13" s="22">
        <v>44814</v>
      </c>
      <c r="DE13" s="22">
        <v>44814</v>
      </c>
      <c r="DF13" s="22">
        <v>44879</v>
      </c>
      <c r="DG13" s="22">
        <v>44911</v>
      </c>
      <c r="DH13" s="22">
        <v>44980</v>
      </c>
      <c r="DI13" s="22"/>
      <c r="DJ13" s="22"/>
      <c r="DK13" s="22"/>
      <c r="DL13" s="22"/>
      <c r="DM13" s="22"/>
      <c r="DN13" s="22"/>
      <c r="DO13" s="22"/>
      <c r="DP13" s="22"/>
      <c r="DQ13" s="22"/>
      <c r="DR13" s="28">
        <v>1</v>
      </c>
      <c r="DS13" s="22"/>
      <c r="DT13" s="22"/>
      <c r="DU13" s="216" t="str">
        <f t="shared" ca="1" si="13"/>
        <v>SALE SIN PLAN DE PARTO</v>
      </c>
      <c r="DV13" s="226" t="str">
        <f t="shared" si="14"/>
        <v>SALIO PROGRAMA</v>
      </c>
      <c r="DW13"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3" s="216" t="str">
        <f t="shared" ca="1" si="15"/>
        <v/>
      </c>
      <c r="DY13" s="212">
        <f>IF(R13="","",IF(R13&gt;0,MAX(Tabla1[[#This Row],[FECHA C2]:[FECHA C13]],Tabla1[[#This Row],[FECHA CONSULTA PRIMERA VEZ PROGRAMA CPN ]])))</f>
        <v>44980</v>
      </c>
      <c r="DZ13" s="216">
        <f t="shared" si="16"/>
        <v>37</v>
      </c>
      <c r="EA13" s="222">
        <f>IF(R13&gt;0,SUM(COUNTA(DF13:DQ13)+COUNTA(Tabla1[[#This Row],[FECHA CONSULTA PRIMERA VEZ PROGRAMA CPN ]])),"")</f>
        <v>4</v>
      </c>
      <c r="EB13" s="222" t="str">
        <f t="shared" si="17"/>
        <v>SI</v>
      </c>
      <c r="EC13" s="214">
        <f t="shared" si="18"/>
        <v>8</v>
      </c>
      <c r="ED13" s="227">
        <f t="shared" si="19"/>
        <v>0.5</v>
      </c>
      <c r="EE13" s="22">
        <v>44813</v>
      </c>
      <c r="EF13" s="22">
        <v>44813</v>
      </c>
      <c r="EG13" s="22">
        <v>44813</v>
      </c>
      <c r="EH13" s="22">
        <v>44814</v>
      </c>
      <c r="EI13" s="22">
        <v>44813</v>
      </c>
      <c r="EJ13" s="22">
        <v>44814</v>
      </c>
      <c r="EK13" s="22">
        <v>44814</v>
      </c>
      <c r="EL13" s="21">
        <v>1</v>
      </c>
      <c r="EM13" s="21">
        <v>16.3</v>
      </c>
      <c r="EN13" s="22">
        <v>44814</v>
      </c>
      <c r="EO13" s="222">
        <f t="shared" si="20"/>
        <v>13.571428571428571</v>
      </c>
      <c r="EP13" s="214" t="str">
        <f t="shared" si="21"/>
        <v>NO DAR SULFATO FERROSO</v>
      </c>
      <c r="EQ13" s="216" t="str">
        <f t="shared" si="22"/>
        <v>II TRIM</v>
      </c>
      <c r="ER13" s="24"/>
      <c r="ES13" s="22"/>
      <c r="ET13" s="29" t="str">
        <f t="shared" ca="1" si="23"/>
        <v>SALE SIN TAMIZAJE HEMOGLOBINA SEM 28</v>
      </c>
      <c r="EU13" s="25" t="str">
        <f t="shared" si="24"/>
        <v/>
      </c>
      <c r="EV13" s="24" t="s">
        <v>866</v>
      </c>
      <c r="EW13" s="24">
        <v>44812</v>
      </c>
      <c r="EX13" s="22"/>
      <c r="EY13" s="29">
        <f t="shared" si="25"/>
        <v>13.285714285714286</v>
      </c>
      <c r="EZ13" s="25" t="str">
        <f t="shared" ca="1" si="26"/>
        <v/>
      </c>
      <c r="FA13" s="21">
        <v>81</v>
      </c>
      <c r="FB13" s="22">
        <v>44812</v>
      </c>
      <c r="FC13" s="29">
        <f t="shared" si="27"/>
        <v>13.285714285714286</v>
      </c>
      <c r="FD13" s="29"/>
      <c r="FE13" s="29"/>
      <c r="FF13" s="29"/>
      <c r="FG13" s="21" t="str">
        <f t="shared" ca="1" si="28"/>
        <v/>
      </c>
      <c r="FH13" s="31"/>
      <c r="FI13" s="29" t="str">
        <f t="shared" si="29"/>
        <v>TOMAR EXAMEN</v>
      </c>
      <c r="FJ13" s="22" t="s">
        <v>867</v>
      </c>
      <c r="FK13" s="22"/>
      <c r="FL13" s="29" t="str">
        <f t="shared" ca="1" si="30"/>
        <v>NO APLICA-INGRESO TARDIO</v>
      </c>
      <c r="FM13" s="22" t="s">
        <v>867</v>
      </c>
      <c r="FN13" s="32">
        <v>44812</v>
      </c>
      <c r="FO13" s="29">
        <f t="shared" ca="1" si="31"/>
        <v>13.285714285714286</v>
      </c>
      <c r="FP13" s="22" t="s">
        <v>867</v>
      </c>
      <c r="FQ13" s="32">
        <v>44981</v>
      </c>
      <c r="FR13" s="29">
        <f t="shared" ca="1" si="32"/>
        <v>37.428571428571431</v>
      </c>
      <c r="FS13" s="22"/>
      <c r="FT13" s="32"/>
      <c r="FU13" s="29" t="str">
        <f>IF(AND(FJ13="",FM13="",FP13="",FS13=""),"",IF(OR(OR(Tabla1[[#This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3" s="28"/>
      <c r="FW13" s="22"/>
      <c r="FX13" s="29" t="str">
        <f t="shared" si="33"/>
        <v>TOMAR EXAMEN</v>
      </c>
      <c r="FY13" s="22">
        <v>44812</v>
      </c>
      <c r="FZ13" s="22">
        <v>44812</v>
      </c>
      <c r="GA13" s="29" t="str">
        <f t="shared" si="34"/>
        <v>REGISTRAR EN II TRIMESTRE</v>
      </c>
      <c r="GB13" s="22">
        <v>44812</v>
      </c>
      <c r="GC13" s="22">
        <v>44812</v>
      </c>
      <c r="GD13" s="29">
        <f t="shared" ca="1" si="35"/>
        <v>13.285714285714286</v>
      </c>
      <c r="GE13" s="22"/>
      <c r="GF13" s="22">
        <v>44981</v>
      </c>
      <c r="GG13" s="29">
        <f t="shared" ca="1" si="36"/>
        <v>37.428571428571431</v>
      </c>
      <c r="GH13" s="22"/>
      <c r="GI13" s="29"/>
      <c r="GJ13" s="22"/>
      <c r="GK13" s="22"/>
      <c r="GL13" s="22" t="s">
        <v>879</v>
      </c>
      <c r="GM13" s="22"/>
      <c r="GN13" s="28" t="s">
        <v>869</v>
      </c>
      <c r="GO13" s="22">
        <v>44814</v>
      </c>
      <c r="GP13" s="29">
        <f t="shared" si="37"/>
        <v>13.571428571428571</v>
      </c>
      <c r="GQ13" s="28" t="s">
        <v>880</v>
      </c>
      <c r="GR13" s="28" t="s">
        <v>869</v>
      </c>
      <c r="GS13" s="22" t="str">
        <f t="shared" si="38"/>
        <v>SE EXCLUYE INFECCION</v>
      </c>
      <c r="GT13" s="22">
        <v>44814</v>
      </c>
      <c r="GU13" s="29">
        <f t="shared" si="39"/>
        <v>13.571428571428571</v>
      </c>
      <c r="GV13" s="21" t="str">
        <f t="shared" si="40"/>
        <v>II TRIM</v>
      </c>
      <c r="GW13" s="28" t="s">
        <v>869</v>
      </c>
      <c r="GX13" s="30"/>
      <c r="GY13" s="21" t="s">
        <v>906</v>
      </c>
      <c r="GZ13" s="21"/>
      <c r="HA13" s="21"/>
      <c r="HB13" s="21"/>
      <c r="HC13" s="21"/>
      <c r="HD13" s="21"/>
      <c r="HE13" s="21"/>
      <c r="HF13" s="22"/>
      <c r="HG13" s="22" t="str">
        <f>IF(OR(O13&gt;0,R13&gt;0),CONCATENATE(IF(Tabla1[[#This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3" s="22" t="e">
        <f t="shared" si="41"/>
        <v>#REF!</v>
      </c>
      <c r="HI13" s="22" t="e">
        <f t="shared" ca="1" si="42"/>
        <v>#REF!</v>
      </c>
      <c r="HJ13" s="21" t="str">
        <f t="shared" ca="1" si="43"/>
        <v>**************EMBARAZO GEMELAR*************************</v>
      </c>
      <c r="HK13" s="21" t="str">
        <f t="shared" si="44"/>
        <v>SIN ANTECEDENTES DE RIESGO</v>
      </c>
      <c r="HL13" s="24" t="str">
        <f t="shared" si="45"/>
        <v>REGISTRE DATO PRESIÓN ARTERIAL MENSUAL</v>
      </c>
      <c r="HM13" s="21" t="str">
        <f t="shared" ca="1" si="46"/>
        <v/>
      </c>
      <c r="HN13" s="30" t="str">
        <f t="shared" si="47"/>
        <v>SALIO PROGRAMA</v>
      </c>
      <c r="HO13" s="21"/>
      <c r="HP13" s="21"/>
      <c r="HQ13" s="21">
        <v>44814</v>
      </c>
      <c r="HR13" s="21" t="str">
        <f>IF(R13="","",IF(Tabla1[[#This Row],[ALARMA FACTORES DE RIESGO COMPLICACIONES HIPERTENSIVAS3]]="SIN ANTECEDENTES DE RIESGO","No Aplica para suministro de ASA",IF(AND(Tabla1[[#This Row],[FECHA INICIO DE SUMINISTRO DE ASA]]&gt;0,RV13&lt;12),"Inicia ASA ANTES de Sem 12",IF(AND(RV13&gt;11,RV13&lt;17,OR(HK13="RIESGO ALTO DE COMPLICACIONES HIPERTENSIVAS VER MANEJO GUIA SUMINISTRO ASA Y CALCIO",HK13="RIESGO MODERADO (2 O MAS CRITERIOS) VER MANEJO GUIA SUMINISTRO ASA Y CALCIO")),"Inicio oportuno de ASA",IF(AND(RV13&gt;12,OR(HK13="RIESGO ALTO DE COMPLICACIONES HIPERTENSIVAS VER MANEJO GUIA SUMINISTRO ASA Y CALCIO",HK13="RIESGO MODERADO (2 O MAS CRITERIOS) VER MANEJO GUIA SUMINISTRO ASA Y CALCIO")),"Inicio no oportuno mayor a 16 semanas",IF(AND(BU13&lt;12,OR(HK13="RIESGO ALTO DE COMPLICACIONES HIPERTENSIVAS VER MANEJO GUIA SUMINISTRO ASA Y CALCIO",HK13="RIESGO MODERADO (2 O MAS CRITERIOS) VER MANEJO GUIA SUMINISTRO ASA Y CALCIO")),"Pendiente Inicio de ASA a la semana 12",IF(AND(BU13&gt;11,BU13&lt;17,OR(HK13="RIESGO ALTO DE COMPLICACIONES HIPERTENSIVAS VER MANEJO GUIA SUMINISTRO ASA Y CALCIO",HK13="RIESGO MODERADO (2 O MAS CRITERIOS) VER MANEJO GUIA SUMINISTRO ASA Y CALCIO")),"Iniciar de inmediato ASA",IF(AND(BU13&gt;16,OR(HK13="RIESGO ALTO DE COMPLICACIONES HIPERTENSIVAS VER MANEJO GUIA SUMINISTRO ASA Y CALCIO",HK13="RIESGO MODERADO (2 O MAS CRITERIOS) VER MANEJO GUIA SUMINISTRO ASA Y CALCIO")),"Pierde Oportunidad, Inicio tardío de ASA","XXXXX"))))))))</f>
        <v>No Aplica para suministro de ASA</v>
      </c>
      <c r="HS13" s="22">
        <v>44814</v>
      </c>
      <c r="HT13" s="22" t="s">
        <v>870</v>
      </c>
      <c r="HU13" s="22">
        <v>44814</v>
      </c>
      <c r="HV13" s="22" t="s">
        <v>935</v>
      </c>
      <c r="HW13" s="22">
        <v>44814</v>
      </c>
      <c r="HX13" s="22" t="s">
        <v>935</v>
      </c>
      <c r="HY13" s="22"/>
      <c r="HZ13" s="28" t="str">
        <f t="shared" si="48"/>
        <v>PENDIENTE CONSULTA</v>
      </c>
      <c r="IA13" s="26"/>
      <c r="IB13" s="26"/>
      <c r="IC13" s="111"/>
      <c r="ID13" s="22"/>
      <c r="IE13" s="22" t="str">
        <f t="shared" ca="1" si="49"/>
        <v>SALE SIN VACUNA</v>
      </c>
      <c r="IF13" s="22"/>
      <c r="IG13" s="22">
        <f t="shared" si="50"/>
        <v>44999</v>
      </c>
      <c r="IH13" s="29">
        <f t="shared" ca="1" si="51"/>
        <v>-233</v>
      </c>
      <c r="II13" s="22" t="str">
        <f t="shared" ca="1" si="52"/>
        <v>POSIBLEMENTE NACIO</v>
      </c>
      <c r="IJ13" s="22"/>
      <c r="IK13" s="21" t="s">
        <v>898</v>
      </c>
      <c r="IL13" s="21"/>
      <c r="IM13" s="34"/>
      <c r="IN13" s="349">
        <v>44996</v>
      </c>
      <c r="IO13" s="21" t="s">
        <v>1186</v>
      </c>
      <c r="IP13" s="29">
        <f t="shared" si="53"/>
        <v>39.571428571428569</v>
      </c>
      <c r="IQ13" s="35" t="s">
        <v>1650</v>
      </c>
      <c r="IR13" s="21" t="s">
        <v>1651</v>
      </c>
      <c r="IS13" s="21" t="s">
        <v>1646</v>
      </c>
      <c r="IT13" s="21" t="s">
        <v>1642</v>
      </c>
      <c r="IU13" s="21"/>
      <c r="IV13" s="21"/>
      <c r="IW13" s="21"/>
      <c r="IX13" s="21"/>
      <c r="IY13" s="21"/>
      <c r="IZ13" s="21"/>
      <c r="JA13" s="21"/>
      <c r="JB13" s="30">
        <v>1</v>
      </c>
      <c r="JC13" s="21" t="s">
        <v>1647</v>
      </c>
      <c r="JD13" s="36">
        <v>2740</v>
      </c>
      <c r="JE13" s="21" t="str">
        <f t="shared" si="54"/>
        <v>PESO ADECUADO EDAD GESTACIONAL</v>
      </c>
      <c r="JF13" s="30"/>
      <c r="JG13" s="21"/>
      <c r="JH13" s="21"/>
      <c r="JI13" s="21" t="s">
        <v>854</v>
      </c>
      <c r="JJ13" s="30" t="s">
        <v>866</v>
      </c>
      <c r="JK13" s="22"/>
      <c r="JL13" s="22"/>
      <c r="JM13" s="21"/>
      <c r="JN13" s="36"/>
      <c r="JO13" s="21" t="str">
        <f t="shared" si="55"/>
        <v/>
      </c>
      <c r="JP13" s="22"/>
      <c r="JQ13" s="21"/>
      <c r="JR13" s="21"/>
      <c r="JS13" s="21"/>
      <c r="JT13" s="30"/>
      <c r="JU13" s="22"/>
      <c r="JV13" s="22"/>
      <c r="JW13" s="33"/>
      <c r="JX13" s="28" t="str">
        <f t="shared" si="56"/>
        <v>INASISTENTE</v>
      </c>
      <c r="JY13" s="33"/>
      <c r="JZ13" s="28" t="str">
        <f t="shared" si="57"/>
        <v>INASISTENTE</v>
      </c>
      <c r="KA13" s="21"/>
      <c r="KB13" s="21"/>
      <c r="KC13" s="21"/>
      <c r="KD13" s="37"/>
      <c r="KE13" s="28"/>
      <c r="KF13" s="28"/>
      <c r="KG13" s="28"/>
      <c r="KH13" s="39"/>
      <c r="KI13" s="39"/>
      <c r="KJ13" s="66"/>
      <c r="KK13" s="39"/>
      <c r="KL13" s="39"/>
      <c r="KM13" s="66"/>
      <c r="KN13" s="39"/>
      <c r="KO13" s="39"/>
      <c r="KP13" s="39"/>
      <c r="KQ13" s="39"/>
      <c r="KR13" s="39"/>
      <c r="KS13" s="39"/>
      <c r="KT13" s="39"/>
      <c r="KU13" s="38"/>
      <c r="KV13" s="38"/>
      <c r="KW13" s="38"/>
      <c r="KX13" s="38"/>
      <c r="KY13" s="38"/>
      <c r="KZ13" s="38"/>
      <c r="LA13" s="38"/>
      <c r="LB13" s="38"/>
      <c r="LC13" s="38"/>
      <c r="LD13" s="38"/>
      <c r="LE13" s="38"/>
      <c r="LF13" s="38"/>
      <c r="LG13" s="38"/>
      <c r="LH13" s="38"/>
      <c r="LI13" s="38"/>
      <c r="LJ13" s="38"/>
      <c r="LK13" s="38"/>
      <c r="LL13" s="38"/>
      <c r="LM13" s="38"/>
      <c r="LN13" s="38"/>
      <c r="LO13" s="38"/>
      <c r="LP13" s="38"/>
      <c r="LQ13" s="38"/>
      <c r="LR13" s="38"/>
      <c r="LS13" s="38"/>
      <c r="LT13" s="38"/>
      <c r="LU13" s="38"/>
      <c r="LV13" s="38"/>
      <c r="LW13" s="38"/>
      <c r="LX13" s="38"/>
      <c r="LY13" s="38"/>
      <c r="LZ13" s="38"/>
      <c r="MA13" s="38"/>
      <c r="MB13" s="38"/>
      <c r="MC13" s="38"/>
      <c r="MD13" s="38"/>
      <c r="ME13" s="38"/>
      <c r="MF13" s="38"/>
      <c r="MG13" s="38"/>
      <c r="MH13" s="43">
        <f t="shared" si="58"/>
        <v>0</v>
      </c>
      <c r="MI13" s="43" t="str">
        <f t="shared" si="59"/>
        <v/>
      </c>
      <c r="MJ13" s="43" t="str">
        <f t="shared" si="60"/>
        <v/>
      </c>
      <c r="MK13" s="43">
        <f t="shared" si="61"/>
        <v>0</v>
      </c>
      <c r="ML1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18</v>
      </c>
      <c r="MM13" s="43">
        <f t="shared" si="62"/>
        <v>11</v>
      </c>
      <c r="MN13" s="43">
        <f t="shared" si="63"/>
        <v>9</v>
      </c>
      <c r="MO13" s="43">
        <f t="shared" si="64"/>
        <v>2022</v>
      </c>
      <c r="MP13" s="43" t="str">
        <f t="shared" si="65"/>
        <v>III TRIMESTRE AÑO</v>
      </c>
      <c r="MQ13" s="43">
        <f t="shared" si="66"/>
        <v>25.971857205431448</v>
      </c>
      <c r="MR13" s="43">
        <f t="shared" si="67"/>
        <v>0</v>
      </c>
      <c r="MS13" s="43" t="str">
        <f t="shared" si="68"/>
        <v xml:space="preserve"> DE 25 A 29 AÑOS</v>
      </c>
      <c r="MT13" s="43">
        <f t="shared" si="69"/>
        <v>0</v>
      </c>
      <c r="MU13" s="43">
        <f t="shared" si="70"/>
        <v>0</v>
      </c>
      <c r="MV13" s="43">
        <f t="shared" si="71"/>
        <v>0</v>
      </c>
      <c r="MW13" s="43">
        <f t="shared" si="72"/>
        <v>0</v>
      </c>
      <c r="MX13" s="43" t="str">
        <f t="shared" si="73"/>
        <v/>
      </c>
      <c r="MY13" s="43" t="str">
        <f t="shared" ca="1" si="74"/>
        <v/>
      </c>
      <c r="MZ13" s="43" t="str">
        <f t="shared" si="75"/>
        <v/>
      </c>
      <c r="NA13" s="43">
        <f t="shared" si="76"/>
        <v>0</v>
      </c>
      <c r="NB13" s="43" t="str">
        <f t="shared" si="77"/>
        <v/>
      </c>
      <c r="NC13" s="43" t="str">
        <f t="shared" si="78"/>
        <v/>
      </c>
      <c r="ND13" s="43">
        <f t="shared" ca="1" si="79"/>
        <v>3.5</v>
      </c>
      <c r="NE13" s="43">
        <f>IF(OR(O13&gt;0,R13&gt;0),SUM(COUNTIF(Tabla1[[#This Row],[AÑOS AL INICIO5 CPN]],"&gt;=40"),COUNTIF(AS13,"0"),COUNTIF(AR13,"SI"),COUNTIF(CC13,"SI"),COUNTIF(BQ13,"&gt;119"),COUNTIF(CI13,"&gt;=35")),"")</f>
        <v>1</v>
      </c>
      <c r="NF13" s="43" t="str">
        <f t="shared" si="80"/>
        <v/>
      </c>
      <c r="NG13" s="43">
        <f t="shared" si="81"/>
        <v>0.5</v>
      </c>
      <c r="NH13" s="43">
        <f t="shared" si="82"/>
        <v>114.10000000000001</v>
      </c>
      <c r="NI13"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CPN",P13="NO"),"Z",IF(AND(Tabla1[[#This Row],[CITA PROXIMO CONTROL]]="CITA MANUAL",Tabla1[[#This Row],[GESTANTES ACTUALES]]="ACTIVA INGRESO A CPN"),"W",IF(AND(Tabla1[[#This Row],[GESTANTES ACTUALES]]="SALIO PROGRAMA",IN13=""),"S",IF(AND(Tabla1[[#This Row],[CITA PROXIMO CONTROL]]&gt;0,IN13=""),(Tabla1[[#This Row],[CITA PROXIMO CONTROL]]-TODAY()),"SD"))))))))</f>
        <v>SD</v>
      </c>
      <c r="NJ13" s="43">
        <f>MONTH(Tabla1[[#This Row],[FECHA DE SALIDA  DEL PROGRAMA]])</f>
        <v>3</v>
      </c>
      <c r="NK13" s="43">
        <f>YEAR(Tabla1[[#This Row],[FECHA DE SALIDA  DEL PROGRAMA]])</f>
        <v>2023</v>
      </c>
      <c r="NL13" s="43">
        <f t="shared" si="83"/>
        <v>1</v>
      </c>
      <c r="NM13" s="43" t="str">
        <f t="shared" si="84"/>
        <v>NO</v>
      </c>
      <c r="NN13" s="43" t="str">
        <f ca="1">IF(AND(O13&gt;0,R13=""),"NO CPN",IF(AND(O13="",R13=""),"",IF(AND(R13&gt;0,Tabla1[[#This Row],[SEMANAS DE GESTACION ACTUALIZADAS]]&lt;=12),"NO APLICA",IF(AND(FH13&lt;&gt;"",FN13&lt;&gt;""),"SI","NO"))))</f>
        <v>NO</v>
      </c>
      <c r="NO13" s="43" t="str">
        <f ca="1">IF(AND(O13&gt;0,R13=""),"NO CPN",IF(AND(O13="",R13=""),"",IF(AND(R13&gt;0,Tabla1[[#This Row],[SEMANAS DE GESTACION ACTUALIZADAS]]&lt;=27),"NO APLICA",IF(AND(ES13&lt;&gt;"",FQ13&lt;&gt;"",GF13&lt;&gt;""),"SI","NO"))))</f>
        <v>NO</v>
      </c>
      <c r="NP13" s="204" t="str">
        <f t="shared" si="85"/>
        <v>II TRIM</v>
      </c>
      <c r="NQ13" s="21" t="str">
        <f t="shared" si="86"/>
        <v/>
      </c>
      <c r="NR13" s="21">
        <f t="shared" si="87"/>
        <v>2</v>
      </c>
      <c r="NS13" s="205">
        <f t="shared" ca="1" si="88"/>
        <v>2</v>
      </c>
      <c r="NT13" s="21">
        <f t="shared" ca="1" si="89"/>
        <v>2</v>
      </c>
      <c r="NU13" s="21" t="str">
        <f t="shared" ca="1" si="90"/>
        <v>COMPLETO</v>
      </c>
      <c r="NV13" s="21" t="str">
        <f t="shared" ca="1" si="91"/>
        <v>COMPLETO</v>
      </c>
      <c r="NW13" s="206" t="str">
        <f>IF(AND(O13="",R13=""),"",IF(OR(AND(Tabla1[[#This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3" s="207" t="str">
        <f t="shared" ca="1" si="92"/>
        <v>SIN VACUNAR</v>
      </c>
      <c r="NY13" s="43">
        <f>ROW(Tabla1[[#This Row],['# DE TAMIZAJES SIFILIS TOMADOS ]])</f>
        <v>13</v>
      </c>
      <c r="NZ13" s="43">
        <f t="shared" si="93"/>
        <v>13</v>
      </c>
      <c r="OA13" s="43" t="str">
        <f t="shared" si="94"/>
        <v/>
      </c>
      <c r="OB13" s="43" t="str">
        <f t="shared" si="95"/>
        <v/>
      </c>
      <c r="OC13" s="43" t="str">
        <f t="shared" si="96"/>
        <v/>
      </c>
      <c r="OD13" s="43" t="str">
        <f t="shared" si="97"/>
        <v/>
      </c>
      <c r="OE13" s="43" t="str">
        <f t="shared" si="98"/>
        <v/>
      </c>
      <c r="OF13" s="43" t="str">
        <f t="shared" si="99"/>
        <v/>
      </c>
      <c r="OG13" s="43" t="str">
        <f t="shared" si="100"/>
        <v/>
      </c>
      <c r="OH13" s="43" t="str">
        <f t="shared" si="101"/>
        <v/>
      </c>
      <c r="OI13" s="43" t="str">
        <f t="shared" si="102"/>
        <v/>
      </c>
      <c r="OJ13" s="43" t="str">
        <f t="shared" si="103"/>
        <v/>
      </c>
      <c r="OK13" s="43" t="str">
        <f t="shared" si="104"/>
        <v/>
      </c>
      <c r="OL13" s="43" t="str">
        <f t="shared" si="105"/>
        <v/>
      </c>
      <c r="OM13" s="43" t="str">
        <f t="shared" si="106"/>
        <v/>
      </c>
      <c r="ON13" s="43" t="str">
        <f t="shared" si="107"/>
        <v/>
      </c>
      <c r="OO13" s="43" t="str">
        <f t="shared" si="108"/>
        <v/>
      </c>
      <c r="OP13" s="43" t="str">
        <f t="shared" si="109"/>
        <v/>
      </c>
      <c r="OQ13" s="43" t="str">
        <f t="shared" si="110"/>
        <v/>
      </c>
      <c r="OR13" s="43" t="str">
        <f t="shared" si="111"/>
        <v/>
      </c>
      <c r="OS13" s="43" t="str">
        <f t="shared" si="112"/>
        <v/>
      </c>
      <c r="OT13" s="43" t="str">
        <f t="shared" si="113"/>
        <v/>
      </c>
      <c r="OU13" s="43" t="str">
        <f t="shared" si="114"/>
        <v/>
      </c>
      <c r="OV13" s="110" t="str">
        <f t="shared" si="115"/>
        <v/>
      </c>
      <c r="OW13" s="43" t="str">
        <f t="shared" si="116"/>
        <v/>
      </c>
      <c r="OX13" s="43" t="str">
        <f t="shared" si="117"/>
        <v/>
      </c>
      <c r="OY13" s="43" t="str">
        <f t="shared" si="118"/>
        <v/>
      </c>
      <c r="OZ13" s="43" t="str">
        <f t="shared" si="119"/>
        <v/>
      </c>
      <c r="PA13" s="43" t="str">
        <f t="shared" si="120"/>
        <v/>
      </c>
      <c r="PB13" s="43" t="str">
        <f t="shared" si="121"/>
        <v/>
      </c>
      <c r="PC13" s="43" t="str">
        <f t="shared" si="122"/>
        <v/>
      </c>
      <c r="PD13" s="43" t="str">
        <f t="shared" si="123"/>
        <v/>
      </c>
      <c r="PE13" s="43" t="str">
        <f t="shared" si="124"/>
        <v/>
      </c>
      <c r="PF13" s="43" t="str">
        <f t="shared" si="125"/>
        <v/>
      </c>
      <c r="PG13" s="43" t="str">
        <f t="shared" si="126"/>
        <v/>
      </c>
      <c r="PH13" s="43" t="str">
        <f t="shared" si="127"/>
        <v/>
      </c>
      <c r="PI13" s="43">
        <f t="shared" si="128"/>
        <v>37</v>
      </c>
      <c r="PJ13" s="43" t="str">
        <f t="shared" si="129"/>
        <v/>
      </c>
      <c r="PK13" s="43" t="str">
        <f t="shared" si="130"/>
        <v/>
      </c>
      <c r="PL13" s="43" t="str">
        <f t="shared" si="131"/>
        <v/>
      </c>
      <c r="PM13" s="43" t="str">
        <f t="shared" si="132"/>
        <v/>
      </c>
      <c r="PN13" s="43" t="str">
        <f t="shared" si="133"/>
        <v/>
      </c>
      <c r="PO13" s="43" t="str">
        <f t="shared" si="134"/>
        <v/>
      </c>
      <c r="PP13" s="43" t="str">
        <f t="shared" si="135"/>
        <v/>
      </c>
      <c r="PQ13" s="43" t="str">
        <f t="shared" si="136"/>
        <v/>
      </c>
      <c r="PR13" s="43" t="str">
        <f t="shared" si="137"/>
        <v/>
      </c>
      <c r="PS13" s="43" t="str">
        <f t="shared" si="138"/>
        <v/>
      </c>
      <c r="PT13" s="43" t="str">
        <f t="shared" si="139"/>
        <v/>
      </c>
      <c r="PU13" s="43" t="str">
        <f t="shared" si="140"/>
        <v/>
      </c>
      <c r="PV13" s="43" t="str">
        <f t="shared" si="141"/>
        <v/>
      </c>
      <c r="PW13" s="43" t="str">
        <f t="shared" si="142"/>
        <v/>
      </c>
      <c r="PX13" s="43" t="str">
        <f t="shared" si="143"/>
        <v/>
      </c>
      <c r="PY13" s="43" t="str">
        <f t="shared" si="144"/>
        <v/>
      </c>
      <c r="PZ13" s="43" t="str">
        <f t="shared" si="145"/>
        <v/>
      </c>
      <c r="QA13" s="43" t="str">
        <f t="shared" si="146"/>
        <v/>
      </c>
      <c r="QB13" s="43" t="str">
        <f t="shared" si="147"/>
        <v/>
      </c>
      <c r="QC13" s="43" t="str">
        <f t="shared" si="148"/>
        <v/>
      </c>
      <c r="QD13" s="43" t="str">
        <f t="shared" si="149"/>
        <v/>
      </c>
      <c r="QE13" s="43" t="str">
        <f t="shared" si="150"/>
        <v/>
      </c>
      <c r="QF13" s="43" t="str">
        <f t="shared" si="151"/>
        <v/>
      </c>
      <c r="QG13" s="43" t="str">
        <f t="shared" si="152"/>
        <v/>
      </c>
      <c r="QH13" s="43" t="str">
        <f t="shared" si="153"/>
        <v/>
      </c>
      <c r="QI13" s="43" t="str">
        <f t="shared" si="154"/>
        <v/>
      </c>
      <c r="QJ13" s="43" t="str">
        <f t="shared" si="155"/>
        <v/>
      </c>
      <c r="QK13" s="43" t="str">
        <f t="shared" si="156"/>
        <v/>
      </c>
      <c r="QL13" s="43" t="str">
        <f t="shared" si="157"/>
        <v/>
      </c>
      <c r="QM13" s="43" t="str">
        <f t="shared" si="158"/>
        <v/>
      </c>
      <c r="QN13" s="43" t="str">
        <f t="shared" si="159"/>
        <v/>
      </c>
      <c r="QO13" s="43" t="str">
        <f t="shared" si="160"/>
        <v/>
      </c>
      <c r="QP13" s="43" t="str">
        <f t="shared" si="161"/>
        <v/>
      </c>
      <c r="QQ13" s="43" t="str">
        <f t="shared" si="162"/>
        <v/>
      </c>
      <c r="QR13" s="43">
        <f t="shared" si="192"/>
        <v>37</v>
      </c>
      <c r="QS13" s="43"/>
      <c r="QT13" s="21" t="str">
        <f t="shared" si="163"/>
        <v/>
      </c>
      <c r="QU13" s="21" t="str">
        <f t="shared" si="164"/>
        <v/>
      </c>
      <c r="QV13" s="21" t="str">
        <f t="shared" si="165"/>
        <v/>
      </c>
      <c r="QW13" s="21" t="str">
        <f t="shared" si="166"/>
        <v/>
      </c>
      <c r="QX13" s="21" t="str">
        <f t="shared" si="167"/>
        <v/>
      </c>
      <c r="QY13" s="21" t="str">
        <f t="shared" si="168"/>
        <v/>
      </c>
      <c r="QZ13" s="21" t="str">
        <f t="shared" si="169"/>
        <v/>
      </c>
      <c r="RA13" s="21" t="str">
        <f t="shared" si="170"/>
        <v/>
      </c>
      <c r="RB13" s="21" t="str">
        <f t="shared" si="171"/>
        <v/>
      </c>
      <c r="RC13" s="21" t="str">
        <f t="shared" si="172"/>
        <v/>
      </c>
      <c r="RD13" s="21" t="str">
        <f t="shared" si="173"/>
        <v/>
      </c>
      <c r="RE13" s="21" t="str">
        <f t="shared" si="174"/>
        <v/>
      </c>
      <c r="RF13" s="21" t="str">
        <f t="shared" si="175"/>
        <v/>
      </c>
      <c r="RG13" s="21" t="str">
        <f t="shared" si="176"/>
        <v/>
      </c>
      <c r="RH13" s="21" t="str">
        <f t="shared" si="177"/>
        <v/>
      </c>
      <c r="RI13" s="21" t="str">
        <f t="shared" si="178"/>
        <v/>
      </c>
      <c r="RJ13" s="21" t="str">
        <f t="shared" si="179"/>
        <v/>
      </c>
      <c r="RK13" s="21" t="str">
        <f t="shared" si="180"/>
        <v/>
      </c>
      <c r="RL13" s="21" t="str">
        <f t="shared" si="181"/>
        <v/>
      </c>
      <c r="RM13" s="21" t="str">
        <f t="shared" si="182"/>
        <v/>
      </c>
      <c r="RN13" s="21" t="str">
        <f t="shared" si="183"/>
        <v/>
      </c>
      <c r="RO13" s="21" t="str">
        <f t="shared" si="184"/>
        <v/>
      </c>
      <c r="RP13" s="21" t="str">
        <f t="shared" si="185"/>
        <v/>
      </c>
      <c r="RQ13" s="21" t="str">
        <f t="shared" si="186"/>
        <v/>
      </c>
      <c r="RR13" s="21" t="str">
        <f t="shared" si="187"/>
        <v/>
      </c>
      <c r="RS13" s="21" t="str">
        <f t="shared" si="188"/>
        <v/>
      </c>
      <c r="RT13" s="21" t="str">
        <f t="shared" si="189"/>
        <v/>
      </c>
      <c r="RU13" s="21" t="str">
        <f t="shared" si="190"/>
        <v/>
      </c>
      <c r="RV13" s="21">
        <f t="shared" si="191"/>
        <v>13.571428571428571</v>
      </c>
      <c r="RW13" s="284">
        <f>IF(OR(Tabla1[[#This Row],[FUM FORMULA CONFIABLE]]="",Tabla1[[#This Row],[FUM FORMULA CONFIABLE]]="SD"),"",IF(Tabla1[[#This Row],[FUM FORMULA CONFIABLE]]="CORREGIDA",Tabla1[[#This Row],[FUM X ECO 1]],Tabla1[[#This Row],[FUM x AMENORREA]]))</f>
        <v>44719</v>
      </c>
      <c r="RX13" s="21">
        <f>IF(AND(Tabla1[[#This Row],[FUM X ECO 1]]="",Tabla1[[#This Row],[FUM x AMENORREA]]=""),"",IF(AND(Tabla1[[#This Row],[FUM X ECO 1]]="",Tabla1[[#This Row],[FUM x AMENORREA]]&lt;&gt;""),"X",SUM(Tabla1[[#This Row],[FUM X ECO 1]]-Tabla1[[#This Row],[FUM x AMENORREA]])))</f>
        <v>0.90000000000145519</v>
      </c>
      <c r="RY13" s="21">
        <f t="shared" si="193"/>
        <v>0</v>
      </c>
    </row>
    <row r="14" spans="1:493" ht="45" customHeight="1" x14ac:dyDescent="0.25">
      <c r="A14" s="109"/>
      <c r="B14" s="43" t="s">
        <v>936</v>
      </c>
      <c r="C14" s="43" t="s">
        <v>845</v>
      </c>
      <c r="D14" s="124" t="s">
        <v>846</v>
      </c>
      <c r="E14" s="43" t="s">
        <v>937</v>
      </c>
      <c r="F14" s="43" t="s">
        <v>909</v>
      </c>
      <c r="G14" s="43" t="s">
        <v>938</v>
      </c>
      <c r="H14" s="43" t="s">
        <v>939</v>
      </c>
      <c r="I14" s="109" t="s">
        <v>851</v>
      </c>
      <c r="J14" s="110">
        <v>1002846328</v>
      </c>
      <c r="K14" s="43" t="s">
        <v>904</v>
      </c>
      <c r="L14" s="175" t="s">
        <v>853</v>
      </c>
      <c r="M14" s="22">
        <v>35167</v>
      </c>
      <c r="N14" s="213">
        <f t="shared" ca="1" si="0"/>
        <v>27.575342465753426</v>
      </c>
      <c r="O14" s="22">
        <v>44814</v>
      </c>
      <c r="P14" s="214" t="str">
        <f t="shared" si="1"/>
        <v>SI</v>
      </c>
      <c r="Q14" s="26" t="s">
        <v>855</v>
      </c>
      <c r="R14" s="22">
        <v>44814</v>
      </c>
      <c r="S14" s="21" t="s">
        <v>856</v>
      </c>
      <c r="T14" s="24" t="s">
        <v>690</v>
      </c>
      <c r="U14" s="21" t="s">
        <v>857</v>
      </c>
      <c r="V14" s="21" t="s">
        <v>858</v>
      </c>
      <c r="W14" s="21" t="s">
        <v>940</v>
      </c>
      <c r="X14" s="21" t="s">
        <v>941</v>
      </c>
      <c r="Y14" s="21" t="s">
        <v>859</v>
      </c>
      <c r="Z14" s="21">
        <v>3147785676</v>
      </c>
      <c r="AA14" s="21" t="s">
        <v>860</v>
      </c>
      <c r="AB14" s="27" t="s">
        <v>861</v>
      </c>
      <c r="AC14" s="26" t="s">
        <v>888</v>
      </c>
      <c r="AD14" s="38" t="s">
        <v>846</v>
      </c>
      <c r="AE14" s="26" t="s">
        <v>854</v>
      </c>
      <c r="AF14" s="26" t="s">
        <v>854</v>
      </c>
      <c r="AG14" s="23" t="s">
        <v>864</v>
      </c>
      <c r="AH14" s="23" t="s">
        <v>864</v>
      </c>
      <c r="AI14" s="24" t="s">
        <v>863</v>
      </c>
      <c r="AJ14" s="23" t="s">
        <v>864</v>
      </c>
      <c r="AK14" s="220" t="str">
        <f>IF(AND(AD14="",AE14="",AF14="",AG14="",AH14="",AI14="",AJ14=""),"",IF(OR(Tabla1[[#This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EVALUACIÓN",IF(AND(O14="",R14=""),"",IF(AND(OR(O14&gt;0,R14&gt;0),NG14&gt;=0,NG14&lt;2),"SIN RIESGO",IF(AND(OR(O14&gt;0,R14&gt;0),NG14&gt;=2),"CON RIESGO","ASD")))))</f>
        <v>SIN RIESGO</v>
      </c>
      <c r="AL14" s="23" t="s">
        <v>864</v>
      </c>
      <c r="AM14" s="26" t="s">
        <v>864</v>
      </c>
      <c r="AN14" s="26" t="s">
        <v>864</v>
      </c>
      <c r="AO14" s="26" t="s">
        <v>864</v>
      </c>
      <c r="AP14" s="26" t="s">
        <v>864</v>
      </c>
      <c r="AQ14" s="26" t="s">
        <v>864</v>
      </c>
      <c r="AR14" s="26" t="s">
        <v>864</v>
      </c>
      <c r="AS14" s="21">
        <v>0</v>
      </c>
      <c r="AT14" s="21">
        <v>0</v>
      </c>
      <c r="AU14" s="21">
        <v>0</v>
      </c>
      <c r="AV14" s="26" t="s">
        <v>864</v>
      </c>
      <c r="AW14" s="21">
        <v>0</v>
      </c>
      <c r="AX14" s="26" t="s">
        <v>864</v>
      </c>
      <c r="AY14" s="26" t="s">
        <v>864</v>
      </c>
      <c r="AZ14" s="26" t="s">
        <v>864</v>
      </c>
      <c r="BA14" s="26" t="s">
        <v>864</v>
      </c>
      <c r="BB14" s="26" t="s">
        <v>864</v>
      </c>
      <c r="BC14" s="26" t="s">
        <v>864</v>
      </c>
      <c r="BD14" s="26" t="s">
        <v>864</v>
      </c>
      <c r="BE14" s="26" t="s">
        <v>864</v>
      </c>
      <c r="BF14" s="26" t="s">
        <v>864</v>
      </c>
      <c r="BG14" s="26" t="s">
        <v>864</v>
      </c>
      <c r="BH14" s="26"/>
      <c r="BI14" s="26" t="s">
        <v>864</v>
      </c>
      <c r="BJ14" s="26"/>
      <c r="BK14" s="26"/>
      <c r="BL14" s="26"/>
      <c r="BM14" s="26" t="s">
        <v>864</v>
      </c>
      <c r="BN14" s="22"/>
      <c r="BO14" s="22">
        <v>44758</v>
      </c>
      <c r="BP14" s="21" t="s">
        <v>854</v>
      </c>
      <c r="BQ14" s="222">
        <f t="shared" si="2"/>
        <v>0</v>
      </c>
      <c r="BR14" s="223" t="str">
        <f t="shared" si="3"/>
        <v/>
      </c>
      <c r="BS14" s="224">
        <f t="shared" si="4"/>
        <v>8</v>
      </c>
      <c r="BT14" s="216" t="str">
        <f t="shared" si="5"/>
        <v>I TRIM</v>
      </c>
      <c r="BU14" s="214" t="str">
        <f t="shared" ca="1" si="6"/>
        <v/>
      </c>
      <c r="BV14" s="25"/>
      <c r="BW14" s="22"/>
      <c r="BX14" s="28"/>
      <c r="BY14" s="28"/>
      <c r="BZ14" s="22"/>
      <c r="CA14" s="21"/>
      <c r="CB14" s="26"/>
      <c r="CC14" s="26"/>
      <c r="CD14" s="26"/>
      <c r="CE14" s="26"/>
      <c r="CF14" s="22">
        <v>44814</v>
      </c>
      <c r="CG14" s="21">
        <v>1.6</v>
      </c>
      <c r="CH14" s="21">
        <v>80.5</v>
      </c>
      <c r="CI14" s="214">
        <f t="shared" si="7"/>
        <v>31.445312499999993</v>
      </c>
      <c r="CJ14" s="225" t="str">
        <f>IF(AND(CI14&lt;10,CH14="SD"),"SIN DATO PESO PREGESTACION O I TRIM",IF(AND(OR(R14&gt;0,O14&gt;0),CI14="X"),"INGRESAR DATO DE PESO",IF(CI14="SD","INGRESAR DATO DE TALLA Y PESO",IF(AND(OR(Tabla1[[#This Row],[MOMENTO EN QUE SE REALIZA EL PESO AL INGRESO A CPN]]="PREGESTACIÓN",NZ14="Menor"),CI14&lt;18.5),"BAJO PESO",IF(AND(OR(Tabla1[[#This Row],[MOMENTO EN QUE SE REALIZA EL PESO AL INGRESO A CPN]]="PREGESTACIÓN",NZ14="Menor"),CI14&lt;25),"NORMAL",IF(AND(OR(Tabla1[[#This Row],[MOMENTO EN QUE SE REALIZA EL PESO AL INGRESO A CPN]]="PREGESTACIÓN",NZ14="Menor"),CI14&lt;30),"SOBREPESO",IF(AND(OR(Tabla1[[#This Row],[MOMENTO EN QUE SE REALIZA EL PESO AL INGRESO A CPN]]="PREGESTACIÓN",NZ14="Menor"),CI14&gt;=30,CI14&lt;50),"OBESIDAD",IF(AND(BS14&gt;0,Tabla1[[#This Row],[MOMENTO EN QUE SE REALIZA EL PESO AL INGRESO A CPN]]="GESTACIÓN"),HLOOKUP(NZ14,$OA$2:PH14,NY14),""))))))))</f>
        <v>OBESIDAD</v>
      </c>
      <c r="CK14" s="212">
        <f t="shared" si="8"/>
        <v>44814</v>
      </c>
      <c r="CL14" s="21"/>
      <c r="CM14" s="214">
        <f t="shared" si="9"/>
        <v>0</v>
      </c>
      <c r="CN14" s="216">
        <f t="shared" si="10"/>
        <v>8</v>
      </c>
      <c r="CO14" s="216" t="e">
        <f>IF(PI14="","",IF(PI14&gt;0,HLOOKUP(PI14,$PJ$2:QQ14,NY14),""))</f>
        <v>#REF!</v>
      </c>
      <c r="CP14" s="21"/>
      <c r="CQ14" s="216" t="str">
        <f>IF(QR14="Menor","NO APLICA-MENOR 13 SEM",IF(AND(CC14="SI",CN14&gt;23),"NO APLICA- GEMELAR",IF(QR14="","",IF(QR14&gt;0,HLOOKUP(QR14,$QS$2:RU14,NY14),""))))</f>
        <v>NO APLICA-MENOR 13 SEM</v>
      </c>
      <c r="CR14" s="21">
        <v>130</v>
      </c>
      <c r="CS14" s="21">
        <v>90</v>
      </c>
      <c r="CT14" s="217" t="str">
        <f>IF(R14="","",IF(AND(BS14&gt;1,BS14&lt;12,Tabla1[[#This Row],[T.A. SISTOLICA - ANTES DE SEMANA 12]]="",Tabla1[[#This Row],[T.A. DIASTOLICA - ANTES DE SEMANA 12]]=""),"REGISTRE DATO TA ANTES SEMANA 12",IF(AND(BS14&gt;11,BS14&lt;43,Tabla1[[#This Row],[T.A. SISTOLICA - ANTES DE SEMANA 12]]="",Tabla1[[#This Row],[T.A. DIASTOLICA - ANTES DE SEMANA 12]]=""),"NO APLICA REGISTRO TA-INGRESO TARDIO",IF(AND(OR(O14&gt;0,R14&gt;0),OR(CR14&gt;=140,CS14&gt;=90)),"DEFINIR ESTADIO HTA",IF(AND(OR(O14&gt;0,R14&gt;0),AND(CR14&gt;120,CR14&lt;=139)),"PRE HTA SEGUIMIENTO",IF(AND(OR(O14&gt;0,R14&gt;0),AND(CS14&gt;80,CS14&lt;=89)),"PRE HTA SEGUIMIENTO",IF(AND(OR(O14&gt;0,R14&gt;0),AND(CR14&gt;=80,CR14&lt;=120)),"APARENTEMENTE NORMAL",IF(AND(OR(O14&gt;0,R14&gt;0),AND(CS14&gt;=50,CS14&lt;=80)),"APARENTEMENTE NORMAL",IF(AND(OR(O14&gt;0,R14&gt;0),AND(CR14&gt;1,CR14&lt;=70),AND(CS14&gt;1,CS14&lt;=40)),"HIPOTENSIÓN","")))))))))</f>
        <v>DEFINIR ESTADIO HTA</v>
      </c>
      <c r="CU14" s="21"/>
      <c r="CV14" s="21"/>
      <c r="CW14" s="217" t="str">
        <f ca="1">IF(R14="","",IF(AND(CN14&gt;19,CN14&lt;27,Tabla1[[#This Row],[T.A. SISTOLICA (Entre semana 20 y 26)]]="",Tabla1[[#This Row],[T.A. DIATOLICA (Entre semana 20 y 26)]]=""),"ACUDE A CONTROL SEM 20 A 26 REGISTRE TA AHORA",IF(AND(BS14&gt;1,BS14&lt;27,BU14&gt;19,Tabla1[[#This Row],[T.A. SISTOLICA (Entre semana 20 y 26)]]="",Tabla1[[#This Row],[T.A. DIATOLICA (Entre semana 20 y 26)]]=""),"COMPLETE REGISTRO TA CONTROL SEM 20 A26 ",IF(AND(BS14&gt;26,BS14&lt;43,Tabla1[[#This Row],[T.A. SISTOLICA (Entre semana 20 y 26)]]="",Tabla1[[#This Row],[T.A. DIATOLICA (Entre semana 20 y 26)]]=""),"NO APLICA REGISTRO TA-INGRESO TARDIO",IF(AND(OR(O14&gt;0,R14&gt;0),OR(CU14&gt;=140,CV14&gt;=90)),"ALTO RIESGO PREECLAMPSIA,DEFINIR ESTADIO HTA",IF(AND(OR(O14&gt;0,R14&gt;0),AND(CU14&gt;120,CU14&lt;=139)),"PRE HTA SEGUIMIENTO,RIESGO HIPERTENSION INDUCIDA POR EL EMBARAZO",IF(AND(OR(O14&gt;0,R14&gt;0),AND(CV14&gt;80,CV14&lt;=89)),"PRE HTA SEGUIMIENTO, RIESGO HIPERTENSION INDUCIDA POR EL EMBARAZO",IF(AND(OR(O14&lt;&gt;"",R14&lt;&gt;""),CS14&lt;&gt;"",CV14&lt;&gt;"",CS14&lt;=CV14),"VIGILAR CIFRAS PRESION ARTERIAL",IF(AND(OR(O14&gt;0,R14&gt;0),AND(CU14&gt;120,CU14&lt;=139)),"PRE HTA SEGUIMIENTO",IF(AND(OR(O14&gt;0,R14&gt;0),AND(CU14&gt;1,CU14&lt;=70),AND(CV14&gt;1,CV14&lt;=40)),"HIPOTENSIÓN",IF(AND(OR(O14&lt;&gt;"",R14&lt;&gt;""),CS14&lt;&gt;"",CV14&lt;&gt;"",CS14&gt;CV14),"APARENTEMENTE NORMAL",IF(AND(OR(O14&gt;0,R14&gt;0),AND(CU14&gt;=80,CU14&lt;=120)),"APARENTEMENTE NORMAL",IF(AND(OR(O14&gt;0,R14&gt;0),AND(CV14&gt;=50,CV14&lt;=80)),"APARENTEMENTE NORMAL","")))))))))))))</f>
        <v xml:space="preserve">COMPLETE REGISTRO TA CONTROL SEM 20 A26 </v>
      </c>
      <c r="CX14" s="21"/>
      <c r="CY14" s="21"/>
      <c r="CZ14" s="216" t="str">
        <f t="shared" si="11"/>
        <v/>
      </c>
      <c r="DA14" s="21"/>
      <c r="DB14" s="21"/>
      <c r="DC14" s="217" t="str">
        <f t="shared" si="12"/>
        <v>REGISTRE DATO PRESIÓN ARTERIAL MENSUAL</v>
      </c>
      <c r="DD14" s="22">
        <v>44814</v>
      </c>
      <c r="DE14" s="22">
        <v>44814</v>
      </c>
      <c r="DF14" s="22"/>
      <c r="DG14" s="22"/>
      <c r="DH14" s="22"/>
      <c r="DI14" s="22"/>
      <c r="DJ14" s="22"/>
      <c r="DK14" s="22"/>
      <c r="DL14" s="22"/>
      <c r="DM14" s="22"/>
      <c r="DN14" s="22"/>
      <c r="DO14" s="22"/>
      <c r="DP14" s="22"/>
      <c r="DQ14" s="22"/>
      <c r="DR14" s="28"/>
      <c r="DS14" s="22"/>
      <c r="DT14" s="22"/>
      <c r="DU14" s="216" t="str">
        <f t="shared" ca="1" si="13"/>
        <v>CONCERTAR PLAN DE PARTO INMEDIATO</v>
      </c>
      <c r="DV14" s="226" t="str">
        <f t="shared" si="14"/>
        <v>ACTIVA INGRESO A CPN</v>
      </c>
      <c r="DW1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4" s="216" t="e">
        <f t="shared" ca="1" si="15"/>
        <v>#REF!</v>
      </c>
      <c r="DY14" s="212">
        <f>IF(R14="","",IF(R14&gt;0,MAX(Tabla1[[#This Row],[FECHA C2]:[FECHA C13]],Tabla1[[#This Row],[FECHA CONSULTA PRIMERA VEZ PROGRAMA CPN ]])))</f>
        <v>44814</v>
      </c>
      <c r="DZ14" s="216">
        <f t="shared" si="16"/>
        <v>8</v>
      </c>
      <c r="EA14" s="222">
        <f>IF(R14&gt;0,SUM(COUNTA(DF14:DQ14)+COUNTA(Tabla1[[#This Row],[FECHA CONSULTA PRIMERA VEZ PROGRAMA CPN ]])),"")</f>
        <v>1</v>
      </c>
      <c r="EB14" s="222" t="str">
        <f t="shared" si="17"/>
        <v>NO</v>
      </c>
      <c r="EC14" s="214">
        <f t="shared" si="18"/>
        <v>10</v>
      </c>
      <c r="ED14" s="227">
        <f t="shared" si="19"/>
        <v>0.1</v>
      </c>
      <c r="EE14" s="22">
        <v>44814</v>
      </c>
      <c r="EF14" s="22"/>
      <c r="EG14" s="22">
        <v>44814</v>
      </c>
      <c r="EH14" s="22"/>
      <c r="EI14" s="22">
        <v>44814</v>
      </c>
      <c r="EJ14" s="22"/>
      <c r="EK14" s="22"/>
      <c r="EL14" s="21"/>
      <c r="EM14" s="21"/>
      <c r="EN14" s="22"/>
      <c r="EO14" s="222" t="str">
        <f t="shared" si="20"/>
        <v>TOMAR EXAMEN</v>
      </c>
      <c r="EP14" s="214" t="str">
        <f t="shared" si="21"/>
        <v/>
      </c>
      <c r="EQ14" s="216" t="str">
        <f t="shared" si="22"/>
        <v>POR DEFINIR</v>
      </c>
      <c r="ER14" s="24"/>
      <c r="ES14" s="22"/>
      <c r="ET14" s="29" t="str">
        <f t="shared" ca="1" si="23"/>
        <v>TOMA DE HEMOGLOBINA TARDÍA</v>
      </c>
      <c r="EU14" s="25" t="str">
        <f t="shared" si="24"/>
        <v/>
      </c>
      <c r="EV14" s="24"/>
      <c r="EW14" s="24"/>
      <c r="EX14" s="22"/>
      <c r="EY14" s="29" t="str">
        <f t="shared" si="25"/>
        <v>TOMAR EXAMEN</v>
      </c>
      <c r="EZ14" s="25" t="str">
        <f t="shared" ca="1" si="26"/>
        <v/>
      </c>
      <c r="FA14" s="21"/>
      <c r="FB14" s="22"/>
      <c r="FC14" s="29" t="str">
        <f t="shared" si="27"/>
        <v>TOMAR EXAMEN</v>
      </c>
      <c r="FD14" s="29"/>
      <c r="FE14" s="29"/>
      <c r="FF14" s="29"/>
      <c r="FG14" s="21" t="str">
        <f t="shared" ca="1" si="28"/>
        <v/>
      </c>
      <c r="FH14" s="31"/>
      <c r="FI14" s="29" t="str">
        <f t="shared" si="29"/>
        <v>TOMAR EXAMEN</v>
      </c>
      <c r="FJ14" s="22" t="s">
        <v>867</v>
      </c>
      <c r="FK14" s="22">
        <v>44792</v>
      </c>
      <c r="FL14" s="29">
        <f t="shared" ca="1" si="30"/>
        <v>4.8571428571428568</v>
      </c>
      <c r="FM14" s="22"/>
      <c r="FN14" s="32"/>
      <c r="FO14" s="29" t="str">
        <f t="shared" ca="1" si="31"/>
        <v>PIERDE TOMA DE TAMIZAJE</v>
      </c>
      <c r="FP14" s="22"/>
      <c r="FQ14" s="32"/>
      <c r="FR14" s="29" t="str">
        <f t="shared" ca="1" si="32"/>
        <v>TOMA INMEDIATA DE TAMIZAJE</v>
      </c>
      <c r="FS14" s="22"/>
      <c r="FT14" s="32"/>
      <c r="FU14" s="29" t="str">
        <f>IF(AND(FJ14="",FM14="",FP14="",FS14=""),"",IF(OR(OR(Tabla1[[#This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4" s="28"/>
      <c r="FW14" s="22"/>
      <c r="FX14" s="29" t="str">
        <f t="shared" si="33"/>
        <v>TOMAR EXAMEN</v>
      </c>
      <c r="FY14" s="22">
        <v>44792</v>
      </c>
      <c r="FZ14" s="22">
        <v>44792</v>
      </c>
      <c r="GA14" s="29">
        <f t="shared" ca="1" si="34"/>
        <v>4.8571428571428568</v>
      </c>
      <c r="GB14" s="22"/>
      <c r="GC14" s="22"/>
      <c r="GD14" s="29" t="str">
        <f t="shared" ca="1" si="35"/>
        <v>PIERDE TOMA DE TAMIZAJE</v>
      </c>
      <c r="GE14" s="22"/>
      <c r="GF14" s="22"/>
      <c r="GG14" s="29" t="str">
        <f t="shared" ca="1" si="36"/>
        <v>TOMA INMEDIATA DE TAMIZAJE</v>
      </c>
      <c r="GH14" s="22"/>
      <c r="GI14" s="29"/>
      <c r="GJ14" s="22"/>
      <c r="GK14" s="22"/>
      <c r="GL14" s="22" t="s">
        <v>879</v>
      </c>
      <c r="GM14" s="22"/>
      <c r="GN14" s="28"/>
      <c r="GO14" s="22"/>
      <c r="GP14" s="29" t="str">
        <f t="shared" si="37"/>
        <v>TOMAR EXAMEN</v>
      </c>
      <c r="GQ14" s="28"/>
      <c r="GR14" s="28"/>
      <c r="GS14" s="22" t="str">
        <f t="shared" si="38"/>
        <v/>
      </c>
      <c r="GT14" s="22"/>
      <c r="GU14" s="29" t="str">
        <f t="shared" si="39"/>
        <v>TOMAR EXAMEN</v>
      </c>
      <c r="GV14" s="21" t="str">
        <f t="shared" si="40"/>
        <v>POR DEFINIR</v>
      </c>
      <c r="GW14" s="28"/>
      <c r="GX14" s="30"/>
      <c r="GY14" s="21"/>
      <c r="GZ14" s="21"/>
      <c r="HA14" s="21"/>
      <c r="HB14" s="21"/>
      <c r="HC14" s="21"/>
      <c r="HD14" s="21"/>
      <c r="HE14" s="21"/>
      <c r="HF14" s="22"/>
      <c r="HG14" s="22" t="str">
        <f>IF(OR(O14&gt;0,R14&gt;0),CONCATENATE(IF(Tabla1[[#This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4" s="22" t="e">
        <f t="shared" si="41"/>
        <v>#REF!</v>
      </c>
      <c r="HI14" s="22" t="e">
        <f t="shared" ca="1" si="42"/>
        <v>#REF!</v>
      </c>
      <c r="HJ14" s="21" t="str">
        <f t="shared" ca="1" si="43"/>
        <v>**********************MULTIPARIDAD*****************</v>
      </c>
      <c r="HK14" s="21" t="str">
        <f t="shared" si="44"/>
        <v>SIN ANTECEDENTES DE RIESGO</v>
      </c>
      <c r="HL14" s="24" t="str">
        <f t="shared" si="45"/>
        <v>REGISTRE DATO PRESIÓN ARTERIAL MENSUAL</v>
      </c>
      <c r="HM14" s="21" t="e">
        <f t="shared" ca="1" si="46"/>
        <v>#REF!</v>
      </c>
      <c r="HN14" s="30" t="str">
        <f t="shared" si="47"/>
        <v>ACTIVA INGRESO A CPN</v>
      </c>
      <c r="HO14" s="21"/>
      <c r="HP14" s="21"/>
      <c r="HQ14" s="21">
        <v>44814</v>
      </c>
      <c r="HR14" s="21" t="str">
        <f>IF(R14="","",IF(Tabla1[[#This Row],[ALARMA FACTORES DE RIESGO COMPLICACIONES HIPERTENSIVAS3]]="SIN ANTECEDENTES DE RIESGO","No Aplica para suministro de ASA",IF(AND(Tabla1[[#This Row],[FECHA INICIO DE SUMINISTRO DE ASA]]&gt;0,RV14&lt;12),"Inicia ASA ANTES de Sem 12",IF(AND(RV14&gt;11,RV14&lt;17,OR(HK14="RIESGO ALTO DE COMPLICACIONES HIPERTENSIVAS VER MANEJO GUIA SUMINISTRO ASA Y CALCIO",HK14="RIESGO MODERADO (2 O MAS CRITERIOS) VER MANEJO GUIA SUMINISTRO ASA Y CALCIO")),"Inicio oportuno de ASA",IF(AND(RV14&gt;12,OR(HK14="RIESGO ALTO DE COMPLICACIONES HIPERTENSIVAS VER MANEJO GUIA SUMINISTRO ASA Y CALCIO",HK14="RIESGO MODERADO (2 O MAS CRITERIOS) VER MANEJO GUIA SUMINISTRO ASA Y CALCIO")),"Inicio no oportuno mayor a 16 semanas",IF(AND(BU14&lt;12,OR(HK14="RIESGO ALTO DE COMPLICACIONES HIPERTENSIVAS VER MANEJO GUIA SUMINISTRO ASA Y CALCIO",HK14="RIESGO MODERADO (2 O MAS CRITERIOS) VER MANEJO GUIA SUMINISTRO ASA Y CALCIO")),"Pendiente Inicio de ASA a la semana 12",IF(AND(BU14&gt;11,BU14&lt;17,OR(HK14="RIESGO ALTO DE COMPLICACIONES HIPERTENSIVAS VER MANEJO GUIA SUMINISTRO ASA Y CALCIO",HK14="RIESGO MODERADO (2 O MAS CRITERIOS) VER MANEJO GUIA SUMINISTRO ASA Y CALCIO")),"Iniciar de inmediato ASA",IF(AND(BU14&gt;16,OR(HK14="RIESGO ALTO DE COMPLICACIONES HIPERTENSIVAS VER MANEJO GUIA SUMINISTRO ASA Y CALCIO",HK14="RIESGO MODERADO (2 O MAS CRITERIOS) VER MANEJO GUIA SUMINISTRO ASA Y CALCIO")),"Pierde Oportunidad, Inicio tardío de ASA","XXXXX"))))))))</f>
        <v>No Aplica para suministro de ASA</v>
      </c>
      <c r="HS14" s="22">
        <v>44814</v>
      </c>
      <c r="HT14" s="22" t="s">
        <v>935</v>
      </c>
      <c r="HU14" s="22">
        <v>44814</v>
      </c>
      <c r="HV14" s="22" t="s">
        <v>870</v>
      </c>
      <c r="HW14" s="22">
        <v>44814</v>
      </c>
      <c r="HX14" s="22" t="s">
        <v>870</v>
      </c>
      <c r="HY14" s="22">
        <v>44814</v>
      </c>
      <c r="HZ14" s="28">
        <f t="shared" si="48"/>
        <v>8</v>
      </c>
      <c r="IA14" s="26"/>
      <c r="IB14" s="26"/>
      <c r="IC14" s="111"/>
      <c r="ID14" s="22"/>
      <c r="IE14" s="22" t="str">
        <f t="shared" ca="1" si="49"/>
        <v/>
      </c>
      <c r="IF14" s="22"/>
      <c r="IG14" s="22">
        <f t="shared" si="50"/>
        <v>45038</v>
      </c>
      <c r="IH14" s="29">
        <f t="shared" ca="1" si="51"/>
        <v>-194</v>
      </c>
      <c r="II14" s="22" t="str">
        <f t="shared" ca="1" si="52"/>
        <v>POSIBLEMENTE NACIO</v>
      </c>
      <c r="IJ14" s="22">
        <v>44814</v>
      </c>
      <c r="IK14" s="21"/>
      <c r="IL14" s="21"/>
      <c r="IM14" s="34"/>
      <c r="IN14" s="349"/>
      <c r="IO14" s="21"/>
      <c r="IP14" s="29" t="str">
        <f t="shared" si="53"/>
        <v/>
      </c>
      <c r="IQ14" s="35"/>
      <c r="IR14" s="21"/>
      <c r="IS14" s="21"/>
      <c r="IT14" s="21"/>
      <c r="IU14" s="21"/>
      <c r="IV14" s="21"/>
      <c r="IW14" s="21"/>
      <c r="IX14" s="21"/>
      <c r="IY14" s="21"/>
      <c r="IZ14" s="21"/>
      <c r="JA14" s="21"/>
      <c r="JB14" s="30"/>
      <c r="JC14" s="21"/>
      <c r="JD14" s="36"/>
      <c r="JE14" s="21" t="str">
        <f t="shared" si="54"/>
        <v/>
      </c>
      <c r="JF14" s="30"/>
      <c r="JG14" s="21"/>
      <c r="JH14" s="21"/>
      <c r="JI14" s="21"/>
      <c r="JJ14" s="30"/>
      <c r="JK14" s="22"/>
      <c r="JL14" s="22"/>
      <c r="JM14" s="21"/>
      <c r="JN14" s="36"/>
      <c r="JO14" s="21" t="str">
        <f t="shared" si="55"/>
        <v/>
      </c>
      <c r="JP14" s="22"/>
      <c r="JQ14" s="21"/>
      <c r="JR14" s="21"/>
      <c r="JS14" s="21"/>
      <c r="JT14" s="30"/>
      <c r="JU14" s="22"/>
      <c r="JV14" s="22"/>
      <c r="JW14" s="33"/>
      <c r="JX14" s="28" t="str">
        <f t="shared" si="56"/>
        <v/>
      </c>
      <c r="JY14" s="33"/>
      <c r="JZ14" s="28" t="str">
        <f t="shared" si="57"/>
        <v/>
      </c>
      <c r="KA14" s="21"/>
      <c r="KB14" s="21"/>
      <c r="KC14" s="21"/>
      <c r="KD14" s="37"/>
      <c r="KE14" s="28"/>
      <c r="KF14" s="28"/>
      <c r="KG14" s="28"/>
      <c r="KH14" s="39"/>
      <c r="KI14" s="39"/>
      <c r="KJ14" s="66"/>
      <c r="KK14" s="39"/>
      <c r="KL14" s="39"/>
      <c r="KM14" s="66"/>
      <c r="KN14" s="39"/>
      <c r="KO14" s="39"/>
      <c r="KP14" s="39"/>
      <c r="KQ14" s="39"/>
      <c r="KR14" s="39"/>
      <c r="KS14" s="39"/>
      <c r="KT14" s="39"/>
      <c r="KU14" s="38"/>
      <c r="KV14" s="38"/>
      <c r="KW14" s="38"/>
      <c r="KX14" s="38"/>
      <c r="KY14" s="38"/>
      <c r="KZ14" s="38"/>
      <c r="LA14" s="38"/>
      <c r="LB14" s="38"/>
      <c r="LC14" s="38"/>
      <c r="LD14" s="38"/>
      <c r="LE14" s="38"/>
      <c r="LF14" s="38"/>
      <c r="LG14" s="38"/>
      <c r="LH14" s="38"/>
      <c r="LI14" s="38"/>
      <c r="LJ14" s="38"/>
      <c r="LK14" s="38"/>
      <c r="LL14" s="38"/>
      <c r="LM14" s="38"/>
      <c r="LN14" s="38"/>
      <c r="LO14" s="38"/>
      <c r="LP14" s="38"/>
      <c r="LQ14" s="38"/>
      <c r="LR14" s="38"/>
      <c r="LS14" s="38"/>
      <c r="LT14" s="38"/>
      <c r="LU14" s="38"/>
      <c r="LV14" s="38"/>
      <c r="LW14" s="38"/>
      <c r="LX14" s="38"/>
      <c r="LY14" s="38"/>
      <c r="LZ14" s="38"/>
      <c r="MA14" s="38"/>
      <c r="MB14" s="38"/>
      <c r="MC14" s="38"/>
      <c r="MD14" s="38"/>
      <c r="ME14" s="38"/>
      <c r="MF14" s="38"/>
      <c r="MG14" s="38"/>
      <c r="MH14" s="43">
        <f t="shared" si="58"/>
        <v>0</v>
      </c>
      <c r="MI14" s="43" t="str">
        <f t="shared" si="59"/>
        <v/>
      </c>
      <c r="MJ14" s="43" t="str">
        <f t="shared" si="60"/>
        <v/>
      </c>
      <c r="MK14" s="43">
        <f t="shared" si="61"/>
        <v>0</v>
      </c>
      <c r="ML1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4" s="43">
        <f t="shared" si="62"/>
        <v>8</v>
      </c>
      <c r="MN14" s="43">
        <f t="shared" si="63"/>
        <v>9</v>
      </c>
      <c r="MO14" s="43">
        <f t="shared" si="64"/>
        <v>2022</v>
      </c>
      <c r="MP14" s="43" t="str">
        <f t="shared" si="65"/>
        <v>III TRIMESTRE AÑO</v>
      </c>
      <c r="MQ14" s="43">
        <f t="shared" si="66"/>
        <v>26.029347349978096</v>
      </c>
      <c r="MR14" s="43">
        <f t="shared" si="67"/>
        <v>0</v>
      </c>
      <c r="MS14" s="43" t="str">
        <f t="shared" si="68"/>
        <v xml:space="preserve"> DE 25 A 29 AÑOS</v>
      </c>
      <c r="MT14" s="43">
        <f t="shared" si="69"/>
        <v>0</v>
      </c>
      <c r="MU14" s="43">
        <f t="shared" si="70"/>
        <v>1</v>
      </c>
      <c r="MV14" s="43">
        <f t="shared" si="71"/>
        <v>0</v>
      </c>
      <c r="MW14" s="43">
        <f t="shared" si="72"/>
        <v>0</v>
      </c>
      <c r="MX14" s="43" t="str">
        <f t="shared" si="73"/>
        <v/>
      </c>
      <c r="MY14" s="43" t="str">
        <f t="shared" ca="1" si="74"/>
        <v/>
      </c>
      <c r="MZ14" s="43" t="str">
        <f t="shared" si="75"/>
        <v/>
      </c>
      <c r="NA14" s="43" t="str">
        <f t="shared" si="76"/>
        <v/>
      </c>
      <c r="NB14" s="43" t="str">
        <f t="shared" si="77"/>
        <v/>
      </c>
      <c r="NC14" s="43" t="str">
        <f t="shared" si="78"/>
        <v/>
      </c>
      <c r="ND14" s="43">
        <f t="shared" ca="1" si="79"/>
        <v>1</v>
      </c>
      <c r="NE14" s="43">
        <f>IF(OR(O14&gt;0,R14&gt;0),SUM(COUNTIF(Tabla1[[#This Row],[AÑOS AL INICIO5 CPN]],"&gt;=40"),COUNTIF(AS14,"0"),COUNTIF(AR14,"SI"),COUNTIF(CC14,"SI"),COUNTIF(BQ14,"&gt;119"),COUNTIF(CI14,"&gt;=35")),"")</f>
        <v>1</v>
      </c>
      <c r="NF14" s="43" t="str">
        <f t="shared" si="80"/>
        <v/>
      </c>
      <c r="NG14" s="43">
        <f t="shared" si="81"/>
        <v>0</v>
      </c>
      <c r="NH14" s="43" t="str">
        <f t="shared" si="82"/>
        <v/>
      </c>
      <c r="NI1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CPN",P14="NO"),"Z",IF(AND(Tabla1[[#This Row],[CITA PROXIMO CONTROL]]="CITA MANUAL",Tabla1[[#This Row],[GESTANTES ACTUALES]]="ACTIVA INGRESO A CPN"),"W",IF(AND(Tabla1[[#This Row],[GESTANTES ACTUALES]]="SALIO PROGRAMA",IN14=""),"S",IF(AND(Tabla1[[#This Row],[CITA PROXIMO CONTROL]]&gt;0,IN14=""),(Tabla1[[#This Row],[CITA PROXIMO CONTROL]]-TODAY()),"SD"))))))))</f>
        <v>#REF!</v>
      </c>
      <c r="NJ14" s="43">
        <f>MONTH(Tabla1[[#This Row],[FECHA DE SALIDA  DEL PROGRAMA]])</f>
        <v>1</v>
      </c>
      <c r="NK14" s="43">
        <f>YEAR(Tabla1[[#This Row],[FECHA DE SALIDA  DEL PROGRAMA]])</f>
        <v>1900</v>
      </c>
      <c r="NL14" s="43" t="str">
        <f t="shared" si="83"/>
        <v>X</v>
      </c>
      <c r="NM14" s="43" t="str">
        <f t="shared" si="84"/>
        <v>NO</v>
      </c>
      <c r="NN14" s="43" t="str">
        <f ca="1">IF(AND(O14&gt;0,R14=""),"NO CPN",IF(AND(O14="",R14=""),"",IF(AND(R14&gt;0,Tabla1[[#This Row],[SEMANAS DE GESTACION ACTUALIZADAS]]&lt;=12),"NO APLICA",IF(AND(FH14&lt;&gt;"",FN14&lt;&gt;""),"SI","NO"))))</f>
        <v>NO</v>
      </c>
      <c r="NO14" s="43" t="str">
        <f ca="1">IF(AND(O14&gt;0,R14=""),"NO CPN",IF(AND(O14="",R14=""),"",IF(AND(R14&gt;0,Tabla1[[#This Row],[SEMANAS DE GESTACION ACTUALIZADAS]]&lt;=27),"NO APLICA",IF(AND(ES14&lt;&gt;"",FQ14&lt;&gt;"",GF14&lt;&gt;""),"SI","NO"))))</f>
        <v>NO</v>
      </c>
      <c r="NP14" s="21" t="str">
        <f t="shared" si="85"/>
        <v>I TRIM</v>
      </c>
      <c r="NQ14" s="21">
        <f t="shared" si="86"/>
        <v>1</v>
      </c>
      <c r="NR14" s="21" t="str">
        <f t="shared" ca="1" si="87"/>
        <v>REVISAR FUM O FECHA SALIDA PROGRAMA</v>
      </c>
      <c r="NS14" s="205">
        <f t="shared" ca="1" si="88"/>
        <v>1</v>
      </c>
      <c r="NT14" s="21">
        <f t="shared" ca="1" si="89"/>
        <v>1</v>
      </c>
      <c r="NU14" s="21" t="str">
        <f t="shared" ca="1" si="90"/>
        <v>POR DEFINIR</v>
      </c>
      <c r="NV14" s="21" t="str">
        <f t="shared" ca="1" si="91"/>
        <v>POR DEFINIR</v>
      </c>
      <c r="NW14" s="206" t="str">
        <f>IF(AND(O14="",R14=""),"",IF(OR(AND(Tabla1[[#This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4" s="207" t="str">
        <f t="shared" ca="1" si="92"/>
        <v>SIN VACUNAR</v>
      </c>
      <c r="NY14" s="43">
        <f>ROW(Tabla1[[#This Row],['# DE TAMIZAJES SIFILIS TOMADOS ]])</f>
        <v>14</v>
      </c>
      <c r="NZ14" s="43" t="str">
        <f t="shared" si="93"/>
        <v>Menor</v>
      </c>
      <c r="OA14" s="43" t="str">
        <f t="shared" si="94"/>
        <v>OBESIDAD</v>
      </c>
      <c r="OB14" s="43" t="str">
        <f t="shared" si="95"/>
        <v/>
      </c>
      <c r="OC14" s="43" t="str">
        <f t="shared" si="96"/>
        <v/>
      </c>
      <c r="OD14" s="43" t="str">
        <f t="shared" si="97"/>
        <v/>
      </c>
      <c r="OE14" s="43" t="str">
        <f t="shared" si="98"/>
        <v/>
      </c>
      <c r="OF14" s="43" t="str">
        <f t="shared" si="99"/>
        <v/>
      </c>
      <c r="OG14" s="43" t="str">
        <f t="shared" si="100"/>
        <v/>
      </c>
      <c r="OH14" s="43" t="str">
        <f t="shared" si="101"/>
        <v/>
      </c>
      <c r="OI14" s="43" t="str">
        <f t="shared" si="102"/>
        <v/>
      </c>
      <c r="OJ14" s="43" t="str">
        <f t="shared" si="103"/>
        <v/>
      </c>
      <c r="OK14" s="43" t="str">
        <f t="shared" si="104"/>
        <v/>
      </c>
      <c r="OL14" s="43" t="str">
        <f t="shared" si="105"/>
        <v/>
      </c>
      <c r="OM14" s="43" t="str">
        <f t="shared" si="106"/>
        <v/>
      </c>
      <c r="ON14" s="43" t="str">
        <f t="shared" si="107"/>
        <v/>
      </c>
      <c r="OO14" s="43" t="str">
        <f t="shared" si="108"/>
        <v/>
      </c>
      <c r="OP14" s="43" t="str">
        <f t="shared" si="109"/>
        <v/>
      </c>
      <c r="OQ14" s="43" t="str">
        <f t="shared" si="110"/>
        <v/>
      </c>
      <c r="OR14" s="43" t="str">
        <f t="shared" si="111"/>
        <v/>
      </c>
      <c r="OS14" s="43" t="str">
        <f t="shared" si="112"/>
        <v/>
      </c>
      <c r="OT14" s="43" t="str">
        <f t="shared" si="113"/>
        <v/>
      </c>
      <c r="OU14" s="43" t="str">
        <f t="shared" si="114"/>
        <v/>
      </c>
      <c r="OV14" s="110" t="str">
        <f t="shared" si="115"/>
        <v/>
      </c>
      <c r="OW14" s="43" t="str">
        <f t="shared" si="116"/>
        <v/>
      </c>
      <c r="OX14" s="43" t="str">
        <f t="shared" si="117"/>
        <v/>
      </c>
      <c r="OY14" s="43" t="str">
        <f t="shared" si="118"/>
        <v/>
      </c>
      <c r="OZ14" s="43" t="str">
        <f t="shared" si="119"/>
        <v/>
      </c>
      <c r="PA14" s="43" t="str">
        <f t="shared" si="120"/>
        <v/>
      </c>
      <c r="PB14" s="43" t="str">
        <f t="shared" si="121"/>
        <v/>
      </c>
      <c r="PC14" s="43" t="str">
        <f t="shared" si="122"/>
        <v/>
      </c>
      <c r="PD14" s="43" t="str">
        <f t="shared" si="123"/>
        <v/>
      </c>
      <c r="PE14" s="43" t="str">
        <f t="shared" si="124"/>
        <v/>
      </c>
      <c r="PF14" s="43" t="str">
        <f t="shared" si="125"/>
        <v/>
      </c>
      <c r="PG14" s="43" t="str">
        <f t="shared" si="126"/>
        <v/>
      </c>
      <c r="PH14" s="43" t="str">
        <f t="shared" si="127"/>
        <v/>
      </c>
      <c r="PI14" s="43" t="str">
        <f t="shared" si="128"/>
        <v>Menor</v>
      </c>
      <c r="PJ14" s="43" t="str">
        <f t="shared" si="129"/>
        <v/>
      </c>
      <c r="PK14" s="43" t="str">
        <f t="shared" si="130"/>
        <v/>
      </c>
      <c r="PL14" s="43" t="str">
        <f t="shared" si="131"/>
        <v/>
      </c>
      <c r="PM14" s="43" t="str">
        <f t="shared" si="132"/>
        <v/>
      </c>
      <c r="PN14" s="43" t="str">
        <f t="shared" si="133"/>
        <v/>
      </c>
      <c r="PO14" s="43" t="str">
        <f t="shared" si="134"/>
        <v/>
      </c>
      <c r="PP14" s="43" t="str">
        <f t="shared" si="135"/>
        <v/>
      </c>
      <c r="PQ14" s="43" t="str">
        <f t="shared" si="136"/>
        <v/>
      </c>
      <c r="PR14" s="43" t="str">
        <f t="shared" si="137"/>
        <v/>
      </c>
      <c r="PS14" s="43" t="str">
        <f t="shared" si="138"/>
        <v/>
      </c>
      <c r="PT14" s="43" t="str">
        <f t="shared" si="139"/>
        <v/>
      </c>
      <c r="PU14" s="43" t="str">
        <f t="shared" si="140"/>
        <v/>
      </c>
      <c r="PV14" s="43" t="str">
        <f t="shared" si="141"/>
        <v/>
      </c>
      <c r="PW14" s="43" t="str">
        <f t="shared" si="142"/>
        <v/>
      </c>
      <c r="PX14" s="43" t="str">
        <f t="shared" si="143"/>
        <v/>
      </c>
      <c r="PY14" s="43" t="str">
        <f t="shared" si="144"/>
        <v/>
      </c>
      <c r="PZ14" s="43" t="str">
        <f t="shared" si="145"/>
        <v/>
      </c>
      <c r="QA14" s="43" t="str">
        <f t="shared" si="146"/>
        <v/>
      </c>
      <c r="QB14" s="43" t="str">
        <f t="shared" si="147"/>
        <v/>
      </c>
      <c r="QC14" s="43" t="str">
        <f t="shared" si="148"/>
        <v/>
      </c>
      <c r="QD14" s="43" t="str">
        <f t="shared" si="149"/>
        <v/>
      </c>
      <c r="QE14" s="43" t="str">
        <f t="shared" si="150"/>
        <v/>
      </c>
      <c r="QF14" s="43" t="str">
        <f t="shared" si="151"/>
        <v/>
      </c>
      <c r="QG14" s="43" t="str">
        <f t="shared" si="152"/>
        <v/>
      </c>
      <c r="QH14" s="43" t="str">
        <f t="shared" si="153"/>
        <v/>
      </c>
      <c r="QI14" s="43" t="str">
        <f t="shared" si="154"/>
        <v/>
      </c>
      <c r="QJ14" s="43" t="str">
        <f t="shared" si="155"/>
        <v/>
      </c>
      <c r="QK14" s="43" t="str">
        <f t="shared" si="156"/>
        <v/>
      </c>
      <c r="QL14" s="43" t="str">
        <f t="shared" si="157"/>
        <v/>
      </c>
      <c r="QM14" s="43" t="str">
        <f t="shared" si="158"/>
        <v/>
      </c>
      <c r="QN14" s="43" t="str">
        <f t="shared" si="159"/>
        <v/>
      </c>
      <c r="QO14" s="43" t="str">
        <f t="shared" si="160"/>
        <v/>
      </c>
      <c r="QP14" s="43" t="str">
        <f t="shared" si="161"/>
        <v/>
      </c>
      <c r="QQ14" s="43" t="str">
        <f t="shared" si="162"/>
        <v/>
      </c>
      <c r="QR14" s="43" t="str">
        <f t="shared" si="192"/>
        <v>Menor</v>
      </c>
      <c r="QS14" s="43"/>
      <c r="QT14" s="21" t="str">
        <f t="shared" si="163"/>
        <v/>
      </c>
      <c r="QU14" s="21" t="str">
        <f t="shared" si="164"/>
        <v/>
      </c>
      <c r="QV14" s="21" t="str">
        <f t="shared" si="165"/>
        <v/>
      </c>
      <c r="QW14" s="21" t="str">
        <f t="shared" si="166"/>
        <v/>
      </c>
      <c r="QX14" s="21" t="str">
        <f t="shared" si="167"/>
        <v/>
      </c>
      <c r="QY14" s="21" t="str">
        <f t="shared" si="168"/>
        <v/>
      </c>
      <c r="QZ14" s="21" t="str">
        <f t="shared" si="169"/>
        <v/>
      </c>
      <c r="RA14" s="21" t="str">
        <f t="shared" si="170"/>
        <v/>
      </c>
      <c r="RB14" s="21" t="str">
        <f t="shared" si="171"/>
        <v/>
      </c>
      <c r="RC14" s="21" t="str">
        <f t="shared" si="172"/>
        <v/>
      </c>
      <c r="RD14" s="21" t="str">
        <f t="shared" si="173"/>
        <v/>
      </c>
      <c r="RE14" s="21" t="str">
        <f t="shared" si="174"/>
        <v/>
      </c>
      <c r="RF14" s="21" t="str">
        <f t="shared" si="175"/>
        <v/>
      </c>
      <c r="RG14" s="21" t="str">
        <f t="shared" si="176"/>
        <v/>
      </c>
      <c r="RH14" s="21" t="str">
        <f t="shared" si="177"/>
        <v/>
      </c>
      <c r="RI14" s="21" t="str">
        <f t="shared" si="178"/>
        <v/>
      </c>
      <c r="RJ14" s="21" t="str">
        <f t="shared" si="179"/>
        <v/>
      </c>
      <c r="RK14" s="21" t="str">
        <f t="shared" si="180"/>
        <v/>
      </c>
      <c r="RL14" s="21" t="str">
        <f t="shared" si="181"/>
        <v/>
      </c>
      <c r="RM14" s="21" t="str">
        <f t="shared" si="182"/>
        <v/>
      </c>
      <c r="RN14" s="21" t="str">
        <f t="shared" si="183"/>
        <v/>
      </c>
      <c r="RO14" s="21" t="str">
        <f t="shared" si="184"/>
        <v/>
      </c>
      <c r="RP14" s="21" t="str">
        <f t="shared" si="185"/>
        <v/>
      </c>
      <c r="RQ14" s="21" t="str">
        <f t="shared" si="186"/>
        <v/>
      </c>
      <c r="RR14" s="21" t="str">
        <f t="shared" si="187"/>
        <v/>
      </c>
      <c r="RS14" s="21" t="str">
        <f t="shared" si="188"/>
        <v/>
      </c>
      <c r="RT14" s="21" t="str">
        <f t="shared" si="189"/>
        <v/>
      </c>
      <c r="RU14" s="21" t="str">
        <f t="shared" si="190"/>
        <v/>
      </c>
      <c r="RV14" s="21">
        <f t="shared" si="191"/>
        <v>8</v>
      </c>
      <c r="RW14" s="284">
        <f>IF(OR(Tabla1[[#This Row],[FUM FORMULA CONFIABLE]]="",Tabla1[[#This Row],[FUM FORMULA CONFIABLE]]="SD"),"",IF(Tabla1[[#This Row],[FUM FORMULA CONFIABLE]]="CORREGIDA",Tabla1[[#This Row],[FUM X ECO 1]],Tabla1[[#This Row],[FUM x AMENORREA]]))</f>
        <v>44758</v>
      </c>
      <c r="RX14" s="21" t="str">
        <f>IF(AND(Tabla1[[#This Row],[FUM X ECO 1]]="",Tabla1[[#This Row],[FUM x AMENORREA]]=""),"",IF(AND(Tabla1[[#This Row],[FUM X ECO 1]]="",Tabla1[[#This Row],[FUM x AMENORREA]]&lt;&gt;""),"X",SUM(Tabla1[[#This Row],[FUM X ECO 1]]-Tabla1[[#This Row],[FUM x AMENORREA]])))</f>
        <v>X</v>
      </c>
      <c r="RY14" s="21" t="str">
        <f t="shared" si="193"/>
        <v>x</v>
      </c>
    </row>
    <row r="15" spans="1:493" ht="45" customHeight="1" x14ac:dyDescent="0.25">
      <c r="A15" s="109"/>
      <c r="B15" s="43" t="s">
        <v>942</v>
      </c>
      <c r="C15" s="43" t="s">
        <v>845</v>
      </c>
      <c r="D15" s="124" t="s">
        <v>846</v>
      </c>
      <c r="E15" s="43" t="s">
        <v>943</v>
      </c>
      <c r="F15" s="43" t="s">
        <v>944</v>
      </c>
      <c r="G15" s="43" t="s">
        <v>945</v>
      </c>
      <c r="H15" s="43" t="s">
        <v>919</v>
      </c>
      <c r="I15" s="109" t="s">
        <v>851</v>
      </c>
      <c r="J15" s="110">
        <v>1002847740</v>
      </c>
      <c r="K15" s="43" t="s">
        <v>852</v>
      </c>
      <c r="L15" s="175" t="s">
        <v>853</v>
      </c>
      <c r="M15" s="22">
        <v>37227</v>
      </c>
      <c r="N15" s="213">
        <f t="shared" ca="1" si="0"/>
        <v>21.931506849315067</v>
      </c>
      <c r="O15" s="22">
        <v>44814</v>
      </c>
      <c r="P15" s="214" t="str">
        <f t="shared" si="1"/>
        <v>SI</v>
      </c>
      <c r="Q15" s="26" t="s">
        <v>855</v>
      </c>
      <c r="R15" s="22">
        <v>44813</v>
      </c>
      <c r="S15" s="21" t="s">
        <v>856</v>
      </c>
      <c r="T15" s="24" t="s">
        <v>690</v>
      </c>
      <c r="U15" s="21" t="s">
        <v>857</v>
      </c>
      <c r="V15" s="21" t="s">
        <v>858</v>
      </c>
      <c r="W15" s="21" t="s">
        <v>859</v>
      </c>
      <c r="X15" s="21" t="s">
        <v>859</v>
      </c>
      <c r="Y15" s="21" t="s">
        <v>859</v>
      </c>
      <c r="Z15" s="21">
        <v>3157904530</v>
      </c>
      <c r="AA15" s="21" t="s">
        <v>860</v>
      </c>
      <c r="AB15" s="27" t="s">
        <v>861</v>
      </c>
      <c r="AC15" s="26" t="s">
        <v>897</v>
      </c>
      <c r="AD15" s="38" t="s">
        <v>846</v>
      </c>
      <c r="AE15" s="26" t="s">
        <v>854</v>
      </c>
      <c r="AF15" s="26" t="s">
        <v>854</v>
      </c>
      <c r="AG15" s="23" t="s">
        <v>864</v>
      </c>
      <c r="AH15" s="23" t="s">
        <v>864</v>
      </c>
      <c r="AI15" s="24" t="s">
        <v>863</v>
      </c>
      <c r="AJ15" s="23" t="s">
        <v>864</v>
      </c>
      <c r="AK15" s="220" t="str">
        <f>IF(AND(AD15="",AE15="",AF15="",AG15="",AH15="",AI15="",AJ15=""),"",IF(OR(Tabla1[[#This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EVALUACIÓN",IF(AND(O15="",R15=""),"",IF(AND(OR(O15&gt;0,R15&gt;0),NG15&gt;=0,NG15&lt;2),"SIN RIESGO",IF(AND(OR(O15&gt;0,R15&gt;0),NG15&gt;=2),"CON RIESGO","ASD")))))</f>
        <v>SIN RIESGO</v>
      </c>
      <c r="AL15" s="23" t="s">
        <v>864</v>
      </c>
      <c r="AM15" s="26" t="s">
        <v>864</v>
      </c>
      <c r="AN15" s="26" t="s">
        <v>864</v>
      </c>
      <c r="AO15" s="26" t="s">
        <v>864</v>
      </c>
      <c r="AP15" s="26" t="s">
        <v>864</v>
      </c>
      <c r="AQ15" s="26" t="s">
        <v>864</v>
      </c>
      <c r="AR15" s="26" t="s">
        <v>864</v>
      </c>
      <c r="AS15" s="21">
        <v>1</v>
      </c>
      <c r="AT15" s="21">
        <v>0</v>
      </c>
      <c r="AU15" s="21">
        <v>0</v>
      </c>
      <c r="AV15" s="26" t="s">
        <v>864</v>
      </c>
      <c r="AW15" s="21">
        <v>0</v>
      </c>
      <c r="AX15" s="26" t="s">
        <v>864</v>
      </c>
      <c r="AY15" s="26" t="s">
        <v>864</v>
      </c>
      <c r="AZ15" s="26" t="s">
        <v>864</v>
      </c>
      <c r="BA15" s="26" t="s">
        <v>864</v>
      </c>
      <c r="BB15" s="26" t="s">
        <v>864</v>
      </c>
      <c r="BC15" s="26" t="s">
        <v>864</v>
      </c>
      <c r="BD15" s="26" t="s">
        <v>864</v>
      </c>
      <c r="BE15" s="26" t="s">
        <v>864</v>
      </c>
      <c r="BF15" s="26" t="s">
        <v>864</v>
      </c>
      <c r="BG15" s="26" t="s">
        <v>864</v>
      </c>
      <c r="BH15" s="26"/>
      <c r="BI15" s="26" t="s">
        <v>864</v>
      </c>
      <c r="BJ15" s="26"/>
      <c r="BK15" s="26"/>
      <c r="BL15" s="26"/>
      <c r="BM15" s="26" t="s">
        <v>864</v>
      </c>
      <c r="BN15" s="22">
        <v>44448</v>
      </c>
      <c r="BO15" s="22">
        <v>44760</v>
      </c>
      <c r="BP15" s="21" t="s">
        <v>854</v>
      </c>
      <c r="BQ15" s="222">
        <f t="shared" si="2"/>
        <v>10.4</v>
      </c>
      <c r="BR15" s="223">
        <f t="shared" si="3"/>
        <v>44761.2</v>
      </c>
      <c r="BS15" s="224">
        <f t="shared" si="4"/>
        <v>7.5714285714285712</v>
      </c>
      <c r="BT15" s="216" t="str">
        <f t="shared" si="5"/>
        <v>I TRIM</v>
      </c>
      <c r="BU15" s="214" t="str">
        <f t="shared" ca="1" si="6"/>
        <v/>
      </c>
      <c r="BV15" s="25"/>
      <c r="BW15" s="22">
        <v>44834</v>
      </c>
      <c r="BX15" s="28">
        <v>10.4</v>
      </c>
      <c r="BY15" s="28"/>
      <c r="BZ15" s="22">
        <v>44858</v>
      </c>
      <c r="CA15" s="21">
        <v>14</v>
      </c>
      <c r="CB15" s="26" t="s">
        <v>864</v>
      </c>
      <c r="CC15" s="26" t="s">
        <v>864</v>
      </c>
      <c r="CD15" s="26" t="s">
        <v>878</v>
      </c>
      <c r="CE15" s="26" t="s">
        <v>864</v>
      </c>
      <c r="CF15" s="22">
        <v>44814</v>
      </c>
      <c r="CG15" s="21">
        <v>1.43</v>
      </c>
      <c r="CH15" s="21">
        <v>49</v>
      </c>
      <c r="CI15" s="214">
        <f t="shared" si="7"/>
        <v>23.962051934079909</v>
      </c>
      <c r="CJ15" s="225" t="str">
        <f>IF(AND(CI15&lt;10,CH15="SD"),"SIN DATO PESO PREGESTACION O I TRIM",IF(AND(OR(R15&gt;0,O15&gt;0),CI15="X"),"INGRESAR DATO DE PESO",IF(CI15="SD","INGRESAR DATO DE TALLA Y PESO",IF(AND(OR(Tabla1[[#This Row],[MOMENTO EN QUE SE REALIZA EL PESO AL INGRESO A CPN]]="PREGESTACIÓN",NZ15="Menor"),CI15&lt;18.5),"BAJO PESO",IF(AND(OR(Tabla1[[#This Row],[MOMENTO EN QUE SE REALIZA EL PESO AL INGRESO A CPN]]="PREGESTACIÓN",NZ15="Menor"),CI15&lt;25),"NORMAL",IF(AND(OR(Tabla1[[#This Row],[MOMENTO EN QUE SE REALIZA EL PESO AL INGRESO A CPN]]="PREGESTACIÓN",NZ15="Menor"),CI15&lt;30),"SOBREPESO",IF(AND(OR(Tabla1[[#This Row],[MOMENTO EN QUE SE REALIZA EL PESO AL INGRESO A CPN]]="PREGESTACIÓN",NZ15="Menor"),CI15&gt;=30,CI15&lt;50),"OBESIDAD",IF(AND(BS15&gt;0,Tabla1[[#This Row],[MOMENTO EN QUE SE REALIZA EL PESO AL INGRESO A CPN]]="GESTACIÓN"),HLOOKUP(NZ15,$OA$2:PH15,NY15),""))))))))</f>
        <v>NORMAL</v>
      </c>
      <c r="CK15" s="212">
        <f t="shared" si="8"/>
        <v>44939</v>
      </c>
      <c r="CL15" s="21"/>
      <c r="CM15" s="214">
        <f t="shared" si="9"/>
        <v>0</v>
      </c>
      <c r="CN15" s="216">
        <f t="shared" si="10"/>
        <v>25</v>
      </c>
      <c r="CO15" s="216" t="e">
        <f>IF(PI15="","",IF(PI15&gt;0,HLOOKUP(PI15,$PJ$2:QQ15,NY15),""))</f>
        <v>#REF!</v>
      </c>
      <c r="CP15" s="21"/>
      <c r="CQ15" s="216" t="e">
        <f>IF(QR15="Menor","NO APLICA-MENOR 13 SEM",IF(AND(CC15="SI",CN15&gt;23),"NO APLICA- GEMELAR",IF(QR15="","",IF(QR15&gt;0,HLOOKUP(QR15,$QS$2:RU15,NY15),""))))</f>
        <v>#REF!</v>
      </c>
      <c r="CR15" s="21">
        <v>120</v>
      </c>
      <c r="CS15" s="21">
        <v>60</v>
      </c>
      <c r="CT15" s="217" t="str">
        <f>IF(R15="","",IF(AND(BS15&gt;1,BS15&lt;12,Tabla1[[#This Row],[T.A. SISTOLICA - ANTES DE SEMANA 12]]="",Tabla1[[#This Row],[T.A. DIASTOLICA - ANTES DE SEMANA 12]]=""),"REGISTRE DATO TA ANTES SEMANA 12",IF(AND(BS15&gt;11,BS15&lt;43,Tabla1[[#This Row],[T.A. SISTOLICA - ANTES DE SEMANA 12]]="",Tabla1[[#This Row],[T.A. DIASTOLICA - ANTES DE SEMANA 12]]=""),"NO APLICA REGISTRO TA-INGRESO TARDIO",IF(AND(OR(O15&gt;0,R15&gt;0),OR(CR15&gt;=140,CS15&gt;=90)),"DEFINIR ESTADIO HTA",IF(AND(OR(O15&gt;0,R15&gt;0),AND(CR15&gt;120,CR15&lt;=139)),"PRE HTA SEGUIMIENTO",IF(AND(OR(O15&gt;0,R15&gt;0),AND(CS15&gt;80,CS15&lt;=89)),"PRE HTA SEGUIMIENTO",IF(AND(OR(O15&gt;0,R15&gt;0),AND(CR15&gt;=80,CR15&lt;=120)),"APARENTEMENTE NORMAL",IF(AND(OR(O15&gt;0,R15&gt;0),AND(CS15&gt;=50,CS15&lt;=80)),"APARENTEMENTE NORMAL",IF(AND(OR(O15&gt;0,R15&gt;0),AND(CR15&gt;1,CR15&lt;=70),AND(CS15&gt;1,CS15&lt;=40)),"HIPOTENSIÓN","")))))))))</f>
        <v>APARENTEMENTE NORMAL</v>
      </c>
      <c r="CU15" s="21">
        <v>90</v>
      </c>
      <c r="CV15" s="21">
        <v>60</v>
      </c>
      <c r="CW15" s="217" t="str">
        <f ca="1">IF(R15="","",IF(AND(CN15&gt;19,CN15&lt;27,Tabla1[[#This Row],[T.A. SISTOLICA (Entre semana 20 y 26)]]="",Tabla1[[#This Row],[T.A. DIATOLICA (Entre semana 20 y 26)]]=""),"ACUDE A CONTROL SEM 20 A 26 REGISTRE TA AHORA",IF(AND(BS15&gt;1,BS15&lt;27,BU15&gt;19,Tabla1[[#This Row],[T.A. SISTOLICA (Entre semana 20 y 26)]]="",Tabla1[[#This Row],[T.A. DIATOLICA (Entre semana 20 y 26)]]=""),"COMPLETE REGISTRO TA CONTROL SEM 20 A26 ",IF(AND(BS15&gt;26,BS15&lt;43,Tabla1[[#This Row],[T.A. SISTOLICA (Entre semana 20 y 26)]]="",Tabla1[[#This Row],[T.A. DIATOLICA (Entre semana 20 y 26)]]=""),"NO APLICA REGISTRO TA-INGRESO TARDIO",IF(AND(OR(O15&gt;0,R15&gt;0),OR(CU15&gt;=140,CV15&gt;=90)),"ALTO RIESGO PREECLAMPSIA,DEFINIR ESTADIO HTA",IF(AND(OR(O15&gt;0,R15&gt;0),AND(CU15&gt;120,CU15&lt;=139)),"PRE HTA SEGUIMIENTO,RIESGO HIPERTENSION INDUCIDA POR EL EMBARAZO",IF(AND(OR(O15&gt;0,R15&gt;0),AND(CV15&gt;80,CV15&lt;=89)),"PRE HTA SEGUIMIENTO, RIESGO HIPERTENSION INDUCIDA POR EL EMBARAZO",IF(AND(OR(O15&lt;&gt;"",R15&lt;&gt;""),CS15&lt;&gt;"",CV15&lt;&gt;"",CS15&lt;=CV15),"VIGILAR CIFRAS PRESION ARTERIAL",IF(AND(OR(O15&gt;0,R15&gt;0),AND(CU15&gt;120,CU15&lt;=139)),"PRE HTA SEGUIMIENTO",IF(AND(OR(O15&gt;0,R15&gt;0),AND(CU15&gt;1,CU15&lt;=70),AND(CV15&gt;1,CV15&lt;=40)),"HIPOTENSIÓN",IF(AND(OR(O15&lt;&gt;"",R15&lt;&gt;""),CS15&lt;&gt;"",CV15&lt;&gt;"",CS15&gt;CV15),"APARENTEMENTE NORMAL",IF(AND(OR(O15&gt;0,R15&gt;0),AND(CU15&gt;=80,CU15&lt;=120)),"APARENTEMENTE NORMAL",IF(AND(OR(O15&gt;0,R15&gt;0),AND(CV15&gt;=50,CV15&lt;=80)),"APARENTEMENTE NORMAL","")))))))))))))</f>
        <v>VIGILAR CIFRAS PRESION ARTERIAL</v>
      </c>
      <c r="CX15" s="21"/>
      <c r="CY15" s="21"/>
      <c r="CZ15" s="216" t="str">
        <f t="shared" si="11"/>
        <v/>
      </c>
      <c r="DA15" s="21"/>
      <c r="DB15" s="21"/>
      <c r="DC15" s="217" t="str">
        <f t="shared" si="12"/>
        <v>REGISTRE DATO PRESIÓN ARTERIAL MENSUAL</v>
      </c>
      <c r="DD15" s="22">
        <v>44814</v>
      </c>
      <c r="DE15" s="22">
        <v>44814</v>
      </c>
      <c r="DF15" s="22">
        <v>44840</v>
      </c>
      <c r="DG15" s="22">
        <v>44886</v>
      </c>
      <c r="DH15" s="22">
        <v>44939</v>
      </c>
      <c r="DI15" s="22"/>
      <c r="DJ15" s="22"/>
      <c r="DK15" s="22"/>
      <c r="DL15" s="22"/>
      <c r="DM15" s="22"/>
      <c r="DN15" s="22"/>
      <c r="DO15" s="22"/>
      <c r="DP15" s="22"/>
      <c r="DQ15" s="22"/>
      <c r="DR15" s="28">
        <v>2</v>
      </c>
      <c r="DS15" s="22"/>
      <c r="DT15" s="22"/>
      <c r="DU15" s="216" t="str">
        <f t="shared" ca="1" si="13"/>
        <v>SALE SIN PLAN DE PARTO</v>
      </c>
      <c r="DV15" s="226" t="str">
        <f t="shared" si="14"/>
        <v>SALIO PROGRAMA</v>
      </c>
      <c r="DW15"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5" s="216" t="str">
        <f t="shared" ca="1" si="15"/>
        <v/>
      </c>
      <c r="DY15" s="212">
        <f>IF(R15="","",IF(R15&gt;0,MAX(Tabla1[[#This Row],[FECHA C2]:[FECHA C13]],Tabla1[[#This Row],[FECHA CONSULTA PRIMERA VEZ PROGRAMA CPN ]])))</f>
        <v>44939</v>
      </c>
      <c r="DZ15" s="216">
        <f t="shared" si="16"/>
        <v>25</v>
      </c>
      <c r="EA15" s="222">
        <f>IF(R15&gt;0,SUM(COUNTA(DF15:DQ15)+COUNTA(Tabla1[[#This Row],[FECHA CONSULTA PRIMERA VEZ PROGRAMA CPN ]])),"")</f>
        <v>4</v>
      </c>
      <c r="EB15" s="222" t="str">
        <f t="shared" si="17"/>
        <v>SI</v>
      </c>
      <c r="EC15" s="214">
        <f t="shared" si="18"/>
        <v>10</v>
      </c>
      <c r="ED15" s="227">
        <f t="shared" si="19"/>
        <v>0.4</v>
      </c>
      <c r="EE15" s="22">
        <v>44814</v>
      </c>
      <c r="EF15" s="22">
        <v>44811</v>
      </c>
      <c r="EG15" s="22">
        <v>44814</v>
      </c>
      <c r="EH15" s="22">
        <v>44847</v>
      </c>
      <c r="EI15" s="22">
        <v>44814</v>
      </c>
      <c r="EJ15" s="22">
        <v>44846</v>
      </c>
      <c r="EK15" s="22">
        <v>44846</v>
      </c>
      <c r="EL15" s="21">
        <v>1</v>
      </c>
      <c r="EM15" s="21">
        <v>15.2</v>
      </c>
      <c r="EN15" s="22">
        <v>44814</v>
      </c>
      <c r="EO15" s="222">
        <f t="shared" si="20"/>
        <v>7.7142857142857144</v>
      </c>
      <c r="EP15" s="214" t="str">
        <f t="shared" si="21"/>
        <v>NO DAR SULFATO FERROSO</v>
      </c>
      <c r="EQ15" s="216" t="str">
        <f t="shared" si="22"/>
        <v>I TRIM</v>
      </c>
      <c r="ER15" s="24"/>
      <c r="ES15" s="22"/>
      <c r="ET15" s="29" t="str">
        <f t="shared" ca="1" si="23"/>
        <v>SALE SIN TAMIZAJE HEMOGLOBINA SEM 28</v>
      </c>
      <c r="EU15" s="25" t="str">
        <f t="shared" si="24"/>
        <v/>
      </c>
      <c r="EV15" s="24" t="s">
        <v>866</v>
      </c>
      <c r="EW15" s="24">
        <v>44814</v>
      </c>
      <c r="EX15" s="22"/>
      <c r="EY15" s="29">
        <f t="shared" si="25"/>
        <v>7.7142857142857144</v>
      </c>
      <c r="EZ15" s="25" t="str">
        <f t="shared" ca="1" si="26"/>
        <v/>
      </c>
      <c r="FA15" s="21">
        <v>88</v>
      </c>
      <c r="FB15" s="22">
        <v>44814</v>
      </c>
      <c r="FC15" s="29">
        <f t="shared" si="27"/>
        <v>7.7142857142857144</v>
      </c>
      <c r="FD15" s="29"/>
      <c r="FE15" s="29"/>
      <c r="FF15" s="29"/>
      <c r="FG15" s="21" t="str">
        <f t="shared" ca="1" si="28"/>
        <v/>
      </c>
      <c r="FH15" s="31"/>
      <c r="FI15" s="29" t="str">
        <f t="shared" si="29"/>
        <v>TOMAR EXAMEN</v>
      </c>
      <c r="FJ15" s="22" t="s">
        <v>867</v>
      </c>
      <c r="FK15" s="22">
        <v>44814</v>
      </c>
      <c r="FL15" s="29">
        <f t="shared" ca="1" si="30"/>
        <v>7.7142857142857144</v>
      </c>
      <c r="FM15" s="22"/>
      <c r="FN15" s="32"/>
      <c r="FO15" s="29" t="str">
        <f t="shared" ca="1" si="31"/>
        <v>PIERDE TOMA DE TAMIZAJE</v>
      </c>
      <c r="FP15" s="22"/>
      <c r="FQ15" s="32"/>
      <c r="FR15" s="29" t="str">
        <f t="shared" ca="1" si="32"/>
        <v>PIERDE TOMA DE TAMIZAJE</v>
      </c>
      <c r="FS15" s="22"/>
      <c r="FT15" s="32"/>
      <c r="FU15" s="29" t="str">
        <f>IF(AND(FJ15="",FM15="",FP15="",FS15=""),"",IF(OR(OR(Tabla1[[#This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5" s="28"/>
      <c r="FW15" s="22"/>
      <c r="FX15" s="29" t="str">
        <f t="shared" si="33"/>
        <v>TOMAR EXAMEN</v>
      </c>
      <c r="FY15" s="22">
        <v>44814</v>
      </c>
      <c r="FZ15" s="22">
        <v>44814</v>
      </c>
      <c r="GA15" s="29">
        <f t="shared" ca="1" si="34"/>
        <v>7.7142857142857144</v>
      </c>
      <c r="GB15" s="22"/>
      <c r="GC15" s="22"/>
      <c r="GD15" s="29" t="str">
        <f t="shared" ca="1" si="35"/>
        <v>PIERDE TOMA DE TAMIZAJE</v>
      </c>
      <c r="GE15" s="22"/>
      <c r="GF15" s="22"/>
      <c r="GG15" s="29" t="str">
        <f t="shared" ca="1" si="36"/>
        <v>PIERDE TOMA DE TAMIZAJE</v>
      </c>
      <c r="GH15" s="22"/>
      <c r="GI15" s="29"/>
      <c r="GJ15" s="22"/>
      <c r="GK15" s="22"/>
      <c r="GL15" s="22" t="s">
        <v>879</v>
      </c>
      <c r="GM15" s="22"/>
      <c r="GN15" s="28" t="s">
        <v>869</v>
      </c>
      <c r="GO15" s="22">
        <v>44814</v>
      </c>
      <c r="GP15" s="29">
        <f t="shared" si="37"/>
        <v>7.7142857142857144</v>
      </c>
      <c r="GQ15" s="28" t="s">
        <v>869</v>
      </c>
      <c r="GR15" s="28" t="s">
        <v>869</v>
      </c>
      <c r="GS15" s="22" t="str">
        <f t="shared" si="38"/>
        <v>CONTROL Igm</v>
      </c>
      <c r="GT15" s="22">
        <v>44814</v>
      </c>
      <c r="GU15" s="29">
        <f t="shared" si="39"/>
        <v>7.7142857142857144</v>
      </c>
      <c r="GV15" s="21" t="str">
        <f t="shared" si="40"/>
        <v>I TRIM</v>
      </c>
      <c r="GW15" s="28" t="s">
        <v>869</v>
      </c>
      <c r="GX15" s="30"/>
      <c r="GY15" s="21"/>
      <c r="GZ15" s="21"/>
      <c r="HA15" s="21"/>
      <c r="HB15" s="21"/>
      <c r="HC15" s="21"/>
      <c r="HD15" s="21"/>
      <c r="HE15" s="21"/>
      <c r="HF15" s="22"/>
      <c r="HG15" s="22" t="str">
        <f>IF(OR(O15&gt;0,R15&gt;0),CONCATENATE(IF(Tabla1[[#This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5" s="22" t="e">
        <f t="shared" si="41"/>
        <v>#REF!</v>
      </c>
      <c r="HI15" s="22" t="e">
        <f t="shared" ca="1" si="42"/>
        <v>#REF!</v>
      </c>
      <c r="HJ15" s="21" t="str">
        <f t="shared" ca="1" si="43"/>
        <v>**********************MULTIPARIDAD*****************</v>
      </c>
      <c r="HK15" s="21" t="str">
        <f t="shared" si="44"/>
        <v>SIN ANTECEDENTES DE RIESGO</v>
      </c>
      <c r="HL15" s="24" t="str">
        <f t="shared" si="45"/>
        <v>REGISTRE DATO PRESIÓN ARTERIAL MENSUAL</v>
      </c>
      <c r="HM15" s="21" t="str">
        <f t="shared" ca="1" si="46"/>
        <v/>
      </c>
      <c r="HN15" s="30" t="str">
        <f t="shared" si="47"/>
        <v>SALIO PROGRAMA</v>
      </c>
      <c r="HO15" s="21"/>
      <c r="HP15" s="21"/>
      <c r="HQ15" s="21">
        <v>44814</v>
      </c>
      <c r="HR15" s="21" t="str">
        <f>IF(R15="","",IF(Tabla1[[#This Row],[ALARMA FACTORES DE RIESGO COMPLICACIONES HIPERTENSIVAS3]]="SIN ANTECEDENTES DE RIESGO","No Aplica para suministro de ASA",IF(AND(Tabla1[[#This Row],[FECHA INICIO DE SUMINISTRO DE ASA]]&gt;0,RV15&lt;12),"Inicia ASA ANTES de Sem 12",IF(AND(RV15&gt;11,RV15&lt;17,OR(HK15="RIESGO ALTO DE COMPLICACIONES HIPERTENSIVAS VER MANEJO GUIA SUMINISTRO ASA Y CALCIO",HK15="RIESGO MODERADO (2 O MAS CRITERIOS) VER MANEJO GUIA SUMINISTRO ASA Y CALCIO")),"Inicio oportuno de ASA",IF(AND(RV15&gt;12,OR(HK15="RIESGO ALTO DE COMPLICACIONES HIPERTENSIVAS VER MANEJO GUIA SUMINISTRO ASA Y CALCIO",HK15="RIESGO MODERADO (2 O MAS CRITERIOS) VER MANEJO GUIA SUMINISTRO ASA Y CALCIO")),"Inicio no oportuno mayor a 16 semanas",IF(AND(BU15&lt;12,OR(HK15="RIESGO ALTO DE COMPLICACIONES HIPERTENSIVAS VER MANEJO GUIA SUMINISTRO ASA Y CALCIO",HK15="RIESGO MODERADO (2 O MAS CRITERIOS) VER MANEJO GUIA SUMINISTRO ASA Y CALCIO")),"Pendiente Inicio de ASA a la semana 12",IF(AND(BU15&gt;11,BU15&lt;17,OR(HK15="RIESGO ALTO DE COMPLICACIONES HIPERTENSIVAS VER MANEJO GUIA SUMINISTRO ASA Y CALCIO",HK15="RIESGO MODERADO (2 O MAS CRITERIOS) VER MANEJO GUIA SUMINISTRO ASA Y CALCIO")),"Iniciar de inmediato ASA",IF(AND(BU15&gt;16,OR(HK15="RIESGO ALTO DE COMPLICACIONES HIPERTENSIVAS VER MANEJO GUIA SUMINISTRO ASA Y CALCIO",HK15="RIESGO MODERADO (2 O MAS CRITERIOS) VER MANEJO GUIA SUMINISTRO ASA Y CALCIO")),"Pierde Oportunidad, Inicio tardío de ASA","XXXXX"))))))))</f>
        <v>No Aplica para suministro de ASA</v>
      </c>
      <c r="HS15" s="22">
        <v>44814</v>
      </c>
      <c r="HT15" s="22" t="s">
        <v>870</v>
      </c>
      <c r="HU15" s="22">
        <v>44814</v>
      </c>
      <c r="HV15" s="22" t="s">
        <v>870</v>
      </c>
      <c r="HW15" s="22">
        <v>44814</v>
      </c>
      <c r="HX15" s="22" t="s">
        <v>870</v>
      </c>
      <c r="HY15" s="22">
        <v>44814</v>
      </c>
      <c r="HZ15" s="28">
        <f t="shared" si="48"/>
        <v>7.7142857142857144</v>
      </c>
      <c r="IA15" s="26"/>
      <c r="IB15" s="26"/>
      <c r="IC15" s="111"/>
      <c r="ID15" s="22"/>
      <c r="IE15" s="22" t="str">
        <f t="shared" ca="1" si="49"/>
        <v>SALE SIN VACUNA</v>
      </c>
      <c r="IF15" s="22"/>
      <c r="IG15" s="22">
        <f t="shared" si="50"/>
        <v>45040</v>
      </c>
      <c r="IH15" s="29">
        <f t="shared" ca="1" si="51"/>
        <v>-192</v>
      </c>
      <c r="II15" s="22" t="str">
        <f t="shared" ca="1" si="52"/>
        <v>POSIBLEMENTE NACIO</v>
      </c>
      <c r="IJ15" s="22"/>
      <c r="IK15" s="21" t="s">
        <v>1652</v>
      </c>
      <c r="IL15" s="21"/>
      <c r="IM15" s="34"/>
      <c r="IN15" s="349">
        <v>45039</v>
      </c>
      <c r="IO15" s="21" t="s">
        <v>1186</v>
      </c>
      <c r="IP15" s="29">
        <f t="shared" si="53"/>
        <v>39.857142857142854</v>
      </c>
      <c r="IQ15" s="35" t="s">
        <v>1650</v>
      </c>
      <c r="IR15" s="21" t="s">
        <v>1651</v>
      </c>
      <c r="IS15" s="21" t="s">
        <v>1646</v>
      </c>
      <c r="IT15" s="21" t="s">
        <v>1642</v>
      </c>
      <c r="IU15" s="21"/>
      <c r="IV15" s="21"/>
      <c r="IW15" s="21"/>
      <c r="IX15" s="21"/>
      <c r="IY15" s="21"/>
      <c r="IZ15" s="21"/>
      <c r="JA15" s="21"/>
      <c r="JB15" s="30">
        <v>1</v>
      </c>
      <c r="JC15" s="21" t="s">
        <v>1647</v>
      </c>
      <c r="JD15" s="36">
        <v>2880</v>
      </c>
      <c r="JE15" s="21" t="str">
        <f t="shared" si="54"/>
        <v>PESO ADECUADO EDAD GESTACIONAL</v>
      </c>
      <c r="JF15" s="30"/>
      <c r="JG15" s="21"/>
      <c r="JH15" s="21"/>
      <c r="JI15" s="21" t="s">
        <v>854</v>
      </c>
      <c r="JJ15" s="30" t="s">
        <v>866</v>
      </c>
      <c r="JK15" s="22"/>
      <c r="JL15" s="22"/>
      <c r="JM15" s="21"/>
      <c r="JN15" s="36"/>
      <c r="JO15" s="21" t="str">
        <f t="shared" si="55"/>
        <v/>
      </c>
      <c r="JP15" s="22"/>
      <c r="JQ15" s="21"/>
      <c r="JR15" s="21"/>
      <c r="JS15" s="21"/>
      <c r="JT15" s="30"/>
      <c r="JU15" s="22"/>
      <c r="JV15" s="22"/>
      <c r="JW15" s="33"/>
      <c r="JX15" s="28" t="str">
        <f t="shared" si="56"/>
        <v>INASISTENTE</v>
      </c>
      <c r="JY15" s="33"/>
      <c r="JZ15" s="28" t="str">
        <f t="shared" si="57"/>
        <v>INASISTENTE</v>
      </c>
      <c r="KA15" s="21"/>
      <c r="KB15" s="21"/>
      <c r="KC15" s="21"/>
      <c r="KD15" s="37"/>
      <c r="KE15" s="28"/>
      <c r="KF15" s="28"/>
      <c r="KG15" s="28"/>
      <c r="KH15" s="39"/>
      <c r="KI15" s="39"/>
      <c r="KJ15" s="66"/>
      <c r="KK15" s="39"/>
      <c r="KL15" s="39"/>
      <c r="KM15" s="66"/>
      <c r="KN15" s="39"/>
      <c r="KO15" s="39"/>
      <c r="KP15" s="39"/>
      <c r="KQ15" s="39"/>
      <c r="KR15" s="39"/>
      <c r="KS15" s="39"/>
      <c r="KT15" s="39"/>
      <c r="KU15" s="38"/>
      <c r="KV15" s="38"/>
      <c r="KW15" s="38"/>
      <c r="KX15" s="38"/>
      <c r="KY15" s="38"/>
      <c r="KZ15" s="38"/>
      <c r="LA15" s="38"/>
      <c r="LB15" s="38"/>
      <c r="LC15" s="38"/>
      <c r="LD15" s="38"/>
      <c r="LE15" s="38"/>
      <c r="LF15" s="38"/>
      <c r="LG15" s="38"/>
      <c r="LH15" s="38"/>
      <c r="LI15" s="38"/>
      <c r="LJ15" s="38"/>
      <c r="LK15" s="38"/>
      <c r="LL15" s="38"/>
      <c r="LM15" s="38"/>
      <c r="LN15" s="38"/>
      <c r="LO15" s="38"/>
      <c r="LP15" s="38"/>
      <c r="LQ15" s="38"/>
      <c r="LR15" s="38"/>
      <c r="LS15" s="38"/>
      <c r="LT15" s="38"/>
      <c r="LU15" s="38"/>
      <c r="LV15" s="38"/>
      <c r="LW15" s="38"/>
      <c r="LX15" s="38"/>
      <c r="LY15" s="38"/>
      <c r="LZ15" s="38"/>
      <c r="MA15" s="38"/>
      <c r="MB15" s="38"/>
      <c r="MC15" s="38"/>
      <c r="MD15" s="38"/>
      <c r="ME15" s="38"/>
      <c r="MF15" s="38"/>
      <c r="MG15" s="38"/>
      <c r="MH15" s="43">
        <f t="shared" si="58"/>
        <v>0</v>
      </c>
      <c r="MI15" s="43" t="str">
        <f t="shared" si="59"/>
        <v/>
      </c>
      <c r="MJ15" s="43" t="str">
        <f t="shared" si="60"/>
        <v/>
      </c>
      <c r="MK15" s="43">
        <f t="shared" si="61"/>
        <v>0</v>
      </c>
      <c r="ML1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-1</v>
      </c>
      <c r="MM15" s="43">
        <f t="shared" si="62"/>
        <v>7.7142857142857144</v>
      </c>
      <c r="MN15" s="43">
        <f t="shared" si="63"/>
        <v>9</v>
      </c>
      <c r="MO15" s="43">
        <f t="shared" si="64"/>
        <v>2022</v>
      </c>
      <c r="MP15" s="43" t="str">
        <f t="shared" si="65"/>
        <v>III TRIMESTRE AÑO</v>
      </c>
      <c r="MQ15" s="43">
        <f t="shared" si="66"/>
        <v>20.46922908453789</v>
      </c>
      <c r="MR15" s="43">
        <f t="shared" si="67"/>
        <v>0</v>
      </c>
      <c r="MS15" s="43" t="str">
        <f t="shared" si="68"/>
        <v xml:space="preserve"> DE 20 A 24 AÑOS</v>
      </c>
      <c r="MT15" s="43">
        <f t="shared" si="69"/>
        <v>0</v>
      </c>
      <c r="MU15" s="43">
        <f t="shared" si="70"/>
        <v>1</v>
      </c>
      <c r="MV15" s="43">
        <f t="shared" si="71"/>
        <v>0</v>
      </c>
      <c r="MW15" s="43">
        <f t="shared" si="72"/>
        <v>0</v>
      </c>
      <c r="MX15" s="43" t="str">
        <f t="shared" si="73"/>
        <v/>
      </c>
      <c r="MY15" s="43" t="str">
        <f t="shared" ca="1" si="74"/>
        <v/>
      </c>
      <c r="MZ15" s="43" t="str">
        <f t="shared" si="75"/>
        <v/>
      </c>
      <c r="NA15" s="43">
        <f t="shared" si="76"/>
        <v>0</v>
      </c>
      <c r="NB15" s="43" t="str">
        <f t="shared" si="77"/>
        <v/>
      </c>
      <c r="NC15" s="43" t="str">
        <f t="shared" si="78"/>
        <v/>
      </c>
      <c r="ND15" s="43">
        <f t="shared" ca="1" si="79"/>
        <v>1</v>
      </c>
      <c r="NE15" s="43">
        <f>IF(OR(O15&gt;0,R15&gt;0),SUM(COUNTIF(Tabla1[[#This Row],[AÑOS AL INICIO5 CPN]],"&gt;=40"),COUNTIF(AS15,"0"),COUNTIF(AR15,"SI"),COUNTIF(CC15,"SI"),COUNTIF(BQ15,"&gt;119"),COUNTIF(CI15,"&gt;=35")),"")</f>
        <v>0</v>
      </c>
      <c r="NF15" s="43" t="str">
        <f t="shared" si="80"/>
        <v/>
      </c>
      <c r="NG15" s="43">
        <f t="shared" si="81"/>
        <v>0</v>
      </c>
      <c r="NH15" s="43">
        <f t="shared" si="82"/>
        <v>72.8</v>
      </c>
      <c r="NI15"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CPN",P15="NO"),"Z",IF(AND(Tabla1[[#This Row],[CITA PROXIMO CONTROL]]="CITA MANUAL",Tabla1[[#This Row],[GESTANTES ACTUALES]]="ACTIVA INGRESO A CPN"),"W",IF(AND(Tabla1[[#This Row],[GESTANTES ACTUALES]]="SALIO PROGRAMA",IN15=""),"S",IF(AND(Tabla1[[#This Row],[CITA PROXIMO CONTROL]]&gt;0,IN15=""),(Tabla1[[#This Row],[CITA PROXIMO CONTROL]]-TODAY()),"SD"))))))))</f>
        <v>SD</v>
      </c>
      <c r="NJ15" s="43">
        <f>MONTH(Tabla1[[#This Row],[FECHA DE SALIDA  DEL PROGRAMA]])</f>
        <v>4</v>
      </c>
      <c r="NK15" s="43">
        <f>YEAR(Tabla1[[#This Row],[FECHA DE SALIDA  DEL PROGRAMA]])</f>
        <v>2023</v>
      </c>
      <c r="NL15" s="43">
        <f t="shared" si="83"/>
        <v>32</v>
      </c>
      <c r="NM15" s="43" t="str">
        <f t="shared" si="84"/>
        <v>NO</v>
      </c>
      <c r="NN15" s="43" t="str">
        <f ca="1">IF(AND(O15&gt;0,R15=""),"NO CPN",IF(AND(O15="",R15=""),"",IF(AND(R15&gt;0,Tabla1[[#This Row],[SEMANAS DE GESTACION ACTUALIZADAS]]&lt;=12),"NO APLICA",IF(AND(FH15&lt;&gt;"",FN15&lt;&gt;""),"SI","NO"))))</f>
        <v>NO</v>
      </c>
      <c r="NO15" s="43" t="str">
        <f ca="1">IF(AND(O15&gt;0,R15=""),"NO CPN",IF(AND(O15="",R15=""),"",IF(AND(R15&gt;0,Tabla1[[#This Row],[SEMANAS DE GESTACION ACTUALIZADAS]]&lt;=27),"NO APLICA",IF(AND(ES15&lt;&gt;"",FQ15&lt;&gt;"",GF15&lt;&gt;""),"SI","NO"))))</f>
        <v>NO</v>
      </c>
      <c r="NP15" s="204" t="str">
        <f t="shared" si="85"/>
        <v>I TRIM</v>
      </c>
      <c r="NQ15" s="21" t="str">
        <f t="shared" si="86"/>
        <v/>
      </c>
      <c r="NR15" s="21">
        <f t="shared" si="87"/>
        <v>3</v>
      </c>
      <c r="NS15" s="205">
        <f t="shared" ca="1" si="88"/>
        <v>1</v>
      </c>
      <c r="NT15" s="21">
        <f t="shared" ca="1" si="89"/>
        <v>1</v>
      </c>
      <c r="NU15" s="21" t="str">
        <f t="shared" ca="1" si="90"/>
        <v>INCOMPLETO</v>
      </c>
      <c r="NV15" s="21" t="str">
        <f t="shared" ca="1" si="91"/>
        <v>INCOMPLETO</v>
      </c>
      <c r="NW15" s="206" t="str">
        <f>IF(AND(O15="",R15=""),"",IF(OR(AND(Tabla1[[#This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5" s="207" t="str">
        <f t="shared" ca="1" si="92"/>
        <v>SIN VACUNAR</v>
      </c>
      <c r="NY15" s="43">
        <f>ROW(Tabla1[[#This Row],['# DE TAMIZAJES SIFILIS TOMADOS ]])</f>
        <v>15</v>
      </c>
      <c r="NZ15" s="43" t="str">
        <f t="shared" si="93"/>
        <v>Menor</v>
      </c>
      <c r="OA15" s="43" t="str">
        <f t="shared" si="94"/>
        <v>NORMAL</v>
      </c>
      <c r="OB15" s="43" t="str">
        <f t="shared" si="95"/>
        <v/>
      </c>
      <c r="OC15" s="43" t="str">
        <f t="shared" si="96"/>
        <v/>
      </c>
      <c r="OD15" s="43" t="str">
        <f t="shared" si="97"/>
        <v/>
      </c>
      <c r="OE15" s="43" t="str">
        <f t="shared" si="98"/>
        <v/>
      </c>
      <c r="OF15" s="43" t="str">
        <f t="shared" si="99"/>
        <v/>
      </c>
      <c r="OG15" s="43" t="str">
        <f t="shared" si="100"/>
        <v/>
      </c>
      <c r="OH15" s="43" t="str">
        <f t="shared" si="101"/>
        <v/>
      </c>
      <c r="OI15" s="43" t="str">
        <f t="shared" si="102"/>
        <v/>
      </c>
      <c r="OJ15" s="43" t="str">
        <f t="shared" si="103"/>
        <v/>
      </c>
      <c r="OK15" s="43" t="str">
        <f t="shared" si="104"/>
        <v/>
      </c>
      <c r="OL15" s="43" t="str">
        <f t="shared" si="105"/>
        <v/>
      </c>
      <c r="OM15" s="43" t="str">
        <f t="shared" si="106"/>
        <v/>
      </c>
      <c r="ON15" s="43" t="str">
        <f t="shared" si="107"/>
        <v/>
      </c>
      <c r="OO15" s="43" t="str">
        <f t="shared" si="108"/>
        <v/>
      </c>
      <c r="OP15" s="43" t="str">
        <f t="shared" si="109"/>
        <v/>
      </c>
      <c r="OQ15" s="43" t="str">
        <f t="shared" si="110"/>
        <v/>
      </c>
      <c r="OR15" s="43" t="str">
        <f t="shared" si="111"/>
        <v/>
      </c>
      <c r="OS15" s="43" t="str">
        <f t="shared" si="112"/>
        <v/>
      </c>
      <c r="OT15" s="43" t="str">
        <f t="shared" si="113"/>
        <v/>
      </c>
      <c r="OU15" s="43" t="str">
        <f t="shared" si="114"/>
        <v/>
      </c>
      <c r="OV15" s="110" t="str">
        <f t="shared" si="115"/>
        <v/>
      </c>
      <c r="OW15" s="43" t="str">
        <f t="shared" si="116"/>
        <v/>
      </c>
      <c r="OX15" s="43" t="str">
        <f t="shared" si="117"/>
        <v/>
      </c>
      <c r="OY15" s="43" t="str">
        <f t="shared" si="118"/>
        <v/>
      </c>
      <c r="OZ15" s="43" t="str">
        <f t="shared" si="119"/>
        <v/>
      </c>
      <c r="PA15" s="43" t="str">
        <f t="shared" si="120"/>
        <v/>
      </c>
      <c r="PB15" s="43" t="str">
        <f t="shared" si="121"/>
        <v/>
      </c>
      <c r="PC15" s="43" t="str">
        <f t="shared" si="122"/>
        <v/>
      </c>
      <c r="PD15" s="43" t="str">
        <f t="shared" si="123"/>
        <v/>
      </c>
      <c r="PE15" s="43" t="str">
        <f t="shared" si="124"/>
        <v/>
      </c>
      <c r="PF15" s="43" t="str">
        <f t="shared" si="125"/>
        <v/>
      </c>
      <c r="PG15" s="43" t="str">
        <f t="shared" si="126"/>
        <v/>
      </c>
      <c r="PH15" s="43" t="str">
        <f t="shared" si="127"/>
        <v/>
      </c>
      <c r="PI15" s="43">
        <f t="shared" si="128"/>
        <v>25</v>
      </c>
      <c r="PJ15" s="43" t="str">
        <f t="shared" si="129"/>
        <v/>
      </c>
      <c r="PK15" s="43" t="str">
        <f t="shared" si="130"/>
        <v/>
      </c>
      <c r="PL15" s="43" t="str">
        <f t="shared" si="131"/>
        <v/>
      </c>
      <c r="PM15" s="43" t="str">
        <f t="shared" si="132"/>
        <v/>
      </c>
      <c r="PN15" s="43" t="str">
        <f t="shared" si="133"/>
        <v/>
      </c>
      <c r="PO15" s="43" t="str">
        <f t="shared" si="134"/>
        <v/>
      </c>
      <c r="PP15" s="43" t="str">
        <f t="shared" si="135"/>
        <v/>
      </c>
      <c r="PQ15" s="43" t="str">
        <f t="shared" si="136"/>
        <v/>
      </c>
      <c r="PR15" s="43" t="str">
        <f t="shared" si="137"/>
        <v/>
      </c>
      <c r="PS15" s="43" t="str">
        <f t="shared" si="138"/>
        <v/>
      </c>
      <c r="PT15" s="43" t="str">
        <f t="shared" si="139"/>
        <v/>
      </c>
      <c r="PU15" s="43" t="str">
        <f t="shared" si="140"/>
        <v/>
      </c>
      <c r="PV15" s="43" t="str">
        <f t="shared" si="141"/>
        <v/>
      </c>
      <c r="PW15" s="43" t="str">
        <f t="shared" si="142"/>
        <v/>
      </c>
      <c r="PX15" s="43" t="str">
        <f t="shared" si="143"/>
        <v/>
      </c>
      <c r="PY15" s="43" t="str">
        <f t="shared" si="144"/>
        <v/>
      </c>
      <c r="PZ15" s="43" t="str">
        <f t="shared" si="145"/>
        <v/>
      </c>
      <c r="QA15" s="43" t="str">
        <f t="shared" si="146"/>
        <v/>
      </c>
      <c r="QB15" s="43" t="str">
        <f t="shared" si="147"/>
        <v/>
      </c>
      <c r="QC15" s="43" t="str">
        <f t="shared" si="148"/>
        <v/>
      </c>
      <c r="QD15" s="43" t="str">
        <f t="shared" si="149"/>
        <v/>
      </c>
      <c r="QE15" s="43" t="str">
        <f t="shared" si="150"/>
        <v/>
      </c>
      <c r="QF15" s="43" t="str">
        <f t="shared" si="151"/>
        <v/>
      </c>
      <c r="QG15" s="43" t="str">
        <f t="shared" si="152"/>
        <v/>
      </c>
      <c r="QH15" s="43" t="str">
        <f t="shared" si="153"/>
        <v/>
      </c>
      <c r="QI15" s="43" t="str">
        <f t="shared" si="154"/>
        <v/>
      </c>
      <c r="QJ15" s="43" t="str">
        <f t="shared" si="155"/>
        <v/>
      </c>
      <c r="QK15" s="43" t="str">
        <f t="shared" si="156"/>
        <v/>
      </c>
      <c r="QL15" s="43" t="str">
        <f t="shared" si="157"/>
        <v/>
      </c>
      <c r="QM15" s="43" t="str">
        <f t="shared" si="158"/>
        <v/>
      </c>
      <c r="QN15" s="43" t="str">
        <f t="shared" si="159"/>
        <v/>
      </c>
      <c r="QO15" s="43" t="str">
        <f t="shared" si="160"/>
        <v/>
      </c>
      <c r="QP15" s="43" t="str">
        <f t="shared" si="161"/>
        <v/>
      </c>
      <c r="QQ15" s="43" t="str">
        <f t="shared" si="162"/>
        <v/>
      </c>
      <c r="QR15" s="43">
        <f t="shared" si="192"/>
        <v>25</v>
      </c>
      <c r="QS15" s="43"/>
      <c r="QT15" s="21" t="str">
        <f t="shared" si="163"/>
        <v/>
      </c>
      <c r="QU15" s="21" t="str">
        <f t="shared" si="164"/>
        <v/>
      </c>
      <c r="QV15" s="21" t="str">
        <f t="shared" si="165"/>
        <v/>
      </c>
      <c r="QW15" s="21" t="str">
        <f t="shared" si="166"/>
        <v/>
      </c>
      <c r="QX15" s="21" t="str">
        <f t="shared" si="167"/>
        <v/>
      </c>
      <c r="QY15" s="21" t="str">
        <f t="shared" si="168"/>
        <v/>
      </c>
      <c r="QZ15" s="21" t="str">
        <f t="shared" si="169"/>
        <v/>
      </c>
      <c r="RA15" s="21" t="str">
        <f t="shared" si="170"/>
        <v/>
      </c>
      <c r="RB15" s="21" t="str">
        <f t="shared" si="171"/>
        <v/>
      </c>
      <c r="RC15" s="21" t="str">
        <f t="shared" si="172"/>
        <v/>
      </c>
      <c r="RD15" s="21" t="str">
        <f t="shared" si="173"/>
        <v/>
      </c>
      <c r="RE15" s="21" t="str">
        <f t="shared" si="174"/>
        <v/>
      </c>
      <c r="RF15" s="21" t="str">
        <f t="shared" si="175"/>
        <v/>
      </c>
      <c r="RG15" s="21" t="str">
        <f t="shared" si="176"/>
        <v/>
      </c>
      <c r="RH15" s="21" t="str">
        <f t="shared" si="177"/>
        <v/>
      </c>
      <c r="RI15" s="21" t="str">
        <f t="shared" si="178"/>
        <v/>
      </c>
      <c r="RJ15" s="21" t="str">
        <f t="shared" si="179"/>
        <v/>
      </c>
      <c r="RK15" s="21" t="str">
        <f t="shared" si="180"/>
        <v/>
      </c>
      <c r="RL15" s="21" t="str">
        <f t="shared" si="181"/>
        <v/>
      </c>
      <c r="RM15" s="21" t="str">
        <f t="shared" si="182"/>
        <v/>
      </c>
      <c r="RN15" s="21" t="str">
        <f t="shared" si="183"/>
        <v/>
      </c>
      <c r="RO15" s="21" t="str">
        <f t="shared" si="184"/>
        <v/>
      </c>
      <c r="RP15" s="21" t="str">
        <f t="shared" si="185"/>
        <v/>
      </c>
      <c r="RQ15" s="21" t="str">
        <f t="shared" si="186"/>
        <v/>
      </c>
      <c r="RR15" s="21" t="str">
        <f t="shared" si="187"/>
        <v/>
      </c>
      <c r="RS15" s="21" t="str">
        <f t="shared" si="188"/>
        <v/>
      </c>
      <c r="RT15" s="21" t="str">
        <f t="shared" si="189"/>
        <v/>
      </c>
      <c r="RU15" s="21" t="str">
        <f t="shared" si="190"/>
        <v/>
      </c>
      <c r="RV15" s="21">
        <f t="shared" si="191"/>
        <v>7.7142857142857144</v>
      </c>
      <c r="RW15" s="284">
        <f>IF(OR(Tabla1[[#This Row],[FUM FORMULA CONFIABLE]]="",Tabla1[[#This Row],[FUM FORMULA CONFIABLE]]="SD"),"",IF(Tabla1[[#This Row],[FUM FORMULA CONFIABLE]]="CORREGIDA",Tabla1[[#This Row],[FUM X ECO 1]],Tabla1[[#This Row],[FUM x AMENORREA]]))</f>
        <v>44760</v>
      </c>
      <c r="RX15" s="21">
        <f>IF(AND(Tabla1[[#This Row],[FUM X ECO 1]]="",Tabla1[[#This Row],[FUM x AMENORREA]]=""),"",IF(AND(Tabla1[[#This Row],[FUM X ECO 1]]="",Tabla1[[#This Row],[FUM x AMENORREA]]&lt;&gt;""),"X",SUM(Tabla1[[#This Row],[FUM X ECO 1]]-Tabla1[[#This Row],[FUM x AMENORREA]])))</f>
        <v>1.1999999999970896</v>
      </c>
      <c r="RY15" s="21">
        <f t="shared" si="193"/>
        <v>0</v>
      </c>
    </row>
    <row r="16" spans="1:493" ht="45" customHeight="1" x14ac:dyDescent="0.25">
      <c r="A16" s="109"/>
      <c r="B16" s="43" t="s">
        <v>946</v>
      </c>
      <c r="C16" s="43" t="s">
        <v>845</v>
      </c>
      <c r="D16" s="124" t="s">
        <v>846</v>
      </c>
      <c r="E16" s="43" t="s">
        <v>947</v>
      </c>
      <c r="F16" s="43" t="s">
        <v>948</v>
      </c>
      <c r="G16" s="43" t="s">
        <v>949</v>
      </c>
      <c r="H16" s="43" t="s">
        <v>950</v>
      </c>
      <c r="I16" s="109" t="s">
        <v>851</v>
      </c>
      <c r="J16" s="110">
        <v>1002971041</v>
      </c>
      <c r="K16" s="43" t="s">
        <v>852</v>
      </c>
      <c r="L16" s="175" t="s">
        <v>886</v>
      </c>
      <c r="M16" s="22">
        <v>36473</v>
      </c>
      <c r="N16" s="213">
        <f t="shared" ca="1" si="0"/>
        <v>23.997260273972604</v>
      </c>
      <c r="O16" s="22">
        <v>44824</v>
      </c>
      <c r="P16" s="214" t="str">
        <f t="shared" si="1"/>
        <v>SI</v>
      </c>
      <c r="Q16" s="26" t="s">
        <v>855</v>
      </c>
      <c r="R16" s="22">
        <v>44824</v>
      </c>
      <c r="S16" s="21" t="s">
        <v>856</v>
      </c>
      <c r="T16" s="24" t="s">
        <v>690</v>
      </c>
      <c r="U16" s="21" t="s">
        <v>857</v>
      </c>
      <c r="V16" s="21" t="s">
        <v>858</v>
      </c>
      <c r="W16" s="21" t="s">
        <v>951</v>
      </c>
      <c r="X16" s="21" t="s">
        <v>951</v>
      </c>
      <c r="Y16" s="21" t="s">
        <v>859</v>
      </c>
      <c r="Z16" s="21" t="s">
        <v>894</v>
      </c>
      <c r="AA16" s="21" t="s">
        <v>860</v>
      </c>
      <c r="AB16" s="27" t="s">
        <v>861</v>
      </c>
      <c r="AC16" s="26" t="s">
        <v>897</v>
      </c>
      <c r="AD16" s="38" t="s">
        <v>846</v>
      </c>
      <c r="AE16" s="26" t="s">
        <v>854</v>
      </c>
      <c r="AF16" s="26" t="s">
        <v>854</v>
      </c>
      <c r="AG16" s="23" t="s">
        <v>864</v>
      </c>
      <c r="AH16" s="23" t="s">
        <v>864</v>
      </c>
      <c r="AI16" s="24" t="s">
        <v>863</v>
      </c>
      <c r="AJ16" s="23" t="s">
        <v>864</v>
      </c>
      <c r="AK16" s="220" t="str">
        <f>IF(AND(AD16="",AE16="",AF16="",AG16="",AH16="",AI16="",AJ16=""),"",IF(OR(Tabla1[[#This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EVALUACIÓN",IF(AND(O16="",R16=""),"",IF(AND(OR(O16&gt;0,R16&gt;0),NG16&gt;=0,NG16&lt;2),"SIN RIESGO",IF(AND(OR(O16&gt;0,R16&gt;0),NG16&gt;=2),"CON RIESGO","ASD")))))</f>
        <v>SIN RIESGO</v>
      </c>
      <c r="AL16" s="23" t="s">
        <v>864</v>
      </c>
      <c r="AM16" s="26" t="s">
        <v>864</v>
      </c>
      <c r="AN16" s="26" t="s">
        <v>864</v>
      </c>
      <c r="AO16" s="26" t="s">
        <v>864</v>
      </c>
      <c r="AP16" s="26" t="s">
        <v>864</v>
      </c>
      <c r="AQ16" s="26" t="s">
        <v>864</v>
      </c>
      <c r="AR16" s="26" t="s">
        <v>864</v>
      </c>
      <c r="AS16" s="21">
        <v>1</v>
      </c>
      <c r="AT16" s="21">
        <v>0</v>
      </c>
      <c r="AU16" s="21">
        <v>0</v>
      </c>
      <c r="AV16" s="26" t="s">
        <v>864</v>
      </c>
      <c r="AW16" s="21">
        <v>0</v>
      </c>
      <c r="AX16" s="26" t="s">
        <v>864</v>
      </c>
      <c r="AY16" s="26" t="s">
        <v>864</v>
      </c>
      <c r="AZ16" s="26" t="s">
        <v>864</v>
      </c>
      <c r="BA16" s="26" t="s">
        <v>864</v>
      </c>
      <c r="BB16" s="26" t="s">
        <v>864</v>
      </c>
      <c r="BC16" s="26" t="s">
        <v>864</v>
      </c>
      <c r="BD16" s="26" t="s">
        <v>864</v>
      </c>
      <c r="BE16" s="26" t="s">
        <v>864</v>
      </c>
      <c r="BF16" s="26" t="s">
        <v>864</v>
      </c>
      <c r="BG16" s="26" t="s">
        <v>864</v>
      </c>
      <c r="BH16" s="26"/>
      <c r="BI16" s="26" t="s">
        <v>864</v>
      </c>
      <c r="BJ16" s="26"/>
      <c r="BK16" s="26"/>
      <c r="BL16" s="26"/>
      <c r="BM16" s="26" t="s">
        <v>864</v>
      </c>
      <c r="BN16" s="22"/>
      <c r="BO16" s="22">
        <v>44717</v>
      </c>
      <c r="BP16" s="21" t="s">
        <v>854</v>
      </c>
      <c r="BQ16" s="222">
        <f t="shared" si="2"/>
        <v>0</v>
      </c>
      <c r="BR16" s="223">
        <f t="shared" si="3"/>
        <v>44742</v>
      </c>
      <c r="BS16" s="224">
        <f t="shared" si="4"/>
        <v>15.285714285714286</v>
      </c>
      <c r="BT16" s="216" t="str">
        <f t="shared" si="5"/>
        <v>II TRIM</v>
      </c>
      <c r="BU16" s="214" t="str">
        <f t="shared" ca="1" si="6"/>
        <v/>
      </c>
      <c r="BV16" s="25"/>
      <c r="BW16" s="22">
        <v>44798</v>
      </c>
      <c r="BX16" s="28">
        <v>8</v>
      </c>
      <c r="BY16" s="28"/>
      <c r="BZ16" s="22">
        <v>44841</v>
      </c>
      <c r="CA16" s="21">
        <v>14</v>
      </c>
      <c r="CB16" s="26" t="s">
        <v>864</v>
      </c>
      <c r="CC16" s="26" t="s">
        <v>864</v>
      </c>
      <c r="CD16" s="26" t="s">
        <v>878</v>
      </c>
      <c r="CE16" s="26" t="s">
        <v>864</v>
      </c>
      <c r="CF16" s="22">
        <v>44824</v>
      </c>
      <c r="CG16" s="21">
        <v>1.5</v>
      </c>
      <c r="CH16" s="21">
        <v>43.7</v>
      </c>
      <c r="CI16" s="214">
        <f t="shared" si="7"/>
        <v>19.422222222222224</v>
      </c>
      <c r="CJ16" s="225" t="str">
        <f>IF(AND(CI16&lt;10,CH16="SD"),"SIN DATO PESO PREGESTACION O I TRIM",IF(AND(OR(R16&gt;0,O16&gt;0),CI16="X"),"INGRESAR DATO DE PESO",IF(CI16="SD","INGRESAR DATO DE TALLA Y PESO",IF(AND(OR(Tabla1[[#This Row],[MOMENTO EN QUE SE REALIZA EL PESO AL INGRESO A CPN]]="PREGESTACIÓN",NZ16="Menor"),CI16&lt;18.5),"BAJO PESO",IF(AND(OR(Tabla1[[#This Row],[MOMENTO EN QUE SE REALIZA EL PESO AL INGRESO A CPN]]="PREGESTACIÓN",NZ16="Menor"),CI16&lt;25),"NORMAL",IF(AND(OR(Tabla1[[#This Row],[MOMENTO EN QUE SE REALIZA EL PESO AL INGRESO A CPN]]="PREGESTACIÓN",NZ16="Menor"),CI16&lt;30),"SOBREPESO",IF(AND(OR(Tabla1[[#This Row],[MOMENTO EN QUE SE REALIZA EL PESO AL INGRESO A CPN]]="PREGESTACIÓN",NZ16="Menor"),CI16&gt;=30,CI16&lt;50),"OBESIDAD",IF(AND(BS16&gt;0,Tabla1[[#This Row],[MOMENTO EN QUE SE REALIZA EL PESO AL INGRESO A CPN]]="GESTACIÓN"),HLOOKUP(NZ16,$OA$2:PH16,NY16),""))))))))</f>
        <v/>
      </c>
      <c r="CK16" s="212">
        <f t="shared" si="8"/>
        <v>44993</v>
      </c>
      <c r="CL16" s="21"/>
      <c r="CM16" s="214">
        <f t="shared" si="9"/>
        <v>0</v>
      </c>
      <c r="CN16" s="216">
        <f t="shared" si="10"/>
        <v>39</v>
      </c>
      <c r="CO16" s="216" t="e">
        <f>IF(PI16="","",IF(PI16&gt;0,HLOOKUP(PI16,$PJ$2:QQ16,NY16),""))</f>
        <v>#REF!</v>
      </c>
      <c r="CP16" s="21"/>
      <c r="CQ16" s="216" t="e">
        <f>IF(QR16="Menor","NO APLICA-MENOR 13 SEM",IF(AND(CC16="SI",CN16&gt;23),"NO APLICA- GEMELAR",IF(QR16="","",IF(QR16&gt;0,HLOOKUP(QR16,$QS$2:RU16,NY16),""))))</f>
        <v>#REF!</v>
      </c>
      <c r="CR16" s="21">
        <v>90</v>
      </c>
      <c r="CS16" s="21">
        <v>60</v>
      </c>
      <c r="CT16" s="217" t="str">
        <f>IF(R16="","",IF(AND(BS16&gt;1,BS16&lt;12,Tabla1[[#This Row],[T.A. SISTOLICA - ANTES DE SEMANA 12]]="",Tabla1[[#This Row],[T.A. DIASTOLICA - ANTES DE SEMANA 12]]=""),"REGISTRE DATO TA ANTES SEMANA 12",IF(AND(BS16&gt;11,BS16&lt;43,Tabla1[[#This Row],[T.A. SISTOLICA - ANTES DE SEMANA 12]]="",Tabla1[[#This Row],[T.A. DIASTOLICA - ANTES DE SEMANA 12]]=""),"NO APLICA REGISTRO TA-INGRESO TARDIO",IF(AND(OR(O16&gt;0,R16&gt;0),OR(CR16&gt;=140,CS16&gt;=90)),"DEFINIR ESTADIO HTA",IF(AND(OR(O16&gt;0,R16&gt;0),AND(CR16&gt;120,CR16&lt;=139)),"PRE HTA SEGUIMIENTO",IF(AND(OR(O16&gt;0,R16&gt;0),AND(CS16&gt;80,CS16&lt;=89)),"PRE HTA SEGUIMIENTO",IF(AND(OR(O16&gt;0,R16&gt;0),AND(CR16&gt;=80,CR16&lt;=120)),"APARENTEMENTE NORMAL",IF(AND(OR(O16&gt;0,R16&gt;0),AND(CS16&gt;=50,CS16&lt;=80)),"APARENTEMENTE NORMAL",IF(AND(OR(O16&gt;0,R16&gt;0),AND(CR16&gt;1,CR16&lt;=70),AND(CS16&gt;1,CS16&lt;=40)),"HIPOTENSIÓN","")))))))))</f>
        <v>APARENTEMENTE NORMAL</v>
      </c>
      <c r="CU16" s="21">
        <v>100</v>
      </c>
      <c r="CV16" s="21">
        <v>60</v>
      </c>
      <c r="CW16" s="217" t="str">
        <f ca="1">IF(R16="","",IF(AND(CN16&gt;19,CN16&lt;27,Tabla1[[#This Row],[T.A. SISTOLICA (Entre semana 20 y 26)]]="",Tabla1[[#This Row],[T.A. DIATOLICA (Entre semana 20 y 26)]]=""),"ACUDE A CONTROL SEM 20 A 26 REGISTRE TA AHORA",IF(AND(BS16&gt;1,BS16&lt;27,BU16&gt;19,Tabla1[[#This Row],[T.A. SISTOLICA (Entre semana 20 y 26)]]="",Tabla1[[#This Row],[T.A. DIATOLICA (Entre semana 20 y 26)]]=""),"COMPLETE REGISTRO TA CONTROL SEM 20 A26 ",IF(AND(BS16&gt;26,BS16&lt;43,Tabla1[[#This Row],[T.A. SISTOLICA (Entre semana 20 y 26)]]="",Tabla1[[#This Row],[T.A. DIATOLICA (Entre semana 20 y 26)]]=""),"NO APLICA REGISTRO TA-INGRESO TARDIO",IF(AND(OR(O16&gt;0,R16&gt;0),OR(CU16&gt;=140,CV16&gt;=90)),"ALTO RIESGO PREECLAMPSIA,DEFINIR ESTADIO HTA",IF(AND(OR(O16&gt;0,R16&gt;0),AND(CU16&gt;120,CU16&lt;=139)),"PRE HTA SEGUIMIENTO,RIESGO HIPERTENSION INDUCIDA POR EL EMBARAZO",IF(AND(OR(O16&gt;0,R16&gt;0),AND(CV16&gt;80,CV16&lt;=89)),"PRE HTA SEGUIMIENTO, RIESGO HIPERTENSION INDUCIDA POR EL EMBARAZO",IF(AND(OR(O16&lt;&gt;"",R16&lt;&gt;""),CS16&lt;&gt;"",CV16&lt;&gt;"",CS16&lt;=CV16),"VIGILAR CIFRAS PRESION ARTERIAL",IF(AND(OR(O16&gt;0,R16&gt;0),AND(CU16&gt;120,CU16&lt;=139)),"PRE HTA SEGUIMIENTO",IF(AND(OR(O16&gt;0,R16&gt;0),AND(CU16&gt;1,CU16&lt;=70),AND(CV16&gt;1,CV16&lt;=40)),"HIPOTENSIÓN",IF(AND(OR(O16&lt;&gt;"",R16&lt;&gt;""),CS16&lt;&gt;"",CV16&lt;&gt;"",CS16&gt;CV16),"APARENTEMENTE NORMAL",IF(AND(OR(O16&gt;0,R16&gt;0),AND(CU16&gt;=80,CU16&lt;=120)),"APARENTEMENTE NORMAL",IF(AND(OR(O16&gt;0,R16&gt;0),AND(CV16&gt;=50,CV16&lt;=80)),"APARENTEMENTE NORMAL","")))))))))))))</f>
        <v>VIGILAR CIFRAS PRESION ARTERIAL</v>
      </c>
      <c r="CX16" s="21">
        <v>100</v>
      </c>
      <c r="CY16" s="21">
        <v>60</v>
      </c>
      <c r="CZ16" s="216" t="str">
        <f t="shared" si="11"/>
        <v>APARENTEMENTE NORMAL</v>
      </c>
      <c r="DA16" s="21"/>
      <c r="DB16" s="21"/>
      <c r="DC16" s="217" t="str">
        <f t="shared" si="12"/>
        <v>REGISTRE DATO PRESIÓN ARTERIAL MENSUAL</v>
      </c>
      <c r="DD16" s="22">
        <v>44824</v>
      </c>
      <c r="DE16" s="22">
        <v>44824</v>
      </c>
      <c r="DF16" s="22">
        <v>44860</v>
      </c>
      <c r="DG16" s="22">
        <v>44909</v>
      </c>
      <c r="DH16" s="22">
        <v>44959</v>
      </c>
      <c r="DI16" s="22">
        <v>44993</v>
      </c>
      <c r="DJ16" s="22"/>
      <c r="DK16" s="22"/>
      <c r="DL16" s="22"/>
      <c r="DM16" s="22"/>
      <c r="DN16" s="22"/>
      <c r="DO16" s="22"/>
      <c r="DP16" s="22"/>
      <c r="DQ16" s="22"/>
      <c r="DR16" s="28">
        <v>1</v>
      </c>
      <c r="DS16" s="22"/>
      <c r="DT16" s="22"/>
      <c r="DU16" s="216" t="str">
        <f t="shared" ca="1" si="13"/>
        <v>CONCERTAR PLAN DE PARTO INMEDIATO</v>
      </c>
      <c r="DV16" s="226" t="str">
        <f t="shared" si="14"/>
        <v>ACTIVA INGRESO A CPN</v>
      </c>
      <c r="DW1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6" s="216" t="e">
        <f t="shared" ca="1" si="15"/>
        <v>#REF!</v>
      </c>
      <c r="DY16" s="212">
        <f>IF(R16="","",IF(R16&gt;0,MAX(Tabla1[[#This Row],[FECHA C2]:[FECHA C13]],Tabla1[[#This Row],[FECHA CONSULTA PRIMERA VEZ PROGRAMA CPN ]])))</f>
        <v>44993</v>
      </c>
      <c r="DZ16" s="216">
        <f t="shared" si="16"/>
        <v>39</v>
      </c>
      <c r="EA16" s="222">
        <f>IF(R16&gt;0,SUM(COUNTA(DF16:DQ16)+COUNTA(Tabla1[[#This Row],[FECHA CONSULTA PRIMERA VEZ PROGRAMA CPN ]])),"")</f>
        <v>5</v>
      </c>
      <c r="EB16" s="222" t="str">
        <f t="shared" si="17"/>
        <v>SI</v>
      </c>
      <c r="EC16" s="214">
        <f t="shared" si="18"/>
        <v>8</v>
      </c>
      <c r="ED16" s="227">
        <f t="shared" si="19"/>
        <v>0.625</v>
      </c>
      <c r="EE16" s="22">
        <v>44824</v>
      </c>
      <c r="EF16" s="22"/>
      <c r="EG16" s="22">
        <v>44824</v>
      </c>
      <c r="EH16" s="22"/>
      <c r="EI16" s="22">
        <v>44824</v>
      </c>
      <c r="EJ16" s="22"/>
      <c r="EK16" s="22"/>
      <c r="EL16" s="21"/>
      <c r="EM16" s="21">
        <v>11.6</v>
      </c>
      <c r="EN16" s="22">
        <v>44828</v>
      </c>
      <c r="EO16" s="222">
        <f t="shared" si="20"/>
        <v>15.857142857142858</v>
      </c>
      <c r="EP16" s="214" t="str">
        <f t="shared" si="21"/>
        <v>NORMAL- SUMINISTRAR SULFATO FERROSO</v>
      </c>
      <c r="EQ16" s="216" t="str">
        <f t="shared" si="22"/>
        <v>II TRIM</v>
      </c>
      <c r="ER16" s="24"/>
      <c r="ES16" s="22"/>
      <c r="ET16" s="29" t="str">
        <f t="shared" ca="1" si="23"/>
        <v>TOMA DE HEMOGLOBINA TARDÍA</v>
      </c>
      <c r="EU16" s="25" t="str">
        <f t="shared" si="24"/>
        <v/>
      </c>
      <c r="EV16" s="24" t="s">
        <v>866</v>
      </c>
      <c r="EW16" s="24">
        <v>44828</v>
      </c>
      <c r="EX16" s="22"/>
      <c r="EY16" s="29">
        <f t="shared" si="25"/>
        <v>15.857142857142858</v>
      </c>
      <c r="EZ16" s="25" t="str">
        <f t="shared" ca="1" si="26"/>
        <v/>
      </c>
      <c r="FA16" s="21">
        <v>72</v>
      </c>
      <c r="FB16" s="22">
        <v>44828</v>
      </c>
      <c r="FC16" s="29">
        <f t="shared" si="27"/>
        <v>15.857142857142858</v>
      </c>
      <c r="FD16" s="29"/>
      <c r="FE16" s="29"/>
      <c r="FF16" s="29"/>
      <c r="FG16" s="21" t="str">
        <f t="shared" ca="1" si="28"/>
        <v/>
      </c>
      <c r="FH16" s="31"/>
      <c r="FI16" s="29" t="str">
        <f t="shared" si="29"/>
        <v>TOMAR EXAMEN</v>
      </c>
      <c r="FJ16" s="22" t="s">
        <v>867</v>
      </c>
      <c r="FK16" s="22"/>
      <c r="FL16" s="29" t="str">
        <f t="shared" ca="1" si="30"/>
        <v>NO APLICA-INGRESO TARDIO</v>
      </c>
      <c r="FM16" s="22"/>
      <c r="FN16" s="32"/>
      <c r="FO16" s="29" t="str">
        <f t="shared" ca="1" si="31"/>
        <v>PIERDE TOMA DE TAMIZAJE</v>
      </c>
      <c r="FP16" s="22"/>
      <c r="FQ16" s="32"/>
      <c r="FR16" s="29" t="str">
        <f t="shared" ca="1" si="32"/>
        <v>TOMA INMEDIATA DE TAMIZAJE</v>
      </c>
      <c r="FS16" s="22"/>
      <c r="FT16" s="32"/>
      <c r="FU16" s="29" t="str">
        <f>IF(AND(FJ16="",FM16="",FP16="",FS16=""),"",IF(OR(OR(Tabla1[[#This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6" s="28"/>
      <c r="FW16" s="22"/>
      <c r="FX16" s="29" t="str">
        <f t="shared" si="33"/>
        <v>TOMAR EXAMEN</v>
      </c>
      <c r="FY16" s="22">
        <v>44824</v>
      </c>
      <c r="FZ16" s="22">
        <v>44824</v>
      </c>
      <c r="GA16" s="29" t="str">
        <f t="shared" si="34"/>
        <v>REGISTRAR EN II TRIMESTRE</v>
      </c>
      <c r="GB16" s="22"/>
      <c r="GC16" s="22">
        <v>44828</v>
      </c>
      <c r="GD16" s="29">
        <f t="shared" ca="1" si="35"/>
        <v>15.857142857142858</v>
      </c>
      <c r="GE16" s="22"/>
      <c r="GF16" s="22"/>
      <c r="GG16" s="29" t="str">
        <f t="shared" ca="1" si="36"/>
        <v>TOMA INMEDIATA DE TAMIZAJE</v>
      </c>
      <c r="GH16" s="22"/>
      <c r="GI16" s="29"/>
      <c r="GJ16" s="22"/>
      <c r="GK16" s="22"/>
      <c r="GL16" s="22" t="s">
        <v>879</v>
      </c>
      <c r="GM16" s="22"/>
      <c r="GN16" s="28" t="s">
        <v>869</v>
      </c>
      <c r="GO16" s="22">
        <v>44828</v>
      </c>
      <c r="GP16" s="29">
        <f t="shared" si="37"/>
        <v>15.857142857142858</v>
      </c>
      <c r="GQ16" s="28" t="s">
        <v>880</v>
      </c>
      <c r="GR16" s="28" t="s">
        <v>869</v>
      </c>
      <c r="GS16" s="22" t="str">
        <f t="shared" si="38"/>
        <v>SE EXCLUYE INFECCION</v>
      </c>
      <c r="GT16" s="22">
        <v>44828</v>
      </c>
      <c r="GU16" s="29">
        <f t="shared" si="39"/>
        <v>15.857142857142858</v>
      </c>
      <c r="GV16" s="21" t="str">
        <f t="shared" si="40"/>
        <v>II TRIM</v>
      </c>
      <c r="GW16" s="28" t="s">
        <v>869</v>
      </c>
      <c r="GX16" s="30"/>
      <c r="GY16" s="21"/>
      <c r="GZ16" s="21"/>
      <c r="HA16" s="21"/>
      <c r="HB16" s="21"/>
      <c r="HC16" s="21"/>
      <c r="HD16" s="21"/>
      <c r="HE16" s="21"/>
      <c r="HF16" s="22"/>
      <c r="HG16" s="22" t="str">
        <f>IF(OR(O16&gt;0,R16&gt;0),CONCATENATE(IF(Tabla1[[#This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6" s="22" t="e">
        <f t="shared" si="41"/>
        <v>#REF!</v>
      </c>
      <c r="HI16" s="22" t="e">
        <f t="shared" ca="1" si="42"/>
        <v>#REF!</v>
      </c>
      <c r="HJ16" s="21" t="str">
        <f t="shared" ca="1" si="43"/>
        <v>**********************MULTIPARIDAD*****************</v>
      </c>
      <c r="HK16" s="21" t="str">
        <f t="shared" si="44"/>
        <v>SIN ANTECEDENTES DE RIESGO</v>
      </c>
      <c r="HL16" s="24" t="str">
        <f t="shared" si="45"/>
        <v>REGISTRE DATO PRESIÓN ARTERIAL MENSUAL</v>
      </c>
      <c r="HM16" s="21" t="e">
        <f t="shared" ca="1" si="46"/>
        <v>#REF!</v>
      </c>
      <c r="HN16" s="30" t="str">
        <f t="shared" si="47"/>
        <v>ACTIVA INGRESO A CPN</v>
      </c>
      <c r="HO16" s="21"/>
      <c r="HP16" s="21"/>
      <c r="HQ16" s="21">
        <v>44824</v>
      </c>
      <c r="HR16" s="21" t="str">
        <f>IF(R16="","",IF(Tabla1[[#This Row],[ALARMA FACTORES DE RIESGO COMPLICACIONES HIPERTENSIVAS3]]="SIN ANTECEDENTES DE RIESGO","No Aplica para suministro de ASA",IF(AND(Tabla1[[#This Row],[FECHA INICIO DE SUMINISTRO DE ASA]]&gt;0,RV16&lt;12),"Inicia ASA ANTES de Sem 12",IF(AND(RV16&gt;11,RV16&lt;17,OR(HK16="RIESGO ALTO DE COMPLICACIONES HIPERTENSIVAS VER MANEJO GUIA SUMINISTRO ASA Y CALCIO",HK16="RIESGO MODERADO (2 O MAS CRITERIOS) VER MANEJO GUIA SUMINISTRO ASA Y CALCIO")),"Inicio oportuno de ASA",IF(AND(RV16&gt;12,OR(HK16="RIESGO ALTO DE COMPLICACIONES HIPERTENSIVAS VER MANEJO GUIA SUMINISTRO ASA Y CALCIO",HK16="RIESGO MODERADO (2 O MAS CRITERIOS) VER MANEJO GUIA SUMINISTRO ASA Y CALCIO")),"Inicio no oportuno mayor a 16 semanas",IF(AND(BU16&lt;12,OR(HK16="RIESGO ALTO DE COMPLICACIONES HIPERTENSIVAS VER MANEJO GUIA SUMINISTRO ASA Y CALCIO",HK16="RIESGO MODERADO (2 O MAS CRITERIOS) VER MANEJO GUIA SUMINISTRO ASA Y CALCIO")),"Pendiente Inicio de ASA a la semana 12",IF(AND(BU16&gt;11,BU16&lt;17,OR(HK16="RIESGO ALTO DE COMPLICACIONES HIPERTENSIVAS VER MANEJO GUIA SUMINISTRO ASA Y CALCIO",HK16="RIESGO MODERADO (2 O MAS CRITERIOS) VER MANEJO GUIA SUMINISTRO ASA Y CALCIO")),"Iniciar de inmediato ASA",IF(AND(BU16&gt;16,OR(HK16="RIESGO ALTO DE COMPLICACIONES HIPERTENSIVAS VER MANEJO GUIA SUMINISTRO ASA Y CALCIO",HK16="RIESGO MODERADO (2 O MAS CRITERIOS) VER MANEJO GUIA SUMINISTRO ASA Y CALCIO")),"Pierde Oportunidad, Inicio tardío de ASA","XXXXX"))))))))</f>
        <v>No Aplica para suministro de ASA</v>
      </c>
      <c r="HS16" s="22">
        <v>44824</v>
      </c>
      <c r="HT16" s="22" t="s">
        <v>870</v>
      </c>
      <c r="HU16" s="22">
        <v>44824</v>
      </c>
      <c r="HV16" s="22" t="s">
        <v>935</v>
      </c>
      <c r="HW16" s="22">
        <v>44828</v>
      </c>
      <c r="HX16" s="22" t="s">
        <v>870</v>
      </c>
      <c r="HY16" s="22">
        <v>44824</v>
      </c>
      <c r="HZ16" s="28">
        <f t="shared" si="48"/>
        <v>15.285714285714286</v>
      </c>
      <c r="IA16" s="26"/>
      <c r="IB16" s="26"/>
      <c r="IC16" s="111"/>
      <c r="ID16" s="22"/>
      <c r="IE16" s="22" t="str">
        <f t="shared" ca="1" si="49"/>
        <v/>
      </c>
      <c r="IF16" s="22"/>
      <c r="IG16" s="22">
        <f t="shared" si="50"/>
        <v>44997</v>
      </c>
      <c r="IH16" s="29">
        <f t="shared" ca="1" si="51"/>
        <v>-235</v>
      </c>
      <c r="II16" s="22" t="str">
        <f t="shared" ca="1" si="52"/>
        <v>POSIBLEMENTE NACIO</v>
      </c>
      <c r="IJ16" s="22"/>
      <c r="IK16" s="21"/>
      <c r="IL16" s="21"/>
      <c r="IM16" s="34"/>
      <c r="IN16" s="349"/>
      <c r="IO16" s="21"/>
      <c r="IP16" s="29" t="str">
        <f t="shared" si="53"/>
        <v/>
      </c>
      <c r="IQ16" s="35"/>
      <c r="IR16" s="21"/>
      <c r="IS16" s="21"/>
      <c r="IT16" s="21"/>
      <c r="IU16" s="21"/>
      <c r="IV16" s="21"/>
      <c r="IW16" s="21"/>
      <c r="IX16" s="21"/>
      <c r="IY16" s="21"/>
      <c r="IZ16" s="21"/>
      <c r="JA16" s="21"/>
      <c r="JB16" s="30"/>
      <c r="JC16" s="21"/>
      <c r="JD16" s="36"/>
      <c r="JE16" s="21" t="str">
        <f t="shared" si="54"/>
        <v/>
      </c>
      <c r="JF16" s="30"/>
      <c r="JG16" s="21"/>
      <c r="JH16" s="21"/>
      <c r="JI16" s="21"/>
      <c r="JJ16" s="30"/>
      <c r="JK16" s="22"/>
      <c r="JL16" s="22"/>
      <c r="JM16" s="21"/>
      <c r="JN16" s="36"/>
      <c r="JO16" s="21" t="str">
        <f t="shared" si="55"/>
        <v/>
      </c>
      <c r="JP16" s="22"/>
      <c r="JQ16" s="21"/>
      <c r="JR16" s="21"/>
      <c r="JS16" s="21"/>
      <c r="JT16" s="30"/>
      <c r="JU16" s="22"/>
      <c r="JV16" s="22"/>
      <c r="JW16" s="33"/>
      <c r="JX16" s="28" t="str">
        <f t="shared" si="56"/>
        <v/>
      </c>
      <c r="JY16" s="33"/>
      <c r="JZ16" s="28" t="str">
        <f t="shared" si="57"/>
        <v/>
      </c>
      <c r="KA16" s="21"/>
      <c r="KB16" s="21"/>
      <c r="KC16" s="21"/>
      <c r="KD16" s="37"/>
      <c r="KE16" s="28"/>
      <c r="KF16" s="28"/>
      <c r="KG16" s="28"/>
      <c r="KH16" s="39"/>
      <c r="KI16" s="39"/>
      <c r="KJ16" s="66"/>
      <c r="KK16" s="39"/>
      <c r="KL16" s="39"/>
      <c r="KM16" s="66"/>
      <c r="KN16" s="39"/>
      <c r="KO16" s="39"/>
      <c r="KP16" s="39"/>
      <c r="KQ16" s="39"/>
      <c r="KR16" s="39"/>
      <c r="KS16" s="39"/>
      <c r="KT16" s="39"/>
      <c r="KU16" s="38"/>
      <c r="KV16" s="38"/>
      <c r="KW16" s="38"/>
      <c r="KX16" s="38"/>
      <c r="KY16" s="38"/>
      <c r="KZ16" s="38"/>
      <c r="LA16" s="38"/>
      <c r="LB16" s="38"/>
      <c r="LC16" s="38"/>
      <c r="LD16" s="38"/>
      <c r="LE16" s="38"/>
      <c r="LF16" s="38"/>
      <c r="LG16" s="38"/>
      <c r="LH16" s="38"/>
      <c r="LI16" s="38"/>
      <c r="LJ16" s="38"/>
      <c r="LK16" s="38"/>
      <c r="LL16" s="38"/>
      <c r="LM16" s="38"/>
      <c r="LN16" s="38"/>
      <c r="LO16" s="38"/>
      <c r="LP16" s="38"/>
      <c r="LQ16" s="38"/>
      <c r="LR16" s="38"/>
      <c r="LS16" s="38"/>
      <c r="LT16" s="38"/>
      <c r="LU16" s="38"/>
      <c r="LV16" s="38"/>
      <c r="LW16" s="38"/>
      <c r="LX16" s="38"/>
      <c r="LY16" s="38"/>
      <c r="LZ16" s="38"/>
      <c r="MA16" s="38"/>
      <c r="MB16" s="38"/>
      <c r="MC16" s="38"/>
      <c r="MD16" s="38"/>
      <c r="ME16" s="38"/>
      <c r="MF16" s="38"/>
      <c r="MG16" s="38"/>
      <c r="MH16" s="43">
        <f t="shared" si="58"/>
        <v>0</v>
      </c>
      <c r="MI16" s="43" t="str">
        <f t="shared" si="59"/>
        <v/>
      </c>
      <c r="MJ16" s="43" t="str">
        <f t="shared" si="60"/>
        <v/>
      </c>
      <c r="MK16" s="43">
        <f t="shared" si="61"/>
        <v>0</v>
      </c>
      <c r="ML1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6" s="43">
        <f t="shared" si="62"/>
        <v>15.285714285714286</v>
      </c>
      <c r="MN16" s="43">
        <f t="shared" si="63"/>
        <v>9</v>
      </c>
      <c r="MO16" s="43">
        <f t="shared" si="64"/>
        <v>2022</v>
      </c>
      <c r="MP16" s="43" t="str">
        <f t="shared" si="65"/>
        <v>III TRIMESTRE AÑO</v>
      </c>
      <c r="MQ16" s="43">
        <f t="shared" si="66"/>
        <v>22.533399036355672</v>
      </c>
      <c r="MR16" s="43">
        <f t="shared" si="67"/>
        <v>0</v>
      </c>
      <c r="MS16" s="43" t="str">
        <f t="shared" si="68"/>
        <v xml:space="preserve"> DE 20 A 24 AÑOS</v>
      </c>
      <c r="MT16" s="43">
        <f t="shared" si="69"/>
        <v>0</v>
      </c>
      <c r="MU16" s="43">
        <f t="shared" si="70"/>
        <v>1</v>
      </c>
      <c r="MV16" s="43">
        <f t="shared" si="71"/>
        <v>0</v>
      </c>
      <c r="MW16" s="43">
        <f t="shared" si="72"/>
        <v>0</v>
      </c>
      <c r="MX16" s="43" t="str">
        <f t="shared" si="73"/>
        <v/>
      </c>
      <c r="MY16" s="43" t="str">
        <f t="shared" ca="1" si="74"/>
        <v/>
      </c>
      <c r="MZ16" s="43" t="str">
        <f t="shared" si="75"/>
        <v/>
      </c>
      <c r="NA16" s="43">
        <f t="shared" si="76"/>
        <v>0</v>
      </c>
      <c r="NB16" s="43" t="str">
        <f t="shared" si="77"/>
        <v/>
      </c>
      <c r="NC16" s="43" t="str">
        <f t="shared" si="78"/>
        <v/>
      </c>
      <c r="ND16" s="43">
        <f t="shared" ca="1" si="79"/>
        <v>1</v>
      </c>
      <c r="NE16" s="43">
        <f>IF(OR(O16&gt;0,R16&gt;0),SUM(COUNTIF(Tabla1[[#This Row],[AÑOS AL INICIO5 CPN]],"&gt;=40"),COUNTIF(AS16,"0"),COUNTIF(AR16,"SI"),COUNTIF(CC16,"SI"),COUNTIF(BQ16,"&gt;119"),COUNTIF(CI16,"&gt;=35")),"")</f>
        <v>0</v>
      </c>
      <c r="NF16" s="43" t="str">
        <f t="shared" si="80"/>
        <v/>
      </c>
      <c r="NG16" s="43">
        <f t="shared" si="81"/>
        <v>0</v>
      </c>
      <c r="NH16" s="43">
        <f t="shared" si="82"/>
        <v>56</v>
      </c>
      <c r="NI1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CPN",P16="NO"),"Z",IF(AND(Tabla1[[#This Row],[CITA PROXIMO CONTROL]]="CITA MANUAL",Tabla1[[#This Row],[GESTANTES ACTUALES]]="ACTIVA INGRESO A CPN"),"W",IF(AND(Tabla1[[#This Row],[GESTANTES ACTUALES]]="SALIO PROGRAMA",IN16=""),"S",IF(AND(Tabla1[[#This Row],[CITA PROXIMO CONTROL]]&gt;0,IN16=""),(Tabla1[[#This Row],[CITA PROXIMO CONTROL]]-TODAY()),"SD"))))))))</f>
        <v>#REF!</v>
      </c>
      <c r="NJ16" s="43">
        <f>MONTH(Tabla1[[#This Row],[FECHA DE SALIDA  DEL PROGRAMA]])</f>
        <v>1</v>
      </c>
      <c r="NK16" s="43">
        <f>YEAR(Tabla1[[#This Row],[FECHA DE SALIDA  DEL PROGRAMA]])</f>
        <v>1900</v>
      </c>
      <c r="NL16" s="43" t="str">
        <f t="shared" si="83"/>
        <v>X</v>
      </c>
      <c r="NM16" s="43" t="str">
        <f t="shared" si="84"/>
        <v>NO</v>
      </c>
      <c r="NN16" s="43" t="str">
        <f ca="1">IF(AND(O16&gt;0,R16=""),"NO CPN",IF(AND(O16="",R16=""),"",IF(AND(R16&gt;0,Tabla1[[#This Row],[SEMANAS DE GESTACION ACTUALIZADAS]]&lt;=12),"NO APLICA",IF(AND(FH16&lt;&gt;"",FN16&lt;&gt;""),"SI","NO"))))</f>
        <v>NO</v>
      </c>
      <c r="NO16" s="43" t="str">
        <f ca="1">IF(AND(O16&gt;0,R16=""),"NO CPN",IF(AND(O16="",R16=""),"",IF(AND(R16&gt;0,Tabla1[[#This Row],[SEMANAS DE GESTACION ACTUALIZADAS]]&lt;=27),"NO APLICA",IF(AND(ES16&lt;&gt;"",FQ16&lt;&gt;"",GF16&lt;&gt;""),"SI","NO"))))</f>
        <v>NO</v>
      </c>
      <c r="NP16" s="21" t="str">
        <f t="shared" si="85"/>
        <v>II TRIM</v>
      </c>
      <c r="NQ16" s="21" t="str">
        <f t="shared" si="86"/>
        <v/>
      </c>
      <c r="NR16" s="21" t="str">
        <f t="shared" ca="1" si="87"/>
        <v>REVISAR FUM O FECHA SALIDA PROGRAMA</v>
      </c>
      <c r="NS16" s="205">
        <f t="shared" ca="1" si="88"/>
        <v>0</v>
      </c>
      <c r="NT16" s="21">
        <f t="shared" ca="1" si="89"/>
        <v>1</v>
      </c>
      <c r="NU16" s="21" t="str">
        <f t="shared" ca="1" si="90"/>
        <v>POR DEFINIR</v>
      </c>
      <c r="NV16" s="21" t="str">
        <f t="shared" ca="1" si="91"/>
        <v>POR DEFINIR</v>
      </c>
      <c r="NW16" s="206" t="str">
        <f>IF(AND(O16="",R16=""),"",IF(OR(AND(Tabla1[[#This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6" s="207" t="str">
        <f t="shared" ca="1" si="92"/>
        <v>SIN VACUNAR</v>
      </c>
      <c r="NY16" s="43">
        <f>ROW(Tabla1[[#This Row],['# DE TAMIZAJES SIFILIS TOMADOS ]])</f>
        <v>16</v>
      </c>
      <c r="NZ16" s="43">
        <f t="shared" si="93"/>
        <v>15</v>
      </c>
      <c r="OA16" s="43" t="str">
        <f t="shared" si="94"/>
        <v/>
      </c>
      <c r="OB16" s="43" t="str">
        <f t="shared" si="95"/>
        <v/>
      </c>
      <c r="OC16" s="43" t="str">
        <f t="shared" si="96"/>
        <v/>
      </c>
      <c r="OD16" s="43" t="str">
        <f t="shared" si="97"/>
        <v/>
      </c>
      <c r="OE16" s="43" t="str">
        <f t="shared" si="98"/>
        <v/>
      </c>
      <c r="OF16" s="43" t="str">
        <f t="shared" si="99"/>
        <v/>
      </c>
      <c r="OG16" s="43" t="str">
        <f t="shared" si="100"/>
        <v>BAJO PESO</v>
      </c>
      <c r="OH16" s="43" t="str">
        <f t="shared" si="101"/>
        <v/>
      </c>
      <c r="OI16" s="43" t="str">
        <f t="shared" si="102"/>
        <v/>
      </c>
      <c r="OJ16" s="43" t="str">
        <f t="shared" si="103"/>
        <v/>
      </c>
      <c r="OK16" s="43" t="str">
        <f t="shared" si="104"/>
        <v/>
      </c>
      <c r="OL16" s="43" t="str">
        <f t="shared" si="105"/>
        <v/>
      </c>
      <c r="OM16" s="43" t="str">
        <f t="shared" si="106"/>
        <v/>
      </c>
      <c r="ON16" s="43" t="str">
        <f t="shared" si="107"/>
        <v/>
      </c>
      <c r="OO16" s="43" t="str">
        <f t="shared" si="108"/>
        <v/>
      </c>
      <c r="OP16" s="43" t="str">
        <f t="shared" si="109"/>
        <v/>
      </c>
      <c r="OQ16" s="43" t="str">
        <f t="shared" si="110"/>
        <v/>
      </c>
      <c r="OR16" s="43" t="str">
        <f t="shared" si="111"/>
        <v/>
      </c>
      <c r="OS16" s="43" t="str">
        <f t="shared" si="112"/>
        <v/>
      </c>
      <c r="OT16" s="43" t="str">
        <f t="shared" si="113"/>
        <v/>
      </c>
      <c r="OU16" s="43" t="str">
        <f t="shared" si="114"/>
        <v/>
      </c>
      <c r="OV16" s="110" t="str">
        <f t="shared" si="115"/>
        <v/>
      </c>
      <c r="OW16" s="43" t="str">
        <f t="shared" si="116"/>
        <v/>
      </c>
      <c r="OX16" s="43" t="str">
        <f t="shared" si="117"/>
        <v/>
      </c>
      <c r="OY16" s="43" t="str">
        <f t="shared" si="118"/>
        <v/>
      </c>
      <c r="OZ16" s="43" t="str">
        <f t="shared" si="119"/>
        <v/>
      </c>
      <c r="PA16" s="43" t="str">
        <f t="shared" si="120"/>
        <v/>
      </c>
      <c r="PB16" s="43" t="str">
        <f t="shared" si="121"/>
        <v/>
      </c>
      <c r="PC16" s="43" t="str">
        <f t="shared" si="122"/>
        <v/>
      </c>
      <c r="PD16" s="43" t="str">
        <f t="shared" si="123"/>
        <v/>
      </c>
      <c r="PE16" s="43" t="str">
        <f t="shared" si="124"/>
        <v/>
      </c>
      <c r="PF16" s="43" t="str">
        <f t="shared" si="125"/>
        <v/>
      </c>
      <c r="PG16" s="43" t="str">
        <f t="shared" si="126"/>
        <v/>
      </c>
      <c r="PH16" s="43" t="str">
        <f t="shared" si="127"/>
        <v/>
      </c>
      <c r="PI16" s="43">
        <f t="shared" si="128"/>
        <v>39</v>
      </c>
      <c r="PJ16" s="43" t="str">
        <f t="shared" si="129"/>
        <v/>
      </c>
      <c r="PK16" s="43" t="str">
        <f t="shared" si="130"/>
        <v/>
      </c>
      <c r="PL16" s="43" t="str">
        <f t="shared" si="131"/>
        <v/>
      </c>
      <c r="PM16" s="43" t="str">
        <f t="shared" si="132"/>
        <v/>
      </c>
      <c r="PN16" s="43" t="str">
        <f t="shared" si="133"/>
        <v/>
      </c>
      <c r="PO16" s="43" t="str">
        <f t="shared" si="134"/>
        <v/>
      </c>
      <c r="PP16" s="43" t="str">
        <f t="shared" si="135"/>
        <v/>
      </c>
      <c r="PQ16" s="43" t="str">
        <f t="shared" si="136"/>
        <v/>
      </c>
      <c r="PR16" s="43" t="str">
        <f t="shared" si="137"/>
        <v/>
      </c>
      <c r="PS16" s="43" t="str">
        <f t="shared" si="138"/>
        <v/>
      </c>
      <c r="PT16" s="43" t="str">
        <f t="shared" si="139"/>
        <v/>
      </c>
      <c r="PU16" s="43" t="str">
        <f t="shared" si="140"/>
        <v/>
      </c>
      <c r="PV16" s="43" t="str">
        <f t="shared" si="141"/>
        <v/>
      </c>
      <c r="PW16" s="43" t="str">
        <f t="shared" si="142"/>
        <v/>
      </c>
      <c r="PX16" s="43" t="str">
        <f t="shared" si="143"/>
        <v/>
      </c>
      <c r="PY16" s="43" t="str">
        <f t="shared" si="144"/>
        <v/>
      </c>
      <c r="PZ16" s="43" t="str">
        <f t="shared" si="145"/>
        <v/>
      </c>
      <c r="QA16" s="43" t="str">
        <f t="shared" si="146"/>
        <v/>
      </c>
      <c r="QB16" s="43" t="str">
        <f t="shared" si="147"/>
        <v/>
      </c>
      <c r="QC16" s="43" t="str">
        <f t="shared" si="148"/>
        <v/>
      </c>
      <c r="QD16" s="43" t="str">
        <f t="shared" si="149"/>
        <v/>
      </c>
      <c r="QE16" s="43" t="str">
        <f t="shared" si="150"/>
        <v/>
      </c>
      <c r="QF16" s="43" t="str">
        <f t="shared" si="151"/>
        <v/>
      </c>
      <c r="QG16" s="43" t="str">
        <f t="shared" si="152"/>
        <v/>
      </c>
      <c r="QH16" s="43" t="str">
        <f t="shared" si="153"/>
        <v/>
      </c>
      <c r="QI16" s="43" t="str">
        <f t="shared" si="154"/>
        <v/>
      </c>
      <c r="QJ16" s="43" t="str">
        <f t="shared" si="155"/>
        <v/>
      </c>
      <c r="QK16" s="43" t="str">
        <f t="shared" si="156"/>
        <v/>
      </c>
      <c r="QL16" s="43" t="str">
        <f t="shared" si="157"/>
        <v/>
      </c>
      <c r="QM16" s="43" t="str">
        <f t="shared" si="158"/>
        <v/>
      </c>
      <c r="QN16" s="43" t="str">
        <f t="shared" si="159"/>
        <v/>
      </c>
      <c r="QO16" s="43" t="str">
        <f t="shared" si="160"/>
        <v/>
      </c>
      <c r="QP16" s="43" t="str">
        <f t="shared" si="161"/>
        <v/>
      </c>
      <c r="QQ16" s="43" t="str">
        <f t="shared" si="162"/>
        <v/>
      </c>
      <c r="QR16" s="43">
        <f t="shared" si="192"/>
        <v>39</v>
      </c>
      <c r="QS16" s="43"/>
      <c r="QT16" s="21" t="str">
        <f t="shared" si="163"/>
        <v/>
      </c>
      <c r="QU16" s="21" t="str">
        <f t="shared" si="164"/>
        <v/>
      </c>
      <c r="QV16" s="21" t="str">
        <f t="shared" si="165"/>
        <v/>
      </c>
      <c r="QW16" s="21" t="str">
        <f t="shared" si="166"/>
        <v/>
      </c>
      <c r="QX16" s="21" t="str">
        <f t="shared" si="167"/>
        <v/>
      </c>
      <c r="QY16" s="21" t="str">
        <f t="shared" si="168"/>
        <v/>
      </c>
      <c r="QZ16" s="21" t="str">
        <f t="shared" si="169"/>
        <v/>
      </c>
      <c r="RA16" s="21" t="str">
        <f t="shared" si="170"/>
        <v/>
      </c>
      <c r="RB16" s="21" t="str">
        <f t="shared" si="171"/>
        <v/>
      </c>
      <c r="RC16" s="21" t="str">
        <f t="shared" si="172"/>
        <v/>
      </c>
      <c r="RD16" s="21" t="str">
        <f t="shared" si="173"/>
        <v/>
      </c>
      <c r="RE16" s="21" t="str">
        <f t="shared" si="174"/>
        <v/>
      </c>
      <c r="RF16" s="21" t="str">
        <f t="shared" si="175"/>
        <v/>
      </c>
      <c r="RG16" s="21" t="str">
        <f t="shared" si="176"/>
        <v/>
      </c>
      <c r="RH16" s="21" t="str">
        <f t="shared" si="177"/>
        <v/>
      </c>
      <c r="RI16" s="21" t="str">
        <f t="shared" si="178"/>
        <v/>
      </c>
      <c r="RJ16" s="21" t="str">
        <f t="shared" si="179"/>
        <v/>
      </c>
      <c r="RK16" s="21" t="str">
        <f t="shared" si="180"/>
        <v/>
      </c>
      <c r="RL16" s="21" t="str">
        <f t="shared" si="181"/>
        <v/>
      </c>
      <c r="RM16" s="21" t="str">
        <f t="shared" si="182"/>
        <v/>
      </c>
      <c r="RN16" s="21" t="str">
        <f t="shared" si="183"/>
        <v/>
      </c>
      <c r="RO16" s="21" t="str">
        <f t="shared" si="184"/>
        <v/>
      </c>
      <c r="RP16" s="21" t="str">
        <f t="shared" si="185"/>
        <v/>
      </c>
      <c r="RQ16" s="21" t="str">
        <f t="shared" si="186"/>
        <v/>
      </c>
      <c r="RR16" s="21" t="str">
        <f t="shared" si="187"/>
        <v/>
      </c>
      <c r="RS16" s="21" t="str">
        <f t="shared" si="188"/>
        <v/>
      </c>
      <c r="RT16" s="21" t="str">
        <f t="shared" si="189"/>
        <v/>
      </c>
      <c r="RU16" s="21" t="str">
        <f t="shared" si="190"/>
        <v/>
      </c>
      <c r="RV16" s="21">
        <f t="shared" si="191"/>
        <v>15.285714285714286</v>
      </c>
      <c r="RW16" s="284">
        <f>IF(OR(Tabla1[[#This Row],[FUM FORMULA CONFIABLE]]="",Tabla1[[#This Row],[FUM FORMULA CONFIABLE]]="SD"),"",IF(Tabla1[[#This Row],[FUM FORMULA CONFIABLE]]="CORREGIDA",Tabla1[[#This Row],[FUM X ECO 1]],Tabla1[[#This Row],[FUM x AMENORREA]]))</f>
        <v>44717</v>
      </c>
      <c r="RX16" s="21">
        <f>IF(AND(Tabla1[[#This Row],[FUM X ECO 1]]="",Tabla1[[#This Row],[FUM x AMENORREA]]=""),"",IF(AND(Tabla1[[#This Row],[FUM X ECO 1]]="",Tabla1[[#This Row],[FUM x AMENORREA]]&lt;&gt;""),"X",SUM(Tabla1[[#This Row],[FUM X ECO 1]]-Tabla1[[#This Row],[FUM x AMENORREA]])))</f>
        <v>25</v>
      </c>
      <c r="RY16" s="21">
        <f t="shared" si="193"/>
        <v>1</v>
      </c>
    </row>
    <row r="17" spans="1:493" ht="45" customHeight="1" x14ac:dyDescent="0.25">
      <c r="A17" s="109" t="s">
        <v>952</v>
      </c>
      <c r="B17" s="43" t="s">
        <v>946</v>
      </c>
      <c r="C17" s="43" t="s">
        <v>845</v>
      </c>
      <c r="D17" s="124" t="s">
        <v>846</v>
      </c>
      <c r="E17" s="43" t="s">
        <v>896</v>
      </c>
      <c r="F17" s="43" t="s">
        <v>953</v>
      </c>
      <c r="G17" s="43" t="s">
        <v>954</v>
      </c>
      <c r="H17" s="43"/>
      <c r="I17" s="109" t="s">
        <v>851</v>
      </c>
      <c r="J17" s="110">
        <v>1059604759</v>
      </c>
      <c r="K17" s="43" t="s">
        <v>852</v>
      </c>
      <c r="L17" s="175" t="s">
        <v>853</v>
      </c>
      <c r="M17" s="22">
        <v>35014</v>
      </c>
      <c r="N17" s="213">
        <f t="shared" ca="1" si="0"/>
        <v>27.994520547945207</v>
      </c>
      <c r="O17" s="22">
        <v>44823</v>
      </c>
      <c r="P17" s="214" t="str">
        <f t="shared" si="1"/>
        <v>SI</v>
      </c>
      <c r="Q17" s="26" t="s">
        <v>855</v>
      </c>
      <c r="R17" s="22">
        <v>44823</v>
      </c>
      <c r="S17" s="21" t="s">
        <v>856</v>
      </c>
      <c r="T17" s="24" t="s">
        <v>690</v>
      </c>
      <c r="U17" s="21" t="s">
        <v>857</v>
      </c>
      <c r="V17" s="21" t="s">
        <v>858</v>
      </c>
      <c r="W17" s="21" t="s">
        <v>955</v>
      </c>
      <c r="X17" s="21" t="s">
        <v>955</v>
      </c>
      <c r="Y17" s="21" t="s">
        <v>859</v>
      </c>
      <c r="Z17" s="21" t="s">
        <v>894</v>
      </c>
      <c r="AA17" s="21" t="s">
        <v>860</v>
      </c>
      <c r="AB17" s="27" t="s">
        <v>861</v>
      </c>
      <c r="AC17" s="26" t="s">
        <v>897</v>
      </c>
      <c r="AD17" s="38" t="s">
        <v>846</v>
      </c>
      <c r="AE17" s="26" t="s">
        <v>854</v>
      </c>
      <c r="AF17" s="26" t="s">
        <v>854</v>
      </c>
      <c r="AG17" s="23" t="s">
        <v>864</v>
      </c>
      <c r="AH17" s="23" t="s">
        <v>864</v>
      </c>
      <c r="AI17" s="24" t="s">
        <v>863</v>
      </c>
      <c r="AJ17" s="23" t="s">
        <v>864</v>
      </c>
      <c r="AK17" s="220" t="str">
        <f>IF(AND(AD17="",AE17="",AF17="",AG17="",AH17="",AI17="",AJ17=""),"",IF(OR(Tabla1[[#This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EVALUACIÓN",IF(AND(O17="",R17=""),"",IF(AND(OR(O17&gt;0,R17&gt;0),NG17&gt;=0,NG17&lt;2),"SIN RIESGO",IF(AND(OR(O17&gt;0,R17&gt;0),NG17&gt;=2),"CON RIESGO","ASD")))))</f>
        <v>SIN RIESGO</v>
      </c>
      <c r="AL17" s="23" t="s">
        <v>864</v>
      </c>
      <c r="AM17" s="26" t="s">
        <v>864</v>
      </c>
      <c r="AN17" s="26" t="s">
        <v>864</v>
      </c>
      <c r="AO17" s="26" t="s">
        <v>864</v>
      </c>
      <c r="AP17" s="26" t="s">
        <v>864</v>
      </c>
      <c r="AQ17" s="26" t="s">
        <v>864</v>
      </c>
      <c r="AR17" s="26" t="s">
        <v>864</v>
      </c>
      <c r="AS17" s="21">
        <v>2</v>
      </c>
      <c r="AT17" s="21">
        <v>1</v>
      </c>
      <c r="AU17" s="21">
        <v>0</v>
      </c>
      <c r="AV17" s="26" t="s">
        <v>864</v>
      </c>
      <c r="AW17" s="21">
        <v>0</v>
      </c>
      <c r="AX17" s="26" t="s">
        <v>864</v>
      </c>
      <c r="AY17" s="26" t="s">
        <v>864</v>
      </c>
      <c r="AZ17" s="26" t="s">
        <v>864</v>
      </c>
      <c r="BA17" s="26" t="s">
        <v>864</v>
      </c>
      <c r="BB17" s="26" t="s">
        <v>864</v>
      </c>
      <c r="BC17" s="26" t="s">
        <v>864</v>
      </c>
      <c r="BD17" s="26" t="s">
        <v>864</v>
      </c>
      <c r="BE17" s="26" t="s">
        <v>864</v>
      </c>
      <c r="BF17" s="26" t="s">
        <v>864</v>
      </c>
      <c r="BG17" s="26" t="s">
        <v>864</v>
      </c>
      <c r="BH17" s="26"/>
      <c r="BI17" s="26" t="s">
        <v>864</v>
      </c>
      <c r="BJ17" s="26"/>
      <c r="BK17" s="26"/>
      <c r="BL17" s="26"/>
      <c r="BM17" s="26" t="s">
        <v>864</v>
      </c>
      <c r="BN17" s="22">
        <v>43570</v>
      </c>
      <c r="BO17" s="22">
        <v>44958</v>
      </c>
      <c r="BP17" s="21" t="s">
        <v>1380</v>
      </c>
      <c r="BQ17" s="222">
        <f t="shared" si="2"/>
        <v>36.766666666666666</v>
      </c>
      <c r="BR17" s="223">
        <f t="shared" si="3"/>
        <v>44673</v>
      </c>
      <c r="BS17" s="224">
        <f t="shared" si="4"/>
        <v>21.428571428571427</v>
      </c>
      <c r="BT17" s="216" t="str">
        <f t="shared" si="5"/>
        <v>II TRIM</v>
      </c>
      <c r="BU17" s="214" t="str">
        <f t="shared" ca="1" si="6"/>
        <v/>
      </c>
      <c r="BV17" s="25"/>
      <c r="BW17" s="22">
        <v>44834</v>
      </c>
      <c r="BX17" s="28">
        <v>23</v>
      </c>
      <c r="BY17" s="28"/>
      <c r="BZ17" s="22">
        <v>44898</v>
      </c>
      <c r="CA17" s="21">
        <v>31</v>
      </c>
      <c r="CB17" s="26" t="s">
        <v>864</v>
      </c>
      <c r="CC17" s="26" t="s">
        <v>864</v>
      </c>
      <c r="CD17" s="26" t="s">
        <v>878</v>
      </c>
      <c r="CE17" s="26" t="s">
        <v>864</v>
      </c>
      <c r="CF17" s="22" t="s">
        <v>1517</v>
      </c>
      <c r="CG17" s="21">
        <v>1.49</v>
      </c>
      <c r="CH17" s="21">
        <v>48.8</v>
      </c>
      <c r="CI17" s="214">
        <f t="shared" si="7"/>
        <v>21.980991847214089</v>
      </c>
      <c r="CJ17" s="225" t="e">
        <f>IF(AND(CI17&lt;10,CH17="SD"),"SIN DATO PESO PREGESTACION O I TRIM",IF(AND(OR(R17&gt;0,O17&gt;0),CI17="X"),"INGRESAR DATO DE PESO",IF(CI17="SD","INGRESAR DATO DE TALLA Y PESO",IF(AND(OR(Tabla1[[#This Row],[MOMENTO EN QUE SE REALIZA EL PESO AL INGRESO A CPN]]="PREGESTACIÓN",NZ17="Menor"),CI17&lt;18.5),"BAJO PESO",IF(AND(OR(Tabla1[[#This Row],[MOMENTO EN QUE SE REALIZA EL PESO AL INGRESO A CPN]]="PREGESTACIÓN",NZ17="Menor"),CI17&lt;25),"NORMAL",IF(AND(OR(Tabla1[[#This Row],[MOMENTO EN QUE SE REALIZA EL PESO AL INGRESO A CPN]]="PREGESTACIÓN",NZ17="Menor"),CI17&lt;30),"SOBREPESO",IF(AND(OR(Tabla1[[#This Row],[MOMENTO EN QUE SE REALIZA EL PESO AL INGRESO A CPN]]="PREGESTACIÓN",NZ17="Menor"),CI17&gt;=30,CI17&lt;50),"OBESIDAD",IF(AND(BS17&gt;0,Tabla1[[#This Row],[MOMENTO EN QUE SE REALIZA EL PESO AL INGRESO A CPN]]="GESTACIÓN"),HLOOKUP(NZ17,$OA$2:PH17,NY17),""))))))))</f>
        <v>#REF!</v>
      </c>
      <c r="CK17" s="212">
        <f t="shared" si="8"/>
        <v>44897</v>
      </c>
      <c r="CL17" s="21"/>
      <c r="CM17" s="214">
        <f t="shared" si="9"/>
        <v>0</v>
      </c>
      <c r="CN17" s="216">
        <f t="shared" si="10"/>
        <v>32</v>
      </c>
      <c r="CO17" s="216" t="e">
        <f>IF(PI17="","",IF(PI17&gt;0,HLOOKUP(PI17,$PJ$2:QQ17,NY17),""))</f>
        <v>#REF!</v>
      </c>
      <c r="CP17" s="21"/>
      <c r="CQ17" s="216" t="e">
        <f>IF(QR17="Menor","NO APLICA-MENOR 13 SEM",IF(AND(CC17="SI",CN17&gt;23),"NO APLICA- GEMELAR",IF(QR17="","",IF(QR17&gt;0,HLOOKUP(QR17,$QS$2:RU17,NY17),""))))</f>
        <v>#REF!</v>
      </c>
      <c r="CR17" s="21"/>
      <c r="CS17" s="21"/>
      <c r="CT17" s="217" t="str">
        <f>IF(R17="","",IF(AND(BS17&gt;1,BS17&lt;12,Tabla1[[#This Row],[T.A. SISTOLICA - ANTES DE SEMANA 12]]="",Tabla1[[#This Row],[T.A. DIASTOLICA - ANTES DE SEMANA 12]]=""),"REGISTRE DATO TA ANTES SEMANA 12",IF(AND(BS17&gt;11,BS17&lt;43,Tabla1[[#This Row],[T.A. SISTOLICA - ANTES DE SEMANA 12]]="",Tabla1[[#This Row],[T.A. DIASTOLICA - ANTES DE SEMANA 12]]=""),"NO APLICA REGISTRO TA-INGRESO TARDIO",IF(AND(OR(O17&gt;0,R17&gt;0),OR(CR17&gt;=140,CS17&gt;=90)),"DEFINIR ESTADIO HTA",IF(AND(OR(O17&gt;0,R17&gt;0),AND(CR17&gt;120,CR17&lt;=139)),"PRE HTA SEGUIMIENTO",IF(AND(OR(O17&gt;0,R17&gt;0),AND(CS17&gt;80,CS17&lt;=89)),"PRE HTA SEGUIMIENTO",IF(AND(OR(O17&gt;0,R17&gt;0),AND(CR17&gt;=80,CR17&lt;=120)),"APARENTEMENTE NORMAL",IF(AND(OR(O17&gt;0,R17&gt;0),AND(CS17&gt;=50,CS17&lt;=80)),"APARENTEMENTE NORMAL",IF(AND(OR(O17&gt;0,R17&gt;0),AND(CR17&gt;1,CR17&lt;=70),AND(CS17&gt;1,CS17&lt;=40)),"HIPOTENSIÓN","")))))))))</f>
        <v>NO APLICA REGISTRO TA-INGRESO TARDIO</v>
      </c>
      <c r="CU17" s="21">
        <v>90</v>
      </c>
      <c r="CV17" s="21">
        <v>60</v>
      </c>
      <c r="CW17" s="217" t="str">
        <f ca="1">IF(R17="","",IF(AND(CN17&gt;19,CN17&lt;27,Tabla1[[#This Row],[T.A. SISTOLICA (Entre semana 20 y 26)]]="",Tabla1[[#This Row],[T.A. DIATOLICA (Entre semana 20 y 26)]]=""),"ACUDE A CONTROL SEM 20 A 26 REGISTRE TA AHORA",IF(AND(BS17&gt;1,BS17&lt;27,BU17&gt;19,Tabla1[[#This Row],[T.A. SISTOLICA (Entre semana 20 y 26)]]="",Tabla1[[#This Row],[T.A. DIATOLICA (Entre semana 20 y 26)]]=""),"COMPLETE REGISTRO TA CONTROL SEM 20 A26 ",IF(AND(BS17&gt;26,BS17&lt;43,Tabla1[[#This Row],[T.A. SISTOLICA (Entre semana 20 y 26)]]="",Tabla1[[#This Row],[T.A. DIATOLICA (Entre semana 20 y 26)]]=""),"NO APLICA REGISTRO TA-INGRESO TARDIO",IF(AND(OR(O17&gt;0,R17&gt;0),OR(CU17&gt;=140,CV17&gt;=90)),"ALTO RIESGO PREECLAMPSIA,DEFINIR ESTADIO HTA",IF(AND(OR(O17&gt;0,R17&gt;0),AND(CU17&gt;120,CU17&lt;=139)),"PRE HTA SEGUIMIENTO,RIESGO HIPERTENSION INDUCIDA POR EL EMBARAZO",IF(AND(OR(O17&gt;0,R17&gt;0),AND(CV17&gt;80,CV17&lt;=89)),"PRE HTA SEGUIMIENTO, RIESGO HIPERTENSION INDUCIDA POR EL EMBARAZO",IF(AND(OR(O17&lt;&gt;"",R17&lt;&gt;""),CS17&lt;&gt;"",CV17&lt;&gt;"",CS17&lt;=CV17),"VIGILAR CIFRAS PRESION ARTERIAL",IF(AND(OR(O17&gt;0,R17&gt;0),AND(CU17&gt;120,CU17&lt;=139)),"PRE HTA SEGUIMIENTO",IF(AND(OR(O17&gt;0,R17&gt;0),AND(CU17&gt;1,CU17&lt;=70),AND(CV17&gt;1,CV17&lt;=40)),"HIPOTENSIÓN",IF(AND(OR(O17&lt;&gt;"",R17&lt;&gt;""),CS17&lt;&gt;"",CV17&lt;&gt;"",CS17&gt;CV17),"APARENTEMENTE NORMAL",IF(AND(OR(O17&gt;0,R17&gt;0),AND(CU17&gt;=80,CU17&lt;=120)),"APARENTEMENTE NORMAL",IF(AND(OR(O17&gt;0,R17&gt;0),AND(CV17&gt;=50,CV17&lt;=80)),"APARENTEMENTE NORMAL","")))))))))))))</f>
        <v>APARENTEMENTE NORMAL</v>
      </c>
      <c r="CX17" s="21"/>
      <c r="CY17" s="21"/>
      <c r="CZ17" s="216" t="str">
        <f t="shared" si="11"/>
        <v>ACUDE A CONTROL SEM 30 A 34- REGISTRE AHORA</v>
      </c>
      <c r="DA17" s="21"/>
      <c r="DB17" s="21"/>
      <c r="DC17" s="217" t="str">
        <f t="shared" si="12"/>
        <v>REGISTRE DATO PRESIÓN ARTERIAL MENSUAL</v>
      </c>
      <c r="DD17" s="22">
        <v>44823</v>
      </c>
      <c r="DE17" s="22">
        <v>44823</v>
      </c>
      <c r="DF17" s="22">
        <v>44897</v>
      </c>
      <c r="DG17" s="22"/>
      <c r="DH17" s="22"/>
      <c r="DI17" s="22"/>
      <c r="DJ17" s="22"/>
      <c r="DK17" s="22"/>
      <c r="DL17" s="22"/>
      <c r="DM17" s="22"/>
      <c r="DN17" s="22"/>
      <c r="DO17" s="22"/>
      <c r="DP17" s="22"/>
      <c r="DQ17" s="22"/>
      <c r="DR17" s="28">
        <v>2</v>
      </c>
      <c r="DS17" s="22"/>
      <c r="DT17" s="22"/>
      <c r="DU17" s="216" t="str">
        <f t="shared" ca="1" si="13"/>
        <v>CONCERTAR PLAN DE PARTO INMEDIATO</v>
      </c>
      <c r="DV17" s="226" t="str">
        <f t="shared" si="14"/>
        <v>ACTIVA INGRESO A CPN</v>
      </c>
      <c r="DW1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7" s="216" t="e">
        <f t="shared" ca="1" si="15"/>
        <v>#REF!</v>
      </c>
      <c r="DY17" s="212">
        <f>IF(R17="","",IF(R17&gt;0,MAX(Tabla1[[#This Row],[FECHA C2]:[FECHA C13]],Tabla1[[#This Row],[FECHA CONSULTA PRIMERA VEZ PROGRAMA CPN ]])))</f>
        <v>44897</v>
      </c>
      <c r="DZ17" s="216">
        <f t="shared" si="16"/>
        <v>32</v>
      </c>
      <c r="EA17" s="222">
        <f>IF(R17&gt;0,SUM(COUNTA(DF17:DQ17)+COUNTA(Tabla1[[#This Row],[FECHA CONSULTA PRIMERA VEZ PROGRAMA CPN ]])),"")</f>
        <v>2</v>
      </c>
      <c r="EB17" s="222" t="str">
        <f t="shared" si="17"/>
        <v>NO</v>
      </c>
      <c r="EC17" s="214">
        <f t="shared" si="18"/>
        <v>6</v>
      </c>
      <c r="ED17" s="227">
        <f t="shared" si="19"/>
        <v>0.33333333333333331</v>
      </c>
      <c r="EE17" s="22">
        <v>44823</v>
      </c>
      <c r="EF17" s="22">
        <v>44834</v>
      </c>
      <c r="EG17" s="22">
        <v>44823</v>
      </c>
      <c r="EH17" s="22"/>
      <c r="EI17" s="22">
        <v>44823</v>
      </c>
      <c r="EJ17" s="22"/>
      <c r="EK17" s="22"/>
      <c r="EL17" s="21"/>
      <c r="EM17" s="21">
        <v>12.8</v>
      </c>
      <c r="EN17" s="22">
        <v>44828</v>
      </c>
      <c r="EO17" s="222">
        <f t="shared" si="20"/>
        <v>22.142857142857142</v>
      </c>
      <c r="EP17" s="214" t="str">
        <f t="shared" si="21"/>
        <v>NORMAL- SUMINISTRAR SULFATO FERROSO</v>
      </c>
      <c r="EQ17" s="216" t="str">
        <f t="shared" si="22"/>
        <v>II TRIM</v>
      </c>
      <c r="ER17" s="24"/>
      <c r="ES17" s="22"/>
      <c r="ET17" s="29" t="str">
        <f t="shared" ca="1" si="23"/>
        <v>TOMA DE HEMOGLOBINA TARDÍA</v>
      </c>
      <c r="EU17" s="25" t="str">
        <f t="shared" si="24"/>
        <v/>
      </c>
      <c r="EV17" s="24" t="s">
        <v>866</v>
      </c>
      <c r="EW17" s="24">
        <v>44828</v>
      </c>
      <c r="EX17" s="22"/>
      <c r="EY17" s="29">
        <f t="shared" si="25"/>
        <v>22.142857142857142</v>
      </c>
      <c r="EZ17" s="25" t="str">
        <f t="shared" ca="1" si="26"/>
        <v/>
      </c>
      <c r="FA17" s="21">
        <v>80</v>
      </c>
      <c r="FB17" s="22">
        <v>44828</v>
      </c>
      <c r="FC17" s="29">
        <f t="shared" si="27"/>
        <v>22.142857142857142</v>
      </c>
      <c r="FD17" s="29"/>
      <c r="FE17" s="29"/>
      <c r="FF17" s="29"/>
      <c r="FG17" s="21" t="str">
        <f t="shared" ca="1" si="28"/>
        <v/>
      </c>
      <c r="FH17" s="31"/>
      <c r="FI17" s="29" t="str">
        <f t="shared" si="29"/>
        <v>TOMAR EXAMEN</v>
      </c>
      <c r="FJ17" s="22" t="s">
        <v>867</v>
      </c>
      <c r="FK17" s="22">
        <v>44828</v>
      </c>
      <c r="FL17" s="29" t="str">
        <f t="shared" si="30"/>
        <v>REGISTRAR EN II TRIMESTRE</v>
      </c>
      <c r="FM17" s="22"/>
      <c r="FN17" s="32"/>
      <c r="FO17" s="29" t="str">
        <f t="shared" ca="1" si="31"/>
        <v>PIERDE TOMA DE TAMIZAJE</v>
      </c>
      <c r="FP17" s="22"/>
      <c r="FQ17" s="32"/>
      <c r="FR17" s="29" t="str">
        <f t="shared" ca="1" si="32"/>
        <v>TOMA INMEDIATA DE TAMIZAJE</v>
      </c>
      <c r="FS17" s="22"/>
      <c r="FT17" s="32"/>
      <c r="FU17" s="29" t="str">
        <f>IF(AND(FJ17="",FM17="",FP17="",FS17=""),"",IF(OR(OR(Tabla1[[#This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7" s="28"/>
      <c r="FW17" s="22"/>
      <c r="FX17" s="29" t="str">
        <f t="shared" si="33"/>
        <v>TOMAR EXAMEN</v>
      </c>
      <c r="FY17" s="22">
        <v>44828</v>
      </c>
      <c r="FZ17" s="22">
        <v>44828</v>
      </c>
      <c r="GA17" s="29" t="str">
        <f t="shared" si="34"/>
        <v>REGISTRAR EN II TRIMESTRE</v>
      </c>
      <c r="GB17" s="22"/>
      <c r="GC17" s="22"/>
      <c r="GD17" s="29" t="str">
        <f t="shared" ca="1" si="35"/>
        <v>PIERDE TOMA DE TAMIZAJE</v>
      </c>
      <c r="GE17" s="22"/>
      <c r="GF17" s="22"/>
      <c r="GG17" s="29" t="str">
        <f t="shared" ca="1" si="36"/>
        <v>TOMA INMEDIATA DE TAMIZAJE</v>
      </c>
      <c r="GH17" s="22"/>
      <c r="GI17" s="29"/>
      <c r="GJ17" s="22"/>
      <c r="GK17" s="22"/>
      <c r="GL17" s="22" t="s">
        <v>879</v>
      </c>
      <c r="GM17" s="22"/>
      <c r="GN17" s="28" t="s">
        <v>869</v>
      </c>
      <c r="GO17" s="22">
        <v>44828</v>
      </c>
      <c r="GP17" s="29">
        <f t="shared" si="37"/>
        <v>22.142857142857142</v>
      </c>
      <c r="GQ17" s="28" t="s">
        <v>880</v>
      </c>
      <c r="GR17" s="28" t="s">
        <v>869</v>
      </c>
      <c r="GS17" s="22" t="str">
        <f t="shared" si="38"/>
        <v>SE EXCLUYE INFECCION</v>
      </c>
      <c r="GT17" s="22">
        <v>44828</v>
      </c>
      <c r="GU17" s="29" t="str">
        <f t="shared" si="39"/>
        <v>CORREGIR FECHA RESULTADO</v>
      </c>
      <c r="GV17" s="21" t="str">
        <f t="shared" si="40"/>
        <v>POR DEFINIR</v>
      </c>
      <c r="GW17" s="28" t="s">
        <v>869</v>
      </c>
      <c r="GX17" s="30"/>
      <c r="GY17" s="21"/>
      <c r="GZ17" s="21"/>
      <c r="HA17" s="21"/>
      <c r="HB17" s="21"/>
      <c r="HC17" s="21"/>
      <c r="HD17" s="21"/>
      <c r="HE17" s="21"/>
      <c r="HF17" s="22"/>
      <c r="HG17" s="22" t="str">
        <f>IF(OR(O17&gt;0,R17&gt;0),CONCATENATE(IF(Tabla1[[#This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7" s="22" t="e">
        <f t="shared" si="41"/>
        <v>#REF!</v>
      </c>
      <c r="HI17" s="22" t="e">
        <f t="shared" ca="1" si="42"/>
        <v>#REF!</v>
      </c>
      <c r="HJ17" s="21" t="str">
        <f t="shared" ca="1" si="43"/>
        <v>***************************************</v>
      </c>
      <c r="HK17" s="21" t="str">
        <f t="shared" si="44"/>
        <v>SIN ANTECEDENTES DE RIESGO</v>
      </c>
      <c r="HL17" s="24" t="str">
        <f t="shared" si="45"/>
        <v>REGISTRE DATO PRESIÓN ARTERIAL MENSUAL</v>
      </c>
      <c r="HM17" s="21" t="e">
        <f t="shared" ca="1" si="46"/>
        <v>#REF!</v>
      </c>
      <c r="HN17" s="30" t="str">
        <f t="shared" si="47"/>
        <v>ACTIVA INGRESO A CPN</v>
      </c>
      <c r="HO17" s="21"/>
      <c r="HP17" s="21"/>
      <c r="HQ17" s="21">
        <v>44823</v>
      </c>
      <c r="HR17" s="21" t="str">
        <f>IF(R17="","",IF(Tabla1[[#This Row],[ALARMA FACTORES DE RIESGO COMPLICACIONES HIPERTENSIVAS3]]="SIN ANTECEDENTES DE RIESGO","No Aplica para suministro de ASA",IF(AND(Tabla1[[#This Row],[FECHA INICIO DE SUMINISTRO DE ASA]]&gt;0,RV17&lt;12),"Inicia ASA ANTES de Sem 12",IF(AND(RV17&gt;11,RV17&lt;17,OR(HK17="RIESGO ALTO DE COMPLICACIONES HIPERTENSIVAS VER MANEJO GUIA SUMINISTRO ASA Y CALCIO",HK17="RIESGO MODERADO (2 O MAS CRITERIOS) VER MANEJO GUIA SUMINISTRO ASA Y CALCIO")),"Inicio oportuno de ASA",IF(AND(RV17&gt;12,OR(HK17="RIESGO ALTO DE COMPLICACIONES HIPERTENSIVAS VER MANEJO GUIA SUMINISTRO ASA Y CALCIO",HK17="RIESGO MODERADO (2 O MAS CRITERIOS) VER MANEJO GUIA SUMINISTRO ASA Y CALCIO")),"Inicio no oportuno mayor a 16 semanas",IF(AND(BU17&lt;12,OR(HK17="RIESGO ALTO DE COMPLICACIONES HIPERTENSIVAS VER MANEJO GUIA SUMINISTRO ASA Y CALCIO",HK17="RIESGO MODERADO (2 O MAS CRITERIOS) VER MANEJO GUIA SUMINISTRO ASA Y CALCIO")),"Pendiente Inicio de ASA a la semana 12",IF(AND(BU17&gt;11,BU17&lt;17,OR(HK17="RIESGO ALTO DE COMPLICACIONES HIPERTENSIVAS VER MANEJO GUIA SUMINISTRO ASA Y CALCIO",HK17="RIESGO MODERADO (2 O MAS CRITERIOS) VER MANEJO GUIA SUMINISTRO ASA Y CALCIO")),"Iniciar de inmediato ASA",IF(AND(BU17&gt;16,OR(HK17="RIESGO ALTO DE COMPLICACIONES HIPERTENSIVAS VER MANEJO GUIA SUMINISTRO ASA Y CALCIO",HK17="RIESGO MODERADO (2 O MAS CRITERIOS) VER MANEJO GUIA SUMINISTRO ASA Y CALCIO")),"Pierde Oportunidad, Inicio tardío de ASA","XXXXX"))))))))</f>
        <v>No Aplica para suministro de ASA</v>
      </c>
      <c r="HS17" s="22">
        <v>44823</v>
      </c>
      <c r="HT17" s="22" t="s">
        <v>870</v>
      </c>
      <c r="HU17" s="22">
        <v>44823</v>
      </c>
      <c r="HV17" s="22" t="s">
        <v>870</v>
      </c>
      <c r="HW17" s="22"/>
      <c r="HX17" s="22"/>
      <c r="HY17" s="22">
        <v>44823</v>
      </c>
      <c r="HZ17" s="28">
        <f t="shared" si="48"/>
        <v>21.428571428571427</v>
      </c>
      <c r="IA17" s="26" t="s">
        <v>864</v>
      </c>
      <c r="IB17" s="26"/>
      <c r="IC17" s="111">
        <v>44834</v>
      </c>
      <c r="ID17" s="22">
        <v>44834</v>
      </c>
      <c r="IE17" s="22" t="str">
        <f t="shared" ca="1" si="49"/>
        <v>VACUNA APLICADA ENTRE SEMANA 20 Y SEMANA 26</v>
      </c>
      <c r="IF17" s="22"/>
      <c r="IG17" s="22">
        <f t="shared" si="50"/>
        <v>44953</v>
      </c>
      <c r="IH17" s="29">
        <f t="shared" ca="1" si="51"/>
        <v>-279</v>
      </c>
      <c r="II17" s="22" t="str">
        <f t="shared" ca="1" si="52"/>
        <v>POSIBLEMENTE NACIO</v>
      </c>
      <c r="IJ17" s="22"/>
      <c r="IK17" s="21"/>
      <c r="IL17" s="21"/>
      <c r="IM17" s="34"/>
      <c r="IN17" s="349"/>
      <c r="IO17" s="21"/>
      <c r="IP17" s="29" t="str">
        <f t="shared" si="53"/>
        <v/>
      </c>
      <c r="IQ17" s="35"/>
      <c r="IR17" s="21"/>
      <c r="IS17" s="21"/>
      <c r="IT17" s="21"/>
      <c r="IU17" s="21"/>
      <c r="IV17" s="21"/>
      <c r="IW17" s="21"/>
      <c r="IX17" s="21"/>
      <c r="IY17" s="21"/>
      <c r="IZ17" s="21"/>
      <c r="JA17" s="21"/>
      <c r="JB17" s="30"/>
      <c r="JC17" s="21"/>
      <c r="JD17" s="36"/>
      <c r="JE17" s="21" t="str">
        <f t="shared" si="54"/>
        <v/>
      </c>
      <c r="JF17" s="30"/>
      <c r="JG17" s="21"/>
      <c r="JH17" s="21"/>
      <c r="JI17" s="21"/>
      <c r="JJ17" s="30"/>
      <c r="JK17" s="22"/>
      <c r="JL17" s="22"/>
      <c r="JM17" s="21"/>
      <c r="JN17" s="36"/>
      <c r="JO17" s="21" t="str">
        <f t="shared" si="55"/>
        <v/>
      </c>
      <c r="JP17" s="22"/>
      <c r="JQ17" s="21"/>
      <c r="JR17" s="21"/>
      <c r="JS17" s="21"/>
      <c r="JT17" s="30"/>
      <c r="JU17" s="22"/>
      <c r="JV17" s="22"/>
      <c r="JW17" s="33"/>
      <c r="JX17" s="28" t="str">
        <f t="shared" si="56"/>
        <v/>
      </c>
      <c r="JY17" s="33"/>
      <c r="JZ17" s="28" t="str">
        <f t="shared" si="57"/>
        <v/>
      </c>
      <c r="KA17" s="21"/>
      <c r="KB17" s="21"/>
      <c r="KC17" s="21"/>
      <c r="KD17" s="37"/>
      <c r="KE17" s="28"/>
      <c r="KF17" s="28"/>
      <c r="KG17" s="28"/>
      <c r="KH17" s="39"/>
      <c r="KI17" s="39"/>
      <c r="KJ17" s="66"/>
      <c r="KK17" s="39"/>
      <c r="KL17" s="39"/>
      <c r="KM17" s="66"/>
      <c r="KN17" s="39"/>
      <c r="KO17" s="39"/>
      <c r="KP17" s="39"/>
      <c r="KQ17" s="39"/>
      <c r="KR17" s="39"/>
      <c r="KS17" s="39"/>
      <c r="KT17" s="39"/>
      <c r="KU17" s="38"/>
      <c r="KV17" s="38"/>
      <c r="KW17" s="38"/>
      <c r="KX17" s="38"/>
      <c r="KY17" s="38"/>
      <c r="KZ17" s="38"/>
      <c r="LA17" s="38"/>
      <c r="LB17" s="38"/>
      <c r="LC17" s="38"/>
      <c r="LD17" s="38"/>
      <c r="LE17" s="38"/>
      <c r="LF17" s="38"/>
      <c r="LG17" s="38"/>
      <c r="LH17" s="38"/>
      <c r="LI17" s="38"/>
      <c r="LJ17" s="38"/>
      <c r="LK17" s="38"/>
      <c r="LL17" s="38"/>
      <c r="LM17" s="38"/>
      <c r="LN17" s="38"/>
      <c r="LO17" s="38"/>
      <c r="LP17" s="38"/>
      <c r="LQ17" s="38"/>
      <c r="LR17" s="38"/>
      <c r="LS17" s="38"/>
      <c r="LT17" s="38"/>
      <c r="LU17" s="38"/>
      <c r="LV17" s="38"/>
      <c r="LW17" s="38"/>
      <c r="LX17" s="38"/>
      <c r="LY17" s="38"/>
      <c r="LZ17" s="38"/>
      <c r="MA17" s="38"/>
      <c r="MB17" s="38"/>
      <c r="MC17" s="38"/>
      <c r="MD17" s="38"/>
      <c r="ME17" s="38"/>
      <c r="MF17" s="38"/>
      <c r="MG17" s="38"/>
      <c r="MH17" s="43">
        <f t="shared" si="58"/>
        <v>0</v>
      </c>
      <c r="MI17" s="43" t="str">
        <f t="shared" si="59"/>
        <v/>
      </c>
      <c r="MJ17" s="43" t="str">
        <f t="shared" si="60"/>
        <v/>
      </c>
      <c r="MK17" s="43">
        <f t="shared" si="61"/>
        <v>0</v>
      </c>
      <c r="ML1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7" s="43">
        <f t="shared" si="62"/>
        <v>21.428571428571427</v>
      </c>
      <c r="MN17" s="43">
        <f t="shared" si="63"/>
        <v>9</v>
      </c>
      <c r="MO17" s="43">
        <f t="shared" si="64"/>
        <v>2022</v>
      </c>
      <c r="MP17" s="43" t="str">
        <f t="shared" si="65"/>
        <v>III TRIMESTRE AÑO</v>
      </c>
      <c r="MQ17" s="43">
        <f t="shared" si="66"/>
        <v>26.467367498904949</v>
      </c>
      <c r="MR17" s="43">
        <f t="shared" si="67"/>
        <v>0</v>
      </c>
      <c r="MS17" s="43" t="str">
        <f t="shared" si="68"/>
        <v xml:space="preserve"> DE 25 A 29 AÑOS</v>
      </c>
      <c r="MT17" s="43">
        <f t="shared" si="69"/>
        <v>0</v>
      </c>
      <c r="MU17" s="43">
        <f t="shared" si="70"/>
        <v>0</v>
      </c>
      <c r="MV17" s="43">
        <f t="shared" si="71"/>
        <v>0</v>
      </c>
      <c r="MW17" s="43">
        <f t="shared" si="72"/>
        <v>0</v>
      </c>
      <c r="MX17" s="43" t="str">
        <f t="shared" si="73"/>
        <v/>
      </c>
      <c r="MY17" s="43" t="str">
        <f t="shared" ca="1" si="74"/>
        <v/>
      </c>
      <c r="MZ17" s="43" t="str">
        <f t="shared" si="75"/>
        <v/>
      </c>
      <c r="NA17" s="43">
        <f t="shared" si="76"/>
        <v>0</v>
      </c>
      <c r="NB17" s="43" t="str">
        <f t="shared" si="77"/>
        <v/>
      </c>
      <c r="NC17" s="43" t="str">
        <f t="shared" si="78"/>
        <v/>
      </c>
      <c r="ND17" s="43">
        <f t="shared" ca="1" si="79"/>
        <v>0</v>
      </c>
      <c r="NE17" s="43">
        <f>IF(OR(O17&gt;0,R17&gt;0),SUM(COUNTIF(Tabla1[[#This Row],[AÑOS AL INICIO5 CPN]],"&gt;=40"),COUNTIF(AS17,"0"),COUNTIF(AR17,"SI"),COUNTIF(CC17,"SI"),COUNTIF(BQ17,"&gt;119"),COUNTIF(CI17,"&gt;=35")),"")</f>
        <v>0</v>
      </c>
      <c r="NF17" s="43">
        <f t="shared" si="80"/>
        <v>23</v>
      </c>
      <c r="NG17" s="43">
        <f t="shared" si="81"/>
        <v>0</v>
      </c>
      <c r="NH17" s="43">
        <f t="shared" si="82"/>
        <v>161</v>
      </c>
      <c r="NI1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CPN",P17="NO"),"Z",IF(AND(Tabla1[[#This Row],[CITA PROXIMO CONTROL]]="CITA MANUAL",Tabla1[[#This Row],[GESTANTES ACTUALES]]="ACTIVA INGRESO A CPN"),"W",IF(AND(Tabla1[[#This Row],[GESTANTES ACTUALES]]="SALIO PROGRAMA",IN17=""),"S",IF(AND(Tabla1[[#This Row],[CITA PROXIMO CONTROL]]&gt;0,IN17=""),(Tabla1[[#This Row],[CITA PROXIMO CONTROL]]-TODAY()),"SD"))))))))</f>
        <v>#REF!</v>
      </c>
      <c r="NJ17" s="43">
        <f>MONTH(Tabla1[[#This Row],[FECHA DE SALIDA  DEL PROGRAMA]])</f>
        <v>1</v>
      </c>
      <c r="NK17" s="43">
        <f>YEAR(Tabla1[[#This Row],[FECHA DE SALIDA  DEL PROGRAMA]])</f>
        <v>1900</v>
      </c>
      <c r="NL17" s="43" t="str">
        <f t="shared" si="83"/>
        <v>X</v>
      </c>
      <c r="NM17" s="43" t="str">
        <f t="shared" si="84"/>
        <v>NO</v>
      </c>
      <c r="NN17" s="43" t="str">
        <f ca="1">IF(AND(O17&gt;0,R17=""),"NO CPN",IF(AND(O17="",R17=""),"",IF(AND(R17&gt;0,Tabla1[[#This Row],[SEMANAS DE GESTACION ACTUALIZADAS]]&lt;=12),"NO APLICA",IF(AND(FH17&lt;&gt;"",FN17&lt;&gt;""),"SI","NO"))))</f>
        <v>NO</v>
      </c>
      <c r="NO17" s="43" t="str">
        <f ca="1">IF(AND(O17&gt;0,R17=""),"NO CPN",IF(AND(O17="",R17=""),"",IF(AND(R17&gt;0,Tabla1[[#This Row],[SEMANAS DE GESTACION ACTUALIZADAS]]&lt;=27),"NO APLICA",IF(AND(ES17&lt;&gt;"",FQ17&lt;&gt;"",GF17&lt;&gt;""),"SI","NO"))))</f>
        <v>NO</v>
      </c>
      <c r="NP17" s="204" t="str">
        <f t="shared" si="85"/>
        <v>II TRIM</v>
      </c>
      <c r="NQ17" s="21" t="str">
        <f t="shared" si="86"/>
        <v/>
      </c>
      <c r="NR17" s="21" t="str">
        <f t="shared" ca="1" si="87"/>
        <v>REVISAR FUM O FECHA SALIDA PROGRAMA</v>
      </c>
      <c r="NS17" s="205">
        <f t="shared" ca="1" si="88"/>
        <v>0</v>
      </c>
      <c r="NT17" s="21">
        <f t="shared" ca="1" si="89"/>
        <v>0</v>
      </c>
      <c r="NU17" s="21" t="str">
        <f t="shared" ca="1" si="90"/>
        <v>POR DEFINIR</v>
      </c>
      <c r="NV17" s="21" t="str">
        <f t="shared" ca="1" si="91"/>
        <v>POR DEFINIR</v>
      </c>
      <c r="NW17" s="206" t="str">
        <f>IF(AND(O17="",R17=""),"",IF(OR(AND(Tabla1[[#This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7" s="207" t="str">
        <f t="shared" ca="1" si="92"/>
        <v>VACUNADA</v>
      </c>
      <c r="NY17" s="43">
        <f>ROW(Tabla1[[#This Row],['# DE TAMIZAJES SIFILIS TOMADOS ]])</f>
        <v>17</v>
      </c>
      <c r="NZ17" s="43">
        <f t="shared" si="93"/>
        <v>21</v>
      </c>
      <c r="OA17" s="43" t="str">
        <f t="shared" si="94"/>
        <v/>
      </c>
      <c r="OB17" s="43" t="str">
        <f t="shared" si="95"/>
        <v/>
      </c>
      <c r="OC17" s="43" t="str">
        <f t="shared" si="96"/>
        <v/>
      </c>
      <c r="OD17" s="43" t="str">
        <f t="shared" si="97"/>
        <v/>
      </c>
      <c r="OE17" s="43" t="str">
        <f t="shared" si="98"/>
        <v/>
      </c>
      <c r="OF17" s="43" t="str">
        <f t="shared" si="99"/>
        <v/>
      </c>
      <c r="OG17" s="43" t="str">
        <f t="shared" si="100"/>
        <v/>
      </c>
      <c r="OH17" s="43" t="str">
        <f t="shared" si="101"/>
        <v/>
      </c>
      <c r="OI17" s="43" t="str">
        <f t="shared" si="102"/>
        <v/>
      </c>
      <c r="OJ17" s="43" t="str">
        <f t="shared" si="103"/>
        <v/>
      </c>
      <c r="OK17" s="43" t="str">
        <f t="shared" si="104"/>
        <v/>
      </c>
      <c r="OL17" s="43" t="str">
        <f t="shared" si="105"/>
        <v/>
      </c>
      <c r="OM17" s="43" t="str">
        <f t="shared" si="106"/>
        <v>NORMAL</v>
      </c>
      <c r="ON17" s="43" t="str">
        <f t="shared" si="107"/>
        <v/>
      </c>
      <c r="OO17" s="43" t="str">
        <f t="shared" si="108"/>
        <v/>
      </c>
      <c r="OP17" s="43" t="str">
        <f t="shared" si="109"/>
        <v/>
      </c>
      <c r="OQ17" s="43" t="str">
        <f t="shared" si="110"/>
        <v/>
      </c>
      <c r="OR17" s="43" t="str">
        <f t="shared" si="111"/>
        <v/>
      </c>
      <c r="OS17" s="43" t="str">
        <f t="shared" si="112"/>
        <v/>
      </c>
      <c r="OT17" s="43" t="str">
        <f t="shared" si="113"/>
        <v/>
      </c>
      <c r="OU17" s="43" t="str">
        <f t="shared" si="114"/>
        <v/>
      </c>
      <c r="OV17" s="110" t="str">
        <f t="shared" si="115"/>
        <v/>
      </c>
      <c r="OW17" s="43" t="str">
        <f t="shared" si="116"/>
        <v/>
      </c>
      <c r="OX17" s="43" t="str">
        <f t="shared" si="117"/>
        <v/>
      </c>
      <c r="OY17" s="43" t="str">
        <f t="shared" si="118"/>
        <v/>
      </c>
      <c r="OZ17" s="43" t="str">
        <f t="shared" si="119"/>
        <v/>
      </c>
      <c r="PA17" s="43" t="str">
        <f t="shared" si="120"/>
        <v/>
      </c>
      <c r="PB17" s="43" t="str">
        <f t="shared" si="121"/>
        <v/>
      </c>
      <c r="PC17" s="43" t="str">
        <f t="shared" si="122"/>
        <v/>
      </c>
      <c r="PD17" s="43" t="str">
        <f t="shared" si="123"/>
        <v/>
      </c>
      <c r="PE17" s="43" t="str">
        <f t="shared" si="124"/>
        <v/>
      </c>
      <c r="PF17" s="43" t="str">
        <f t="shared" si="125"/>
        <v/>
      </c>
      <c r="PG17" s="43" t="str">
        <f t="shared" si="126"/>
        <v/>
      </c>
      <c r="PH17" s="43" t="str">
        <f t="shared" si="127"/>
        <v/>
      </c>
      <c r="PI17" s="43">
        <f t="shared" si="128"/>
        <v>32</v>
      </c>
      <c r="PJ17" s="43" t="str">
        <f t="shared" si="129"/>
        <v/>
      </c>
      <c r="PK17" s="43" t="str">
        <f t="shared" si="130"/>
        <v/>
      </c>
      <c r="PL17" s="43" t="str">
        <f t="shared" si="131"/>
        <v/>
      </c>
      <c r="PM17" s="43" t="str">
        <f t="shared" si="132"/>
        <v/>
      </c>
      <c r="PN17" s="43" t="str">
        <f t="shared" si="133"/>
        <v/>
      </c>
      <c r="PO17" s="43" t="str">
        <f t="shared" si="134"/>
        <v/>
      </c>
      <c r="PP17" s="43" t="str">
        <f t="shared" si="135"/>
        <v/>
      </c>
      <c r="PQ17" s="43" t="str">
        <f t="shared" si="136"/>
        <v/>
      </c>
      <c r="PR17" s="43" t="str">
        <f t="shared" si="137"/>
        <v/>
      </c>
      <c r="PS17" s="43" t="str">
        <f t="shared" si="138"/>
        <v/>
      </c>
      <c r="PT17" s="43" t="str">
        <f t="shared" si="139"/>
        <v/>
      </c>
      <c r="PU17" s="43" t="str">
        <f t="shared" si="140"/>
        <v/>
      </c>
      <c r="PV17" s="43" t="str">
        <f t="shared" si="141"/>
        <v/>
      </c>
      <c r="PW17" s="43" t="str">
        <f t="shared" si="142"/>
        <v/>
      </c>
      <c r="PX17" s="43" t="str">
        <f t="shared" si="143"/>
        <v/>
      </c>
      <c r="PY17" s="43" t="str">
        <f t="shared" si="144"/>
        <v/>
      </c>
      <c r="PZ17" s="43" t="str">
        <f t="shared" si="145"/>
        <v/>
      </c>
      <c r="QA17" s="43" t="str">
        <f t="shared" si="146"/>
        <v/>
      </c>
      <c r="QB17" s="43" t="str">
        <f t="shared" si="147"/>
        <v/>
      </c>
      <c r="QC17" s="43" t="str">
        <f t="shared" si="148"/>
        <v/>
      </c>
      <c r="QD17" s="43" t="str">
        <f t="shared" si="149"/>
        <v/>
      </c>
      <c r="QE17" s="43" t="str">
        <f t="shared" si="150"/>
        <v/>
      </c>
      <c r="QF17" s="43" t="str">
        <f t="shared" si="151"/>
        <v/>
      </c>
      <c r="QG17" s="43" t="str">
        <f t="shared" si="152"/>
        <v/>
      </c>
      <c r="QH17" s="43" t="str">
        <f t="shared" si="153"/>
        <v/>
      </c>
      <c r="QI17" s="43" t="str">
        <f t="shared" si="154"/>
        <v/>
      </c>
      <c r="QJ17" s="43" t="str">
        <f t="shared" si="155"/>
        <v/>
      </c>
      <c r="QK17" s="43" t="str">
        <f t="shared" si="156"/>
        <v/>
      </c>
      <c r="QL17" s="43" t="str">
        <f t="shared" si="157"/>
        <v/>
      </c>
      <c r="QM17" s="43" t="str">
        <f t="shared" si="158"/>
        <v/>
      </c>
      <c r="QN17" s="43" t="str">
        <f t="shared" si="159"/>
        <v/>
      </c>
      <c r="QO17" s="43" t="str">
        <f t="shared" si="160"/>
        <v/>
      </c>
      <c r="QP17" s="43" t="str">
        <f t="shared" si="161"/>
        <v/>
      </c>
      <c r="QQ17" s="43" t="str">
        <f t="shared" si="162"/>
        <v/>
      </c>
      <c r="QR17" s="43">
        <f t="shared" si="192"/>
        <v>32</v>
      </c>
      <c r="QS17" s="43"/>
      <c r="QT17" s="21" t="str">
        <f t="shared" si="163"/>
        <v/>
      </c>
      <c r="QU17" s="21" t="str">
        <f t="shared" si="164"/>
        <v/>
      </c>
      <c r="QV17" s="21" t="str">
        <f t="shared" si="165"/>
        <v/>
      </c>
      <c r="QW17" s="21" t="str">
        <f t="shared" si="166"/>
        <v/>
      </c>
      <c r="QX17" s="21" t="str">
        <f t="shared" si="167"/>
        <v/>
      </c>
      <c r="QY17" s="21" t="str">
        <f t="shared" si="168"/>
        <v/>
      </c>
      <c r="QZ17" s="21" t="str">
        <f t="shared" si="169"/>
        <v/>
      </c>
      <c r="RA17" s="21" t="str">
        <f t="shared" si="170"/>
        <v/>
      </c>
      <c r="RB17" s="21" t="str">
        <f t="shared" si="171"/>
        <v/>
      </c>
      <c r="RC17" s="21" t="str">
        <f t="shared" si="172"/>
        <v/>
      </c>
      <c r="RD17" s="21" t="str">
        <f t="shared" si="173"/>
        <v/>
      </c>
      <c r="RE17" s="21" t="str">
        <f t="shared" si="174"/>
        <v/>
      </c>
      <c r="RF17" s="21" t="str">
        <f t="shared" si="175"/>
        <v/>
      </c>
      <c r="RG17" s="21" t="str">
        <f t="shared" si="176"/>
        <v/>
      </c>
      <c r="RH17" s="21" t="str">
        <f t="shared" si="177"/>
        <v/>
      </c>
      <c r="RI17" s="21" t="str">
        <f t="shared" si="178"/>
        <v/>
      </c>
      <c r="RJ17" s="21" t="str">
        <f t="shared" si="179"/>
        <v/>
      </c>
      <c r="RK17" s="21" t="str">
        <f t="shared" si="180"/>
        <v/>
      </c>
      <c r="RL17" s="21" t="str">
        <f t="shared" si="181"/>
        <v/>
      </c>
      <c r="RM17" s="21" t="str">
        <f t="shared" si="182"/>
        <v/>
      </c>
      <c r="RN17" s="21" t="str">
        <f t="shared" si="183"/>
        <v/>
      </c>
      <c r="RO17" s="21" t="str">
        <f t="shared" si="184"/>
        <v/>
      </c>
      <c r="RP17" s="21" t="str">
        <f t="shared" si="185"/>
        <v/>
      </c>
      <c r="RQ17" s="21" t="str">
        <f t="shared" si="186"/>
        <v/>
      </c>
      <c r="RR17" s="21" t="str">
        <f t="shared" si="187"/>
        <v/>
      </c>
      <c r="RS17" s="21" t="str">
        <f t="shared" si="188"/>
        <v/>
      </c>
      <c r="RT17" s="21" t="str">
        <f t="shared" si="189"/>
        <v/>
      </c>
      <c r="RU17" s="21" t="str">
        <f t="shared" si="190"/>
        <v/>
      </c>
      <c r="RV17" s="21">
        <f t="shared" si="191"/>
        <v>21.428571428571427</v>
      </c>
      <c r="RW17" s="284">
        <f>IF(OR(Tabla1[[#This Row],[FUM FORMULA CONFIABLE]]="",Tabla1[[#This Row],[FUM FORMULA CONFIABLE]]="SD"),"",IF(Tabla1[[#This Row],[FUM FORMULA CONFIABLE]]="CORREGIDA",Tabla1[[#This Row],[FUM X ECO 1]],Tabla1[[#This Row],[FUM x AMENORREA]]))</f>
        <v>44673</v>
      </c>
      <c r="RX17" s="21">
        <f>IF(AND(Tabla1[[#This Row],[FUM X ECO 1]]="",Tabla1[[#This Row],[FUM x AMENORREA]]=""),"",IF(AND(Tabla1[[#This Row],[FUM X ECO 1]]="",Tabla1[[#This Row],[FUM x AMENORREA]]&lt;&gt;""),"X",SUM(Tabla1[[#This Row],[FUM X ECO 1]]-Tabla1[[#This Row],[FUM x AMENORREA]])))</f>
        <v>-285</v>
      </c>
      <c r="RY17" s="21">
        <f t="shared" si="193"/>
        <v>1</v>
      </c>
    </row>
    <row r="18" spans="1:493" ht="45" customHeight="1" x14ac:dyDescent="0.25">
      <c r="A18" s="109" t="s">
        <v>956</v>
      </c>
      <c r="B18" s="43" t="s">
        <v>942</v>
      </c>
      <c r="C18" s="43" t="s">
        <v>845</v>
      </c>
      <c r="D18" s="124" t="s">
        <v>846</v>
      </c>
      <c r="E18" s="43" t="s">
        <v>943</v>
      </c>
      <c r="F18" s="43" t="s">
        <v>944</v>
      </c>
      <c r="G18" s="43" t="s">
        <v>957</v>
      </c>
      <c r="H18" s="43" t="s">
        <v>958</v>
      </c>
      <c r="I18" s="109" t="s">
        <v>851</v>
      </c>
      <c r="J18" s="110">
        <v>1002848208</v>
      </c>
      <c r="K18" s="43" t="s">
        <v>852</v>
      </c>
      <c r="L18" s="175" t="s">
        <v>853</v>
      </c>
      <c r="M18" s="22">
        <v>37938</v>
      </c>
      <c r="N18" s="213">
        <f t="shared" ca="1" si="0"/>
        <v>19.983561643835618</v>
      </c>
      <c r="O18" s="22">
        <v>44820</v>
      </c>
      <c r="P18" s="214" t="str">
        <f t="shared" si="1"/>
        <v>SI</v>
      </c>
      <c r="Q18" s="26" t="s">
        <v>855</v>
      </c>
      <c r="R18" s="22">
        <v>44820</v>
      </c>
      <c r="S18" s="21" t="s">
        <v>856</v>
      </c>
      <c r="T18" s="24" t="s">
        <v>690</v>
      </c>
      <c r="U18" s="21" t="s">
        <v>857</v>
      </c>
      <c r="V18" s="21" t="s">
        <v>858</v>
      </c>
      <c r="W18" s="21" t="s">
        <v>859</v>
      </c>
      <c r="X18" s="21" t="s">
        <v>859</v>
      </c>
      <c r="Y18" s="21" t="s">
        <v>859</v>
      </c>
      <c r="Z18" s="21">
        <v>3122524375</v>
      </c>
      <c r="AA18" s="21" t="s">
        <v>860</v>
      </c>
      <c r="AB18" s="27" t="s">
        <v>861</v>
      </c>
      <c r="AC18" s="26" t="s">
        <v>888</v>
      </c>
      <c r="AD18" s="38" t="s">
        <v>846</v>
      </c>
      <c r="AE18" s="26" t="s">
        <v>854</v>
      </c>
      <c r="AF18" s="26" t="s">
        <v>854</v>
      </c>
      <c r="AG18" s="23" t="s">
        <v>864</v>
      </c>
      <c r="AH18" s="23" t="s">
        <v>864</v>
      </c>
      <c r="AI18" s="24" t="s">
        <v>863</v>
      </c>
      <c r="AJ18" s="23" t="s">
        <v>864</v>
      </c>
      <c r="AK18" s="220" t="str">
        <f>IF(AND(AD18="",AE18="",AF18="",AG18="",AH18="",AI18="",AJ18=""),"",IF(OR(Tabla1[[#This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EVALUACIÓN",IF(AND(O18="",R18=""),"",IF(AND(OR(O18&gt;0,R18&gt;0),NG18&gt;=0,NG18&lt;2),"SIN RIESGO",IF(AND(OR(O18&gt;0,R18&gt;0),NG18&gt;=2),"CON RIESGO","ASD")))))</f>
        <v>SIN RIESGO</v>
      </c>
      <c r="AL18" s="23" t="s">
        <v>864</v>
      </c>
      <c r="AM18" s="26" t="s">
        <v>864</v>
      </c>
      <c r="AN18" s="26" t="s">
        <v>864</v>
      </c>
      <c r="AO18" s="26" t="s">
        <v>864</v>
      </c>
      <c r="AP18" s="26" t="s">
        <v>864</v>
      </c>
      <c r="AQ18" s="26" t="s">
        <v>864</v>
      </c>
      <c r="AR18" s="26" t="s">
        <v>864</v>
      </c>
      <c r="AS18" s="21">
        <v>1</v>
      </c>
      <c r="AT18" s="21">
        <v>0</v>
      </c>
      <c r="AU18" s="21">
        <v>0</v>
      </c>
      <c r="AV18" s="26" t="s">
        <v>864</v>
      </c>
      <c r="AW18" s="21">
        <v>0</v>
      </c>
      <c r="AX18" s="26" t="s">
        <v>864</v>
      </c>
      <c r="AY18" s="26" t="s">
        <v>864</v>
      </c>
      <c r="AZ18" s="26" t="s">
        <v>864</v>
      </c>
      <c r="BA18" s="26" t="s">
        <v>864</v>
      </c>
      <c r="BB18" s="26" t="s">
        <v>864</v>
      </c>
      <c r="BC18" s="26" t="s">
        <v>864</v>
      </c>
      <c r="BD18" s="26" t="s">
        <v>864</v>
      </c>
      <c r="BE18" s="26" t="s">
        <v>864</v>
      </c>
      <c r="BF18" s="26" t="s">
        <v>864</v>
      </c>
      <c r="BG18" s="26" t="s">
        <v>864</v>
      </c>
      <c r="BH18" s="26"/>
      <c r="BI18" s="26" t="s">
        <v>864</v>
      </c>
      <c r="BJ18" s="26"/>
      <c r="BK18" s="26"/>
      <c r="BL18" s="26"/>
      <c r="BM18" s="26" t="s">
        <v>864</v>
      </c>
      <c r="BN18" s="22"/>
      <c r="BO18" s="22">
        <v>44770</v>
      </c>
      <c r="BP18" s="21" t="s">
        <v>854</v>
      </c>
      <c r="BQ18" s="222">
        <f t="shared" si="2"/>
        <v>0</v>
      </c>
      <c r="BR18" s="223">
        <f t="shared" si="3"/>
        <v>44770.3</v>
      </c>
      <c r="BS18" s="224">
        <f t="shared" si="4"/>
        <v>7.1428571428571432</v>
      </c>
      <c r="BT18" s="216" t="str">
        <f t="shared" si="5"/>
        <v>I TRIM</v>
      </c>
      <c r="BU18" s="214" t="str">
        <f t="shared" ca="1" si="6"/>
        <v/>
      </c>
      <c r="BV18" s="25"/>
      <c r="BW18" s="22">
        <v>44834</v>
      </c>
      <c r="BX18" s="28">
        <v>9.1</v>
      </c>
      <c r="BY18" s="28"/>
      <c r="BZ18" s="22"/>
      <c r="CA18" s="21"/>
      <c r="CB18" s="26"/>
      <c r="CC18" s="26"/>
      <c r="CD18" s="26"/>
      <c r="CE18" s="26"/>
      <c r="CF18" s="22" t="s">
        <v>1517</v>
      </c>
      <c r="CG18" s="21">
        <v>1.48</v>
      </c>
      <c r="CH18" s="21">
        <v>50</v>
      </c>
      <c r="CI18" s="214">
        <f t="shared" si="7"/>
        <v>22.826880934989045</v>
      </c>
      <c r="CJ18" s="225" t="str">
        <f>IF(AND(CI18&lt;10,CH18="SD"),"SIN DATO PESO PREGESTACION O I TRIM",IF(AND(OR(R18&gt;0,O18&gt;0),CI18="X"),"INGRESAR DATO DE PESO",IF(CI18="SD","INGRESAR DATO DE TALLA Y PESO",IF(AND(OR(Tabla1[[#This Row],[MOMENTO EN QUE SE REALIZA EL PESO AL INGRESO A CPN]]="PREGESTACIÓN",NZ18="Menor"),CI18&lt;18.5),"BAJO PESO",IF(AND(OR(Tabla1[[#This Row],[MOMENTO EN QUE SE REALIZA EL PESO AL INGRESO A CPN]]="PREGESTACIÓN",NZ18="Menor"),CI18&lt;25),"NORMAL",IF(AND(OR(Tabla1[[#This Row],[MOMENTO EN QUE SE REALIZA EL PESO AL INGRESO A CPN]]="PREGESTACIÓN",NZ18="Menor"),CI18&lt;30),"SOBREPESO",IF(AND(OR(Tabla1[[#This Row],[MOMENTO EN QUE SE REALIZA EL PESO AL INGRESO A CPN]]="PREGESTACIÓN",NZ18="Menor"),CI18&gt;=30,CI18&lt;50),"OBESIDAD",IF(AND(BS18&gt;0,Tabla1[[#This Row],[MOMENTO EN QUE SE REALIZA EL PESO AL INGRESO A CPN]]="GESTACIÓN"),HLOOKUP(NZ18,$OA$2:PH18,NY18),""))))))))</f>
        <v>NORMAL</v>
      </c>
      <c r="CK18" s="212">
        <f t="shared" si="8"/>
        <v>44820</v>
      </c>
      <c r="CL18" s="21"/>
      <c r="CM18" s="214">
        <f t="shared" si="9"/>
        <v>0</v>
      </c>
      <c r="CN18" s="216">
        <f t="shared" si="10"/>
        <v>7</v>
      </c>
      <c r="CO18" s="216" t="e">
        <f>IF(PI18="","",IF(PI18&gt;0,HLOOKUP(PI18,$PJ$2:QQ18,NY18),""))</f>
        <v>#REF!</v>
      </c>
      <c r="CP18" s="21"/>
      <c r="CQ18" s="216" t="str">
        <f>IF(QR18="Menor","NO APLICA-MENOR 13 SEM",IF(AND(CC18="SI",CN18&gt;23),"NO APLICA- GEMELAR",IF(QR18="","",IF(QR18&gt;0,HLOOKUP(QR18,$QS$2:RU18,NY18),""))))</f>
        <v>NO APLICA-MENOR 13 SEM</v>
      </c>
      <c r="CR18" s="21">
        <v>120</v>
      </c>
      <c r="CS18" s="21">
        <v>60</v>
      </c>
      <c r="CT18" s="217" t="str">
        <f>IF(R18="","",IF(AND(BS18&gt;1,BS18&lt;12,Tabla1[[#This Row],[T.A. SISTOLICA - ANTES DE SEMANA 12]]="",Tabla1[[#This Row],[T.A. DIASTOLICA - ANTES DE SEMANA 12]]=""),"REGISTRE DATO TA ANTES SEMANA 12",IF(AND(BS18&gt;11,BS18&lt;43,Tabla1[[#This Row],[T.A. SISTOLICA - ANTES DE SEMANA 12]]="",Tabla1[[#This Row],[T.A. DIASTOLICA - ANTES DE SEMANA 12]]=""),"NO APLICA REGISTRO TA-INGRESO TARDIO",IF(AND(OR(O18&gt;0,R18&gt;0),OR(CR18&gt;=140,CS18&gt;=90)),"DEFINIR ESTADIO HTA",IF(AND(OR(O18&gt;0,R18&gt;0),AND(CR18&gt;120,CR18&lt;=139)),"PRE HTA SEGUIMIENTO",IF(AND(OR(O18&gt;0,R18&gt;0),AND(CS18&gt;80,CS18&lt;=89)),"PRE HTA SEGUIMIENTO",IF(AND(OR(O18&gt;0,R18&gt;0),AND(CR18&gt;=80,CR18&lt;=120)),"APARENTEMENTE NORMAL",IF(AND(OR(O18&gt;0,R18&gt;0),AND(CS18&gt;=50,CS18&lt;=80)),"APARENTEMENTE NORMAL",IF(AND(OR(O18&gt;0,R18&gt;0),AND(CR18&gt;1,CR18&lt;=70),AND(CS18&gt;1,CS18&lt;=40)),"HIPOTENSIÓN","")))))))))</f>
        <v>APARENTEMENTE NORMAL</v>
      </c>
      <c r="CU18" s="21"/>
      <c r="CV18" s="21"/>
      <c r="CW18" s="217" t="str">
        <f ca="1">IF(R18="","",IF(AND(CN18&gt;19,CN18&lt;27,Tabla1[[#This Row],[T.A. SISTOLICA (Entre semana 20 y 26)]]="",Tabla1[[#This Row],[T.A. DIATOLICA (Entre semana 20 y 26)]]=""),"ACUDE A CONTROL SEM 20 A 26 REGISTRE TA AHORA",IF(AND(BS18&gt;1,BS18&lt;27,BU18&gt;19,Tabla1[[#This Row],[T.A. SISTOLICA (Entre semana 20 y 26)]]="",Tabla1[[#This Row],[T.A. DIATOLICA (Entre semana 20 y 26)]]=""),"COMPLETE REGISTRO TA CONTROL SEM 20 A26 ",IF(AND(BS18&gt;26,BS18&lt;43,Tabla1[[#This Row],[T.A. SISTOLICA (Entre semana 20 y 26)]]="",Tabla1[[#This Row],[T.A. DIATOLICA (Entre semana 20 y 26)]]=""),"NO APLICA REGISTRO TA-INGRESO TARDIO",IF(AND(OR(O18&gt;0,R18&gt;0),OR(CU18&gt;=140,CV18&gt;=90)),"ALTO RIESGO PREECLAMPSIA,DEFINIR ESTADIO HTA",IF(AND(OR(O18&gt;0,R18&gt;0),AND(CU18&gt;120,CU18&lt;=139)),"PRE HTA SEGUIMIENTO,RIESGO HIPERTENSION INDUCIDA POR EL EMBARAZO",IF(AND(OR(O18&gt;0,R18&gt;0),AND(CV18&gt;80,CV18&lt;=89)),"PRE HTA SEGUIMIENTO, RIESGO HIPERTENSION INDUCIDA POR EL EMBARAZO",IF(AND(OR(O18&lt;&gt;"",R18&lt;&gt;""),CS18&lt;&gt;"",CV18&lt;&gt;"",CS18&lt;=CV18),"VIGILAR CIFRAS PRESION ARTERIAL",IF(AND(OR(O18&gt;0,R18&gt;0),AND(CU18&gt;120,CU18&lt;=139)),"PRE HTA SEGUIMIENTO",IF(AND(OR(O18&gt;0,R18&gt;0),AND(CU18&gt;1,CU18&lt;=70),AND(CV18&gt;1,CV18&lt;=40)),"HIPOTENSIÓN",IF(AND(OR(O18&lt;&gt;"",R18&lt;&gt;""),CS18&lt;&gt;"",CV18&lt;&gt;"",CS18&gt;CV18),"APARENTEMENTE NORMAL",IF(AND(OR(O18&gt;0,R18&gt;0),AND(CU18&gt;=80,CU18&lt;=120)),"APARENTEMENTE NORMAL",IF(AND(OR(O18&gt;0,R18&gt;0),AND(CV18&gt;=50,CV18&lt;=80)),"APARENTEMENTE NORMAL","")))))))))))))</f>
        <v xml:space="preserve">COMPLETE REGISTRO TA CONTROL SEM 20 A26 </v>
      </c>
      <c r="CX18" s="21"/>
      <c r="CY18" s="21"/>
      <c r="CZ18" s="216" t="str">
        <f t="shared" si="11"/>
        <v/>
      </c>
      <c r="DA18" s="21"/>
      <c r="DB18" s="21"/>
      <c r="DC18" s="217" t="str">
        <f t="shared" si="12"/>
        <v>REGISTRE DATO PRESIÓN ARTERIAL MENSUAL</v>
      </c>
      <c r="DD18" s="22">
        <v>44820</v>
      </c>
      <c r="DE18" s="22">
        <v>44820</v>
      </c>
      <c r="DF18" s="22"/>
      <c r="DG18" s="22"/>
      <c r="DH18" s="22"/>
      <c r="DI18" s="22"/>
      <c r="DJ18" s="22"/>
      <c r="DK18" s="22"/>
      <c r="DL18" s="22"/>
      <c r="DM18" s="22"/>
      <c r="DN18" s="22"/>
      <c r="DO18" s="22"/>
      <c r="DP18" s="22"/>
      <c r="DQ18" s="22"/>
      <c r="DR18" s="28"/>
      <c r="DS18" s="22"/>
      <c r="DT18" s="22"/>
      <c r="DU18" s="216" t="str">
        <f t="shared" ca="1" si="13"/>
        <v>SALE SIN PLAN DE PARTO</v>
      </c>
      <c r="DV18" s="226" t="str">
        <f t="shared" si="14"/>
        <v>SALIO PROGRAMA</v>
      </c>
      <c r="DW18"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8" s="216" t="str">
        <f t="shared" ca="1" si="15"/>
        <v>DILIGENCIAR FECHA SALIDA PROGRAMA</v>
      </c>
      <c r="DY18" s="212">
        <f>IF(R18="","",IF(R18&gt;0,MAX(Tabla1[[#This Row],[FECHA C2]:[FECHA C13]],Tabla1[[#This Row],[FECHA CONSULTA PRIMERA VEZ PROGRAMA CPN ]])))</f>
        <v>44820</v>
      </c>
      <c r="DZ18" s="216">
        <f t="shared" si="16"/>
        <v>7</v>
      </c>
      <c r="EA18" s="222">
        <f>IF(R18&gt;0,SUM(COUNTA(DF18:DQ18)+COUNTA(Tabla1[[#This Row],[FECHA CONSULTA PRIMERA VEZ PROGRAMA CPN ]])),"")</f>
        <v>1</v>
      </c>
      <c r="EB18" s="222" t="str">
        <f t="shared" si="17"/>
        <v>NO</v>
      </c>
      <c r="EC18" s="214">
        <f t="shared" si="18"/>
        <v>10</v>
      </c>
      <c r="ED18" s="227">
        <f t="shared" si="19"/>
        <v>0.1</v>
      </c>
      <c r="EE18" s="22">
        <v>44820</v>
      </c>
      <c r="EF18" s="22"/>
      <c r="EG18" s="22">
        <v>44820</v>
      </c>
      <c r="EH18" s="22"/>
      <c r="EI18" s="22">
        <v>44820</v>
      </c>
      <c r="EJ18" s="22"/>
      <c r="EK18" s="22"/>
      <c r="EL18" s="21"/>
      <c r="EM18" s="21">
        <v>15.6</v>
      </c>
      <c r="EN18" s="22">
        <v>44820</v>
      </c>
      <c r="EO18" s="222">
        <f t="shared" si="20"/>
        <v>7.1428571428571432</v>
      </c>
      <c r="EP18" s="214" t="str">
        <f t="shared" si="21"/>
        <v>NO DAR SULFATO FERROSO</v>
      </c>
      <c r="EQ18" s="216" t="str">
        <f t="shared" si="22"/>
        <v>I TRIM</v>
      </c>
      <c r="ER18" s="24"/>
      <c r="ES18" s="22"/>
      <c r="ET18" s="29" t="str">
        <f t="shared" ca="1" si="23"/>
        <v>TOMA DE HEMOGLOBINA TARDÍA</v>
      </c>
      <c r="EU18" s="25" t="str">
        <f t="shared" si="24"/>
        <v/>
      </c>
      <c r="EV18" s="24" t="s">
        <v>866</v>
      </c>
      <c r="EW18" s="24">
        <v>44820</v>
      </c>
      <c r="EX18" s="22"/>
      <c r="EY18" s="29">
        <f t="shared" si="25"/>
        <v>7.1428571428571432</v>
      </c>
      <c r="EZ18" s="25" t="str">
        <f t="shared" ca="1" si="26"/>
        <v/>
      </c>
      <c r="FA18" s="21">
        <v>85</v>
      </c>
      <c r="FB18" s="22">
        <v>44820</v>
      </c>
      <c r="FC18" s="29">
        <f t="shared" si="27"/>
        <v>7.1428571428571432</v>
      </c>
      <c r="FD18" s="29"/>
      <c r="FE18" s="29"/>
      <c r="FF18" s="29"/>
      <c r="FG18" s="21" t="str">
        <f t="shared" ca="1" si="28"/>
        <v/>
      </c>
      <c r="FH18" s="31"/>
      <c r="FI18" s="29" t="str">
        <f t="shared" si="29"/>
        <v>TOMAR EXAMEN</v>
      </c>
      <c r="FJ18" s="22" t="s">
        <v>867</v>
      </c>
      <c r="FK18" s="22">
        <v>44820</v>
      </c>
      <c r="FL18" s="29">
        <f t="shared" ca="1" si="30"/>
        <v>7.1428571428571432</v>
      </c>
      <c r="FM18" s="22"/>
      <c r="FN18" s="32"/>
      <c r="FO18" s="29" t="str">
        <f t="shared" ca="1" si="31"/>
        <v>PIERDE TOMA DE TAMIZAJE</v>
      </c>
      <c r="FP18" s="22"/>
      <c r="FQ18" s="32"/>
      <c r="FR18" s="29" t="str">
        <f t="shared" ca="1" si="32"/>
        <v/>
      </c>
      <c r="FS18" s="22"/>
      <c r="FT18" s="32"/>
      <c r="FU18" s="29" t="str">
        <f>IF(AND(FJ18="",FM18="",FP18="",FS18=""),"",IF(OR(OR(Tabla1[[#This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8" s="28"/>
      <c r="FW18" s="22"/>
      <c r="FX18" s="29" t="str">
        <f t="shared" si="33"/>
        <v>TOMAR EXAMEN</v>
      </c>
      <c r="FY18" s="22">
        <v>44820</v>
      </c>
      <c r="FZ18" s="22">
        <v>44820</v>
      </c>
      <c r="GA18" s="29">
        <f t="shared" ca="1" si="34"/>
        <v>7.1428571428571432</v>
      </c>
      <c r="GB18" s="22"/>
      <c r="GC18" s="22"/>
      <c r="GD18" s="29" t="str">
        <f t="shared" ca="1" si="35"/>
        <v>PIERDE TOMA DE TAMIZAJE</v>
      </c>
      <c r="GE18" s="22"/>
      <c r="GF18" s="22"/>
      <c r="GG18" s="29" t="str">
        <f t="shared" ca="1" si="36"/>
        <v>PIERDE TOMA DE TAMIZAJE</v>
      </c>
      <c r="GH18" s="22"/>
      <c r="GI18" s="29"/>
      <c r="GJ18" s="22"/>
      <c r="GK18" s="22"/>
      <c r="GL18" s="22" t="s">
        <v>879</v>
      </c>
      <c r="GM18" s="22"/>
      <c r="GN18" s="28" t="s">
        <v>869</v>
      </c>
      <c r="GO18" s="22">
        <v>44820</v>
      </c>
      <c r="GP18" s="29">
        <f t="shared" si="37"/>
        <v>7.1428571428571432</v>
      </c>
      <c r="GQ18" s="28" t="s">
        <v>869</v>
      </c>
      <c r="GR18" s="28" t="s">
        <v>869</v>
      </c>
      <c r="GS18" s="22" t="str">
        <f t="shared" si="38"/>
        <v>CONTROL Igm</v>
      </c>
      <c r="GT18" s="22">
        <v>44820</v>
      </c>
      <c r="GU18" s="29">
        <f t="shared" si="39"/>
        <v>7.1428571428571432</v>
      </c>
      <c r="GV18" s="21" t="str">
        <f t="shared" si="40"/>
        <v>I TRIM</v>
      </c>
      <c r="GW18" s="28" t="s">
        <v>869</v>
      </c>
      <c r="GX18" s="30"/>
      <c r="GY18" s="21"/>
      <c r="GZ18" s="21"/>
      <c r="HA18" s="21"/>
      <c r="HB18" s="21"/>
      <c r="HC18" s="21"/>
      <c r="HD18" s="21"/>
      <c r="HE18" s="21"/>
      <c r="HF18" s="22"/>
      <c r="HG18" s="22" t="str">
        <f>IF(OR(O18&gt;0,R18&gt;0),CONCATENATE(IF(Tabla1[[#This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8" s="22" t="e">
        <f t="shared" si="41"/>
        <v>#REF!</v>
      </c>
      <c r="HI18" s="22" t="e">
        <f t="shared" ca="1" si="42"/>
        <v>#REF!</v>
      </c>
      <c r="HJ18" s="21" t="str">
        <f t="shared" ca="1" si="43"/>
        <v>**********************MULTIPARIDAD*****************</v>
      </c>
      <c r="HK18" s="21" t="str">
        <f t="shared" si="44"/>
        <v>SIN ANTECEDENTES DE RIESGO</v>
      </c>
      <c r="HL18" s="24" t="str">
        <f t="shared" si="45"/>
        <v>REGISTRE DATO PRESIÓN ARTERIAL MENSUAL</v>
      </c>
      <c r="HM18" s="21" t="str">
        <f t="shared" ca="1" si="46"/>
        <v>DILIGENCIAR FECHA SALIDA PROGRAMA</v>
      </c>
      <c r="HN18" s="30" t="str">
        <f t="shared" si="47"/>
        <v>SALIO PROGRAMA</v>
      </c>
      <c r="HO18" s="21"/>
      <c r="HP18" s="21"/>
      <c r="HQ18" s="21"/>
      <c r="HR18" s="21" t="str">
        <f>IF(R18="","",IF(Tabla1[[#This Row],[ALARMA FACTORES DE RIESGO COMPLICACIONES HIPERTENSIVAS3]]="SIN ANTECEDENTES DE RIESGO","No Aplica para suministro de ASA",IF(AND(Tabla1[[#This Row],[FECHA INICIO DE SUMINISTRO DE ASA]]&gt;0,RV18&lt;12),"Inicia ASA ANTES de Sem 12",IF(AND(RV18&gt;11,RV18&lt;17,OR(HK18="RIESGO ALTO DE COMPLICACIONES HIPERTENSIVAS VER MANEJO GUIA SUMINISTRO ASA Y CALCIO",HK18="RIESGO MODERADO (2 O MAS CRITERIOS) VER MANEJO GUIA SUMINISTRO ASA Y CALCIO")),"Inicio oportuno de ASA",IF(AND(RV18&gt;12,OR(HK18="RIESGO ALTO DE COMPLICACIONES HIPERTENSIVAS VER MANEJO GUIA SUMINISTRO ASA Y CALCIO",HK18="RIESGO MODERADO (2 O MAS CRITERIOS) VER MANEJO GUIA SUMINISTRO ASA Y CALCIO")),"Inicio no oportuno mayor a 16 semanas",IF(AND(BU18&lt;12,OR(HK18="RIESGO ALTO DE COMPLICACIONES HIPERTENSIVAS VER MANEJO GUIA SUMINISTRO ASA Y CALCIO",HK18="RIESGO MODERADO (2 O MAS CRITERIOS) VER MANEJO GUIA SUMINISTRO ASA Y CALCIO")),"Pendiente Inicio de ASA a la semana 12",IF(AND(BU18&gt;11,BU18&lt;17,OR(HK18="RIESGO ALTO DE COMPLICACIONES HIPERTENSIVAS VER MANEJO GUIA SUMINISTRO ASA Y CALCIO",HK18="RIESGO MODERADO (2 O MAS CRITERIOS) VER MANEJO GUIA SUMINISTRO ASA Y CALCIO")),"Iniciar de inmediato ASA",IF(AND(BU18&gt;16,OR(HK18="RIESGO ALTO DE COMPLICACIONES HIPERTENSIVAS VER MANEJO GUIA SUMINISTRO ASA Y CALCIO",HK18="RIESGO MODERADO (2 O MAS CRITERIOS) VER MANEJO GUIA SUMINISTRO ASA Y CALCIO")),"Pierde Oportunidad, Inicio tardío de ASA","XXXXX"))))))))</f>
        <v>No Aplica para suministro de ASA</v>
      </c>
      <c r="HS18" s="22"/>
      <c r="HT18" s="22"/>
      <c r="HU18" s="22">
        <v>44820</v>
      </c>
      <c r="HV18" s="22" t="s">
        <v>870</v>
      </c>
      <c r="HW18" s="22">
        <v>44820</v>
      </c>
      <c r="HX18" s="22" t="s">
        <v>870</v>
      </c>
      <c r="HY18" s="22">
        <v>44820</v>
      </c>
      <c r="HZ18" s="28">
        <f t="shared" si="48"/>
        <v>7.1428571428571432</v>
      </c>
      <c r="IA18" s="26"/>
      <c r="IB18" s="26"/>
      <c r="IC18" s="111"/>
      <c r="ID18" s="22"/>
      <c r="IE18" s="22" t="str">
        <f t="shared" ca="1" si="49"/>
        <v/>
      </c>
      <c r="IF18" s="22"/>
      <c r="IG18" s="22">
        <f t="shared" si="50"/>
        <v>45050</v>
      </c>
      <c r="IH18" s="29">
        <f t="shared" ca="1" si="51"/>
        <v>-182</v>
      </c>
      <c r="II18" s="22" t="str">
        <f t="shared" ca="1" si="52"/>
        <v>POSIBLEMENTE NACIO</v>
      </c>
      <c r="IJ18" s="22">
        <v>44834</v>
      </c>
      <c r="IK18" s="21" t="s">
        <v>959</v>
      </c>
      <c r="IL18" s="21"/>
      <c r="IM18" s="34"/>
      <c r="IN18" s="349"/>
      <c r="IO18" s="21"/>
      <c r="IP18" s="29" t="str">
        <f t="shared" si="53"/>
        <v/>
      </c>
      <c r="IQ18" s="35"/>
      <c r="IR18" s="21"/>
      <c r="IS18" s="21"/>
      <c r="IT18" s="21"/>
      <c r="IU18" s="21"/>
      <c r="IV18" s="21"/>
      <c r="IW18" s="21"/>
      <c r="IX18" s="21"/>
      <c r="IY18" s="21"/>
      <c r="IZ18" s="21"/>
      <c r="JA18" s="21"/>
      <c r="JB18" s="30"/>
      <c r="JC18" s="21"/>
      <c r="JD18" s="36"/>
      <c r="JE18" s="21" t="str">
        <f t="shared" si="54"/>
        <v/>
      </c>
      <c r="JF18" s="30"/>
      <c r="JG18" s="21"/>
      <c r="JH18" s="21"/>
      <c r="JI18" s="21"/>
      <c r="JJ18" s="30"/>
      <c r="JK18" s="22"/>
      <c r="JL18" s="22"/>
      <c r="JM18" s="21"/>
      <c r="JN18" s="36"/>
      <c r="JO18" s="21" t="str">
        <f t="shared" si="55"/>
        <v/>
      </c>
      <c r="JP18" s="22"/>
      <c r="JQ18" s="21"/>
      <c r="JR18" s="21"/>
      <c r="JS18" s="21"/>
      <c r="JT18" s="30"/>
      <c r="JU18" s="22"/>
      <c r="JV18" s="22"/>
      <c r="JW18" s="33"/>
      <c r="JX18" s="28" t="str">
        <f t="shared" si="56"/>
        <v/>
      </c>
      <c r="JY18" s="33"/>
      <c r="JZ18" s="28" t="str">
        <f t="shared" si="57"/>
        <v/>
      </c>
      <c r="KA18" s="21"/>
      <c r="KB18" s="21"/>
      <c r="KC18" s="21"/>
      <c r="KD18" s="37"/>
      <c r="KE18" s="28"/>
      <c r="KF18" s="28"/>
      <c r="KG18" s="28"/>
      <c r="KH18" s="39"/>
      <c r="KI18" s="39"/>
      <c r="KJ18" s="66"/>
      <c r="KK18" s="39"/>
      <c r="KL18" s="39"/>
      <c r="KM18" s="66"/>
      <c r="KN18" s="39"/>
      <c r="KO18" s="39"/>
      <c r="KP18" s="39"/>
      <c r="KQ18" s="39"/>
      <c r="KR18" s="39"/>
      <c r="KS18" s="39"/>
      <c r="KT18" s="39"/>
      <c r="KU18" s="38"/>
      <c r="KV18" s="38"/>
      <c r="KW18" s="38"/>
      <c r="KX18" s="38"/>
      <c r="KY18" s="38"/>
      <c r="KZ18" s="38"/>
      <c r="LA18" s="38"/>
      <c r="LB18" s="38"/>
      <c r="LC18" s="38"/>
      <c r="LD18" s="38"/>
      <c r="LE18" s="38"/>
      <c r="LF18" s="38"/>
      <c r="LG18" s="38"/>
      <c r="LH18" s="38"/>
      <c r="LI18" s="38"/>
      <c r="LJ18" s="38"/>
      <c r="LK18" s="38"/>
      <c r="LL18" s="38"/>
      <c r="LM18" s="38"/>
      <c r="LN18" s="38"/>
      <c r="LO18" s="38"/>
      <c r="LP18" s="38"/>
      <c r="LQ18" s="38"/>
      <c r="LR18" s="38"/>
      <c r="LS18" s="38"/>
      <c r="LT18" s="38"/>
      <c r="LU18" s="38"/>
      <c r="LV18" s="38"/>
      <c r="LW18" s="38"/>
      <c r="LX18" s="38"/>
      <c r="LY18" s="38"/>
      <c r="LZ18" s="38"/>
      <c r="MA18" s="38"/>
      <c r="MB18" s="38"/>
      <c r="MC18" s="38"/>
      <c r="MD18" s="38"/>
      <c r="ME18" s="38"/>
      <c r="MF18" s="38"/>
      <c r="MG18" s="38"/>
      <c r="MH18" s="43">
        <f t="shared" si="58"/>
        <v>0</v>
      </c>
      <c r="MI18" s="43" t="str">
        <f t="shared" si="59"/>
        <v/>
      </c>
      <c r="MJ18" s="43" t="str">
        <f t="shared" si="60"/>
        <v/>
      </c>
      <c r="MK18" s="43">
        <f t="shared" si="61"/>
        <v>0</v>
      </c>
      <c r="ML1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8" s="43">
        <f t="shared" si="62"/>
        <v>7.1428571428571432</v>
      </c>
      <c r="MN18" s="43">
        <f t="shared" si="63"/>
        <v>9</v>
      </c>
      <c r="MO18" s="43">
        <f t="shared" si="64"/>
        <v>2022</v>
      </c>
      <c r="MP18" s="43" t="str">
        <f t="shared" si="65"/>
        <v>III TRIMESTRE AÑO</v>
      </c>
      <c r="MQ18" s="43">
        <f t="shared" si="66"/>
        <v>18.569316688567671</v>
      </c>
      <c r="MR18" s="43">
        <f t="shared" si="67"/>
        <v>0</v>
      </c>
      <c r="MS18" s="43" t="str">
        <f t="shared" si="68"/>
        <v>DE 14 A 19AÑOS</v>
      </c>
      <c r="MT18" s="43">
        <f t="shared" si="69"/>
        <v>0</v>
      </c>
      <c r="MU18" s="43">
        <f t="shared" si="70"/>
        <v>1</v>
      </c>
      <c r="MV18" s="43">
        <f t="shared" si="71"/>
        <v>0</v>
      </c>
      <c r="MW18" s="43">
        <f t="shared" si="72"/>
        <v>0</v>
      </c>
      <c r="MX18" s="43" t="str">
        <f t="shared" si="73"/>
        <v/>
      </c>
      <c r="MY18" s="43" t="str">
        <f t="shared" ca="1" si="74"/>
        <v/>
      </c>
      <c r="MZ18" s="43" t="str">
        <f t="shared" si="75"/>
        <v/>
      </c>
      <c r="NA18" s="43" t="str">
        <f t="shared" si="76"/>
        <v/>
      </c>
      <c r="NB18" s="43" t="str">
        <f t="shared" si="77"/>
        <v/>
      </c>
      <c r="NC18" s="43" t="str">
        <f t="shared" si="78"/>
        <v/>
      </c>
      <c r="ND18" s="43">
        <f t="shared" ca="1" si="79"/>
        <v>1</v>
      </c>
      <c r="NE18" s="43">
        <f>IF(OR(O18&gt;0,R18&gt;0),SUM(COUNTIF(Tabla1[[#This Row],[AÑOS AL INICIO5 CPN]],"&gt;=40"),COUNTIF(AS18,"0"),COUNTIF(AR18,"SI"),COUNTIF(CC18,"SI"),COUNTIF(BQ18,"&gt;119"),COUNTIF(CI18,"&gt;=35")),"")</f>
        <v>0</v>
      </c>
      <c r="NF18" s="43" t="str">
        <f t="shared" si="80"/>
        <v/>
      </c>
      <c r="NG18" s="43">
        <f t="shared" si="81"/>
        <v>0</v>
      </c>
      <c r="NH18" s="43">
        <f t="shared" si="82"/>
        <v>63.699999999999996</v>
      </c>
      <c r="NI18"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CPN",P18="NO"),"Z",IF(AND(Tabla1[[#This Row],[CITA PROXIMO CONTROL]]="CITA MANUAL",Tabla1[[#This Row],[GESTANTES ACTUALES]]="ACTIVA INGRESO A CPN"),"W",IF(AND(Tabla1[[#This Row],[GESTANTES ACTUALES]]="SALIO PROGRAMA",IN18=""),"S",IF(AND(Tabla1[[#This Row],[CITA PROXIMO CONTROL]]&gt;0,IN18=""),(Tabla1[[#This Row],[CITA PROXIMO CONTROL]]-TODAY()),"SD"))))))))</f>
        <v>S</v>
      </c>
      <c r="NJ18" s="43">
        <f>MONTH(Tabla1[[#This Row],[FECHA DE SALIDA  DEL PROGRAMA]])</f>
        <v>1</v>
      </c>
      <c r="NK18" s="43">
        <f>YEAR(Tabla1[[#This Row],[FECHA DE SALIDA  DEL PROGRAMA]])</f>
        <v>1900</v>
      </c>
      <c r="NL18" s="43" t="str">
        <f t="shared" si="83"/>
        <v>X</v>
      </c>
      <c r="NM18" s="43" t="str">
        <f t="shared" si="84"/>
        <v>NO</v>
      </c>
      <c r="NN18" s="43" t="str">
        <f ca="1">IF(AND(O18&gt;0,R18=""),"NO CPN",IF(AND(O18="",R18=""),"",IF(AND(R18&gt;0,Tabla1[[#This Row],[SEMANAS DE GESTACION ACTUALIZADAS]]&lt;=12),"NO APLICA",IF(AND(FH18&lt;&gt;"",FN18&lt;&gt;""),"SI","NO"))))</f>
        <v>NO</v>
      </c>
      <c r="NO18" s="43" t="str">
        <f ca="1">IF(AND(O18&gt;0,R18=""),"NO CPN",IF(AND(O18="",R18=""),"",IF(AND(R18&gt;0,Tabla1[[#This Row],[SEMANAS DE GESTACION ACTUALIZADAS]]&lt;=27),"NO APLICA",IF(AND(ES18&lt;&gt;"",FQ18&lt;&gt;"",GF18&lt;&gt;""),"SI","NO"))))</f>
        <v>NO</v>
      </c>
      <c r="NP18" s="204" t="str">
        <f t="shared" si="85"/>
        <v>I TRIM</v>
      </c>
      <c r="NQ18" s="21">
        <f t="shared" si="86"/>
        <v>1</v>
      </c>
      <c r="NR18" s="21" t="str">
        <f t="shared" ca="1" si="87"/>
        <v>REVISAR FUM O FECHA SALIDA PROGRAMA</v>
      </c>
      <c r="NS18" s="205">
        <f t="shared" ca="1" si="88"/>
        <v>1</v>
      </c>
      <c r="NT18" s="21">
        <f t="shared" ca="1" si="89"/>
        <v>1</v>
      </c>
      <c r="NU18" s="21" t="str">
        <f t="shared" ca="1" si="90"/>
        <v>POR DEFINIR</v>
      </c>
      <c r="NV18" s="21" t="str">
        <f t="shared" ca="1" si="91"/>
        <v>POR DEFINIR</v>
      </c>
      <c r="NW18" s="206" t="str">
        <f>IF(AND(O18="",R18=""),"",IF(OR(AND(Tabla1[[#This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8" s="207" t="str">
        <f t="shared" ca="1" si="92"/>
        <v>SIN VACUNAR</v>
      </c>
      <c r="NY18" s="43">
        <f>ROW(Tabla1[[#This Row],['# DE TAMIZAJES SIFILIS TOMADOS ]])</f>
        <v>18</v>
      </c>
      <c r="NZ18" s="43" t="str">
        <f t="shared" si="93"/>
        <v>Menor</v>
      </c>
      <c r="OA18" s="43" t="str">
        <f t="shared" si="94"/>
        <v>NORMAL</v>
      </c>
      <c r="OB18" s="43" t="str">
        <f t="shared" si="95"/>
        <v/>
      </c>
      <c r="OC18" s="43" t="str">
        <f t="shared" si="96"/>
        <v/>
      </c>
      <c r="OD18" s="43" t="str">
        <f t="shared" si="97"/>
        <v/>
      </c>
      <c r="OE18" s="43" t="str">
        <f t="shared" si="98"/>
        <v/>
      </c>
      <c r="OF18" s="43" t="str">
        <f t="shared" si="99"/>
        <v/>
      </c>
      <c r="OG18" s="43" t="str">
        <f t="shared" si="100"/>
        <v/>
      </c>
      <c r="OH18" s="43" t="str">
        <f t="shared" si="101"/>
        <v/>
      </c>
      <c r="OI18" s="43" t="str">
        <f t="shared" si="102"/>
        <v/>
      </c>
      <c r="OJ18" s="43" t="str">
        <f t="shared" si="103"/>
        <v/>
      </c>
      <c r="OK18" s="43" t="str">
        <f t="shared" si="104"/>
        <v/>
      </c>
      <c r="OL18" s="43" t="str">
        <f t="shared" si="105"/>
        <v/>
      </c>
      <c r="OM18" s="43" t="str">
        <f t="shared" si="106"/>
        <v/>
      </c>
      <c r="ON18" s="43" t="str">
        <f t="shared" si="107"/>
        <v/>
      </c>
      <c r="OO18" s="43" t="str">
        <f t="shared" si="108"/>
        <v/>
      </c>
      <c r="OP18" s="43" t="str">
        <f t="shared" si="109"/>
        <v/>
      </c>
      <c r="OQ18" s="43" t="str">
        <f t="shared" si="110"/>
        <v/>
      </c>
      <c r="OR18" s="43" t="str">
        <f t="shared" si="111"/>
        <v/>
      </c>
      <c r="OS18" s="43" t="str">
        <f t="shared" si="112"/>
        <v/>
      </c>
      <c r="OT18" s="43" t="str">
        <f t="shared" si="113"/>
        <v/>
      </c>
      <c r="OU18" s="43" t="str">
        <f t="shared" si="114"/>
        <v/>
      </c>
      <c r="OV18" s="110" t="str">
        <f t="shared" si="115"/>
        <v/>
      </c>
      <c r="OW18" s="43" t="str">
        <f t="shared" si="116"/>
        <v/>
      </c>
      <c r="OX18" s="43" t="str">
        <f t="shared" si="117"/>
        <v/>
      </c>
      <c r="OY18" s="43" t="str">
        <f t="shared" si="118"/>
        <v/>
      </c>
      <c r="OZ18" s="43" t="str">
        <f t="shared" si="119"/>
        <v/>
      </c>
      <c r="PA18" s="43" t="str">
        <f t="shared" si="120"/>
        <v/>
      </c>
      <c r="PB18" s="43" t="str">
        <f t="shared" si="121"/>
        <v/>
      </c>
      <c r="PC18" s="43" t="str">
        <f t="shared" si="122"/>
        <v/>
      </c>
      <c r="PD18" s="43" t="str">
        <f t="shared" si="123"/>
        <v/>
      </c>
      <c r="PE18" s="43" t="str">
        <f t="shared" si="124"/>
        <v/>
      </c>
      <c r="PF18" s="43" t="str">
        <f t="shared" si="125"/>
        <v/>
      </c>
      <c r="PG18" s="43" t="str">
        <f t="shared" si="126"/>
        <v/>
      </c>
      <c r="PH18" s="43" t="str">
        <f t="shared" si="127"/>
        <v/>
      </c>
      <c r="PI18" s="43" t="str">
        <f t="shared" si="128"/>
        <v>Menor</v>
      </c>
      <c r="PJ18" s="43" t="str">
        <f t="shared" si="129"/>
        <v/>
      </c>
      <c r="PK18" s="43" t="str">
        <f t="shared" si="130"/>
        <v/>
      </c>
      <c r="PL18" s="43" t="str">
        <f t="shared" si="131"/>
        <v/>
      </c>
      <c r="PM18" s="43" t="str">
        <f t="shared" si="132"/>
        <v/>
      </c>
      <c r="PN18" s="43" t="str">
        <f t="shared" si="133"/>
        <v/>
      </c>
      <c r="PO18" s="43" t="str">
        <f t="shared" si="134"/>
        <v/>
      </c>
      <c r="PP18" s="43" t="str">
        <f t="shared" si="135"/>
        <v/>
      </c>
      <c r="PQ18" s="43" t="str">
        <f t="shared" si="136"/>
        <v/>
      </c>
      <c r="PR18" s="43" t="str">
        <f t="shared" si="137"/>
        <v/>
      </c>
      <c r="PS18" s="43" t="str">
        <f t="shared" si="138"/>
        <v/>
      </c>
      <c r="PT18" s="43" t="str">
        <f t="shared" si="139"/>
        <v/>
      </c>
      <c r="PU18" s="43" t="str">
        <f t="shared" si="140"/>
        <v/>
      </c>
      <c r="PV18" s="43" t="str">
        <f t="shared" si="141"/>
        <v/>
      </c>
      <c r="PW18" s="43" t="str">
        <f t="shared" si="142"/>
        <v/>
      </c>
      <c r="PX18" s="43" t="str">
        <f t="shared" si="143"/>
        <v/>
      </c>
      <c r="PY18" s="43" t="str">
        <f t="shared" si="144"/>
        <v/>
      </c>
      <c r="PZ18" s="43" t="str">
        <f t="shared" si="145"/>
        <v/>
      </c>
      <c r="QA18" s="43" t="str">
        <f t="shared" si="146"/>
        <v/>
      </c>
      <c r="QB18" s="43" t="str">
        <f t="shared" si="147"/>
        <v/>
      </c>
      <c r="QC18" s="43" t="str">
        <f t="shared" si="148"/>
        <v/>
      </c>
      <c r="QD18" s="43" t="str">
        <f t="shared" si="149"/>
        <v/>
      </c>
      <c r="QE18" s="43" t="str">
        <f t="shared" si="150"/>
        <v/>
      </c>
      <c r="QF18" s="43" t="str">
        <f t="shared" si="151"/>
        <v/>
      </c>
      <c r="QG18" s="43" t="str">
        <f t="shared" si="152"/>
        <v/>
      </c>
      <c r="QH18" s="43" t="str">
        <f t="shared" si="153"/>
        <v/>
      </c>
      <c r="QI18" s="43" t="str">
        <f t="shared" si="154"/>
        <v/>
      </c>
      <c r="QJ18" s="43" t="str">
        <f t="shared" si="155"/>
        <v/>
      </c>
      <c r="QK18" s="43" t="str">
        <f t="shared" si="156"/>
        <v/>
      </c>
      <c r="QL18" s="43" t="str">
        <f t="shared" si="157"/>
        <v/>
      </c>
      <c r="QM18" s="43" t="str">
        <f t="shared" si="158"/>
        <v/>
      </c>
      <c r="QN18" s="43" t="str">
        <f t="shared" si="159"/>
        <v/>
      </c>
      <c r="QO18" s="43" t="str">
        <f t="shared" si="160"/>
        <v/>
      </c>
      <c r="QP18" s="43" t="str">
        <f t="shared" si="161"/>
        <v/>
      </c>
      <c r="QQ18" s="43" t="str">
        <f t="shared" si="162"/>
        <v/>
      </c>
      <c r="QR18" s="43" t="str">
        <f t="shared" si="192"/>
        <v>Menor</v>
      </c>
      <c r="QS18" s="43"/>
      <c r="QT18" s="21" t="str">
        <f t="shared" si="163"/>
        <v/>
      </c>
      <c r="QU18" s="21" t="str">
        <f t="shared" si="164"/>
        <v/>
      </c>
      <c r="QV18" s="21" t="str">
        <f t="shared" si="165"/>
        <v/>
      </c>
      <c r="QW18" s="21" t="str">
        <f t="shared" si="166"/>
        <v/>
      </c>
      <c r="QX18" s="21" t="str">
        <f t="shared" si="167"/>
        <v/>
      </c>
      <c r="QY18" s="21" t="str">
        <f t="shared" si="168"/>
        <v/>
      </c>
      <c r="QZ18" s="21" t="str">
        <f t="shared" si="169"/>
        <v/>
      </c>
      <c r="RA18" s="21" t="str">
        <f t="shared" si="170"/>
        <v/>
      </c>
      <c r="RB18" s="21" t="str">
        <f t="shared" si="171"/>
        <v/>
      </c>
      <c r="RC18" s="21" t="str">
        <f t="shared" si="172"/>
        <v/>
      </c>
      <c r="RD18" s="21" t="str">
        <f t="shared" si="173"/>
        <v/>
      </c>
      <c r="RE18" s="21" t="str">
        <f t="shared" si="174"/>
        <v/>
      </c>
      <c r="RF18" s="21" t="str">
        <f t="shared" si="175"/>
        <v/>
      </c>
      <c r="RG18" s="21" t="str">
        <f t="shared" si="176"/>
        <v/>
      </c>
      <c r="RH18" s="21" t="str">
        <f t="shared" si="177"/>
        <v/>
      </c>
      <c r="RI18" s="21" t="str">
        <f t="shared" si="178"/>
        <v/>
      </c>
      <c r="RJ18" s="21" t="str">
        <f t="shared" si="179"/>
        <v/>
      </c>
      <c r="RK18" s="21" t="str">
        <f t="shared" si="180"/>
        <v/>
      </c>
      <c r="RL18" s="21" t="str">
        <f t="shared" si="181"/>
        <v/>
      </c>
      <c r="RM18" s="21" t="str">
        <f t="shared" si="182"/>
        <v/>
      </c>
      <c r="RN18" s="21" t="str">
        <f t="shared" si="183"/>
        <v/>
      </c>
      <c r="RO18" s="21" t="str">
        <f t="shared" si="184"/>
        <v/>
      </c>
      <c r="RP18" s="21" t="str">
        <f t="shared" si="185"/>
        <v/>
      </c>
      <c r="RQ18" s="21" t="str">
        <f t="shared" si="186"/>
        <v/>
      </c>
      <c r="RR18" s="21" t="str">
        <f t="shared" si="187"/>
        <v/>
      </c>
      <c r="RS18" s="21" t="str">
        <f t="shared" si="188"/>
        <v/>
      </c>
      <c r="RT18" s="21" t="str">
        <f t="shared" si="189"/>
        <v/>
      </c>
      <c r="RU18" s="21" t="str">
        <f t="shared" si="190"/>
        <v/>
      </c>
      <c r="RV18" s="21">
        <f t="shared" si="191"/>
        <v>-1</v>
      </c>
      <c r="RW18" s="284">
        <f>IF(OR(Tabla1[[#This Row],[FUM FORMULA CONFIABLE]]="",Tabla1[[#This Row],[FUM FORMULA CONFIABLE]]="SD"),"",IF(Tabla1[[#This Row],[FUM FORMULA CONFIABLE]]="CORREGIDA",Tabla1[[#This Row],[FUM X ECO 1]],Tabla1[[#This Row],[FUM x AMENORREA]]))</f>
        <v>44770</v>
      </c>
      <c r="RX18" s="21">
        <f>IF(AND(Tabla1[[#This Row],[FUM X ECO 1]]="",Tabla1[[#This Row],[FUM x AMENORREA]]=""),"",IF(AND(Tabla1[[#This Row],[FUM X ECO 1]]="",Tabla1[[#This Row],[FUM x AMENORREA]]&lt;&gt;""),"X",SUM(Tabla1[[#This Row],[FUM X ECO 1]]-Tabla1[[#This Row],[FUM x AMENORREA]])))</f>
        <v>0.30000000000291038</v>
      </c>
      <c r="RY18" s="21">
        <f t="shared" si="193"/>
        <v>0</v>
      </c>
    </row>
    <row r="19" spans="1:493" ht="45" customHeight="1" x14ac:dyDescent="0.25">
      <c r="A19" s="109" t="s">
        <v>960</v>
      </c>
      <c r="B19" s="43"/>
      <c r="C19" s="43" t="s">
        <v>845</v>
      </c>
      <c r="D19" s="124" t="s">
        <v>846</v>
      </c>
      <c r="E19" s="43" t="s">
        <v>961</v>
      </c>
      <c r="F19" s="43" t="s">
        <v>962</v>
      </c>
      <c r="G19" s="43" t="s">
        <v>945</v>
      </c>
      <c r="H19" s="43" t="s">
        <v>963</v>
      </c>
      <c r="I19" s="109" t="s">
        <v>851</v>
      </c>
      <c r="J19" s="110">
        <v>1059606704</v>
      </c>
      <c r="K19" s="43" t="s">
        <v>852</v>
      </c>
      <c r="L19" s="175" t="s">
        <v>853</v>
      </c>
      <c r="M19" s="22">
        <v>36202</v>
      </c>
      <c r="N19" s="213">
        <f t="shared" ca="1" si="0"/>
        <v>24.739726027397261</v>
      </c>
      <c r="O19" s="22">
        <v>44828</v>
      </c>
      <c r="P19" s="214" t="str">
        <f t="shared" si="1"/>
        <v>SI</v>
      </c>
      <c r="Q19" s="26" t="s">
        <v>855</v>
      </c>
      <c r="R19" s="22">
        <v>44828</v>
      </c>
      <c r="S19" s="21" t="s">
        <v>856</v>
      </c>
      <c r="T19" s="24" t="s">
        <v>690</v>
      </c>
      <c r="U19" s="21" t="s">
        <v>857</v>
      </c>
      <c r="V19" s="21" t="s">
        <v>858</v>
      </c>
      <c r="W19" s="21" t="s">
        <v>964</v>
      </c>
      <c r="X19" s="21" t="s">
        <v>965</v>
      </c>
      <c r="Y19" s="21" t="s">
        <v>859</v>
      </c>
      <c r="Z19" s="21" t="s">
        <v>966</v>
      </c>
      <c r="AA19" s="21" t="s">
        <v>860</v>
      </c>
      <c r="AB19" s="27" t="s">
        <v>861</v>
      </c>
      <c r="AC19" s="26" t="s">
        <v>888</v>
      </c>
      <c r="AD19" s="38" t="s">
        <v>846</v>
      </c>
      <c r="AE19" s="26" t="s">
        <v>854</v>
      </c>
      <c r="AF19" s="26" t="s">
        <v>854</v>
      </c>
      <c r="AG19" s="23" t="s">
        <v>864</v>
      </c>
      <c r="AH19" s="23" t="s">
        <v>864</v>
      </c>
      <c r="AI19" s="24" t="s">
        <v>863</v>
      </c>
      <c r="AJ19" s="23" t="s">
        <v>864</v>
      </c>
      <c r="AK19" s="220" t="str">
        <f>IF(AND(AD19="",AE19="",AF19="",AG19="",AH19="",AI19="",AJ19=""),"",IF(OR(Tabla1[[#This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EVALUACIÓN",IF(AND(O19="",R19=""),"",IF(AND(OR(O19&gt;0,R19&gt;0),NG19&gt;=0,NG19&lt;2),"SIN RIESGO",IF(AND(OR(O19&gt;0,R19&gt;0),NG19&gt;=2),"CON RIESGO","ASD")))))</f>
        <v>SIN RIESGO</v>
      </c>
      <c r="AL19" s="23" t="s">
        <v>864</v>
      </c>
      <c r="AM19" s="26" t="s">
        <v>864</v>
      </c>
      <c r="AN19" s="26" t="s">
        <v>864</v>
      </c>
      <c r="AO19" s="26" t="s">
        <v>864</v>
      </c>
      <c r="AP19" s="26" t="s">
        <v>864</v>
      </c>
      <c r="AQ19" s="26" t="s">
        <v>864</v>
      </c>
      <c r="AR19" s="26" t="s">
        <v>864</v>
      </c>
      <c r="AS19" s="21">
        <v>1</v>
      </c>
      <c r="AT19" s="21">
        <v>0</v>
      </c>
      <c r="AU19" s="21">
        <v>2</v>
      </c>
      <c r="AV19" s="26" t="s">
        <v>854</v>
      </c>
      <c r="AW19" s="21">
        <v>0</v>
      </c>
      <c r="AX19" s="26" t="s">
        <v>865</v>
      </c>
      <c r="AY19" s="26" t="s">
        <v>864</v>
      </c>
      <c r="AZ19" s="26" t="s">
        <v>864</v>
      </c>
      <c r="BA19" s="26" t="s">
        <v>864</v>
      </c>
      <c r="BB19" s="26" t="s">
        <v>864</v>
      </c>
      <c r="BC19" s="26" t="s">
        <v>864</v>
      </c>
      <c r="BD19" s="26" t="s">
        <v>864</v>
      </c>
      <c r="BE19" s="26" t="s">
        <v>864</v>
      </c>
      <c r="BF19" s="26" t="s">
        <v>864</v>
      </c>
      <c r="BG19" s="26" t="s">
        <v>864</v>
      </c>
      <c r="BH19" s="26"/>
      <c r="BI19" s="26" t="s">
        <v>864</v>
      </c>
      <c r="BJ19" s="26"/>
      <c r="BK19" s="26"/>
      <c r="BL19" s="26"/>
      <c r="BM19" s="26" t="s">
        <v>864</v>
      </c>
      <c r="BN19" s="22"/>
      <c r="BO19" s="22">
        <v>44786</v>
      </c>
      <c r="BP19" s="21" t="s">
        <v>864</v>
      </c>
      <c r="BQ19" s="222">
        <f t="shared" si="2"/>
        <v>0</v>
      </c>
      <c r="BR19" s="223">
        <f t="shared" si="3"/>
        <v>44789</v>
      </c>
      <c r="BS19" s="224">
        <f t="shared" si="4"/>
        <v>6</v>
      </c>
      <c r="BT19" s="216" t="str">
        <f t="shared" si="5"/>
        <v>DEFINIR CON ECO</v>
      </c>
      <c r="BU19" s="214" t="str">
        <f t="shared" ca="1" si="6"/>
        <v/>
      </c>
      <c r="BV19" s="25"/>
      <c r="BW19" s="22">
        <v>44894</v>
      </c>
      <c r="BX19" s="28">
        <v>15</v>
      </c>
      <c r="BY19" s="28"/>
      <c r="BZ19" s="22">
        <v>44861</v>
      </c>
      <c r="CA19" s="21">
        <v>9.1999999999999993</v>
      </c>
      <c r="CB19" s="26" t="s">
        <v>864</v>
      </c>
      <c r="CC19" s="26" t="s">
        <v>864</v>
      </c>
      <c r="CD19" s="26" t="s">
        <v>878</v>
      </c>
      <c r="CE19" s="26" t="s">
        <v>864</v>
      </c>
      <c r="CF19" s="22" t="s">
        <v>1517</v>
      </c>
      <c r="CG19" s="21">
        <v>1.56</v>
      </c>
      <c r="CH19" s="21">
        <v>66</v>
      </c>
      <c r="CI19" s="214">
        <f t="shared" si="7"/>
        <v>27.12031558185404</v>
      </c>
      <c r="CJ19" s="225" t="str">
        <f>IF(AND(CI19&lt;10,CH19="SD"),"SIN DATO PESO PREGESTACION O I TRIM",IF(AND(OR(R19&gt;0,O19&gt;0),CI19="X"),"INGRESAR DATO DE PESO",IF(CI19="SD","INGRESAR DATO DE TALLA Y PESO",IF(AND(OR(Tabla1[[#This Row],[MOMENTO EN QUE SE REALIZA EL PESO AL INGRESO A CPN]]="PREGESTACIÓN",NZ19="Menor"),CI19&lt;18.5),"BAJO PESO",IF(AND(OR(Tabla1[[#This Row],[MOMENTO EN QUE SE REALIZA EL PESO AL INGRESO A CPN]]="PREGESTACIÓN",NZ19="Menor"),CI19&lt;25),"NORMAL",IF(AND(OR(Tabla1[[#This Row],[MOMENTO EN QUE SE REALIZA EL PESO AL INGRESO A CPN]]="PREGESTACIÓN",NZ19="Menor"),CI19&lt;30),"SOBREPESO",IF(AND(OR(Tabla1[[#This Row],[MOMENTO EN QUE SE REALIZA EL PESO AL INGRESO A CPN]]="PREGESTACIÓN",NZ19="Menor"),CI19&gt;=30,CI19&lt;50),"OBESIDAD",IF(AND(BS19&gt;0,Tabla1[[#This Row],[MOMENTO EN QUE SE REALIZA EL PESO AL INGRESO A CPN]]="GESTACIÓN"),HLOOKUP(NZ19,$OA$2:PH19,NY19),""))))))))</f>
        <v>SOBREPESO</v>
      </c>
      <c r="CK19" s="212">
        <f t="shared" si="8"/>
        <v>45041</v>
      </c>
      <c r="CL19" s="21"/>
      <c r="CM19" s="214">
        <f t="shared" si="9"/>
        <v>0</v>
      </c>
      <c r="CN19" s="216">
        <f t="shared" si="10"/>
        <v>36</v>
      </c>
      <c r="CO19" s="216" t="e">
        <f>IF(PI19="","",IF(PI19&gt;0,HLOOKUP(PI19,$PJ$2:QQ19,NY19),""))</f>
        <v>#REF!</v>
      </c>
      <c r="CP19" s="21"/>
      <c r="CQ19" s="216" t="e">
        <f>IF(QR19="Menor","NO APLICA-MENOR 13 SEM",IF(AND(CC19="SI",CN19&gt;23),"NO APLICA- GEMELAR",IF(QR19="","",IF(QR19&gt;0,HLOOKUP(QR19,$QS$2:RU19,NY19),""))))</f>
        <v>#REF!</v>
      </c>
      <c r="CR19" s="21">
        <v>100</v>
      </c>
      <c r="CS19" s="21">
        <v>60</v>
      </c>
      <c r="CT19" s="217" t="str">
        <f>IF(R19="","",IF(AND(BS19&gt;1,BS19&lt;12,Tabla1[[#This Row],[T.A. SISTOLICA - ANTES DE SEMANA 12]]="",Tabla1[[#This Row],[T.A. DIASTOLICA - ANTES DE SEMANA 12]]=""),"REGISTRE DATO TA ANTES SEMANA 12",IF(AND(BS19&gt;11,BS19&lt;43,Tabla1[[#This Row],[T.A. SISTOLICA - ANTES DE SEMANA 12]]="",Tabla1[[#This Row],[T.A. DIASTOLICA - ANTES DE SEMANA 12]]=""),"NO APLICA REGISTRO TA-INGRESO TARDIO",IF(AND(OR(O19&gt;0,R19&gt;0),OR(CR19&gt;=140,CS19&gt;=90)),"DEFINIR ESTADIO HTA",IF(AND(OR(O19&gt;0,R19&gt;0),AND(CR19&gt;120,CR19&lt;=139)),"PRE HTA SEGUIMIENTO",IF(AND(OR(O19&gt;0,R19&gt;0),AND(CS19&gt;80,CS19&lt;=89)),"PRE HTA SEGUIMIENTO",IF(AND(OR(O19&gt;0,R19&gt;0),AND(CR19&gt;=80,CR19&lt;=120)),"APARENTEMENTE NORMAL",IF(AND(OR(O19&gt;0,R19&gt;0),AND(CS19&gt;=50,CS19&lt;=80)),"APARENTEMENTE NORMAL",IF(AND(OR(O19&gt;0,R19&gt;0),AND(CR19&gt;1,CR19&lt;=70),AND(CS19&gt;1,CS19&lt;=40)),"HIPOTENSIÓN","")))))))))</f>
        <v>APARENTEMENTE NORMAL</v>
      </c>
      <c r="CU19" s="21">
        <v>100</v>
      </c>
      <c r="CV19" s="21">
        <v>60</v>
      </c>
      <c r="CW19" s="217" t="str">
        <f ca="1">IF(R19="","",IF(AND(CN19&gt;19,CN19&lt;27,Tabla1[[#This Row],[T.A. SISTOLICA (Entre semana 20 y 26)]]="",Tabla1[[#This Row],[T.A. DIATOLICA (Entre semana 20 y 26)]]=""),"ACUDE A CONTROL SEM 20 A 26 REGISTRE TA AHORA",IF(AND(BS19&gt;1,BS19&lt;27,BU19&gt;19,Tabla1[[#This Row],[T.A. SISTOLICA (Entre semana 20 y 26)]]="",Tabla1[[#This Row],[T.A. DIATOLICA (Entre semana 20 y 26)]]=""),"COMPLETE REGISTRO TA CONTROL SEM 20 A26 ",IF(AND(BS19&gt;26,BS19&lt;43,Tabla1[[#This Row],[T.A. SISTOLICA (Entre semana 20 y 26)]]="",Tabla1[[#This Row],[T.A. DIATOLICA (Entre semana 20 y 26)]]=""),"NO APLICA REGISTRO TA-INGRESO TARDIO",IF(AND(OR(O19&gt;0,R19&gt;0),OR(CU19&gt;=140,CV19&gt;=90)),"ALTO RIESGO PREECLAMPSIA,DEFINIR ESTADIO HTA",IF(AND(OR(O19&gt;0,R19&gt;0),AND(CU19&gt;120,CU19&lt;=139)),"PRE HTA SEGUIMIENTO,RIESGO HIPERTENSION INDUCIDA POR EL EMBARAZO",IF(AND(OR(O19&gt;0,R19&gt;0),AND(CV19&gt;80,CV19&lt;=89)),"PRE HTA SEGUIMIENTO, RIESGO HIPERTENSION INDUCIDA POR EL EMBARAZO",IF(AND(OR(O19&lt;&gt;"",R19&lt;&gt;""),CS19&lt;&gt;"",CV19&lt;&gt;"",CS19&lt;=CV19),"VIGILAR CIFRAS PRESION ARTERIAL",IF(AND(OR(O19&gt;0,R19&gt;0),AND(CU19&gt;120,CU19&lt;=139)),"PRE HTA SEGUIMIENTO",IF(AND(OR(O19&gt;0,R19&gt;0),AND(CU19&gt;1,CU19&lt;=70),AND(CV19&gt;1,CV19&lt;=40)),"HIPOTENSIÓN",IF(AND(OR(O19&lt;&gt;"",R19&lt;&gt;""),CS19&lt;&gt;"",CV19&lt;&gt;"",CS19&gt;CV19),"APARENTEMENTE NORMAL",IF(AND(OR(O19&gt;0,R19&gt;0),AND(CU19&gt;=80,CU19&lt;=120)),"APARENTEMENTE NORMAL",IF(AND(OR(O19&gt;0,R19&gt;0),AND(CV19&gt;=50,CV19&lt;=80)),"APARENTEMENTE NORMAL","")))))))))))))</f>
        <v>VIGILAR CIFRAS PRESION ARTERIAL</v>
      </c>
      <c r="CX19" s="21">
        <v>110</v>
      </c>
      <c r="CY19" s="21">
        <v>80</v>
      </c>
      <c r="CZ19" s="216" t="str">
        <f t="shared" si="11"/>
        <v>VIGILAR CIFRAS PRESION ARTERIAL</v>
      </c>
      <c r="DA19" s="21"/>
      <c r="DB19" s="21"/>
      <c r="DC19" s="217" t="str">
        <f t="shared" si="12"/>
        <v>REGISTRE DATO PRESIÓN ARTERIAL MENSUAL</v>
      </c>
      <c r="DD19" s="22">
        <v>44828</v>
      </c>
      <c r="DE19" s="22">
        <v>44828</v>
      </c>
      <c r="DF19" s="22">
        <v>44863</v>
      </c>
      <c r="DG19" s="22">
        <v>44894</v>
      </c>
      <c r="DH19" s="22">
        <v>44922</v>
      </c>
      <c r="DI19" s="22">
        <v>44950</v>
      </c>
      <c r="DJ19" s="22">
        <v>44982</v>
      </c>
      <c r="DK19" s="22">
        <v>45006</v>
      </c>
      <c r="DL19" s="22">
        <v>45041</v>
      </c>
      <c r="DM19" s="22"/>
      <c r="DN19" s="22"/>
      <c r="DO19" s="22"/>
      <c r="DP19" s="22"/>
      <c r="DQ19" s="22"/>
      <c r="DR19" s="28">
        <v>3</v>
      </c>
      <c r="DS19" s="22"/>
      <c r="DT19" s="22"/>
      <c r="DU19" s="216" t="str">
        <f t="shared" ca="1" si="13"/>
        <v>SALE SIN PLAN DE PARTO</v>
      </c>
      <c r="DV19" s="226" t="str">
        <f t="shared" si="14"/>
        <v>SALIO PROGRAMA</v>
      </c>
      <c r="DW19"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9" s="216" t="str">
        <f t="shared" ca="1" si="15"/>
        <v/>
      </c>
      <c r="DY19" s="212">
        <f>IF(R19="","",IF(R19&gt;0,MAX(Tabla1[[#This Row],[FECHA C2]:[FECHA C13]],Tabla1[[#This Row],[FECHA CONSULTA PRIMERA VEZ PROGRAMA CPN ]])))</f>
        <v>45041</v>
      </c>
      <c r="DZ19" s="216">
        <f t="shared" si="16"/>
        <v>36</v>
      </c>
      <c r="EA19" s="222">
        <f>IF(R19&gt;0,SUM(COUNTA(DF19:DQ19)+COUNTA(Tabla1[[#This Row],[FECHA CONSULTA PRIMERA VEZ PROGRAMA CPN ]])),"")</f>
        <v>8</v>
      </c>
      <c r="EB19" s="222" t="str">
        <f t="shared" si="17"/>
        <v>SI</v>
      </c>
      <c r="EC19" s="214">
        <f t="shared" si="18"/>
        <v>10</v>
      </c>
      <c r="ED19" s="227">
        <f t="shared" si="19"/>
        <v>0.8</v>
      </c>
      <c r="EE19" s="22">
        <v>44828</v>
      </c>
      <c r="EF19" s="22">
        <v>44828</v>
      </c>
      <c r="EG19" s="22">
        <v>44828</v>
      </c>
      <c r="EH19" s="22">
        <v>44909</v>
      </c>
      <c r="EI19" s="22">
        <v>44828</v>
      </c>
      <c r="EJ19" s="22">
        <v>44909</v>
      </c>
      <c r="EK19" s="22">
        <v>44909</v>
      </c>
      <c r="EL19" s="21">
        <v>1</v>
      </c>
      <c r="EM19" s="21">
        <v>14.3</v>
      </c>
      <c r="EN19" s="22">
        <v>44828</v>
      </c>
      <c r="EO19" s="222">
        <f t="shared" si="20"/>
        <v>6</v>
      </c>
      <c r="EP19" s="214" t="str">
        <f t="shared" si="21"/>
        <v>NO DAR SULFATO FERROSO</v>
      </c>
      <c r="EQ19" s="216" t="str">
        <f t="shared" si="22"/>
        <v>I TRIM</v>
      </c>
      <c r="ER19" s="24">
        <v>14</v>
      </c>
      <c r="ES19" s="22">
        <v>44954</v>
      </c>
      <c r="ET19" s="29">
        <f t="shared" ca="1" si="23"/>
        <v>24</v>
      </c>
      <c r="EU19" s="25" t="str">
        <f t="shared" si="24"/>
        <v>NO DAR SULFATO FERROSO</v>
      </c>
      <c r="EV19" s="24" t="s">
        <v>866</v>
      </c>
      <c r="EW19" s="24">
        <v>44828</v>
      </c>
      <c r="EX19" s="22"/>
      <c r="EY19" s="29">
        <f t="shared" si="25"/>
        <v>6</v>
      </c>
      <c r="EZ19" s="25" t="str">
        <f t="shared" ca="1" si="26"/>
        <v/>
      </c>
      <c r="FA19" s="21">
        <v>71</v>
      </c>
      <c r="FB19" s="22">
        <v>44828</v>
      </c>
      <c r="FC19" s="29">
        <f t="shared" si="27"/>
        <v>6</v>
      </c>
      <c r="FD19" s="29">
        <v>70</v>
      </c>
      <c r="FE19" s="29">
        <v>116</v>
      </c>
      <c r="FF19" s="29">
        <v>139</v>
      </c>
      <c r="FG19" s="21" t="str">
        <f t="shared" si="28"/>
        <v xml:space="preserve">NORMAL, NO DESCARTA DIABETES POR REALIZARLO ANTES DE  SEMANA 24, </v>
      </c>
      <c r="FH19" s="31">
        <v>44930</v>
      </c>
      <c r="FI19" s="29">
        <f t="shared" si="29"/>
        <v>20.571428571428573</v>
      </c>
      <c r="FJ19" s="22" t="s">
        <v>867</v>
      </c>
      <c r="FK19" s="22">
        <v>44828</v>
      </c>
      <c r="FL19" s="29">
        <f t="shared" ca="1" si="30"/>
        <v>6</v>
      </c>
      <c r="FM19" s="22" t="s">
        <v>867</v>
      </c>
      <c r="FN19" s="32">
        <v>44930</v>
      </c>
      <c r="FO19" s="29">
        <f t="shared" ca="1" si="31"/>
        <v>20.571428571428573</v>
      </c>
      <c r="FP19" s="22"/>
      <c r="FQ19" s="32"/>
      <c r="FR19" s="29" t="str">
        <f t="shared" ca="1" si="32"/>
        <v>PIERDE TOMA DE TAMIZAJE</v>
      </c>
      <c r="FS19" s="22"/>
      <c r="FT19" s="32"/>
      <c r="FU19" s="29" t="str">
        <f>IF(AND(FJ19="",FM19="",FP19="",FS19=""),"",IF(OR(OR(Tabla1[[#This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9" s="28"/>
      <c r="FW19" s="22"/>
      <c r="FX19" s="29" t="str">
        <f t="shared" si="33"/>
        <v>TOMAR EXAMEN</v>
      </c>
      <c r="FY19" s="22">
        <v>44828</v>
      </c>
      <c r="FZ19" s="22">
        <v>44828</v>
      </c>
      <c r="GA19" s="29">
        <f t="shared" ca="1" si="34"/>
        <v>6</v>
      </c>
      <c r="GB19" s="22"/>
      <c r="GC19" s="22"/>
      <c r="GD19" s="29" t="str">
        <f t="shared" ca="1" si="35"/>
        <v>PIERDE TOMA DE TAMIZAJE</v>
      </c>
      <c r="GE19" s="22"/>
      <c r="GF19" s="22">
        <v>45001</v>
      </c>
      <c r="GG19" s="29">
        <f t="shared" ca="1" si="36"/>
        <v>30.714285714285715</v>
      </c>
      <c r="GH19" s="22"/>
      <c r="GI19" s="29"/>
      <c r="GJ19" s="22"/>
      <c r="GK19" s="22"/>
      <c r="GL19" s="22" t="s">
        <v>879</v>
      </c>
      <c r="GM19" s="22"/>
      <c r="GN19" s="28" t="s">
        <v>869</v>
      </c>
      <c r="GO19" s="22">
        <v>44828</v>
      </c>
      <c r="GP19" s="29">
        <f t="shared" si="37"/>
        <v>6</v>
      </c>
      <c r="GQ19" s="28" t="s">
        <v>846</v>
      </c>
      <c r="GR19" s="28" t="s">
        <v>869</v>
      </c>
      <c r="GS19" s="22" t="str">
        <f t="shared" si="38"/>
        <v/>
      </c>
      <c r="GT19" s="22">
        <v>44828</v>
      </c>
      <c r="GU19" s="29">
        <f t="shared" si="39"/>
        <v>6</v>
      </c>
      <c r="GV19" s="21" t="str">
        <f t="shared" si="40"/>
        <v>I TRIM</v>
      </c>
      <c r="GW19" s="28" t="s">
        <v>869</v>
      </c>
      <c r="GX19" s="30"/>
      <c r="GY19" s="21" t="s">
        <v>906</v>
      </c>
      <c r="GZ19" s="21"/>
      <c r="HA19" s="21"/>
      <c r="HB19" s="21"/>
      <c r="HC19" s="21"/>
      <c r="HD19" s="21"/>
      <c r="HE19" s="21"/>
      <c r="HF19" s="22"/>
      <c r="HG19" s="22" t="str">
        <f>IF(OR(O19&gt;0,R19&gt;0),CONCATENATE(IF(Tabla1[[#This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9" s="22" t="e">
        <f t="shared" si="41"/>
        <v>#REF!</v>
      </c>
      <c r="HI19" s="22" t="e">
        <f t="shared" ca="1" si="42"/>
        <v>#REF!</v>
      </c>
      <c r="HJ19" s="21" t="str">
        <f t="shared" ca="1" si="43"/>
        <v>*****INFERTILIDAD*****************MULTIPARIDAD*****************</v>
      </c>
      <c r="HK19" s="21" t="str">
        <f t="shared" si="44"/>
        <v>SIN ANTECEDENTES DE RIESGO</v>
      </c>
      <c r="HL19" s="24" t="str">
        <f t="shared" si="45"/>
        <v>REGISTRE DATO PRESIÓN ARTERIAL MENSUAL</v>
      </c>
      <c r="HM19" s="21" t="str">
        <f t="shared" ca="1" si="46"/>
        <v/>
      </c>
      <c r="HN19" s="30" t="str">
        <f t="shared" si="47"/>
        <v>SALIO PROGRAMA</v>
      </c>
      <c r="HO19" s="21"/>
      <c r="HP19" s="21"/>
      <c r="HQ19" s="21">
        <v>44894</v>
      </c>
      <c r="HR19" s="21" t="str">
        <f>IF(R19="","",IF(Tabla1[[#This Row],[ALARMA FACTORES DE RIESGO COMPLICACIONES HIPERTENSIVAS3]]="SIN ANTECEDENTES DE RIESGO","No Aplica para suministro de ASA",IF(AND(Tabla1[[#This Row],[FECHA INICIO DE SUMINISTRO DE ASA]]&gt;0,RV19&lt;12),"Inicia ASA ANTES de Sem 12",IF(AND(RV19&gt;11,RV19&lt;17,OR(HK19="RIESGO ALTO DE COMPLICACIONES HIPERTENSIVAS VER MANEJO GUIA SUMINISTRO ASA Y CALCIO",HK19="RIESGO MODERADO (2 O MAS CRITERIOS) VER MANEJO GUIA SUMINISTRO ASA Y CALCIO")),"Inicio oportuno de ASA",IF(AND(RV19&gt;12,OR(HK19="RIESGO ALTO DE COMPLICACIONES HIPERTENSIVAS VER MANEJO GUIA SUMINISTRO ASA Y CALCIO",HK19="RIESGO MODERADO (2 O MAS CRITERIOS) VER MANEJO GUIA SUMINISTRO ASA Y CALCIO")),"Inicio no oportuno mayor a 16 semanas",IF(AND(BU19&lt;12,OR(HK19="RIESGO ALTO DE COMPLICACIONES HIPERTENSIVAS VER MANEJO GUIA SUMINISTRO ASA Y CALCIO",HK19="RIESGO MODERADO (2 O MAS CRITERIOS) VER MANEJO GUIA SUMINISTRO ASA Y CALCIO")),"Pendiente Inicio de ASA a la semana 12",IF(AND(BU19&gt;11,BU19&lt;17,OR(HK19="RIESGO ALTO DE COMPLICACIONES HIPERTENSIVAS VER MANEJO GUIA SUMINISTRO ASA Y CALCIO",HK19="RIESGO MODERADO (2 O MAS CRITERIOS) VER MANEJO GUIA SUMINISTRO ASA Y CALCIO")),"Iniciar de inmediato ASA",IF(AND(BU19&gt;16,OR(HK19="RIESGO ALTO DE COMPLICACIONES HIPERTENSIVAS VER MANEJO GUIA SUMINISTRO ASA Y CALCIO",HK19="RIESGO MODERADO (2 O MAS CRITERIOS) VER MANEJO GUIA SUMINISTRO ASA Y CALCIO")),"Pierde Oportunidad, Inicio tardío de ASA","XXXXX"))))))))</f>
        <v>No Aplica para suministro de ASA</v>
      </c>
      <c r="HS19" s="22">
        <v>44894</v>
      </c>
      <c r="HT19" s="22" t="s">
        <v>870</v>
      </c>
      <c r="HU19" s="22">
        <v>44828</v>
      </c>
      <c r="HV19" s="22" t="s">
        <v>870</v>
      </c>
      <c r="HW19" s="22">
        <v>44894</v>
      </c>
      <c r="HX19" s="22" t="s">
        <v>870</v>
      </c>
      <c r="HY19" s="22">
        <v>44828</v>
      </c>
      <c r="HZ19" s="28">
        <f t="shared" si="48"/>
        <v>6</v>
      </c>
      <c r="IA19" s="26" t="s">
        <v>864</v>
      </c>
      <c r="IB19" s="26"/>
      <c r="IC19" s="111">
        <v>44930</v>
      </c>
      <c r="ID19" s="22">
        <v>44930</v>
      </c>
      <c r="IE19" s="22" t="str">
        <f t="shared" ca="1" si="49"/>
        <v>VACUNA APLICADA ENTRE SEMANA 20 Y SEMANA 26</v>
      </c>
      <c r="IF19" s="22"/>
      <c r="IG19" s="22">
        <f t="shared" si="50"/>
        <v>45066</v>
      </c>
      <c r="IH19" s="29">
        <f t="shared" ca="1" si="51"/>
        <v>-166</v>
      </c>
      <c r="II19" s="22" t="str">
        <f t="shared" ca="1" si="52"/>
        <v>POSIBLEMENTE NACIO</v>
      </c>
      <c r="IJ19" s="22"/>
      <c r="IK19" s="21" t="s">
        <v>898</v>
      </c>
      <c r="IL19" s="21"/>
      <c r="IM19" s="34"/>
      <c r="IN19" s="349">
        <v>45070</v>
      </c>
      <c r="IO19" s="21" t="s">
        <v>1186</v>
      </c>
      <c r="IP19" s="29">
        <f t="shared" si="53"/>
        <v>40.571428571428569</v>
      </c>
      <c r="IQ19" s="35" t="s">
        <v>1650</v>
      </c>
      <c r="IR19" s="21" t="s">
        <v>1651</v>
      </c>
      <c r="IS19" s="21" t="s">
        <v>1646</v>
      </c>
      <c r="IT19" s="21" t="s">
        <v>1642</v>
      </c>
      <c r="IU19" s="21"/>
      <c r="IV19" s="21"/>
      <c r="IW19" s="21"/>
      <c r="IX19" s="21"/>
      <c r="IY19" s="21"/>
      <c r="IZ19" s="21"/>
      <c r="JA19" s="21"/>
      <c r="JB19" s="30">
        <v>1</v>
      </c>
      <c r="JC19" s="21" t="s">
        <v>1647</v>
      </c>
      <c r="JD19" s="36">
        <v>3190</v>
      </c>
      <c r="JE19" s="21" t="str">
        <f t="shared" si="54"/>
        <v>PESO ADECUADO EDAD GESTACIONAL</v>
      </c>
      <c r="JF19" s="30"/>
      <c r="JG19" s="21"/>
      <c r="JH19" s="21"/>
      <c r="JI19" s="21" t="s">
        <v>854</v>
      </c>
      <c r="JJ19" s="30" t="s">
        <v>926</v>
      </c>
      <c r="JK19" s="22"/>
      <c r="JL19" s="22"/>
      <c r="JM19" s="21"/>
      <c r="JN19" s="36"/>
      <c r="JO19" s="21" t="str">
        <f t="shared" si="55"/>
        <v/>
      </c>
      <c r="JP19" s="22"/>
      <c r="JQ19" s="21"/>
      <c r="JR19" s="21"/>
      <c r="JS19" s="21"/>
      <c r="JT19" s="30"/>
      <c r="JU19" s="22"/>
      <c r="JV19" s="22"/>
      <c r="JW19" s="33"/>
      <c r="JX19" s="28" t="str">
        <f t="shared" si="56"/>
        <v>INASISTENTE</v>
      </c>
      <c r="JY19" s="33"/>
      <c r="JZ19" s="28" t="str">
        <f t="shared" si="57"/>
        <v>INASISTENTE</v>
      </c>
      <c r="KA19" s="21"/>
      <c r="KB19" s="21"/>
      <c r="KC19" s="21"/>
      <c r="KD19" s="37"/>
      <c r="KE19" s="28"/>
      <c r="KF19" s="28"/>
      <c r="KG19" s="28"/>
      <c r="KH19" s="39"/>
      <c r="KI19" s="39"/>
      <c r="KJ19" s="66"/>
      <c r="KK19" s="39"/>
      <c r="KL19" s="39"/>
      <c r="KM19" s="66"/>
      <c r="KN19" s="39"/>
      <c r="KO19" s="39"/>
      <c r="KP19" s="39"/>
      <c r="KQ19" s="39"/>
      <c r="KR19" s="39"/>
      <c r="KS19" s="39"/>
      <c r="KT19" s="39"/>
      <c r="KU19" s="38"/>
      <c r="KV19" s="38"/>
      <c r="KW19" s="38"/>
      <c r="KX19" s="38"/>
      <c r="KY19" s="38"/>
      <c r="KZ19" s="38"/>
      <c r="LA19" s="38"/>
      <c r="LB19" s="38"/>
      <c r="LC19" s="38"/>
      <c r="LD19" s="38"/>
      <c r="LE19" s="38"/>
      <c r="LF19" s="38"/>
      <c r="LG19" s="38"/>
      <c r="LH19" s="38"/>
      <c r="LI19" s="38"/>
      <c r="LJ19" s="38"/>
      <c r="LK19" s="38"/>
      <c r="LL19" s="38"/>
      <c r="LM19" s="38"/>
      <c r="LN19" s="38"/>
      <c r="LO19" s="38"/>
      <c r="LP19" s="38"/>
      <c r="LQ19" s="38"/>
      <c r="LR19" s="38"/>
      <c r="LS19" s="38"/>
      <c r="LT19" s="38"/>
      <c r="LU19" s="38"/>
      <c r="LV19" s="38"/>
      <c r="LW19" s="38"/>
      <c r="LX19" s="38"/>
      <c r="LY19" s="38"/>
      <c r="LZ19" s="38"/>
      <c r="MA19" s="38"/>
      <c r="MB19" s="38"/>
      <c r="MC19" s="38"/>
      <c r="MD19" s="38"/>
      <c r="ME19" s="38"/>
      <c r="MF19" s="38"/>
      <c r="MG19" s="38"/>
      <c r="MH19" s="43">
        <f t="shared" si="58"/>
        <v>0</v>
      </c>
      <c r="MI19" s="43" t="str">
        <f t="shared" si="59"/>
        <v/>
      </c>
      <c r="MJ19" s="43" t="str">
        <f t="shared" si="60"/>
        <v/>
      </c>
      <c r="MK19" s="43">
        <f t="shared" si="61"/>
        <v>0</v>
      </c>
      <c r="ML1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9" s="43">
        <f t="shared" si="62"/>
        <v>6</v>
      </c>
      <c r="MN19" s="43">
        <f t="shared" si="63"/>
        <v>9</v>
      </c>
      <c r="MO19" s="43">
        <f t="shared" si="64"/>
        <v>2022</v>
      </c>
      <c r="MP19" s="43" t="str">
        <f t="shared" si="65"/>
        <v>III TRIMESTRE AÑO</v>
      </c>
      <c r="MQ19" s="43">
        <f t="shared" si="66"/>
        <v>23.278033289531319</v>
      </c>
      <c r="MR19" s="43">
        <f t="shared" si="67"/>
        <v>0</v>
      </c>
      <c r="MS19" s="43" t="str">
        <f t="shared" si="68"/>
        <v xml:space="preserve"> DE 20 A 24 AÑOS</v>
      </c>
      <c r="MT19" s="43" t="str">
        <f t="shared" si="69"/>
        <v/>
      </c>
      <c r="MU19" s="43">
        <f t="shared" si="70"/>
        <v>1</v>
      </c>
      <c r="MV19" s="43">
        <f t="shared" si="71"/>
        <v>0</v>
      </c>
      <c r="MW19" s="43">
        <f t="shared" si="72"/>
        <v>0</v>
      </c>
      <c r="MX19" s="43" t="str">
        <f t="shared" si="73"/>
        <v/>
      </c>
      <c r="MY19" s="43" t="str">
        <f t="shared" ca="1" si="74"/>
        <v/>
      </c>
      <c r="MZ19" s="43" t="str">
        <f t="shared" si="75"/>
        <v/>
      </c>
      <c r="NA19" s="43">
        <f t="shared" si="76"/>
        <v>0</v>
      </c>
      <c r="NB19" s="43" t="str">
        <f t="shared" si="77"/>
        <v/>
      </c>
      <c r="NC19" s="43" t="str">
        <f t="shared" si="78"/>
        <v/>
      </c>
      <c r="ND19" s="43">
        <f t="shared" ca="1" si="79"/>
        <v>2</v>
      </c>
      <c r="NE19" s="43">
        <f>IF(OR(O19&gt;0,R19&gt;0),SUM(COUNTIF(Tabla1[[#This Row],[AÑOS AL INICIO5 CPN]],"&gt;=40"),COUNTIF(AS19,"0"),COUNTIF(AR19,"SI"),COUNTIF(CC19,"SI"),COUNTIF(BQ19,"&gt;119"),COUNTIF(CI19,"&gt;=35")),"")</f>
        <v>0</v>
      </c>
      <c r="NF19" s="43">
        <f t="shared" si="80"/>
        <v>20.571428571428573</v>
      </c>
      <c r="NG19" s="43">
        <f t="shared" si="81"/>
        <v>0</v>
      </c>
      <c r="NH19" s="43">
        <f t="shared" si="82"/>
        <v>105</v>
      </c>
      <c r="NI19"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CPN",P19="NO"),"Z",IF(AND(Tabla1[[#This Row],[CITA PROXIMO CONTROL]]="CITA MANUAL",Tabla1[[#This Row],[GESTANTES ACTUALES]]="ACTIVA INGRESO A CPN"),"W",IF(AND(Tabla1[[#This Row],[GESTANTES ACTUALES]]="SALIO PROGRAMA",IN19=""),"S",IF(AND(Tabla1[[#This Row],[CITA PROXIMO CONTROL]]&gt;0,IN19=""),(Tabla1[[#This Row],[CITA PROXIMO CONTROL]]-TODAY()),"SD"))))))))</f>
        <v>SD</v>
      </c>
      <c r="NJ19" s="43">
        <f>MONTH(Tabla1[[#This Row],[FECHA DE SALIDA  DEL PROGRAMA]])</f>
        <v>5</v>
      </c>
      <c r="NK19" s="43">
        <f>YEAR(Tabla1[[#This Row],[FECHA DE SALIDA  DEL PROGRAMA]])</f>
        <v>2023</v>
      </c>
      <c r="NL19" s="43">
        <f t="shared" si="83"/>
        <v>81</v>
      </c>
      <c r="NM19" s="43" t="str">
        <f t="shared" si="84"/>
        <v>NO</v>
      </c>
      <c r="NN19" s="43" t="str">
        <f ca="1">IF(AND(O19&gt;0,R19=""),"NO CPN",IF(AND(O19="",R19=""),"",IF(AND(R19&gt;0,Tabla1[[#This Row],[SEMANAS DE GESTACION ACTUALIZADAS]]&lt;=12),"NO APLICA",IF(AND(FH19&lt;&gt;"",FN19&lt;&gt;""),"SI","NO"))))</f>
        <v>SI</v>
      </c>
      <c r="NO19" s="43" t="str">
        <f ca="1">IF(AND(O19&gt;0,R19=""),"NO CPN",IF(AND(O19="",R19=""),"",IF(AND(R19&gt;0,Tabla1[[#This Row],[SEMANAS DE GESTACION ACTUALIZADAS]]&lt;=27),"NO APLICA",IF(AND(ES19&lt;&gt;"",FQ19&lt;&gt;"",GF19&lt;&gt;""),"SI","NO"))))</f>
        <v>NO</v>
      </c>
      <c r="NP19" s="204" t="str">
        <f t="shared" si="85"/>
        <v>DEFINIR CON ECO</v>
      </c>
      <c r="NQ19" s="21">
        <f t="shared" si="86"/>
        <v>10</v>
      </c>
      <c r="NR19" s="21">
        <f t="shared" si="87"/>
        <v>3</v>
      </c>
      <c r="NS19" s="205">
        <f t="shared" ca="1" si="88"/>
        <v>2</v>
      </c>
      <c r="NT19" s="21">
        <f t="shared" ca="1" si="89"/>
        <v>2</v>
      </c>
      <c r="NU19" s="21" t="str">
        <f t="shared" ca="1" si="90"/>
        <v>INCOMPLETO</v>
      </c>
      <c r="NV19" s="21" t="str">
        <f t="shared" ca="1" si="91"/>
        <v>INCOMPLETO</v>
      </c>
      <c r="NW19" s="206" t="str">
        <f>IF(AND(O19="",R19=""),"",IF(OR(AND(Tabla1[[#This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9" s="207" t="str">
        <f t="shared" ca="1" si="92"/>
        <v>VACUNADA</v>
      </c>
      <c r="NY19" s="43">
        <f>ROW(Tabla1[[#This Row],['# DE TAMIZAJES SIFILIS TOMADOS ]])</f>
        <v>19</v>
      </c>
      <c r="NZ19" s="43" t="str">
        <f t="shared" si="93"/>
        <v>Menor</v>
      </c>
      <c r="OA19" s="43" t="str">
        <f t="shared" si="94"/>
        <v>SOBREPESO</v>
      </c>
      <c r="OB19" s="43" t="str">
        <f t="shared" si="95"/>
        <v/>
      </c>
      <c r="OC19" s="43" t="str">
        <f t="shared" si="96"/>
        <v/>
      </c>
      <c r="OD19" s="43" t="str">
        <f t="shared" si="97"/>
        <v/>
      </c>
      <c r="OE19" s="43" t="str">
        <f t="shared" si="98"/>
        <v/>
      </c>
      <c r="OF19" s="43" t="str">
        <f t="shared" si="99"/>
        <v/>
      </c>
      <c r="OG19" s="43" t="str">
        <f t="shared" si="100"/>
        <v/>
      </c>
      <c r="OH19" s="43" t="str">
        <f t="shared" si="101"/>
        <v/>
      </c>
      <c r="OI19" s="43" t="str">
        <f t="shared" si="102"/>
        <v/>
      </c>
      <c r="OJ19" s="43" t="str">
        <f t="shared" si="103"/>
        <v/>
      </c>
      <c r="OK19" s="43" t="str">
        <f t="shared" si="104"/>
        <v/>
      </c>
      <c r="OL19" s="43" t="str">
        <f t="shared" si="105"/>
        <v/>
      </c>
      <c r="OM19" s="43" t="str">
        <f t="shared" si="106"/>
        <v/>
      </c>
      <c r="ON19" s="43" t="str">
        <f t="shared" si="107"/>
        <v/>
      </c>
      <c r="OO19" s="43" t="str">
        <f t="shared" si="108"/>
        <v/>
      </c>
      <c r="OP19" s="43" t="str">
        <f t="shared" si="109"/>
        <v/>
      </c>
      <c r="OQ19" s="43" t="str">
        <f t="shared" si="110"/>
        <v/>
      </c>
      <c r="OR19" s="43" t="str">
        <f t="shared" si="111"/>
        <v/>
      </c>
      <c r="OS19" s="43" t="str">
        <f t="shared" si="112"/>
        <v/>
      </c>
      <c r="OT19" s="43" t="str">
        <f t="shared" si="113"/>
        <v/>
      </c>
      <c r="OU19" s="43" t="str">
        <f t="shared" si="114"/>
        <v/>
      </c>
      <c r="OV19" s="110" t="str">
        <f t="shared" si="115"/>
        <v/>
      </c>
      <c r="OW19" s="43" t="str">
        <f t="shared" si="116"/>
        <v/>
      </c>
      <c r="OX19" s="43" t="str">
        <f t="shared" si="117"/>
        <v/>
      </c>
      <c r="OY19" s="43" t="str">
        <f t="shared" si="118"/>
        <v/>
      </c>
      <c r="OZ19" s="43" t="str">
        <f t="shared" si="119"/>
        <v/>
      </c>
      <c r="PA19" s="43" t="str">
        <f t="shared" si="120"/>
        <v/>
      </c>
      <c r="PB19" s="43" t="str">
        <f t="shared" si="121"/>
        <v/>
      </c>
      <c r="PC19" s="43" t="str">
        <f t="shared" si="122"/>
        <v/>
      </c>
      <c r="PD19" s="43" t="str">
        <f t="shared" si="123"/>
        <v/>
      </c>
      <c r="PE19" s="43" t="str">
        <f t="shared" si="124"/>
        <v/>
      </c>
      <c r="PF19" s="43" t="str">
        <f t="shared" si="125"/>
        <v/>
      </c>
      <c r="PG19" s="43" t="str">
        <f t="shared" si="126"/>
        <v/>
      </c>
      <c r="PH19" s="43" t="str">
        <f t="shared" si="127"/>
        <v/>
      </c>
      <c r="PI19" s="43">
        <f t="shared" si="128"/>
        <v>36</v>
      </c>
      <c r="PJ19" s="43" t="str">
        <f t="shared" si="129"/>
        <v/>
      </c>
      <c r="PK19" s="43" t="str">
        <f t="shared" si="130"/>
        <v/>
      </c>
      <c r="PL19" s="43" t="str">
        <f t="shared" si="131"/>
        <v/>
      </c>
      <c r="PM19" s="43" t="str">
        <f t="shared" si="132"/>
        <v/>
      </c>
      <c r="PN19" s="43" t="str">
        <f t="shared" si="133"/>
        <v/>
      </c>
      <c r="PO19" s="43" t="str">
        <f t="shared" si="134"/>
        <v/>
      </c>
      <c r="PP19" s="43" t="str">
        <f t="shared" si="135"/>
        <v/>
      </c>
      <c r="PQ19" s="43" t="str">
        <f t="shared" si="136"/>
        <v/>
      </c>
      <c r="PR19" s="43" t="str">
        <f t="shared" si="137"/>
        <v/>
      </c>
      <c r="PS19" s="43" t="str">
        <f t="shared" si="138"/>
        <v/>
      </c>
      <c r="PT19" s="43" t="str">
        <f t="shared" si="139"/>
        <v/>
      </c>
      <c r="PU19" s="43" t="str">
        <f t="shared" si="140"/>
        <v/>
      </c>
      <c r="PV19" s="43" t="str">
        <f t="shared" si="141"/>
        <v/>
      </c>
      <c r="PW19" s="43" t="str">
        <f t="shared" si="142"/>
        <v/>
      </c>
      <c r="PX19" s="43" t="str">
        <f t="shared" si="143"/>
        <v/>
      </c>
      <c r="PY19" s="43" t="str">
        <f t="shared" si="144"/>
        <v/>
      </c>
      <c r="PZ19" s="43" t="str">
        <f t="shared" si="145"/>
        <v/>
      </c>
      <c r="QA19" s="43" t="str">
        <f t="shared" si="146"/>
        <v/>
      </c>
      <c r="QB19" s="43" t="str">
        <f t="shared" si="147"/>
        <v/>
      </c>
      <c r="QC19" s="43" t="str">
        <f t="shared" si="148"/>
        <v/>
      </c>
      <c r="QD19" s="43" t="str">
        <f t="shared" si="149"/>
        <v/>
      </c>
      <c r="QE19" s="43" t="str">
        <f t="shared" si="150"/>
        <v/>
      </c>
      <c r="QF19" s="43" t="str">
        <f t="shared" si="151"/>
        <v/>
      </c>
      <c r="QG19" s="43" t="str">
        <f t="shared" si="152"/>
        <v/>
      </c>
      <c r="QH19" s="43" t="str">
        <f t="shared" si="153"/>
        <v/>
      </c>
      <c r="QI19" s="43" t="str">
        <f t="shared" si="154"/>
        <v/>
      </c>
      <c r="QJ19" s="43" t="str">
        <f t="shared" si="155"/>
        <v/>
      </c>
      <c r="QK19" s="43" t="str">
        <f t="shared" si="156"/>
        <v/>
      </c>
      <c r="QL19" s="43" t="str">
        <f t="shared" si="157"/>
        <v/>
      </c>
      <c r="QM19" s="43" t="str">
        <f t="shared" si="158"/>
        <v/>
      </c>
      <c r="QN19" s="43" t="str">
        <f t="shared" si="159"/>
        <v/>
      </c>
      <c r="QO19" s="43" t="str">
        <f t="shared" si="160"/>
        <v/>
      </c>
      <c r="QP19" s="43" t="str">
        <f t="shared" si="161"/>
        <v/>
      </c>
      <c r="QQ19" s="43" t="str">
        <f t="shared" si="162"/>
        <v/>
      </c>
      <c r="QR19" s="43">
        <f t="shared" si="192"/>
        <v>36</v>
      </c>
      <c r="QS19" s="43"/>
      <c r="QT19" s="21" t="str">
        <f t="shared" si="163"/>
        <v/>
      </c>
      <c r="QU19" s="21" t="str">
        <f t="shared" si="164"/>
        <v/>
      </c>
      <c r="QV19" s="21" t="str">
        <f t="shared" si="165"/>
        <v/>
      </c>
      <c r="QW19" s="21" t="str">
        <f t="shared" si="166"/>
        <v/>
      </c>
      <c r="QX19" s="21" t="str">
        <f t="shared" si="167"/>
        <v/>
      </c>
      <c r="QY19" s="21" t="str">
        <f t="shared" si="168"/>
        <v/>
      </c>
      <c r="QZ19" s="21" t="str">
        <f t="shared" si="169"/>
        <v/>
      </c>
      <c r="RA19" s="21" t="str">
        <f t="shared" si="170"/>
        <v/>
      </c>
      <c r="RB19" s="21" t="str">
        <f t="shared" si="171"/>
        <v/>
      </c>
      <c r="RC19" s="21" t="str">
        <f t="shared" si="172"/>
        <v/>
      </c>
      <c r="RD19" s="21" t="str">
        <f t="shared" si="173"/>
        <v/>
      </c>
      <c r="RE19" s="21" t="str">
        <f t="shared" si="174"/>
        <v/>
      </c>
      <c r="RF19" s="21" t="str">
        <f t="shared" si="175"/>
        <v/>
      </c>
      <c r="RG19" s="21" t="str">
        <f t="shared" si="176"/>
        <v/>
      </c>
      <c r="RH19" s="21" t="str">
        <f t="shared" si="177"/>
        <v/>
      </c>
      <c r="RI19" s="21" t="str">
        <f t="shared" si="178"/>
        <v/>
      </c>
      <c r="RJ19" s="21" t="str">
        <f t="shared" si="179"/>
        <v/>
      </c>
      <c r="RK19" s="21" t="str">
        <f t="shared" si="180"/>
        <v/>
      </c>
      <c r="RL19" s="21" t="str">
        <f t="shared" si="181"/>
        <v/>
      </c>
      <c r="RM19" s="21" t="str">
        <f t="shared" si="182"/>
        <v/>
      </c>
      <c r="RN19" s="21" t="str">
        <f t="shared" si="183"/>
        <v/>
      </c>
      <c r="RO19" s="21" t="str">
        <f t="shared" si="184"/>
        <v/>
      </c>
      <c r="RP19" s="21" t="str">
        <f t="shared" si="185"/>
        <v/>
      </c>
      <c r="RQ19" s="21" t="str">
        <f t="shared" si="186"/>
        <v/>
      </c>
      <c r="RR19" s="21" t="str">
        <f t="shared" si="187"/>
        <v/>
      </c>
      <c r="RS19" s="21" t="str">
        <f t="shared" si="188"/>
        <v/>
      </c>
      <c r="RT19" s="21" t="str">
        <f t="shared" si="189"/>
        <v/>
      </c>
      <c r="RU19" s="21" t="str">
        <f t="shared" si="190"/>
        <v/>
      </c>
      <c r="RV19" s="21">
        <f t="shared" si="191"/>
        <v>15.428571428571429</v>
      </c>
      <c r="RW19" s="284">
        <f>IF(OR(Tabla1[[#This Row],[FUM FORMULA CONFIABLE]]="",Tabla1[[#This Row],[FUM FORMULA CONFIABLE]]="SD"),"",IF(Tabla1[[#This Row],[FUM FORMULA CONFIABLE]]="CORREGIDA",Tabla1[[#This Row],[FUM X ECO 1]],Tabla1[[#This Row],[FUM x AMENORREA]]))</f>
        <v>44786</v>
      </c>
      <c r="RX19" s="21">
        <f>IF(AND(Tabla1[[#This Row],[FUM X ECO 1]]="",Tabla1[[#This Row],[FUM x AMENORREA]]=""),"",IF(AND(Tabla1[[#This Row],[FUM X ECO 1]]="",Tabla1[[#This Row],[FUM x AMENORREA]]&lt;&gt;""),"X",SUM(Tabla1[[#This Row],[FUM X ECO 1]]-Tabla1[[#This Row],[FUM x AMENORREA]])))</f>
        <v>3</v>
      </c>
      <c r="RY19" s="21">
        <f t="shared" si="193"/>
        <v>0</v>
      </c>
    </row>
    <row r="20" spans="1:493" ht="45" customHeight="1" x14ac:dyDescent="0.25">
      <c r="A20" s="109"/>
      <c r="B20" s="43" t="s">
        <v>927</v>
      </c>
      <c r="C20" s="43" t="s">
        <v>845</v>
      </c>
      <c r="D20" s="124" t="s">
        <v>846</v>
      </c>
      <c r="E20" s="43" t="s">
        <v>967</v>
      </c>
      <c r="F20" s="43" t="s">
        <v>968</v>
      </c>
      <c r="G20" s="43" t="s">
        <v>969</v>
      </c>
      <c r="H20" s="43"/>
      <c r="I20" s="109" t="s">
        <v>851</v>
      </c>
      <c r="J20" s="110">
        <v>1002848677</v>
      </c>
      <c r="K20" s="43" t="s">
        <v>852</v>
      </c>
      <c r="L20" s="175" t="s">
        <v>853</v>
      </c>
      <c r="M20" s="22">
        <v>36452</v>
      </c>
      <c r="N20" s="213">
        <f t="shared" ca="1" si="0"/>
        <v>24.054794520547944</v>
      </c>
      <c r="O20" s="22">
        <v>44833</v>
      </c>
      <c r="P20" s="214" t="str">
        <f t="shared" si="1"/>
        <v>SI</v>
      </c>
      <c r="Q20" s="26" t="s">
        <v>855</v>
      </c>
      <c r="R20" s="22">
        <v>44833</v>
      </c>
      <c r="S20" s="21" t="s">
        <v>856</v>
      </c>
      <c r="T20" s="24" t="s">
        <v>690</v>
      </c>
      <c r="U20" s="21" t="s">
        <v>857</v>
      </c>
      <c r="V20" s="21" t="s">
        <v>858</v>
      </c>
      <c r="W20" s="21" t="s">
        <v>970</v>
      </c>
      <c r="X20" s="21" t="s">
        <v>970</v>
      </c>
      <c r="Y20" s="21" t="s">
        <v>859</v>
      </c>
      <c r="Z20" s="21" t="s">
        <v>971</v>
      </c>
      <c r="AA20" s="21" t="s">
        <v>860</v>
      </c>
      <c r="AB20" s="27" t="s">
        <v>861</v>
      </c>
      <c r="AC20" s="26" t="s">
        <v>888</v>
      </c>
      <c r="AD20" s="38" t="s">
        <v>846</v>
      </c>
      <c r="AE20" s="26" t="s">
        <v>854</v>
      </c>
      <c r="AF20" s="26" t="s">
        <v>854</v>
      </c>
      <c r="AG20" s="23" t="s">
        <v>864</v>
      </c>
      <c r="AH20" s="23" t="s">
        <v>864</v>
      </c>
      <c r="AI20" s="24" t="s">
        <v>863</v>
      </c>
      <c r="AJ20" s="23" t="s">
        <v>864</v>
      </c>
      <c r="AK20" s="220" t="str">
        <f>IF(AND(AD20="",AE20="",AF20="",AG20="",AH20="",AI20="",AJ20=""),"",IF(OR(Tabla1[[#This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EVALUACIÓN",IF(AND(O20="",R20=""),"",IF(AND(OR(O20&gt;0,R20&gt;0),NG20&gt;=0,NG20&lt;2),"SIN RIESGO",IF(AND(OR(O20&gt;0,R20&gt;0),NG20&gt;=2),"CON RIESGO","ASD")))))</f>
        <v>SIN RIESGO</v>
      </c>
      <c r="AL20" s="23" t="s">
        <v>864</v>
      </c>
      <c r="AM20" s="26" t="s">
        <v>864</v>
      </c>
      <c r="AN20" s="26" t="s">
        <v>864</v>
      </c>
      <c r="AO20" s="26" t="s">
        <v>864</v>
      </c>
      <c r="AP20" s="26" t="s">
        <v>864</v>
      </c>
      <c r="AQ20" s="26" t="s">
        <v>864</v>
      </c>
      <c r="AR20" s="26" t="s">
        <v>864</v>
      </c>
      <c r="AS20" s="21">
        <v>2</v>
      </c>
      <c r="AT20" s="21">
        <v>0</v>
      </c>
      <c r="AU20" s="21">
        <v>1</v>
      </c>
      <c r="AV20" s="26" t="s">
        <v>864</v>
      </c>
      <c r="AW20" s="21">
        <v>0</v>
      </c>
      <c r="AX20" s="26" t="s">
        <v>865</v>
      </c>
      <c r="AY20" s="26" t="s">
        <v>864</v>
      </c>
      <c r="AZ20" s="26" t="s">
        <v>864</v>
      </c>
      <c r="BA20" s="26" t="s">
        <v>864</v>
      </c>
      <c r="BB20" s="26" t="s">
        <v>864</v>
      </c>
      <c r="BC20" s="26" t="s">
        <v>864</v>
      </c>
      <c r="BD20" s="26" t="s">
        <v>864</v>
      </c>
      <c r="BE20" s="26" t="s">
        <v>864</v>
      </c>
      <c r="BF20" s="26" t="s">
        <v>864</v>
      </c>
      <c r="BG20" s="26" t="s">
        <v>864</v>
      </c>
      <c r="BH20" s="26" t="s">
        <v>864</v>
      </c>
      <c r="BI20" s="26" t="s">
        <v>864</v>
      </c>
      <c r="BJ20" s="26"/>
      <c r="BK20" s="26"/>
      <c r="BL20" s="26" t="s">
        <v>864</v>
      </c>
      <c r="BM20" s="26" t="s">
        <v>864</v>
      </c>
      <c r="BN20" s="22"/>
      <c r="BO20" s="22">
        <v>44792</v>
      </c>
      <c r="BP20" s="21" t="s">
        <v>854</v>
      </c>
      <c r="BQ20" s="222">
        <f t="shared" si="2"/>
        <v>0</v>
      </c>
      <c r="BR20" s="223">
        <f t="shared" si="3"/>
        <v>44792</v>
      </c>
      <c r="BS20" s="224">
        <f t="shared" si="4"/>
        <v>5.8571428571428568</v>
      </c>
      <c r="BT20" s="216" t="str">
        <f t="shared" si="5"/>
        <v>I TRIM</v>
      </c>
      <c r="BU20" s="214" t="str">
        <f t="shared" ca="1" si="6"/>
        <v/>
      </c>
      <c r="BV20" s="25"/>
      <c r="BW20" s="22">
        <v>44834</v>
      </c>
      <c r="BX20" s="28">
        <v>6</v>
      </c>
      <c r="BY20" s="28"/>
      <c r="BZ20" s="22"/>
      <c r="CA20" s="21"/>
      <c r="CB20" s="26" t="s">
        <v>864</v>
      </c>
      <c r="CC20" s="26" t="s">
        <v>864</v>
      </c>
      <c r="CD20" s="26" t="s">
        <v>972</v>
      </c>
      <c r="CE20" s="26" t="s">
        <v>864</v>
      </c>
      <c r="CF20" s="22" t="s">
        <v>1517</v>
      </c>
      <c r="CG20" s="21">
        <v>1.51</v>
      </c>
      <c r="CH20" s="21">
        <v>53</v>
      </c>
      <c r="CI20" s="214">
        <f t="shared" si="7"/>
        <v>23.244594535327398</v>
      </c>
      <c r="CJ20" s="225" t="str">
        <f>IF(AND(CI20&lt;10,CH20="SD"),"SIN DATO PESO PREGESTACION O I TRIM",IF(AND(OR(R20&gt;0,O20&gt;0),CI20="X"),"INGRESAR DATO DE PESO",IF(CI20="SD","INGRESAR DATO DE TALLA Y PESO",IF(AND(OR(Tabla1[[#This Row],[MOMENTO EN QUE SE REALIZA EL PESO AL INGRESO A CPN]]="PREGESTACIÓN",NZ20="Menor"),CI20&lt;18.5),"BAJO PESO",IF(AND(OR(Tabla1[[#This Row],[MOMENTO EN QUE SE REALIZA EL PESO AL INGRESO A CPN]]="PREGESTACIÓN",NZ20="Menor"),CI20&lt;25),"NORMAL",IF(AND(OR(Tabla1[[#This Row],[MOMENTO EN QUE SE REALIZA EL PESO AL INGRESO A CPN]]="PREGESTACIÓN",NZ20="Menor"),CI20&lt;30),"SOBREPESO",IF(AND(OR(Tabla1[[#This Row],[MOMENTO EN QUE SE REALIZA EL PESO AL INGRESO A CPN]]="PREGESTACIÓN",NZ20="Menor"),CI20&gt;=30,CI20&lt;50),"OBESIDAD",IF(AND(BS20&gt;0,Tabla1[[#This Row],[MOMENTO EN QUE SE REALIZA EL PESO AL INGRESO A CPN]]="GESTACIÓN"),HLOOKUP(NZ20,$OA$2:PH20,NY20),""))))))))</f>
        <v>NORMAL</v>
      </c>
      <c r="CK20" s="212">
        <f t="shared" si="8"/>
        <v>44992</v>
      </c>
      <c r="CL20" s="21"/>
      <c r="CM20" s="214">
        <f t="shared" si="9"/>
        <v>0</v>
      </c>
      <c r="CN20" s="216">
        <f t="shared" si="10"/>
        <v>28</v>
      </c>
      <c r="CO20" s="216" t="e">
        <f>IF(PI20="","",IF(PI20&gt;0,HLOOKUP(PI20,$PJ$2:QQ20,NY20),""))</f>
        <v>#REF!</v>
      </c>
      <c r="CP20" s="21"/>
      <c r="CQ20" s="216" t="e">
        <f>IF(QR20="Menor","NO APLICA-MENOR 13 SEM",IF(AND(CC20="SI",CN20&gt;23),"NO APLICA- GEMELAR",IF(QR20="","",IF(QR20&gt;0,HLOOKUP(QR20,$QS$2:RU20,NY20),""))))</f>
        <v>#REF!</v>
      </c>
      <c r="CR20" s="21">
        <v>100</v>
      </c>
      <c r="CS20" s="21">
        <v>70</v>
      </c>
      <c r="CT20" s="217" t="str">
        <f>IF(R20="","",IF(AND(BS20&gt;1,BS20&lt;12,Tabla1[[#This Row],[T.A. SISTOLICA - ANTES DE SEMANA 12]]="",Tabla1[[#This Row],[T.A. DIASTOLICA - ANTES DE SEMANA 12]]=""),"REGISTRE DATO TA ANTES SEMANA 12",IF(AND(BS20&gt;11,BS20&lt;43,Tabla1[[#This Row],[T.A. SISTOLICA - ANTES DE SEMANA 12]]="",Tabla1[[#This Row],[T.A. DIASTOLICA - ANTES DE SEMANA 12]]=""),"NO APLICA REGISTRO TA-INGRESO TARDIO",IF(AND(OR(O20&gt;0,R20&gt;0),OR(CR20&gt;=140,CS20&gt;=90)),"DEFINIR ESTADIO HTA",IF(AND(OR(O20&gt;0,R20&gt;0),AND(CR20&gt;120,CR20&lt;=139)),"PRE HTA SEGUIMIENTO",IF(AND(OR(O20&gt;0,R20&gt;0),AND(CS20&gt;80,CS20&lt;=89)),"PRE HTA SEGUIMIENTO",IF(AND(OR(O20&gt;0,R20&gt;0),AND(CR20&gt;=80,CR20&lt;=120)),"APARENTEMENTE NORMAL",IF(AND(OR(O20&gt;0,R20&gt;0),AND(CS20&gt;=50,CS20&lt;=80)),"APARENTEMENTE NORMAL",IF(AND(OR(O20&gt;0,R20&gt;0),AND(CR20&gt;1,CR20&lt;=70),AND(CS20&gt;1,CS20&lt;=40)),"HIPOTENSIÓN","")))))))))</f>
        <v>APARENTEMENTE NORMAL</v>
      </c>
      <c r="CU20" s="21">
        <v>90</v>
      </c>
      <c r="CV20" s="21">
        <v>60</v>
      </c>
      <c r="CW20" s="217" t="str">
        <f ca="1">IF(R20="","",IF(AND(CN20&gt;19,CN20&lt;27,Tabla1[[#This Row],[T.A. SISTOLICA (Entre semana 20 y 26)]]="",Tabla1[[#This Row],[T.A. DIATOLICA (Entre semana 20 y 26)]]=""),"ACUDE A CONTROL SEM 20 A 26 REGISTRE TA AHORA",IF(AND(BS20&gt;1,BS20&lt;27,BU20&gt;19,Tabla1[[#This Row],[T.A. SISTOLICA (Entre semana 20 y 26)]]="",Tabla1[[#This Row],[T.A. DIATOLICA (Entre semana 20 y 26)]]=""),"COMPLETE REGISTRO TA CONTROL SEM 20 A26 ",IF(AND(BS20&gt;26,BS20&lt;43,Tabla1[[#This Row],[T.A. SISTOLICA (Entre semana 20 y 26)]]="",Tabla1[[#This Row],[T.A. DIATOLICA (Entre semana 20 y 26)]]=""),"NO APLICA REGISTRO TA-INGRESO TARDIO",IF(AND(OR(O20&gt;0,R20&gt;0),OR(CU20&gt;=140,CV20&gt;=90)),"ALTO RIESGO PREECLAMPSIA,DEFINIR ESTADIO HTA",IF(AND(OR(O20&gt;0,R20&gt;0),AND(CU20&gt;120,CU20&lt;=139)),"PRE HTA SEGUIMIENTO,RIESGO HIPERTENSION INDUCIDA POR EL EMBARAZO",IF(AND(OR(O20&gt;0,R20&gt;0),AND(CV20&gt;80,CV20&lt;=89)),"PRE HTA SEGUIMIENTO, RIESGO HIPERTENSION INDUCIDA POR EL EMBARAZO",IF(AND(OR(O20&lt;&gt;"",R20&lt;&gt;""),CS20&lt;&gt;"",CV20&lt;&gt;"",CS20&lt;=CV20),"VIGILAR CIFRAS PRESION ARTERIAL",IF(AND(OR(O20&gt;0,R20&gt;0),AND(CU20&gt;120,CU20&lt;=139)),"PRE HTA SEGUIMIENTO",IF(AND(OR(O20&gt;0,R20&gt;0),AND(CU20&gt;1,CU20&lt;=70),AND(CV20&gt;1,CV20&lt;=40)),"HIPOTENSIÓN",IF(AND(OR(O20&lt;&gt;"",R20&lt;&gt;""),CS20&lt;&gt;"",CV20&lt;&gt;"",CS20&gt;CV20),"APARENTEMENTE NORMAL",IF(AND(OR(O20&gt;0,R20&gt;0),AND(CU20&gt;=80,CU20&lt;=120)),"APARENTEMENTE NORMAL",IF(AND(OR(O20&gt;0,R20&gt;0),AND(CV20&gt;=50,CV20&lt;=80)),"APARENTEMENTE NORMAL","")))))))))))))</f>
        <v>APARENTEMENTE NORMAL</v>
      </c>
      <c r="CX20" s="21"/>
      <c r="CY20" s="21"/>
      <c r="CZ20" s="216" t="str">
        <f t="shared" si="11"/>
        <v/>
      </c>
      <c r="DA20" s="21"/>
      <c r="DB20" s="21"/>
      <c r="DC20" s="217" t="str">
        <f t="shared" si="12"/>
        <v>REGISTRE DATO PRESIÓN ARTERIAL MENSUAL</v>
      </c>
      <c r="DD20" s="22">
        <v>44833</v>
      </c>
      <c r="DE20" s="22">
        <v>44833</v>
      </c>
      <c r="DF20" s="22">
        <v>44863</v>
      </c>
      <c r="DG20" s="22">
        <v>44894</v>
      </c>
      <c r="DH20" s="22">
        <v>44931</v>
      </c>
      <c r="DI20" s="22">
        <v>44964</v>
      </c>
      <c r="DJ20" s="22">
        <v>44992</v>
      </c>
      <c r="DK20" s="22"/>
      <c r="DL20" s="22"/>
      <c r="DM20" s="22"/>
      <c r="DN20" s="22"/>
      <c r="DO20" s="22"/>
      <c r="DP20" s="22"/>
      <c r="DQ20" s="22"/>
      <c r="DR20" s="28">
        <v>1</v>
      </c>
      <c r="DS20" s="22"/>
      <c r="DT20" s="22"/>
      <c r="DU20" s="216" t="str">
        <f t="shared" ca="1" si="13"/>
        <v>SALE PROGRAMA ANTES SEMANA 35</v>
      </c>
      <c r="DV20" s="226" t="str">
        <f t="shared" si="14"/>
        <v>SALIO PROGRAMA</v>
      </c>
      <c r="DW20"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20" s="216" t="str">
        <f t="shared" ca="1" si="15"/>
        <v/>
      </c>
      <c r="DY20" s="212">
        <f>IF(R20="","",IF(R20&gt;0,MAX(Tabla1[[#This Row],[FECHA C2]:[FECHA C13]],Tabla1[[#This Row],[FECHA CONSULTA PRIMERA VEZ PROGRAMA CPN ]])))</f>
        <v>44992</v>
      </c>
      <c r="DZ20" s="216">
        <f t="shared" si="16"/>
        <v>28</v>
      </c>
      <c r="EA20" s="222">
        <f>IF(R20&gt;0,SUM(COUNTA(DF20:DQ20)+COUNTA(Tabla1[[#This Row],[FECHA CONSULTA PRIMERA VEZ PROGRAMA CPN ]])),"")</f>
        <v>6</v>
      </c>
      <c r="EB20" s="222" t="str">
        <f t="shared" si="17"/>
        <v>SI</v>
      </c>
      <c r="EC20" s="214">
        <f t="shared" si="18"/>
        <v>10</v>
      </c>
      <c r="ED20" s="227">
        <f t="shared" si="19"/>
        <v>0.6</v>
      </c>
      <c r="EE20" s="22">
        <v>44833</v>
      </c>
      <c r="EF20" s="22">
        <v>44833</v>
      </c>
      <c r="EG20" s="22">
        <v>44833</v>
      </c>
      <c r="EH20" s="22"/>
      <c r="EI20" s="22">
        <v>44833</v>
      </c>
      <c r="EJ20" s="22"/>
      <c r="EK20" s="344">
        <v>44956</v>
      </c>
      <c r="EL20" s="21"/>
      <c r="EM20" s="21">
        <v>14.9</v>
      </c>
      <c r="EN20" s="22">
        <v>44834</v>
      </c>
      <c r="EO20" s="222">
        <f t="shared" si="20"/>
        <v>6</v>
      </c>
      <c r="EP20" s="214" t="str">
        <f t="shared" si="21"/>
        <v>NO DAR SULFATO FERROSO</v>
      </c>
      <c r="EQ20" s="216" t="str">
        <f t="shared" si="22"/>
        <v>I TRIM</v>
      </c>
      <c r="ER20" s="24"/>
      <c r="ES20" s="22"/>
      <c r="ET20" s="29" t="str">
        <f t="shared" ca="1" si="23"/>
        <v>SALE SIN TAMIZAJE HEMOGLOBINA SEM 28</v>
      </c>
      <c r="EU20" s="25" t="str">
        <f t="shared" si="24"/>
        <v/>
      </c>
      <c r="EV20" s="24" t="s">
        <v>866</v>
      </c>
      <c r="EW20" s="24">
        <v>44834</v>
      </c>
      <c r="EX20" s="22"/>
      <c r="EY20" s="29">
        <f t="shared" si="25"/>
        <v>6</v>
      </c>
      <c r="EZ20" s="25" t="str">
        <f t="shared" ca="1" si="26"/>
        <v/>
      </c>
      <c r="FA20" s="21">
        <v>70</v>
      </c>
      <c r="FB20" s="22">
        <v>44834</v>
      </c>
      <c r="FC20" s="29">
        <f t="shared" si="27"/>
        <v>6</v>
      </c>
      <c r="FD20" s="29"/>
      <c r="FE20" s="29"/>
      <c r="FF20" s="29"/>
      <c r="FG20" s="21" t="str">
        <f t="shared" ca="1" si="28"/>
        <v/>
      </c>
      <c r="FH20" s="31"/>
      <c r="FI20" s="29" t="str">
        <f t="shared" si="29"/>
        <v>TOMAR EXAMEN</v>
      </c>
      <c r="FJ20" s="22" t="s">
        <v>867</v>
      </c>
      <c r="FK20" s="22">
        <v>44834</v>
      </c>
      <c r="FL20" s="29">
        <f t="shared" ca="1" si="30"/>
        <v>6</v>
      </c>
      <c r="FM20" s="22" t="s">
        <v>867</v>
      </c>
      <c r="FN20" s="32">
        <v>44964</v>
      </c>
      <c r="FO20" s="29">
        <f t="shared" ca="1" si="31"/>
        <v>24.571428571428573</v>
      </c>
      <c r="FP20" s="22"/>
      <c r="FQ20" s="32"/>
      <c r="FR20" s="29" t="str">
        <f t="shared" ca="1" si="32"/>
        <v>PIERDE TOMA DE TAMIZAJE</v>
      </c>
      <c r="FS20" s="22"/>
      <c r="FT20" s="32"/>
      <c r="FU20" s="29" t="str">
        <f>IF(AND(FJ20="",FM20="",FP20="",FS20=""),"",IF(OR(OR(Tabla1[[#This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0" s="28"/>
      <c r="FW20" s="22"/>
      <c r="FX20" s="29" t="str">
        <f t="shared" si="33"/>
        <v>TOMAR EXAMEN</v>
      </c>
      <c r="FY20" s="22">
        <v>44834</v>
      </c>
      <c r="FZ20" s="22">
        <v>44834</v>
      </c>
      <c r="GA20" s="29">
        <f t="shared" ca="1" si="34"/>
        <v>6</v>
      </c>
      <c r="GB20" s="22" t="s">
        <v>868</v>
      </c>
      <c r="GC20" s="22">
        <v>44964</v>
      </c>
      <c r="GD20" s="29">
        <f t="shared" ca="1" si="35"/>
        <v>24.571428571428573</v>
      </c>
      <c r="GE20" s="22"/>
      <c r="GF20" s="22"/>
      <c r="GG20" s="29" t="str">
        <f t="shared" ca="1" si="36"/>
        <v>PIERDE TOMA DE TAMIZAJE</v>
      </c>
      <c r="GH20" s="22"/>
      <c r="GI20" s="29"/>
      <c r="GJ20" s="22"/>
      <c r="GK20" s="22"/>
      <c r="GL20" s="22" t="s">
        <v>879</v>
      </c>
      <c r="GM20" s="22"/>
      <c r="GN20" s="28"/>
      <c r="GO20" s="22">
        <v>44834</v>
      </c>
      <c r="GP20" s="29">
        <f t="shared" si="37"/>
        <v>6</v>
      </c>
      <c r="GQ20" s="28" t="s">
        <v>869</v>
      </c>
      <c r="GR20" s="28" t="s">
        <v>869</v>
      </c>
      <c r="GS20" s="22" t="str">
        <f t="shared" si="38"/>
        <v>CONTROL Igm</v>
      </c>
      <c r="GT20" s="22">
        <v>44834</v>
      </c>
      <c r="GU20" s="29">
        <f t="shared" si="39"/>
        <v>6</v>
      </c>
      <c r="GV20" s="21" t="str">
        <f t="shared" si="40"/>
        <v>I TRIM</v>
      </c>
      <c r="GW20" s="28" t="s">
        <v>869</v>
      </c>
      <c r="GX20" s="30"/>
      <c r="GY20" s="21" t="s">
        <v>846</v>
      </c>
      <c r="GZ20" s="21"/>
      <c r="HA20" s="21"/>
      <c r="HB20" s="21"/>
      <c r="HC20" s="21"/>
      <c r="HD20" s="21"/>
      <c r="HE20" s="21"/>
      <c r="HF20" s="22"/>
      <c r="HG20" s="22" t="str">
        <f>IF(OR(O20&gt;0,R20&gt;0),CONCATENATE(IF(Tabla1[[#This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0" s="22" t="e">
        <f t="shared" si="41"/>
        <v>#REF!</v>
      </c>
      <c r="HI20" s="22" t="e">
        <f t="shared" ca="1" si="42"/>
        <v>#REF!</v>
      </c>
      <c r="HJ20" s="21" t="str">
        <f t="shared" ca="1" si="43"/>
        <v>**********************MULTIPARIDAD*****************</v>
      </c>
      <c r="HK20" s="21" t="str">
        <f t="shared" si="44"/>
        <v>SIN ANTECEDENTES DE RIESGO</v>
      </c>
      <c r="HL20" s="24" t="str">
        <f t="shared" si="45"/>
        <v>REGISTRE DATO PRESIÓN ARTERIAL MENSUAL</v>
      </c>
      <c r="HM20" s="21" t="str">
        <f t="shared" ca="1" si="46"/>
        <v/>
      </c>
      <c r="HN20" s="30" t="str">
        <f t="shared" si="47"/>
        <v>SALIO PROGRAMA</v>
      </c>
      <c r="HO20" s="21"/>
      <c r="HP20" s="21"/>
      <c r="HQ20" s="21"/>
      <c r="HR20" s="21" t="str">
        <f>IF(R20="","",IF(Tabla1[[#This Row],[ALARMA FACTORES DE RIESGO COMPLICACIONES HIPERTENSIVAS3]]="SIN ANTECEDENTES DE RIESGO","No Aplica para suministro de ASA",IF(AND(Tabla1[[#This Row],[FECHA INICIO DE SUMINISTRO DE ASA]]&gt;0,RV20&lt;12),"Inicia ASA ANTES de Sem 12",IF(AND(RV20&gt;11,RV20&lt;17,OR(HK20="RIESGO ALTO DE COMPLICACIONES HIPERTENSIVAS VER MANEJO GUIA SUMINISTRO ASA Y CALCIO",HK20="RIESGO MODERADO (2 O MAS CRITERIOS) VER MANEJO GUIA SUMINISTRO ASA Y CALCIO")),"Inicio oportuno de ASA",IF(AND(RV20&gt;12,OR(HK20="RIESGO ALTO DE COMPLICACIONES HIPERTENSIVAS VER MANEJO GUIA SUMINISTRO ASA Y CALCIO",HK20="RIESGO MODERADO (2 O MAS CRITERIOS) VER MANEJO GUIA SUMINISTRO ASA Y CALCIO")),"Inicio no oportuno mayor a 16 semanas",IF(AND(BU20&lt;12,OR(HK20="RIESGO ALTO DE COMPLICACIONES HIPERTENSIVAS VER MANEJO GUIA SUMINISTRO ASA Y CALCIO",HK20="RIESGO MODERADO (2 O MAS CRITERIOS) VER MANEJO GUIA SUMINISTRO ASA Y CALCIO")),"Pendiente Inicio de ASA a la semana 12",IF(AND(BU20&gt;11,BU20&lt;17,OR(HK20="RIESGO ALTO DE COMPLICACIONES HIPERTENSIVAS VER MANEJO GUIA SUMINISTRO ASA Y CALCIO",HK20="RIESGO MODERADO (2 O MAS CRITERIOS) VER MANEJO GUIA SUMINISTRO ASA Y CALCIO")),"Iniciar de inmediato ASA",IF(AND(BU20&gt;16,OR(HK20="RIESGO ALTO DE COMPLICACIONES HIPERTENSIVAS VER MANEJO GUIA SUMINISTRO ASA Y CALCIO",HK20="RIESGO MODERADO (2 O MAS CRITERIOS) VER MANEJO GUIA SUMINISTRO ASA Y CALCIO")),"Pierde Oportunidad, Inicio tardío de ASA","XXXXX"))))))))</f>
        <v>No Aplica para suministro de ASA</v>
      </c>
      <c r="HS20" s="22"/>
      <c r="HT20" s="22"/>
      <c r="HU20" s="22">
        <v>44834</v>
      </c>
      <c r="HV20" s="22" t="s">
        <v>870</v>
      </c>
      <c r="HW20" s="22">
        <v>44834</v>
      </c>
      <c r="HX20" s="22" t="s">
        <v>870</v>
      </c>
      <c r="HY20" s="22">
        <v>44833</v>
      </c>
      <c r="HZ20" s="28">
        <f t="shared" si="48"/>
        <v>5.8571428571428568</v>
      </c>
      <c r="IA20" s="26"/>
      <c r="IB20" s="26"/>
      <c r="IC20" s="111"/>
      <c r="ID20" s="22"/>
      <c r="IE20" s="22" t="str">
        <f t="shared" ca="1" si="49"/>
        <v>SALE SIN VACUNA</v>
      </c>
      <c r="IF20" s="22"/>
      <c r="IG20" s="22">
        <f t="shared" si="50"/>
        <v>45072</v>
      </c>
      <c r="IH20" s="29">
        <f t="shared" ca="1" si="51"/>
        <v>-160</v>
      </c>
      <c r="II20" s="22" t="str">
        <f t="shared" ca="1" si="52"/>
        <v>POSIBLEMENTE NACIO</v>
      </c>
      <c r="IJ20" s="22"/>
      <c r="IK20" s="21" t="s">
        <v>898</v>
      </c>
      <c r="IL20" s="21"/>
      <c r="IM20" s="34"/>
      <c r="IN20" s="349">
        <v>45034</v>
      </c>
      <c r="IO20" s="21" t="s">
        <v>1186</v>
      </c>
      <c r="IP20" s="29">
        <f t="shared" si="53"/>
        <v>34.571428571428569</v>
      </c>
      <c r="IQ20" s="35" t="s">
        <v>1650</v>
      </c>
      <c r="IR20" s="21" t="s">
        <v>1651</v>
      </c>
      <c r="IS20" s="21" t="s">
        <v>1646</v>
      </c>
      <c r="IT20" s="21" t="s">
        <v>1642</v>
      </c>
      <c r="IU20" s="21"/>
      <c r="IV20" s="21"/>
      <c r="IW20" s="21"/>
      <c r="IX20" s="21"/>
      <c r="IY20" s="21"/>
      <c r="IZ20" s="21"/>
      <c r="JA20" s="21"/>
      <c r="JB20" s="30">
        <v>1</v>
      </c>
      <c r="JC20" s="21" t="s">
        <v>1647</v>
      </c>
      <c r="JD20" s="36">
        <v>2630</v>
      </c>
      <c r="JE20" s="21" t="str">
        <f t="shared" si="54"/>
        <v>ERROR VERIFICAR DATO EDAD GESTACIONAL VS PESO</v>
      </c>
      <c r="JF20" s="30"/>
      <c r="JG20" s="21"/>
      <c r="JH20" s="21"/>
      <c r="JI20" s="21" t="s">
        <v>854</v>
      </c>
      <c r="JJ20" s="30" t="s">
        <v>866</v>
      </c>
      <c r="JK20" s="22"/>
      <c r="JL20" s="22"/>
      <c r="JM20" s="21"/>
      <c r="JN20" s="36"/>
      <c r="JO20" s="21" t="str">
        <f t="shared" si="55"/>
        <v/>
      </c>
      <c r="JP20" s="22"/>
      <c r="JQ20" s="21"/>
      <c r="JR20" s="21"/>
      <c r="JS20" s="21"/>
      <c r="JT20" s="30"/>
      <c r="JU20" s="22"/>
      <c r="JV20" s="22"/>
      <c r="JW20" s="33"/>
      <c r="JX20" s="28" t="str">
        <f t="shared" si="56"/>
        <v>INASISTENTE</v>
      </c>
      <c r="JY20" s="33"/>
      <c r="JZ20" s="28" t="str">
        <f t="shared" si="57"/>
        <v>INASISTENTE</v>
      </c>
      <c r="KA20" s="21"/>
      <c r="KB20" s="21"/>
      <c r="KC20" s="21"/>
      <c r="KD20" s="37"/>
      <c r="KE20" s="28"/>
      <c r="KF20" s="28"/>
      <c r="KG20" s="28"/>
      <c r="KH20" s="39"/>
      <c r="KI20" s="39"/>
      <c r="KJ20" s="66"/>
      <c r="KK20" s="39"/>
      <c r="KL20" s="39"/>
      <c r="KM20" s="66"/>
      <c r="KN20" s="39"/>
      <c r="KO20" s="39"/>
      <c r="KP20" s="39"/>
      <c r="KQ20" s="39"/>
      <c r="KR20" s="39"/>
      <c r="KS20" s="39"/>
      <c r="KT20" s="39"/>
      <c r="KU20" s="38"/>
      <c r="KV20" s="38"/>
      <c r="KW20" s="38"/>
      <c r="KX20" s="38"/>
      <c r="KY20" s="38"/>
      <c r="KZ20" s="38"/>
      <c r="LA20" s="38"/>
      <c r="LB20" s="38"/>
      <c r="LC20" s="38"/>
      <c r="LD20" s="38"/>
      <c r="LE20" s="38"/>
      <c r="LF20" s="38"/>
      <c r="LG20" s="38"/>
      <c r="LH20" s="38"/>
      <c r="LI20" s="38"/>
      <c r="LJ20" s="38"/>
      <c r="LK20" s="38"/>
      <c r="LL20" s="38"/>
      <c r="LM20" s="38"/>
      <c r="LN20" s="38"/>
      <c r="LO20" s="38"/>
      <c r="LP20" s="38"/>
      <c r="LQ20" s="38"/>
      <c r="LR20" s="38"/>
      <c r="LS20" s="38"/>
      <c r="LT20" s="38"/>
      <c r="LU20" s="38"/>
      <c r="LV20" s="38"/>
      <c r="LW20" s="38"/>
      <c r="LX20" s="38"/>
      <c r="LY20" s="38"/>
      <c r="LZ20" s="38"/>
      <c r="MA20" s="38"/>
      <c r="MB20" s="38"/>
      <c r="MC20" s="38"/>
      <c r="MD20" s="38"/>
      <c r="ME20" s="38"/>
      <c r="MF20" s="38"/>
      <c r="MG20" s="38"/>
      <c r="MH20" s="43">
        <f t="shared" si="58"/>
        <v>0</v>
      </c>
      <c r="MI20" s="43" t="str">
        <f t="shared" si="59"/>
        <v/>
      </c>
      <c r="MJ20" s="43" t="str">
        <f t="shared" si="60"/>
        <v/>
      </c>
      <c r="MK20" s="43">
        <f t="shared" si="61"/>
        <v>0</v>
      </c>
      <c r="ML2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0" s="43">
        <f t="shared" si="62"/>
        <v>5.8571428571428568</v>
      </c>
      <c r="MN20" s="43">
        <f t="shared" si="63"/>
        <v>9</v>
      </c>
      <c r="MO20" s="43">
        <f t="shared" si="64"/>
        <v>2022</v>
      </c>
      <c r="MP20" s="43" t="str">
        <f t="shared" si="65"/>
        <v>III TRIMESTRE AÑO</v>
      </c>
      <c r="MQ20" s="43">
        <f t="shared" si="66"/>
        <v>22.612790188348665</v>
      </c>
      <c r="MR20" s="43">
        <f t="shared" si="67"/>
        <v>0</v>
      </c>
      <c r="MS20" s="43" t="str">
        <f t="shared" si="68"/>
        <v xml:space="preserve"> DE 20 A 24 AÑOS</v>
      </c>
      <c r="MT20" s="43" t="str">
        <f t="shared" si="69"/>
        <v/>
      </c>
      <c r="MU20" s="43">
        <f t="shared" si="70"/>
        <v>1</v>
      </c>
      <c r="MV20" s="43">
        <f t="shared" si="71"/>
        <v>0</v>
      </c>
      <c r="MW20" s="43">
        <f t="shared" si="72"/>
        <v>0</v>
      </c>
      <c r="MX20" s="43" t="str">
        <f t="shared" si="73"/>
        <v/>
      </c>
      <c r="MY20" s="43" t="str">
        <f t="shared" ca="1" si="74"/>
        <v/>
      </c>
      <c r="MZ20" s="43" t="str">
        <f t="shared" si="75"/>
        <v/>
      </c>
      <c r="NA20" s="43" t="str">
        <f t="shared" si="76"/>
        <v/>
      </c>
      <c r="NB20" s="43" t="str">
        <f t="shared" si="77"/>
        <v/>
      </c>
      <c r="NC20" s="43" t="str">
        <f t="shared" si="78"/>
        <v/>
      </c>
      <c r="ND20" s="43">
        <f t="shared" ca="1" si="79"/>
        <v>1</v>
      </c>
      <c r="NE20" s="43">
        <f>IF(OR(O20&gt;0,R20&gt;0),SUM(COUNTIF(Tabla1[[#This Row],[AÑOS AL INICIO5 CPN]],"&gt;=40"),COUNTIF(AS20,"0"),COUNTIF(AR20,"SI"),COUNTIF(CC20,"SI"),COUNTIF(BQ20,"&gt;119"),COUNTIF(CI20,"&gt;=35")),"")</f>
        <v>0</v>
      </c>
      <c r="NF20" s="43" t="str">
        <f t="shared" si="80"/>
        <v/>
      </c>
      <c r="NG20" s="43">
        <f t="shared" si="81"/>
        <v>0</v>
      </c>
      <c r="NH20" s="43">
        <f t="shared" si="82"/>
        <v>42</v>
      </c>
      <c r="NI20"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CPN",P20="NO"),"Z",IF(AND(Tabla1[[#This Row],[CITA PROXIMO CONTROL]]="CITA MANUAL",Tabla1[[#This Row],[GESTANTES ACTUALES]]="ACTIVA INGRESO A CPN"),"W",IF(AND(Tabla1[[#This Row],[GESTANTES ACTUALES]]="SALIO PROGRAMA",IN20=""),"S",IF(AND(Tabla1[[#This Row],[CITA PROXIMO CONTROL]]&gt;0,IN20=""),(Tabla1[[#This Row],[CITA PROXIMO CONTROL]]-TODAY()),"SD"))))))))</f>
        <v>SD</v>
      </c>
      <c r="NJ20" s="43">
        <f>MONTH(Tabla1[[#This Row],[FECHA DE SALIDA  DEL PROGRAMA]])</f>
        <v>4</v>
      </c>
      <c r="NK20" s="43">
        <f>YEAR(Tabla1[[#This Row],[FECHA DE SALIDA  DEL PROGRAMA]])</f>
        <v>2023</v>
      </c>
      <c r="NL20" s="43" t="str">
        <f t="shared" si="83"/>
        <v>X</v>
      </c>
      <c r="NM20" s="43" t="str">
        <f t="shared" si="84"/>
        <v>NO</v>
      </c>
      <c r="NN20" s="43" t="str">
        <f ca="1">IF(AND(O20&gt;0,R20=""),"NO CPN",IF(AND(O20="",R20=""),"",IF(AND(R20&gt;0,Tabla1[[#This Row],[SEMANAS DE GESTACION ACTUALIZADAS]]&lt;=12),"NO APLICA",IF(AND(FH20&lt;&gt;"",FN20&lt;&gt;""),"SI","NO"))))</f>
        <v>NO</v>
      </c>
      <c r="NO20" s="43" t="str">
        <f ca="1">IF(AND(O20&gt;0,R20=""),"NO CPN",IF(AND(O20="",R20=""),"",IF(AND(R20&gt;0,Tabla1[[#This Row],[SEMANAS DE GESTACION ACTUALIZADAS]]&lt;=27),"NO APLICA",IF(AND(ES20&lt;&gt;"",FQ20&lt;&gt;"",GF20&lt;&gt;""),"SI","NO"))))</f>
        <v>NO</v>
      </c>
      <c r="NP20" s="204" t="str">
        <f t="shared" si="85"/>
        <v>I TRIM</v>
      </c>
      <c r="NQ20" s="21">
        <f t="shared" si="86"/>
        <v>10</v>
      </c>
      <c r="NR20" s="21">
        <f t="shared" si="87"/>
        <v>3</v>
      </c>
      <c r="NS20" s="205">
        <f t="shared" ca="1" si="88"/>
        <v>2</v>
      </c>
      <c r="NT20" s="21">
        <f t="shared" ca="1" si="89"/>
        <v>2</v>
      </c>
      <c r="NU20" s="21" t="str">
        <f t="shared" ca="1" si="90"/>
        <v>INCOMPLETO</v>
      </c>
      <c r="NV20" s="21" t="str">
        <f t="shared" ca="1" si="91"/>
        <v>INCOMPLETO</v>
      </c>
      <c r="NW20" s="206" t="str">
        <f>IF(AND(O20="",R20=""),"",IF(OR(AND(Tabla1[[#This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0" s="207" t="str">
        <f t="shared" ca="1" si="92"/>
        <v>SIN VACUNAR</v>
      </c>
      <c r="NY20" s="43">
        <f>ROW(Tabla1[[#This Row],['# DE TAMIZAJES SIFILIS TOMADOS ]])</f>
        <v>20</v>
      </c>
      <c r="NZ20" s="43" t="str">
        <f t="shared" si="93"/>
        <v>Menor</v>
      </c>
      <c r="OA20" s="43" t="str">
        <f t="shared" si="94"/>
        <v>NORMAL</v>
      </c>
      <c r="OB20" s="43" t="str">
        <f t="shared" si="95"/>
        <v/>
      </c>
      <c r="OC20" s="43" t="str">
        <f t="shared" si="96"/>
        <v/>
      </c>
      <c r="OD20" s="43" t="str">
        <f t="shared" si="97"/>
        <v/>
      </c>
      <c r="OE20" s="43" t="str">
        <f t="shared" si="98"/>
        <v/>
      </c>
      <c r="OF20" s="43" t="str">
        <f t="shared" si="99"/>
        <v/>
      </c>
      <c r="OG20" s="43" t="str">
        <f t="shared" si="100"/>
        <v/>
      </c>
      <c r="OH20" s="43" t="str">
        <f t="shared" si="101"/>
        <v/>
      </c>
      <c r="OI20" s="43" t="str">
        <f t="shared" si="102"/>
        <v/>
      </c>
      <c r="OJ20" s="43" t="str">
        <f t="shared" si="103"/>
        <v/>
      </c>
      <c r="OK20" s="43" t="str">
        <f t="shared" si="104"/>
        <v/>
      </c>
      <c r="OL20" s="43" t="str">
        <f t="shared" si="105"/>
        <v/>
      </c>
      <c r="OM20" s="43" t="str">
        <f t="shared" si="106"/>
        <v/>
      </c>
      <c r="ON20" s="43" t="str">
        <f t="shared" si="107"/>
        <v/>
      </c>
      <c r="OO20" s="43" t="str">
        <f t="shared" si="108"/>
        <v/>
      </c>
      <c r="OP20" s="43" t="str">
        <f t="shared" si="109"/>
        <v/>
      </c>
      <c r="OQ20" s="43" t="str">
        <f t="shared" si="110"/>
        <v/>
      </c>
      <c r="OR20" s="43" t="str">
        <f t="shared" si="111"/>
        <v/>
      </c>
      <c r="OS20" s="43" t="str">
        <f t="shared" si="112"/>
        <v/>
      </c>
      <c r="OT20" s="43" t="str">
        <f t="shared" si="113"/>
        <v/>
      </c>
      <c r="OU20" s="43" t="str">
        <f t="shared" si="114"/>
        <v/>
      </c>
      <c r="OV20" s="110" t="str">
        <f t="shared" si="115"/>
        <v/>
      </c>
      <c r="OW20" s="43" t="str">
        <f t="shared" si="116"/>
        <v/>
      </c>
      <c r="OX20" s="43" t="str">
        <f t="shared" si="117"/>
        <v/>
      </c>
      <c r="OY20" s="43" t="str">
        <f t="shared" si="118"/>
        <v/>
      </c>
      <c r="OZ20" s="43" t="str">
        <f t="shared" si="119"/>
        <v/>
      </c>
      <c r="PA20" s="43" t="str">
        <f t="shared" si="120"/>
        <v/>
      </c>
      <c r="PB20" s="43" t="str">
        <f t="shared" si="121"/>
        <v/>
      </c>
      <c r="PC20" s="43" t="str">
        <f t="shared" si="122"/>
        <v/>
      </c>
      <c r="PD20" s="43" t="str">
        <f t="shared" si="123"/>
        <v/>
      </c>
      <c r="PE20" s="43" t="str">
        <f t="shared" si="124"/>
        <v/>
      </c>
      <c r="PF20" s="43" t="str">
        <f t="shared" si="125"/>
        <v/>
      </c>
      <c r="PG20" s="43" t="str">
        <f t="shared" si="126"/>
        <v/>
      </c>
      <c r="PH20" s="43" t="str">
        <f t="shared" si="127"/>
        <v/>
      </c>
      <c r="PI20" s="43">
        <f t="shared" si="128"/>
        <v>28</v>
      </c>
      <c r="PJ20" s="43" t="str">
        <f t="shared" si="129"/>
        <v/>
      </c>
      <c r="PK20" s="43" t="str">
        <f t="shared" si="130"/>
        <v/>
      </c>
      <c r="PL20" s="43" t="str">
        <f t="shared" si="131"/>
        <v/>
      </c>
      <c r="PM20" s="43" t="str">
        <f t="shared" si="132"/>
        <v/>
      </c>
      <c r="PN20" s="43" t="str">
        <f t="shared" si="133"/>
        <v/>
      </c>
      <c r="PO20" s="43" t="str">
        <f t="shared" si="134"/>
        <v/>
      </c>
      <c r="PP20" s="43" t="str">
        <f t="shared" si="135"/>
        <v/>
      </c>
      <c r="PQ20" s="43" t="str">
        <f t="shared" si="136"/>
        <v/>
      </c>
      <c r="PR20" s="43" t="str">
        <f t="shared" si="137"/>
        <v/>
      </c>
      <c r="PS20" s="43" t="str">
        <f t="shared" si="138"/>
        <v/>
      </c>
      <c r="PT20" s="43" t="str">
        <f t="shared" si="139"/>
        <v/>
      </c>
      <c r="PU20" s="43" t="str">
        <f t="shared" si="140"/>
        <v/>
      </c>
      <c r="PV20" s="43" t="str">
        <f t="shared" si="141"/>
        <v/>
      </c>
      <c r="PW20" s="43" t="str">
        <f t="shared" si="142"/>
        <v/>
      </c>
      <c r="PX20" s="43" t="str">
        <f t="shared" si="143"/>
        <v/>
      </c>
      <c r="PY20" s="43" t="str">
        <f t="shared" si="144"/>
        <v/>
      </c>
      <c r="PZ20" s="43" t="str">
        <f t="shared" si="145"/>
        <v/>
      </c>
      <c r="QA20" s="43" t="str">
        <f t="shared" si="146"/>
        <v/>
      </c>
      <c r="QB20" s="43" t="str">
        <f t="shared" si="147"/>
        <v/>
      </c>
      <c r="QC20" s="43" t="str">
        <f t="shared" si="148"/>
        <v/>
      </c>
      <c r="QD20" s="43" t="str">
        <f t="shared" si="149"/>
        <v/>
      </c>
      <c r="QE20" s="43" t="str">
        <f t="shared" si="150"/>
        <v/>
      </c>
      <c r="QF20" s="43" t="str">
        <f t="shared" si="151"/>
        <v/>
      </c>
      <c r="QG20" s="43" t="str">
        <f t="shared" si="152"/>
        <v/>
      </c>
      <c r="QH20" s="43" t="str">
        <f t="shared" si="153"/>
        <v/>
      </c>
      <c r="QI20" s="43" t="str">
        <f t="shared" si="154"/>
        <v/>
      </c>
      <c r="QJ20" s="43" t="str">
        <f t="shared" si="155"/>
        <v/>
      </c>
      <c r="QK20" s="43" t="str">
        <f t="shared" si="156"/>
        <v/>
      </c>
      <c r="QL20" s="43" t="str">
        <f t="shared" si="157"/>
        <v/>
      </c>
      <c r="QM20" s="43" t="str">
        <f t="shared" si="158"/>
        <v/>
      </c>
      <c r="QN20" s="43" t="str">
        <f t="shared" si="159"/>
        <v/>
      </c>
      <c r="QO20" s="43" t="str">
        <f t="shared" si="160"/>
        <v/>
      </c>
      <c r="QP20" s="43" t="str">
        <f t="shared" si="161"/>
        <v/>
      </c>
      <c r="QQ20" s="43" t="str">
        <f t="shared" si="162"/>
        <v/>
      </c>
      <c r="QR20" s="43">
        <f t="shared" si="192"/>
        <v>28</v>
      </c>
      <c r="QS20" s="43"/>
      <c r="QT20" s="21" t="str">
        <f t="shared" si="163"/>
        <v/>
      </c>
      <c r="QU20" s="21" t="str">
        <f t="shared" si="164"/>
        <v/>
      </c>
      <c r="QV20" s="21" t="str">
        <f t="shared" si="165"/>
        <v/>
      </c>
      <c r="QW20" s="21" t="str">
        <f t="shared" si="166"/>
        <v/>
      </c>
      <c r="QX20" s="21" t="str">
        <f t="shared" si="167"/>
        <v/>
      </c>
      <c r="QY20" s="21" t="str">
        <f t="shared" si="168"/>
        <v/>
      </c>
      <c r="QZ20" s="21" t="str">
        <f t="shared" si="169"/>
        <v/>
      </c>
      <c r="RA20" s="21" t="str">
        <f t="shared" si="170"/>
        <v/>
      </c>
      <c r="RB20" s="21" t="str">
        <f t="shared" si="171"/>
        <v/>
      </c>
      <c r="RC20" s="21" t="str">
        <f t="shared" si="172"/>
        <v/>
      </c>
      <c r="RD20" s="21" t="str">
        <f t="shared" si="173"/>
        <v/>
      </c>
      <c r="RE20" s="21" t="str">
        <f t="shared" si="174"/>
        <v/>
      </c>
      <c r="RF20" s="21" t="str">
        <f t="shared" si="175"/>
        <v/>
      </c>
      <c r="RG20" s="21" t="str">
        <f t="shared" si="176"/>
        <v/>
      </c>
      <c r="RH20" s="21" t="str">
        <f t="shared" si="177"/>
        <v/>
      </c>
      <c r="RI20" s="21" t="str">
        <f t="shared" si="178"/>
        <v/>
      </c>
      <c r="RJ20" s="21" t="str">
        <f t="shared" si="179"/>
        <v/>
      </c>
      <c r="RK20" s="21" t="str">
        <f t="shared" si="180"/>
        <v/>
      </c>
      <c r="RL20" s="21" t="str">
        <f t="shared" si="181"/>
        <v/>
      </c>
      <c r="RM20" s="21" t="str">
        <f t="shared" si="182"/>
        <v/>
      </c>
      <c r="RN20" s="21" t="str">
        <f t="shared" si="183"/>
        <v/>
      </c>
      <c r="RO20" s="21" t="str">
        <f t="shared" si="184"/>
        <v/>
      </c>
      <c r="RP20" s="21" t="str">
        <f t="shared" si="185"/>
        <v/>
      </c>
      <c r="RQ20" s="21" t="str">
        <f t="shared" si="186"/>
        <v/>
      </c>
      <c r="RR20" s="21" t="str">
        <f t="shared" si="187"/>
        <v/>
      </c>
      <c r="RS20" s="21" t="str">
        <f t="shared" si="188"/>
        <v/>
      </c>
      <c r="RT20" s="21" t="str">
        <f t="shared" si="189"/>
        <v/>
      </c>
      <c r="RU20" s="21" t="str">
        <f t="shared" si="190"/>
        <v/>
      </c>
      <c r="RV20" s="21">
        <f t="shared" si="191"/>
        <v>-1</v>
      </c>
      <c r="RW20" s="284">
        <f>IF(OR(Tabla1[[#This Row],[FUM FORMULA CONFIABLE]]="",Tabla1[[#This Row],[FUM FORMULA CONFIABLE]]="SD"),"",IF(Tabla1[[#This Row],[FUM FORMULA CONFIABLE]]="CORREGIDA",Tabla1[[#This Row],[FUM X ECO 1]],Tabla1[[#This Row],[FUM x AMENORREA]]))</f>
        <v>44792</v>
      </c>
      <c r="RX20" s="21">
        <f>IF(AND(Tabla1[[#This Row],[FUM X ECO 1]]="",Tabla1[[#This Row],[FUM x AMENORREA]]=""),"",IF(AND(Tabla1[[#This Row],[FUM X ECO 1]]="",Tabla1[[#This Row],[FUM x AMENORREA]]&lt;&gt;""),"X",SUM(Tabla1[[#This Row],[FUM X ECO 1]]-Tabla1[[#This Row],[FUM x AMENORREA]])))</f>
        <v>0</v>
      </c>
      <c r="RY20" s="21">
        <f t="shared" si="193"/>
        <v>0</v>
      </c>
    </row>
    <row r="21" spans="1:493" ht="45" customHeight="1" x14ac:dyDescent="0.25">
      <c r="A21" s="109"/>
      <c r="B21" s="43" t="s">
        <v>973</v>
      </c>
      <c r="C21" s="43" t="s">
        <v>845</v>
      </c>
      <c r="D21" s="124" t="s">
        <v>846</v>
      </c>
      <c r="E21" s="43" t="s">
        <v>937</v>
      </c>
      <c r="F21" s="43" t="s">
        <v>974</v>
      </c>
      <c r="G21" s="43" t="s">
        <v>975</v>
      </c>
      <c r="H21" s="43" t="s">
        <v>976</v>
      </c>
      <c r="I21" s="109" t="s">
        <v>851</v>
      </c>
      <c r="J21" s="110">
        <v>1067464106</v>
      </c>
      <c r="K21" s="43" t="s">
        <v>852</v>
      </c>
      <c r="L21" s="175" t="s">
        <v>853</v>
      </c>
      <c r="M21" s="22">
        <v>39341</v>
      </c>
      <c r="N21" s="213">
        <f t="shared" ca="1" si="0"/>
        <v>16.139726027397259</v>
      </c>
      <c r="O21" s="22">
        <v>44833</v>
      </c>
      <c r="P21" s="214" t="str">
        <f t="shared" si="1"/>
        <v>SI</v>
      </c>
      <c r="Q21" s="26" t="s">
        <v>855</v>
      </c>
      <c r="R21" s="22">
        <v>44833</v>
      </c>
      <c r="S21" s="21" t="s">
        <v>856</v>
      </c>
      <c r="T21" s="24" t="s">
        <v>690</v>
      </c>
      <c r="U21" s="21" t="s">
        <v>857</v>
      </c>
      <c r="V21" s="21" t="s">
        <v>858</v>
      </c>
      <c r="W21" s="21" t="s">
        <v>977</v>
      </c>
      <c r="X21" s="21" t="s">
        <v>978</v>
      </c>
      <c r="Y21" s="21" t="s">
        <v>859</v>
      </c>
      <c r="Z21" s="21">
        <v>3146767094</v>
      </c>
      <c r="AA21" s="21" t="s">
        <v>860</v>
      </c>
      <c r="AB21" s="27" t="s">
        <v>861</v>
      </c>
      <c r="AC21" s="26" t="s">
        <v>862</v>
      </c>
      <c r="AD21" s="38" t="s">
        <v>846</v>
      </c>
      <c r="AE21" s="26" t="s">
        <v>854</v>
      </c>
      <c r="AF21" s="26" t="s">
        <v>854</v>
      </c>
      <c r="AG21" s="23" t="s">
        <v>864</v>
      </c>
      <c r="AH21" s="23" t="s">
        <v>864</v>
      </c>
      <c r="AI21" s="24" t="s">
        <v>863</v>
      </c>
      <c r="AJ21" s="23" t="s">
        <v>864</v>
      </c>
      <c r="AK21" s="220" t="str">
        <f>IF(AND(AD21="",AE21="",AF21="",AG21="",AH21="",AI21="",AJ21=""),"",IF(OR(Tabla1[[#This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EVALUACIÓN",IF(AND(O21="",R21=""),"",IF(AND(OR(O21&gt;0,R21&gt;0),NG21&gt;=0,NG21&lt;2),"SIN RIESGO",IF(AND(OR(O21&gt;0,R21&gt;0),NG21&gt;=2),"CON RIESGO","ASD")))))</f>
        <v>SIN RIESGO</v>
      </c>
      <c r="AL21" s="23" t="s">
        <v>864</v>
      </c>
      <c r="AM21" s="26" t="s">
        <v>864</v>
      </c>
      <c r="AN21" s="26" t="s">
        <v>864</v>
      </c>
      <c r="AO21" s="26" t="s">
        <v>864</v>
      </c>
      <c r="AP21" s="26" t="s">
        <v>864</v>
      </c>
      <c r="AQ21" s="26" t="s">
        <v>864</v>
      </c>
      <c r="AR21" s="26" t="s">
        <v>864</v>
      </c>
      <c r="AS21" s="21">
        <v>1</v>
      </c>
      <c r="AT21" s="21">
        <v>0</v>
      </c>
      <c r="AU21" s="21">
        <v>0</v>
      </c>
      <c r="AV21" s="26" t="s">
        <v>864</v>
      </c>
      <c r="AW21" s="21">
        <v>0</v>
      </c>
      <c r="AX21" s="26" t="s">
        <v>864</v>
      </c>
      <c r="AY21" s="26" t="s">
        <v>864</v>
      </c>
      <c r="AZ21" s="26" t="s">
        <v>864</v>
      </c>
      <c r="BA21" s="26" t="s">
        <v>864</v>
      </c>
      <c r="BB21" s="26" t="s">
        <v>864</v>
      </c>
      <c r="BC21" s="26" t="s">
        <v>864</v>
      </c>
      <c r="BD21" s="26" t="s">
        <v>864</v>
      </c>
      <c r="BE21" s="26" t="s">
        <v>864</v>
      </c>
      <c r="BF21" s="26" t="s">
        <v>864</v>
      </c>
      <c r="BG21" s="26" t="s">
        <v>864</v>
      </c>
      <c r="BH21" s="26" t="s">
        <v>864</v>
      </c>
      <c r="BI21" s="26" t="s">
        <v>864</v>
      </c>
      <c r="BJ21" s="26"/>
      <c r="BK21" s="26"/>
      <c r="BL21" s="26" t="s">
        <v>864</v>
      </c>
      <c r="BM21" s="26" t="s">
        <v>864</v>
      </c>
      <c r="BN21" s="22"/>
      <c r="BO21" s="22">
        <v>44728</v>
      </c>
      <c r="BP21" s="21" t="s">
        <v>864</v>
      </c>
      <c r="BQ21" s="222">
        <f t="shared" si="2"/>
        <v>0</v>
      </c>
      <c r="BR21" s="223" t="str">
        <f t="shared" si="3"/>
        <v/>
      </c>
      <c r="BS21" s="224">
        <f t="shared" si="4"/>
        <v>15</v>
      </c>
      <c r="BT21" s="216" t="str">
        <f t="shared" si="5"/>
        <v>DEFINIR CON ECO</v>
      </c>
      <c r="BU21" s="214" t="str">
        <f t="shared" ca="1" si="6"/>
        <v/>
      </c>
      <c r="BV21" s="25"/>
      <c r="BW21" s="22"/>
      <c r="BX21" s="28"/>
      <c r="BY21" s="28"/>
      <c r="BZ21" s="22"/>
      <c r="CA21" s="21"/>
      <c r="CB21" s="26"/>
      <c r="CC21" s="26"/>
      <c r="CD21" s="26"/>
      <c r="CE21" s="26"/>
      <c r="CF21" s="22" t="s">
        <v>1517</v>
      </c>
      <c r="CG21" s="21">
        <v>1.45</v>
      </c>
      <c r="CH21" s="21">
        <v>48.9</v>
      </c>
      <c r="CI21" s="214">
        <f t="shared" si="7"/>
        <v>23.258026159334126</v>
      </c>
      <c r="CJ21" s="225" t="e">
        <f>IF(AND(CI21&lt;10,CH21="SD"),"SIN DATO PESO PREGESTACION O I TRIM",IF(AND(OR(R21&gt;0,O21&gt;0),CI21="X"),"INGRESAR DATO DE PESO",IF(CI21="SD","INGRESAR DATO DE TALLA Y PESO",IF(AND(OR(Tabla1[[#This Row],[MOMENTO EN QUE SE REALIZA EL PESO AL INGRESO A CPN]]="PREGESTACIÓN",NZ21="Menor"),CI21&lt;18.5),"BAJO PESO",IF(AND(OR(Tabla1[[#This Row],[MOMENTO EN QUE SE REALIZA EL PESO AL INGRESO A CPN]]="PREGESTACIÓN",NZ21="Menor"),CI21&lt;25),"NORMAL",IF(AND(OR(Tabla1[[#This Row],[MOMENTO EN QUE SE REALIZA EL PESO AL INGRESO A CPN]]="PREGESTACIÓN",NZ21="Menor"),CI21&lt;30),"SOBREPESO",IF(AND(OR(Tabla1[[#This Row],[MOMENTO EN QUE SE REALIZA EL PESO AL INGRESO A CPN]]="PREGESTACIÓN",NZ21="Menor"),CI21&gt;=30,CI21&lt;50),"OBESIDAD",IF(AND(BS21&gt;0,Tabla1[[#This Row],[MOMENTO EN QUE SE REALIZA EL PESO AL INGRESO A CPN]]="GESTACIÓN"),HLOOKUP(NZ21,$OA$2:PH21,NY21),""))))))))</f>
        <v>#REF!</v>
      </c>
      <c r="CK21" s="212">
        <f t="shared" si="8"/>
        <v>44833</v>
      </c>
      <c r="CL21" s="21"/>
      <c r="CM21" s="214">
        <f t="shared" si="9"/>
        <v>0</v>
      </c>
      <c r="CN21" s="216">
        <f t="shared" si="10"/>
        <v>15</v>
      </c>
      <c r="CO21" s="216" t="e">
        <f>IF(PI21="","",IF(PI21&gt;0,HLOOKUP(PI21,$PJ$2:QQ21,NY21),""))</f>
        <v>#REF!</v>
      </c>
      <c r="CP21" s="21"/>
      <c r="CQ21" s="216" t="e">
        <f>IF(QR21="Menor","NO APLICA-MENOR 13 SEM",IF(AND(CC21="SI",CN21&gt;23),"NO APLICA- GEMELAR",IF(QR21="","",IF(QR21&gt;0,HLOOKUP(QR21,$QS$2:RU21,NY21),""))))</f>
        <v>#REF!</v>
      </c>
      <c r="CR21" s="21">
        <v>90</v>
      </c>
      <c r="CS21" s="21">
        <v>60</v>
      </c>
      <c r="CT21" s="217" t="str">
        <f>IF(R21="","",IF(AND(BS21&gt;1,BS21&lt;12,Tabla1[[#This Row],[T.A. SISTOLICA - ANTES DE SEMANA 12]]="",Tabla1[[#This Row],[T.A. DIASTOLICA - ANTES DE SEMANA 12]]=""),"REGISTRE DATO TA ANTES SEMANA 12",IF(AND(BS21&gt;11,BS21&lt;43,Tabla1[[#This Row],[T.A. SISTOLICA - ANTES DE SEMANA 12]]="",Tabla1[[#This Row],[T.A. DIASTOLICA - ANTES DE SEMANA 12]]=""),"NO APLICA REGISTRO TA-INGRESO TARDIO",IF(AND(OR(O21&gt;0,R21&gt;0),OR(CR21&gt;=140,CS21&gt;=90)),"DEFINIR ESTADIO HTA",IF(AND(OR(O21&gt;0,R21&gt;0),AND(CR21&gt;120,CR21&lt;=139)),"PRE HTA SEGUIMIENTO",IF(AND(OR(O21&gt;0,R21&gt;0),AND(CS21&gt;80,CS21&lt;=89)),"PRE HTA SEGUIMIENTO",IF(AND(OR(O21&gt;0,R21&gt;0),AND(CR21&gt;=80,CR21&lt;=120)),"APARENTEMENTE NORMAL",IF(AND(OR(O21&gt;0,R21&gt;0),AND(CS21&gt;=50,CS21&lt;=80)),"APARENTEMENTE NORMAL",IF(AND(OR(O21&gt;0,R21&gt;0),AND(CR21&gt;1,CR21&lt;=70),AND(CS21&gt;1,CS21&lt;=40)),"HIPOTENSIÓN","")))))))))</f>
        <v>APARENTEMENTE NORMAL</v>
      </c>
      <c r="CU21" s="21"/>
      <c r="CV21" s="21"/>
      <c r="CW21" s="217" t="str">
        <f ca="1">IF(R21="","",IF(AND(CN21&gt;19,CN21&lt;27,Tabla1[[#This Row],[T.A. SISTOLICA (Entre semana 20 y 26)]]="",Tabla1[[#This Row],[T.A. DIATOLICA (Entre semana 20 y 26)]]=""),"ACUDE A CONTROL SEM 20 A 26 REGISTRE TA AHORA",IF(AND(BS21&gt;1,BS21&lt;27,BU21&gt;19,Tabla1[[#This Row],[T.A. SISTOLICA (Entre semana 20 y 26)]]="",Tabla1[[#This Row],[T.A. DIATOLICA (Entre semana 20 y 26)]]=""),"COMPLETE REGISTRO TA CONTROL SEM 20 A26 ",IF(AND(BS21&gt;26,BS21&lt;43,Tabla1[[#This Row],[T.A. SISTOLICA (Entre semana 20 y 26)]]="",Tabla1[[#This Row],[T.A. DIATOLICA (Entre semana 20 y 26)]]=""),"NO APLICA REGISTRO TA-INGRESO TARDIO",IF(AND(OR(O21&gt;0,R21&gt;0),OR(CU21&gt;=140,CV21&gt;=90)),"ALTO RIESGO PREECLAMPSIA,DEFINIR ESTADIO HTA",IF(AND(OR(O21&gt;0,R21&gt;0),AND(CU21&gt;120,CU21&lt;=139)),"PRE HTA SEGUIMIENTO,RIESGO HIPERTENSION INDUCIDA POR EL EMBARAZO",IF(AND(OR(O21&gt;0,R21&gt;0),AND(CV21&gt;80,CV21&lt;=89)),"PRE HTA SEGUIMIENTO, RIESGO HIPERTENSION INDUCIDA POR EL EMBARAZO",IF(AND(OR(O21&lt;&gt;"",R21&lt;&gt;""),CS21&lt;&gt;"",CV21&lt;&gt;"",CS21&lt;=CV21),"VIGILAR CIFRAS PRESION ARTERIAL",IF(AND(OR(O21&gt;0,R21&gt;0),AND(CU21&gt;120,CU21&lt;=139)),"PRE HTA SEGUIMIENTO",IF(AND(OR(O21&gt;0,R21&gt;0),AND(CU21&gt;1,CU21&lt;=70),AND(CV21&gt;1,CV21&lt;=40)),"HIPOTENSIÓN",IF(AND(OR(O21&lt;&gt;"",R21&lt;&gt;""),CS21&lt;&gt;"",CV21&lt;&gt;"",CS21&gt;CV21),"APARENTEMENTE NORMAL",IF(AND(OR(O21&gt;0,R21&gt;0),AND(CU21&gt;=80,CU21&lt;=120)),"APARENTEMENTE NORMAL",IF(AND(OR(O21&gt;0,R21&gt;0),AND(CV21&gt;=50,CV21&lt;=80)),"APARENTEMENTE NORMAL","")))))))))))))</f>
        <v xml:space="preserve">COMPLETE REGISTRO TA CONTROL SEM 20 A26 </v>
      </c>
      <c r="CX21" s="21"/>
      <c r="CY21" s="21"/>
      <c r="CZ21" s="216" t="str">
        <f t="shared" si="11"/>
        <v/>
      </c>
      <c r="DA21" s="21"/>
      <c r="DB21" s="21"/>
      <c r="DC21" s="217" t="str">
        <f t="shared" si="12"/>
        <v>REGISTRE DATO PRESIÓN ARTERIAL MENSUAL</v>
      </c>
      <c r="DD21" s="22">
        <v>44833</v>
      </c>
      <c r="DE21" s="22">
        <v>44833</v>
      </c>
      <c r="DF21" s="22"/>
      <c r="DG21" s="22"/>
      <c r="DH21" s="22"/>
      <c r="DI21" s="22"/>
      <c r="DJ21" s="22"/>
      <c r="DK21" s="22"/>
      <c r="DL21" s="22"/>
      <c r="DM21" s="22"/>
      <c r="DN21" s="22"/>
      <c r="DO21" s="22"/>
      <c r="DP21" s="22"/>
      <c r="DQ21" s="22"/>
      <c r="DR21" s="28"/>
      <c r="DS21" s="22"/>
      <c r="DT21" s="22"/>
      <c r="DU21" s="216" t="str">
        <f t="shared" ca="1" si="13"/>
        <v>SALE PROGRAMA ANTES SEMANA 35</v>
      </c>
      <c r="DV21" s="226" t="str">
        <f t="shared" si="14"/>
        <v>SALIO PROGRAMA</v>
      </c>
      <c r="DW21"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21" s="216" t="str">
        <f t="shared" ca="1" si="15"/>
        <v/>
      </c>
      <c r="DY21" s="212">
        <f>IF(R21="","",IF(R21&gt;0,MAX(Tabla1[[#This Row],[FECHA C2]:[FECHA C13]],Tabla1[[#This Row],[FECHA CONSULTA PRIMERA VEZ PROGRAMA CPN ]])))</f>
        <v>44833</v>
      </c>
      <c r="DZ21" s="216">
        <f t="shared" si="16"/>
        <v>15</v>
      </c>
      <c r="EA21" s="222">
        <f>IF(R21&gt;0,SUM(COUNTA(DF21:DQ21)+COUNTA(Tabla1[[#This Row],[FECHA CONSULTA PRIMERA VEZ PROGRAMA CPN ]])),"")</f>
        <v>1</v>
      </c>
      <c r="EB21" s="222" t="str">
        <f t="shared" si="17"/>
        <v>NO</v>
      </c>
      <c r="EC21" s="214">
        <f t="shared" si="18"/>
        <v>8</v>
      </c>
      <c r="ED21" s="227">
        <f t="shared" si="19"/>
        <v>0.125</v>
      </c>
      <c r="EE21" s="22">
        <v>44833</v>
      </c>
      <c r="EF21" s="22">
        <v>44833</v>
      </c>
      <c r="EG21" s="22">
        <v>44833</v>
      </c>
      <c r="EH21" s="22"/>
      <c r="EI21" s="22">
        <v>44833</v>
      </c>
      <c r="EJ21" s="22"/>
      <c r="EK21" s="22"/>
      <c r="EL21" s="21"/>
      <c r="EM21" s="21"/>
      <c r="EN21" s="22"/>
      <c r="EO21" s="222" t="str">
        <f t="shared" si="20"/>
        <v>TOMAR EXAMEN</v>
      </c>
      <c r="EP21" s="214" t="str">
        <f t="shared" si="21"/>
        <v/>
      </c>
      <c r="EQ21" s="216" t="str">
        <f t="shared" si="22"/>
        <v>POR DEFINIR</v>
      </c>
      <c r="ER21" s="24"/>
      <c r="ES21" s="22"/>
      <c r="ET21" s="29" t="str">
        <f t="shared" ca="1" si="23"/>
        <v>SALE SIN TAMIZAJE HEMOGLOBINA SEM 28</v>
      </c>
      <c r="EU21" s="25" t="str">
        <f t="shared" si="24"/>
        <v/>
      </c>
      <c r="EV21" s="24"/>
      <c r="EW21" s="24"/>
      <c r="EX21" s="22"/>
      <c r="EY21" s="29" t="str">
        <f t="shared" si="25"/>
        <v>TOMAR EXAMEN</v>
      </c>
      <c r="EZ21" s="25" t="str">
        <f t="shared" ca="1" si="26"/>
        <v/>
      </c>
      <c r="FA21" s="21"/>
      <c r="FB21" s="22"/>
      <c r="FC21" s="29" t="str">
        <f t="shared" si="27"/>
        <v>TOMAR EXAMEN</v>
      </c>
      <c r="FD21" s="29"/>
      <c r="FE21" s="29"/>
      <c r="FF21" s="29"/>
      <c r="FG21" s="21" t="str">
        <f t="shared" ca="1" si="28"/>
        <v/>
      </c>
      <c r="FH21" s="31"/>
      <c r="FI21" s="29" t="str">
        <f t="shared" si="29"/>
        <v>TOMAR EXAMEN</v>
      </c>
      <c r="FJ21" s="22"/>
      <c r="FK21" s="22"/>
      <c r="FL21" s="29" t="str">
        <f t="shared" ca="1" si="30"/>
        <v>NO APLICA-INGRESO TARDIO</v>
      </c>
      <c r="FM21" s="22"/>
      <c r="FN21" s="32"/>
      <c r="FO21" s="29" t="str">
        <f t="shared" ca="1" si="31"/>
        <v>PIERDE TOMA DE TAMIZAJE</v>
      </c>
      <c r="FP21" s="22"/>
      <c r="FQ21" s="32"/>
      <c r="FR21" s="29" t="str">
        <f t="shared" ca="1" si="32"/>
        <v>PIERDE TOMA DE TAMIZAJE</v>
      </c>
      <c r="FS21" s="22"/>
      <c r="FT21" s="32"/>
      <c r="FU21" s="29" t="str">
        <f>IF(AND(FJ21="",FM21="",FP21="",FS21=""),"",IF(OR(OR(Tabla1[[#This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1" s="28"/>
      <c r="FW21" s="22"/>
      <c r="FX21" s="29" t="str">
        <f t="shared" si="33"/>
        <v>TOMAR EXAMEN</v>
      </c>
      <c r="FY21" s="22"/>
      <c r="FZ21" s="22"/>
      <c r="GA21" s="29" t="str">
        <f t="shared" ca="1" si="34"/>
        <v>NO APLICA-INGRESO TARDIO</v>
      </c>
      <c r="GB21" s="22"/>
      <c r="GC21" s="22"/>
      <c r="GD21" s="29" t="str">
        <f t="shared" ca="1" si="35"/>
        <v>PIERDE TOMA DE TAMIZAJE</v>
      </c>
      <c r="GE21" s="22"/>
      <c r="GF21" s="22"/>
      <c r="GG21" s="29" t="str">
        <f t="shared" ca="1" si="36"/>
        <v>PIERDE TOMA DE TAMIZAJE</v>
      </c>
      <c r="GH21" s="22"/>
      <c r="GI21" s="29"/>
      <c r="GJ21" s="22"/>
      <c r="GK21" s="22"/>
      <c r="GL21" s="22" t="s">
        <v>879</v>
      </c>
      <c r="GM21" s="22"/>
      <c r="GN21" s="28"/>
      <c r="GO21" s="22"/>
      <c r="GP21" s="29" t="str">
        <f t="shared" si="37"/>
        <v>TOMAR EXAMEN</v>
      </c>
      <c r="GQ21" s="28"/>
      <c r="GR21" s="28"/>
      <c r="GS21" s="22" t="str">
        <f t="shared" si="38"/>
        <v/>
      </c>
      <c r="GT21" s="22"/>
      <c r="GU21" s="29" t="str">
        <f t="shared" si="39"/>
        <v>TOMAR EXAMEN</v>
      </c>
      <c r="GV21" s="21" t="str">
        <f t="shared" si="40"/>
        <v>POR DEFINIR</v>
      </c>
      <c r="GW21" s="28"/>
      <c r="GX21" s="30"/>
      <c r="GY21" s="21"/>
      <c r="GZ21" s="21"/>
      <c r="HA21" s="21"/>
      <c r="HB21" s="21"/>
      <c r="HC21" s="21"/>
      <c r="HD21" s="21"/>
      <c r="HE21" s="21"/>
      <c r="HF21" s="22"/>
      <c r="HG21" s="22" t="str">
        <f>IF(OR(O21&gt;0,R21&gt;0),CONCATENATE(IF(Tabla1[[#This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1" s="22" t="e">
        <f t="shared" si="41"/>
        <v>#REF!</v>
      </c>
      <c r="HI21" s="22" t="e">
        <f t="shared" ca="1" si="42"/>
        <v>#REF!</v>
      </c>
      <c r="HJ21" s="21" t="str">
        <f t="shared" ca="1" si="43"/>
        <v>**********************MULTIPARIDAD**RIESGO POR EDAD***************</v>
      </c>
      <c r="HK21" s="21" t="str">
        <f t="shared" si="44"/>
        <v>SIN ANTECEDENTES DE RIESGO</v>
      </c>
      <c r="HL21" s="24" t="str">
        <f t="shared" si="45"/>
        <v>REGISTRE DATO PRESIÓN ARTERIAL MENSUAL</v>
      </c>
      <c r="HM21" s="21" t="str">
        <f t="shared" ca="1" si="46"/>
        <v/>
      </c>
      <c r="HN21" s="30" t="str">
        <f t="shared" si="47"/>
        <v>SALIO PROGRAMA</v>
      </c>
      <c r="HO21" s="21"/>
      <c r="HP21" s="21"/>
      <c r="HQ21" s="21"/>
      <c r="HR21" s="21" t="str">
        <f>IF(R21="","",IF(Tabla1[[#This Row],[ALARMA FACTORES DE RIESGO COMPLICACIONES HIPERTENSIVAS3]]="SIN ANTECEDENTES DE RIESGO","No Aplica para suministro de ASA",IF(AND(Tabla1[[#This Row],[FECHA INICIO DE SUMINISTRO DE ASA]]&gt;0,RV21&lt;12),"Inicia ASA ANTES de Sem 12",IF(AND(RV21&gt;11,RV21&lt;17,OR(HK21="RIESGO ALTO DE COMPLICACIONES HIPERTENSIVAS VER MANEJO GUIA SUMINISTRO ASA Y CALCIO",HK21="RIESGO MODERADO (2 O MAS CRITERIOS) VER MANEJO GUIA SUMINISTRO ASA Y CALCIO")),"Inicio oportuno de ASA",IF(AND(RV21&gt;12,OR(HK21="RIESGO ALTO DE COMPLICACIONES HIPERTENSIVAS VER MANEJO GUIA SUMINISTRO ASA Y CALCIO",HK21="RIESGO MODERADO (2 O MAS CRITERIOS) VER MANEJO GUIA SUMINISTRO ASA Y CALCIO")),"Inicio no oportuno mayor a 16 semanas",IF(AND(BU21&lt;12,OR(HK21="RIESGO ALTO DE COMPLICACIONES HIPERTENSIVAS VER MANEJO GUIA SUMINISTRO ASA Y CALCIO",HK21="RIESGO MODERADO (2 O MAS CRITERIOS) VER MANEJO GUIA SUMINISTRO ASA Y CALCIO")),"Pendiente Inicio de ASA a la semana 12",IF(AND(BU21&gt;11,BU21&lt;17,OR(HK21="RIESGO ALTO DE COMPLICACIONES HIPERTENSIVAS VER MANEJO GUIA SUMINISTRO ASA Y CALCIO",HK21="RIESGO MODERADO (2 O MAS CRITERIOS) VER MANEJO GUIA SUMINISTRO ASA Y CALCIO")),"Iniciar de inmediato ASA",IF(AND(BU21&gt;16,OR(HK21="RIESGO ALTO DE COMPLICACIONES HIPERTENSIVAS VER MANEJO GUIA SUMINISTRO ASA Y CALCIO",HK21="RIESGO MODERADO (2 O MAS CRITERIOS) VER MANEJO GUIA SUMINISTRO ASA Y CALCIO")),"Pierde Oportunidad, Inicio tardío de ASA","XXXXX"))))))))</f>
        <v>No Aplica para suministro de ASA</v>
      </c>
      <c r="HS21" s="22"/>
      <c r="HT21" s="22"/>
      <c r="HU21" s="22"/>
      <c r="HV21" s="22"/>
      <c r="HW21" s="22"/>
      <c r="HX21" s="22"/>
      <c r="HY21" s="22"/>
      <c r="HZ21" s="28" t="str">
        <f t="shared" si="48"/>
        <v>PENDIENTE CONSULTA</v>
      </c>
      <c r="IA21" s="26"/>
      <c r="IB21" s="26"/>
      <c r="IC21" s="111"/>
      <c r="ID21" s="22"/>
      <c r="IE21" s="22" t="str">
        <f t="shared" ca="1" si="49"/>
        <v>SALE SIN VACUNA</v>
      </c>
      <c r="IF21" s="22"/>
      <c r="IG21" s="22">
        <f t="shared" si="50"/>
        <v>45008</v>
      </c>
      <c r="IH21" s="29">
        <f t="shared" ca="1" si="51"/>
        <v>-224</v>
      </c>
      <c r="II21" s="22" t="str">
        <f t="shared" ca="1" si="52"/>
        <v>POSIBLEMENTE NACIO</v>
      </c>
      <c r="IJ21" s="22"/>
      <c r="IK21" s="21" t="s">
        <v>898</v>
      </c>
      <c r="IL21" s="21"/>
      <c r="IM21" s="34"/>
      <c r="IN21" s="349">
        <v>44965</v>
      </c>
      <c r="IO21" s="21" t="s">
        <v>1640</v>
      </c>
      <c r="IP21" s="29">
        <f t="shared" si="53"/>
        <v>33.857142857142854</v>
      </c>
      <c r="IQ21" s="35"/>
      <c r="IR21" s="21" t="s">
        <v>879</v>
      </c>
      <c r="IS21" s="21" t="s">
        <v>1641</v>
      </c>
      <c r="IT21" s="21" t="s">
        <v>1642</v>
      </c>
      <c r="IU21" s="21"/>
      <c r="IV21" s="21"/>
      <c r="IW21" s="21"/>
      <c r="IX21" s="21"/>
      <c r="IY21" s="21"/>
      <c r="IZ21" s="21"/>
      <c r="JA21" s="21"/>
      <c r="JB21" s="30">
        <v>1</v>
      </c>
      <c r="JC21" s="21" t="s">
        <v>1643</v>
      </c>
      <c r="JD21" s="36">
        <v>3700</v>
      </c>
      <c r="JE21" s="21" t="str">
        <f t="shared" si="54"/>
        <v>ERROR VERIFICAR DATO EDAD GESTACIONAL VS PESO</v>
      </c>
      <c r="JF21" s="30"/>
      <c r="JG21" s="21"/>
      <c r="JH21" s="21"/>
      <c r="JI21" s="21"/>
      <c r="JJ21" s="30"/>
      <c r="JK21" s="22"/>
      <c r="JL21" s="22"/>
      <c r="JM21" s="21"/>
      <c r="JN21" s="36"/>
      <c r="JO21" s="21" t="str">
        <f t="shared" si="55"/>
        <v/>
      </c>
      <c r="JP21" s="22"/>
      <c r="JQ21" s="21"/>
      <c r="JR21" s="21"/>
      <c r="JS21" s="21"/>
      <c r="JT21" s="30"/>
      <c r="JU21" s="22"/>
      <c r="JV21" s="22"/>
      <c r="JW21" s="33"/>
      <c r="JX21" s="28" t="str">
        <f t="shared" si="56"/>
        <v>INASISTENTE</v>
      </c>
      <c r="JY21" s="33"/>
      <c r="JZ21" s="28" t="str">
        <f t="shared" si="57"/>
        <v>INASISTENTE</v>
      </c>
      <c r="KA21" s="21"/>
      <c r="KB21" s="21"/>
      <c r="KC21" s="21"/>
      <c r="KD21" s="37"/>
      <c r="KE21" s="28"/>
      <c r="KF21" s="28"/>
      <c r="KG21" s="28"/>
      <c r="KH21" s="39"/>
      <c r="KI21" s="39"/>
      <c r="KJ21" s="66"/>
      <c r="KK21" s="39"/>
      <c r="KL21" s="39"/>
      <c r="KM21" s="66"/>
      <c r="KN21" s="39"/>
      <c r="KO21" s="39"/>
      <c r="KP21" s="39"/>
      <c r="KQ21" s="39"/>
      <c r="KR21" s="39"/>
      <c r="KS21" s="39"/>
      <c r="KT21" s="39"/>
      <c r="KU21" s="38"/>
      <c r="KV21" s="38"/>
      <c r="KW21" s="38"/>
      <c r="KX21" s="38"/>
      <c r="KY21" s="38"/>
      <c r="KZ21" s="38"/>
      <c r="LA21" s="38"/>
      <c r="LB21" s="38"/>
      <c r="LC21" s="38"/>
      <c r="LD21" s="38"/>
      <c r="LE21" s="38"/>
      <c r="LF21" s="38"/>
      <c r="LG21" s="38"/>
      <c r="LH21" s="38"/>
      <c r="LI21" s="38"/>
      <c r="LJ21" s="38"/>
      <c r="LK21" s="38"/>
      <c r="LL21" s="38"/>
      <c r="LM21" s="38"/>
      <c r="LN21" s="38"/>
      <c r="LO21" s="38"/>
      <c r="LP21" s="38"/>
      <c r="LQ21" s="38"/>
      <c r="LR21" s="38"/>
      <c r="LS21" s="38"/>
      <c r="LT21" s="38"/>
      <c r="LU21" s="38"/>
      <c r="LV21" s="38"/>
      <c r="LW21" s="38"/>
      <c r="LX21" s="38"/>
      <c r="LY21" s="38"/>
      <c r="LZ21" s="38"/>
      <c r="MA21" s="38"/>
      <c r="MB21" s="38"/>
      <c r="MC21" s="38"/>
      <c r="MD21" s="38"/>
      <c r="ME21" s="38"/>
      <c r="MF21" s="38"/>
      <c r="MG21" s="38"/>
      <c r="MH21" s="43">
        <f t="shared" si="58"/>
        <v>0</v>
      </c>
      <c r="MI21" s="43" t="str">
        <f t="shared" si="59"/>
        <v/>
      </c>
      <c r="MJ21" s="43" t="str">
        <f t="shared" si="60"/>
        <v/>
      </c>
      <c r="MK21" s="43">
        <f t="shared" si="61"/>
        <v>0</v>
      </c>
      <c r="ML2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1" s="43">
        <f t="shared" si="62"/>
        <v>15</v>
      </c>
      <c r="MN21" s="43">
        <f t="shared" si="63"/>
        <v>9</v>
      </c>
      <c r="MO21" s="43">
        <f t="shared" si="64"/>
        <v>2022</v>
      </c>
      <c r="MP21" s="43" t="str">
        <f t="shared" si="65"/>
        <v>III TRIMESTRE AÑO</v>
      </c>
      <c r="MQ21" s="43">
        <f t="shared" si="66"/>
        <v>14.818769163381516</v>
      </c>
      <c r="MR21" s="43">
        <f t="shared" si="67"/>
        <v>1</v>
      </c>
      <c r="MS21" s="43" t="str">
        <f t="shared" si="68"/>
        <v>DE 14 A 19AÑOS</v>
      </c>
      <c r="MT21" s="43">
        <f t="shared" si="69"/>
        <v>0</v>
      </c>
      <c r="MU21" s="43">
        <f t="shared" si="70"/>
        <v>1</v>
      </c>
      <c r="MV21" s="43">
        <f t="shared" si="71"/>
        <v>0</v>
      </c>
      <c r="MW21" s="43">
        <f t="shared" si="72"/>
        <v>0</v>
      </c>
      <c r="MX21" s="43" t="str">
        <f t="shared" si="73"/>
        <v/>
      </c>
      <c r="MY21" s="43" t="str">
        <f t="shared" ca="1" si="74"/>
        <v/>
      </c>
      <c r="MZ21" s="43" t="str">
        <f t="shared" si="75"/>
        <v/>
      </c>
      <c r="NA21" s="43" t="str">
        <f t="shared" si="76"/>
        <v/>
      </c>
      <c r="NB21" s="43" t="str">
        <f t="shared" si="77"/>
        <v/>
      </c>
      <c r="NC21" s="43" t="str">
        <f t="shared" si="78"/>
        <v/>
      </c>
      <c r="ND21" s="43">
        <f t="shared" ca="1" si="79"/>
        <v>2</v>
      </c>
      <c r="NE21" s="43">
        <f>IF(OR(O21&gt;0,R21&gt;0),SUM(COUNTIF(Tabla1[[#This Row],[AÑOS AL INICIO5 CPN]],"&gt;=40"),COUNTIF(AS21,"0"),COUNTIF(AR21,"SI"),COUNTIF(CC21,"SI"),COUNTIF(BQ21,"&gt;119"),COUNTIF(CI21,"&gt;=35")),"")</f>
        <v>0</v>
      </c>
      <c r="NF21" s="43" t="str">
        <f t="shared" si="80"/>
        <v/>
      </c>
      <c r="NG21" s="43">
        <f t="shared" si="81"/>
        <v>0</v>
      </c>
      <c r="NH21" s="43" t="str">
        <f t="shared" si="82"/>
        <v/>
      </c>
      <c r="NI21"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CPN",P21="NO"),"Z",IF(AND(Tabla1[[#This Row],[CITA PROXIMO CONTROL]]="CITA MANUAL",Tabla1[[#This Row],[GESTANTES ACTUALES]]="ACTIVA INGRESO A CPN"),"W",IF(AND(Tabla1[[#This Row],[GESTANTES ACTUALES]]="SALIO PROGRAMA",IN21=""),"S",IF(AND(Tabla1[[#This Row],[CITA PROXIMO CONTROL]]&gt;0,IN21=""),(Tabla1[[#This Row],[CITA PROXIMO CONTROL]]-TODAY()),"SD"))))))))</f>
        <v>SD</v>
      </c>
      <c r="NJ21" s="43">
        <f>MONTH(Tabla1[[#This Row],[FECHA DE SALIDA  DEL PROGRAMA]])</f>
        <v>2</v>
      </c>
      <c r="NK21" s="43">
        <f>YEAR(Tabla1[[#This Row],[FECHA DE SALIDA  DEL PROGRAMA]])</f>
        <v>2023</v>
      </c>
      <c r="NL21" s="43" t="str">
        <f t="shared" si="83"/>
        <v>X</v>
      </c>
      <c r="NM21" s="43" t="str">
        <f t="shared" si="84"/>
        <v>NO</v>
      </c>
      <c r="NN21" s="43" t="str">
        <f ca="1">IF(AND(O21&gt;0,R21=""),"NO CPN",IF(AND(O21="",R21=""),"",IF(AND(R21&gt;0,Tabla1[[#This Row],[SEMANAS DE GESTACION ACTUALIZADAS]]&lt;=12),"NO APLICA",IF(AND(FH21&lt;&gt;"",FN21&lt;&gt;""),"SI","NO"))))</f>
        <v>NO</v>
      </c>
      <c r="NO21" s="43" t="str">
        <f ca="1">IF(AND(O21&gt;0,R21=""),"NO CPN",IF(AND(O21="",R21=""),"",IF(AND(R21&gt;0,Tabla1[[#This Row],[SEMANAS DE GESTACION ACTUALIZADAS]]&lt;=27),"NO APLICA",IF(AND(ES21&lt;&gt;"",FQ21&lt;&gt;"",GF21&lt;&gt;""),"SI","NO"))))</f>
        <v>NO</v>
      </c>
      <c r="NP21" s="204" t="str">
        <f t="shared" si="85"/>
        <v>DEFINIR CON ECO</v>
      </c>
      <c r="NQ21" s="21">
        <f t="shared" si="86"/>
        <v>3</v>
      </c>
      <c r="NR21" s="21">
        <f t="shared" si="87"/>
        <v>2</v>
      </c>
      <c r="NS21" s="205">
        <f t="shared" ca="1" si="88"/>
        <v>0</v>
      </c>
      <c r="NT21" s="21">
        <f t="shared" ca="1" si="89"/>
        <v>0</v>
      </c>
      <c r="NU21" s="21" t="str">
        <f t="shared" ca="1" si="90"/>
        <v>INCOMPLETO</v>
      </c>
      <c r="NV21" s="21" t="str">
        <f t="shared" ca="1" si="91"/>
        <v>INCOMPLETO</v>
      </c>
      <c r="NW21" s="206" t="str">
        <f>IF(AND(O21="",R21=""),"",IF(OR(AND(Tabla1[[#This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1" s="207" t="str">
        <f t="shared" ca="1" si="92"/>
        <v>SIN VACUNAR</v>
      </c>
      <c r="NY21" s="43">
        <f>ROW(Tabla1[[#This Row],['# DE TAMIZAJES SIFILIS TOMADOS ]])</f>
        <v>21</v>
      </c>
      <c r="NZ21" s="43">
        <f t="shared" si="93"/>
        <v>15</v>
      </c>
      <c r="OA21" s="43" t="str">
        <f t="shared" si="94"/>
        <v/>
      </c>
      <c r="OB21" s="43" t="str">
        <f t="shared" si="95"/>
        <v/>
      </c>
      <c r="OC21" s="43" t="str">
        <f t="shared" si="96"/>
        <v/>
      </c>
      <c r="OD21" s="43" t="str">
        <f t="shared" si="97"/>
        <v/>
      </c>
      <c r="OE21" s="43" t="str">
        <f t="shared" si="98"/>
        <v/>
      </c>
      <c r="OF21" s="43" t="str">
        <f t="shared" si="99"/>
        <v/>
      </c>
      <c r="OG21" s="43" t="str">
        <f t="shared" si="100"/>
        <v>NORMAL</v>
      </c>
      <c r="OH21" s="43" t="str">
        <f t="shared" si="101"/>
        <v/>
      </c>
      <c r="OI21" s="43" t="str">
        <f t="shared" si="102"/>
        <v/>
      </c>
      <c r="OJ21" s="43" t="str">
        <f t="shared" si="103"/>
        <v/>
      </c>
      <c r="OK21" s="43" t="str">
        <f t="shared" si="104"/>
        <v/>
      </c>
      <c r="OL21" s="43" t="str">
        <f t="shared" si="105"/>
        <v/>
      </c>
      <c r="OM21" s="43" t="str">
        <f t="shared" si="106"/>
        <v/>
      </c>
      <c r="ON21" s="43" t="str">
        <f t="shared" si="107"/>
        <v/>
      </c>
      <c r="OO21" s="43" t="str">
        <f t="shared" si="108"/>
        <v/>
      </c>
      <c r="OP21" s="43" t="str">
        <f t="shared" si="109"/>
        <v/>
      </c>
      <c r="OQ21" s="43" t="str">
        <f t="shared" si="110"/>
        <v/>
      </c>
      <c r="OR21" s="43" t="str">
        <f t="shared" si="111"/>
        <v/>
      </c>
      <c r="OS21" s="43" t="str">
        <f t="shared" si="112"/>
        <v/>
      </c>
      <c r="OT21" s="43" t="str">
        <f t="shared" si="113"/>
        <v/>
      </c>
      <c r="OU21" s="43" t="str">
        <f t="shared" si="114"/>
        <v/>
      </c>
      <c r="OV21" s="110" t="str">
        <f t="shared" si="115"/>
        <v/>
      </c>
      <c r="OW21" s="43" t="str">
        <f t="shared" si="116"/>
        <v/>
      </c>
      <c r="OX21" s="43" t="str">
        <f t="shared" si="117"/>
        <v/>
      </c>
      <c r="OY21" s="43" t="str">
        <f t="shared" si="118"/>
        <v/>
      </c>
      <c r="OZ21" s="43" t="str">
        <f t="shared" si="119"/>
        <v/>
      </c>
      <c r="PA21" s="43" t="str">
        <f t="shared" si="120"/>
        <v/>
      </c>
      <c r="PB21" s="43" t="str">
        <f t="shared" si="121"/>
        <v/>
      </c>
      <c r="PC21" s="43" t="str">
        <f t="shared" si="122"/>
        <v/>
      </c>
      <c r="PD21" s="43" t="str">
        <f t="shared" si="123"/>
        <v/>
      </c>
      <c r="PE21" s="43" t="str">
        <f t="shared" si="124"/>
        <v/>
      </c>
      <c r="PF21" s="43" t="str">
        <f t="shared" si="125"/>
        <v/>
      </c>
      <c r="PG21" s="43" t="str">
        <f t="shared" si="126"/>
        <v/>
      </c>
      <c r="PH21" s="43" t="str">
        <f t="shared" si="127"/>
        <v/>
      </c>
      <c r="PI21" s="43">
        <f t="shared" si="128"/>
        <v>15</v>
      </c>
      <c r="PJ21" s="43" t="str">
        <f t="shared" si="129"/>
        <v/>
      </c>
      <c r="PK21" s="43" t="str">
        <f t="shared" si="130"/>
        <v/>
      </c>
      <c r="PL21" s="43" t="str">
        <f t="shared" si="131"/>
        <v/>
      </c>
      <c r="PM21" s="43" t="str">
        <f t="shared" si="132"/>
        <v/>
      </c>
      <c r="PN21" s="43" t="str">
        <f t="shared" si="133"/>
        <v/>
      </c>
      <c r="PO21" s="43" t="str">
        <f t="shared" si="134"/>
        <v/>
      </c>
      <c r="PP21" s="43" t="str">
        <f t="shared" si="135"/>
        <v/>
      </c>
      <c r="PQ21" s="43" t="str">
        <f t="shared" si="136"/>
        <v/>
      </c>
      <c r="PR21" s="43" t="str">
        <f t="shared" si="137"/>
        <v/>
      </c>
      <c r="PS21" s="43" t="str">
        <f t="shared" si="138"/>
        <v/>
      </c>
      <c r="PT21" s="43" t="str">
        <f t="shared" si="139"/>
        <v/>
      </c>
      <c r="PU21" s="43" t="str">
        <f t="shared" si="140"/>
        <v/>
      </c>
      <c r="PV21" s="43" t="str">
        <f t="shared" si="141"/>
        <v/>
      </c>
      <c r="PW21" s="43" t="str">
        <f t="shared" si="142"/>
        <v/>
      </c>
      <c r="PX21" s="43" t="str">
        <f t="shared" si="143"/>
        <v/>
      </c>
      <c r="PY21" s="43" t="str">
        <f t="shared" si="144"/>
        <v/>
      </c>
      <c r="PZ21" s="43" t="str">
        <f t="shared" si="145"/>
        <v/>
      </c>
      <c r="QA21" s="43" t="str">
        <f t="shared" si="146"/>
        <v/>
      </c>
      <c r="QB21" s="43" t="str">
        <f t="shared" si="147"/>
        <v/>
      </c>
      <c r="QC21" s="43" t="str">
        <f t="shared" si="148"/>
        <v/>
      </c>
      <c r="QD21" s="43" t="str">
        <f t="shared" si="149"/>
        <v/>
      </c>
      <c r="QE21" s="43" t="str">
        <f t="shared" si="150"/>
        <v/>
      </c>
      <c r="QF21" s="43" t="str">
        <f t="shared" si="151"/>
        <v/>
      </c>
      <c r="QG21" s="43" t="str">
        <f t="shared" si="152"/>
        <v/>
      </c>
      <c r="QH21" s="43" t="str">
        <f t="shared" si="153"/>
        <v/>
      </c>
      <c r="QI21" s="43" t="str">
        <f t="shared" si="154"/>
        <v/>
      </c>
      <c r="QJ21" s="43" t="str">
        <f t="shared" si="155"/>
        <v/>
      </c>
      <c r="QK21" s="43" t="str">
        <f t="shared" si="156"/>
        <v/>
      </c>
      <c r="QL21" s="43" t="str">
        <f t="shared" si="157"/>
        <v/>
      </c>
      <c r="QM21" s="43" t="str">
        <f t="shared" si="158"/>
        <v/>
      </c>
      <c r="QN21" s="43" t="str">
        <f t="shared" si="159"/>
        <v/>
      </c>
      <c r="QO21" s="43" t="str">
        <f t="shared" si="160"/>
        <v/>
      </c>
      <c r="QP21" s="43" t="str">
        <f t="shared" si="161"/>
        <v/>
      </c>
      <c r="QQ21" s="43" t="str">
        <f t="shared" si="162"/>
        <v/>
      </c>
      <c r="QR21" s="43">
        <f t="shared" si="192"/>
        <v>15</v>
      </c>
      <c r="QS21" s="43"/>
      <c r="QT21" s="21" t="str">
        <f t="shared" si="163"/>
        <v/>
      </c>
      <c r="QU21" s="21" t="str">
        <f t="shared" si="164"/>
        <v/>
      </c>
      <c r="QV21" s="21" t="str">
        <f t="shared" si="165"/>
        <v/>
      </c>
      <c r="QW21" s="21" t="str">
        <f t="shared" si="166"/>
        <v/>
      </c>
      <c r="QX21" s="21" t="str">
        <f t="shared" si="167"/>
        <v/>
      </c>
      <c r="QY21" s="21" t="str">
        <f t="shared" si="168"/>
        <v/>
      </c>
      <c r="QZ21" s="21" t="str">
        <f t="shared" si="169"/>
        <v/>
      </c>
      <c r="RA21" s="21" t="str">
        <f t="shared" si="170"/>
        <v/>
      </c>
      <c r="RB21" s="21" t="str">
        <f t="shared" si="171"/>
        <v/>
      </c>
      <c r="RC21" s="21" t="str">
        <f t="shared" si="172"/>
        <v/>
      </c>
      <c r="RD21" s="21" t="str">
        <f t="shared" si="173"/>
        <v/>
      </c>
      <c r="RE21" s="21" t="str">
        <f t="shared" si="174"/>
        <v/>
      </c>
      <c r="RF21" s="21" t="str">
        <f t="shared" si="175"/>
        <v/>
      </c>
      <c r="RG21" s="21" t="str">
        <f t="shared" si="176"/>
        <v/>
      </c>
      <c r="RH21" s="21" t="str">
        <f t="shared" si="177"/>
        <v/>
      </c>
      <c r="RI21" s="21" t="str">
        <f t="shared" si="178"/>
        <v/>
      </c>
      <c r="RJ21" s="21" t="str">
        <f t="shared" si="179"/>
        <v/>
      </c>
      <c r="RK21" s="21" t="str">
        <f t="shared" si="180"/>
        <v/>
      </c>
      <c r="RL21" s="21" t="str">
        <f t="shared" si="181"/>
        <v/>
      </c>
      <c r="RM21" s="21" t="str">
        <f t="shared" si="182"/>
        <v/>
      </c>
      <c r="RN21" s="21" t="str">
        <f t="shared" si="183"/>
        <v/>
      </c>
      <c r="RO21" s="21" t="str">
        <f t="shared" si="184"/>
        <v/>
      </c>
      <c r="RP21" s="21" t="str">
        <f t="shared" si="185"/>
        <v/>
      </c>
      <c r="RQ21" s="21" t="str">
        <f t="shared" si="186"/>
        <v/>
      </c>
      <c r="RR21" s="21" t="str">
        <f t="shared" si="187"/>
        <v/>
      </c>
      <c r="RS21" s="21" t="str">
        <f t="shared" si="188"/>
        <v/>
      </c>
      <c r="RT21" s="21" t="str">
        <f t="shared" si="189"/>
        <v/>
      </c>
      <c r="RU21" s="21" t="str">
        <f t="shared" si="190"/>
        <v/>
      </c>
      <c r="RV21" s="21">
        <f t="shared" si="191"/>
        <v>-1</v>
      </c>
      <c r="RW21" s="284">
        <f>IF(OR(Tabla1[[#This Row],[FUM FORMULA CONFIABLE]]="",Tabla1[[#This Row],[FUM FORMULA CONFIABLE]]="SD"),"",IF(Tabla1[[#This Row],[FUM FORMULA CONFIABLE]]="CORREGIDA",Tabla1[[#This Row],[FUM X ECO 1]],Tabla1[[#This Row],[FUM x AMENORREA]]))</f>
        <v>44728</v>
      </c>
      <c r="RX21" s="21" t="str">
        <f>IF(AND(Tabla1[[#This Row],[FUM X ECO 1]]="",Tabla1[[#This Row],[FUM x AMENORREA]]=""),"",IF(AND(Tabla1[[#This Row],[FUM X ECO 1]]="",Tabla1[[#This Row],[FUM x AMENORREA]]&lt;&gt;""),"X",SUM(Tabla1[[#This Row],[FUM X ECO 1]]-Tabla1[[#This Row],[FUM x AMENORREA]])))</f>
        <v>X</v>
      </c>
      <c r="RY21" s="21" t="str">
        <f t="shared" si="193"/>
        <v>x</v>
      </c>
    </row>
    <row r="22" spans="1:493" ht="45" customHeight="1" x14ac:dyDescent="0.25">
      <c r="A22" s="109"/>
      <c r="B22" s="43" t="s">
        <v>927</v>
      </c>
      <c r="C22" s="43" t="s">
        <v>845</v>
      </c>
      <c r="D22" s="124" t="s">
        <v>846</v>
      </c>
      <c r="E22" s="43" t="s">
        <v>979</v>
      </c>
      <c r="F22" s="43" t="s">
        <v>980</v>
      </c>
      <c r="G22" s="43" t="s">
        <v>981</v>
      </c>
      <c r="H22" s="43" t="s">
        <v>982</v>
      </c>
      <c r="I22" s="109" t="s">
        <v>851</v>
      </c>
      <c r="J22" s="110">
        <v>1002847211</v>
      </c>
      <c r="K22" s="43" t="s">
        <v>852</v>
      </c>
      <c r="L22" s="175" t="s">
        <v>853</v>
      </c>
      <c r="M22" s="22">
        <v>36771</v>
      </c>
      <c r="N22" s="213">
        <f t="shared" ca="1" si="0"/>
        <v>23.18082191780822</v>
      </c>
      <c r="O22" s="22">
        <v>44820</v>
      </c>
      <c r="P22" s="214" t="str">
        <f t="shared" si="1"/>
        <v>SI</v>
      </c>
      <c r="Q22" s="26" t="s">
        <v>855</v>
      </c>
      <c r="R22" s="22">
        <v>44833</v>
      </c>
      <c r="S22" s="21" t="s">
        <v>856</v>
      </c>
      <c r="T22" s="24" t="s">
        <v>690</v>
      </c>
      <c r="U22" s="21" t="s">
        <v>857</v>
      </c>
      <c r="V22" s="21" t="s">
        <v>858</v>
      </c>
      <c r="W22" s="21" t="s">
        <v>933</v>
      </c>
      <c r="X22" s="21" t="s">
        <v>933</v>
      </c>
      <c r="Y22" s="21" t="s">
        <v>859</v>
      </c>
      <c r="Z22" s="21">
        <v>3234420571</v>
      </c>
      <c r="AA22" s="21" t="s">
        <v>860</v>
      </c>
      <c r="AB22" s="27" t="s">
        <v>861</v>
      </c>
      <c r="AC22" s="26" t="s">
        <v>877</v>
      </c>
      <c r="AD22" s="38" t="s">
        <v>846</v>
      </c>
      <c r="AE22" s="26" t="s">
        <v>854</v>
      </c>
      <c r="AF22" s="26" t="s">
        <v>854</v>
      </c>
      <c r="AG22" s="23" t="s">
        <v>864</v>
      </c>
      <c r="AH22" s="23" t="s">
        <v>864</v>
      </c>
      <c r="AI22" s="24" t="s">
        <v>863</v>
      </c>
      <c r="AJ22" s="23" t="s">
        <v>864</v>
      </c>
      <c r="AK22" s="220" t="str">
        <f>IF(AND(AD22="",AE22="",AF22="",AG22="",AH22="",AI22="",AJ22=""),"",IF(OR(Tabla1[[#This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EVALUACIÓN",IF(AND(O22="",R22=""),"",IF(AND(OR(O22&gt;0,R22&gt;0),NG22&gt;=0,NG22&lt;2),"SIN RIESGO",IF(AND(OR(O22&gt;0,R22&gt;0),NG22&gt;=2),"CON RIESGO","ASD")))))</f>
        <v>SIN RIESGO</v>
      </c>
      <c r="AL22" s="23" t="s">
        <v>864</v>
      </c>
      <c r="AM22" s="26" t="s">
        <v>864</v>
      </c>
      <c r="AN22" s="26" t="s">
        <v>864</v>
      </c>
      <c r="AO22" s="26" t="s">
        <v>864</v>
      </c>
      <c r="AP22" s="26" t="s">
        <v>864</v>
      </c>
      <c r="AQ22" s="26" t="s">
        <v>864</v>
      </c>
      <c r="AR22" s="26" t="s">
        <v>864</v>
      </c>
      <c r="AS22" s="21">
        <v>2</v>
      </c>
      <c r="AT22" s="21">
        <v>1</v>
      </c>
      <c r="AU22" s="21">
        <v>0</v>
      </c>
      <c r="AV22" s="26" t="s">
        <v>864</v>
      </c>
      <c r="AW22" s="21">
        <v>0</v>
      </c>
      <c r="AX22" s="26" t="s">
        <v>864</v>
      </c>
      <c r="AY22" s="26" t="s">
        <v>864</v>
      </c>
      <c r="AZ22" s="26" t="s">
        <v>864</v>
      </c>
      <c r="BA22" s="26" t="s">
        <v>864</v>
      </c>
      <c r="BB22" s="26" t="s">
        <v>864</v>
      </c>
      <c r="BC22" s="26" t="s">
        <v>864</v>
      </c>
      <c r="BD22" s="26" t="s">
        <v>864</v>
      </c>
      <c r="BE22" s="26" t="s">
        <v>864</v>
      </c>
      <c r="BF22" s="26" t="s">
        <v>864</v>
      </c>
      <c r="BG22" s="26" t="s">
        <v>864</v>
      </c>
      <c r="BH22" s="26" t="s">
        <v>864</v>
      </c>
      <c r="BI22" s="26" t="s">
        <v>864</v>
      </c>
      <c r="BJ22" s="26"/>
      <c r="BK22" s="26"/>
      <c r="BL22" s="26" t="s">
        <v>864</v>
      </c>
      <c r="BM22" s="26" t="s">
        <v>864</v>
      </c>
      <c r="BN22" s="22">
        <v>42751</v>
      </c>
      <c r="BO22" s="22">
        <v>44789</v>
      </c>
      <c r="BP22" s="21" t="s">
        <v>854</v>
      </c>
      <c r="BQ22" s="222">
        <f t="shared" si="2"/>
        <v>67.933333333333337</v>
      </c>
      <c r="BR22" s="223">
        <f t="shared" si="3"/>
        <v>44789.2</v>
      </c>
      <c r="BS22" s="224">
        <f t="shared" si="4"/>
        <v>6.2857142857142856</v>
      </c>
      <c r="BT22" s="216" t="str">
        <f t="shared" si="5"/>
        <v>I TRIM</v>
      </c>
      <c r="BU22" s="214" t="str">
        <f t="shared" ca="1" si="6"/>
        <v/>
      </c>
      <c r="BV22" s="25"/>
      <c r="BW22" s="22">
        <v>44855</v>
      </c>
      <c r="BX22" s="28">
        <v>9.4</v>
      </c>
      <c r="BY22" s="28"/>
      <c r="BZ22" s="22"/>
      <c r="CA22" s="21"/>
      <c r="CB22" s="26" t="s">
        <v>864</v>
      </c>
      <c r="CC22" s="26" t="s">
        <v>864</v>
      </c>
      <c r="CD22" s="26" t="s">
        <v>878</v>
      </c>
      <c r="CE22" s="26" t="s">
        <v>864</v>
      </c>
      <c r="CF22" s="22" t="s">
        <v>1517</v>
      </c>
      <c r="CG22" s="21">
        <v>1.51</v>
      </c>
      <c r="CH22" s="21">
        <v>62</v>
      </c>
      <c r="CI22" s="214">
        <f t="shared" si="7"/>
        <v>27.191789833779222</v>
      </c>
      <c r="CJ22" s="225" t="str">
        <f>IF(AND(CI22&lt;10,CH22="SD"),"SIN DATO PESO PREGESTACION O I TRIM",IF(AND(OR(R22&gt;0,O22&gt;0),CI22="X"),"INGRESAR DATO DE PESO",IF(CI22="SD","INGRESAR DATO DE TALLA Y PESO",IF(AND(OR(Tabla1[[#This Row],[MOMENTO EN QUE SE REALIZA EL PESO AL INGRESO A CPN]]="PREGESTACIÓN",NZ22="Menor"),CI22&lt;18.5),"BAJO PESO",IF(AND(OR(Tabla1[[#This Row],[MOMENTO EN QUE SE REALIZA EL PESO AL INGRESO A CPN]]="PREGESTACIÓN",NZ22="Menor"),CI22&lt;25),"NORMAL",IF(AND(OR(Tabla1[[#This Row],[MOMENTO EN QUE SE REALIZA EL PESO AL INGRESO A CPN]]="PREGESTACIÓN",NZ22="Menor"),CI22&lt;30),"SOBREPESO",IF(AND(OR(Tabla1[[#This Row],[MOMENTO EN QUE SE REALIZA EL PESO AL INGRESO A CPN]]="PREGESTACIÓN",NZ22="Menor"),CI22&gt;=30,CI22&lt;50),"OBESIDAD",IF(AND(BS22&gt;0,Tabla1[[#This Row],[MOMENTO EN QUE SE REALIZA EL PESO AL INGRESO A CPN]]="GESTACIÓN"),HLOOKUP(NZ22,$OA$2:PH22,NY22),""))))))))</f>
        <v>SOBREPESO</v>
      </c>
      <c r="CK22" s="212">
        <f t="shared" si="8"/>
        <v>45016</v>
      </c>
      <c r="CL22" s="21"/>
      <c r="CM22" s="214">
        <f t="shared" si="9"/>
        <v>0</v>
      </c>
      <c r="CN22" s="216">
        <f t="shared" si="10"/>
        <v>32</v>
      </c>
      <c r="CO22" s="216" t="e">
        <f>IF(PI22="","",IF(PI22&gt;0,HLOOKUP(PI22,$PJ$2:QQ22,NY22),""))</f>
        <v>#REF!</v>
      </c>
      <c r="CP22" s="21"/>
      <c r="CQ22" s="216" t="e">
        <f>IF(QR22="Menor","NO APLICA-MENOR 13 SEM",IF(AND(CC22="SI",CN22&gt;23),"NO APLICA- GEMELAR",IF(QR22="","",IF(QR22&gt;0,HLOOKUP(QR22,$QS$2:RU22,NY22),""))))</f>
        <v>#REF!</v>
      </c>
      <c r="CR22" s="21">
        <v>100</v>
      </c>
      <c r="CS22" s="21">
        <v>70</v>
      </c>
      <c r="CT22" s="217" t="str">
        <f>IF(R22="","",IF(AND(BS22&gt;1,BS22&lt;12,Tabla1[[#This Row],[T.A. SISTOLICA - ANTES DE SEMANA 12]]="",Tabla1[[#This Row],[T.A. DIASTOLICA - ANTES DE SEMANA 12]]=""),"REGISTRE DATO TA ANTES SEMANA 12",IF(AND(BS22&gt;11,BS22&lt;43,Tabla1[[#This Row],[T.A. SISTOLICA - ANTES DE SEMANA 12]]="",Tabla1[[#This Row],[T.A. DIASTOLICA - ANTES DE SEMANA 12]]=""),"NO APLICA REGISTRO TA-INGRESO TARDIO",IF(AND(OR(O22&gt;0,R22&gt;0),OR(CR22&gt;=140,CS22&gt;=90)),"DEFINIR ESTADIO HTA",IF(AND(OR(O22&gt;0,R22&gt;0),AND(CR22&gt;120,CR22&lt;=139)),"PRE HTA SEGUIMIENTO",IF(AND(OR(O22&gt;0,R22&gt;0),AND(CS22&gt;80,CS22&lt;=89)),"PRE HTA SEGUIMIENTO",IF(AND(OR(O22&gt;0,R22&gt;0),AND(CR22&gt;=80,CR22&lt;=120)),"APARENTEMENTE NORMAL",IF(AND(OR(O22&gt;0,R22&gt;0),AND(CS22&gt;=50,CS22&lt;=80)),"APARENTEMENTE NORMAL",IF(AND(OR(O22&gt;0,R22&gt;0),AND(CR22&gt;1,CR22&lt;=70),AND(CS22&gt;1,CS22&lt;=40)),"HIPOTENSIÓN","")))))))))</f>
        <v>APARENTEMENTE NORMAL</v>
      </c>
      <c r="CU22" s="21">
        <v>90</v>
      </c>
      <c r="CV22" s="21">
        <v>60</v>
      </c>
      <c r="CW22" s="217" t="str">
        <f ca="1">IF(R22="","",IF(AND(CN22&gt;19,CN22&lt;27,Tabla1[[#This Row],[T.A. SISTOLICA (Entre semana 20 y 26)]]="",Tabla1[[#This Row],[T.A. DIATOLICA (Entre semana 20 y 26)]]=""),"ACUDE A CONTROL SEM 20 A 26 REGISTRE TA AHORA",IF(AND(BS22&gt;1,BS22&lt;27,BU22&gt;19,Tabla1[[#This Row],[T.A. SISTOLICA (Entre semana 20 y 26)]]="",Tabla1[[#This Row],[T.A. DIATOLICA (Entre semana 20 y 26)]]=""),"COMPLETE REGISTRO TA CONTROL SEM 20 A26 ",IF(AND(BS22&gt;26,BS22&lt;43,Tabla1[[#This Row],[T.A. SISTOLICA (Entre semana 20 y 26)]]="",Tabla1[[#This Row],[T.A. DIATOLICA (Entre semana 20 y 26)]]=""),"NO APLICA REGISTRO TA-INGRESO TARDIO",IF(AND(OR(O22&gt;0,R22&gt;0),OR(CU22&gt;=140,CV22&gt;=90)),"ALTO RIESGO PREECLAMPSIA,DEFINIR ESTADIO HTA",IF(AND(OR(O22&gt;0,R22&gt;0),AND(CU22&gt;120,CU22&lt;=139)),"PRE HTA SEGUIMIENTO,RIESGO HIPERTENSION INDUCIDA POR EL EMBARAZO",IF(AND(OR(O22&gt;0,R22&gt;0),AND(CV22&gt;80,CV22&lt;=89)),"PRE HTA SEGUIMIENTO, RIESGO HIPERTENSION INDUCIDA POR EL EMBARAZO",IF(AND(OR(O22&lt;&gt;"",R22&lt;&gt;""),CS22&lt;&gt;"",CV22&lt;&gt;"",CS22&lt;=CV22),"VIGILAR CIFRAS PRESION ARTERIAL",IF(AND(OR(O22&gt;0,R22&gt;0),AND(CU22&gt;120,CU22&lt;=139)),"PRE HTA SEGUIMIENTO",IF(AND(OR(O22&gt;0,R22&gt;0),AND(CU22&gt;1,CU22&lt;=70),AND(CV22&gt;1,CV22&lt;=40)),"HIPOTENSIÓN",IF(AND(OR(O22&lt;&gt;"",R22&lt;&gt;""),CS22&lt;&gt;"",CV22&lt;&gt;"",CS22&gt;CV22),"APARENTEMENTE NORMAL",IF(AND(OR(O22&gt;0,R22&gt;0),AND(CU22&gt;=80,CU22&lt;=120)),"APARENTEMENTE NORMAL",IF(AND(OR(O22&gt;0,R22&gt;0),AND(CV22&gt;=50,CV22&lt;=80)),"APARENTEMENTE NORMAL","")))))))))))))</f>
        <v>APARENTEMENTE NORMAL</v>
      </c>
      <c r="CX22" s="21"/>
      <c r="CY22" s="21"/>
      <c r="CZ22" s="216" t="str">
        <f t="shared" si="11"/>
        <v>ACUDE A CONTROL SEM 30 A 34- REGISTRE AHORA</v>
      </c>
      <c r="DA22" s="21"/>
      <c r="DB22" s="21"/>
      <c r="DC22" s="217" t="str">
        <f t="shared" si="12"/>
        <v>REGISTRE DATO PRESIÓN ARTERIAL MENSUAL</v>
      </c>
      <c r="DD22" s="22">
        <v>44833</v>
      </c>
      <c r="DE22" s="22">
        <v>44833</v>
      </c>
      <c r="DF22" s="22">
        <v>44863</v>
      </c>
      <c r="DG22" s="22">
        <v>44919</v>
      </c>
      <c r="DH22" s="22"/>
      <c r="DI22" s="22">
        <v>44978</v>
      </c>
      <c r="DJ22" s="22"/>
      <c r="DK22" s="22">
        <v>45016</v>
      </c>
      <c r="DL22" s="22"/>
      <c r="DM22" s="22"/>
      <c r="DN22" s="22"/>
      <c r="DO22" s="22"/>
      <c r="DP22" s="22"/>
      <c r="DQ22" s="22"/>
      <c r="DR22" s="28">
        <v>3</v>
      </c>
      <c r="DS22" s="22"/>
      <c r="DT22" s="22"/>
      <c r="DU22" s="216" t="str">
        <f t="shared" ca="1" si="13"/>
        <v>SALE SIN PLAN DE PARTO</v>
      </c>
      <c r="DV22" s="226" t="str">
        <f t="shared" si="14"/>
        <v>SALIO PROGRAMA</v>
      </c>
      <c r="DW22"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22" s="216" t="str">
        <f t="shared" ca="1" si="15"/>
        <v/>
      </c>
      <c r="DY22" s="212">
        <f>IF(R22="","",IF(R22&gt;0,MAX(Tabla1[[#This Row],[FECHA C2]:[FECHA C13]],Tabla1[[#This Row],[FECHA CONSULTA PRIMERA VEZ PROGRAMA CPN ]])))</f>
        <v>45016</v>
      </c>
      <c r="DZ22" s="216">
        <f t="shared" si="16"/>
        <v>32</v>
      </c>
      <c r="EA22" s="222">
        <f>IF(R22&gt;0,SUM(COUNTA(DF22:DQ22)+COUNTA(Tabla1[[#This Row],[FECHA CONSULTA PRIMERA VEZ PROGRAMA CPN ]])),"")</f>
        <v>5</v>
      </c>
      <c r="EB22" s="222" t="str">
        <f t="shared" si="17"/>
        <v>SI</v>
      </c>
      <c r="EC22" s="214">
        <f t="shared" si="18"/>
        <v>10</v>
      </c>
      <c r="ED22" s="227">
        <f t="shared" si="19"/>
        <v>0.5</v>
      </c>
      <c r="EE22" s="22">
        <v>44833</v>
      </c>
      <c r="EF22" s="22">
        <v>44833</v>
      </c>
      <c r="EG22" s="22">
        <v>44833</v>
      </c>
      <c r="EH22" s="22">
        <v>44893</v>
      </c>
      <c r="EI22" s="22">
        <v>44833</v>
      </c>
      <c r="EJ22" s="22">
        <v>44894</v>
      </c>
      <c r="EK22" s="22">
        <v>44894</v>
      </c>
      <c r="EL22" s="21">
        <v>1</v>
      </c>
      <c r="EM22" s="21">
        <v>15.1</v>
      </c>
      <c r="EN22" s="22">
        <v>44820</v>
      </c>
      <c r="EO22" s="222">
        <f t="shared" si="20"/>
        <v>4.4285714285714288</v>
      </c>
      <c r="EP22" s="214" t="str">
        <f t="shared" si="21"/>
        <v>NO DAR SULFATO FERROSO</v>
      </c>
      <c r="EQ22" s="216" t="str">
        <f t="shared" si="22"/>
        <v>I TRIM</v>
      </c>
      <c r="ER22" s="24">
        <v>12.5</v>
      </c>
      <c r="ES22" s="22">
        <v>44919</v>
      </c>
      <c r="ET22" s="29">
        <f t="shared" ca="1" si="23"/>
        <v>18.571428571428573</v>
      </c>
      <c r="EU22" s="25" t="str">
        <f t="shared" si="24"/>
        <v>NORMAL- SUMINISTRAR SULFATO FERROSO</v>
      </c>
      <c r="EV22" s="24" t="s">
        <v>866</v>
      </c>
      <c r="EW22" s="24">
        <v>44869</v>
      </c>
      <c r="EX22" s="22"/>
      <c r="EY22" s="29">
        <f t="shared" si="25"/>
        <v>11.428571428571429</v>
      </c>
      <c r="EZ22" s="25" t="str">
        <f t="shared" ca="1" si="26"/>
        <v/>
      </c>
      <c r="FA22" s="21">
        <v>70</v>
      </c>
      <c r="FB22" s="22">
        <v>44820</v>
      </c>
      <c r="FC22" s="29">
        <f t="shared" si="27"/>
        <v>4.4285714285714288</v>
      </c>
      <c r="FD22" s="29">
        <v>80</v>
      </c>
      <c r="FE22" s="29">
        <v>139</v>
      </c>
      <c r="FF22" s="29">
        <v>100</v>
      </c>
      <c r="FG22" s="21" t="str">
        <f t="shared" ca="1" si="28"/>
        <v>NORMAL</v>
      </c>
      <c r="FH22" s="31">
        <v>45010</v>
      </c>
      <c r="FI22" s="29">
        <f t="shared" si="29"/>
        <v>31.571428571428573</v>
      </c>
      <c r="FJ22" s="22" t="s">
        <v>867</v>
      </c>
      <c r="FK22" s="22">
        <v>44869</v>
      </c>
      <c r="FL22" s="29">
        <f t="shared" ca="1" si="30"/>
        <v>11.428571428571429</v>
      </c>
      <c r="FM22" s="22" t="s">
        <v>867</v>
      </c>
      <c r="FN22" s="32"/>
      <c r="FO22" s="29" t="str">
        <f t="shared" ca="1" si="31"/>
        <v>PIERDE TOMA DE TAMIZAJE</v>
      </c>
      <c r="FP22" s="22"/>
      <c r="FQ22" s="32"/>
      <c r="FR22" s="29" t="str">
        <f t="shared" ca="1" si="32"/>
        <v>PIERDE TOMA DE TAMIZAJE</v>
      </c>
      <c r="FS22" s="22"/>
      <c r="FT22" s="32"/>
      <c r="FU22" s="29" t="str">
        <f>IF(AND(FJ22="",FM22="",FP22="",FS22=""),"",IF(OR(OR(Tabla1[[#This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2" s="28"/>
      <c r="FW22" s="22"/>
      <c r="FX22" s="29" t="str">
        <f t="shared" si="33"/>
        <v>TOMAR EXAMEN</v>
      </c>
      <c r="FY22" s="22">
        <v>44869</v>
      </c>
      <c r="FZ22" s="22">
        <v>44869</v>
      </c>
      <c r="GA22" s="29">
        <f t="shared" ca="1" si="34"/>
        <v>11.428571428571429</v>
      </c>
      <c r="GB22" s="22"/>
      <c r="GC22" s="22"/>
      <c r="GD22" s="29" t="str">
        <f t="shared" ca="1" si="35"/>
        <v>PIERDE TOMA DE TAMIZAJE</v>
      </c>
      <c r="GE22" s="22" t="s">
        <v>868</v>
      </c>
      <c r="GF22" s="22">
        <v>45016</v>
      </c>
      <c r="GG22" s="29">
        <f t="shared" ca="1" si="36"/>
        <v>32.428571428571431</v>
      </c>
      <c r="GH22" s="22"/>
      <c r="GI22" s="29"/>
      <c r="GJ22" s="22"/>
      <c r="GK22" s="22"/>
      <c r="GL22" s="22" t="s">
        <v>879</v>
      </c>
      <c r="GM22" s="22"/>
      <c r="GN22" s="28" t="s">
        <v>869</v>
      </c>
      <c r="GO22" s="22">
        <v>44869</v>
      </c>
      <c r="GP22" s="29">
        <f t="shared" si="37"/>
        <v>11.428571428571429</v>
      </c>
      <c r="GQ22" s="28" t="s">
        <v>869</v>
      </c>
      <c r="GR22" s="28" t="s">
        <v>869</v>
      </c>
      <c r="GS22" s="22" t="str">
        <f t="shared" si="38"/>
        <v>CONTROL Igm</v>
      </c>
      <c r="GT22" s="22">
        <v>44869</v>
      </c>
      <c r="GU22" s="29">
        <f t="shared" si="39"/>
        <v>11.428571428571429</v>
      </c>
      <c r="GV22" s="21" t="str">
        <f t="shared" si="40"/>
        <v>I TRIM</v>
      </c>
      <c r="GW22" s="28" t="s">
        <v>869</v>
      </c>
      <c r="GX22" s="30"/>
      <c r="GY22" s="21" t="s">
        <v>906</v>
      </c>
      <c r="GZ22" s="21"/>
      <c r="HA22" s="21"/>
      <c r="HB22" s="21"/>
      <c r="HC22" s="21"/>
      <c r="HD22" s="21"/>
      <c r="HE22" s="21"/>
      <c r="HF22" s="22"/>
      <c r="HG22" s="22" t="str">
        <f>IF(OR(O22&gt;0,R22&gt;0),CONCATENATE(IF(Tabla1[[#This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2" s="22" t="e">
        <f t="shared" si="41"/>
        <v>#REF!</v>
      </c>
      <c r="HI22" s="22" t="e">
        <f t="shared" ca="1" si="42"/>
        <v>#REF!</v>
      </c>
      <c r="HJ22" s="21" t="str">
        <f t="shared" ca="1" si="43"/>
        <v>***************************************</v>
      </c>
      <c r="HK22" s="21" t="str">
        <f t="shared" si="44"/>
        <v>SIN ANTECEDENTES DE RIESGO</v>
      </c>
      <c r="HL22" s="24" t="str">
        <f t="shared" si="45"/>
        <v>REGISTRE DATO PRESIÓN ARTERIAL MENSUAL</v>
      </c>
      <c r="HM22" s="21" t="str">
        <f t="shared" ca="1" si="46"/>
        <v/>
      </c>
      <c r="HN22" s="30" t="str">
        <f t="shared" si="47"/>
        <v>SALIO PROGRAMA</v>
      </c>
      <c r="HO22" s="21"/>
      <c r="HP22" s="21"/>
      <c r="HQ22" s="21">
        <v>44833</v>
      </c>
      <c r="HR22" s="21" t="str">
        <f>IF(R22="","",IF(Tabla1[[#This Row],[ALARMA FACTORES DE RIESGO COMPLICACIONES HIPERTENSIVAS3]]="SIN ANTECEDENTES DE RIESGO","No Aplica para suministro de ASA",IF(AND(Tabla1[[#This Row],[FECHA INICIO DE SUMINISTRO DE ASA]]&gt;0,RV22&lt;12),"Inicia ASA ANTES de Sem 12",IF(AND(RV22&gt;11,RV22&lt;17,OR(HK22="RIESGO ALTO DE COMPLICACIONES HIPERTENSIVAS VER MANEJO GUIA SUMINISTRO ASA Y CALCIO",HK22="RIESGO MODERADO (2 O MAS CRITERIOS) VER MANEJO GUIA SUMINISTRO ASA Y CALCIO")),"Inicio oportuno de ASA",IF(AND(RV22&gt;12,OR(HK22="RIESGO ALTO DE COMPLICACIONES HIPERTENSIVAS VER MANEJO GUIA SUMINISTRO ASA Y CALCIO",HK22="RIESGO MODERADO (2 O MAS CRITERIOS) VER MANEJO GUIA SUMINISTRO ASA Y CALCIO")),"Inicio no oportuno mayor a 16 semanas",IF(AND(BU22&lt;12,OR(HK22="RIESGO ALTO DE COMPLICACIONES HIPERTENSIVAS VER MANEJO GUIA SUMINISTRO ASA Y CALCIO",HK22="RIESGO MODERADO (2 O MAS CRITERIOS) VER MANEJO GUIA SUMINISTRO ASA Y CALCIO")),"Pendiente Inicio de ASA a la semana 12",IF(AND(BU22&gt;11,BU22&lt;17,OR(HK22="RIESGO ALTO DE COMPLICACIONES HIPERTENSIVAS VER MANEJO GUIA SUMINISTRO ASA Y CALCIO",HK22="RIESGO MODERADO (2 O MAS CRITERIOS) VER MANEJO GUIA SUMINISTRO ASA Y CALCIO")),"Iniciar de inmediato ASA",IF(AND(BU22&gt;16,OR(HK22="RIESGO ALTO DE COMPLICACIONES HIPERTENSIVAS VER MANEJO GUIA SUMINISTRO ASA Y CALCIO",HK22="RIESGO MODERADO (2 O MAS CRITERIOS) VER MANEJO GUIA SUMINISTRO ASA Y CALCIO")),"Pierde Oportunidad, Inicio tardío de ASA","XXXXX"))))))))</f>
        <v>No Aplica para suministro de ASA</v>
      </c>
      <c r="HS22" s="22">
        <v>44833</v>
      </c>
      <c r="HT22" s="22" t="s">
        <v>935</v>
      </c>
      <c r="HU22" s="22">
        <v>44833</v>
      </c>
      <c r="HV22" s="22" t="s">
        <v>870</v>
      </c>
      <c r="HW22" s="22">
        <v>44833</v>
      </c>
      <c r="HX22" s="22" t="s">
        <v>870</v>
      </c>
      <c r="HY22" s="22">
        <v>44833</v>
      </c>
      <c r="HZ22" s="28">
        <f t="shared" si="48"/>
        <v>6.2857142857142856</v>
      </c>
      <c r="IA22" s="26"/>
      <c r="IB22" s="26"/>
      <c r="IC22" s="111"/>
      <c r="ID22" s="22">
        <v>44982</v>
      </c>
      <c r="IE22" s="22" t="str">
        <f t="shared" ca="1" si="49"/>
        <v>VACUNA APLICADA ENTRE SEMANA 27 Y EL PARTO</v>
      </c>
      <c r="IF22" s="22"/>
      <c r="IG22" s="22">
        <f t="shared" si="50"/>
        <v>45069</v>
      </c>
      <c r="IH22" s="29">
        <f t="shared" ca="1" si="51"/>
        <v>-163</v>
      </c>
      <c r="II22" s="22" t="str">
        <f t="shared" ca="1" si="52"/>
        <v>POSIBLEMENTE NACIO</v>
      </c>
      <c r="IJ22" s="22"/>
      <c r="IK22" s="21" t="s">
        <v>898</v>
      </c>
      <c r="IL22" s="21"/>
      <c r="IM22" s="34"/>
      <c r="IN22" s="349">
        <v>45054</v>
      </c>
      <c r="IO22" s="21" t="s">
        <v>1640</v>
      </c>
      <c r="IP22" s="29">
        <f t="shared" si="53"/>
        <v>37.857142857142854</v>
      </c>
      <c r="IQ22" s="35"/>
      <c r="IR22" s="21" t="s">
        <v>879</v>
      </c>
      <c r="IS22" s="21" t="s">
        <v>1641</v>
      </c>
      <c r="IT22" s="21" t="s">
        <v>1642</v>
      </c>
      <c r="IU22" s="21"/>
      <c r="IV22" s="21"/>
      <c r="IW22" s="21"/>
      <c r="IX22" s="21"/>
      <c r="IY22" s="21"/>
      <c r="IZ22" s="21"/>
      <c r="JA22" s="21"/>
      <c r="JB22" s="30">
        <v>1</v>
      </c>
      <c r="JC22" s="21" t="s">
        <v>1647</v>
      </c>
      <c r="JD22" s="36">
        <v>3000</v>
      </c>
      <c r="JE22" s="21" t="str">
        <f t="shared" si="54"/>
        <v>PESO ADECUADO EDAD GESTACIONAL</v>
      </c>
      <c r="JF22" s="30"/>
      <c r="JG22" s="21"/>
      <c r="JH22" s="21"/>
      <c r="JI22" s="21"/>
      <c r="JJ22" s="30"/>
      <c r="JK22" s="22"/>
      <c r="JL22" s="22"/>
      <c r="JM22" s="21"/>
      <c r="JN22" s="36"/>
      <c r="JO22" s="21" t="str">
        <f t="shared" si="55"/>
        <v/>
      </c>
      <c r="JP22" s="22"/>
      <c r="JQ22" s="21"/>
      <c r="JR22" s="21"/>
      <c r="JS22" s="21"/>
      <c r="JT22" s="30"/>
      <c r="JU22" s="22"/>
      <c r="JV22" s="22"/>
      <c r="JW22" s="33"/>
      <c r="JX22" s="28" t="str">
        <f t="shared" si="56"/>
        <v>INASISTENTE</v>
      </c>
      <c r="JY22" s="33"/>
      <c r="JZ22" s="28" t="str">
        <f t="shared" si="57"/>
        <v>INASISTENTE</v>
      </c>
      <c r="KA22" s="21"/>
      <c r="KB22" s="21"/>
      <c r="KC22" s="21"/>
      <c r="KD22" s="37"/>
      <c r="KE22" s="28"/>
      <c r="KF22" s="28"/>
      <c r="KG22" s="28"/>
      <c r="KH22" s="39"/>
      <c r="KI22" s="39"/>
      <c r="KJ22" s="66"/>
      <c r="KK22" s="39"/>
      <c r="KL22" s="39"/>
      <c r="KM22" s="66"/>
      <c r="KN22" s="39"/>
      <c r="KO22" s="39"/>
      <c r="KP22" s="39"/>
      <c r="KQ22" s="39"/>
      <c r="KR22" s="39"/>
      <c r="KS22" s="39"/>
      <c r="KT22" s="39"/>
      <c r="KU22" s="38"/>
      <c r="KV22" s="38"/>
      <c r="KW22" s="38"/>
      <c r="KX22" s="38"/>
      <c r="KY22" s="38"/>
      <c r="KZ22" s="38"/>
      <c r="LA22" s="38"/>
      <c r="LB22" s="38"/>
      <c r="LC22" s="38"/>
      <c r="LD22" s="38"/>
      <c r="LE22" s="38"/>
      <c r="LF22" s="38"/>
      <c r="LG22" s="38"/>
      <c r="LH22" s="38"/>
      <c r="LI22" s="38"/>
      <c r="LJ22" s="38"/>
      <c r="LK22" s="38"/>
      <c r="LL22" s="38"/>
      <c r="LM22" s="38"/>
      <c r="LN22" s="38"/>
      <c r="LO22" s="38"/>
      <c r="LP22" s="38"/>
      <c r="LQ22" s="38"/>
      <c r="LR22" s="38"/>
      <c r="LS22" s="38"/>
      <c r="LT22" s="38"/>
      <c r="LU22" s="38"/>
      <c r="LV22" s="38"/>
      <c r="LW22" s="38"/>
      <c r="LX22" s="38"/>
      <c r="LY22" s="38"/>
      <c r="LZ22" s="38"/>
      <c r="MA22" s="38"/>
      <c r="MB22" s="38"/>
      <c r="MC22" s="38"/>
      <c r="MD22" s="38"/>
      <c r="ME22" s="38"/>
      <c r="MF22" s="38"/>
      <c r="MG22" s="38"/>
      <c r="MH22" s="43">
        <f t="shared" si="58"/>
        <v>0</v>
      </c>
      <c r="MI22" s="43" t="str">
        <f t="shared" si="59"/>
        <v/>
      </c>
      <c r="MJ22" s="43" t="str">
        <f t="shared" si="60"/>
        <v/>
      </c>
      <c r="MK22" s="43">
        <f t="shared" si="61"/>
        <v>0</v>
      </c>
      <c r="ML2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13</v>
      </c>
      <c r="MM22" s="43">
        <f t="shared" si="62"/>
        <v>4.4285714285714288</v>
      </c>
      <c r="MN22" s="43">
        <f t="shared" si="63"/>
        <v>9</v>
      </c>
      <c r="MO22" s="43">
        <f t="shared" si="64"/>
        <v>2022</v>
      </c>
      <c r="MP22" s="43" t="str">
        <f t="shared" si="65"/>
        <v>III TRIMESTRE AÑO</v>
      </c>
      <c r="MQ22" s="43">
        <f t="shared" si="66"/>
        <v>21.755913272010513</v>
      </c>
      <c r="MR22" s="43">
        <f t="shared" si="67"/>
        <v>0</v>
      </c>
      <c r="MS22" s="43" t="str">
        <f t="shared" si="68"/>
        <v xml:space="preserve"> DE 20 A 24 AÑOS</v>
      </c>
      <c r="MT22" s="43">
        <f t="shared" si="69"/>
        <v>0</v>
      </c>
      <c r="MU22" s="43">
        <f t="shared" si="70"/>
        <v>0</v>
      </c>
      <c r="MV22" s="43">
        <f t="shared" si="71"/>
        <v>0</v>
      </c>
      <c r="MW22" s="43">
        <f t="shared" si="72"/>
        <v>0</v>
      </c>
      <c r="MX22" s="43" t="str">
        <f t="shared" si="73"/>
        <v/>
      </c>
      <c r="MY22" s="43" t="str">
        <f t="shared" ca="1" si="74"/>
        <v/>
      </c>
      <c r="MZ22" s="43" t="str">
        <f t="shared" si="75"/>
        <v/>
      </c>
      <c r="NA22" s="43">
        <f t="shared" si="76"/>
        <v>0</v>
      </c>
      <c r="NB22" s="43" t="str">
        <f t="shared" si="77"/>
        <v/>
      </c>
      <c r="NC22" s="43" t="str">
        <f t="shared" si="78"/>
        <v/>
      </c>
      <c r="ND22" s="43">
        <f t="shared" ca="1" si="79"/>
        <v>0</v>
      </c>
      <c r="NE22" s="43">
        <f>IF(OR(O22&gt;0,R22&gt;0),SUM(COUNTIF(Tabla1[[#This Row],[AÑOS AL INICIO5 CPN]],"&gt;=40"),COUNTIF(AS22,"0"),COUNTIF(AR22,"SI"),COUNTIF(CC22,"SI"),COUNTIF(BQ22,"&gt;119"),COUNTIF(CI22,"&gt;=35")),"")</f>
        <v>0</v>
      </c>
      <c r="NF22" s="43">
        <f t="shared" si="80"/>
        <v>27.571428571428573</v>
      </c>
      <c r="NG22" s="43">
        <f t="shared" si="81"/>
        <v>0</v>
      </c>
      <c r="NH22" s="43">
        <f t="shared" si="82"/>
        <v>65.8</v>
      </c>
      <c r="NI22"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CPN",P22="NO"),"Z",IF(AND(Tabla1[[#This Row],[CITA PROXIMO CONTROL]]="CITA MANUAL",Tabla1[[#This Row],[GESTANTES ACTUALES]]="ACTIVA INGRESO A CPN"),"W",IF(AND(Tabla1[[#This Row],[GESTANTES ACTUALES]]="SALIO PROGRAMA",IN22=""),"S",IF(AND(Tabla1[[#This Row],[CITA PROXIMO CONTROL]]&gt;0,IN22=""),(Tabla1[[#This Row],[CITA PROXIMO CONTROL]]-TODAY()),"SD"))))))))</f>
        <v>SD</v>
      </c>
      <c r="NJ22" s="43">
        <f>MONTH(Tabla1[[#This Row],[FECHA DE SALIDA  DEL PROGRAMA]])</f>
        <v>5</v>
      </c>
      <c r="NK22" s="43">
        <f>YEAR(Tabla1[[#This Row],[FECHA DE SALIDA  DEL PROGRAMA]])</f>
        <v>2023</v>
      </c>
      <c r="NL22" s="43">
        <f t="shared" si="83"/>
        <v>61</v>
      </c>
      <c r="NM22" s="43" t="str">
        <f t="shared" si="84"/>
        <v>NO</v>
      </c>
      <c r="NN22" s="43" t="str">
        <f ca="1">IF(AND(O22&gt;0,R22=""),"NO CPN",IF(AND(O22="",R22=""),"",IF(AND(R22&gt;0,Tabla1[[#This Row],[SEMANAS DE GESTACION ACTUALIZADAS]]&lt;=12),"NO APLICA",IF(AND(FH22&lt;&gt;"",FN22&lt;&gt;""),"SI","NO"))))</f>
        <v>NO</v>
      </c>
      <c r="NO22" s="43" t="str">
        <f ca="1">IF(AND(O22&gt;0,R22=""),"NO CPN",IF(AND(O22="",R22=""),"",IF(AND(R22&gt;0,Tabla1[[#This Row],[SEMANAS DE GESTACION ACTUALIZADAS]]&lt;=27),"NO APLICA",IF(AND(ES22&lt;&gt;"",FQ22&lt;&gt;"",GF22&lt;&gt;""),"SI","NO"))))</f>
        <v>NO</v>
      </c>
      <c r="NP22" s="204" t="str">
        <f t="shared" si="85"/>
        <v>I TRIM</v>
      </c>
      <c r="NQ22" s="21">
        <f t="shared" si="86"/>
        <v>10</v>
      </c>
      <c r="NR22" s="21">
        <f t="shared" si="87"/>
        <v>3</v>
      </c>
      <c r="NS22" s="205">
        <f t="shared" ca="1" si="88"/>
        <v>1</v>
      </c>
      <c r="NT22" s="21">
        <f t="shared" ca="1" si="89"/>
        <v>2</v>
      </c>
      <c r="NU22" s="21" t="str">
        <f t="shared" ca="1" si="90"/>
        <v>INCOMPLETO</v>
      </c>
      <c r="NV22" s="21" t="str">
        <f t="shared" ca="1" si="91"/>
        <v>INCOMPLETO</v>
      </c>
      <c r="NW22" s="206" t="str">
        <f>IF(AND(O22="",R22=""),"",IF(OR(AND(Tabla1[[#This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2" s="207" t="str">
        <f t="shared" ca="1" si="92"/>
        <v>VACUNADA</v>
      </c>
      <c r="NY22" s="43">
        <f>ROW(Tabla1[[#This Row],['# DE TAMIZAJES SIFILIS TOMADOS ]])</f>
        <v>22</v>
      </c>
      <c r="NZ22" s="43" t="str">
        <f t="shared" si="93"/>
        <v>Menor</v>
      </c>
      <c r="OA22" s="43" t="str">
        <f t="shared" si="94"/>
        <v>SOBREPESO</v>
      </c>
      <c r="OB22" s="43" t="str">
        <f t="shared" si="95"/>
        <v/>
      </c>
      <c r="OC22" s="43" t="str">
        <f t="shared" si="96"/>
        <v/>
      </c>
      <c r="OD22" s="43" t="str">
        <f t="shared" si="97"/>
        <v/>
      </c>
      <c r="OE22" s="43" t="str">
        <f t="shared" si="98"/>
        <v/>
      </c>
      <c r="OF22" s="43" t="str">
        <f t="shared" si="99"/>
        <v/>
      </c>
      <c r="OG22" s="43" t="str">
        <f t="shared" si="100"/>
        <v/>
      </c>
      <c r="OH22" s="43" t="str">
        <f t="shared" si="101"/>
        <v/>
      </c>
      <c r="OI22" s="43" t="str">
        <f t="shared" si="102"/>
        <v/>
      </c>
      <c r="OJ22" s="43" t="str">
        <f t="shared" si="103"/>
        <v/>
      </c>
      <c r="OK22" s="43" t="str">
        <f t="shared" si="104"/>
        <v/>
      </c>
      <c r="OL22" s="43" t="str">
        <f t="shared" si="105"/>
        <v/>
      </c>
      <c r="OM22" s="43" t="str">
        <f t="shared" si="106"/>
        <v/>
      </c>
      <c r="ON22" s="43" t="str">
        <f t="shared" si="107"/>
        <v/>
      </c>
      <c r="OO22" s="43" t="str">
        <f t="shared" si="108"/>
        <v/>
      </c>
      <c r="OP22" s="43" t="str">
        <f t="shared" si="109"/>
        <v/>
      </c>
      <c r="OQ22" s="43" t="str">
        <f t="shared" si="110"/>
        <v/>
      </c>
      <c r="OR22" s="43" t="str">
        <f t="shared" si="111"/>
        <v/>
      </c>
      <c r="OS22" s="43" t="str">
        <f t="shared" si="112"/>
        <v/>
      </c>
      <c r="OT22" s="43" t="str">
        <f t="shared" si="113"/>
        <v/>
      </c>
      <c r="OU22" s="43" t="str">
        <f t="shared" si="114"/>
        <v/>
      </c>
      <c r="OV22" s="110" t="str">
        <f t="shared" si="115"/>
        <v/>
      </c>
      <c r="OW22" s="43" t="str">
        <f t="shared" si="116"/>
        <v/>
      </c>
      <c r="OX22" s="43" t="str">
        <f t="shared" si="117"/>
        <v/>
      </c>
      <c r="OY22" s="43" t="str">
        <f t="shared" si="118"/>
        <v/>
      </c>
      <c r="OZ22" s="43" t="str">
        <f t="shared" si="119"/>
        <v/>
      </c>
      <c r="PA22" s="43" t="str">
        <f t="shared" si="120"/>
        <v/>
      </c>
      <c r="PB22" s="43" t="str">
        <f t="shared" si="121"/>
        <v/>
      </c>
      <c r="PC22" s="43" t="str">
        <f t="shared" si="122"/>
        <v/>
      </c>
      <c r="PD22" s="43" t="str">
        <f t="shared" si="123"/>
        <v/>
      </c>
      <c r="PE22" s="43" t="str">
        <f t="shared" si="124"/>
        <v/>
      </c>
      <c r="PF22" s="43" t="str">
        <f t="shared" si="125"/>
        <v/>
      </c>
      <c r="PG22" s="43" t="str">
        <f t="shared" si="126"/>
        <v/>
      </c>
      <c r="PH22" s="43" t="str">
        <f t="shared" si="127"/>
        <v/>
      </c>
      <c r="PI22" s="43">
        <f t="shared" si="128"/>
        <v>32</v>
      </c>
      <c r="PJ22" s="43" t="str">
        <f t="shared" si="129"/>
        <v/>
      </c>
      <c r="PK22" s="43" t="str">
        <f t="shared" si="130"/>
        <v/>
      </c>
      <c r="PL22" s="43" t="str">
        <f t="shared" si="131"/>
        <v/>
      </c>
      <c r="PM22" s="43" t="str">
        <f t="shared" si="132"/>
        <v/>
      </c>
      <c r="PN22" s="43" t="str">
        <f t="shared" si="133"/>
        <v/>
      </c>
      <c r="PO22" s="43" t="str">
        <f t="shared" si="134"/>
        <v/>
      </c>
      <c r="PP22" s="43" t="str">
        <f t="shared" si="135"/>
        <v/>
      </c>
      <c r="PQ22" s="43" t="str">
        <f t="shared" si="136"/>
        <v/>
      </c>
      <c r="PR22" s="43" t="str">
        <f t="shared" si="137"/>
        <v/>
      </c>
      <c r="PS22" s="43" t="str">
        <f t="shared" si="138"/>
        <v/>
      </c>
      <c r="PT22" s="43" t="str">
        <f t="shared" si="139"/>
        <v/>
      </c>
      <c r="PU22" s="43" t="str">
        <f t="shared" si="140"/>
        <v/>
      </c>
      <c r="PV22" s="43" t="str">
        <f t="shared" si="141"/>
        <v/>
      </c>
      <c r="PW22" s="43" t="str">
        <f t="shared" si="142"/>
        <v/>
      </c>
      <c r="PX22" s="43" t="str">
        <f t="shared" si="143"/>
        <v/>
      </c>
      <c r="PY22" s="43" t="str">
        <f t="shared" si="144"/>
        <v/>
      </c>
      <c r="PZ22" s="43" t="str">
        <f t="shared" si="145"/>
        <v/>
      </c>
      <c r="QA22" s="43" t="str">
        <f t="shared" si="146"/>
        <v/>
      </c>
      <c r="QB22" s="43" t="str">
        <f t="shared" si="147"/>
        <v/>
      </c>
      <c r="QC22" s="43" t="str">
        <f t="shared" si="148"/>
        <v/>
      </c>
      <c r="QD22" s="43" t="str">
        <f t="shared" si="149"/>
        <v/>
      </c>
      <c r="QE22" s="43" t="str">
        <f t="shared" si="150"/>
        <v/>
      </c>
      <c r="QF22" s="43" t="str">
        <f t="shared" si="151"/>
        <v/>
      </c>
      <c r="QG22" s="43" t="str">
        <f t="shared" si="152"/>
        <v/>
      </c>
      <c r="QH22" s="43" t="str">
        <f t="shared" si="153"/>
        <v/>
      </c>
      <c r="QI22" s="43" t="str">
        <f t="shared" si="154"/>
        <v/>
      </c>
      <c r="QJ22" s="43" t="str">
        <f t="shared" si="155"/>
        <v/>
      </c>
      <c r="QK22" s="43" t="str">
        <f t="shared" si="156"/>
        <v/>
      </c>
      <c r="QL22" s="43" t="str">
        <f t="shared" si="157"/>
        <v/>
      </c>
      <c r="QM22" s="43" t="str">
        <f t="shared" si="158"/>
        <v/>
      </c>
      <c r="QN22" s="43" t="str">
        <f t="shared" si="159"/>
        <v/>
      </c>
      <c r="QO22" s="43" t="str">
        <f t="shared" si="160"/>
        <v/>
      </c>
      <c r="QP22" s="43" t="str">
        <f t="shared" si="161"/>
        <v/>
      </c>
      <c r="QQ22" s="43" t="str">
        <f t="shared" si="162"/>
        <v/>
      </c>
      <c r="QR22" s="43">
        <f t="shared" si="192"/>
        <v>32</v>
      </c>
      <c r="QS22" s="43"/>
      <c r="QT22" s="21" t="str">
        <f t="shared" si="163"/>
        <v/>
      </c>
      <c r="QU22" s="21" t="str">
        <f t="shared" si="164"/>
        <v/>
      </c>
      <c r="QV22" s="21" t="str">
        <f t="shared" si="165"/>
        <v/>
      </c>
      <c r="QW22" s="21" t="str">
        <f t="shared" si="166"/>
        <v/>
      </c>
      <c r="QX22" s="21" t="str">
        <f t="shared" si="167"/>
        <v/>
      </c>
      <c r="QY22" s="21" t="str">
        <f t="shared" si="168"/>
        <v/>
      </c>
      <c r="QZ22" s="21" t="str">
        <f t="shared" si="169"/>
        <v/>
      </c>
      <c r="RA22" s="21" t="str">
        <f t="shared" si="170"/>
        <v/>
      </c>
      <c r="RB22" s="21" t="str">
        <f t="shared" si="171"/>
        <v/>
      </c>
      <c r="RC22" s="21" t="str">
        <f t="shared" si="172"/>
        <v/>
      </c>
      <c r="RD22" s="21" t="str">
        <f t="shared" si="173"/>
        <v/>
      </c>
      <c r="RE22" s="21" t="str">
        <f t="shared" si="174"/>
        <v/>
      </c>
      <c r="RF22" s="21" t="str">
        <f t="shared" si="175"/>
        <v/>
      </c>
      <c r="RG22" s="21" t="str">
        <f t="shared" si="176"/>
        <v/>
      </c>
      <c r="RH22" s="21" t="str">
        <f t="shared" si="177"/>
        <v/>
      </c>
      <c r="RI22" s="21" t="str">
        <f t="shared" si="178"/>
        <v/>
      </c>
      <c r="RJ22" s="21" t="str">
        <f t="shared" si="179"/>
        <v/>
      </c>
      <c r="RK22" s="21" t="str">
        <f t="shared" si="180"/>
        <v/>
      </c>
      <c r="RL22" s="21" t="str">
        <f t="shared" si="181"/>
        <v/>
      </c>
      <c r="RM22" s="21" t="str">
        <f t="shared" si="182"/>
        <v/>
      </c>
      <c r="RN22" s="21" t="str">
        <f t="shared" si="183"/>
        <v/>
      </c>
      <c r="RO22" s="21" t="str">
        <f t="shared" si="184"/>
        <v/>
      </c>
      <c r="RP22" s="21" t="str">
        <f t="shared" si="185"/>
        <v/>
      </c>
      <c r="RQ22" s="21" t="str">
        <f t="shared" si="186"/>
        <v/>
      </c>
      <c r="RR22" s="21" t="str">
        <f t="shared" si="187"/>
        <v/>
      </c>
      <c r="RS22" s="21" t="str">
        <f t="shared" si="188"/>
        <v/>
      </c>
      <c r="RT22" s="21" t="str">
        <f t="shared" si="189"/>
        <v/>
      </c>
      <c r="RU22" s="21" t="str">
        <f t="shared" si="190"/>
        <v/>
      </c>
      <c r="RV22" s="21">
        <f t="shared" si="191"/>
        <v>6.2857142857142856</v>
      </c>
      <c r="RW22" s="284">
        <f>IF(OR(Tabla1[[#This Row],[FUM FORMULA CONFIABLE]]="",Tabla1[[#This Row],[FUM FORMULA CONFIABLE]]="SD"),"",IF(Tabla1[[#This Row],[FUM FORMULA CONFIABLE]]="CORREGIDA",Tabla1[[#This Row],[FUM X ECO 1]],Tabla1[[#This Row],[FUM x AMENORREA]]))</f>
        <v>44789</v>
      </c>
      <c r="RX22" s="21">
        <f>IF(AND(Tabla1[[#This Row],[FUM X ECO 1]]="",Tabla1[[#This Row],[FUM x AMENORREA]]=""),"",IF(AND(Tabla1[[#This Row],[FUM X ECO 1]]="",Tabla1[[#This Row],[FUM x AMENORREA]]&lt;&gt;""),"X",SUM(Tabla1[[#This Row],[FUM X ECO 1]]-Tabla1[[#This Row],[FUM x AMENORREA]])))</f>
        <v>0.19999999999708962</v>
      </c>
      <c r="RY22" s="21">
        <f t="shared" si="193"/>
        <v>0</v>
      </c>
    </row>
    <row r="23" spans="1:493" ht="45" customHeight="1" x14ac:dyDescent="0.25">
      <c r="A23" s="109"/>
      <c r="B23" s="43" t="s">
        <v>983</v>
      </c>
      <c r="C23" s="43" t="s">
        <v>845</v>
      </c>
      <c r="D23" s="124" t="s">
        <v>846</v>
      </c>
      <c r="E23" s="43" t="s">
        <v>937</v>
      </c>
      <c r="F23" s="43" t="s">
        <v>984</v>
      </c>
      <c r="G23" s="43" t="s">
        <v>985</v>
      </c>
      <c r="H23" s="43" t="s">
        <v>986</v>
      </c>
      <c r="I23" s="109" t="s">
        <v>851</v>
      </c>
      <c r="J23" s="110">
        <v>1059595259</v>
      </c>
      <c r="K23" s="43" t="s">
        <v>852</v>
      </c>
      <c r="L23" s="175" t="s">
        <v>886</v>
      </c>
      <c r="M23" s="22">
        <v>38454</v>
      </c>
      <c r="N23" s="213">
        <f t="shared" ca="1" si="0"/>
        <v>18.56986301369863</v>
      </c>
      <c r="O23" s="22">
        <v>44835</v>
      </c>
      <c r="P23" s="214" t="str">
        <f t="shared" si="1"/>
        <v>SI</v>
      </c>
      <c r="Q23" s="26" t="s">
        <v>855</v>
      </c>
      <c r="R23" s="22">
        <v>44835</v>
      </c>
      <c r="S23" s="21" t="s">
        <v>856</v>
      </c>
      <c r="T23" s="24" t="s">
        <v>690</v>
      </c>
      <c r="U23" s="21" t="s">
        <v>857</v>
      </c>
      <c r="V23" s="21" t="s">
        <v>858</v>
      </c>
      <c r="W23" s="21" t="s">
        <v>987</v>
      </c>
      <c r="X23" s="21" t="s">
        <v>987</v>
      </c>
      <c r="Y23" s="21" t="s">
        <v>859</v>
      </c>
      <c r="Z23" s="21">
        <v>3163016940</v>
      </c>
      <c r="AA23" s="21" t="s">
        <v>860</v>
      </c>
      <c r="AB23" s="27" t="s">
        <v>861</v>
      </c>
      <c r="AC23" s="26" t="s">
        <v>897</v>
      </c>
      <c r="AD23" s="38" t="s">
        <v>846</v>
      </c>
      <c r="AE23" s="26" t="s">
        <v>854</v>
      </c>
      <c r="AF23" s="26" t="s">
        <v>854</v>
      </c>
      <c r="AG23" s="23" t="s">
        <v>864</v>
      </c>
      <c r="AH23" s="23" t="s">
        <v>864</v>
      </c>
      <c r="AI23" s="24" t="s">
        <v>863</v>
      </c>
      <c r="AJ23" s="23" t="s">
        <v>864</v>
      </c>
      <c r="AK23" s="220" t="str">
        <f>IF(AND(AD23="",AE23="",AF23="",AG23="",AH23="",AI23="",AJ23=""),"",IF(OR(Tabla1[[#This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EVALUACIÓN",IF(AND(O23="",R23=""),"",IF(AND(OR(O23&gt;0,R23&gt;0),NG23&gt;=0,NG23&lt;2),"SIN RIESGO",IF(AND(OR(O23&gt;0,R23&gt;0),NG23&gt;=2),"CON RIESGO","ASD")))))</f>
        <v>SIN RIESGO</v>
      </c>
      <c r="AL23" s="23" t="s">
        <v>864</v>
      </c>
      <c r="AM23" s="26" t="s">
        <v>864</v>
      </c>
      <c r="AN23" s="26" t="s">
        <v>864</v>
      </c>
      <c r="AO23" s="26" t="s">
        <v>864</v>
      </c>
      <c r="AP23" s="26" t="s">
        <v>864</v>
      </c>
      <c r="AQ23" s="26" t="s">
        <v>864</v>
      </c>
      <c r="AR23" s="26" t="s">
        <v>864</v>
      </c>
      <c r="AS23" s="21">
        <v>1</v>
      </c>
      <c r="AT23" s="21">
        <v>0</v>
      </c>
      <c r="AU23" s="21">
        <v>0</v>
      </c>
      <c r="AV23" s="26" t="s">
        <v>864</v>
      </c>
      <c r="AW23" s="21"/>
      <c r="AX23" s="26" t="s">
        <v>864</v>
      </c>
      <c r="AY23" s="26" t="s">
        <v>864</v>
      </c>
      <c r="AZ23" s="26" t="s">
        <v>864</v>
      </c>
      <c r="BA23" s="26" t="s">
        <v>864</v>
      </c>
      <c r="BB23" s="26" t="s">
        <v>864</v>
      </c>
      <c r="BC23" s="26" t="s">
        <v>864</v>
      </c>
      <c r="BD23" s="26" t="s">
        <v>864</v>
      </c>
      <c r="BE23" s="26" t="s">
        <v>864</v>
      </c>
      <c r="BF23" s="26" t="s">
        <v>864</v>
      </c>
      <c r="BG23" s="26" t="s">
        <v>864</v>
      </c>
      <c r="BH23" s="26" t="s">
        <v>864</v>
      </c>
      <c r="BI23" s="26" t="s">
        <v>864</v>
      </c>
      <c r="BJ23" s="26"/>
      <c r="BK23" s="26"/>
      <c r="BL23" s="26" t="s">
        <v>864</v>
      </c>
      <c r="BM23" s="26" t="s">
        <v>864</v>
      </c>
      <c r="BN23" s="22"/>
      <c r="BO23" s="22">
        <v>44803</v>
      </c>
      <c r="BP23" s="21" t="s">
        <v>854</v>
      </c>
      <c r="BQ23" s="222">
        <f t="shared" si="2"/>
        <v>0</v>
      </c>
      <c r="BR23" s="223">
        <f t="shared" si="3"/>
        <v>44787.6</v>
      </c>
      <c r="BS23" s="224">
        <f t="shared" si="4"/>
        <v>4.5714285714285712</v>
      </c>
      <c r="BT23" s="216" t="str">
        <f t="shared" si="5"/>
        <v>I TRIM</v>
      </c>
      <c r="BU23" s="214" t="str">
        <f t="shared" ca="1" si="6"/>
        <v/>
      </c>
      <c r="BV23" s="25" t="s">
        <v>988</v>
      </c>
      <c r="BW23" s="22">
        <v>44992</v>
      </c>
      <c r="BX23" s="28">
        <v>29.2</v>
      </c>
      <c r="BY23" s="28" t="s">
        <v>989</v>
      </c>
      <c r="BZ23" s="22">
        <v>45035</v>
      </c>
      <c r="CA23" s="21">
        <v>34.1</v>
      </c>
      <c r="CB23" s="26" t="s">
        <v>864</v>
      </c>
      <c r="CC23" s="26" t="s">
        <v>864</v>
      </c>
      <c r="CD23" s="26"/>
      <c r="CE23" s="26" t="s">
        <v>864</v>
      </c>
      <c r="CF23" s="22" t="s">
        <v>1517</v>
      </c>
      <c r="CG23" s="21">
        <v>1.52</v>
      </c>
      <c r="CH23" s="21">
        <v>51.5</v>
      </c>
      <c r="CI23" s="214">
        <f t="shared" si="7"/>
        <v>22.290512465373961</v>
      </c>
      <c r="CJ23" s="225" t="str">
        <f>IF(AND(CI23&lt;10,CH23="SD"),"SIN DATO PESO PREGESTACION O I TRIM",IF(AND(OR(R23&gt;0,O23&gt;0),CI23="X"),"INGRESAR DATO DE PESO",IF(CI23="SD","INGRESAR DATO DE TALLA Y PESO",IF(AND(OR(Tabla1[[#This Row],[MOMENTO EN QUE SE REALIZA EL PESO AL INGRESO A CPN]]="PREGESTACIÓN",NZ23="Menor"),CI23&lt;18.5),"BAJO PESO",IF(AND(OR(Tabla1[[#This Row],[MOMENTO EN QUE SE REALIZA EL PESO AL INGRESO A CPN]]="PREGESTACIÓN",NZ23="Menor"),CI23&lt;25),"NORMAL",IF(AND(OR(Tabla1[[#This Row],[MOMENTO EN QUE SE REALIZA EL PESO AL INGRESO A CPN]]="PREGESTACIÓN",NZ23="Menor"),CI23&lt;30),"SOBREPESO",IF(AND(OR(Tabla1[[#This Row],[MOMENTO EN QUE SE REALIZA EL PESO AL INGRESO A CPN]]="PREGESTACIÓN",NZ23="Menor"),CI23&gt;=30,CI23&lt;50),"OBESIDAD",IF(AND(BS23&gt;0,Tabla1[[#This Row],[MOMENTO EN QUE SE REALIZA EL PESO AL INGRESO A CPN]]="GESTACIÓN"),HLOOKUP(NZ23,$OA$2:PH23,NY23),""))))))))</f>
        <v>NORMAL</v>
      </c>
      <c r="CK23" s="212">
        <f t="shared" si="8"/>
        <v>45048</v>
      </c>
      <c r="CL23" s="21">
        <v>62.2</v>
      </c>
      <c r="CM23" s="214">
        <f t="shared" si="9"/>
        <v>26.921745152354571</v>
      </c>
      <c r="CN23" s="216">
        <f t="shared" si="10"/>
        <v>35</v>
      </c>
      <c r="CO23" s="216" t="e">
        <f>IF(PI23="","",IF(PI23&gt;0,HLOOKUP(PI23,$PJ$2:QQ23,NY23),""))</f>
        <v>#REF!</v>
      </c>
      <c r="CP23" s="21"/>
      <c r="CQ23" s="216" t="e">
        <f>IF(QR23="Menor","NO APLICA-MENOR 13 SEM",IF(AND(CC23="SI",CN23&gt;23),"NO APLICA- GEMELAR",IF(QR23="","",IF(QR23&gt;0,HLOOKUP(QR23,$QS$2:RU23,NY23),""))))</f>
        <v>#REF!</v>
      </c>
      <c r="CR23" s="21">
        <v>100</v>
      </c>
      <c r="CS23" s="21">
        <v>60</v>
      </c>
      <c r="CT23" s="217" t="str">
        <f>IF(R23="","",IF(AND(BS23&gt;1,BS23&lt;12,Tabla1[[#This Row],[T.A. SISTOLICA - ANTES DE SEMANA 12]]="",Tabla1[[#This Row],[T.A. DIASTOLICA - ANTES DE SEMANA 12]]=""),"REGISTRE DATO TA ANTES SEMANA 12",IF(AND(BS23&gt;11,BS23&lt;43,Tabla1[[#This Row],[T.A. SISTOLICA - ANTES DE SEMANA 12]]="",Tabla1[[#This Row],[T.A. DIASTOLICA - ANTES DE SEMANA 12]]=""),"NO APLICA REGISTRO TA-INGRESO TARDIO",IF(AND(OR(O23&gt;0,R23&gt;0),OR(CR23&gt;=140,CS23&gt;=90)),"DEFINIR ESTADIO HTA",IF(AND(OR(O23&gt;0,R23&gt;0),AND(CR23&gt;120,CR23&lt;=139)),"PRE HTA SEGUIMIENTO",IF(AND(OR(O23&gt;0,R23&gt;0),AND(CS23&gt;80,CS23&lt;=89)),"PRE HTA SEGUIMIENTO",IF(AND(OR(O23&gt;0,R23&gt;0),AND(CR23&gt;=80,CR23&lt;=120)),"APARENTEMENTE NORMAL",IF(AND(OR(O23&gt;0,R23&gt;0),AND(CS23&gt;=50,CS23&lt;=80)),"APARENTEMENTE NORMAL",IF(AND(OR(O23&gt;0,R23&gt;0),AND(CR23&gt;1,CR23&lt;=70),AND(CS23&gt;1,CS23&lt;=40)),"HIPOTENSIÓN","")))))))))</f>
        <v>APARENTEMENTE NORMAL</v>
      </c>
      <c r="CU23" s="21">
        <v>100</v>
      </c>
      <c r="CV23" s="21">
        <v>60</v>
      </c>
      <c r="CW23" s="217" t="str">
        <f ca="1">IF(R23="","",IF(AND(CN23&gt;19,CN23&lt;27,Tabla1[[#This Row],[T.A. SISTOLICA (Entre semana 20 y 26)]]="",Tabla1[[#This Row],[T.A. DIATOLICA (Entre semana 20 y 26)]]=""),"ACUDE A CONTROL SEM 20 A 26 REGISTRE TA AHORA",IF(AND(BS23&gt;1,BS23&lt;27,BU23&gt;19,Tabla1[[#This Row],[T.A. SISTOLICA (Entre semana 20 y 26)]]="",Tabla1[[#This Row],[T.A. DIATOLICA (Entre semana 20 y 26)]]=""),"COMPLETE REGISTRO TA CONTROL SEM 20 A26 ",IF(AND(BS23&gt;26,BS23&lt;43,Tabla1[[#This Row],[T.A. SISTOLICA (Entre semana 20 y 26)]]="",Tabla1[[#This Row],[T.A. DIATOLICA (Entre semana 20 y 26)]]=""),"NO APLICA REGISTRO TA-INGRESO TARDIO",IF(AND(OR(O23&gt;0,R23&gt;0),OR(CU23&gt;=140,CV23&gt;=90)),"ALTO RIESGO PREECLAMPSIA,DEFINIR ESTADIO HTA",IF(AND(OR(O23&gt;0,R23&gt;0),AND(CU23&gt;120,CU23&lt;=139)),"PRE HTA SEGUIMIENTO,RIESGO HIPERTENSION INDUCIDA POR EL EMBARAZO",IF(AND(OR(O23&gt;0,R23&gt;0),AND(CV23&gt;80,CV23&lt;=89)),"PRE HTA SEGUIMIENTO, RIESGO HIPERTENSION INDUCIDA POR EL EMBARAZO",IF(AND(OR(O23&lt;&gt;"",R23&lt;&gt;""),CS23&lt;&gt;"",CV23&lt;&gt;"",CS23&lt;=CV23),"VIGILAR CIFRAS PRESION ARTERIAL",IF(AND(OR(O23&gt;0,R23&gt;0),AND(CU23&gt;120,CU23&lt;=139)),"PRE HTA SEGUIMIENTO",IF(AND(OR(O23&gt;0,R23&gt;0),AND(CU23&gt;1,CU23&lt;=70),AND(CV23&gt;1,CV23&lt;=40)),"HIPOTENSIÓN",IF(AND(OR(O23&lt;&gt;"",R23&lt;&gt;""),CS23&lt;&gt;"",CV23&lt;&gt;"",CS23&gt;CV23),"APARENTEMENTE NORMAL",IF(AND(OR(O23&gt;0,R23&gt;0),AND(CU23&gt;=80,CU23&lt;=120)),"APARENTEMENTE NORMAL",IF(AND(OR(O23&gt;0,R23&gt;0),AND(CV23&gt;=50,CV23&lt;=80)),"APARENTEMENTE NORMAL","")))))))))))))</f>
        <v>VIGILAR CIFRAS PRESION ARTERIAL</v>
      </c>
      <c r="CX23" s="21"/>
      <c r="CY23" s="21"/>
      <c r="CZ23" s="216" t="str">
        <f t="shared" si="11"/>
        <v/>
      </c>
      <c r="DA23" s="21">
        <v>100</v>
      </c>
      <c r="DB23" s="21">
        <v>60</v>
      </c>
      <c r="DC23" s="217" t="str">
        <f t="shared" si="12"/>
        <v>APARENTEMENTE NORMAL</v>
      </c>
      <c r="DD23" s="22">
        <v>44835</v>
      </c>
      <c r="DE23" s="22">
        <v>44835</v>
      </c>
      <c r="DF23" s="22">
        <v>44961</v>
      </c>
      <c r="DG23" s="22">
        <v>44985</v>
      </c>
      <c r="DH23" s="22">
        <v>45048</v>
      </c>
      <c r="DI23" s="22"/>
      <c r="DJ23" s="22"/>
      <c r="DK23" s="22"/>
      <c r="DL23" s="22"/>
      <c r="DM23" s="22"/>
      <c r="DN23" s="22"/>
      <c r="DO23" s="22"/>
      <c r="DP23" s="22"/>
      <c r="DQ23" s="22"/>
      <c r="DR23" s="28">
        <v>1</v>
      </c>
      <c r="DS23" s="22"/>
      <c r="DT23" s="22"/>
      <c r="DU23" s="216" t="str">
        <f t="shared" ca="1" si="13"/>
        <v>SALE SIN PLAN DE PARTO</v>
      </c>
      <c r="DV23" s="226" t="str">
        <f t="shared" si="14"/>
        <v>SALIO PROGRAMA</v>
      </c>
      <c r="DW23"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23" s="216" t="str">
        <f t="shared" ca="1" si="15"/>
        <v/>
      </c>
      <c r="DY23" s="212">
        <f>IF(R23="","",IF(R23&gt;0,MAX(Tabla1[[#This Row],[FECHA C2]:[FECHA C13]],Tabla1[[#This Row],[FECHA CONSULTA PRIMERA VEZ PROGRAMA CPN ]])))</f>
        <v>45048</v>
      </c>
      <c r="DZ23" s="216">
        <f t="shared" si="16"/>
        <v>35</v>
      </c>
      <c r="EA23" s="222">
        <f>IF(R23&gt;0,SUM(COUNTA(DF23:DQ23)+COUNTA(Tabla1[[#This Row],[FECHA CONSULTA PRIMERA VEZ PROGRAMA CPN ]])),"")</f>
        <v>4</v>
      </c>
      <c r="EB23" s="222" t="str">
        <f t="shared" si="17"/>
        <v>SI</v>
      </c>
      <c r="EC23" s="214">
        <f t="shared" si="18"/>
        <v>10</v>
      </c>
      <c r="ED23" s="227">
        <f t="shared" si="19"/>
        <v>0.4</v>
      </c>
      <c r="EE23" s="22">
        <v>44835</v>
      </c>
      <c r="EF23" s="22">
        <v>44895</v>
      </c>
      <c r="EG23" s="22">
        <v>44835</v>
      </c>
      <c r="EH23" s="22">
        <v>44974</v>
      </c>
      <c r="EI23" s="22">
        <v>44835</v>
      </c>
      <c r="EJ23" s="22">
        <v>44974</v>
      </c>
      <c r="EK23" s="22">
        <v>44974</v>
      </c>
      <c r="EL23" s="21">
        <v>1</v>
      </c>
      <c r="EM23" s="21">
        <v>15.8</v>
      </c>
      <c r="EN23" s="22">
        <v>44835</v>
      </c>
      <c r="EO23" s="222">
        <f t="shared" si="20"/>
        <v>4.5714285714285712</v>
      </c>
      <c r="EP23" s="214" t="str">
        <f t="shared" si="21"/>
        <v>NO DAR SULFATO FERROSO</v>
      </c>
      <c r="EQ23" s="216" t="str">
        <f t="shared" si="22"/>
        <v>I TRIM</v>
      </c>
      <c r="ER23" s="24"/>
      <c r="ES23" s="22"/>
      <c r="ET23" s="29" t="str">
        <f t="shared" ca="1" si="23"/>
        <v>SALE SIN TAMIZAJE HEMOGLOBINA SEM 28</v>
      </c>
      <c r="EU23" s="25" t="str">
        <f t="shared" si="24"/>
        <v/>
      </c>
      <c r="EV23" s="24" t="s">
        <v>866</v>
      </c>
      <c r="EW23" s="24">
        <v>44835</v>
      </c>
      <c r="EX23" s="22"/>
      <c r="EY23" s="29">
        <f t="shared" si="25"/>
        <v>4.5714285714285712</v>
      </c>
      <c r="EZ23" s="25" t="str">
        <f t="shared" ca="1" si="26"/>
        <v/>
      </c>
      <c r="FA23" s="21">
        <v>79</v>
      </c>
      <c r="FB23" s="22">
        <v>44835</v>
      </c>
      <c r="FC23" s="29">
        <f t="shared" si="27"/>
        <v>4.5714285714285712</v>
      </c>
      <c r="FD23" s="29"/>
      <c r="FE23" s="29">
        <v>94</v>
      </c>
      <c r="FF23" s="29">
        <v>57</v>
      </c>
      <c r="FG23" s="21" t="str">
        <f t="shared" ca="1" si="28"/>
        <v/>
      </c>
      <c r="FH23" s="31">
        <v>44994</v>
      </c>
      <c r="FI23" s="29">
        <f t="shared" si="29"/>
        <v>27.285714285714285</v>
      </c>
      <c r="FJ23" s="22" t="s">
        <v>867</v>
      </c>
      <c r="FK23" s="22">
        <v>44835</v>
      </c>
      <c r="FL23" s="29">
        <f t="shared" ca="1" si="30"/>
        <v>4.5714285714285712</v>
      </c>
      <c r="FM23" s="22"/>
      <c r="FN23" s="32"/>
      <c r="FO23" s="29" t="str">
        <f t="shared" ca="1" si="31"/>
        <v>PIERDE TOMA DE TAMIZAJE</v>
      </c>
      <c r="FP23" s="22" t="s">
        <v>867</v>
      </c>
      <c r="FQ23" s="32">
        <v>44994</v>
      </c>
      <c r="FR23" s="29">
        <f t="shared" ca="1" si="32"/>
        <v>27.285714285714285</v>
      </c>
      <c r="FS23" s="22"/>
      <c r="FT23" s="32"/>
      <c r="FU23" s="29" t="str">
        <f>IF(AND(FJ23="",FM23="",FP23="",FS23=""),"",IF(OR(OR(Tabla1[[#This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3" s="28"/>
      <c r="FW23" s="22"/>
      <c r="FX23" s="29" t="str">
        <f t="shared" si="33"/>
        <v>TOMAR EXAMEN</v>
      </c>
      <c r="FY23" s="22">
        <v>44835</v>
      </c>
      <c r="FZ23" s="22">
        <v>44835</v>
      </c>
      <c r="GA23" s="29">
        <f t="shared" ca="1" si="34"/>
        <v>4.5714285714285712</v>
      </c>
      <c r="GB23" s="22"/>
      <c r="GC23" s="22"/>
      <c r="GD23" s="29" t="str">
        <f t="shared" ca="1" si="35"/>
        <v>PIERDE TOMA DE TAMIZAJE</v>
      </c>
      <c r="GE23" s="22"/>
      <c r="GF23" s="22"/>
      <c r="GG23" s="29" t="str">
        <f t="shared" ca="1" si="36"/>
        <v>PIERDE TOMA DE TAMIZAJE</v>
      </c>
      <c r="GH23" s="22"/>
      <c r="GI23" s="29"/>
      <c r="GJ23" s="22"/>
      <c r="GK23" s="22"/>
      <c r="GL23" s="22" t="s">
        <v>879</v>
      </c>
      <c r="GM23" s="22"/>
      <c r="GN23" s="28" t="s">
        <v>869</v>
      </c>
      <c r="GO23" s="22">
        <v>44835</v>
      </c>
      <c r="GP23" s="29">
        <f t="shared" si="37"/>
        <v>4.5714285714285712</v>
      </c>
      <c r="GQ23" s="28" t="s">
        <v>869</v>
      </c>
      <c r="GR23" s="28" t="s">
        <v>869</v>
      </c>
      <c r="GS23" s="22" t="str">
        <f t="shared" si="38"/>
        <v>CONTROL Igm</v>
      </c>
      <c r="GT23" s="22">
        <v>44835</v>
      </c>
      <c r="GU23" s="29">
        <f t="shared" si="39"/>
        <v>4.5714285714285712</v>
      </c>
      <c r="GV23" s="21" t="str">
        <f t="shared" si="40"/>
        <v>I TRIM</v>
      </c>
      <c r="GW23" s="28" t="s">
        <v>869</v>
      </c>
      <c r="GX23" s="30"/>
      <c r="GY23" s="21"/>
      <c r="GZ23" s="21"/>
      <c r="HA23" s="21"/>
      <c r="HB23" s="21"/>
      <c r="HC23" s="21"/>
      <c r="HD23" s="21"/>
      <c r="HE23" s="21"/>
      <c r="HF23" s="22"/>
      <c r="HG23" s="22" t="str">
        <f>IF(OR(O23&gt;0,R23&gt;0),CONCATENATE(IF(Tabla1[[#This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3" s="22" t="e">
        <f t="shared" si="41"/>
        <v>#REF!</v>
      </c>
      <c r="HI23" s="22" t="e">
        <f t="shared" ca="1" si="42"/>
        <v>#REF!</v>
      </c>
      <c r="HJ23" s="21" t="str">
        <f t="shared" ca="1" si="43"/>
        <v>**********************MULTIPARIDAD*****************</v>
      </c>
      <c r="HK23" s="21" t="str">
        <f t="shared" si="44"/>
        <v>SIN ANTECEDENTES DE RIESGO</v>
      </c>
      <c r="HL23" s="24" t="str">
        <f t="shared" si="45"/>
        <v>APARENTEMENTE NORMAL</v>
      </c>
      <c r="HM23" s="21" t="str">
        <f t="shared" ca="1" si="46"/>
        <v/>
      </c>
      <c r="HN23" s="30" t="str">
        <f t="shared" si="47"/>
        <v>SALIO PROGRAMA</v>
      </c>
      <c r="HO23" s="21"/>
      <c r="HP23" s="21"/>
      <c r="HQ23" s="21">
        <v>44835</v>
      </c>
      <c r="HR23" s="21" t="str">
        <f>IF(R23="","",IF(Tabla1[[#This Row],[ALARMA FACTORES DE RIESGO COMPLICACIONES HIPERTENSIVAS3]]="SIN ANTECEDENTES DE RIESGO","No Aplica para suministro de ASA",IF(AND(Tabla1[[#This Row],[FECHA INICIO DE SUMINISTRO DE ASA]]&gt;0,RV23&lt;12),"Inicia ASA ANTES de Sem 12",IF(AND(RV23&gt;11,RV23&lt;17,OR(HK23="RIESGO ALTO DE COMPLICACIONES HIPERTENSIVAS VER MANEJO GUIA SUMINISTRO ASA Y CALCIO",HK23="RIESGO MODERADO (2 O MAS CRITERIOS) VER MANEJO GUIA SUMINISTRO ASA Y CALCIO")),"Inicio oportuno de ASA",IF(AND(RV23&gt;12,OR(HK23="RIESGO ALTO DE COMPLICACIONES HIPERTENSIVAS VER MANEJO GUIA SUMINISTRO ASA Y CALCIO",HK23="RIESGO MODERADO (2 O MAS CRITERIOS) VER MANEJO GUIA SUMINISTRO ASA Y CALCIO")),"Inicio no oportuno mayor a 16 semanas",IF(AND(BU23&lt;12,OR(HK23="RIESGO ALTO DE COMPLICACIONES HIPERTENSIVAS VER MANEJO GUIA SUMINISTRO ASA Y CALCIO",HK23="RIESGO MODERADO (2 O MAS CRITERIOS) VER MANEJO GUIA SUMINISTRO ASA Y CALCIO")),"Pendiente Inicio de ASA a la semana 12",IF(AND(BU23&gt;11,BU23&lt;17,OR(HK23="RIESGO ALTO DE COMPLICACIONES HIPERTENSIVAS VER MANEJO GUIA SUMINISTRO ASA Y CALCIO",HK23="RIESGO MODERADO (2 O MAS CRITERIOS) VER MANEJO GUIA SUMINISTRO ASA Y CALCIO")),"Iniciar de inmediato ASA",IF(AND(BU23&gt;16,OR(HK23="RIESGO ALTO DE COMPLICACIONES HIPERTENSIVAS VER MANEJO GUIA SUMINISTRO ASA Y CALCIO",HK23="RIESGO MODERADO (2 O MAS CRITERIOS) VER MANEJO GUIA SUMINISTRO ASA Y CALCIO")),"Pierde Oportunidad, Inicio tardío de ASA","XXXXX"))))))))</f>
        <v>No Aplica para suministro de ASA</v>
      </c>
      <c r="HS23" s="22">
        <v>44835</v>
      </c>
      <c r="HT23" s="22" t="s">
        <v>870</v>
      </c>
      <c r="HU23" s="22">
        <v>44835</v>
      </c>
      <c r="HV23" s="22" t="s">
        <v>870</v>
      </c>
      <c r="HW23" s="22">
        <v>44835</v>
      </c>
      <c r="HX23" s="22" t="s">
        <v>870</v>
      </c>
      <c r="HY23" s="22">
        <v>44835</v>
      </c>
      <c r="HZ23" s="28">
        <f t="shared" si="48"/>
        <v>4.5714285714285712</v>
      </c>
      <c r="IA23" s="26" t="s">
        <v>864</v>
      </c>
      <c r="IB23" s="26"/>
      <c r="IC23" s="111"/>
      <c r="ID23" s="22"/>
      <c r="IE23" s="22" t="str">
        <f t="shared" ca="1" si="49"/>
        <v>SALE SIN VACUNA</v>
      </c>
      <c r="IF23" s="22"/>
      <c r="IG23" s="22">
        <f t="shared" si="50"/>
        <v>45083</v>
      </c>
      <c r="IH23" s="29">
        <f t="shared" ca="1" si="51"/>
        <v>-149</v>
      </c>
      <c r="II23" s="22" t="str">
        <f t="shared" ca="1" si="52"/>
        <v>POSIBLEMENTE NACIO</v>
      </c>
      <c r="IJ23" s="22"/>
      <c r="IK23" s="21" t="s">
        <v>898</v>
      </c>
      <c r="IL23" s="21"/>
      <c r="IM23" s="34"/>
      <c r="IN23" s="349">
        <v>45052</v>
      </c>
      <c r="IO23" s="21" t="s">
        <v>1186</v>
      </c>
      <c r="IP23" s="29">
        <f t="shared" si="53"/>
        <v>35.571428571428569</v>
      </c>
      <c r="IQ23" s="35" t="s">
        <v>1644</v>
      </c>
      <c r="IR23" s="21" t="s">
        <v>1645</v>
      </c>
      <c r="IS23" s="21" t="s">
        <v>1646</v>
      </c>
      <c r="IT23" s="21" t="s">
        <v>1642</v>
      </c>
      <c r="IU23" s="21"/>
      <c r="IV23" s="21"/>
      <c r="IW23" s="21"/>
      <c r="IX23" s="21"/>
      <c r="IY23" s="21"/>
      <c r="IZ23" s="21"/>
      <c r="JA23" s="21"/>
      <c r="JB23" s="30">
        <v>1</v>
      </c>
      <c r="JC23" s="21" t="s">
        <v>1647</v>
      </c>
      <c r="JD23" s="36">
        <v>2660</v>
      </c>
      <c r="JE23" s="21" t="str">
        <f t="shared" si="54"/>
        <v>ERROR VERIFICAR DATO EDAD GESTACIONAL VS PESO</v>
      </c>
      <c r="JF23" s="30"/>
      <c r="JG23" s="21"/>
      <c r="JH23" s="21"/>
      <c r="JI23" s="21" t="s">
        <v>854</v>
      </c>
      <c r="JJ23" s="30" t="s">
        <v>866</v>
      </c>
      <c r="JK23" s="22"/>
      <c r="JL23" s="22"/>
      <c r="JM23" s="21"/>
      <c r="JN23" s="36"/>
      <c r="JO23" s="21" t="str">
        <f t="shared" si="55"/>
        <v/>
      </c>
      <c r="JP23" s="22"/>
      <c r="JQ23" s="21"/>
      <c r="JR23" s="21"/>
      <c r="JS23" s="21"/>
      <c r="JT23" s="30"/>
      <c r="JU23" s="22"/>
      <c r="JV23" s="22"/>
      <c r="JW23" s="33"/>
      <c r="JX23" s="28" t="str">
        <f t="shared" si="56"/>
        <v>INASISTENTE</v>
      </c>
      <c r="JY23" s="33"/>
      <c r="JZ23" s="28" t="str">
        <f t="shared" si="57"/>
        <v>INASISTENTE</v>
      </c>
      <c r="KA23" s="21"/>
      <c r="KB23" s="21"/>
      <c r="KC23" s="21"/>
      <c r="KD23" s="37"/>
      <c r="KE23" s="28"/>
      <c r="KF23" s="28"/>
      <c r="KG23" s="28"/>
      <c r="KH23" s="39"/>
      <c r="KI23" s="39"/>
      <c r="KJ23" s="66"/>
      <c r="KK23" s="39"/>
      <c r="KL23" s="39"/>
      <c r="KM23" s="66"/>
      <c r="KN23" s="39"/>
      <c r="KO23" s="39"/>
      <c r="KP23" s="39"/>
      <c r="KQ23" s="39"/>
      <c r="KR23" s="39"/>
      <c r="KS23" s="39"/>
      <c r="KT23" s="39"/>
      <c r="KU23" s="38"/>
      <c r="KV23" s="38"/>
      <c r="KW23" s="38"/>
      <c r="KX23" s="38"/>
      <c r="KY23" s="38"/>
      <c r="KZ23" s="38"/>
      <c r="LA23" s="38"/>
      <c r="LB23" s="38"/>
      <c r="LC23" s="38"/>
      <c r="LD23" s="38"/>
      <c r="LE23" s="38"/>
      <c r="LF23" s="38"/>
      <c r="LG23" s="38"/>
      <c r="LH23" s="38"/>
      <c r="LI23" s="38"/>
      <c r="LJ23" s="38"/>
      <c r="LK23" s="38"/>
      <c r="LL23" s="38"/>
      <c r="LM23" s="38"/>
      <c r="LN23" s="38"/>
      <c r="LO23" s="38"/>
      <c r="LP23" s="38"/>
      <c r="LQ23" s="38"/>
      <c r="LR23" s="38"/>
      <c r="LS23" s="38"/>
      <c r="LT23" s="38"/>
      <c r="LU23" s="38"/>
      <c r="LV23" s="38"/>
      <c r="LW23" s="38"/>
      <c r="LX23" s="38"/>
      <c r="LY23" s="38"/>
      <c r="LZ23" s="38"/>
      <c r="MA23" s="38"/>
      <c r="MB23" s="38"/>
      <c r="MC23" s="38"/>
      <c r="MD23" s="38"/>
      <c r="ME23" s="38"/>
      <c r="MF23" s="38"/>
      <c r="MG23" s="38"/>
      <c r="MH23" s="43">
        <f t="shared" si="58"/>
        <v>0</v>
      </c>
      <c r="MI23" s="43" t="str">
        <f t="shared" si="59"/>
        <v/>
      </c>
      <c r="MJ23" s="43" t="str">
        <f t="shared" si="60"/>
        <v/>
      </c>
      <c r="MK23" s="43">
        <f t="shared" si="61"/>
        <v>0</v>
      </c>
      <c r="ML2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3" s="43">
        <f t="shared" si="62"/>
        <v>4.5714285714285712</v>
      </c>
      <c r="MN23" s="43">
        <f t="shared" si="63"/>
        <v>10</v>
      </c>
      <c r="MO23" s="43">
        <f t="shared" si="64"/>
        <v>2022</v>
      </c>
      <c r="MP23" s="43" t="str">
        <f t="shared" si="65"/>
        <v>IV TRIMESTRE AÑO</v>
      </c>
      <c r="MQ23" s="43">
        <f t="shared" si="66"/>
        <v>17.216929478756022</v>
      </c>
      <c r="MR23" s="43">
        <f t="shared" si="67"/>
        <v>0</v>
      </c>
      <c r="MS23" s="43" t="str">
        <f t="shared" si="68"/>
        <v>DE 14 A 19AÑOS</v>
      </c>
      <c r="MT23" s="43">
        <f t="shared" si="69"/>
        <v>0</v>
      </c>
      <c r="MU23" s="43">
        <f t="shared" si="70"/>
        <v>1</v>
      </c>
      <c r="MV23" s="43" t="str">
        <f t="shared" si="71"/>
        <v/>
      </c>
      <c r="MW23" s="43">
        <f t="shared" si="72"/>
        <v>0</v>
      </c>
      <c r="MX23" s="43" t="str">
        <f t="shared" si="73"/>
        <v/>
      </c>
      <c r="MY23" s="43" t="str">
        <f t="shared" ca="1" si="74"/>
        <v/>
      </c>
      <c r="MZ23" s="43" t="str">
        <f t="shared" si="75"/>
        <v/>
      </c>
      <c r="NA23" s="43" t="str">
        <f t="shared" si="76"/>
        <v/>
      </c>
      <c r="NB23" s="43" t="str">
        <f t="shared" si="77"/>
        <v/>
      </c>
      <c r="NC23" s="43" t="str">
        <f t="shared" si="78"/>
        <v/>
      </c>
      <c r="ND23" s="43">
        <f t="shared" ca="1" si="79"/>
        <v>1</v>
      </c>
      <c r="NE23" s="43">
        <f>IF(OR(O23&gt;0,R23&gt;0),SUM(COUNTIF(Tabla1[[#This Row],[AÑOS AL INICIO5 CPN]],"&gt;=40"),COUNTIF(AS23,"0"),COUNTIF(AR23,"SI"),COUNTIF(CC23,"SI"),COUNTIF(BQ23,"&gt;119"),COUNTIF(CI23,"&gt;=35")),"")</f>
        <v>0</v>
      </c>
      <c r="NF23" s="43" t="str">
        <f t="shared" si="80"/>
        <v/>
      </c>
      <c r="NG23" s="43">
        <f t="shared" si="81"/>
        <v>0</v>
      </c>
      <c r="NH23" s="43">
        <f t="shared" si="82"/>
        <v>204.4</v>
      </c>
      <c r="NI23"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CPN",P23="NO"),"Z",IF(AND(Tabla1[[#This Row],[CITA PROXIMO CONTROL]]="CITA MANUAL",Tabla1[[#This Row],[GESTANTES ACTUALES]]="ACTIVA INGRESO A CPN"),"W",IF(AND(Tabla1[[#This Row],[GESTANTES ACTUALES]]="SALIO PROGRAMA",IN23=""),"S",IF(AND(Tabla1[[#This Row],[CITA PROXIMO CONTROL]]&gt;0,IN23=""),(Tabla1[[#This Row],[CITA PROXIMO CONTROL]]-TODAY()),"SD"))))))))</f>
        <v>SD</v>
      </c>
      <c r="NJ23" s="43">
        <f>MONTH(Tabla1[[#This Row],[FECHA DE SALIDA  DEL PROGRAMA]])</f>
        <v>5</v>
      </c>
      <c r="NK23" s="43">
        <f>YEAR(Tabla1[[#This Row],[FECHA DE SALIDA  DEL PROGRAMA]])</f>
        <v>2023</v>
      </c>
      <c r="NL23" s="43">
        <f t="shared" si="83"/>
        <v>139</v>
      </c>
      <c r="NM23" s="43" t="str">
        <f t="shared" si="84"/>
        <v>NO</v>
      </c>
      <c r="NN23" s="43" t="str">
        <f ca="1">IF(AND(O23&gt;0,R23=""),"NO CPN",IF(AND(O23="",R23=""),"",IF(AND(R23&gt;0,Tabla1[[#This Row],[SEMANAS DE GESTACION ACTUALIZADAS]]&lt;=12),"NO APLICA",IF(AND(FH23&lt;&gt;"",FN23&lt;&gt;""),"SI","NO"))))</f>
        <v>NO</v>
      </c>
      <c r="NO23" s="43" t="str">
        <f ca="1">IF(AND(O23&gt;0,R23=""),"NO CPN",IF(AND(O23="",R23=""),"",IF(AND(R23&gt;0,Tabla1[[#This Row],[SEMANAS DE GESTACION ACTUALIZADAS]]&lt;=27),"NO APLICA",IF(AND(ES23&lt;&gt;"",FQ23&lt;&gt;"",GF23&lt;&gt;""),"SI","NO"))))</f>
        <v>NO</v>
      </c>
      <c r="NP23" s="204" t="str">
        <f t="shared" si="85"/>
        <v>I TRIM</v>
      </c>
      <c r="NQ23" s="21">
        <f t="shared" si="86"/>
        <v>3</v>
      </c>
      <c r="NR23" s="21">
        <f t="shared" si="87"/>
        <v>3</v>
      </c>
      <c r="NS23" s="205">
        <f t="shared" ca="1" si="88"/>
        <v>2</v>
      </c>
      <c r="NT23" s="21">
        <f t="shared" ca="1" si="89"/>
        <v>1</v>
      </c>
      <c r="NU23" s="21" t="str">
        <f t="shared" ca="1" si="90"/>
        <v>INCOMPLETO</v>
      </c>
      <c r="NV23" s="21" t="str">
        <f t="shared" ca="1" si="91"/>
        <v>INCOMPLETO</v>
      </c>
      <c r="NW23" s="206" t="str">
        <f>IF(AND(O23="",R23=""),"",IF(OR(AND(Tabla1[[#This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23" s="207" t="str">
        <f t="shared" ca="1" si="92"/>
        <v>SIN VACUNAR</v>
      </c>
      <c r="NY23" s="43">
        <f>ROW(Tabla1[[#This Row],['# DE TAMIZAJES SIFILIS TOMADOS ]])</f>
        <v>23</v>
      </c>
      <c r="NZ23" s="43" t="str">
        <f t="shared" si="93"/>
        <v>Menor</v>
      </c>
      <c r="OA23" s="43" t="str">
        <f t="shared" si="94"/>
        <v>NORMAL</v>
      </c>
      <c r="OB23" s="43" t="str">
        <f t="shared" si="95"/>
        <v/>
      </c>
      <c r="OC23" s="43" t="str">
        <f t="shared" si="96"/>
        <v/>
      </c>
      <c r="OD23" s="43" t="str">
        <f t="shared" si="97"/>
        <v/>
      </c>
      <c r="OE23" s="43" t="str">
        <f t="shared" si="98"/>
        <v/>
      </c>
      <c r="OF23" s="43" t="str">
        <f t="shared" si="99"/>
        <v/>
      </c>
      <c r="OG23" s="43" t="str">
        <f t="shared" si="100"/>
        <v/>
      </c>
      <c r="OH23" s="43" t="str">
        <f t="shared" si="101"/>
        <v/>
      </c>
      <c r="OI23" s="43" t="str">
        <f t="shared" si="102"/>
        <v/>
      </c>
      <c r="OJ23" s="43" t="str">
        <f t="shared" si="103"/>
        <v/>
      </c>
      <c r="OK23" s="43" t="str">
        <f t="shared" si="104"/>
        <v/>
      </c>
      <c r="OL23" s="43" t="str">
        <f t="shared" si="105"/>
        <v/>
      </c>
      <c r="OM23" s="43" t="str">
        <f t="shared" si="106"/>
        <v/>
      </c>
      <c r="ON23" s="43" t="str">
        <f t="shared" si="107"/>
        <v/>
      </c>
      <c r="OO23" s="43" t="str">
        <f t="shared" si="108"/>
        <v/>
      </c>
      <c r="OP23" s="43" t="str">
        <f t="shared" si="109"/>
        <v/>
      </c>
      <c r="OQ23" s="43" t="str">
        <f t="shared" si="110"/>
        <v/>
      </c>
      <c r="OR23" s="43" t="str">
        <f t="shared" si="111"/>
        <v/>
      </c>
      <c r="OS23" s="43" t="str">
        <f t="shared" si="112"/>
        <v/>
      </c>
      <c r="OT23" s="43" t="str">
        <f t="shared" si="113"/>
        <v/>
      </c>
      <c r="OU23" s="43" t="str">
        <f t="shared" si="114"/>
        <v/>
      </c>
      <c r="OV23" s="110" t="str">
        <f t="shared" si="115"/>
        <v/>
      </c>
      <c r="OW23" s="43" t="str">
        <f t="shared" si="116"/>
        <v/>
      </c>
      <c r="OX23" s="43" t="str">
        <f t="shared" si="117"/>
        <v/>
      </c>
      <c r="OY23" s="43" t="str">
        <f t="shared" si="118"/>
        <v/>
      </c>
      <c r="OZ23" s="43" t="str">
        <f t="shared" si="119"/>
        <v/>
      </c>
      <c r="PA23" s="43" t="str">
        <f t="shared" si="120"/>
        <v/>
      </c>
      <c r="PB23" s="43" t="str">
        <f t="shared" si="121"/>
        <v/>
      </c>
      <c r="PC23" s="43" t="str">
        <f t="shared" si="122"/>
        <v/>
      </c>
      <c r="PD23" s="43" t="str">
        <f t="shared" si="123"/>
        <v/>
      </c>
      <c r="PE23" s="43" t="str">
        <f t="shared" si="124"/>
        <v/>
      </c>
      <c r="PF23" s="43" t="str">
        <f t="shared" si="125"/>
        <v/>
      </c>
      <c r="PG23" s="43" t="str">
        <f t="shared" si="126"/>
        <v/>
      </c>
      <c r="PH23" s="43" t="str">
        <f t="shared" si="127"/>
        <v/>
      </c>
      <c r="PI23" s="43">
        <f t="shared" si="128"/>
        <v>35</v>
      </c>
      <c r="PJ23" s="43" t="str">
        <f t="shared" si="129"/>
        <v/>
      </c>
      <c r="PK23" s="43" t="str">
        <f t="shared" si="130"/>
        <v/>
      </c>
      <c r="PL23" s="43" t="str">
        <f t="shared" si="131"/>
        <v/>
      </c>
      <c r="PM23" s="43" t="str">
        <f t="shared" si="132"/>
        <v/>
      </c>
      <c r="PN23" s="43" t="str">
        <f t="shared" si="133"/>
        <v/>
      </c>
      <c r="PO23" s="43" t="str">
        <f t="shared" si="134"/>
        <v/>
      </c>
      <c r="PP23" s="43" t="str">
        <f t="shared" si="135"/>
        <v/>
      </c>
      <c r="PQ23" s="43" t="str">
        <f t="shared" si="136"/>
        <v/>
      </c>
      <c r="PR23" s="43" t="str">
        <f t="shared" si="137"/>
        <v/>
      </c>
      <c r="PS23" s="43" t="str">
        <f t="shared" si="138"/>
        <v/>
      </c>
      <c r="PT23" s="43" t="str">
        <f t="shared" si="139"/>
        <v/>
      </c>
      <c r="PU23" s="43" t="str">
        <f t="shared" si="140"/>
        <v/>
      </c>
      <c r="PV23" s="43" t="str">
        <f t="shared" si="141"/>
        <v/>
      </c>
      <c r="PW23" s="43" t="str">
        <f t="shared" si="142"/>
        <v/>
      </c>
      <c r="PX23" s="43" t="str">
        <f t="shared" si="143"/>
        <v/>
      </c>
      <c r="PY23" s="43" t="str">
        <f t="shared" si="144"/>
        <v/>
      </c>
      <c r="PZ23" s="43" t="str">
        <f t="shared" si="145"/>
        <v/>
      </c>
      <c r="QA23" s="43" t="str">
        <f t="shared" si="146"/>
        <v/>
      </c>
      <c r="QB23" s="43" t="str">
        <f t="shared" si="147"/>
        <v/>
      </c>
      <c r="QC23" s="43" t="str">
        <f t="shared" si="148"/>
        <v/>
      </c>
      <c r="QD23" s="43" t="str">
        <f t="shared" si="149"/>
        <v/>
      </c>
      <c r="QE23" s="43" t="str">
        <f t="shared" si="150"/>
        <v/>
      </c>
      <c r="QF23" s="43" t="str">
        <f t="shared" si="151"/>
        <v/>
      </c>
      <c r="QG23" s="43" t="str">
        <f t="shared" si="152"/>
        <v/>
      </c>
      <c r="QH23" s="43" t="str">
        <f t="shared" si="153"/>
        <v/>
      </c>
      <c r="QI23" s="43" t="str">
        <f t="shared" si="154"/>
        <v/>
      </c>
      <c r="QJ23" s="43" t="str">
        <f t="shared" si="155"/>
        <v>NORMAL</v>
      </c>
      <c r="QK23" s="43" t="str">
        <f t="shared" si="156"/>
        <v/>
      </c>
      <c r="QL23" s="43" t="str">
        <f t="shared" si="157"/>
        <v/>
      </c>
      <c r="QM23" s="43" t="str">
        <f t="shared" si="158"/>
        <v/>
      </c>
      <c r="QN23" s="43" t="str">
        <f t="shared" si="159"/>
        <v/>
      </c>
      <c r="QO23" s="43" t="str">
        <f t="shared" si="160"/>
        <v/>
      </c>
      <c r="QP23" s="43" t="str">
        <f t="shared" si="161"/>
        <v/>
      </c>
      <c r="QQ23" s="43" t="str">
        <f t="shared" si="162"/>
        <v/>
      </c>
      <c r="QR23" s="43">
        <f t="shared" si="192"/>
        <v>35</v>
      </c>
      <c r="QS23" s="43"/>
      <c r="QT23" s="21" t="str">
        <f t="shared" si="163"/>
        <v/>
      </c>
      <c r="QU23" s="21" t="str">
        <f t="shared" si="164"/>
        <v/>
      </c>
      <c r="QV23" s="21" t="str">
        <f t="shared" si="165"/>
        <v/>
      </c>
      <c r="QW23" s="21" t="str">
        <f t="shared" si="166"/>
        <v/>
      </c>
      <c r="QX23" s="21" t="str">
        <f t="shared" si="167"/>
        <v/>
      </c>
      <c r="QY23" s="21" t="str">
        <f t="shared" si="168"/>
        <v/>
      </c>
      <c r="QZ23" s="21" t="str">
        <f t="shared" si="169"/>
        <v/>
      </c>
      <c r="RA23" s="21" t="str">
        <f t="shared" si="170"/>
        <v/>
      </c>
      <c r="RB23" s="21" t="str">
        <f t="shared" si="171"/>
        <v/>
      </c>
      <c r="RC23" s="21" t="str">
        <f t="shared" si="172"/>
        <v/>
      </c>
      <c r="RD23" s="21" t="str">
        <f t="shared" si="173"/>
        <v/>
      </c>
      <c r="RE23" s="21" t="str">
        <f t="shared" si="174"/>
        <v/>
      </c>
      <c r="RF23" s="21" t="str">
        <f t="shared" si="175"/>
        <v/>
      </c>
      <c r="RG23" s="21" t="str">
        <f t="shared" si="176"/>
        <v/>
      </c>
      <c r="RH23" s="21" t="str">
        <f t="shared" si="177"/>
        <v/>
      </c>
      <c r="RI23" s="21" t="str">
        <f t="shared" si="178"/>
        <v/>
      </c>
      <c r="RJ23" s="21" t="str">
        <f t="shared" si="179"/>
        <v/>
      </c>
      <c r="RK23" s="21" t="str">
        <f t="shared" si="180"/>
        <v/>
      </c>
      <c r="RL23" s="21" t="str">
        <f t="shared" si="181"/>
        <v/>
      </c>
      <c r="RM23" s="21" t="str">
        <f t="shared" si="182"/>
        <v/>
      </c>
      <c r="RN23" s="21" t="str">
        <f t="shared" si="183"/>
        <v/>
      </c>
      <c r="RO23" s="21" t="str">
        <f t="shared" si="184"/>
        <v/>
      </c>
      <c r="RP23" s="21" t="str">
        <f t="shared" si="185"/>
        <v/>
      </c>
      <c r="RQ23" s="21" t="str">
        <f t="shared" si="186"/>
        <v/>
      </c>
      <c r="RR23" s="21" t="str">
        <f t="shared" si="187"/>
        <v/>
      </c>
      <c r="RS23" s="21" t="str">
        <f t="shared" si="188"/>
        <v/>
      </c>
      <c r="RT23" s="21" t="str">
        <f t="shared" si="189"/>
        <v/>
      </c>
      <c r="RU23" s="21" t="str">
        <f t="shared" si="190"/>
        <v/>
      </c>
      <c r="RV23" s="21">
        <f t="shared" si="191"/>
        <v>4.5714285714285712</v>
      </c>
      <c r="RW23" s="284">
        <f>IF(OR(Tabla1[[#This Row],[FUM FORMULA CONFIABLE]]="",Tabla1[[#This Row],[FUM FORMULA CONFIABLE]]="SD"),"",IF(Tabla1[[#This Row],[FUM FORMULA CONFIABLE]]="CORREGIDA",Tabla1[[#This Row],[FUM X ECO 1]],Tabla1[[#This Row],[FUM x AMENORREA]]))</f>
        <v>44803</v>
      </c>
      <c r="RX23" s="21">
        <f>IF(AND(Tabla1[[#This Row],[FUM X ECO 1]]="",Tabla1[[#This Row],[FUM x AMENORREA]]=""),"",IF(AND(Tabla1[[#This Row],[FUM X ECO 1]]="",Tabla1[[#This Row],[FUM x AMENORREA]]&lt;&gt;""),"X",SUM(Tabla1[[#This Row],[FUM X ECO 1]]-Tabla1[[#This Row],[FUM x AMENORREA]])))</f>
        <v>-15.400000000001455</v>
      </c>
      <c r="RY23" s="21">
        <f t="shared" si="193"/>
        <v>1</v>
      </c>
    </row>
    <row r="24" spans="1:493" ht="45" customHeight="1" x14ac:dyDescent="0.25">
      <c r="A24" s="109" t="s">
        <v>990</v>
      </c>
      <c r="B24" s="43" t="s">
        <v>890</v>
      </c>
      <c r="C24" s="43" t="s">
        <v>845</v>
      </c>
      <c r="D24" s="124" t="s">
        <v>846</v>
      </c>
      <c r="E24" s="43" t="s">
        <v>991</v>
      </c>
      <c r="F24" s="43" t="s">
        <v>992</v>
      </c>
      <c r="G24" s="43"/>
      <c r="H24" s="43" t="s">
        <v>993</v>
      </c>
      <c r="I24" s="109" t="s">
        <v>851</v>
      </c>
      <c r="J24" s="110">
        <v>1059596516</v>
      </c>
      <c r="K24" s="43" t="s">
        <v>852</v>
      </c>
      <c r="L24" s="175" t="s">
        <v>853</v>
      </c>
      <c r="M24" s="22">
        <v>31916</v>
      </c>
      <c r="N24" s="213">
        <f t="shared" ca="1" si="0"/>
        <v>36.482191780821921</v>
      </c>
      <c r="O24" s="22">
        <v>44842</v>
      </c>
      <c r="P24" s="214" t="str">
        <f t="shared" si="1"/>
        <v>SI</v>
      </c>
      <c r="Q24" s="26" t="s">
        <v>855</v>
      </c>
      <c r="R24" s="22">
        <v>44842</v>
      </c>
      <c r="S24" s="21" t="s">
        <v>856</v>
      </c>
      <c r="T24" s="24" t="s">
        <v>690</v>
      </c>
      <c r="U24" s="21" t="s">
        <v>857</v>
      </c>
      <c r="V24" s="21" t="s">
        <v>858</v>
      </c>
      <c r="W24" s="21" t="s">
        <v>893</v>
      </c>
      <c r="X24" s="21" t="s">
        <v>893</v>
      </c>
      <c r="Y24" s="21" t="s">
        <v>859</v>
      </c>
      <c r="Z24" s="21">
        <v>3138220609</v>
      </c>
      <c r="AA24" s="21" t="s">
        <v>860</v>
      </c>
      <c r="AB24" s="27" t="s">
        <v>861</v>
      </c>
      <c r="AC24" s="26" t="s">
        <v>862</v>
      </c>
      <c r="AD24" s="38" t="s">
        <v>846</v>
      </c>
      <c r="AE24" s="26" t="s">
        <v>854</v>
      </c>
      <c r="AF24" s="26" t="s">
        <v>854</v>
      </c>
      <c r="AG24" s="23" t="s">
        <v>864</v>
      </c>
      <c r="AH24" s="23" t="s">
        <v>864</v>
      </c>
      <c r="AI24" s="24" t="s">
        <v>863</v>
      </c>
      <c r="AJ24" s="23" t="s">
        <v>864</v>
      </c>
      <c r="AK24" s="220" t="str">
        <f>IF(AND(AD24="",AE24="",AF24="",AG24="",AH24="",AI24="",AJ24=""),"",IF(OR(Tabla1[[#This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EVALUACIÓN",IF(AND(O24="",R24=""),"",IF(AND(OR(O24&gt;0,R24&gt;0),NG24&gt;=0,NG24&lt;2),"SIN RIESGO",IF(AND(OR(O24&gt;0,R24&gt;0),NG24&gt;=2),"CON RIESGO","ASD")))))</f>
        <v>SIN RIESGO</v>
      </c>
      <c r="AL24" s="23" t="s">
        <v>864</v>
      </c>
      <c r="AM24" s="26" t="s">
        <v>864</v>
      </c>
      <c r="AN24" s="26" t="s">
        <v>864</v>
      </c>
      <c r="AO24" s="26" t="s">
        <v>864</v>
      </c>
      <c r="AP24" s="26" t="s">
        <v>864</v>
      </c>
      <c r="AQ24" s="26" t="s">
        <v>864</v>
      </c>
      <c r="AR24" s="26" t="s">
        <v>864</v>
      </c>
      <c r="AS24" s="21">
        <v>4</v>
      </c>
      <c r="AT24" s="21">
        <v>3</v>
      </c>
      <c r="AU24" s="21">
        <v>0</v>
      </c>
      <c r="AV24" s="26" t="s">
        <v>864</v>
      </c>
      <c r="AW24" s="21">
        <v>0</v>
      </c>
      <c r="AX24" s="26" t="s">
        <v>864</v>
      </c>
      <c r="AY24" s="26" t="s">
        <v>864</v>
      </c>
      <c r="AZ24" s="26" t="s">
        <v>864</v>
      </c>
      <c r="BA24" s="26" t="s">
        <v>864</v>
      </c>
      <c r="BB24" s="26" t="s">
        <v>864</v>
      </c>
      <c r="BC24" s="26" t="s">
        <v>864</v>
      </c>
      <c r="BD24" s="26" t="s">
        <v>864</v>
      </c>
      <c r="BE24" s="26" t="s">
        <v>864</v>
      </c>
      <c r="BF24" s="26" t="s">
        <v>864</v>
      </c>
      <c r="BG24" s="26" t="s">
        <v>864</v>
      </c>
      <c r="BH24" s="26" t="s">
        <v>864</v>
      </c>
      <c r="BI24" s="26" t="s">
        <v>864</v>
      </c>
      <c r="BJ24" s="26"/>
      <c r="BK24" s="26"/>
      <c r="BL24" s="26" t="s">
        <v>864</v>
      </c>
      <c r="BM24" s="26" t="s">
        <v>864</v>
      </c>
      <c r="BN24" s="22"/>
      <c r="BO24" s="22">
        <v>44694</v>
      </c>
      <c r="BP24" s="21" t="s">
        <v>854</v>
      </c>
      <c r="BQ24" s="222">
        <f t="shared" si="2"/>
        <v>0</v>
      </c>
      <c r="BR24" s="223">
        <f t="shared" si="3"/>
        <v>44694</v>
      </c>
      <c r="BS24" s="224">
        <f t="shared" si="4"/>
        <v>21.142857142857142</v>
      </c>
      <c r="BT24" s="216" t="str">
        <f t="shared" si="5"/>
        <v>II TRIM</v>
      </c>
      <c r="BU24" s="214" t="str">
        <f t="shared" ca="1" si="6"/>
        <v/>
      </c>
      <c r="BV24" s="25"/>
      <c r="BW24" s="22">
        <v>44862</v>
      </c>
      <c r="BX24" s="28">
        <v>24</v>
      </c>
      <c r="BY24" s="28"/>
      <c r="BZ24" s="22">
        <v>44960</v>
      </c>
      <c r="CA24" s="21">
        <v>37.299999999999997</v>
      </c>
      <c r="CB24" s="26" t="s">
        <v>864</v>
      </c>
      <c r="CC24" s="26" t="s">
        <v>864</v>
      </c>
      <c r="CD24" s="26" t="s">
        <v>878</v>
      </c>
      <c r="CE24" s="26" t="s">
        <v>864</v>
      </c>
      <c r="CF24" s="22" t="s">
        <v>1517</v>
      </c>
      <c r="CG24" s="21">
        <v>1.57</v>
      </c>
      <c r="CH24" s="21">
        <v>67</v>
      </c>
      <c r="CI24" s="214">
        <f t="shared" si="7"/>
        <v>27.181630086413239</v>
      </c>
      <c r="CJ24" s="225" t="e">
        <f>IF(AND(CI24&lt;10,CH24="SD"),"SIN DATO PESO PREGESTACION O I TRIM",IF(AND(OR(R24&gt;0,O24&gt;0),CI24="X"),"INGRESAR DATO DE PESO",IF(CI24="SD","INGRESAR DATO DE TALLA Y PESO",IF(AND(OR(Tabla1[[#This Row],[MOMENTO EN QUE SE REALIZA EL PESO AL INGRESO A CPN]]="PREGESTACIÓN",NZ24="Menor"),CI24&lt;18.5),"BAJO PESO",IF(AND(OR(Tabla1[[#This Row],[MOMENTO EN QUE SE REALIZA EL PESO AL INGRESO A CPN]]="PREGESTACIÓN",NZ24="Menor"),CI24&lt;25),"NORMAL",IF(AND(OR(Tabla1[[#This Row],[MOMENTO EN QUE SE REALIZA EL PESO AL INGRESO A CPN]]="PREGESTACIÓN",NZ24="Menor"),CI24&lt;30),"SOBREPESO",IF(AND(OR(Tabla1[[#This Row],[MOMENTO EN QUE SE REALIZA EL PESO AL INGRESO A CPN]]="PREGESTACIÓN",NZ24="Menor"),CI24&gt;=30,CI24&lt;50),"OBESIDAD",IF(AND(BS24&gt;0,Tabla1[[#This Row],[MOMENTO EN QUE SE REALIZA EL PESO AL INGRESO A CPN]]="GESTACIÓN"),HLOOKUP(NZ24,$OA$2:PH24,NY24),""))))))))</f>
        <v>#REF!</v>
      </c>
      <c r="CK24" s="212">
        <f t="shared" si="8"/>
        <v>44960</v>
      </c>
      <c r="CL24" s="21"/>
      <c r="CM24" s="214">
        <f t="shared" si="9"/>
        <v>0</v>
      </c>
      <c r="CN24" s="216">
        <f t="shared" si="10"/>
        <v>38</v>
      </c>
      <c r="CO24" s="216" t="e">
        <f>IF(PI24="","",IF(PI24&gt;0,HLOOKUP(PI24,$PJ$2:QQ24,NY24),""))</f>
        <v>#REF!</v>
      </c>
      <c r="CP24" s="21"/>
      <c r="CQ24" s="216" t="e">
        <f>IF(QR24="Menor","NO APLICA-MENOR 13 SEM",IF(AND(CC24="SI",CN24&gt;23),"NO APLICA- GEMELAR",IF(QR24="","",IF(QR24&gt;0,HLOOKUP(QR24,$QS$2:RU24,NY24),""))))</f>
        <v>#REF!</v>
      </c>
      <c r="CR24" s="21"/>
      <c r="CS24" s="21"/>
      <c r="CT24" s="217" t="str">
        <f>IF(R24="","",IF(AND(BS24&gt;1,BS24&lt;12,Tabla1[[#This Row],[T.A. SISTOLICA - ANTES DE SEMANA 12]]="",Tabla1[[#This Row],[T.A. DIASTOLICA - ANTES DE SEMANA 12]]=""),"REGISTRE DATO TA ANTES SEMANA 12",IF(AND(BS24&gt;11,BS24&lt;43,Tabla1[[#This Row],[T.A. SISTOLICA - ANTES DE SEMANA 12]]="",Tabla1[[#This Row],[T.A. DIASTOLICA - ANTES DE SEMANA 12]]=""),"NO APLICA REGISTRO TA-INGRESO TARDIO",IF(AND(OR(O24&gt;0,R24&gt;0),OR(CR24&gt;=140,CS24&gt;=90)),"DEFINIR ESTADIO HTA",IF(AND(OR(O24&gt;0,R24&gt;0),AND(CR24&gt;120,CR24&lt;=139)),"PRE HTA SEGUIMIENTO",IF(AND(OR(O24&gt;0,R24&gt;0),AND(CS24&gt;80,CS24&lt;=89)),"PRE HTA SEGUIMIENTO",IF(AND(OR(O24&gt;0,R24&gt;0),AND(CR24&gt;=80,CR24&lt;=120)),"APARENTEMENTE NORMAL",IF(AND(OR(O24&gt;0,R24&gt;0),AND(CS24&gt;=50,CS24&lt;=80)),"APARENTEMENTE NORMAL",IF(AND(OR(O24&gt;0,R24&gt;0),AND(CR24&gt;1,CR24&lt;=70),AND(CS24&gt;1,CS24&lt;=40)),"HIPOTENSIÓN","")))))))))</f>
        <v>NO APLICA REGISTRO TA-INGRESO TARDIO</v>
      </c>
      <c r="CU24" s="21">
        <v>100</v>
      </c>
      <c r="CV24" s="21">
        <v>60</v>
      </c>
      <c r="CW24" s="217" t="str">
        <f ca="1">IF(R24="","",IF(AND(CN24&gt;19,CN24&lt;27,Tabla1[[#This Row],[T.A. SISTOLICA (Entre semana 20 y 26)]]="",Tabla1[[#This Row],[T.A. DIATOLICA (Entre semana 20 y 26)]]=""),"ACUDE A CONTROL SEM 20 A 26 REGISTRE TA AHORA",IF(AND(BS24&gt;1,BS24&lt;27,BU24&gt;19,Tabla1[[#This Row],[T.A. SISTOLICA (Entre semana 20 y 26)]]="",Tabla1[[#This Row],[T.A. DIATOLICA (Entre semana 20 y 26)]]=""),"COMPLETE REGISTRO TA CONTROL SEM 20 A26 ",IF(AND(BS24&gt;26,BS24&lt;43,Tabla1[[#This Row],[T.A. SISTOLICA (Entre semana 20 y 26)]]="",Tabla1[[#This Row],[T.A. DIATOLICA (Entre semana 20 y 26)]]=""),"NO APLICA REGISTRO TA-INGRESO TARDIO",IF(AND(OR(O24&gt;0,R24&gt;0),OR(CU24&gt;=140,CV24&gt;=90)),"ALTO RIESGO PREECLAMPSIA,DEFINIR ESTADIO HTA",IF(AND(OR(O24&gt;0,R24&gt;0),AND(CU24&gt;120,CU24&lt;=139)),"PRE HTA SEGUIMIENTO,RIESGO HIPERTENSION INDUCIDA POR EL EMBARAZO",IF(AND(OR(O24&gt;0,R24&gt;0),AND(CV24&gt;80,CV24&lt;=89)),"PRE HTA SEGUIMIENTO, RIESGO HIPERTENSION INDUCIDA POR EL EMBARAZO",IF(AND(OR(O24&lt;&gt;"",R24&lt;&gt;""),CS24&lt;&gt;"",CV24&lt;&gt;"",CS24&lt;=CV24),"VIGILAR CIFRAS PRESION ARTERIAL",IF(AND(OR(O24&gt;0,R24&gt;0),AND(CU24&gt;120,CU24&lt;=139)),"PRE HTA SEGUIMIENTO",IF(AND(OR(O24&gt;0,R24&gt;0),AND(CU24&gt;1,CU24&lt;=70),AND(CV24&gt;1,CV24&lt;=40)),"HIPOTENSIÓN",IF(AND(OR(O24&lt;&gt;"",R24&lt;&gt;""),CS24&lt;&gt;"",CV24&lt;&gt;"",CS24&gt;CV24),"APARENTEMENTE NORMAL",IF(AND(OR(O24&gt;0,R24&gt;0),AND(CU24&gt;=80,CU24&lt;=120)),"APARENTEMENTE NORMAL",IF(AND(OR(O24&gt;0,R24&gt;0),AND(CV24&gt;=50,CV24&lt;=80)),"APARENTEMENTE NORMAL","")))))))))))))</f>
        <v>APARENTEMENTE NORMAL</v>
      </c>
      <c r="CX24" s="21">
        <v>100</v>
      </c>
      <c r="CY24" s="21">
        <v>60</v>
      </c>
      <c r="CZ24" s="216" t="str">
        <f t="shared" si="11"/>
        <v>APARENTEMENTE NORMAL</v>
      </c>
      <c r="DA24" s="21"/>
      <c r="DB24" s="21"/>
      <c r="DC24" s="217" t="str">
        <f t="shared" si="12"/>
        <v>REGISTRE DATO PRESIÓN ARTERIAL MENSUAL</v>
      </c>
      <c r="DD24" s="22">
        <v>44842</v>
      </c>
      <c r="DE24" s="22">
        <v>44842</v>
      </c>
      <c r="DF24" s="22">
        <v>44879</v>
      </c>
      <c r="DG24" s="22">
        <v>44960</v>
      </c>
      <c r="DH24" s="22"/>
      <c r="DI24" s="22"/>
      <c r="DJ24" s="22"/>
      <c r="DK24" s="22"/>
      <c r="DL24" s="22"/>
      <c r="DM24" s="22"/>
      <c r="DN24" s="22"/>
      <c r="DO24" s="22"/>
      <c r="DP24" s="22"/>
      <c r="DQ24" s="22"/>
      <c r="DR24" s="28"/>
      <c r="DS24" s="22"/>
      <c r="DT24" s="22"/>
      <c r="DU24" s="216" t="str">
        <f t="shared" ca="1" si="13"/>
        <v>SALE SIN PLAN DE PARTO</v>
      </c>
      <c r="DV24" s="226" t="str">
        <f t="shared" si="14"/>
        <v>SALIO PROGRAMA</v>
      </c>
      <c r="DW24"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24" s="216" t="str">
        <f t="shared" ca="1" si="15"/>
        <v/>
      </c>
      <c r="DY24" s="212">
        <f>IF(R24="","",IF(R24&gt;0,MAX(Tabla1[[#This Row],[FECHA C2]:[FECHA C13]],Tabla1[[#This Row],[FECHA CONSULTA PRIMERA VEZ PROGRAMA CPN ]])))</f>
        <v>44960</v>
      </c>
      <c r="DZ24" s="216">
        <f t="shared" si="16"/>
        <v>38</v>
      </c>
      <c r="EA24" s="222">
        <f>IF(R24&gt;0,SUM(COUNTA(DF24:DQ24)+COUNTA(Tabla1[[#This Row],[FECHA CONSULTA PRIMERA VEZ PROGRAMA CPN ]])),"")</f>
        <v>3</v>
      </c>
      <c r="EB24" s="222" t="str">
        <f t="shared" si="17"/>
        <v>NO</v>
      </c>
      <c r="EC24" s="214">
        <f t="shared" si="18"/>
        <v>6</v>
      </c>
      <c r="ED24" s="227">
        <f t="shared" si="19"/>
        <v>0.5</v>
      </c>
      <c r="EE24" s="22">
        <v>44842</v>
      </c>
      <c r="EF24" s="22">
        <v>44847</v>
      </c>
      <c r="EG24" s="22">
        <v>44842</v>
      </c>
      <c r="EH24" s="22"/>
      <c r="EI24" s="22">
        <v>44842</v>
      </c>
      <c r="EJ24" s="22"/>
      <c r="EK24" s="22"/>
      <c r="EL24" s="21"/>
      <c r="EM24" s="21"/>
      <c r="EN24" s="22"/>
      <c r="EO24" s="222" t="str">
        <f t="shared" si="20"/>
        <v>TOMAR EXAMEN</v>
      </c>
      <c r="EP24" s="214" t="str">
        <f t="shared" si="21"/>
        <v/>
      </c>
      <c r="EQ24" s="216" t="str">
        <f t="shared" si="22"/>
        <v>POR DEFINIR</v>
      </c>
      <c r="ER24" s="24"/>
      <c r="ES24" s="22"/>
      <c r="ET24" s="29" t="str">
        <f t="shared" ca="1" si="23"/>
        <v>SALE SIN TAMIZAJE HEMOGLOBINA SEM 28</v>
      </c>
      <c r="EU24" s="25" t="str">
        <f t="shared" si="24"/>
        <v/>
      </c>
      <c r="EV24" s="24" t="s">
        <v>866</v>
      </c>
      <c r="EW24" s="24">
        <v>44862</v>
      </c>
      <c r="EX24" s="22"/>
      <c r="EY24" s="29">
        <f t="shared" si="25"/>
        <v>24</v>
      </c>
      <c r="EZ24" s="25" t="str">
        <f t="shared" ca="1" si="26"/>
        <v/>
      </c>
      <c r="FA24" s="21">
        <v>80</v>
      </c>
      <c r="FB24" s="22">
        <v>44862</v>
      </c>
      <c r="FC24" s="29" t="str">
        <f t="shared" si="27"/>
        <v>NO APLICA &gt; 23 SEM -TOMAR PTOG</v>
      </c>
      <c r="FD24" s="29"/>
      <c r="FE24" s="29"/>
      <c r="FF24" s="29"/>
      <c r="FG24" s="21" t="str">
        <f t="shared" ca="1" si="28"/>
        <v/>
      </c>
      <c r="FH24" s="31"/>
      <c r="FI24" s="29" t="str">
        <f t="shared" si="29"/>
        <v>TOMAR EXAMEN</v>
      </c>
      <c r="FJ24" s="22"/>
      <c r="FK24" s="22"/>
      <c r="FL24" s="29" t="str">
        <f t="shared" ca="1" si="30"/>
        <v>NO APLICA-INGRESO TARDIO</v>
      </c>
      <c r="FM24" s="22" t="s">
        <v>867</v>
      </c>
      <c r="FN24" s="32"/>
      <c r="FO24" s="29" t="str">
        <f t="shared" ca="1" si="31"/>
        <v>PIERDE TOMA DE TAMIZAJE</v>
      </c>
      <c r="FP24" s="22" t="s">
        <v>867</v>
      </c>
      <c r="FQ24" s="32">
        <v>44862</v>
      </c>
      <c r="FR24" s="29" t="str">
        <f t="shared" ca="1" si="32"/>
        <v>REGISTRAR EN II TRIMESTRE</v>
      </c>
      <c r="FS24" s="22"/>
      <c r="FT24" s="32"/>
      <c r="FU24" s="29" t="str">
        <f>IF(AND(FJ24="",FM24="",FP24="",FS24=""),"",IF(OR(OR(Tabla1[[#This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4" s="28"/>
      <c r="FW24" s="22"/>
      <c r="FX24" s="29" t="str">
        <f t="shared" si="33"/>
        <v>TOMAR EXAMEN</v>
      </c>
      <c r="FY24" s="22"/>
      <c r="FZ24" s="22"/>
      <c r="GA24" s="29" t="str">
        <f t="shared" ca="1" si="34"/>
        <v>NO APLICA-INGRESO TARDIO</v>
      </c>
      <c r="GB24" s="22"/>
      <c r="GC24" s="22"/>
      <c r="GD24" s="29" t="str">
        <f t="shared" ca="1" si="35"/>
        <v>PIERDE TOMA DE TAMIZAJE</v>
      </c>
      <c r="GE24" s="22"/>
      <c r="GF24" s="22"/>
      <c r="GG24" s="29" t="str">
        <f t="shared" ca="1" si="36"/>
        <v>PIERDE TOMA DE TAMIZAJE</v>
      </c>
      <c r="GH24" s="22"/>
      <c r="GI24" s="29"/>
      <c r="GJ24" s="22"/>
      <c r="GK24" s="22"/>
      <c r="GL24" s="22" t="s">
        <v>879</v>
      </c>
      <c r="GM24" s="22"/>
      <c r="GN24" s="28"/>
      <c r="GO24" s="22"/>
      <c r="GP24" s="29" t="str">
        <f t="shared" si="37"/>
        <v>TOMAR EXAMEN</v>
      </c>
      <c r="GQ24" s="28"/>
      <c r="GR24" s="28"/>
      <c r="GS24" s="22" t="str">
        <f t="shared" si="38"/>
        <v/>
      </c>
      <c r="GT24" s="22"/>
      <c r="GU24" s="29" t="str">
        <f t="shared" si="39"/>
        <v>TOMAR EXAMEN</v>
      </c>
      <c r="GV24" s="21" t="str">
        <f t="shared" si="40"/>
        <v>POR DEFINIR</v>
      </c>
      <c r="GW24" s="28"/>
      <c r="GX24" s="30"/>
      <c r="GY24" s="21"/>
      <c r="GZ24" s="21"/>
      <c r="HA24" s="21"/>
      <c r="HB24" s="21"/>
      <c r="HC24" s="21"/>
      <c r="HD24" s="21"/>
      <c r="HE24" s="21"/>
      <c r="HF24" s="22"/>
      <c r="HG24" s="22" t="str">
        <f>IF(OR(O24&gt;0,R24&gt;0),CONCATENATE(IF(Tabla1[[#This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4" s="22" t="e">
        <f t="shared" si="41"/>
        <v>#REF!</v>
      </c>
      <c r="HI24" s="22" t="e">
        <f t="shared" ca="1" si="42"/>
        <v>#REF!</v>
      </c>
      <c r="HJ24" s="21" t="str">
        <f t="shared" ca="1" si="43"/>
        <v>***************************************</v>
      </c>
      <c r="HK24" s="21" t="str">
        <f t="shared" si="44"/>
        <v>SIN ANTECEDENTES DE RIESGO</v>
      </c>
      <c r="HL24" s="24" t="str">
        <f t="shared" si="45"/>
        <v>REGISTRE DATO PRESIÓN ARTERIAL MENSUAL</v>
      </c>
      <c r="HM24" s="21" t="str">
        <f t="shared" ca="1" si="46"/>
        <v/>
      </c>
      <c r="HN24" s="30" t="str">
        <f t="shared" si="47"/>
        <v>SALIO PROGRAMA</v>
      </c>
      <c r="HO24" s="21"/>
      <c r="HP24" s="21" t="s">
        <v>854</v>
      </c>
      <c r="HQ24" s="21">
        <v>44842</v>
      </c>
      <c r="HR24" s="21" t="str">
        <f>IF(R24="","",IF(Tabla1[[#This Row],[ALARMA FACTORES DE RIESGO COMPLICACIONES HIPERTENSIVAS3]]="SIN ANTECEDENTES DE RIESGO","No Aplica para suministro de ASA",IF(AND(Tabla1[[#This Row],[FECHA INICIO DE SUMINISTRO DE ASA]]&gt;0,RV24&lt;12),"Inicia ASA ANTES de Sem 12",IF(AND(RV24&gt;11,RV24&lt;17,OR(HK24="RIESGO ALTO DE COMPLICACIONES HIPERTENSIVAS VER MANEJO GUIA SUMINISTRO ASA Y CALCIO",HK24="RIESGO MODERADO (2 O MAS CRITERIOS) VER MANEJO GUIA SUMINISTRO ASA Y CALCIO")),"Inicio oportuno de ASA",IF(AND(RV24&gt;12,OR(HK24="RIESGO ALTO DE COMPLICACIONES HIPERTENSIVAS VER MANEJO GUIA SUMINISTRO ASA Y CALCIO",HK24="RIESGO MODERADO (2 O MAS CRITERIOS) VER MANEJO GUIA SUMINISTRO ASA Y CALCIO")),"Inicio no oportuno mayor a 16 semanas",IF(AND(BU24&lt;12,OR(HK24="RIESGO ALTO DE COMPLICACIONES HIPERTENSIVAS VER MANEJO GUIA SUMINISTRO ASA Y CALCIO",HK24="RIESGO MODERADO (2 O MAS CRITERIOS) VER MANEJO GUIA SUMINISTRO ASA Y CALCIO")),"Pendiente Inicio de ASA a la semana 12",IF(AND(BU24&gt;11,BU24&lt;17,OR(HK24="RIESGO ALTO DE COMPLICACIONES HIPERTENSIVAS VER MANEJO GUIA SUMINISTRO ASA Y CALCIO",HK24="RIESGO MODERADO (2 O MAS CRITERIOS) VER MANEJO GUIA SUMINISTRO ASA Y CALCIO")),"Iniciar de inmediato ASA",IF(AND(BU24&gt;16,OR(HK24="RIESGO ALTO DE COMPLICACIONES HIPERTENSIVAS VER MANEJO GUIA SUMINISTRO ASA Y CALCIO",HK24="RIESGO MODERADO (2 O MAS CRITERIOS) VER MANEJO GUIA SUMINISTRO ASA Y CALCIO")),"Pierde Oportunidad, Inicio tardío de ASA","XXXXX"))))))))</f>
        <v>No Aplica para suministro de ASA</v>
      </c>
      <c r="HS24" s="22">
        <v>44842</v>
      </c>
      <c r="HT24" s="22" t="s">
        <v>870</v>
      </c>
      <c r="HU24" s="22"/>
      <c r="HV24" s="22"/>
      <c r="HW24" s="22">
        <v>44842</v>
      </c>
      <c r="HX24" s="22" t="s">
        <v>870</v>
      </c>
      <c r="HY24" s="22">
        <v>44842</v>
      </c>
      <c r="HZ24" s="28">
        <f t="shared" si="48"/>
        <v>21.142857142857142</v>
      </c>
      <c r="IA24" s="26" t="s">
        <v>864</v>
      </c>
      <c r="IB24" s="26"/>
      <c r="IC24" s="111">
        <v>44862</v>
      </c>
      <c r="ID24" s="22">
        <v>44862</v>
      </c>
      <c r="IE24" s="22" t="str">
        <f t="shared" ca="1" si="49"/>
        <v>VACUNA APLICADA ENTRE SEMANA 20 Y SEMANA 26</v>
      </c>
      <c r="IF24" s="22"/>
      <c r="IG24" s="22">
        <f t="shared" si="50"/>
        <v>44974</v>
      </c>
      <c r="IH24" s="29">
        <f t="shared" ca="1" si="51"/>
        <v>-258</v>
      </c>
      <c r="II24" s="22" t="str">
        <f t="shared" ca="1" si="52"/>
        <v>POSIBLEMENTE NACIO</v>
      </c>
      <c r="IJ24" s="22"/>
      <c r="IK24" s="21" t="s">
        <v>1652</v>
      </c>
      <c r="IL24" s="21"/>
      <c r="IM24" s="34"/>
      <c r="IN24" s="349">
        <v>44978</v>
      </c>
      <c r="IO24" s="21" t="s">
        <v>1186</v>
      </c>
      <c r="IP24" s="29">
        <f t="shared" si="53"/>
        <v>40.571428571428569</v>
      </c>
      <c r="IQ24" s="35" t="s">
        <v>1653</v>
      </c>
      <c r="IR24" s="21" t="s">
        <v>1649</v>
      </c>
      <c r="IS24" s="21" t="s">
        <v>1646</v>
      </c>
      <c r="IT24" s="21" t="s">
        <v>1642</v>
      </c>
      <c r="IU24" s="21"/>
      <c r="IV24" s="21"/>
      <c r="IW24" s="21"/>
      <c r="IX24" s="21"/>
      <c r="IY24" s="21"/>
      <c r="IZ24" s="21"/>
      <c r="JA24" s="21"/>
      <c r="JB24" s="30">
        <v>1</v>
      </c>
      <c r="JC24" s="21" t="s">
        <v>1647</v>
      </c>
      <c r="JD24" s="36">
        <v>3490</v>
      </c>
      <c r="JE24" s="21" t="str">
        <f t="shared" si="54"/>
        <v>PESO ADECUADO EDAD GESTACIONAL</v>
      </c>
      <c r="JF24" s="30"/>
      <c r="JG24" s="21"/>
      <c r="JH24" s="21"/>
      <c r="JI24" s="21" t="s">
        <v>854</v>
      </c>
      <c r="JJ24" s="30" t="s">
        <v>866</v>
      </c>
      <c r="JK24" s="22"/>
      <c r="JL24" s="22"/>
      <c r="JM24" s="21"/>
      <c r="JN24" s="36"/>
      <c r="JO24" s="21" t="str">
        <f t="shared" si="55"/>
        <v/>
      </c>
      <c r="JP24" s="22"/>
      <c r="JQ24" s="21"/>
      <c r="JR24" s="21"/>
      <c r="JS24" s="21"/>
      <c r="JT24" s="30"/>
      <c r="JU24" s="22"/>
      <c r="JV24" s="22"/>
      <c r="JW24" s="33"/>
      <c r="JX24" s="28" t="str">
        <f t="shared" si="56"/>
        <v>INASISTENTE</v>
      </c>
      <c r="JY24" s="33"/>
      <c r="JZ24" s="28" t="str">
        <f t="shared" si="57"/>
        <v>INASISTENTE</v>
      </c>
      <c r="KA24" s="21"/>
      <c r="KB24" s="21"/>
      <c r="KC24" s="21"/>
      <c r="KD24" s="37"/>
      <c r="KE24" s="28"/>
      <c r="KF24" s="28"/>
      <c r="KG24" s="28"/>
      <c r="KH24" s="39"/>
      <c r="KI24" s="39"/>
      <c r="KJ24" s="66"/>
      <c r="KK24" s="39"/>
      <c r="KL24" s="39"/>
      <c r="KM24" s="66"/>
      <c r="KN24" s="39"/>
      <c r="KO24" s="39"/>
      <c r="KP24" s="39"/>
      <c r="KQ24" s="39"/>
      <c r="KR24" s="39"/>
      <c r="KS24" s="39"/>
      <c r="KT24" s="39"/>
      <c r="KU24" s="38"/>
      <c r="KV24" s="38"/>
      <c r="KW24" s="38"/>
      <c r="KX24" s="38"/>
      <c r="KY24" s="38"/>
      <c r="KZ24" s="38"/>
      <c r="LA24" s="38"/>
      <c r="LB24" s="38"/>
      <c r="LC24" s="38"/>
      <c r="LD24" s="38"/>
      <c r="LE24" s="38"/>
      <c r="LF24" s="38"/>
      <c r="LG24" s="38"/>
      <c r="LH24" s="38"/>
      <c r="LI24" s="38"/>
      <c r="LJ24" s="38"/>
      <c r="LK24" s="38"/>
      <c r="LL24" s="38"/>
      <c r="LM24" s="38"/>
      <c r="LN24" s="38"/>
      <c r="LO24" s="38"/>
      <c r="LP24" s="38"/>
      <c r="LQ24" s="38"/>
      <c r="LR24" s="38"/>
      <c r="LS24" s="38"/>
      <c r="LT24" s="38"/>
      <c r="LU24" s="38"/>
      <c r="LV24" s="38"/>
      <c r="LW24" s="38"/>
      <c r="LX24" s="38"/>
      <c r="LY24" s="38"/>
      <c r="LZ24" s="38"/>
      <c r="MA24" s="38"/>
      <c r="MB24" s="38"/>
      <c r="MC24" s="38"/>
      <c r="MD24" s="38"/>
      <c r="ME24" s="38"/>
      <c r="MF24" s="38"/>
      <c r="MG24" s="38"/>
      <c r="MH24" s="43">
        <f t="shared" si="58"/>
        <v>0</v>
      </c>
      <c r="MI24" s="43" t="str">
        <f t="shared" si="59"/>
        <v/>
      </c>
      <c r="MJ24" s="43" t="str">
        <f t="shared" si="60"/>
        <v/>
      </c>
      <c r="MK24" s="43">
        <f t="shared" si="61"/>
        <v>0</v>
      </c>
      <c r="ML2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4" s="43">
        <f t="shared" si="62"/>
        <v>21.142857142857142</v>
      </c>
      <c r="MN24" s="43">
        <f t="shared" si="63"/>
        <v>10</v>
      </c>
      <c r="MO24" s="43">
        <f t="shared" si="64"/>
        <v>2022</v>
      </c>
      <c r="MP24" s="43" t="str">
        <f t="shared" si="65"/>
        <v>IV TRIMESTRE AÑO</v>
      </c>
      <c r="MQ24" s="43">
        <f t="shared" si="66"/>
        <v>34.874616732369688</v>
      </c>
      <c r="MR24" s="43">
        <f t="shared" si="67"/>
        <v>0</v>
      </c>
      <c r="MS24" s="43" t="str">
        <f t="shared" si="68"/>
        <v xml:space="preserve"> DE 30 A 34 AÑOS</v>
      </c>
      <c r="MT24" s="43">
        <f t="shared" si="69"/>
        <v>0</v>
      </c>
      <c r="MU24" s="43">
        <f t="shared" si="70"/>
        <v>0</v>
      </c>
      <c r="MV24" s="43">
        <f t="shared" si="71"/>
        <v>0</v>
      </c>
      <c r="MW24" s="43">
        <f t="shared" si="72"/>
        <v>0</v>
      </c>
      <c r="MX24" s="43" t="str">
        <f t="shared" si="73"/>
        <v/>
      </c>
      <c r="MY24" s="43" t="str">
        <f t="shared" ca="1" si="74"/>
        <v/>
      </c>
      <c r="MZ24" s="43" t="str">
        <f t="shared" si="75"/>
        <v/>
      </c>
      <c r="NA24" s="43">
        <f t="shared" si="76"/>
        <v>0</v>
      </c>
      <c r="NB24" s="43" t="str">
        <f t="shared" si="77"/>
        <v/>
      </c>
      <c r="NC24" s="43" t="str">
        <f t="shared" si="78"/>
        <v/>
      </c>
      <c r="ND24" s="43">
        <f t="shared" ca="1" si="79"/>
        <v>0</v>
      </c>
      <c r="NE24" s="43">
        <f>IF(OR(O24&gt;0,R24&gt;0),SUM(COUNTIF(Tabla1[[#This Row],[AÑOS AL INICIO5 CPN]],"&gt;=40"),COUNTIF(AS24,"0"),COUNTIF(AR24,"SI"),COUNTIF(CC24,"SI"),COUNTIF(BQ24,"&gt;119"),COUNTIF(CI24,"&gt;=35")),"")</f>
        <v>0</v>
      </c>
      <c r="NF24" s="43">
        <f t="shared" si="80"/>
        <v>24</v>
      </c>
      <c r="NG24" s="43">
        <f t="shared" si="81"/>
        <v>0</v>
      </c>
      <c r="NH24" s="43">
        <f t="shared" si="82"/>
        <v>168</v>
      </c>
      <c r="NI24"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CPN",P24="NO"),"Z",IF(AND(Tabla1[[#This Row],[CITA PROXIMO CONTROL]]="CITA MANUAL",Tabla1[[#This Row],[GESTANTES ACTUALES]]="ACTIVA INGRESO A CPN"),"W",IF(AND(Tabla1[[#This Row],[GESTANTES ACTUALES]]="SALIO PROGRAMA",IN24=""),"S",IF(AND(Tabla1[[#This Row],[CITA PROXIMO CONTROL]]&gt;0,IN24=""),(Tabla1[[#This Row],[CITA PROXIMO CONTROL]]-TODAY()),"SD"))))))))</f>
        <v>SD</v>
      </c>
      <c r="NJ24" s="43">
        <f>MONTH(Tabla1[[#This Row],[FECHA DE SALIDA  DEL PROGRAMA]])</f>
        <v>2</v>
      </c>
      <c r="NK24" s="43">
        <f>YEAR(Tabla1[[#This Row],[FECHA DE SALIDA  DEL PROGRAMA]])</f>
        <v>2023</v>
      </c>
      <c r="NL24" s="43" t="str">
        <f t="shared" si="83"/>
        <v>X</v>
      </c>
      <c r="NM24" s="43" t="str">
        <f t="shared" si="84"/>
        <v>NO</v>
      </c>
      <c r="NN24" s="43" t="str">
        <f ca="1">IF(AND(O24&gt;0,R24=""),"NO CPN",IF(AND(O24="",R24=""),"",IF(AND(R24&gt;0,Tabla1[[#This Row],[SEMANAS DE GESTACION ACTUALIZADAS]]&lt;=12),"NO APLICA",IF(AND(FH24&lt;&gt;"",FN24&lt;&gt;""),"SI","NO"))))</f>
        <v>NO</v>
      </c>
      <c r="NO24" s="43" t="str">
        <f ca="1">IF(AND(O24&gt;0,R24=""),"NO CPN",IF(AND(O24="",R24=""),"",IF(AND(R24&gt;0,Tabla1[[#This Row],[SEMANAS DE GESTACION ACTUALIZADAS]]&lt;=27),"NO APLICA",IF(AND(ES24&lt;&gt;"",FQ24&lt;&gt;"",GF24&lt;&gt;""),"SI","NO"))))</f>
        <v>NO</v>
      </c>
      <c r="NP24" s="204" t="str">
        <f t="shared" si="85"/>
        <v>II TRIM</v>
      </c>
      <c r="NQ24" s="21">
        <f t="shared" si="86"/>
        <v>1</v>
      </c>
      <c r="NR24" s="21">
        <f t="shared" si="87"/>
        <v>2</v>
      </c>
      <c r="NS24" s="205">
        <f t="shared" ca="1" si="88"/>
        <v>0</v>
      </c>
      <c r="NT24" s="21">
        <f t="shared" ca="1" si="89"/>
        <v>0</v>
      </c>
      <c r="NU24" s="21" t="str">
        <f t="shared" ca="1" si="90"/>
        <v>INCOMPLETO</v>
      </c>
      <c r="NV24" s="21" t="str">
        <f t="shared" ca="1" si="91"/>
        <v>INCOMPLETO</v>
      </c>
      <c r="NW24" s="206" t="str">
        <f>IF(AND(O24="",R24=""),"",IF(OR(AND(Tabla1[[#This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4" s="207" t="str">
        <f t="shared" ca="1" si="92"/>
        <v>VACUNADA</v>
      </c>
      <c r="NY24" s="43">
        <f>ROW(Tabla1[[#This Row],['# DE TAMIZAJES SIFILIS TOMADOS ]])</f>
        <v>24</v>
      </c>
      <c r="NZ24" s="43">
        <f t="shared" si="93"/>
        <v>21</v>
      </c>
      <c r="OA24" s="43" t="str">
        <f t="shared" si="94"/>
        <v/>
      </c>
      <c r="OB24" s="43" t="str">
        <f t="shared" si="95"/>
        <v/>
      </c>
      <c r="OC24" s="43" t="str">
        <f t="shared" si="96"/>
        <v/>
      </c>
      <c r="OD24" s="43" t="str">
        <f t="shared" si="97"/>
        <v/>
      </c>
      <c r="OE24" s="43" t="str">
        <f t="shared" si="98"/>
        <v/>
      </c>
      <c r="OF24" s="43" t="str">
        <f t="shared" si="99"/>
        <v/>
      </c>
      <c r="OG24" s="43" t="str">
        <f t="shared" si="100"/>
        <v/>
      </c>
      <c r="OH24" s="43" t="str">
        <f t="shared" si="101"/>
        <v/>
      </c>
      <c r="OI24" s="43" t="str">
        <f t="shared" si="102"/>
        <v/>
      </c>
      <c r="OJ24" s="43" t="str">
        <f t="shared" si="103"/>
        <v/>
      </c>
      <c r="OK24" s="43" t="str">
        <f t="shared" si="104"/>
        <v/>
      </c>
      <c r="OL24" s="43" t="str">
        <f t="shared" si="105"/>
        <v/>
      </c>
      <c r="OM24" s="43" t="str">
        <f t="shared" si="106"/>
        <v>SOBREPESO</v>
      </c>
      <c r="ON24" s="43" t="str">
        <f t="shared" si="107"/>
        <v/>
      </c>
      <c r="OO24" s="43" t="str">
        <f t="shared" si="108"/>
        <v/>
      </c>
      <c r="OP24" s="43" t="str">
        <f t="shared" si="109"/>
        <v/>
      </c>
      <c r="OQ24" s="43" t="str">
        <f t="shared" si="110"/>
        <v/>
      </c>
      <c r="OR24" s="43" t="str">
        <f t="shared" si="111"/>
        <v/>
      </c>
      <c r="OS24" s="43" t="str">
        <f t="shared" si="112"/>
        <v/>
      </c>
      <c r="OT24" s="43" t="str">
        <f t="shared" si="113"/>
        <v/>
      </c>
      <c r="OU24" s="43" t="str">
        <f t="shared" si="114"/>
        <v/>
      </c>
      <c r="OV24" s="110" t="str">
        <f t="shared" si="115"/>
        <v/>
      </c>
      <c r="OW24" s="43" t="str">
        <f t="shared" si="116"/>
        <v/>
      </c>
      <c r="OX24" s="43" t="str">
        <f t="shared" si="117"/>
        <v/>
      </c>
      <c r="OY24" s="43" t="str">
        <f t="shared" si="118"/>
        <v/>
      </c>
      <c r="OZ24" s="43" t="str">
        <f t="shared" si="119"/>
        <v/>
      </c>
      <c r="PA24" s="43" t="str">
        <f t="shared" si="120"/>
        <v/>
      </c>
      <c r="PB24" s="43" t="str">
        <f t="shared" si="121"/>
        <v/>
      </c>
      <c r="PC24" s="43" t="str">
        <f t="shared" si="122"/>
        <v/>
      </c>
      <c r="PD24" s="43" t="str">
        <f t="shared" si="123"/>
        <v/>
      </c>
      <c r="PE24" s="43" t="str">
        <f t="shared" si="124"/>
        <v/>
      </c>
      <c r="PF24" s="43" t="str">
        <f t="shared" si="125"/>
        <v/>
      </c>
      <c r="PG24" s="43" t="str">
        <f t="shared" si="126"/>
        <v/>
      </c>
      <c r="PH24" s="43" t="str">
        <f t="shared" si="127"/>
        <v/>
      </c>
      <c r="PI24" s="43">
        <f t="shared" si="128"/>
        <v>38</v>
      </c>
      <c r="PJ24" s="43" t="str">
        <f t="shared" si="129"/>
        <v/>
      </c>
      <c r="PK24" s="43" t="str">
        <f t="shared" si="130"/>
        <v/>
      </c>
      <c r="PL24" s="43" t="str">
        <f t="shared" si="131"/>
        <v/>
      </c>
      <c r="PM24" s="43" t="str">
        <f t="shared" si="132"/>
        <v/>
      </c>
      <c r="PN24" s="43" t="str">
        <f t="shared" si="133"/>
        <v/>
      </c>
      <c r="PO24" s="43" t="str">
        <f t="shared" si="134"/>
        <v/>
      </c>
      <c r="PP24" s="43" t="str">
        <f t="shared" si="135"/>
        <v/>
      </c>
      <c r="PQ24" s="43" t="str">
        <f t="shared" si="136"/>
        <v/>
      </c>
      <c r="PR24" s="43" t="str">
        <f t="shared" si="137"/>
        <v/>
      </c>
      <c r="PS24" s="43" t="str">
        <f t="shared" si="138"/>
        <v/>
      </c>
      <c r="PT24" s="43" t="str">
        <f t="shared" si="139"/>
        <v/>
      </c>
      <c r="PU24" s="43" t="str">
        <f t="shared" si="140"/>
        <v/>
      </c>
      <c r="PV24" s="43" t="str">
        <f t="shared" si="141"/>
        <v/>
      </c>
      <c r="PW24" s="43" t="str">
        <f t="shared" si="142"/>
        <v/>
      </c>
      <c r="PX24" s="43" t="str">
        <f t="shared" si="143"/>
        <v/>
      </c>
      <c r="PY24" s="43" t="str">
        <f t="shared" si="144"/>
        <v/>
      </c>
      <c r="PZ24" s="43" t="str">
        <f t="shared" si="145"/>
        <v/>
      </c>
      <c r="QA24" s="43" t="str">
        <f t="shared" si="146"/>
        <v/>
      </c>
      <c r="QB24" s="43" t="str">
        <f t="shared" si="147"/>
        <v/>
      </c>
      <c r="QC24" s="43" t="str">
        <f t="shared" si="148"/>
        <v/>
      </c>
      <c r="QD24" s="43" t="str">
        <f t="shared" si="149"/>
        <v/>
      </c>
      <c r="QE24" s="43" t="str">
        <f t="shared" si="150"/>
        <v/>
      </c>
      <c r="QF24" s="43" t="str">
        <f t="shared" si="151"/>
        <v/>
      </c>
      <c r="QG24" s="43" t="str">
        <f t="shared" si="152"/>
        <v/>
      </c>
      <c r="QH24" s="43" t="str">
        <f t="shared" si="153"/>
        <v/>
      </c>
      <c r="QI24" s="43" t="str">
        <f t="shared" si="154"/>
        <v/>
      </c>
      <c r="QJ24" s="43" t="str">
        <f t="shared" si="155"/>
        <v/>
      </c>
      <c r="QK24" s="43" t="str">
        <f t="shared" si="156"/>
        <v/>
      </c>
      <c r="QL24" s="43" t="str">
        <f t="shared" si="157"/>
        <v/>
      </c>
      <c r="QM24" s="43" t="str">
        <f t="shared" si="158"/>
        <v/>
      </c>
      <c r="QN24" s="43" t="str">
        <f t="shared" si="159"/>
        <v/>
      </c>
      <c r="QO24" s="43" t="str">
        <f t="shared" si="160"/>
        <v/>
      </c>
      <c r="QP24" s="43" t="str">
        <f t="shared" si="161"/>
        <v/>
      </c>
      <c r="QQ24" s="43" t="str">
        <f t="shared" si="162"/>
        <v/>
      </c>
      <c r="QR24" s="43">
        <f t="shared" si="192"/>
        <v>38</v>
      </c>
      <c r="QS24" s="43"/>
      <c r="QT24" s="21" t="str">
        <f t="shared" si="163"/>
        <v/>
      </c>
      <c r="QU24" s="21" t="str">
        <f t="shared" si="164"/>
        <v/>
      </c>
      <c r="QV24" s="21" t="str">
        <f t="shared" si="165"/>
        <v/>
      </c>
      <c r="QW24" s="21" t="str">
        <f t="shared" si="166"/>
        <v/>
      </c>
      <c r="QX24" s="21" t="str">
        <f t="shared" si="167"/>
        <v/>
      </c>
      <c r="QY24" s="21" t="str">
        <f t="shared" si="168"/>
        <v/>
      </c>
      <c r="QZ24" s="21" t="str">
        <f t="shared" si="169"/>
        <v/>
      </c>
      <c r="RA24" s="21" t="str">
        <f t="shared" si="170"/>
        <v/>
      </c>
      <c r="RB24" s="21" t="str">
        <f t="shared" si="171"/>
        <v/>
      </c>
      <c r="RC24" s="21" t="str">
        <f t="shared" si="172"/>
        <v/>
      </c>
      <c r="RD24" s="21" t="str">
        <f t="shared" si="173"/>
        <v/>
      </c>
      <c r="RE24" s="21" t="str">
        <f t="shared" si="174"/>
        <v/>
      </c>
      <c r="RF24" s="21" t="str">
        <f t="shared" si="175"/>
        <v/>
      </c>
      <c r="RG24" s="21" t="str">
        <f t="shared" si="176"/>
        <v/>
      </c>
      <c r="RH24" s="21" t="str">
        <f t="shared" si="177"/>
        <v/>
      </c>
      <c r="RI24" s="21" t="str">
        <f t="shared" si="178"/>
        <v/>
      </c>
      <c r="RJ24" s="21" t="str">
        <f t="shared" si="179"/>
        <v/>
      </c>
      <c r="RK24" s="21" t="str">
        <f t="shared" si="180"/>
        <v/>
      </c>
      <c r="RL24" s="21" t="str">
        <f t="shared" si="181"/>
        <v/>
      </c>
      <c r="RM24" s="21" t="str">
        <f t="shared" si="182"/>
        <v/>
      </c>
      <c r="RN24" s="21" t="str">
        <f t="shared" si="183"/>
        <v/>
      </c>
      <c r="RO24" s="21" t="str">
        <f t="shared" si="184"/>
        <v/>
      </c>
      <c r="RP24" s="21" t="str">
        <f t="shared" si="185"/>
        <v/>
      </c>
      <c r="RQ24" s="21" t="str">
        <f t="shared" si="186"/>
        <v/>
      </c>
      <c r="RR24" s="21" t="str">
        <f t="shared" si="187"/>
        <v/>
      </c>
      <c r="RS24" s="21" t="str">
        <f t="shared" si="188"/>
        <v/>
      </c>
      <c r="RT24" s="21" t="str">
        <f t="shared" si="189"/>
        <v/>
      </c>
      <c r="RU24" s="21" t="str">
        <f t="shared" si="190"/>
        <v/>
      </c>
      <c r="RV24" s="21">
        <f t="shared" si="191"/>
        <v>21.142857142857142</v>
      </c>
      <c r="RW24" s="284">
        <f>IF(OR(Tabla1[[#This Row],[FUM FORMULA CONFIABLE]]="",Tabla1[[#This Row],[FUM FORMULA CONFIABLE]]="SD"),"",IF(Tabla1[[#This Row],[FUM FORMULA CONFIABLE]]="CORREGIDA",Tabla1[[#This Row],[FUM X ECO 1]],Tabla1[[#This Row],[FUM x AMENORREA]]))</f>
        <v>44694</v>
      </c>
      <c r="RX24" s="21">
        <f>IF(AND(Tabla1[[#This Row],[FUM X ECO 1]]="",Tabla1[[#This Row],[FUM x AMENORREA]]=""),"",IF(AND(Tabla1[[#This Row],[FUM X ECO 1]]="",Tabla1[[#This Row],[FUM x AMENORREA]]&lt;&gt;""),"X",SUM(Tabla1[[#This Row],[FUM X ECO 1]]-Tabla1[[#This Row],[FUM x AMENORREA]])))</f>
        <v>0</v>
      </c>
      <c r="RY24" s="21">
        <f t="shared" si="193"/>
        <v>0</v>
      </c>
    </row>
    <row r="25" spans="1:493" ht="45" customHeight="1" x14ac:dyDescent="0.25">
      <c r="A25" s="109" t="s">
        <v>994</v>
      </c>
      <c r="B25" s="43" t="s">
        <v>995</v>
      </c>
      <c r="C25" s="43" t="s">
        <v>845</v>
      </c>
      <c r="D25" s="124" t="s">
        <v>846</v>
      </c>
      <c r="E25" s="43" t="s">
        <v>996</v>
      </c>
      <c r="F25" s="43" t="s">
        <v>848</v>
      </c>
      <c r="G25" s="43" t="s">
        <v>997</v>
      </c>
      <c r="H25" s="43" t="s">
        <v>998</v>
      </c>
      <c r="I25" s="109" t="s">
        <v>851</v>
      </c>
      <c r="J25" s="110">
        <v>1002846560</v>
      </c>
      <c r="K25" s="43" t="s">
        <v>852</v>
      </c>
      <c r="L25" s="175" t="s">
        <v>853</v>
      </c>
      <c r="M25" s="22">
        <v>36188</v>
      </c>
      <c r="N25" s="213">
        <f t="shared" ca="1" si="0"/>
        <v>24.778082191780822</v>
      </c>
      <c r="O25" s="22">
        <v>44848</v>
      </c>
      <c r="P25" s="214" t="str">
        <f t="shared" si="1"/>
        <v>SI</v>
      </c>
      <c r="Q25" s="26" t="s">
        <v>855</v>
      </c>
      <c r="R25" s="22">
        <v>44848</v>
      </c>
      <c r="S25" s="21" t="s">
        <v>856</v>
      </c>
      <c r="T25" s="24" t="s">
        <v>690</v>
      </c>
      <c r="U25" s="21" t="s">
        <v>857</v>
      </c>
      <c r="V25" s="21" t="s">
        <v>858</v>
      </c>
      <c r="W25" s="21" t="s">
        <v>999</v>
      </c>
      <c r="X25" s="21" t="s">
        <v>920</v>
      </c>
      <c r="Y25" s="21" t="s">
        <v>859</v>
      </c>
      <c r="Z25" s="21">
        <v>3177765173</v>
      </c>
      <c r="AA25" s="21" t="s">
        <v>860</v>
      </c>
      <c r="AB25" s="27" t="s">
        <v>861</v>
      </c>
      <c r="AC25" s="26" t="s">
        <v>846</v>
      </c>
      <c r="AD25" s="38" t="s">
        <v>863</v>
      </c>
      <c r="AE25" s="26" t="s">
        <v>854</v>
      </c>
      <c r="AF25" s="26" t="s">
        <v>854</v>
      </c>
      <c r="AG25" s="23" t="s">
        <v>864</v>
      </c>
      <c r="AH25" s="23" t="s">
        <v>864</v>
      </c>
      <c r="AI25" s="24" t="s">
        <v>863</v>
      </c>
      <c r="AJ25" s="23" t="s">
        <v>864</v>
      </c>
      <c r="AK25" s="220" t="str">
        <f>IF(AND(AD25="",AE25="",AF25="",AG25="",AH25="",AI25="",AJ25=""),"",IF(OR(Tabla1[[#This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EVALUACIÓN",IF(AND(O25="",R25=""),"",IF(AND(OR(O25&gt;0,R25&gt;0),NG25&gt;=0,NG25&lt;2),"SIN RIESGO",IF(AND(OR(O25&gt;0,R25&gt;0),NG25&gt;=2),"CON RIESGO","ASD")))))</f>
        <v>SIN RIESGO</v>
      </c>
      <c r="AL25" s="23" t="s">
        <v>864</v>
      </c>
      <c r="AM25" s="26" t="s">
        <v>864</v>
      </c>
      <c r="AN25" s="26" t="s">
        <v>864</v>
      </c>
      <c r="AO25" s="26" t="s">
        <v>864</v>
      </c>
      <c r="AP25" s="26" t="s">
        <v>864</v>
      </c>
      <c r="AQ25" s="26" t="s">
        <v>864</v>
      </c>
      <c r="AR25" s="26" t="s">
        <v>864</v>
      </c>
      <c r="AS25" s="21">
        <v>1</v>
      </c>
      <c r="AT25" s="21">
        <v>0</v>
      </c>
      <c r="AU25" s="21">
        <v>0</v>
      </c>
      <c r="AV25" s="26" t="s">
        <v>864</v>
      </c>
      <c r="AW25" s="21">
        <v>0</v>
      </c>
      <c r="AX25" s="26" t="s">
        <v>864</v>
      </c>
      <c r="AY25" s="26" t="s">
        <v>864</v>
      </c>
      <c r="AZ25" s="26" t="s">
        <v>864</v>
      </c>
      <c r="BA25" s="26" t="s">
        <v>864</v>
      </c>
      <c r="BB25" s="26" t="s">
        <v>864</v>
      </c>
      <c r="BC25" s="26" t="s">
        <v>864</v>
      </c>
      <c r="BD25" s="26" t="s">
        <v>864</v>
      </c>
      <c r="BE25" s="26" t="s">
        <v>864</v>
      </c>
      <c r="BF25" s="26" t="s">
        <v>864</v>
      </c>
      <c r="BG25" s="26" t="s">
        <v>864</v>
      </c>
      <c r="BH25" s="26" t="s">
        <v>864</v>
      </c>
      <c r="BI25" s="26" t="s">
        <v>864</v>
      </c>
      <c r="BJ25" s="26"/>
      <c r="BK25" s="26"/>
      <c r="BL25" s="26" t="s">
        <v>864</v>
      </c>
      <c r="BM25" s="26" t="s">
        <v>864</v>
      </c>
      <c r="BN25" s="22"/>
      <c r="BO25" s="22">
        <v>44774</v>
      </c>
      <c r="BP25" s="21" t="s">
        <v>854</v>
      </c>
      <c r="BQ25" s="222">
        <f t="shared" si="2"/>
        <v>0</v>
      </c>
      <c r="BR25" s="223">
        <f t="shared" si="3"/>
        <v>44774.5</v>
      </c>
      <c r="BS25" s="224">
        <f t="shared" si="4"/>
        <v>10.571428571428571</v>
      </c>
      <c r="BT25" s="216" t="str">
        <f t="shared" si="5"/>
        <v>II TRIM</v>
      </c>
      <c r="BU25" s="214" t="str">
        <f t="shared" ca="1" si="6"/>
        <v/>
      </c>
      <c r="BV25" s="25"/>
      <c r="BW25" s="22">
        <v>44960</v>
      </c>
      <c r="BX25" s="28">
        <v>26.5</v>
      </c>
      <c r="BY25" s="28"/>
      <c r="BZ25" s="22"/>
      <c r="CA25" s="21"/>
      <c r="CB25" s="26" t="s">
        <v>864</v>
      </c>
      <c r="CC25" s="26" t="s">
        <v>864</v>
      </c>
      <c r="CD25" s="26" t="s">
        <v>878</v>
      </c>
      <c r="CE25" s="26" t="s">
        <v>864</v>
      </c>
      <c r="CF25" s="22" t="s">
        <v>1517</v>
      </c>
      <c r="CG25" s="21">
        <v>1.45</v>
      </c>
      <c r="CH25" s="21">
        <v>53</v>
      </c>
      <c r="CI25" s="214">
        <f t="shared" si="7"/>
        <v>25.208085612366229</v>
      </c>
      <c r="CJ25" s="225" t="e">
        <f>IF(AND(CI25&lt;10,CH25="SD"),"SIN DATO PESO PREGESTACION O I TRIM",IF(AND(OR(R25&gt;0,O25&gt;0),CI25="X"),"INGRESAR DATO DE PESO",IF(CI25="SD","INGRESAR DATO DE TALLA Y PESO",IF(AND(OR(Tabla1[[#This Row],[MOMENTO EN QUE SE REALIZA EL PESO AL INGRESO A CPN]]="PREGESTACIÓN",NZ25="Menor"),CI25&lt;18.5),"BAJO PESO",IF(AND(OR(Tabla1[[#This Row],[MOMENTO EN QUE SE REALIZA EL PESO AL INGRESO A CPN]]="PREGESTACIÓN",NZ25="Menor"),CI25&lt;25),"NORMAL",IF(AND(OR(Tabla1[[#This Row],[MOMENTO EN QUE SE REALIZA EL PESO AL INGRESO A CPN]]="PREGESTACIÓN",NZ25="Menor"),CI25&lt;30),"SOBREPESO",IF(AND(OR(Tabla1[[#This Row],[MOMENTO EN QUE SE REALIZA EL PESO AL INGRESO A CPN]]="PREGESTACIÓN",NZ25="Menor"),CI25&gt;=30,CI25&lt;50),"OBESIDAD",IF(AND(BS25&gt;0,Tabla1[[#This Row],[MOMENTO EN QUE SE REALIZA EL PESO AL INGRESO A CPN]]="GESTACIÓN"),HLOOKUP(NZ25,$OA$2:PH25,NY25),""))))))))</f>
        <v>#REF!</v>
      </c>
      <c r="CK25" s="212">
        <f t="shared" si="8"/>
        <v>44988</v>
      </c>
      <c r="CL25" s="21"/>
      <c r="CM25" s="214">
        <f t="shared" si="9"/>
        <v>0</v>
      </c>
      <c r="CN25" s="216">
        <f t="shared" si="10"/>
        <v>30</v>
      </c>
      <c r="CO25" s="216" t="e">
        <f>IF(PI25="","",IF(PI25&gt;0,HLOOKUP(PI25,$PJ$2:QQ25,NY25),""))</f>
        <v>#REF!</v>
      </c>
      <c r="CP25" s="21"/>
      <c r="CQ25" s="216" t="e">
        <f>IF(QR25="Menor","NO APLICA-MENOR 13 SEM",IF(AND(CC25="SI",CN25&gt;23),"NO APLICA- GEMELAR",IF(QR25="","",IF(QR25&gt;0,HLOOKUP(QR25,$QS$2:RU25,NY25),""))))</f>
        <v>#REF!</v>
      </c>
      <c r="CR25" s="21">
        <v>120</v>
      </c>
      <c r="CS25" s="21">
        <v>60</v>
      </c>
      <c r="CT25" s="217" t="str">
        <f>IF(R25="","",IF(AND(BS25&gt;1,BS25&lt;12,Tabla1[[#This Row],[T.A. SISTOLICA - ANTES DE SEMANA 12]]="",Tabla1[[#This Row],[T.A. DIASTOLICA - ANTES DE SEMANA 12]]=""),"REGISTRE DATO TA ANTES SEMANA 12",IF(AND(BS25&gt;11,BS25&lt;43,Tabla1[[#This Row],[T.A. SISTOLICA - ANTES DE SEMANA 12]]="",Tabla1[[#This Row],[T.A. DIASTOLICA - ANTES DE SEMANA 12]]=""),"NO APLICA REGISTRO TA-INGRESO TARDIO",IF(AND(OR(O25&gt;0,R25&gt;0),OR(CR25&gt;=140,CS25&gt;=90)),"DEFINIR ESTADIO HTA",IF(AND(OR(O25&gt;0,R25&gt;0),AND(CR25&gt;120,CR25&lt;=139)),"PRE HTA SEGUIMIENTO",IF(AND(OR(O25&gt;0,R25&gt;0),AND(CS25&gt;80,CS25&lt;=89)),"PRE HTA SEGUIMIENTO",IF(AND(OR(O25&gt;0,R25&gt;0),AND(CR25&gt;=80,CR25&lt;=120)),"APARENTEMENTE NORMAL",IF(AND(OR(O25&gt;0,R25&gt;0),AND(CS25&gt;=50,CS25&lt;=80)),"APARENTEMENTE NORMAL",IF(AND(OR(O25&gt;0,R25&gt;0),AND(CR25&gt;1,CR25&lt;=70),AND(CS25&gt;1,CS25&lt;=40)),"HIPOTENSIÓN","")))))))))</f>
        <v>APARENTEMENTE NORMAL</v>
      </c>
      <c r="CU25" s="21"/>
      <c r="CV25" s="21"/>
      <c r="CW25" s="217" t="str">
        <f ca="1">IF(R25="","",IF(AND(CN25&gt;19,CN25&lt;27,Tabla1[[#This Row],[T.A. SISTOLICA (Entre semana 20 y 26)]]="",Tabla1[[#This Row],[T.A. DIATOLICA (Entre semana 20 y 26)]]=""),"ACUDE A CONTROL SEM 20 A 26 REGISTRE TA AHORA",IF(AND(BS25&gt;1,BS25&lt;27,BU25&gt;19,Tabla1[[#This Row],[T.A. SISTOLICA (Entre semana 20 y 26)]]="",Tabla1[[#This Row],[T.A. DIATOLICA (Entre semana 20 y 26)]]=""),"COMPLETE REGISTRO TA CONTROL SEM 20 A26 ",IF(AND(BS25&gt;26,BS25&lt;43,Tabla1[[#This Row],[T.A. SISTOLICA (Entre semana 20 y 26)]]="",Tabla1[[#This Row],[T.A. DIATOLICA (Entre semana 20 y 26)]]=""),"NO APLICA REGISTRO TA-INGRESO TARDIO",IF(AND(OR(O25&gt;0,R25&gt;0),OR(CU25&gt;=140,CV25&gt;=90)),"ALTO RIESGO PREECLAMPSIA,DEFINIR ESTADIO HTA",IF(AND(OR(O25&gt;0,R25&gt;0),AND(CU25&gt;120,CU25&lt;=139)),"PRE HTA SEGUIMIENTO,RIESGO HIPERTENSION INDUCIDA POR EL EMBARAZO",IF(AND(OR(O25&gt;0,R25&gt;0),AND(CV25&gt;80,CV25&lt;=89)),"PRE HTA SEGUIMIENTO, RIESGO HIPERTENSION INDUCIDA POR EL EMBARAZO",IF(AND(OR(O25&lt;&gt;"",R25&lt;&gt;""),CS25&lt;&gt;"",CV25&lt;&gt;"",CS25&lt;=CV25),"VIGILAR CIFRAS PRESION ARTERIAL",IF(AND(OR(O25&gt;0,R25&gt;0),AND(CU25&gt;120,CU25&lt;=139)),"PRE HTA SEGUIMIENTO",IF(AND(OR(O25&gt;0,R25&gt;0),AND(CU25&gt;1,CU25&lt;=70),AND(CV25&gt;1,CV25&lt;=40)),"HIPOTENSIÓN",IF(AND(OR(O25&lt;&gt;"",R25&lt;&gt;""),CS25&lt;&gt;"",CV25&lt;&gt;"",CS25&gt;CV25),"APARENTEMENTE NORMAL",IF(AND(OR(O25&gt;0,R25&gt;0),AND(CU25&gt;=80,CU25&lt;=120)),"APARENTEMENTE NORMAL",IF(AND(OR(O25&gt;0,R25&gt;0),AND(CV25&gt;=50,CV25&lt;=80)),"APARENTEMENTE NORMAL","")))))))))))))</f>
        <v xml:space="preserve">COMPLETE REGISTRO TA CONTROL SEM 20 A26 </v>
      </c>
      <c r="CX25" s="21"/>
      <c r="CY25" s="21"/>
      <c r="CZ25" s="216" t="str">
        <f t="shared" si="11"/>
        <v/>
      </c>
      <c r="DA25" s="21"/>
      <c r="DB25" s="21"/>
      <c r="DC25" s="217" t="str">
        <f t="shared" si="12"/>
        <v>REGISTRE DATO PRESIÓN ARTERIAL MENSUAL</v>
      </c>
      <c r="DD25" s="22">
        <v>44848</v>
      </c>
      <c r="DE25" s="22">
        <v>44848</v>
      </c>
      <c r="DF25" s="22">
        <v>44960</v>
      </c>
      <c r="DG25" s="22">
        <v>44988</v>
      </c>
      <c r="DH25" s="22"/>
      <c r="DI25" s="22"/>
      <c r="DJ25" s="22"/>
      <c r="DK25" s="22"/>
      <c r="DL25" s="22"/>
      <c r="DM25" s="22"/>
      <c r="DN25" s="22"/>
      <c r="DO25" s="22"/>
      <c r="DP25" s="22"/>
      <c r="DQ25" s="22"/>
      <c r="DR25" s="28">
        <v>1</v>
      </c>
      <c r="DS25" s="22"/>
      <c r="DT25" s="22"/>
      <c r="DU25" s="216" t="str">
        <f t="shared" ca="1" si="13"/>
        <v>SALE SIN PLAN DE PARTO</v>
      </c>
      <c r="DV25" s="226" t="str">
        <f t="shared" si="14"/>
        <v>SALIO PROGRAMA</v>
      </c>
      <c r="DW25"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25" s="216" t="str">
        <f t="shared" ca="1" si="15"/>
        <v/>
      </c>
      <c r="DY25" s="212">
        <f>IF(R25="","",IF(R25&gt;0,MAX(Tabla1[[#This Row],[FECHA C2]:[FECHA C13]],Tabla1[[#This Row],[FECHA CONSULTA PRIMERA VEZ PROGRAMA CPN ]])))</f>
        <v>44988</v>
      </c>
      <c r="DZ25" s="216">
        <f t="shared" si="16"/>
        <v>30</v>
      </c>
      <c r="EA25" s="222">
        <f>IF(R25&gt;0,SUM(COUNTA(DF25:DQ25)+COUNTA(Tabla1[[#This Row],[FECHA CONSULTA PRIMERA VEZ PROGRAMA CPN ]])),"")</f>
        <v>3</v>
      </c>
      <c r="EB25" s="222" t="str">
        <f t="shared" si="17"/>
        <v>NO</v>
      </c>
      <c r="EC25" s="214">
        <f t="shared" si="18"/>
        <v>9</v>
      </c>
      <c r="ED25" s="227">
        <f t="shared" si="19"/>
        <v>0.33333333333333331</v>
      </c>
      <c r="EE25" s="22">
        <v>44848</v>
      </c>
      <c r="EF25" s="22">
        <v>44987</v>
      </c>
      <c r="EG25" s="22">
        <v>44848</v>
      </c>
      <c r="EH25" s="22"/>
      <c r="EI25" s="22">
        <v>44848</v>
      </c>
      <c r="EJ25" s="22"/>
      <c r="EK25" s="22"/>
      <c r="EL25" s="21"/>
      <c r="EM25" s="21">
        <v>13.8</v>
      </c>
      <c r="EN25" s="22">
        <v>44967</v>
      </c>
      <c r="EO25" s="222">
        <f t="shared" si="20"/>
        <v>27.571428571428573</v>
      </c>
      <c r="EP25" s="214" t="str">
        <f t="shared" si="21"/>
        <v>NORMAL- SUMINISTRAR SULFATO FERROSO</v>
      </c>
      <c r="EQ25" s="216" t="str">
        <f t="shared" si="22"/>
        <v>II TRIM</v>
      </c>
      <c r="ER25" s="24"/>
      <c r="ES25" s="22"/>
      <c r="ET25" s="29" t="str">
        <f t="shared" ca="1" si="23"/>
        <v>SALE SIN TAMIZAJE HEMOGLOBINA SEM 28</v>
      </c>
      <c r="EU25" s="25" t="str">
        <f t="shared" si="24"/>
        <v/>
      </c>
      <c r="EV25" s="24" t="s">
        <v>866</v>
      </c>
      <c r="EW25" s="24">
        <v>44967</v>
      </c>
      <c r="EX25" s="22"/>
      <c r="EY25" s="29">
        <f t="shared" si="25"/>
        <v>27.571428571428573</v>
      </c>
      <c r="EZ25" s="25" t="str">
        <f t="shared" ca="1" si="26"/>
        <v/>
      </c>
      <c r="FA25" s="21">
        <v>77</v>
      </c>
      <c r="FB25" s="22">
        <v>44967</v>
      </c>
      <c r="FC25" s="29" t="str">
        <f t="shared" si="27"/>
        <v>NO APLICA &gt; 23 SEM -TOMAR PTOG</v>
      </c>
      <c r="FD25" s="29"/>
      <c r="FE25" s="29"/>
      <c r="FF25" s="29"/>
      <c r="FG25" s="21" t="str">
        <f t="shared" ca="1" si="28"/>
        <v/>
      </c>
      <c r="FH25" s="31"/>
      <c r="FI25" s="29" t="str">
        <f t="shared" si="29"/>
        <v>TOMAR EXAMEN</v>
      </c>
      <c r="FJ25" s="22"/>
      <c r="FK25" s="22"/>
      <c r="FL25" s="29" t="str">
        <f t="shared" ca="1" si="30"/>
        <v>PIERDE TOMA DE TAMIZAJE</v>
      </c>
      <c r="FM25" s="22"/>
      <c r="FN25" s="32"/>
      <c r="FO25" s="29" t="str">
        <f t="shared" ca="1" si="31"/>
        <v>PIERDE TOMA DE TAMIZAJE</v>
      </c>
      <c r="FP25" s="22" t="s">
        <v>867</v>
      </c>
      <c r="FQ25" s="32">
        <v>44967</v>
      </c>
      <c r="FR25" s="29">
        <f t="shared" ca="1" si="32"/>
        <v>27.571428571428573</v>
      </c>
      <c r="FS25" s="22"/>
      <c r="FT25" s="32"/>
      <c r="FU25" s="29" t="str">
        <f>IF(AND(FJ25="",FM25="",FP25="",FS25=""),"",IF(OR(OR(Tabla1[[#This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5" s="28"/>
      <c r="FW25" s="22"/>
      <c r="FX25" s="29" t="str">
        <f t="shared" si="33"/>
        <v>TOMAR EXAMEN</v>
      </c>
      <c r="FY25" s="22">
        <v>45201</v>
      </c>
      <c r="FZ25" s="22">
        <v>45201</v>
      </c>
      <c r="GA25" s="29">
        <f t="shared" ca="1" si="34"/>
        <v>61</v>
      </c>
      <c r="GB25" s="22"/>
      <c r="GC25" s="22"/>
      <c r="GD25" s="29" t="str">
        <f t="shared" ca="1" si="35"/>
        <v>PIERDE TOMA DE TAMIZAJE</v>
      </c>
      <c r="GE25" s="22"/>
      <c r="GF25" s="22"/>
      <c r="GG25" s="29" t="str">
        <f t="shared" ca="1" si="36"/>
        <v>PIERDE TOMA DE TAMIZAJE</v>
      </c>
      <c r="GH25" s="22"/>
      <c r="GI25" s="29"/>
      <c r="GJ25" s="22"/>
      <c r="GK25" s="22"/>
      <c r="GL25" s="22" t="s">
        <v>879</v>
      </c>
      <c r="GM25" s="22"/>
      <c r="GN25" s="28"/>
      <c r="GO25" s="22"/>
      <c r="GP25" s="29" t="str">
        <f t="shared" si="37"/>
        <v>TOMAR EXAMEN</v>
      </c>
      <c r="GQ25" s="28"/>
      <c r="GR25" s="28"/>
      <c r="GS25" s="22" t="str">
        <f t="shared" si="38"/>
        <v/>
      </c>
      <c r="GT25" s="22"/>
      <c r="GU25" s="29" t="str">
        <f t="shared" si="39"/>
        <v>TOMAR EXAMEN</v>
      </c>
      <c r="GV25" s="21" t="str">
        <f t="shared" si="40"/>
        <v>POR DEFINIR</v>
      </c>
      <c r="GW25" s="28"/>
      <c r="GX25" s="30"/>
      <c r="GY25" s="21"/>
      <c r="GZ25" s="21"/>
      <c r="HA25" s="21"/>
      <c r="HB25" s="21"/>
      <c r="HC25" s="21"/>
      <c r="HD25" s="21"/>
      <c r="HE25" s="21"/>
      <c r="HF25" s="22"/>
      <c r="HG25" s="22" t="str">
        <f>IF(OR(O25&gt;0,R25&gt;0),CONCATENATE(IF(Tabla1[[#This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5" s="22" t="e">
        <f t="shared" si="41"/>
        <v>#REF!</v>
      </c>
      <c r="HI25" s="22" t="e">
        <f t="shared" ca="1" si="42"/>
        <v>#REF!</v>
      </c>
      <c r="HJ25" s="21" t="str">
        <f t="shared" ca="1" si="43"/>
        <v>**********************MULTIPARIDAD*****************</v>
      </c>
      <c r="HK25" s="21" t="str">
        <f t="shared" si="44"/>
        <v>SIN ANTECEDENTES DE RIESGO</v>
      </c>
      <c r="HL25" s="24" t="str">
        <f t="shared" si="45"/>
        <v>REGISTRE DATO PRESIÓN ARTERIAL MENSUAL</v>
      </c>
      <c r="HM25" s="21" t="str">
        <f t="shared" ca="1" si="46"/>
        <v/>
      </c>
      <c r="HN25" s="30" t="str">
        <f t="shared" si="47"/>
        <v>SALIO PROGRAMA</v>
      </c>
      <c r="HO25" s="21"/>
      <c r="HP25" s="21"/>
      <c r="HQ25" s="21">
        <v>44848</v>
      </c>
      <c r="HR25" s="21" t="str">
        <f>IF(R25="","",IF(Tabla1[[#This Row],[ALARMA FACTORES DE RIESGO COMPLICACIONES HIPERTENSIVAS3]]="SIN ANTECEDENTES DE RIESGO","No Aplica para suministro de ASA",IF(AND(Tabla1[[#This Row],[FECHA INICIO DE SUMINISTRO DE ASA]]&gt;0,RV25&lt;12),"Inicia ASA ANTES de Sem 12",IF(AND(RV25&gt;11,RV25&lt;17,OR(HK25="RIESGO ALTO DE COMPLICACIONES HIPERTENSIVAS VER MANEJO GUIA SUMINISTRO ASA Y CALCIO",HK25="RIESGO MODERADO (2 O MAS CRITERIOS) VER MANEJO GUIA SUMINISTRO ASA Y CALCIO")),"Inicio oportuno de ASA",IF(AND(RV25&gt;12,OR(HK25="RIESGO ALTO DE COMPLICACIONES HIPERTENSIVAS VER MANEJO GUIA SUMINISTRO ASA Y CALCIO",HK25="RIESGO MODERADO (2 O MAS CRITERIOS) VER MANEJO GUIA SUMINISTRO ASA Y CALCIO")),"Inicio no oportuno mayor a 16 semanas",IF(AND(BU25&lt;12,OR(HK25="RIESGO ALTO DE COMPLICACIONES HIPERTENSIVAS VER MANEJO GUIA SUMINISTRO ASA Y CALCIO",HK25="RIESGO MODERADO (2 O MAS CRITERIOS) VER MANEJO GUIA SUMINISTRO ASA Y CALCIO")),"Pendiente Inicio de ASA a la semana 12",IF(AND(BU25&gt;11,BU25&lt;17,OR(HK25="RIESGO ALTO DE COMPLICACIONES HIPERTENSIVAS VER MANEJO GUIA SUMINISTRO ASA Y CALCIO",HK25="RIESGO MODERADO (2 O MAS CRITERIOS) VER MANEJO GUIA SUMINISTRO ASA Y CALCIO")),"Iniciar de inmediato ASA",IF(AND(BU25&gt;16,OR(HK25="RIESGO ALTO DE COMPLICACIONES HIPERTENSIVAS VER MANEJO GUIA SUMINISTRO ASA Y CALCIO",HK25="RIESGO MODERADO (2 O MAS CRITERIOS) VER MANEJO GUIA SUMINISTRO ASA Y CALCIO")),"Pierde Oportunidad, Inicio tardío de ASA","XXXXX"))))))))</f>
        <v>No Aplica para suministro de ASA</v>
      </c>
      <c r="HS25" s="22">
        <v>44848</v>
      </c>
      <c r="HT25" s="22" t="s">
        <v>870</v>
      </c>
      <c r="HU25" s="22">
        <v>44848</v>
      </c>
      <c r="HV25" s="22" t="s">
        <v>870</v>
      </c>
      <c r="HW25" s="22">
        <v>44848</v>
      </c>
      <c r="HX25" s="22" t="s">
        <v>870</v>
      </c>
      <c r="HY25" s="22"/>
      <c r="HZ25" s="28" t="str">
        <f t="shared" si="48"/>
        <v>PENDIENTE CONSULTA</v>
      </c>
      <c r="IA25" s="26"/>
      <c r="IB25" s="26"/>
      <c r="IC25" s="111"/>
      <c r="ID25" s="22"/>
      <c r="IE25" s="22" t="str">
        <f t="shared" ca="1" si="49"/>
        <v>SALE SIN VACUNA</v>
      </c>
      <c r="IF25" s="22"/>
      <c r="IG25" s="22">
        <f t="shared" si="50"/>
        <v>45054</v>
      </c>
      <c r="IH25" s="29">
        <f t="shared" ca="1" si="51"/>
        <v>-178</v>
      </c>
      <c r="II25" s="22" t="str">
        <f t="shared" ca="1" si="52"/>
        <v>POSIBLEMENTE NACIO</v>
      </c>
      <c r="IJ25" s="22"/>
      <c r="IK25" s="21" t="s">
        <v>898</v>
      </c>
      <c r="IL25" s="21"/>
      <c r="IM25" s="34"/>
      <c r="IN25" s="349">
        <v>45042</v>
      </c>
      <c r="IO25" s="21" t="s">
        <v>1640</v>
      </c>
      <c r="IP25" s="29">
        <f t="shared" si="53"/>
        <v>38.285714285714285</v>
      </c>
      <c r="IQ25" s="35"/>
      <c r="IR25" s="21" t="s">
        <v>879</v>
      </c>
      <c r="IS25" s="21" t="s">
        <v>1641</v>
      </c>
      <c r="IT25" s="21" t="s">
        <v>1642</v>
      </c>
      <c r="IU25" s="21"/>
      <c r="IV25" s="21"/>
      <c r="IW25" s="21"/>
      <c r="IX25" s="21"/>
      <c r="IY25" s="21"/>
      <c r="IZ25" s="21"/>
      <c r="JA25" s="21"/>
      <c r="JB25" s="30">
        <v>1</v>
      </c>
      <c r="JC25" s="21" t="s">
        <v>1643</v>
      </c>
      <c r="JD25" s="36">
        <v>3600</v>
      </c>
      <c r="JE25" s="21" t="str">
        <f t="shared" si="54"/>
        <v>PESO ADECUADO EDAD GESTACIONAL</v>
      </c>
      <c r="JF25" s="30"/>
      <c r="JG25" s="21"/>
      <c r="JH25" s="21"/>
      <c r="JI25" s="21"/>
      <c r="JJ25" s="30"/>
      <c r="JK25" s="22"/>
      <c r="JL25" s="22"/>
      <c r="JM25" s="21"/>
      <c r="JN25" s="36"/>
      <c r="JO25" s="21" t="str">
        <f t="shared" si="55"/>
        <v/>
      </c>
      <c r="JP25" s="22"/>
      <c r="JQ25" s="21"/>
      <c r="JR25" s="21"/>
      <c r="JS25" s="21"/>
      <c r="JT25" s="30"/>
      <c r="JU25" s="22"/>
      <c r="JV25" s="22"/>
      <c r="JW25" s="33"/>
      <c r="JX25" s="28" t="str">
        <f t="shared" si="56"/>
        <v>INASISTENTE</v>
      </c>
      <c r="JY25" s="33"/>
      <c r="JZ25" s="28" t="str">
        <f t="shared" si="57"/>
        <v>INASISTENTE</v>
      </c>
      <c r="KA25" s="21"/>
      <c r="KB25" s="21"/>
      <c r="KC25" s="21"/>
      <c r="KD25" s="37"/>
      <c r="KE25" s="28"/>
      <c r="KF25" s="28"/>
      <c r="KG25" s="28"/>
      <c r="KH25" s="39"/>
      <c r="KI25" s="39"/>
      <c r="KJ25" s="66"/>
      <c r="KK25" s="39"/>
      <c r="KL25" s="39"/>
      <c r="KM25" s="66"/>
      <c r="KN25" s="39"/>
      <c r="KO25" s="39"/>
      <c r="KP25" s="39"/>
      <c r="KQ25" s="39"/>
      <c r="KR25" s="39"/>
      <c r="KS25" s="39"/>
      <c r="KT25" s="39"/>
      <c r="KU25" s="38"/>
      <c r="KV25" s="38"/>
      <c r="KW25" s="38"/>
      <c r="KX25" s="38"/>
      <c r="KY25" s="38"/>
      <c r="KZ25" s="38"/>
      <c r="LA25" s="38"/>
      <c r="LB25" s="38"/>
      <c r="LC25" s="38"/>
      <c r="LD25" s="38"/>
      <c r="LE25" s="38"/>
      <c r="LF25" s="38"/>
      <c r="LG25" s="38"/>
      <c r="LH25" s="38"/>
      <c r="LI25" s="38"/>
      <c r="LJ25" s="38"/>
      <c r="LK25" s="38"/>
      <c r="LL25" s="38"/>
      <c r="LM25" s="38"/>
      <c r="LN25" s="38"/>
      <c r="LO25" s="38"/>
      <c r="LP25" s="38"/>
      <c r="LQ25" s="38"/>
      <c r="LR25" s="38"/>
      <c r="LS25" s="38"/>
      <c r="LT25" s="38"/>
      <c r="LU25" s="38"/>
      <c r="LV25" s="38"/>
      <c r="LW25" s="38"/>
      <c r="LX25" s="38"/>
      <c r="LY25" s="38"/>
      <c r="LZ25" s="38"/>
      <c r="MA25" s="38"/>
      <c r="MB25" s="38"/>
      <c r="MC25" s="38"/>
      <c r="MD25" s="38"/>
      <c r="ME25" s="38"/>
      <c r="MF25" s="38"/>
      <c r="MG25" s="38"/>
      <c r="MH25" s="43">
        <f t="shared" si="58"/>
        <v>0</v>
      </c>
      <c r="MI25" s="43" t="str">
        <f t="shared" si="59"/>
        <v/>
      </c>
      <c r="MJ25" s="43" t="str">
        <f t="shared" si="60"/>
        <v/>
      </c>
      <c r="MK25" s="43">
        <f t="shared" si="61"/>
        <v>0</v>
      </c>
      <c r="ML2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5" s="43">
        <f t="shared" si="62"/>
        <v>10.571428571428571</v>
      </c>
      <c r="MN25" s="43">
        <f t="shared" si="63"/>
        <v>10</v>
      </c>
      <c r="MO25" s="43">
        <f t="shared" si="64"/>
        <v>2022</v>
      </c>
      <c r="MP25" s="43" t="str">
        <f t="shared" si="65"/>
        <v>IV TRIMESTRE AÑO</v>
      </c>
      <c r="MQ25" s="43">
        <f t="shared" si="66"/>
        <v>23.368374945247481</v>
      </c>
      <c r="MR25" s="43">
        <f t="shared" si="67"/>
        <v>0</v>
      </c>
      <c r="MS25" s="43" t="str">
        <f t="shared" si="68"/>
        <v xml:space="preserve"> DE 20 A 24 AÑOS</v>
      </c>
      <c r="MT25" s="43">
        <f t="shared" si="69"/>
        <v>0</v>
      </c>
      <c r="MU25" s="43">
        <f t="shared" si="70"/>
        <v>1</v>
      </c>
      <c r="MV25" s="43">
        <f t="shared" si="71"/>
        <v>0</v>
      </c>
      <c r="MW25" s="43">
        <f t="shared" si="72"/>
        <v>0</v>
      </c>
      <c r="MX25" s="43" t="str">
        <f t="shared" si="73"/>
        <v/>
      </c>
      <c r="MY25" s="43" t="str">
        <f t="shared" ca="1" si="74"/>
        <v/>
      </c>
      <c r="MZ25" s="43" t="str">
        <f t="shared" si="75"/>
        <v/>
      </c>
      <c r="NA25" s="43">
        <f t="shared" si="76"/>
        <v>0</v>
      </c>
      <c r="NB25" s="43" t="str">
        <f t="shared" si="77"/>
        <v/>
      </c>
      <c r="NC25" s="43" t="str">
        <f t="shared" si="78"/>
        <v/>
      </c>
      <c r="ND25" s="43">
        <f t="shared" ca="1" si="79"/>
        <v>1</v>
      </c>
      <c r="NE25" s="43">
        <f>IF(OR(O25&gt;0,R25&gt;0),SUM(COUNTIF(Tabla1[[#This Row],[AÑOS AL INICIO5 CPN]],"&gt;=40"),COUNTIF(AS25,"0"),COUNTIF(AR25,"SI"),COUNTIF(CC25,"SI"),COUNTIF(BQ25,"&gt;119"),COUNTIF(CI25,"&gt;=35")),"")</f>
        <v>0</v>
      </c>
      <c r="NF25" s="43" t="str">
        <f t="shared" si="80"/>
        <v/>
      </c>
      <c r="NG25" s="43">
        <f t="shared" si="81"/>
        <v>0</v>
      </c>
      <c r="NH25" s="43">
        <f t="shared" si="82"/>
        <v>185.5</v>
      </c>
      <c r="NI25"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CPN",P25="NO"),"Z",IF(AND(Tabla1[[#This Row],[CITA PROXIMO CONTROL]]="CITA MANUAL",Tabla1[[#This Row],[GESTANTES ACTUALES]]="ACTIVA INGRESO A CPN"),"W",IF(AND(Tabla1[[#This Row],[GESTANTES ACTUALES]]="SALIO PROGRAMA",IN25=""),"S",IF(AND(Tabla1[[#This Row],[CITA PROXIMO CONTROL]]&gt;0,IN25=""),(Tabla1[[#This Row],[CITA PROXIMO CONTROL]]-TODAY()),"SD"))))))))</f>
        <v>SD</v>
      </c>
      <c r="NJ25" s="43">
        <f>MONTH(Tabla1[[#This Row],[FECHA DE SALIDA  DEL PROGRAMA]])</f>
        <v>4</v>
      </c>
      <c r="NK25" s="43">
        <f>YEAR(Tabla1[[#This Row],[FECHA DE SALIDA  DEL PROGRAMA]])</f>
        <v>2023</v>
      </c>
      <c r="NL25" s="43" t="str">
        <f t="shared" si="83"/>
        <v>X</v>
      </c>
      <c r="NM25" s="43" t="str">
        <f t="shared" si="84"/>
        <v>NO</v>
      </c>
      <c r="NN25" s="43" t="str">
        <f ca="1">IF(AND(O25&gt;0,R25=""),"NO CPN",IF(AND(O25="",R25=""),"",IF(AND(R25&gt;0,Tabla1[[#This Row],[SEMANAS DE GESTACION ACTUALIZADAS]]&lt;=12),"NO APLICA",IF(AND(FH25&lt;&gt;"",FN25&lt;&gt;""),"SI","NO"))))</f>
        <v>NO</v>
      </c>
      <c r="NO25" s="43" t="str">
        <f ca="1">IF(AND(O25&gt;0,R25=""),"NO CPN",IF(AND(O25="",R25=""),"",IF(AND(R25&gt;0,Tabla1[[#This Row],[SEMANAS DE GESTACION ACTUALIZADAS]]&lt;=27),"NO APLICA",IF(AND(ES25&lt;&gt;"",FQ25&lt;&gt;"",GF25&lt;&gt;""),"SI","NO"))))</f>
        <v>NO</v>
      </c>
      <c r="NP25" s="204" t="str">
        <f t="shared" si="85"/>
        <v>I TRIM</v>
      </c>
      <c r="NQ25" s="21" t="str">
        <f t="shared" si="86"/>
        <v/>
      </c>
      <c r="NR25" s="21">
        <f t="shared" si="87"/>
        <v>3</v>
      </c>
      <c r="NS25" s="205">
        <f t="shared" ca="1" si="88"/>
        <v>1</v>
      </c>
      <c r="NT25" s="21">
        <f t="shared" ca="1" si="89"/>
        <v>1</v>
      </c>
      <c r="NU25" s="21" t="str">
        <f t="shared" ca="1" si="90"/>
        <v>INCOMPLETO</v>
      </c>
      <c r="NV25" s="21" t="str">
        <f t="shared" ca="1" si="91"/>
        <v>INCOMPLETO</v>
      </c>
      <c r="NW25" s="206" t="str">
        <f>IF(AND(O25="",R25=""),"",IF(OR(AND(Tabla1[[#This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25" s="207" t="str">
        <f t="shared" ca="1" si="92"/>
        <v>SIN VACUNAR</v>
      </c>
      <c r="NY25" s="43">
        <f>ROW(Tabla1[[#This Row],['# DE TAMIZAJES SIFILIS TOMADOS ]])</f>
        <v>25</v>
      </c>
      <c r="NZ25" s="43">
        <f t="shared" si="93"/>
        <v>10</v>
      </c>
      <c r="OA25" s="43" t="str">
        <f t="shared" si="94"/>
        <v/>
      </c>
      <c r="OB25" s="43" t="str">
        <f t="shared" si="95"/>
        <v>NORMAL</v>
      </c>
      <c r="OC25" s="43" t="str">
        <f t="shared" si="96"/>
        <v/>
      </c>
      <c r="OD25" s="43" t="str">
        <f t="shared" si="97"/>
        <v/>
      </c>
      <c r="OE25" s="43" t="str">
        <f t="shared" si="98"/>
        <v/>
      </c>
      <c r="OF25" s="43" t="str">
        <f t="shared" si="99"/>
        <v/>
      </c>
      <c r="OG25" s="43" t="str">
        <f t="shared" si="100"/>
        <v/>
      </c>
      <c r="OH25" s="43" t="str">
        <f t="shared" si="101"/>
        <v/>
      </c>
      <c r="OI25" s="43" t="str">
        <f t="shared" si="102"/>
        <v/>
      </c>
      <c r="OJ25" s="43" t="str">
        <f t="shared" si="103"/>
        <v/>
      </c>
      <c r="OK25" s="43" t="str">
        <f t="shared" si="104"/>
        <v/>
      </c>
      <c r="OL25" s="43" t="str">
        <f t="shared" si="105"/>
        <v/>
      </c>
      <c r="OM25" s="43" t="str">
        <f t="shared" si="106"/>
        <v/>
      </c>
      <c r="ON25" s="43" t="str">
        <f t="shared" si="107"/>
        <v/>
      </c>
      <c r="OO25" s="43" t="str">
        <f t="shared" si="108"/>
        <v/>
      </c>
      <c r="OP25" s="43" t="str">
        <f t="shared" si="109"/>
        <v/>
      </c>
      <c r="OQ25" s="43" t="str">
        <f t="shared" si="110"/>
        <v/>
      </c>
      <c r="OR25" s="43" t="str">
        <f t="shared" si="111"/>
        <v/>
      </c>
      <c r="OS25" s="43" t="str">
        <f t="shared" si="112"/>
        <v/>
      </c>
      <c r="OT25" s="43" t="str">
        <f t="shared" si="113"/>
        <v/>
      </c>
      <c r="OU25" s="43" t="str">
        <f t="shared" si="114"/>
        <v/>
      </c>
      <c r="OV25" s="110" t="str">
        <f t="shared" si="115"/>
        <v/>
      </c>
      <c r="OW25" s="43" t="str">
        <f t="shared" si="116"/>
        <v/>
      </c>
      <c r="OX25" s="43" t="str">
        <f t="shared" si="117"/>
        <v/>
      </c>
      <c r="OY25" s="43" t="str">
        <f t="shared" si="118"/>
        <v/>
      </c>
      <c r="OZ25" s="43" t="str">
        <f t="shared" si="119"/>
        <v/>
      </c>
      <c r="PA25" s="43" t="str">
        <f t="shared" si="120"/>
        <v/>
      </c>
      <c r="PB25" s="43" t="str">
        <f t="shared" si="121"/>
        <v/>
      </c>
      <c r="PC25" s="43" t="str">
        <f t="shared" si="122"/>
        <v/>
      </c>
      <c r="PD25" s="43" t="str">
        <f t="shared" si="123"/>
        <v/>
      </c>
      <c r="PE25" s="43" t="str">
        <f t="shared" si="124"/>
        <v/>
      </c>
      <c r="PF25" s="43" t="str">
        <f t="shared" si="125"/>
        <v/>
      </c>
      <c r="PG25" s="43" t="str">
        <f t="shared" si="126"/>
        <v/>
      </c>
      <c r="PH25" s="43" t="str">
        <f t="shared" si="127"/>
        <v/>
      </c>
      <c r="PI25" s="43">
        <f t="shared" si="128"/>
        <v>30</v>
      </c>
      <c r="PJ25" s="43" t="str">
        <f t="shared" si="129"/>
        <v/>
      </c>
      <c r="PK25" s="43" t="str">
        <f t="shared" si="130"/>
        <v/>
      </c>
      <c r="PL25" s="43" t="str">
        <f t="shared" si="131"/>
        <v/>
      </c>
      <c r="PM25" s="43" t="str">
        <f t="shared" si="132"/>
        <v/>
      </c>
      <c r="PN25" s="43" t="str">
        <f t="shared" si="133"/>
        <v/>
      </c>
      <c r="PO25" s="43" t="str">
        <f t="shared" si="134"/>
        <v/>
      </c>
      <c r="PP25" s="43" t="str">
        <f t="shared" si="135"/>
        <v/>
      </c>
      <c r="PQ25" s="43" t="str">
        <f t="shared" si="136"/>
        <v/>
      </c>
      <c r="PR25" s="43" t="str">
        <f t="shared" si="137"/>
        <v/>
      </c>
      <c r="PS25" s="43" t="str">
        <f t="shared" si="138"/>
        <v/>
      </c>
      <c r="PT25" s="43" t="str">
        <f t="shared" si="139"/>
        <v/>
      </c>
      <c r="PU25" s="43" t="str">
        <f t="shared" si="140"/>
        <v/>
      </c>
      <c r="PV25" s="43" t="str">
        <f t="shared" si="141"/>
        <v/>
      </c>
      <c r="PW25" s="43" t="str">
        <f t="shared" si="142"/>
        <v/>
      </c>
      <c r="PX25" s="43" t="str">
        <f t="shared" si="143"/>
        <v/>
      </c>
      <c r="PY25" s="43" t="str">
        <f t="shared" si="144"/>
        <v/>
      </c>
      <c r="PZ25" s="43" t="str">
        <f t="shared" si="145"/>
        <v/>
      </c>
      <c r="QA25" s="43" t="str">
        <f t="shared" si="146"/>
        <v/>
      </c>
      <c r="QB25" s="43" t="str">
        <f t="shared" si="147"/>
        <v/>
      </c>
      <c r="QC25" s="43" t="str">
        <f t="shared" si="148"/>
        <v/>
      </c>
      <c r="QD25" s="43" t="str">
        <f t="shared" si="149"/>
        <v/>
      </c>
      <c r="QE25" s="43" t="str">
        <f t="shared" si="150"/>
        <v/>
      </c>
      <c r="QF25" s="43" t="str">
        <f t="shared" si="151"/>
        <v/>
      </c>
      <c r="QG25" s="43" t="str">
        <f t="shared" si="152"/>
        <v/>
      </c>
      <c r="QH25" s="43" t="str">
        <f t="shared" si="153"/>
        <v/>
      </c>
      <c r="QI25" s="43" t="str">
        <f t="shared" si="154"/>
        <v/>
      </c>
      <c r="QJ25" s="43" t="str">
        <f t="shared" si="155"/>
        <v/>
      </c>
      <c r="QK25" s="43" t="str">
        <f t="shared" si="156"/>
        <v/>
      </c>
      <c r="QL25" s="43" t="str">
        <f t="shared" si="157"/>
        <v/>
      </c>
      <c r="QM25" s="43" t="str">
        <f t="shared" si="158"/>
        <v/>
      </c>
      <c r="QN25" s="43" t="str">
        <f t="shared" si="159"/>
        <v/>
      </c>
      <c r="QO25" s="43" t="str">
        <f t="shared" si="160"/>
        <v/>
      </c>
      <c r="QP25" s="43" t="str">
        <f t="shared" si="161"/>
        <v/>
      </c>
      <c r="QQ25" s="43" t="str">
        <f t="shared" si="162"/>
        <v/>
      </c>
      <c r="QR25" s="43">
        <f t="shared" si="192"/>
        <v>30</v>
      </c>
      <c r="QS25" s="43"/>
      <c r="QT25" s="21" t="str">
        <f t="shared" si="163"/>
        <v/>
      </c>
      <c r="QU25" s="21" t="str">
        <f t="shared" si="164"/>
        <v/>
      </c>
      <c r="QV25" s="21" t="str">
        <f t="shared" si="165"/>
        <v/>
      </c>
      <c r="QW25" s="21" t="str">
        <f t="shared" si="166"/>
        <v/>
      </c>
      <c r="QX25" s="21" t="str">
        <f t="shared" si="167"/>
        <v/>
      </c>
      <c r="QY25" s="21" t="str">
        <f t="shared" si="168"/>
        <v/>
      </c>
      <c r="QZ25" s="21" t="str">
        <f t="shared" si="169"/>
        <v/>
      </c>
      <c r="RA25" s="21" t="str">
        <f t="shared" si="170"/>
        <v/>
      </c>
      <c r="RB25" s="21" t="str">
        <f t="shared" si="171"/>
        <v/>
      </c>
      <c r="RC25" s="21" t="str">
        <f t="shared" si="172"/>
        <v/>
      </c>
      <c r="RD25" s="21" t="str">
        <f t="shared" si="173"/>
        <v/>
      </c>
      <c r="RE25" s="21" t="str">
        <f t="shared" si="174"/>
        <v/>
      </c>
      <c r="RF25" s="21" t="str">
        <f t="shared" si="175"/>
        <v/>
      </c>
      <c r="RG25" s="21" t="str">
        <f t="shared" si="176"/>
        <v/>
      </c>
      <c r="RH25" s="21" t="str">
        <f t="shared" si="177"/>
        <v/>
      </c>
      <c r="RI25" s="21" t="str">
        <f t="shared" si="178"/>
        <v/>
      </c>
      <c r="RJ25" s="21" t="str">
        <f t="shared" si="179"/>
        <v/>
      </c>
      <c r="RK25" s="21" t="str">
        <f t="shared" si="180"/>
        <v/>
      </c>
      <c r="RL25" s="21" t="str">
        <f t="shared" si="181"/>
        <v/>
      </c>
      <c r="RM25" s="21" t="str">
        <f t="shared" si="182"/>
        <v/>
      </c>
      <c r="RN25" s="21" t="str">
        <f t="shared" si="183"/>
        <v/>
      </c>
      <c r="RO25" s="21" t="str">
        <f t="shared" si="184"/>
        <v/>
      </c>
      <c r="RP25" s="21" t="str">
        <f t="shared" si="185"/>
        <v/>
      </c>
      <c r="RQ25" s="21" t="str">
        <f t="shared" si="186"/>
        <v/>
      </c>
      <c r="RR25" s="21" t="str">
        <f t="shared" si="187"/>
        <v/>
      </c>
      <c r="RS25" s="21" t="str">
        <f t="shared" si="188"/>
        <v/>
      </c>
      <c r="RT25" s="21" t="str">
        <f t="shared" si="189"/>
        <v/>
      </c>
      <c r="RU25" s="21" t="str">
        <f t="shared" si="190"/>
        <v/>
      </c>
      <c r="RV25" s="21">
        <f t="shared" si="191"/>
        <v>10.571428571428571</v>
      </c>
      <c r="RW25" s="284">
        <f>IF(OR(Tabla1[[#This Row],[FUM FORMULA CONFIABLE]]="",Tabla1[[#This Row],[FUM FORMULA CONFIABLE]]="SD"),"",IF(Tabla1[[#This Row],[FUM FORMULA CONFIABLE]]="CORREGIDA",Tabla1[[#This Row],[FUM X ECO 1]],Tabla1[[#This Row],[FUM x AMENORREA]]))</f>
        <v>44774</v>
      </c>
      <c r="RX25" s="21">
        <f>IF(AND(Tabla1[[#This Row],[FUM X ECO 1]]="",Tabla1[[#This Row],[FUM x AMENORREA]]=""),"",IF(AND(Tabla1[[#This Row],[FUM X ECO 1]]="",Tabla1[[#This Row],[FUM x AMENORREA]]&lt;&gt;""),"X",SUM(Tabla1[[#This Row],[FUM X ECO 1]]-Tabla1[[#This Row],[FUM x AMENORREA]])))</f>
        <v>0.5</v>
      </c>
      <c r="RY25" s="21">
        <f t="shared" si="193"/>
        <v>0</v>
      </c>
    </row>
    <row r="26" spans="1:493" ht="45" customHeight="1" x14ac:dyDescent="0.25">
      <c r="A26" s="109" t="s">
        <v>1000</v>
      </c>
      <c r="B26" s="43"/>
      <c r="C26" s="43" t="s">
        <v>845</v>
      </c>
      <c r="D26" s="124" t="s">
        <v>846</v>
      </c>
      <c r="E26" s="43" t="s">
        <v>857</v>
      </c>
      <c r="F26" s="43" t="s">
        <v>1001</v>
      </c>
      <c r="G26" s="43" t="s">
        <v>1002</v>
      </c>
      <c r="H26" s="43"/>
      <c r="I26" s="109" t="s">
        <v>851</v>
      </c>
      <c r="J26" s="110">
        <v>1061784538</v>
      </c>
      <c r="K26" s="43" t="s">
        <v>852</v>
      </c>
      <c r="L26" s="175" t="s">
        <v>853</v>
      </c>
      <c r="M26" s="22">
        <v>34829</v>
      </c>
      <c r="N26" s="213">
        <f t="shared" ca="1" si="0"/>
        <v>28.5013698630137</v>
      </c>
      <c r="O26" s="22">
        <v>44846</v>
      </c>
      <c r="P26" s="214" t="str">
        <f t="shared" si="1"/>
        <v>SI</v>
      </c>
      <c r="Q26" s="26" t="s">
        <v>855</v>
      </c>
      <c r="R26" s="22">
        <v>44846</v>
      </c>
      <c r="S26" s="21" t="s">
        <v>856</v>
      </c>
      <c r="T26" s="24" t="s">
        <v>690</v>
      </c>
      <c r="U26" s="21" t="s">
        <v>857</v>
      </c>
      <c r="V26" s="21" t="s">
        <v>858</v>
      </c>
      <c r="W26" s="21" t="s">
        <v>1003</v>
      </c>
      <c r="X26" s="21" t="s">
        <v>1004</v>
      </c>
      <c r="Y26" s="21" t="s">
        <v>859</v>
      </c>
      <c r="Z26" s="21">
        <v>3152139289</v>
      </c>
      <c r="AA26" s="21" t="s">
        <v>860</v>
      </c>
      <c r="AB26" s="27" t="s">
        <v>861</v>
      </c>
      <c r="AC26" s="26" t="s">
        <v>897</v>
      </c>
      <c r="AD26" s="38" t="s">
        <v>863</v>
      </c>
      <c r="AE26" s="26" t="s">
        <v>854</v>
      </c>
      <c r="AF26" s="26" t="s">
        <v>854</v>
      </c>
      <c r="AG26" s="23" t="s">
        <v>864</v>
      </c>
      <c r="AH26" s="23" t="s">
        <v>864</v>
      </c>
      <c r="AI26" s="24" t="s">
        <v>863</v>
      </c>
      <c r="AJ26" s="23" t="s">
        <v>864</v>
      </c>
      <c r="AK26" s="220" t="str">
        <f>IF(AND(AD26="",AE26="",AF26="",AG26="",AH26="",AI26="",AJ26=""),"",IF(OR(Tabla1[[#This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EVALUACIÓN",IF(AND(O26="",R26=""),"",IF(AND(OR(O26&gt;0,R26&gt;0),NG26&gt;=0,NG26&lt;2),"SIN RIESGO",IF(AND(OR(O26&gt;0,R26&gt;0),NG26&gt;=2),"CON RIESGO","ASD")))))</f>
        <v>SIN RIESGO</v>
      </c>
      <c r="AL26" s="23" t="s">
        <v>864</v>
      </c>
      <c r="AM26" s="26" t="s">
        <v>864</v>
      </c>
      <c r="AN26" s="26" t="s">
        <v>864</v>
      </c>
      <c r="AO26" s="26" t="s">
        <v>864</v>
      </c>
      <c r="AP26" s="26" t="s">
        <v>864</v>
      </c>
      <c r="AQ26" s="26" t="s">
        <v>864</v>
      </c>
      <c r="AR26" s="26" t="s">
        <v>864</v>
      </c>
      <c r="AS26" s="21">
        <v>2</v>
      </c>
      <c r="AT26" s="21">
        <v>1</v>
      </c>
      <c r="AU26" s="21">
        <v>0</v>
      </c>
      <c r="AV26" s="26" t="s">
        <v>864</v>
      </c>
      <c r="AW26" s="21">
        <v>0</v>
      </c>
      <c r="AX26" s="26" t="s">
        <v>864</v>
      </c>
      <c r="AY26" s="26" t="s">
        <v>864</v>
      </c>
      <c r="AZ26" s="26" t="s">
        <v>864</v>
      </c>
      <c r="BA26" s="26" t="s">
        <v>864</v>
      </c>
      <c r="BB26" s="26" t="s">
        <v>864</v>
      </c>
      <c r="BC26" s="26" t="s">
        <v>864</v>
      </c>
      <c r="BD26" s="26" t="s">
        <v>864</v>
      </c>
      <c r="BE26" s="26" t="s">
        <v>864</v>
      </c>
      <c r="BF26" s="26" t="s">
        <v>864</v>
      </c>
      <c r="BG26" s="26" t="s">
        <v>864</v>
      </c>
      <c r="BH26" s="26" t="s">
        <v>864</v>
      </c>
      <c r="BI26" s="26" t="s">
        <v>864</v>
      </c>
      <c r="BJ26" s="26"/>
      <c r="BK26" s="26"/>
      <c r="BL26" s="26" t="s">
        <v>864</v>
      </c>
      <c r="BM26" s="26" t="s">
        <v>864</v>
      </c>
      <c r="BN26" s="22"/>
      <c r="BO26" s="22">
        <v>44793</v>
      </c>
      <c r="BP26" s="21" t="s">
        <v>854</v>
      </c>
      <c r="BQ26" s="222">
        <f t="shared" si="2"/>
        <v>0</v>
      </c>
      <c r="BR26" s="223">
        <f t="shared" si="3"/>
        <v>44793.2</v>
      </c>
      <c r="BS26" s="224">
        <f t="shared" si="4"/>
        <v>7.5714285714285712</v>
      </c>
      <c r="BT26" s="216" t="str">
        <f t="shared" si="5"/>
        <v>I TRIM</v>
      </c>
      <c r="BU26" s="214" t="str">
        <f t="shared" ca="1" si="6"/>
        <v/>
      </c>
      <c r="BV26" s="25" t="s">
        <v>988</v>
      </c>
      <c r="BW26" s="22">
        <v>44845</v>
      </c>
      <c r="BX26" s="28">
        <v>7.4</v>
      </c>
      <c r="BY26" s="28" t="s">
        <v>988</v>
      </c>
      <c r="BZ26" s="22">
        <v>44881</v>
      </c>
      <c r="CA26" s="21">
        <v>13.2</v>
      </c>
      <c r="CB26" s="26" t="s">
        <v>864</v>
      </c>
      <c r="CC26" s="26" t="s">
        <v>864</v>
      </c>
      <c r="CD26" s="26"/>
      <c r="CE26" s="26" t="s">
        <v>864</v>
      </c>
      <c r="CF26" s="22" t="s">
        <v>1517</v>
      </c>
      <c r="CG26" s="21">
        <v>1.65</v>
      </c>
      <c r="CH26" s="21">
        <v>71</v>
      </c>
      <c r="CI26" s="214">
        <f t="shared" si="7"/>
        <v>26.078971533516992</v>
      </c>
      <c r="CJ26" s="225" t="str">
        <f>IF(AND(CI26&lt;10,CH26="SD"),"SIN DATO PESO PREGESTACION O I TRIM",IF(AND(OR(R26&gt;0,O26&gt;0),CI26="X"),"INGRESAR DATO DE PESO",IF(CI26="SD","INGRESAR DATO DE TALLA Y PESO",IF(AND(OR(Tabla1[[#This Row],[MOMENTO EN QUE SE REALIZA EL PESO AL INGRESO A CPN]]="PREGESTACIÓN",NZ26="Menor"),CI26&lt;18.5),"BAJO PESO",IF(AND(OR(Tabla1[[#This Row],[MOMENTO EN QUE SE REALIZA EL PESO AL INGRESO A CPN]]="PREGESTACIÓN",NZ26="Menor"),CI26&lt;25),"NORMAL",IF(AND(OR(Tabla1[[#This Row],[MOMENTO EN QUE SE REALIZA EL PESO AL INGRESO A CPN]]="PREGESTACIÓN",NZ26="Menor"),CI26&lt;30),"SOBREPESO",IF(AND(OR(Tabla1[[#This Row],[MOMENTO EN QUE SE REALIZA EL PESO AL INGRESO A CPN]]="PREGESTACIÓN",NZ26="Menor"),CI26&gt;=30,CI26&lt;50),"OBESIDAD",IF(AND(BS26&gt;0,Tabla1[[#This Row],[MOMENTO EN QUE SE REALIZA EL PESO AL INGRESO A CPN]]="GESTACIÓN"),HLOOKUP(NZ26,$OA$2:PH26,NY26),""))))))))</f>
        <v>SOBREPESO</v>
      </c>
      <c r="CK26" s="212">
        <f t="shared" si="8"/>
        <v>45058</v>
      </c>
      <c r="CL26" s="21">
        <v>80</v>
      </c>
      <c r="CM26" s="214">
        <f t="shared" si="9"/>
        <v>29.384756657483933</v>
      </c>
      <c r="CN26" s="216">
        <f t="shared" si="10"/>
        <v>37</v>
      </c>
      <c r="CO26" s="216" t="e">
        <f>IF(PI26="","",IF(PI26&gt;0,HLOOKUP(PI26,$PJ$2:QQ26,NY26),""))</f>
        <v>#REF!</v>
      </c>
      <c r="CP26" s="21"/>
      <c r="CQ26" s="216" t="e">
        <f>IF(QR26="Menor","NO APLICA-MENOR 13 SEM",IF(AND(CC26="SI",CN26&gt;23),"NO APLICA- GEMELAR",IF(QR26="","",IF(QR26&gt;0,HLOOKUP(QR26,$QS$2:RU26,NY26),""))))</f>
        <v>#REF!</v>
      </c>
      <c r="CR26" s="21">
        <v>90</v>
      </c>
      <c r="CS26" s="21">
        <v>70</v>
      </c>
      <c r="CT26" s="217" t="str">
        <f>IF(R26="","",IF(AND(BS26&gt;1,BS26&lt;12,Tabla1[[#This Row],[T.A. SISTOLICA - ANTES DE SEMANA 12]]="",Tabla1[[#This Row],[T.A. DIASTOLICA - ANTES DE SEMANA 12]]=""),"REGISTRE DATO TA ANTES SEMANA 12",IF(AND(BS26&gt;11,BS26&lt;43,Tabla1[[#This Row],[T.A. SISTOLICA - ANTES DE SEMANA 12]]="",Tabla1[[#This Row],[T.A. DIASTOLICA - ANTES DE SEMANA 12]]=""),"NO APLICA REGISTRO TA-INGRESO TARDIO",IF(AND(OR(O26&gt;0,R26&gt;0),OR(CR26&gt;=140,CS26&gt;=90)),"DEFINIR ESTADIO HTA",IF(AND(OR(O26&gt;0,R26&gt;0),AND(CR26&gt;120,CR26&lt;=139)),"PRE HTA SEGUIMIENTO",IF(AND(OR(O26&gt;0,R26&gt;0),AND(CS26&gt;80,CS26&lt;=89)),"PRE HTA SEGUIMIENTO",IF(AND(OR(O26&gt;0,R26&gt;0),AND(CR26&gt;=80,CR26&lt;=120)),"APARENTEMENTE NORMAL",IF(AND(OR(O26&gt;0,R26&gt;0),AND(CS26&gt;=50,CS26&lt;=80)),"APARENTEMENTE NORMAL",IF(AND(OR(O26&gt;0,R26&gt;0),AND(CR26&gt;1,CR26&lt;=70),AND(CS26&gt;1,CS26&lt;=40)),"HIPOTENSIÓN","")))))))))</f>
        <v>APARENTEMENTE NORMAL</v>
      </c>
      <c r="CU26" s="21">
        <v>100</v>
      </c>
      <c r="CV26" s="21">
        <v>60</v>
      </c>
      <c r="CW26" s="217" t="str">
        <f ca="1">IF(R26="","",IF(AND(CN26&gt;19,CN26&lt;27,Tabla1[[#This Row],[T.A. SISTOLICA (Entre semana 20 y 26)]]="",Tabla1[[#This Row],[T.A. DIATOLICA (Entre semana 20 y 26)]]=""),"ACUDE A CONTROL SEM 20 A 26 REGISTRE TA AHORA",IF(AND(BS26&gt;1,BS26&lt;27,BU26&gt;19,Tabla1[[#This Row],[T.A. SISTOLICA (Entre semana 20 y 26)]]="",Tabla1[[#This Row],[T.A. DIATOLICA (Entre semana 20 y 26)]]=""),"COMPLETE REGISTRO TA CONTROL SEM 20 A26 ",IF(AND(BS26&gt;26,BS26&lt;43,Tabla1[[#This Row],[T.A. SISTOLICA (Entre semana 20 y 26)]]="",Tabla1[[#This Row],[T.A. DIATOLICA (Entre semana 20 y 26)]]=""),"NO APLICA REGISTRO TA-INGRESO TARDIO",IF(AND(OR(O26&gt;0,R26&gt;0),OR(CU26&gt;=140,CV26&gt;=90)),"ALTO RIESGO PREECLAMPSIA,DEFINIR ESTADIO HTA",IF(AND(OR(O26&gt;0,R26&gt;0),AND(CU26&gt;120,CU26&lt;=139)),"PRE HTA SEGUIMIENTO,RIESGO HIPERTENSION INDUCIDA POR EL EMBARAZO",IF(AND(OR(O26&gt;0,R26&gt;0),AND(CV26&gt;80,CV26&lt;=89)),"PRE HTA SEGUIMIENTO, RIESGO HIPERTENSION INDUCIDA POR EL EMBARAZO",IF(AND(OR(O26&lt;&gt;"",R26&lt;&gt;""),CS26&lt;&gt;"",CV26&lt;&gt;"",CS26&lt;=CV26),"VIGILAR CIFRAS PRESION ARTERIAL",IF(AND(OR(O26&gt;0,R26&gt;0),AND(CU26&gt;120,CU26&lt;=139)),"PRE HTA SEGUIMIENTO",IF(AND(OR(O26&gt;0,R26&gt;0),AND(CU26&gt;1,CU26&lt;=70),AND(CV26&gt;1,CV26&lt;=40)),"HIPOTENSIÓN",IF(AND(OR(O26&lt;&gt;"",R26&lt;&gt;""),CS26&lt;&gt;"",CV26&lt;&gt;"",CS26&gt;CV26),"APARENTEMENTE NORMAL",IF(AND(OR(O26&gt;0,R26&gt;0),AND(CU26&gt;=80,CU26&lt;=120)),"APARENTEMENTE NORMAL",IF(AND(OR(O26&gt;0,R26&gt;0),AND(CV26&gt;=50,CV26&lt;=80)),"APARENTEMENTE NORMAL","")))))))))))))</f>
        <v>APARENTEMENTE NORMAL</v>
      </c>
      <c r="CX26" s="21">
        <v>100</v>
      </c>
      <c r="CY26" s="21">
        <v>60</v>
      </c>
      <c r="CZ26" s="216" t="str">
        <f t="shared" si="11"/>
        <v>APARENTEMENTE NORMAL</v>
      </c>
      <c r="DA26" s="21">
        <v>100</v>
      </c>
      <c r="DB26" s="21">
        <v>60</v>
      </c>
      <c r="DC26" s="217" t="str">
        <f t="shared" si="12"/>
        <v>APARENTEMENTE NORMAL</v>
      </c>
      <c r="DD26" s="22">
        <v>44846</v>
      </c>
      <c r="DE26" s="22">
        <v>44846</v>
      </c>
      <c r="DF26" s="22">
        <v>44877</v>
      </c>
      <c r="DG26" s="22">
        <v>44908</v>
      </c>
      <c r="DH26" s="22">
        <v>44959</v>
      </c>
      <c r="DI26" s="22">
        <v>44995</v>
      </c>
      <c r="DJ26" s="22">
        <v>45027</v>
      </c>
      <c r="DK26" s="22">
        <v>45058</v>
      </c>
      <c r="DL26" s="22"/>
      <c r="DM26" s="22"/>
      <c r="DN26" s="22"/>
      <c r="DO26" s="22"/>
      <c r="DP26" s="22"/>
      <c r="DQ26" s="22"/>
      <c r="DR26" s="28">
        <v>2</v>
      </c>
      <c r="DS26" s="22"/>
      <c r="DT26" s="22"/>
      <c r="DU26" s="216" t="str">
        <f t="shared" ca="1" si="13"/>
        <v>SALE SIN PLAN DE PARTO</v>
      </c>
      <c r="DV26" s="226" t="str">
        <f t="shared" si="14"/>
        <v>SALIO PROGRAMA</v>
      </c>
      <c r="DW26"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26" s="216" t="str">
        <f t="shared" ca="1" si="15"/>
        <v/>
      </c>
      <c r="DY26" s="212">
        <f>IF(R26="","",IF(R26&gt;0,MAX(Tabla1[[#This Row],[FECHA C2]:[FECHA C13]],Tabla1[[#This Row],[FECHA CONSULTA PRIMERA VEZ PROGRAMA CPN ]])))</f>
        <v>45058</v>
      </c>
      <c r="DZ26" s="216">
        <f t="shared" si="16"/>
        <v>37</v>
      </c>
      <c r="EA26" s="222">
        <f>IF(R26&gt;0,SUM(COUNTA(DF26:DQ26)+COUNTA(Tabla1[[#This Row],[FECHA CONSULTA PRIMERA VEZ PROGRAMA CPN ]])),"")</f>
        <v>7</v>
      </c>
      <c r="EB26" s="222" t="str">
        <f t="shared" si="17"/>
        <v>SI</v>
      </c>
      <c r="EC26" s="214">
        <f t="shared" si="18"/>
        <v>10</v>
      </c>
      <c r="ED26" s="227">
        <f t="shared" si="19"/>
        <v>0.7</v>
      </c>
      <c r="EE26" s="22">
        <v>44846</v>
      </c>
      <c r="EF26" s="22">
        <v>44847</v>
      </c>
      <c r="EG26" s="22">
        <v>44846</v>
      </c>
      <c r="EH26" s="22">
        <v>44870</v>
      </c>
      <c r="EI26" s="22">
        <v>44846</v>
      </c>
      <c r="EJ26" s="22">
        <v>45030</v>
      </c>
      <c r="EK26" s="22">
        <v>45030</v>
      </c>
      <c r="EL26" s="21">
        <v>1</v>
      </c>
      <c r="EM26" s="21">
        <v>12.8</v>
      </c>
      <c r="EN26" s="22">
        <v>44847</v>
      </c>
      <c r="EO26" s="222">
        <f t="shared" si="20"/>
        <v>7.7142857142857144</v>
      </c>
      <c r="EP26" s="214" t="str">
        <f t="shared" si="21"/>
        <v>NORMAL- SUMINISTRAR SULFATO FERROSO</v>
      </c>
      <c r="EQ26" s="216" t="str">
        <f t="shared" si="22"/>
        <v>I TRIM</v>
      </c>
      <c r="ER26" s="24"/>
      <c r="ES26" s="22"/>
      <c r="ET26" s="29" t="str">
        <f t="shared" ca="1" si="23"/>
        <v>SALE SIN TAMIZAJE HEMOGLOBINA SEM 28</v>
      </c>
      <c r="EU26" s="25" t="str">
        <f t="shared" si="24"/>
        <v/>
      </c>
      <c r="EV26" s="24" t="s">
        <v>926</v>
      </c>
      <c r="EW26" s="24">
        <v>44847</v>
      </c>
      <c r="EX26" s="22"/>
      <c r="EY26" s="29">
        <f t="shared" si="25"/>
        <v>7.7142857142857144</v>
      </c>
      <c r="EZ26" s="25" t="str">
        <f t="shared" ca="1" si="26"/>
        <v/>
      </c>
      <c r="FA26" s="21">
        <v>71</v>
      </c>
      <c r="FB26" s="22">
        <v>44847</v>
      </c>
      <c r="FC26" s="29">
        <f t="shared" si="27"/>
        <v>7.7142857142857144</v>
      </c>
      <c r="FD26" s="29">
        <v>66</v>
      </c>
      <c r="FE26" s="29">
        <v>136</v>
      </c>
      <c r="FF26" s="29">
        <v>146</v>
      </c>
      <c r="FG26" s="21" t="str">
        <f t="shared" si="28"/>
        <v xml:space="preserve">NORMAL, NO DESCARTA DIABETES POR REALIZARLO ANTES DE  SEMANA 24, </v>
      </c>
      <c r="FH26" s="31">
        <v>44959</v>
      </c>
      <c r="FI26" s="29">
        <f t="shared" si="29"/>
        <v>23.714285714285715</v>
      </c>
      <c r="FJ26" s="22" t="s">
        <v>867</v>
      </c>
      <c r="FK26" s="22">
        <v>44847</v>
      </c>
      <c r="FL26" s="29">
        <f t="shared" ca="1" si="30"/>
        <v>7.7142857142857144</v>
      </c>
      <c r="FM26" s="22" t="s">
        <v>867</v>
      </c>
      <c r="FN26" s="32">
        <v>44959</v>
      </c>
      <c r="FO26" s="29">
        <f t="shared" ca="1" si="31"/>
        <v>23.714285714285715</v>
      </c>
      <c r="FP26" s="22"/>
      <c r="FQ26" s="32"/>
      <c r="FR26" s="29" t="str">
        <f t="shared" ca="1" si="32"/>
        <v>PIERDE TOMA DE TAMIZAJE</v>
      </c>
      <c r="FS26" s="22"/>
      <c r="FT26" s="32"/>
      <c r="FU26" s="29" t="str">
        <f>IF(AND(FJ26="",FM26="",FP26="",FS26=""),"",IF(OR(OR(Tabla1[[#This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6" s="28"/>
      <c r="FW26" s="22"/>
      <c r="FX26" s="29" t="str">
        <f t="shared" si="33"/>
        <v>TOMAR EXAMEN</v>
      </c>
      <c r="FY26" s="22">
        <v>44877</v>
      </c>
      <c r="FZ26" s="22">
        <v>44877</v>
      </c>
      <c r="GA26" s="29">
        <f t="shared" ca="1" si="34"/>
        <v>12</v>
      </c>
      <c r="GB26" s="22"/>
      <c r="GC26" s="22"/>
      <c r="GD26" s="29" t="str">
        <f t="shared" ca="1" si="35"/>
        <v>PIERDE TOMA DE TAMIZAJE</v>
      </c>
      <c r="GE26" s="22" t="s">
        <v>868</v>
      </c>
      <c r="GF26" s="22">
        <v>45037</v>
      </c>
      <c r="GG26" s="29">
        <f t="shared" ca="1" si="36"/>
        <v>34.857142857142854</v>
      </c>
      <c r="GH26" s="22"/>
      <c r="GI26" s="29"/>
      <c r="GJ26" s="22"/>
      <c r="GK26" s="22"/>
      <c r="GL26" s="22" t="s">
        <v>879</v>
      </c>
      <c r="GM26" s="22"/>
      <c r="GN26" s="28" t="s">
        <v>869</v>
      </c>
      <c r="GO26" s="22">
        <v>44878</v>
      </c>
      <c r="GP26" s="29">
        <f t="shared" si="37"/>
        <v>12.142857142857142</v>
      </c>
      <c r="GQ26" s="28" t="s">
        <v>869</v>
      </c>
      <c r="GR26" s="28" t="s">
        <v>869</v>
      </c>
      <c r="GS26" s="22" t="str">
        <f t="shared" si="38"/>
        <v>CONTROL Igm</v>
      </c>
      <c r="GT26" s="22">
        <v>44878</v>
      </c>
      <c r="GU26" s="29">
        <f t="shared" si="39"/>
        <v>12.142857142857142</v>
      </c>
      <c r="GV26" s="21" t="str">
        <f t="shared" si="40"/>
        <v>I TRIM</v>
      </c>
      <c r="GW26" s="28" t="s">
        <v>869</v>
      </c>
      <c r="GX26" s="30"/>
      <c r="GY26" s="21"/>
      <c r="GZ26" s="21"/>
      <c r="HA26" s="21"/>
      <c r="HB26" s="21"/>
      <c r="HC26" s="21"/>
      <c r="HD26" s="21"/>
      <c r="HE26" s="21"/>
      <c r="HF26" s="22"/>
      <c r="HG26" s="22" t="str">
        <f>IF(OR(O26&gt;0,R26&gt;0),CONCATENATE(IF(Tabla1[[#This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6" s="22" t="e">
        <f t="shared" si="41"/>
        <v>#REF!</v>
      </c>
      <c r="HI26" s="22" t="e">
        <f t="shared" ca="1" si="42"/>
        <v>#REF!</v>
      </c>
      <c r="HJ26" s="21" t="str">
        <f t="shared" ca="1" si="43"/>
        <v>***************************************</v>
      </c>
      <c r="HK26" s="21" t="str">
        <f t="shared" si="44"/>
        <v>SIN ANTECEDENTES DE RIESGO</v>
      </c>
      <c r="HL26" s="24" t="str">
        <f t="shared" si="45"/>
        <v>APARENTEMENTE NORMAL</v>
      </c>
      <c r="HM26" s="21" t="str">
        <f t="shared" ca="1" si="46"/>
        <v/>
      </c>
      <c r="HN26" s="30" t="str">
        <f t="shared" si="47"/>
        <v>SALIO PROGRAMA</v>
      </c>
      <c r="HO26" s="21"/>
      <c r="HP26" s="21"/>
      <c r="HQ26" s="21">
        <v>44846</v>
      </c>
      <c r="HR26" s="21" t="str">
        <f>IF(R26="","",IF(Tabla1[[#This Row],[ALARMA FACTORES DE RIESGO COMPLICACIONES HIPERTENSIVAS3]]="SIN ANTECEDENTES DE RIESGO","No Aplica para suministro de ASA",IF(AND(Tabla1[[#This Row],[FECHA INICIO DE SUMINISTRO DE ASA]]&gt;0,RV26&lt;12),"Inicia ASA ANTES de Sem 12",IF(AND(RV26&gt;11,RV26&lt;17,OR(HK26="RIESGO ALTO DE COMPLICACIONES HIPERTENSIVAS VER MANEJO GUIA SUMINISTRO ASA Y CALCIO",HK26="RIESGO MODERADO (2 O MAS CRITERIOS) VER MANEJO GUIA SUMINISTRO ASA Y CALCIO")),"Inicio oportuno de ASA",IF(AND(RV26&gt;12,OR(HK26="RIESGO ALTO DE COMPLICACIONES HIPERTENSIVAS VER MANEJO GUIA SUMINISTRO ASA Y CALCIO",HK26="RIESGO MODERADO (2 O MAS CRITERIOS) VER MANEJO GUIA SUMINISTRO ASA Y CALCIO")),"Inicio no oportuno mayor a 16 semanas",IF(AND(BU26&lt;12,OR(HK26="RIESGO ALTO DE COMPLICACIONES HIPERTENSIVAS VER MANEJO GUIA SUMINISTRO ASA Y CALCIO",HK26="RIESGO MODERADO (2 O MAS CRITERIOS) VER MANEJO GUIA SUMINISTRO ASA Y CALCIO")),"Pendiente Inicio de ASA a la semana 12",IF(AND(BU26&gt;11,BU26&lt;17,OR(HK26="RIESGO ALTO DE COMPLICACIONES HIPERTENSIVAS VER MANEJO GUIA SUMINISTRO ASA Y CALCIO",HK26="RIESGO MODERADO (2 O MAS CRITERIOS) VER MANEJO GUIA SUMINISTRO ASA Y CALCIO")),"Iniciar de inmediato ASA",IF(AND(BU26&gt;16,OR(HK26="RIESGO ALTO DE COMPLICACIONES HIPERTENSIVAS VER MANEJO GUIA SUMINISTRO ASA Y CALCIO",HK26="RIESGO MODERADO (2 O MAS CRITERIOS) VER MANEJO GUIA SUMINISTRO ASA Y CALCIO")),"Pierde Oportunidad, Inicio tardío de ASA","XXXXX"))))))))</f>
        <v>No Aplica para suministro de ASA</v>
      </c>
      <c r="HS26" s="22">
        <v>44846</v>
      </c>
      <c r="HT26" s="22" t="s">
        <v>1532</v>
      </c>
      <c r="HU26" s="22">
        <v>44846</v>
      </c>
      <c r="HV26" s="22" t="s">
        <v>1523</v>
      </c>
      <c r="HW26" s="22">
        <v>44846</v>
      </c>
      <c r="HX26" s="22" t="s">
        <v>1511</v>
      </c>
      <c r="HY26" s="22">
        <v>44846</v>
      </c>
      <c r="HZ26" s="28">
        <f t="shared" si="48"/>
        <v>7.5714285714285712</v>
      </c>
      <c r="IA26" s="26" t="s">
        <v>864</v>
      </c>
      <c r="IB26" s="26"/>
      <c r="IC26" s="111"/>
      <c r="ID26" s="22"/>
      <c r="IE26" s="22" t="str">
        <f t="shared" ca="1" si="49"/>
        <v>SALE SIN VACUNA</v>
      </c>
      <c r="IF26" s="22"/>
      <c r="IG26" s="22">
        <f t="shared" si="50"/>
        <v>45073</v>
      </c>
      <c r="IH26" s="29">
        <f t="shared" ca="1" si="51"/>
        <v>-159</v>
      </c>
      <c r="II26" s="22" t="str">
        <f t="shared" ca="1" si="52"/>
        <v>POSIBLEMENTE NACIO</v>
      </c>
      <c r="IJ26" s="22"/>
      <c r="IK26" s="21" t="s">
        <v>898</v>
      </c>
      <c r="IL26" s="21"/>
      <c r="IM26" s="34"/>
      <c r="IN26" s="349">
        <v>45061</v>
      </c>
      <c r="IO26" s="21" t="s">
        <v>1186</v>
      </c>
      <c r="IP26" s="29">
        <f t="shared" si="53"/>
        <v>38.285714285714285</v>
      </c>
      <c r="IQ26" s="35" t="s">
        <v>1650</v>
      </c>
      <c r="IR26" s="21" t="s">
        <v>1651</v>
      </c>
      <c r="IS26" s="21" t="s">
        <v>1646</v>
      </c>
      <c r="IT26" s="21" t="s">
        <v>1642</v>
      </c>
      <c r="IU26" s="21"/>
      <c r="IV26" s="21"/>
      <c r="IW26" s="21"/>
      <c r="IX26" s="21"/>
      <c r="IY26" s="21"/>
      <c r="IZ26" s="21"/>
      <c r="JA26" s="21"/>
      <c r="JB26" s="30">
        <v>1</v>
      </c>
      <c r="JC26" s="21" t="s">
        <v>1647</v>
      </c>
      <c r="JD26" s="36">
        <v>3420</v>
      </c>
      <c r="JE26" s="21" t="str">
        <f t="shared" si="54"/>
        <v>PESO ADECUADO EDAD GESTACIONAL</v>
      </c>
      <c r="JF26" s="30"/>
      <c r="JG26" s="21"/>
      <c r="JH26" s="21"/>
      <c r="JI26" s="21" t="s">
        <v>854</v>
      </c>
      <c r="JJ26" s="30" t="s">
        <v>926</v>
      </c>
      <c r="JK26" s="22"/>
      <c r="JL26" s="22"/>
      <c r="JM26" s="21"/>
      <c r="JN26" s="36"/>
      <c r="JO26" s="21" t="str">
        <f t="shared" si="55"/>
        <v/>
      </c>
      <c r="JP26" s="22"/>
      <c r="JQ26" s="21"/>
      <c r="JR26" s="21"/>
      <c r="JS26" s="21"/>
      <c r="JT26" s="30"/>
      <c r="JU26" s="22"/>
      <c r="JV26" s="22"/>
      <c r="JW26" s="33"/>
      <c r="JX26" s="28" t="str">
        <f t="shared" si="56"/>
        <v>INASISTENTE</v>
      </c>
      <c r="JY26" s="33"/>
      <c r="JZ26" s="28" t="str">
        <f t="shared" si="57"/>
        <v>INASISTENTE</v>
      </c>
      <c r="KA26" s="21"/>
      <c r="KB26" s="21"/>
      <c r="KC26" s="21"/>
      <c r="KD26" s="37"/>
      <c r="KE26" s="28"/>
      <c r="KF26" s="28"/>
      <c r="KG26" s="28"/>
      <c r="KH26" s="39"/>
      <c r="KI26" s="39"/>
      <c r="KJ26" s="66"/>
      <c r="KK26" s="39"/>
      <c r="KL26" s="39"/>
      <c r="KM26" s="66"/>
      <c r="KN26" s="39"/>
      <c r="KO26" s="39"/>
      <c r="KP26" s="39"/>
      <c r="KQ26" s="39"/>
      <c r="KR26" s="39"/>
      <c r="KS26" s="39"/>
      <c r="KT26" s="39"/>
      <c r="KU26" s="38"/>
      <c r="KV26" s="38"/>
      <c r="KW26" s="38"/>
      <c r="KX26" s="38"/>
      <c r="KY26" s="38"/>
      <c r="KZ26" s="38"/>
      <c r="LA26" s="38"/>
      <c r="LB26" s="38"/>
      <c r="LC26" s="38"/>
      <c r="LD26" s="38"/>
      <c r="LE26" s="38"/>
      <c r="LF26" s="38"/>
      <c r="LG26" s="38"/>
      <c r="LH26" s="38"/>
      <c r="LI26" s="38"/>
      <c r="LJ26" s="38"/>
      <c r="LK26" s="38"/>
      <c r="LL26" s="38"/>
      <c r="LM26" s="38"/>
      <c r="LN26" s="38"/>
      <c r="LO26" s="38"/>
      <c r="LP26" s="38"/>
      <c r="LQ26" s="38"/>
      <c r="LR26" s="38"/>
      <c r="LS26" s="38"/>
      <c r="LT26" s="38"/>
      <c r="LU26" s="38"/>
      <c r="LV26" s="38"/>
      <c r="LW26" s="38"/>
      <c r="LX26" s="38"/>
      <c r="LY26" s="38"/>
      <c r="LZ26" s="38"/>
      <c r="MA26" s="38"/>
      <c r="MB26" s="38"/>
      <c r="MC26" s="38"/>
      <c r="MD26" s="38"/>
      <c r="ME26" s="38"/>
      <c r="MF26" s="38"/>
      <c r="MG26" s="38"/>
      <c r="MH26" s="43">
        <f t="shared" si="58"/>
        <v>0</v>
      </c>
      <c r="MI26" s="43" t="str">
        <f t="shared" si="59"/>
        <v/>
      </c>
      <c r="MJ26" s="43" t="str">
        <f t="shared" si="60"/>
        <v/>
      </c>
      <c r="MK26" s="43">
        <f t="shared" si="61"/>
        <v>0</v>
      </c>
      <c r="ML2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6" s="43">
        <f t="shared" si="62"/>
        <v>7.5714285714285712</v>
      </c>
      <c r="MN26" s="43">
        <f t="shared" si="63"/>
        <v>10</v>
      </c>
      <c r="MO26" s="43">
        <f t="shared" si="64"/>
        <v>2022</v>
      </c>
      <c r="MP26" s="43" t="str">
        <f t="shared" si="65"/>
        <v>IV TRIMESTRE AÑO</v>
      </c>
      <c r="MQ26" s="43">
        <f t="shared" si="66"/>
        <v>27.025843188786684</v>
      </c>
      <c r="MR26" s="43">
        <f t="shared" si="67"/>
        <v>0</v>
      </c>
      <c r="MS26" s="43" t="str">
        <f t="shared" si="68"/>
        <v xml:space="preserve"> DE 25 A 29 AÑOS</v>
      </c>
      <c r="MT26" s="43">
        <f t="shared" si="69"/>
        <v>0</v>
      </c>
      <c r="MU26" s="43">
        <f t="shared" si="70"/>
        <v>0</v>
      </c>
      <c r="MV26" s="43">
        <f t="shared" si="71"/>
        <v>0</v>
      </c>
      <c r="MW26" s="43">
        <f t="shared" si="72"/>
        <v>0</v>
      </c>
      <c r="MX26" s="43" t="str">
        <f t="shared" si="73"/>
        <v/>
      </c>
      <c r="MY26" s="43" t="str">
        <f t="shared" ca="1" si="74"/>
        <v/>
      </c>
      <c r="MZ26" s="43" t="str">
        <f t="shared" si="75"/>
        <v/>
      </c>
      <c r="NA26" s="43" t="str">
        <f t="shared" si="76"/>
        <v/>
      </c>
      <c r="NB26" s="43" t="str">
        <f t="shared" si="77"/>
        <v/>
      </c>
      <c r="NC26" s="43" t="str">
        <f t="shared" si="78"/>
        <v/>
      </c>
      <c r="ND26" s="43">
        <f t="shared" ca="1" si="79"/>
        <v>0</v>
      </c>
      <c r="NE26" s="43">
        <f>IF(OR(O26&gt;0,R26&gt;0),SUM(COUNTIF(Tabla1[[#This Row],[AÑOS AL INICIO5 CPN]],"&gt;=40"),COUNTIF(AS26,"0"),COUNTIF(AR26,"SI"),COUNTIF(CC26,"SI"),COUNTIF(BQ26,"&gt;119"),COUNTIF(CI26,"&gt;=35")),"")</f>
        <v>0</v>
      </c>
      <c r="NF26" s="43" t="str">
        <f t="shared" si="80"/>
        <v/>
      </c>
      <c r="NG26" s="43">
        <f t="shared" si="81"/>
        <v>0</v>
      </c>
      <c r="NH26" s="43">
        <f t="shared" si="82"/>
        <v>51.800000000000004</v>
      </c>
      <c r="NI26"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CPN",P26="NO"),"Z",IF(AND(Tabla1[[#This Row],[CITA PROXIMO CONTROL]]="CITA MANUAL",Tabla1[[#This Row],[GESTANTES ACTUALES]]="ACTIVA INGRESO A CPN"),"W",IF(AND(Tabla1[[#This Row],[GESTANTES ACTUALES]]="SALIO PROGRAMA",IN26=""),"S",IF(AND(Tabla1[[#This Row],[CITA PROXIMO CONTROL]]&gt;0,IN26=""),(Tabla1[[#This Row],[CITA PROXIMO CONTROL]]-TODAY()),"SD"))))))))</f>
        <v>SD</v>
      </c>
      <c r="NJ26" s="43">
        <f>MONTH(Tabla1[[#This Row],[FECHA DE SALIDA  DEL PROGRAMA]])</f>
        <v>5</v>
      </c>
      <c r="NK26" s="43">
        <f>YEAR(Tabla1[[#This Row],[FECHA DE SALIDA  DEL PROGRAMA]])</f>
        <v>2023</v>
      </c>
      <c r="NL26" s="43">
        <f t="shared" si="83"/>
        <v>184</v>
      </c>
      <c r="NM26" s="43" t="str">
        <f t="shared" si="84"/>
        <v>NO</v>
      </c>
      <c r="NN26" s="43" t="str">
        <f ca="1">IF(AND(O26&gt;0,R26=""),"NO CPN",IF(AND(O26="",R26=""),"",IF(AND(R26&gt;0,Tabla1[[#This Row],[SEMANAS DE GESTACION ACTUALIZADAS]]&lt;=12),"NO APLICA",IF(AND(FH26&lt;&gt;"",FN26&lt;&gt;""),"SI","NO"))))</f>
        <v>SI</v>
      </c>
      <c r="NO26" s="43" t="str">
        <f ca="1">IF(AND(O26&gt;0,R26=""),"NO CPN",IF(AND(O26="",R26=""),"",IF(AND(R26&gt;0,Tabla1[[#This Row],[SEMANAS DE GESTACION ACTUALIZADAS]]&lt;=27),"NO APLICA",IF(AND(ES26&lt;&gt;"",FQ26&lt;&gt;"",GF26&lt;&gt;""),"SI","NO"))))</f>
        <v>NO</v>
      </c>
      <c r="NP26" s="204" t="str">
        <f t="shared" si="85"/>
        <v>I TRIM</v>
      </c>
      <c r="NQ26" s="21">
        <f t="shared" si="86"/>
        <v>3</v>
      </c>
      <c r="NR26" s="21">
        <f t="shared" si="87"/>
        <v>3</v>
      </c>
      <c r="NS26" s="205">
        <f t="shared" ca="1" si="88"/>
        <v>2</v>
      </c>
      <c r="NT26" s="21">
        <f t="shared" ca="1" si="89"/>
        <v>2</v>
      </c>
      <c r="NU26" s="21" t="str">
        <f t="shared" ca="1" si="90"/>
        <v>INCOMPLETO</v>
      </c>
      <c r="NV26" s="21" t="str">
        <f t="shared" ca="1" si="91"/>
        <v>INCOMPLETO</v>
      </c>
      <c r="NW26" s="206" t="str">
        <f>IF(AND(O26="",R26=""),"",IF(OR(AND(Tabla1[[#This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6" s="207" t="str">
        <f t="shared" ca="1" si="92"/>
        <v>SIN VACUNAR</v>
      </c>
      <c r="NY26" s="43">
        <f>ROW(Tabla1[[#This Row],['# DE TAMIZAJES SIFILIS TOMADOS ]])</f>
        <v>26</v>
      </c>
      <c r="NZ26" s="43" t="str">
        <f t="shared" si="93"/>
        <v>Menor</v>
      </c>
      <c r="OA26" s="43" t="str">
        <f t="shared" si="94"/>
        <v>SOBREPESO</v>
      </c>
      <c r="OB26" s="43" t="str">
        <f t="shared" si="95"/>
        <v/>
      </c>
      <c r="OC26" s="43" t="str">
        <f t="shared" si="96"/>
        <v/>
      </c>
      <c r="OD26" s="43" t="str">
        <f t="shared" si="97"/>
        <v/>
      </c>
      <c r="OE26" s="43" t="str">
        <f t="shared" si="98"/>
        <v/>
      </c>
      <c r="OF26" s="43" t="str">
        <f t="shared" si="99"/>
        <v/>
      </c>
      <c r="OG26" s="43" t="str">
        <f t="shared" si="100"/>
        <v/>
      </c>
      <c r="OH26" s="43" t="str">
        <f t="shared" si="101"/>
        <v/>
      </c>
      <c r="OI26" s="43" t="str">
        <f t="shared" si="102"/>
        <v/>
      </c>
      <c r="OJ26" s="43" t="str">
        <f t="shared" si="103"/>
        <v/>
      </c>
      <c r="OK26" s="43" t="str">
        <f t="shared" si="104"/>
        <v/>
      </c>
      <c r="OL26" s="43" t="str">
        <f t="shared" si="105"/>
        <v/>
      </c>
      <c r="OM26" s="43" t="str">
        <f t="shared" si="106"/>
        <v/>
      </c>
      <c r="ON26" s="43" t="str">
        <f t="shared" si="107"/>
        <v/>
      </c>
      <c r="OO26" s="43" t="str">
        <f t="shared" si="108"/>
        <v/>
      </c>
      <c r="OP26" s="43" t="str">
        <f t="shared" si="109"/>
        <v/>
      </c>
      <c r="OQ26" s="43" t="str">
        <f t="shared" si="110"/>
        <v/>
      </c>
      <c r="OR26" s="43" t="str">
        <f t="shared" si="111"/>
        <v/>
      </c>
      <c r="OS26" s="43" t="str">
        <f t="shared" si="112"/>
        <v/>
      </c>
      <c r="OT26" s="43" t="str">
        <f t="shared" si="113"/>
        <v/>
      </c>
      <c r="OU26" s="43" t="str">
        <f t="shared" si="114"/>
        <v/>
      </c>
      <c r="OV26" s="110" t="str">
        <f t="shared" si="115"/>
        <v/>
      </c>
      <c r="OW26" s="43" t="str">
        <f t="shared" si="116"/>
        <v/>
      </c>
      <c r="OX26" s="43" t="str">
        <f t="shared" si="117"/>
        <v/>
      </c>
      <c r="OY26" s="43" t="str">
        <f t="shared" si="118"/>
        <v/>
      </c>
      <c r="OZ26" s="43" t="str">
        <f t="shared" si="119"/>
        <v/>
      </c>
      <c r="PA26" s="43" t="str">
        <f t="shared" si="120"/>
        <v/>
      </c>
      <c r="PB26" s="43" t="str">
        <f t="shared" si="121"/>
        <v/>
      </c>
      <c r="PC26" s="43" t="str">
        <f t="shared" si="122"/>
        <v/>
      </c>
      <c r="PD26" s="43" t="str">
        <f t="shared" si="123"/>
        <v/>
      </c>
      <c r="PE26" s="43" t="str">
        <f t="shared" si="124"/>
        <v/>
      </c>
      <c r="PF26" s="43" t="str">
        <f t="shared" si="125"/>
        <v/>
      </c>
      <c r="PG26" s="43" t="str">
        <f t="shared" si="126"/>
        <v/>
      </c>
      <c r="PH26" s="43" t="str">
        <f t="shared" si="127"/>
        <v/>
      </c>
      <c r="PI26" s="43">
        <f t="shared" si="128"/>
        <v>37</v>
      </c>
      <c r="PJ26" s="43" t="str">
        <f t="shared" si="129"/>
        <v/>
      </c>
      <c r="PK26" s="43" t="str">
        <f t="shared" si="130"/>
        <v/>
      </c>
      <c r="PL26" s="43" t="str">
        <f t="shared" si="131"/>
        <v/>
      </c>
      <c r="PM26" s="43" t="str">
        <f t="shared" si="132"/>
        <v/>
      </c>
      <c r="PN26" s="43" t="str">
        <f t="shared" si="133"/>
        <v/>
      </c>
      <c r="PO26" s="43" t="str">
        <f t="shared" si="134"/>
        <v/>
      </c>
      <c r="PP26" s="43" t="str">
        <f t="shared" si="135"/>
        <v/>
      </c>
      <c r="PQ26" s="43" t="str">
        <f t="shared" si="136"/>
        <v/>
      </c>
      <c r="PR26" s="43" t="str">
        <f t="shared" si="137"/>
        <v/>
      </c>
      <c r="PS26" s="43" t="str">
        <f t="shared" si="138"/>
        <v/>
      </c>
      <c r="PT26" s="43" t="str">
        <f t="shared" si="139"/>
        <v/>
      </c>
      <c r="PU26" s="43" t="str">
        <f t="shared" si="140"/>
        <v/>
      </c>
      <c r="PV26" s="43" t="str">
        <f t="shared" si="141"/>
        <v/>
      </c>
      <c r="PW26" s="43" t="str">
        <f t="shared" si="142"/>
        <v/>
      </c>
      <c r="PX26" s="43" t="str">
        <f t="shared" si="143"/>
        <v/>
      </c>
      <c r="PY26" s="43" t="str">
        <f t="shared" si="144"/>
        <v/>
      </c>
      <c r="PZ26" s="43" t="str">
        <f t="shared" si="145"/>
        <v/>
      </c>
      <c r="QA26" s="43" t="str">
        <f t="shared" si="146"/>
        <v/>
      </c>
      <c r="QB26" s="43" t="str">
        <f t="shared" si="147"/>
        <v/>
      </c>
      <c r="QC26" s="43" t="str">
        <f t="shared" si="148"/>
        <v/>
      </c>
      <c r="QD26" s="43" t="str">
        <f t="shared" si="149"/>
        <v/>
      </c>
      <c r="QE26" s="43" t="str">
        <f t="shared" si="150"/>
        <v/>
      </c>
      <c r="QF26" s="43" t="str">
        <f t="shared" si="151"/>
        <v/>
      </c>
      <c r="QG26" s="43" t="str">
        <f t="shared" si="152"/>
        <v/>
      </c>
      <c r="QH26" s="43" t="str">
        <f t="shared" si="153"/>
        <v/>
      </c>
      <c r="QI26" s="43" t="str">
        <f t="shared" si="154"/>
        <v/>
      </c>
      <c r="QJ26" s="43" t="str">
        <f t="shared" si="155"/>
        <v/>
      </c>
      <c r="QK26" s="43" t="str">
        <f t="shared" si="156"/>
        <v/>
      </c>
      <c r="QL26" s="43" t="str">
        <f t="shared" si="157"/>
        <v>SOBREPESO</v>
      </c>
      <c r="QM26" s="43" t="str">
        <f t="shared" si="158"/>
        <v/>
      </c>
      <c r="QN26" s="43" t="str">
        <f t="shared" si="159"/>
        <v/>
      </c>
      <c r="QO26" s="43" t="str">
        <f t="shared" si="160"/>
        <v/>
      </c>
      <c r="QP26" s="43" t="str">
        <f t="shared" si="161"/>
        <v/>
      </c>
      <c r="QQ26" s="43" t="str">
        <f t="shared" si="162"/>
        <v/>
      </c>
      <c r="QR26" s="43">
        <f t="shared" si="192"/>
        <v>37</v>
      </c>
      <c r="QS26" s="43"/>
      <c r="QT26" s="21" t="str">
        <f t="shared" si="163"/>
        <v/>
      </c>
      <c r="QU26" s="21" t="str">
        <f t="shared" si="164"/>
        <v/>
      </c>
      <c r="QV26" s="21" t="str">
        <f t="shared" si="165"/>
        <v/>
      </c>
      <c r="QW26" s="21" t="str">
        <f t="shared" si="166"/>
        <v/>
      </c>
      <c r="QX26" s="21" t="str">
        <f t="shared" si="167"/>
        <v/>
      </c>
      <c r="QY26" s="21" t="str">
        <f t="shared" si="168"/>
        <v/>
      </c>
      <c r="QZ26" s="21" t="str">
        <f t="shared" si="169"/>
        <v/>
      </c>
      <c r="RA26" s="21" t="str">
        <f t="shared" si="170"/>
        <v/>
      </c>
      <c r="RB26" s="21" t="str">
        <f t="shared" si="171"/>
        <v/>
      </c>
      <c r="RC26" s="21" t="str">
        <f t="shared" si="172"/>
        <v/>
      </c>
      <c r="RD26" s="21" t="str">
        <f t="shared" si="173"/>
        <v/>
      </c>
      <c r="RE26" s="21" t="str">
        <f t="shared" si="174"/>
        <v/>
      </c>
      <c r="RF26" s="21" t="str">
        <f t="shared" si="175"/>
        <v/>
      </c>
      <c r="RG26" s="21" t="str">
        <f t="shared" si="176"/>
        <v/>
      </c>
      <c r="RH26" s="21" t="str">
        <f t="shared" si="177"/>
        <v/>
      </c>
      <c r="RI26" s="21" t="str">
        <f t="shared" si="178"/>
        <v/>
      </c>
      <c r="RJ26" s="21" t="str">
        <f t="shared" si="179"/>
        <v/>
      </c>
      <c r="RK26" s="21" t="str">
        <f t="shared" si="180"/>
        <v/>
      </c>
      <c r="RL26" s="21" t="str">
        <f t="shared" si="181"/>
        <v/>
      </c>
      <c r="RM26" s="21" t="str">
        <f t="shared" si="182"/>
        <v/>
      </c>
      <c r="RN26" s="21" t="str">
        <f t="shared" si="183"/>
        <v/>
      </c>
      <c r="RO26" s="21" t="str">
        <f t="shared" si="184"/>
        <v/>
      </c>
      <c r="RP26" s="21" t="str">
        <f t="shared" si="185"/>
        <v/>
      </c>
      <c r="RQ26" s="21" t="str">
        <f t="shared" si="186"/>
        <v/>
      </c>
      <c r="RR26" s="21" t="str">
        <f t="shared" si="187"/>
        <v/>
      </c>
      <c r="RS26" s="21" t="str">
        <f t="shared" si="188"/>
        <v/>
      </c>
      <c r="RT26" s="21" t="str">
        <f t="shared" si="189"/>
        <v/>
      </c>
      <c r="RU26" s="21" t="str">
        <f t="shared" si="190"/>
        <v/>
      </c>
      <c r="RV26" s="21">
        <f t="shared" si="191"/>
        <v>7.5714285714285712</v>
      </c>
      <c r="RW26" s="284">
        <f>IF(OR(Tabla1[[#This Row],[FUM FORMULA CONFIABLE]]="",Tabla1[[#This Row],[FUM FORMULA CONFIABLE]]="SD"),"",IF(Tabla1[[#This Row],[FUM FORMULA CONFIABLE]]="CORREGIDA",Tabla1[[#This Row],[FUM X ECO 1]],Tabla1[[#This Row],[FUM x AMENORREA]]))</f>
        <v>44793</v>
      </c>
      <c r="RX26" s="21">
        <f>IF(AND(Tabla1[[#This Row],[FUM X ECO 1]]="",Tabla1[[#This Row],[FUM x AMENORREA]]=""),"",IF(AND(Tabla1[[#This Row],[FUM X ECO 1]]="",Tabla1[[#This Row],[FUM x AMENORREA]]&lt;&gt;""),"X",SUM(Tabla1[[#This Row],[FUM X ECO 1]]-Tabla1[[#This Row],[FUM x AMENORREA]])))</f>
        <v>0.19999999999708962</v>
      </c>
      <c r="RY26" s="21">
        <f t="shared" si="193"/>
        <v>0</v>
      </c>
    </row>
    <row r="27" spans="1:493" ht="45" customHeight="1" x14ac:dyDescent="0.25">
      <c r="A27" s="109" t="s">
        <v>1005</v>
      </c>
      <c r="B27" s="43" t="s">
        <v>1006</v>
      </c>
      <c r="C27" s="43" t="s">
        <v>845</v>
      </c>
      <c r="D27" s="124" t="s">
        <v>846</v>
      </c>
      <c r="E27" s="43" t="s">
        <v>1007</v>
      </c>
      <c r="F27" s="43" t="s">
        <v>980</v>
      </c>
      <c r="G27" s="43" t="s">
        <v>1008</v>
      </c>
      <c r="H27" s="43"/>
      <c r="I27" s="109" t="s">
        <v>851</v>
      </c>
      <c r="J27" s="110">
        <v>1002848971</v>
      </c>
      <c r="K27" s="43" t="s">
        <v>852</v>
      </c>
      <c r="L27" s="175" t="s">
        <v>853</v>
      </c>
      <c r="M27" s="22">
        <v>37014</v>
      </c>
      <c r="N27" s="213">
        <f t="shared" ca="1" si="0"/>
        <v>22.515068493150686</v>
      </c>
      <c r="O27" s="22">
        <v>44846</v>
      </c>
      <c r="P27" s="214" t="str">
        <f t="shared" si="1"/>
        <v>SI</v>
      </c>
      <c r="Q27" s="26" t="s">
        <v>855</v>
      </c>
      <c r="R27" s="22">
        <v>44846</v>
      </c>
      <c r="S27" s="21" t="s">
        <v>856</v>
      </c>
      <c r="T27" s="24" t="s">
        <v>690</v>
      </c>
      <c r="U27" s="21" t="s">
        <v>857</v>
      </c>
      <c r="V27" s="21" t="s">
        <v>1009</v>
      </c>
      <c r="W27" s="21" t="s">
        <v>1010</v>
      </c>
      <c r="X27" s="21" t="s">
        <v>1011</v>
      </c>
      <c r="Y27" s="21" t="s">
        <v>859</v>
      </c>
      <c r="Z27" s="21" t="s">
        <v>1012</v>
      </c>
      <c r="AA27" s="21" t="s">
        <v>860</v>
      </c>
      <c r="AB27" s="27" t="s">
        <v>861</v>
      </c>
      <c r="AC27" s="26" t="s">
        <v>897</v>
      </c>
      <c r="AD27" s="38" t="s">
        <v>863</v>
      </c>
      <c r="AE27" s="26" t="s">
        <v>854</v>
      </c>
      <c r="AF27" s="26" t="s">
        <v>854</v>
      </c>
      <c r="AG27" s="23" t="s">
        <v>864</v>
      </c>
      <c r="AH27" s="23" t="s">
        <v>864</v>
      </c>
      <c r="AI27" s="24" t="s">
        <v>863</v>
      </c>
      <c r="AJ27" s="23" t="s">
        <v>864</v>
      </c>
      <c r="AK27" s="220" t="str">
        <f>IF(AND(AD27="",AE27="",AF27="",AG27="",AH27="",AI27="",AJ27=""),"",IF(OR(Tabla1[[#This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EVALUACIÓN",IF(AND(O27="",R27=""),"",IF(AND(OR(O27&gt;0,R27&gt;0),NG27&gt;=0,NG27&lt;2),"SIN RIESGO",IF(AND(OR(O27&gt;0,R27&gt;0),NG27&gt;=2),"CON RIESGO","ASD")))))</f>
        <v>SIN RIESGO</v>
      </c>
      <c r="AL27" s="23" t="s">
        <v>864</v>
      </c>
      <c r="AM27" s="26" t="s">
        <v>864</v>
      </c>
      <c r="AN27" s="26" t="s">
        <v>864</v>
      </c>
      <c r="AO27" s="26" t="s">
        <v>864</v>
      </c>
      <c r="AP27" s="26" t="s">
        <v>864</v>
      </c>
      <c r="AQ27" s="26" t="s">
        <v>864</v>
      </c>
      <c r="AR27" s="26" t="s">
        <v>864</v>
      </c>
      <c r="AS27" s="21">
        <v>2</v>
      </c>
      <c r="AT27" s="21">
        <v>1</v>
      </c>
      <c r="AU27" s="21">
        <v>0</v>
      </c>
      <c r="AV27" s="26" t="s">
        <v>864</v>
      </c>
      <c r="AW27" s="21">
        <v>0</v>
      </c>
      <c r="AX27" s="26" t="s">
        <v>864</v>
      </c>
      <c r="AY27" s="26" t="s">
        <v>864</v>
      </c>
      <c r="AZ27" s="26" t="s">
        <v>864</v>
      </c>
      <c r="BA27" s="26" t="s">
        <v>864</v>
      </c>
      <c r="BB27" s="26" t="s">
        <v>864</v>
      </c>
      <c r="BC27" s="26" t="s">
        <v>864</v>
      </c>
      <c r="BD27" s="26" t="s">
        <v>864</v>
      </c>
      <c r="BE27" s="26" t="s">
        <v>864</v>
      </c>
      <c r="BF27" s="26" t="s">
        <v>864</v>
      </c>
      <c r="BG27" s="26" t="s">
        <v>864</v>
      </c>
      <c r="BH27" s="26" t="s">
        <v>864</v>
      </c>
      <c r="BI27" s="26" t="s">
        <v>864</v>
      </c>
      <c r="BJ27" s="26"/>
      <c r="BK27" s="26"/>
      <c r="BL27" s="26" t="s">
        <v>864</v>
      </c>
      <c r="BM27" s="26" t="s">
        <v>864</v>
      </c>
      <c r="BN27" s="22">
        <v>42997</v>
      </c>
      <c r="BO27" s="22">
        <v>44730</v>
      </c>
      <c r="BP27" s="21" t="s">
        <v>854</v>
      </c>
      <c r="BQ27" s="222">
        <f t="shared" si="2"/>
        <v>57.766666666666666</v>
      </c>
      <c r="BR27" s="223">
        <f t="shared" si="3"/>
        <v>44813</v>
      </c>
      <c r="BS27" s="224">
        <f t="shared" si="4"/>
        <v>16.571428571428573</v>
      </c>
      <c r="BT27" s="216" t="str">
        <f t="shared" si="5"/>
        <v>II TRIM</v>
      </c>
      <c r="BU27" s="214" t="str">
        <f t="shared" ca="1" si="6"/>
        <v/>
      </c>
      <c r="BV27" s="25"/>
      <c r="BW27" s="22">
        <v>44862</v>
      </c>
      <c r="BX27" s="28">
        <v>7</v>
      </c>
      <c r="BY27" s="28"/>
      <c r="BZ27" s="22">
        <v>44911</v>
      </c>
      <c r="CA27" s="21">
        <v>14.4</v>
      </c>
      <c r="CB27" s="26" t="s">
        <v>864</v>
      </c>
      <c r="CC27" s="26" t="s">
        <v>864</v>
      </c>
      <c r="CD27" s="26" t="s">
        <v>878</v>
      </c>
      <c r="CE27" s="26" t="s">
        <v>864</v>
      </c>
      <c r="CF27" s="22" t="s">
        <v>1517</v>
      </c>
      <c r="CG27" s="21">
        <v>1.65</v>
      </c>
      <c r="CH27" s="21">
        <v>69</v>
      </c>
      <c r="CI27" s="214">
        <f t="shared" si="7"/>
        <v>25.344352617079892</v>
      </c>
      <c r="CJ27" s="225" t="e">
        <f>IF(AND(CI27&lt;10,CH27="SD"),"SIN DATO PESO PREGESTACION O I TRIM",IF(AND(OR(R27&gt;0,O27&gt;0),CI27="X"),"INGRESAR DATO DE PESO",IF(CI27="SD","INGRESAR DATO DE TALLA Y PESO",IF(AND(OR(Tabla1[[#This Row],[MOMENTO EN QUE SE REALIZA EL PESO AL INGRESO A CPN]]="PREGESTACIÓN",NZ27="Menor"),CI27&lt;18.5),"BAJO PESO",IF(AND(OR(Tabla1[[#This Row],[MOMENTO EN QUE SE REALIZA EL PESO AL INGRESO A CPN]]="PREGESTACIÓN",NZ27="Menor"),CI27&lt;25),"NORMAL",IF(AND(OR(Tabla1[[#This Row],[MOMENTO EN QUE SE REALIZA EL PESO AL INGRESO A CPN]]="PREGESTACIÓN",NZ27="Menor"),CI27&lt;30),"SOBREPESO",IF(AND(OR(Tabla1[[#This Row],[MOMENTO EN QUE SE REALIZA EL PESO AL INGRESO A CPN]]="PREGESTACIÓN",NZ27="Menor"),CI27&gt;=30,CI27&lt;50),"OBESIDAD",IF(AND(BS27&gt;0,Tabla1[[#This Row],[MOMENTO EN QUE SE REALIZA EL PESO AL INGRESO A CPN]]="GESTACIÓN"),HLOOKUP(NZ27,$OA$2:PH27,NY27),""))))))))</f>
        <v>#REF!</v>
      </c>
      <c r="CK27" s="212">
        <f t="shared" si="8"/>
        <v>45083</v>
      </c>
      <c r="CL27" s="21">
        <v>76.5</v>
      </c>
      <c r="CM27" s="214">
        <f t="shared" si="9"/>
        <v>28.099173553719012</v>
      </c>
      <c r="CN27" s="216">
        <f t="shared" si="10"/>
        <v>50</v>
      </c>
      <c r="CO27" s="216" t="e">
        <f>IF(PI27="","",IF(PI27&gt;0,HLOOKUP(PI27,$PJ$2:QQ27,NY27),""))</f>
        <v>#REF!</v>
      </c>
      <c r="CP27" s="21"/>
      <c r="CQ27" s="216" t="e">
        <f>IF(QR27="Menor","NO APLICA-MENOR 13 SEM",IF(AND(CC27="SI",CN27&gt;23),"NO APLICA- GEMELAR",IF(QR27="","",IF(QR27&gt;0,HLOOKUP(QR27,$QS$2:RU27,NY27),""))))</f>
        <v>#REF!</v>
      </c>
      <c r="CR27" s="21">
        <v>90</v>
      </c>
      <c r="CS27" s="21">
        <v>70</v>
      </c>
      <c r="CT27" s="217" t="str">
        <f>IF(R27="","",IF(AND(BS27&gt;1,BS27&lt;12,Tabla1[[#This Row],[T.A. SISTOLICA - ANTES DE SEMANA 12]]="",Tabla1[[#This Row],[T.A. DIASTOLICA - ANTES DE SEMANA 12]]=""),"REGISTRE DATO TA ANTES SEMANA 12",IF(AND(BS27&gt;11,BS27&lt;43,Tabla1[[#This Row],[T.A. SISTOLICA - ANTES DE SEMANA 12]]="",Tabla1[[#This Row],[T.A. DIASTOLICA - ANTES DE SEMANA 12]]=""),"NO APLICA REGISTRO TA-INGRESO TARDIO",IF(AND(OR(O27&gt;0,R27&gt;0),OR(CR27&gt;=140,CS27&gt;=90)),"DEFINIR ESTADIO HTA",IF(AND(OR(O27&gt;0,R27&gt;0),AND(CR27&gt;120,CR27&lt;=139)),"PRE HTA SEGUIMIENTO",IF(AND(OR(O27&gt;0,R27&gt;0),AND(CS27&gt;80,CS27&lt;=89)),"PRE HTA SEGUIMIENTO",IF(AND(OR(O27&gt;0,R27&gt;0),AND(CR27&gt;=80,CR27&lt;=120)),"APARENTEMENTE NORMAL",IF(AND(OR(O27&gt;0,R27&gt;0),AND(CS27&gt;=50,CS27&lt;=80)),"APARENTEMENTE NORMAL",IF(AND(OR(O27&gt;0,R27&gt;0),AND(CR27&gt;1,CR27&lt;=70),AND(CS27&gt;1,CS27&lt;=40)),"HIPOTENSIÓN","")))))))))</f>
        <v>APARENTEMENTE NORMAL</v>
      </c>
      <c r="CU27" s="21">
        <v>90</v>
      </c>
      <c r="CV27" s="21">
        <v>60</v>
      </c>
      <c r="CW27" s="217" t="str">
        <f ca="1">IF(R27="","",IF(AND(CN27&gt;19,CN27&lt;27,Tabla1[[#This Row],[T.A. SISTOLICA (Entre semana 20 y 26)]]="",Tabla1[[#This Row],[T.A. DIATOLICA (Entre semana 20 y 26)]]=""),"ACUDE A CONTROL SEM 20 A 26 REGISTRE TA AHORA",IF(AND(BS27&gt;1,BS27&lt;27,BU27&gt;19,Tabla1[[#This Row],[T.A. SISTOLICA (Entre semana 20 y 26)]]="",Tabla1[[#This Row],[T.A. DIATOLICA (Entre semana 20 y 26)]]=""),"COMPLETE REGISTRO TA CONTROL SEM 20 A26 ",IF(AND(BS27&gt;26,BS27&lt;43,Tabla1[[#This Row],[T.A. SISTOLICA (Entre semana 20 y 26)]]="",Tabla1[[#This Row],[T.A. DIATOLICA (Entre semana 20 y 26)]]=""),"NO APLICA REGISTRO TA-INGRESO TARDIO",IF(AND(OR(O27&gt;0,R27&gt;0),OR(CU27&gt;=140,CV27&gt;=90)),"ALTO RIESGO PREECLAMPSIA,DEFINIR ESTADIO HTA",IF(AND(OR(O27&gt;0,R27&gt;0),AND(CU27&gt;120,CU27&lt;=139)),"PRE HTA SEGUIMIENTO,RIESGO HIPERTENSION INDUCIDA POR EL EMBARAZO",IF(AND(OR(O27&gt;0,R27&gt;0),AND(CV27&gt;80,CV27&lt;=89)),"PRE HTA SEGUIMIENTO, RIESGO HIPERTENSION INDUCIDA POR EL EMBARAZO",IF(AND(OR(O27&lt;&gt;"",R27&lt;&gt;""),CS27&lt;&gt;"",CV27&lt;&gt;"",CS27&lt;=CV27),"VIGILAR CIFRAS PRESION ARTERIAL",IF(AND(OR(O27&gt;0,R27&gt;0),AND(CU27&gt;120,CU27&lt;=139)),"PRE HTA SEGUIMIENTO",IF(AND(OR(O27&gt;0,R27&gt;0),AND(CU27&gt;1,CU27&lt;=70),AND(CV27&gt;1,CV27&lt;=40)),"HIPOTENSIÓN",IF(AND(OR(O27&lt;&gt;"",R27&lt;&gt;""),CS27&lt;&gt;"",CV27&lt;&gt;"",CS27&gt;CV27),"APARENTEMENTE NORMAL",IF(AND(OR(O27&gt;0,R27&gt;0),AND(CU27&gt;=80,CU27&lt;=120)),"APARENTEMENTE NORMAL",IF(AND(OR(O27&gt;0,R27&gt;0),AND(CV27&gt;=50,CV27&lt;=80)),"APARENTEMENTE NORMAL","")))))))))))))</f>
        <v>APARENTEMENTE NORMAL</v>
      </c>
      <c r="CX27" s="21">
        <v>90</v>
      </c>
      <c r="CY27" s="21">
        <v>60</v>
      </c>
      <c r="CZ27" s="216" t="str">
        <f t="shared" si="11"/>
        <v>APARENTEMENTE NORMAL</v>
      </c>
      <c r="DA27" s="21">
        <v>100</v>
      </c>
      <c r="DB27" s="21">
        <v>60</v>
      </c>
      <c r="DC27" s="217" t="str">
        <f t="shared" si="12"/>
        <v>APARENTEMENTE NORMAL</v>
      </c>
      <c r="DD27" s="22">
        <v>44846</v>
      </c>
      <c r="DE27" s="22">
        <v>44846</v>
      </c>
      <c r="DF27" s="22">
        <v>44876</v>
      </c>
      <c r="DG27" s="22">
        <v>44911</v>
      </c>
      <c r="DH27" s="22">
        <v>44946</v>
      </c>
      <c r="DI27" s="22">
        <v>44978</v>
      </c>
      <c r="DJ27" s="22">
        <v>45007</v>
      </c>
      <c r="DK27" s="22">
        <v>45038</v>
      </c>
      <c r="DL27" s="22">
        <v>45069</v>
      </c>
      <c r="DM27" s="22">
        <v>45083</v>
      </c>
      <c r="DN27" s="22"/>
      <c r="DO27" s="22"/>
      <c r="DP27" s="22"/>
      <c r="DQ27" s="22"/>
      <c r="DR27" s="28">
        <v>3</v>
      </c>
      <c r="DS27" s="22"/>
      <c r="DT27" s="22"/>
      <c r="DU27" s="216" t="str">
        <f t="shared" ca="1" si="13"/>
        <v>SALE SIN PLAN DE PARTO</v>
      </c>
      <c r="DV27" s="226" t="str">
        <f t="shared" si="14"/>
        <v>SALIO PROGRAMA</v>
      </c>
      <c r="DW27"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27" s="216" t="str">
        <f t="shared" ca="1" si="15"/>
        <v/>
      </c>
      <c r="DY27" s="212">
        <f>IF(R27="","",IF(R27&gt;0,MAX(Tabla1[[#This Row],[FECHA C2]:[FECHA C13]],Tabla1[[#This Row],[FECHA CONSULTA PRIMERA VEZ PROGRAMA CPN ]])))</f>
        <v>45083</v>
      </c>
      <c r="DZ27" s="216">
        <f t="shared" si="16"/>
        <v>50</v>
      </c>
      <c r="EA27" s="222">
        <f>IF(R27&gt;0,SUM(COUNTA(DF27:DQ27)+COUNTA(Tabla1[[#This Row],[FECHA CONSULTA PRIMERA VEZ PROGRAMA CPN ]])),"")</f>
        <v>9</v>
      </c>
      <c r="EB27" s="222" t="str">
        <f t="shared" si="17"/>
        <v>SI</v>
      </c>
      <c r="EC27" s="214">
        <f t="shared" si="18"/>
        <v>7</v>
      </c>
      <c r="ED27" s="227">
        <f t="shared" si="19"/>
        <v>1.2857142857142858</v>
      </c>
      <c r="EE27" s="22">
        <v>44846</v>
      </c>
      <c r="EF27" s="22">
        <v>44862</v>
      </c>
      <c r="EG27" s="22">
        <v>44846</v>
      </c>
      <c r="EH27" s="22"/>
      <c r="EI27" s="22">
        <v>44846</v>
      </c>
      <c r="EJ27" s="22">
        <v>44995</v>
      </c>
      <c r="EK27" s="22">
        <v>45058</v>
      </c>
      <c r="EL27" s="21">
        <v>2</v>
      </c>
      <c r="EM27" s="21">
        <v>16.7</v>
      </c>
      <c r="EN27" s="22">
        <v>44846</v>
      </c>
      <c r="EO27" s="222">
        <f t="shared" si="20"/>
        <v>16.571428571428573</v>
      </c>
      <c r="EP27" s="214" t="str">
        <f t="shared" si="21"/>
        <v>NO DAR SULFATO FERROSO</v>
      </c>
      <c r="EQ27" s="216" t="str">
        <f t="shared" si="22"/>
        <v>II TRIM</v>
      </c>
      <c r="ER27" s="24"/>
      <c r="ES27" s="22"/>
      <c r="ET27" s="29" t="str">
        <f t="shared" ca="1" si="23"/>
        <v>TOMA DE HEMOGLOBINA TARDÍA</v>
      </c>
      <c r="EU27" s="25" t="str">
        <f t="shared" si="24"/>
        <v/>
      </c>
      <c r="EV27" s="24" t="s">
        <v>1510</v>
      </c>
      <c r="EW27" s="24">
        <v>44846</v>
      </c>
      <c r="EX27" s="22"/>
      <c r="EY27" s="29">
        <f t="shared" si="25"/>
        <v>16.571428571428573</v>
      </c>
      <c r="EZ27" s="25" t="str">
        <f t="shared" si="26"/>
        <v>SIN RIESGO DE ISOINMUNIZACIÓN</v>
      </c>
      <c r="FA27" s="21">
        <v>79</v>
      </c>
      <c r="FB27" s="22">
        <v>44846</v>
      </c>
      <c r="FC27" s="29">
        <f t="shared" si="27"/>
        <v>16.571428571428573</v>
      </c>
      <c r="FD27" s="29">
        <v>66</v>
      </c>
      <c r="FE27" s="29">
        <v>79</v>
      </c>
      <c r="FF27" s="29">
        <v>89</v>
      </c>
      <c r="FG27" s="21" t="str">
        <f t="shared" ca="1" si="28"/>
        <v>NORMAL</v>
      </c>
      <c r="FH27" s="31">
        <v>45027</v>
      </c>
      <c r="FI27" s="29" t="str">
        <f t="shared" si="29"/>
        <v>CORREGIR FECHA RESULTADO</v>
      </c>
      <c r="FJ27" s="22"/>
      <c r="FK27" s="22"/>
      <c r="FL27" s="29" t="str">
        <f t="shared" ca="1" si="30"/>
        <v>NO APLICA-INGRESO TARDIO</v>
      </c>
      <c r="FM27" s="22" t="s">
        <v>867</v>
      </c>
      <c r="FN27" s="32">
        <v>44846</v>
      </c>
      <c r="FO27" s="29">
        <f t="shared" ca="1" si="31"/>
        <v>16.571428571428573</v>
      </c>
      <c r="FP27" s="22" t="s">
        <v>867</v>
      </c>
      <c r="FQ27" s="32">
        <v>45027</v>
      </c>
      <c r="FR27" s="29">
        <f t="shared" ca="1" si="32"/>
        <v>42.428571428571431</v>
      </c>
      <c r="FS27" s="22"/>
      <c r="FT27" s="32"/>
      <c r="FU27" s="29" t="str">
        <f>IF(AND(FJ27="",FM27="",FP27="",FS27=""),"",IF(OR(OR(Tabla1[[#This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7" s="28"/>
      <c r="FW27" s="22"/>
      <c r="FX27" s="29" t="str">
        <f t="shared" si="33"/>
        <v>TOMAR EXAMEN</v>
      </c>
      <c r="FY27" s="22">
        <v>44846</v>
      </c>
      <c r="FZ27" s="22">
        <v>44846</v>
      </c>
      <c r="GA27" s="29" t="str">
        <f t="shared" si="34"/>
        <v>REGISTRAR EN II TRIMESTRE</v>
      </c>
      <c r="GB27" s="22" t="s">
        <v>868</v>
      </c>
      <c r="GC27" s="22">
        <v>44846</v>
      </c>
      <c r="GD27" s="29">
        <f t="shared" ca="1" si="35"/>
        <v>16.571428571428573</v>
      </c>
      <c r="GE27" s="22" t="s">
        <v>868</v>
      </c>
      <c r="GF27" s="22">
        <v>44982</v>
      </c>
      <c r="GG27" s="29">
        <f t="shared" ca="1" si="36"/>
        <v>36</v>
      </c>
      <c r="GH27" s="22"/>
      <c r="GI27" s="29"/>
      <c r="GJ27" s="22"/>
      <c r="GK27" s="22"/>
      <c r="GL27" s="22" t="s">
        <v>879</v>
      </c>
      <c r="GM27" s="22"/>
      <c r="GN27" s="28" t="s">
        <v>869</v>
      </c>
      <c r="GO27" s="22">
        <v>44846</v>
      </c>
      <c r="GP27" s="29">
        <f t="shared" si="37"/>
        <v>16.571428571428573</v>
      </c>
      <c r="GQ27" s="28" t="s">
        <v>880</v>
      </c>
      <c r="GR27" s="28" t="s">
        <v>869</v>
      </c>
      <c r="GS27" s="22" t="str">
        <f t="shared" si="38"/>
        <v>SE EXCLUYE INFECCION</v>
      </c>
      <c r="GT27" s="22">
        <v>44846</v>
      </c>
      <c r="GU27" s="29">
        <f t="shared" si="39"/>
        <v>16.571428571428573</v>
      </c>
      <c r="GV27" s="21" t="str">
        <f t="shared" si="40"/>
        <v>II TRIM</v>
      </c>
      <c r="GW27" s="28" t="s">
        <v>869</v>
      </c>
      <c r="GX27" s="30"/>
      <c r="GY27" s="21"/>
      <c r="GZ27" s="21"/>
      <c r="HA27" s="21"/>
      <c r="HB27" s="21"/>
      <c r="HC27" s="21"/>
      <c r="HD27" s="21"/>
      <c r="HE27" s="21"/>
      <c r="HF27" s="22"/>
      <c r="HG27" s="22" t="str">
        <f>IF(OR(O27&gt;0,R27&gt;0),CONCATENATE(IF(Tabla1[[#This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7" s="22" t="e">
        <f t="shared" si="41"/>
        <v>#REF!</v>
      </c>
      <c r="HI27" s="22" t="e">
        <f t="shared" ca="1" si="42"/>
        <v>#REF!</v>
      </c>
      <c r="HJ27" s="21" t="str">
        <f t="shared" ca="1" si="43"/>
        <v>***************************************</v>
      </c>
      <c r="HK27" s="21" t="str">
        <f t="shared" si="44"/>
        <v>SIN ANTECEDENTES DE RIESGO</v>
      </c>
      <c r="HL27" s="24" t="str">
        <f t="shared" si="45"/>
        <v>APARENTEMENTE NORMAL</v>
      </c>
      <c r="HM27" s="21" t="str">
        <f t="shared" ca="1" si="46"/>
        <v/>
      </c>
      <c r="HN27" s="30" t="str">
        <f t="shared" si="47"/>
        <v>SALIO PROGRAMA</v>
      </c>
      <c r="HO27" s="21"/>
      <c r="HP27" s="21"/>
      <c r="HQ27" s="21">
        <v>44846</v>
      </c>
      <c r="HR27" s="21" t="str">
        <f>IF(R27="","",IF(Tabla1[[#This Row],[ALARMA FACTORES DE RIESGO COMPLICACIONES HIPERTENSIVAS3]]="SIN ANTECEDENTES DE RIESGO","No Aplica para suministro de ASA",IF(AND(Tabla1[[#This Row],[FECHA INICIO DE SUMINISTRO DE ASA]]&gt;0,RV27&lt;12),"Inicia ASA ANTES de Sem 12",IF(AND(RV27&gt;11,RV27&lt;17,OR(HK27="RIESGO ALTO DE COMPLICACIONES HIPERTENSIVAS VER MANEJO GUIA SUMINISTRO ASA Y CALCIO",HK27="RIESGO MODERADO (2 O MAS CRITERIOS) VER MANEJO GUIA SUMINISTRO ASA Y CALCIO")),"Inicio oportuno de ASA",IF(AND(RV27&gt;12,OR(HK27="RIESGO ALTO DE COMPLICACIONES HIPERTENSIVAS VER MANEJO GUIA SUMINISTRO ASA Y CALCIO",HK27="RIESGO MODERADO (2 O MAS CRITERIOS) VER MANEJO GUIA SUMINISTRO ASA Y CALCIO")),"Inicio no oportuno mayor a 16 semanas",IF(AND(BU27&lt;12,OR(HK27="RIESGO ALTO DE COMPLICACIONES HIPERTENSIVAS VER MANEJO GUIA SUMINISTRO ASA Y CALCIO",HK27="RIESGO MODERADO (2 O MAS CRITERIOS) VER MANEJO GUIA SUMINISTRO ASA Y CALCIO")),"Pendiente Inicio de ASA a la semana 12",IF(AND(BU27&gt;11,BU27&lt;17,OR(HK27="RIESGO ALTO DE COMPLICACIONES HIPERTENSIVAS VER MANEJO GUIA SUMINISTRO ASA Y CALCIO",HK27="RIESGO MODERADO (2 O MAS CRITERIOS) VER MANEJO GUIA SUMINISTRO ASA Y CALCIO")),"Iniciar de inmediato ASA",IF(AND(BU27&gt;16,OR(HK27="RIESGO ALTO DE COMPLICACIONES HIPERTENSIVAS VER MANEJO GUIA SUMINISTRO ASA Y CALCIO",HK27="RIESGO MODERADO (2 O MAS CRITERIOS) VER MANEJO GUIA SUMINISTRO ASA Y CALCIO")),"Pierde Oportunidad, Inicio tardío de ASA","XXXXX"))))))))</f>
        <v>No Aplica para suministro de ASA</v>
      </c>
      <c r="HS27" s="22">
        <v>44846</v>
      </c>
      <c r="HT27" s="22" t="s">
        <v>870</v>
      </c>
      <c r="HU27" s="22">
        <v>44846</v>
      </c>
      <c r="HV27" s="22" t="s">
        <v>870</v>
      </c>
      <c r="HW27" s="22">
        <v>44846</v>
      </c>
      <c r="HX27" s="22" t="s">
        <v>870</v>
      </c>
      <c r="HY27" s="22">
        <v>44854</v>
      </c>
      <c r="HZ27" s="28">
        <f t="shared" si="48"/>
        <v>17.714285714285715</v>
      </c>
      <c r="IA27" s="26" t="s">
        <v>864</v>
      </c>
      <c r="IB27" s="26"/>
      <c r="IC27" s="111">
        <v>44977</v>
      </c>
      <c r="ID27" s="22"/>
      <c r="IE27" s="22" t="str">
        <f t="shared" ca="1" si="49"/>
        <v>SALE SIN VACUNA</v>
      </c>
      <c r="IF27" s="22"/>
      <c r="IG27" s="22">
        <f t="shared" si="50"/>
        <v>45010</v>
      </c>
      <c r="IH27" s="29">
        <f t="shared" ca="1" si="51"/>
        <v>-222</v>
      </c>
      <c r="II27" s="22" t="str">
        <f t="shared" ca="1" si="52"/>
        <v>POSIBLEMENTE NACIO</v>
      </c>
      <c r="IJ27" s="22"/>
      <c r="IK27" s="21" t="s">
        <v>1652</v>
      </c>
      <c r="IL27" s="21"/>
      <c r="IM27" s="34"/>
      <c r="IN27" s="349">
        <v>45091</v>
      </c>
      <c r="IO27" s="21" t="s">
        <v>1186</v>
      </c>
      <c r="IP27" s="29">
        <f t="shared" si="53"/>
        <v>51.571428571428569</v>
      </c>
      <c r="IQ27" s="35" t="s">
        <v>1650</v>
      </c>
      <c r="IR27" s="21" t="s">
        <v>1651</v>
      </c>
      <c r="IS27" s="21" t="s">
        <v>1646</v>
      </c>
      <c r="IT27" s="21" t="s">
        <v>1642</v>
      </c>
      <c r="IU27" s="21"/>
      <c r="IV27" s="21"/>
      <c r="IW27" s="21"/>
      <c r="IX27" s="21"/>
      <c r="IY27" s="21"/>
      <c r="IZ27" s="21"/>
      <c r="JA27" s="21"/>
      <c r="JB27" s="30">
        <v>1</v>
      </c>
      <c r="JC27" s="21" t="s">
        <v>1647</v>
      </c>
      <c r="JD27" s="36">
        <v>3645</v>
      </c>
      <c r="JE27" s="21" t="str">
        <f t="shared" si="54"/>
        <v>PESO ADECUADO EDAD GESTACIONAL</v>
      </c>
      <c r="JF27" s="30"/>
      <c r="JG27" s="21"/>
      <c r="JH27" s="21"/>
      <c r="JI27" s="21" t="s">
        <v>854</v>
      </c>
      <c r="JJ27" s="30" t="s">
        <v>866</v>
      </c>
      <c r="JK27" s="22"/>
      <c r="JL27" s="22"/>
      <c r="JM27" s="21"/>
      <c r="JN27" s="36"/>
      <c r="JO27" s="21" t="str">
        <f t="shared" si="55"/>
        <v/>
      </c>
      <c r="JP27" s="22"/>
      <c r="JQ27" s="21"/>
      <c r="JR27" s="21"/>
      <c r="JS27" s="21"/>
      <c r="JT27" s="30"/>
      <c r="JU27" s="22"/>
      <c r="JV27" s="22"/>
      <c r="JW27" s="33"/>
      <c r="JX27" s="28" t="str">
        <f t="shared" si="56"/>
        <v>INASISTENTE</v>
      </c>
      <c r="JY27" s="33"/>
      <c r="JZ27" s="28" t="str">
        <f t="shared" si="57"/>
        <v>INASISTENTE</v>
      </c>
      <c r="KA27" s="21"/>
      <c r="KB27" s="21"/>
      <c r="KC27" s="21"/>
      <c r="KD27" s="37"/>
      <c r="KE27" s="28"/>
      <c r="KF27" s="28"/>
      <c r="KG27" s="28"/>
      <c r="KH27" s="39"/>
      <c r="KI27" s="39"/>
      <c r="KJ27" s="66"/>
      <c r="KK27" s="39"/>
      <c r="KL27" s="39"/>
      <c r="KM27" s="66"/>
      <c r="KN27" s="39"/>
      <c r="KO27" s="39"/>
      <c r="KP27" s="39"/>
      <c r="KQ27" s="39"/>
      <c r="KR27" s="39"/>
      <c r="KS27" s="39"/>
      <c r="KT27" s="39"/>
      <c r="KU27" s="38"/>
      <c r="KV27" s="38"/>
      <c r="KW27" s="38"/>
      <c r="KX27" s="38"/>
      <c r="KY27" s="38"/>
      <c r="KZ27" s="38"/>
      <c r="LA27" s="38"/>
      <c r="LB27" s="38"/>
      <c r="LC27" s="38"/>
      <c r="LD27" s="38"/>
      <c r="LE27" s="38"/>
      <c r="LF27" s="38"/>
      <c r="LG27" s="38"/>
      <c r="LH27" s="38"/>
      <c r="LI27" s="38"/>
      <c r="LJ27" s="38"/>
      <c r="LK27" s="38"/>
      <c r="LL27" s="38"/>
      <c r="LM27" s="38"/>
      <c r="LN27" s="38"/>
      <c r="LO27" s="38"/>
      <c r="LP27" s="38"/>
      <c r="LQ27" s="38"/>
      <c r="LR27" s="38"/>
      <c r="LS27" s="38"/>
      <c r="LT27" s="38"/>
      <c r="LU27" s="38"/>
      <c r="LV27" s="38"/>
      <c r="LW27" s="38"/>
      <c r="LX27" s="38"/>
      <c r="LY27" s="38"/>
      <c r="LZ27" s="38"/>
      <c r="MA27" s="38"/>
      <c r="MB27" s="38"/>
      <c r="MC27" s="38"/>
      <c r="MD27" s="38"/>
      <c r="ME27" s="38"/>
      <c r="MF27" s="38"/>
      <c r="MG27" s="38"/>
      <c r="MH27" s="43">
        <f t="shared" si="58"/>
        <v>0</v>
      </c>
      <c r="MI27" s="43" t="str">
        <f t="shared" si="59"/>
        <v/>
      </c>
      <c r="MJ27" s="43" t="str">
        <f t="shared" si="60"/>
        <v/>
      </c>
      <c r="MK27" s="43">
        <f t="shared" si="61"/>
        <v>0</v>
      </c>
      <c r="ML2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7" s="43">
        <f t="shared" si="62"/>
        <v>16.571428571428573</v>
      </c>
      <c r="MN27" s="43">
        <f t="shared" si="63"/>
        <v>10</v>
      </c>
      <c r="MO27" s="43">
        <f t="shared" si="64"/>
        <v>2022</v>
      </c>
      <c r="MP27" s="43" t="str">
        <f t="shared" si="65"/>
        <v>IV TRIMESTRE AÑO</v>
      </c>
      <c r="MQ27" s="43">
        <f t="shared" si="66"/>
        <v>21.131734559789749</v>
      </c>
      <c r="MR27" s="43">
        <f t="shared" si="67"/>
        <v>0</v>
      </c>
      <c r="MS27" s="43" t="str">
        <f t="shared" si="68"/>
        <v xml:space="preserve"> DE 20 A 24 AÑOS</v>
      </c>
      <c r="MT27" s="43">
        <f t="shared" si="69"/>
        <v>0</v>
      </c>
      <c r="MU27" s="43">
        <f t="shared" si="70"/>
        <v>0</v>
      </c>
      <c r="MV27" s="43">
        <f t="shared" si="71"/>
        <v>0</v>
      </c>
      <c r="MW27" s="43">
        <f t="shared" si="72"/>
        <v>0</v>
      </c>
      <c r="MX27" s="43" t="str">
        <f t="shared" si="73"/>
        <v/>
      </c>
      <c r="MY27" s="43" t="str">
        <f t="shared" ca="1" si="74"/>
        <v/>
      </c>
      <c r="MZ27" s="43" t="str">
        <f t="shared" si="75"/>
        <v/>
      </c>
      <c r="NA27" s="43">
        <f t="shared" si="76"/>
        <v>0</v>
      </c>
      <c r="NB27" s="43" t="str">
        <f t="shared" si="77"/>
        <v/>
      </c>
      <c r="NC27" s="43" t="str">
        <f t="shared" si="78"/>
        <v/>
      </c>
      <c r="ND27" s="43">
        <f t="shared" ca="1" si="79"/>
        <v>0</v>
      </c>
      <c r="NE27" s="43">
        <f>IF(OR(O27&gt;0,R27&gt;0),SUM(COUNTIF(Tabla1[[#This Row],[AÑOS AL INICIO5 CPN]],"&gt;=40"),COUNTIF(AS27,"0"),COUNTIF(AR27,"SI"),COUNTIF(CC27,"SI"),COUNTIF(BQ27,"&gt;119"),COUNTIF(CI27,"&gt;=35")),"")</f>
        <v>0</v>
      </c>
      <c r="NF27" s="43" t="str">
        <f t="shared" si="80"/>
        <v/>
      </c>
      <c r="NG27" s="43">
        <f t="shared" si="81"/>
        <v>0</v>
      </c>
      <c r="NH27" s="43">
        <f t="shared" si="82"/>
        <v>49</v>
      </c>
      <c r="NI27"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CPN",P27="NO"),"Z",IF(AND(Tabla1[[#This Row],[CITA PROXIMO CONTROL]]="CITA MANUAL",Tabla1[[#This Row],[GESTANTES ACTUALES]]="ACTIVA INGRESO A CPN"),"W",IF(AND(Tabla1[[#This Row],[GESTANTES ACTUALES]]="SALIO PROGRAMA",IN27=""),"S",IF(AND(Tabla1[[#This Row],[CITA PROXIMO CONTROL]]&gt;0,IN27=""),(Tabla1[[#This Row],[CITA PROXIMO CONTROL]]-TODAY()),"SD"))))))))</f>
        <v>SD</v>
      </c>
      <c r="NJ27" s="43">
        <f>MONTH(Tabla1[[#This Row],[FECHA DE SALIDA  DEL PROGRAMA]])</f>
        <v>6</v>
      </c>
      <c r="NK27" s="43">
        <f>YEAR(Tabla1[[#This Row],[FECHA DE SALIDA  DEL PROGRAMA]])</f>
        <v>2023</v>
      </c>
      <c r="NL27" s="43">
        <f t="shared" si="83"/>
        <v>149</v>
      </c>
      <c r="NM27" s="43" t="str">
        <f t="shared" si="84"/>
        <v>NO</v>
      </c>
      <c r="NN27" s="43" t="str">
        <f ca="1">IF(AND(O27&gt;0,R27=""),"NO CPN",IF(AND(O27="",R27=""),"",IF(AND(R27&gt;0,Tabla1[[#This Row],[SEMANAS DE GESTACION ACTUALIZADAS]]&lt;=12),"NO APLICA",IF(AND(FH27&lt;&gt;"",FN27&lt;&gt;""),"SI","NO"))))</f>
        <v>SI</v>
      </c>
      <c r="NO27" s="43" t="str">
        <f ca="1">IF(AND(O27&gt;0,R27=""),"NO CPN",IF(AND(O27="",R27=""),"",IF(AND(R27&gt;0,Tabla1[[#This Row],[SEMANAS DE GESTACION ACTUALIZADAS]]&lt;=27),"NO APLICA",IF(AND(ES27&lt;&gt;"",FQ27&lt;&gt;"",GF27&lt;&gt;""),"SI","NO"))))</f>
        <v>NO</v>
      </c>
      <c r="NP27" s="204" t="str">
        <f t="shared" si="85"/>
        <v>II TRIM</v>
      </c>
      <c r="NQ27" s="21" t="str">
        <f t="shared" si="86"/>
        <v/>
      </c>
      <c r="NR27" s="21" t="str">
        <f t="shared" ca="1" si="87"/>
        <v>REVISAR FUM O FECHA SALIDA PROGRAMA</v>
      </c>
      <c r="NS27" s="205">
        <f t="shared" ca="1" si="88"/>
        <v>2</v>
      </c>
      <c r="NT27" s="21">
        <f t="shared" ca="1" si="89"/>
        <v>2</v>
      </c>
      <c r="NU27" s="21" t="str">
        <f t="shared" ca="1" si="90"/>
        <v>POR DEFINIR</v>
      </c>
      <c r="NV27" s="21" t="str">
        <f t="shared" ca="1" si="91"/>
        <v>POR DEFINIR</v>
      </c>
      <c r="NW27" s="206" t="str">
        <f>IF(AND(O27="",R27=""),"",IF(OR(AND(Tabla1[[#This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27" s="207" t="str">
        <f t="shared" ca="1" si="92"/>
        <v>SIN VACUNAR</v>
      </c>
      <c r="NY27" s="43">
        <f>ROW(Tabla1[[#This Row],['# DE TAMIZAJES SIFILIS TOMADOS ]])</f>
        <v>27</v>
      </c>
      <c r="NZ27" s="43">
        <f t="shared" si="93"/>
        <v>16</v>
      </c>
      <c r="OA27" s="43" t="str">
        <f t="shared" si="94"/>
        <v/>
      </c>
      <c r="OB27" s="43" t="str">
        <f t="shared" si="95"/>
        <v/>
      </c>
      <c r="OC27" s="43" t="str">
        <f t="shared" si="96"/>
        <v/>
      </c>
      <c r="OD27" s="43" t="str">
        <f t="shared" si="97"/>
        <v/>
      </c>
      <c r="OE27" s="43" t="str">
        <f t="shared" si="98"/>
        <v/>
      </c>
      <c r="OF27" s="43" t="str">
        <f t="shared" si="99"/>
        <v/>
      </c>
      <c r="OG27" s="43" t="str">
        <f t="shared" si="100"/>
        <v/>
      </c>
      <c r="OH27" s="43" t="str">
        <f t="shared" si="101"/>
        <v>NORMAL</v>
      </c>
      <c r="OI27" s="43" t="str">
        <f t="shared" si="102"/>
        <v/>
      </c>
      <c r="OJ27" s="43" t="str">
        <f t="shared" si="103"/>
        <v/>
      </c>
      <c r="OK27" s="43" t="str">
        <f t="shared" si="104"/>
        <v/>
      </c>
      <c r="OL27" s="43" t="str">
        <f t="shared" si="105"/>
        <v/>
      </c>
      <c r="OM27" s="43" t="str">
        <f t="shared" si="106"/>
        <v/>
      </c>
      <c r="ON27" s="43" t="str">
        <f t="shared" si="107"/>
        <v/>
      </c>
      <c r="OO27" s="43" t="str">
        <f t="shared" si="108"/>
        <v/>
      </c>
      <c r="OP27" s="43" t="str">
        <f t="shared" si="109"/>
        <v/>
      </c>
      <c r="OQ27" s="43" t="str">
        <f t="shared" si="110"/>
        <v/>
      </c>
      <c r="OR27" s="43" t="str">
        <f t="shared" si="111"/>
        <v/>
      </c>
      <c r="OS27" s="43" t="str">
        <f t="shared" si="112"/>
        <v/>
      </c>
      <c r="OT27" s="43" t="str">
        <f t="shared" si="113"/>
        <v/>
      </c>
      <c r="OU27" s="43" t="str">
        <f t="shared" si="114"/>
        <v/>
      </c>
      <c r="OV27" s="110" t="str">
        <f t="shared" si="115"/>
        <v/>
      </c>
      <c r="OW27" s="43" t="str">
        <f t="shared" si="116"/>
        <v/>
      </c>
      <c r="OX27" s="43" t="str">
        <f t="shared" si="117"/>
        <v/>
      </c>
      <c r="OY27" s="43" t="str">
        <f t="shared" si="118"/>
        <v/>
      </c>
      <c r="OZ27" s="43" t="str">
        <f t="shared" si="119"/>
        <v/>
      </c>
      <c r="PA27" s="43" t="str">
        <f t="shared" si="120"/>
        <v/>
      </c>
      <c r="PB27" s="43" t="str">
        <f t="shared" si="121"/>
        <v/>
      </c>
      <c r="PC27" s="43" t="str">
        <f t="shared" si="122"/>
        <v/>
      </c>
      <c r="PD27" s="43" t="str">
        <f t="shared" si="123"/>
        <v/>
      </c>
      <c r="PE27" s="43" t="str">
        <f t="shared" si="124"/>
        <v/>
      </c>
      <c r="PF27" s="43" t="str">
        <f t="shared" si="125"/>
        <v/>
      </c>
      <c r="PG27" s="43" t="str">
        <f t="shared" si="126"/>
        <v/>
      </c>
      <c r="PH27" s="43" t="str">
        <f t="shared" si="127"/>
        <v/>
      </c>
      <c r="PI27" s="43">
        <f t="shared" si="128"/>
        <v>50</v>
      </c>
      <c r="PJ27" s="43" t="str">
        <f t="shared" si="129"/>
        <v/>
      </c>
      <c r="PK27" s="43" t="str">
        <f t="shared" si="130"/>
        <v/>
      </c>
      <c r="PL27" s="43" t="str">
        <f t="shared" si="131"/>
        <v/>
      </c>
      <c r="PM27" s="43" t="str">
        <f t="shared" si="132"/>
        <v/>
      </c>
      <c r="PN27" s="43" t="str">
        <f t="shared" si="133"/>
        <v/>
      </c>
      <c r="PO27" s="43" t="str">
        <f t="shared" si="134"/>
        <v/>
      </c>
      <c r="PP27" s="43" t="str">
        <f t="shared" si="135"/>
        <v/>
      </c>
      <c r="PQ27" s="43" t="str">
        <f t="shared" si="136"/>
        <v/>
      </c>
      <c r="PR27" s="43" t="str">
        <f t="shared" si="137"/>
        <v/>
      </c>
      <c r="PS27" s="43" t="str">
        <f t="shared" si="138"/>
        <v/>
      </c>
      <c r="PT27" s="43" t="str">
        <f t="shared" si="139"/>
        <v/>
      </c>
      <c r="PU27" s="43" t="str">
        <f t="shared" si="140"/>
        <v/>
      </c>
      <c r="PV27" s="43" t="str">
        <f t="shared" si="141"/>
        <v/>
      </c>
      <c r="PW27" s="43" t="str">
        <f t="shared" si="142"/>
        <v/>
      </c>
      <c r="PX27" s="43" t="str">
        <f t="shared" si="143"/>
        <v/>
      </c>
      <c r="PY27" s="43" t="str">
        <f t="shared" si="144"/>
        <v/>
      </c>
      <c r="PZ27" s="43" t="str">
        <f t="shared" si="145"/>
        <v/>
      </c>
      <c r="QA27" s="43" t="str">
        <f t="shared" si="146"/>
        <v/>
      </c>
      <c r="QB27" s="43" t="str">
        <f t="shared" si="147"/>
        <v/>
      </c>
      <c r="QC27" s="43" t="str">
        <f t="shared" si="148"/>
        <v/>
      </c>
      <c r="QD27" s="43" t="str">
        <f t="shared" si="149"/>
        <v/>
      </c>
      <c r="QE27" s="43" t="str">
        <f t="shared" si="150"/>
        <v/>
      </c>
      <c r="QF27" s="43" t="str">
        <f t="shared" si="151"/>
        <v/>
      </c>
      <c r="QG27" s="43" t="str">
        <f t="shared" si="152"/>
        <v/>
      </c>
      <c r="QH27" s="43" t="str">
        <f t="shared" si="153"/>
        <v/>
      </c>
      <c r="QI27" s="43" t="str">
        <f t="shared" si="154"/>
        <v/>
      </c>
      <c r="QJ27" s="43" t="str">
        <f t="shared" si="155"/>
        <v/>
      </c>
      <c r="QK27" s="43" t="str">
        <f t="shared" si="156"/>
        <v/>
      </c>
      <c r="QL27" s="43" t="str">
        <f t="shared" si="157"/>
        <v/>
      </c>
      <c r="QM27" s="43" t="str">
        <f t="shared" si="158"/>
        <v/>
      </c>
      <c r="QN27" s="43" t="str">
        <f t="shared" si="159"/>
        <v/>
      </c>
      <c r="QO27" s="43" t="str">
        <f t="shared" si="160"/>
        <v/>
      </c>
      <c r="QP27" s="43" t="str">
        <f t="shared" si="161"/>
        <v/>
      </c>
      <c r="QQ27" s="43" t="str">
        <f t="shared" si="162"/>
        <v/>
      </c>
      <c r="QR27" s="43" t="str">
        <f t="shared" si="192"/>
        <v>Mayor</v>
      </c>
      <c r="QS27" s="43"/>
      <c r="QT27" s="21" t="str">
        <f t="shared" si="163"/>
        <v/>
      </c>
      <c r="QU27" s="21" t="str">
        <f t="shared" si="164"/>
        <v/>
      </c>
      <c r="QV27" s="21" t="str">
        <f t="shared" si="165"/>
        <v/>
      </c>
      <c r="QW27" s="21" t="str">
        <f t="shared" si="166"/>
        <v/>
      </c>
      <c r="QX27" s="21" t="str">
        <f t="shared" si="167"/>
        <v/>
      </c>
      <c r="QY27" s="21" t="str">
        <f t="shared" si="168"/>
        <v/>
      </c>
      <c r="QZ27" s="21" t="str">
        <f t="shared" si="169"/>
        <v/>
      </c>
      <c r="RA27" s="21" t="str">
        <f t="shared" si="170"/>
        <v/>
      </c>
      <c r="RB27" s="21" t="str">
        <f t="shared" si="171"/>
        <v/>
      </c>
      <c r="RC27" s="21" t="str">
        <f t="shared" si="172"/>
        <v/>
      </c>
      <c r="RD27" s="21" t="str">
        <f t="shared" si="173"/>
        <v/>
      </c>
      <c r="RE27" s="21" t="str">
        <f t="shared" si="174"/>
        <v/>
      </c>
      <c r="RF27" s="21" t="str">
        <f t="shared" si="175"/>
        <v/>
      </c>
      <c r="RG27" s="21" t="str">
        <f t="shared" si="176"/>
        <v/>
      </c>
      <c r="RH27" s="21" t="str">
        <f t="shared" si="177"/>
        <v/>
      </c>
      <c r="RI27" s="21" t="str">
        <f t="shared" si="178"/>
        <v/>
      </c>
      <c r="RJ27" s="21" t="str">
        <f t="shared" si="179"/>
        <v/>
      </c>
      <c r="RK27" s="21" t="str">
        <f t="shared" si="180"/>
        <v/>
      </c>
      <c r="RL27" s="21" t="str">
        <f t="shared" si="181"/>
        <v/>
      </c>
      <c r="RM27" s="21" t="str">
        <f t="shared" si="182"/>
        <v/>
      </c>
      <c r="RN27" s="21" t="str">
        <f t="shared" si="183"/>
        <v/>
      </c>
      <c r="RO27" s="21" t="str">
        <f t="shared" si="184"/>
        <v/>
      </c>
      <c r="RP27" s="21" t="str">
        <f t="shared" si="185"/>
        <v/>
      </c>
      <c r="RQ27" s="21" t="str">
        <f t="shared" si="186"/>
        <v/>
      </c>
      <c r="RR27" s="21" t="str">
        <f t="shared" si="187"/>
        <v/>
      </c>
      <c r="RS27" s="21" t="str">
        <f t="shared" si="188"/>
        <v/>
      </c>
      <c r="RT27" s="21" t="str">
        <f t="shared" si="189"/>
        <v/>
      </c>
      <c r="RU27" s="21" t="str">
        <f t="shared" si="190"/>
        <v/>
      </c>
      <c r="RV27" s="21">
        <f t="shared" si="191"/>
        <v>16.571428571428573</v>
      </c>
      <c r="RW27" s="284">
        <f>IF(OR(Tabla1[[#This Row],[FUM FORMULA CONFIABLE]]="",Tabla1[[#This Row],[FUM FORMULA CONFIABLE]]="SD"),"",IF(Tabla1[[#This Row],[FUM FORMULA CONFIABLE]]="CORREGIDA",Tabla1[[#This Row],[FUM X ECO 1]],Tabla1[[#This Row],[FUM x AMENORREA]]))</f>
        <v>44730</v>
      </c>
      <c r="RX27" s="21">
        <f>IF(AND(Tabla1[[#This Row],[FUM X ECO 1]]="",Tabla1[[#This Row],[FUM x AMENORREA]]=""),"",IF(AND(Tabla1[[#This Row],[FUM X ECO 1]]="",Tabla1[[#This Row],[FUM x AMENORREA]]&lt;&gt;""),"X",SUM(Tabla1[[#This Row],[FUM X ECO 1]]-Tabla1[[#This Row],[FUM x AMENORREA]])))</f>
        <v>83</v>
      </c>
      <c r="RY27" s="21">
        <f t="shared" si="193"/>
        <v>1</v>
      </c>
    </row>
    <row r="28" spans="1:493" ht="45" customHeight="1" x14ac:dyDescent="0.25">
      <c r="A28" s="300"/>
      <c r="B28" s="301" t="s">
        <v>1013</v>
      </c>
      <c r="C28" s="301" t="s">
        <v>845</v>
      </c>
      <c r="D28" s="302" t="s">
        <v>846</v>
      </c>
      <c r="E28" s="43" t="s">
        <v>1014</v>
      </c>
      <c r="F28" s="43" t="s">
        <v>1015</v>
      </c>
      <c r="G28" s="43" t="s">
        <v>1016</v>
      </c>
      <c r="H28" s="43"/>
      <c r="I28" s="109" t="s">
        <v>851</v>
      </c>
      <c r="J28" s="110">
        <v>34322648</v>
      </c>
      <c r="K28" s="301" t="s">
        <v>852</v>
      </c>
      <c r="L28" s="304" t="s">
        <v>853</v>
      </c>
      <c r="M28" s="305">
        <v>30325</v>
      </c>
      <c r="N28" s="306">
        <f t="shared" ca="1" si="0"/>
        <v>40.841095890410962</v>
      </c>
      <c r="O28" s="305">
        <v>44834</v>
      </c>
      <c r="P28" s="307" t="str">
        <f t="shared" si="1"/>
        <v>SI</v>
      </c>
      <c r="Q28" s="308" t="s">
        <v>855</v>
      </c>
      <c r="R28" s="305">
        <v>44846</v>
      </c>
      <c r="S28" s="309" t="s">
        <v>856</v>
      </c>
      <c r="T28" s="310" t="s">
        <v>690</v>
      </c>
      <c r="U28" s="309" t="s">
        <v>857</v>
      </c>
      <c r="V28" s="309" t="s">
        <v>858</v>
      </c>
      <c r="W28" s="309" t="s">
        <v>951</v>
      </c>
      <c r="X28" s="309" t="s">
        <v>951</v>
      </c>
      <c r="Y28" s="309" t="s">
        <v>859</v>
      </c>
      <c r="Z28" s="309" t="s">
        <v>1017</v>
      </c>
      <c r="AA28" s="309" t="s">
        <v>860</v>
      </c>
      <c r="AB28" s="311" t="s">
        <v>861</v>
      </c>
      <c r="AC28" s="308" t="s">
        <v>846</v>
      </c>
      <c r="AD28" s="312" t="s">
        <v>863</v>
      </c>
      <c r="AE28" s="308" t="s">
        <v>854</v>
      </c>
      <c r="AF28" s="308" t="s">
        <v>854</v>
      </c>
      <c r="AG28" s="313" t="s">
        <v>864</v>
      </c>
      <c r="AH28" s="313" t="s">
        <v>864</v>
      </c>
      <c r="AI28" s="24" t="s">
        <v>863</v>
      </c>
      <c r="AJ28" s="313" t="s">
        <v>864</v>
      </c>
      <c r="AK28" s="314" t="str">
        <f>IF(AND(AD28="",AE28="",AF28="",AG28="",AH28="",AI28="",AJ28=""),"",IF(OR(Tabla1[[#This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EVALUACIÓN",IF(AND(O28="",R28=""),"",IF(AND(OR(O28&gt;0,R28&gt;0),NG28&gt;=0,NG28&lt;2),"SIN RIESGO",IF(AND(OR(O28&gt;0,R28&gt;0),NG28&gt;=2),"CON RIESGO","ASD")))))</f>
        <v>SIN RIESGO</v>
      </c>
      <c r="AL28" s="313" t="s">
        <v>864</v>
      </c>
      <c r="AM28" s="308" t="s">
        <v>864</v>
      </c>
      <c r="AN28" s="308" t="s">
        <v>864</v>
      </c>
      <c r="AO28" s="308" t="s">
        <v>864</v>
      </c>
      <c r="AP28" s="308" t="s">
        <v>864</v>
      </c>
      <c r="AQ28" s="308" t="s">
        <v>864</v>
      </c>
      <c r="AR28" s="308" t="s">
        <v>864</v>
      </c>
      <c r="AS28" s="309">
        <v>3</v>
      </c>
      <c r="AT28" s="309">
        <v>2</v>
      </c>
      <c r="AU28" s="309">
        <v>0</v>
      </c>
      <c r="AV28" s="308" t="s">
        <v>864</v>
      </c>
      <c r="AW28" s="309">
        <v>0</v>
      </c>
      <c r="AX28" s="308" t="s">
        <v>864</v>
      </c>
      <c r="AY28" s="308" t="s">
        <v>864</v>
      </c>
      <c r="AZ28" s="308" t="s">
        <v>864</v>
      </c>
      <c r="BA28" s="308" t="s">
        <v>864</v>
      </c>
      <c r="BB28" s="308" t="s">
        <v>864</v>
      </c>
      <c r="BC28" s="308" t="s">
        <v>864</v>
      </c>
      <c r="BD28" s="308" t="s">
        <v>864</v>
      </c>
      <c r="BE28" s="308" t="s">
        <v>864</v>
      </c>
      <c r="BF28" s="308" t="s">
        <v>864</v>
      </c>
      <c r="BG28" s="308" t="s">
        <v>864</v>
      </c>
      <c r="BH28" s="308" t="s">
        <v>864</v>
      </c>
      <c r="BI28" s="308" t="s">
        <v>864</v>
      </c>
      <c r="BJ28" s="308"/>
      <c r="BK28" s="308"/>
      <c r="BL28" s="308" t="s">
        <v>864</v>
      </c>
      <c r="BM28" s="308" t="s">
        <v>864</v>
      </c>
      <c r="BN28" s="305"/>
      <c r="BO28" s="305">
        <v>44792</v>
      </c>
      <c r="BP28" s="309" t="s">
        <v>854</v>
      </c>
      <c r="BQ28" s="315">
        <f t="shared" si="2"/>
        <v>0</v>
      </c>
      <c r="BR28" s="316">
        <f t="shared" si="3"/>
        <v>44794.8</v>
      </c>
      <c r="BS28" s="317">
        <f t="shared" si="4"/>
        <v>7.7142857142857144</v>
      </c>
      <c r="BT28" s="318" t="str">
        <f t="shared" si="5"/>
        <v>I TRIM</v>
      </c>
      <c r="BU28" s="307" t="str">
        <f t="shared" ca="1" si="6"/>
        <v/>
      </c>
      <c r="BV28" s="319"/>
      <c r="BW28" s="305">
        <v>44862</v>
      </c>
      <c r="BX28" s="320">
        <v>9.6</v>
      </c>
      <c r="BY28" s="320"/>
      <c r="BZ28" s="305"/>
      <c r="CA28" s="309"/>
      <c r="CB28" s="308"/>
      <c r="CC28" s="308"/>
      <c r="CD28" s="308"/>
      <c r="CE28" s="308"/>
      <c r="CF28" s="22" t="s">
        <v>1517</v>
      </c>
      <c r="CG28" s="309">
        <v>1.5</v>
      </c>
      <c r="CH28" s="309">
        <v>64</v>
      </c>
      <c r="CI28" s="307">
        <f t="shared" si="7"/>
        <v>28.444444444444443</v>
      </c>
      <c r="CJ28" s="321" t="str">
        <f>IF(AND(CI28&lt;10,CH28="SD"),"SIN DATO PESO PREGESTACION O I TRIM",IF(AND(OR(R28&gt;0,O28&gt;0),CI28="X"),"INGRESAR DATO DE PESO",IF(CI28="SD","INGRESAR DATO DE TALLA Y PESO",IF(AND(OR(Tabla1[[#This Row],[MOMENTO EN QUE SE REALIZA EL PESO AL INGRESO A CPN]]="PREGESTACIÓN",NZ28="Menor"),CI28&lt;18.5),"BAJO PESO",IF(AND(OR(Tabla1[[#This Row],[MOMENTO EN QUE SE REALIZA EL PESO AL INGRESO A CPN]]="PREGESTACIÓN",NZ28="Menor"),CI28&lt;25),"NORMAL",IF(AND(OR(Tabla1[[#This Row],[MOMENTO EN QUE SE REALIZA EL PESO AL INGRESO A CPN]]="PREGESTACIÓN",NZ28="Menor"),CI28&lt;30),"SOBREPESO",IF(AND(OR(Tabla1[[#This Row],[MOMENTO EN QUE SE REALIZA EL PESO AL INGRESO A CPN]]="PREGESTACIÓN",NZ28="Menor"),CI28&gt;=30,CI28&lt;50),"OBESIDAD",IF(AND(BS28&gt;0,Tabla1[[#This Row],[MOMENTO EN QUE SE REALIZA EL PESO AL INGRESO A CPN]]="GESTACIÓN"),HLOOKUP(NZ28,$OA$2:PH28,NY28),""))))))))</f>
        <v>SOBREPESO</v>
      </c>
      <c r="CK28" s="322">
        <f t="shared" si="8"/>
        <v>44846</v>
      </c>
      <c r="CL28" s="309"/>
      <c r="CM28" s="307">
        <f t="shared" si="9"/>
        <v>0</v>
      </c>
      <c r="CN28" s="318">
        <f t="shared" si="10"/>
        <v>7</v>
      </c>
      <c r="CO28" s="318" t="e">
        <f>IF(PI28="","",IF(PI28&gt;0,HLOOKUP(PI28,$PJ$2:QQ28,NY28),""))</f>
        <v>#REF!</v>
      </c>
      <c r="CP28" s="309"/>
      <c r="CQ28" s="318" t="str">
        <f>IF(QR28="Menor","NO APLICA-MENOR 13 SEM",IF(AND(CC28="SI",CN28&gt;23),"NO APLICA- GEMELAR",IF(QR28="","",IF(QR28&gt;0,HLOOKUP(QR28,$QS$2:RU28,NY28),""))))</f>
        <v>NO APLICA-MENOR 13 SEM</v>
      </c>
      <c r="CR28" s="309">
        <v>110</v>
      </c>
      <c r="CS28" s="309">
        <v>70</v>
      </c>
      <c r="CT28" s="323" t="str">
        <f>IF(R28="","",IF(AND(BS28&gt;1,BS28&lt;12,Tabla1[[#This Row],[T.A. SISTOLICA - ANTES DE SEMANA 12]]="",Tabla1[[#This Row],[T.A. DIASTOLICA - ANTES DE SEMANA 12]]=""),"REGISTRE DATO TA ANTES SEMANA 12",IF(AND(BS28&gt;11,BS28&lt;43,Tabla1[[#This Row],[T.A. SISTOLICA - ANTES DE SEMANA 12]]="",Tabla1[[#This Row],[T.A. DIASTOLICA - ANTES DE SEMANA 12]]=""),"NO APLICA REGISTRO TA-INGRESO TARDIO",IF(AND(OR(O28&gt;0,R28&gt;0),OR(CR28&gt;=140,CS28&gt;=90)),"DEFINIR ESTADIO HTA",IF(AND(OR(O28&gt;0,R28&gt;0),AND(CR28&gt;120,CR28&lt;=139)),"PRE HTA SEGUIMIENTO",IF(AND(OR(O28&gt;0,R28&gt;0),AND(CS28&gt;80,CS28&lt;=89)),"PRE HTA SEGUIMIENTO",IF(AND(OR(O28&gt;0,R28&gt;0),AND(CR28&gt;=80,CR28&lt;=120)),"APARENTEMENTE NORMAL",IF(AND(OR(O28&gt;0,R28&gt;0),AND(CS28&gt;=50,CS28&lt;=80)),"APARENTEMENTE NORMAL",IF(AND(OR(O28&gt;0,R28&gt;0),AND(CR28&gt;1,CR28&lt;=70),AND(CS28&gt;1,CS28&lt;=40)),"HIPOTENSIÓN","")))))))))</f>
        <v>APARENTEMENTE NORMAL</v>
      </c>
      <c r="CU28" s="309"/>
      <c r="CV28" s="309"/>
      <c r="CW28" s="323" t="str">
        <f ca="1">IF(R28="","",IF(AND(CN28&gt;19,CN28&lt;27,Tabla1[[#This Row],[T.A. SISTOLICA (Entre semana 20 y 26)]]="",Tabla1[[#This Row],[T.A. DIATOLICA (Entre semana 20 y 26)]]=""),"ACUDE A CONTROL SEM 20 A 26 REGISTRE TA AHORA",IF(AND(BS28&gt;1,BS28&lt;27,BU28&gt;19,Tabla1[[#This Row],[T.A. SISTOLICA (Entre semana 20 y 26)]]="",Tabla1[[#This Row],[T.A. DIATOLICA (Entre semana 20 y 26)]]=""),"COMPLETE REGISTRO TA CONTROL SEM 20 A26 ",IF(AND(BS28&gt;26,BS28&lt;43,Tabla1[[#This Row],[T.A. SISTOLICA (Entre semana 20 y 26)]]="",Tabla1[[#This Row],[T.A. DIATOLICA (Entre semana 20 y 26)]]=""),"NO APLICA REGISTRO TA-INGRESO TARDIO",IF(AND(OR(O28&gt;0,R28&gt;0),OR(CU28&gt;=140,CV28&gt;=90)),"ALTO RIESGO PREECLAMPSIA,DEFINIR ESTADIO HTA",IF(AND(OR(O28&gt;0,R28&gt;0),AND(CU28&gt;120,CU28&lt;=139)),"PRE HTA SEGUIMIENTO,RIESGO HIPERTENSION INDUCIDA POR EL EMBARAZO",IF(AND(OR(O28&gt;0,R28&gt;0),AND(CV28&gt;80,CV28&lt;=89)),"PRE HTA SEGUIMIENTO, RIESGO HIPERTENSION INDUCIDA POR EL EMBARAZO",IF(AND(OR(O28&lt;&gt;"",R28&lt;&gt;""),CS28&lt;&gt;"",CV28&lt;&gt;"",CS28&lt;=CV28),"VIGILAR CIFRAS PRESION ARTERIAL",IF(AND(OR(O28&gt;0,R28&gt;0),AND(CU28&gt;120,CU28&lt;=139)),"PRE HTA SEGUIMIENTO",IF(AND(OR(O28&gt;0,R28&gt;0),AND(CU28&gt;1,CU28&lt;=70),AND(CV28&gt;1,CV28&lt;=40)),"HIPOTENSIÓN",IF(AND(OR(O28&lt;&gt;"",R28&lt;&gt;""),CS28&lt;&gt;"",CV28&lt;&gt;"",CS28&gt;CV28),"APARENTEMENTE NORMAL",IF(AND(OR(O28&gt;0,R28&gt;0),AND(CU28&gt;=80,CU28&lt;=120)),"APARENTEMENTE NORMAL",IF(AND(OR(O28&gt;0,R28&gt;0),AND(CV28&gt;=50,CV28&lt;=80)),"APARENTEMENTE NORMAL","")))))))))))))</f>
        <v xml:space="preserve">COMPLETE REGISTRO TA CONTROL SEM 20 A26 </v>
      </c>
      <c r="CX28" s="309"/>
      <c r="CY28" s="309"/>
      <c r="CZ28" s="318" t="str">
        <f t="shared" si="11"/>
        <v/>
      </c>
      <c r="DA28" s="309"/>
      <c r="DB28" s="309"/>
      <c r="DC28" s="323" t="str">
        <f t="shared" si="12"/>
        <v>REGISTRE DATO PRESIÓN ARTERIAL MENSUAL</v>
      </c>
      <c r="DD28" s="305">
        <v>44846</v>
      </c>
      <c r="DE28" s="305">
        <v>44846</v>
      </c>
      <c r="DF28" s="305"/>
      <c r="DG28" s="305"/>
      <c r="DH28" s="305"/>
      <c r="DI28" s="305"/>
      <c r="DJ28" s="305"/>
      <c r="DK28" s="305"/>
      <c r="DL28" s="305"/>
      <c r="DM28" s="305"/>
      <c r="DN28" s="305"/>
      <c r="DO28" s="305"/>
      <c r="DP28" s="305"/>
      <c r="DQ28" s="305"/>
      <c r="DR28" s="320"/>
      <c r="DS28" s="305"/>
      <c r="DT28" s="305"/>
      <c r="DU28" s="318" t="str">
        <f t="shared" ca="1" si="13"/>
        <v>CONCERTAR PLAN DE PARTO INMEDIATO</v>
      </c>
      <c r="DV28" s="324" t="str">
        <f t="shared" si="14"/>
        <v>ACTIVA INGRESO A CPN</v>
      </c>
      <c r="DW28" s="32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8" s="318" t="e">
        <f t="shared" ca="1" si="15"/>
        <v>#REF!</v>
      </c>
      <c r="DY28" s="322">
        <f>IF(R28="","",IF(R28&gt;0,MAX(Tabla1[[#This Row],[FECHA C2]:[FECHA C13]],Tabla1[[#This Row],[FECHA CONSULTA PRIMERA VEZ PROGRAMA CPN ]])))</f>
        <v>44846</v>
      </c>
      <c r="DZ28" s="318">
        <f t="shared" si="16"/>
        <v>7</v>
      </c>
      <c r="EA28" s="315">
        <f>IF(R28&gt;0,SUM(COUNTA(DF28:DQ28)+COUNTA(Tabla1[[#This Row],[FECHA CONSULTA PRIMERA VEZ PROGRAMA CPN ]])),"")</f>
        <v>1</v>
      </c>
      <c r="EB28" s="315" t="str">
        <f t="shared" si="17"/>
        <v>NO</v>
      </c>
      <c r="EC28" s="307">
        <f t="shared" si="18"/>
        <v>10</v>
      </c>
      <c r="ED28" s="325">
        <f t="shared" si="19"/>
        <v>0.1</v>
      </c>
      <c r="EE28" s="305">
        <v>44846</v>
      </c>
      <c r="EF28" s="22">
        <v>44862</v>
      </c>
      <c r="EG28" s="22">
        <v>44846</v>
      </c>
      <c r="EH28" s="22"/>
      <c r="EI28" s="22">
        <v>44846</v>
      </c>
      <c r="EJ28" s="22">
        <v>45043</v>
      </c>
      <c r="EK28" s="22">
        <v>45043</v>
      </c>
      <c r="EL28" s="309"/>
      <c r="EM28" s="309">
        <v>14.6</v>
      </c>
      <c r="EN28" s="305">
        <v>44848</v>
      </c>
      <c r="EO28" s="315">
        <f t="shared" si="20"/>
        <v>8</v>
      </c>
      <c r="EP28" s="307" t="str">
        <f t="shared" si="21"/>
        <v>NO DAR SULFATO FERROSO</v>
      </c>
      <c r="EQ28" s="318" t="str">
        <f t="shared" si="22"/>
        <v>I TRIM</v>
      </c>
      <c r="ER28" s="310"/>
      <c r="ES28" s="305"/>
      <c r="ET28" s="326" t="str">
        <f t="shared" ca="1" si="23"/>
        <v>TOMA DE HEMOGLOBINA TARDÍA</v>
      </c>
      <c r="EU28" s="319" t="str">
        <f t="shared" si="24"/>
        <v/>
      </c>
      <c r="EV28" s="310" t="s">
        <v>866</v>
      </c>
      <c r="EW28" s="310">
        <v>44848</v>
      </c>
      <c r="EX28" s="305"/>
      <c r="EY28" s="326">
        <f t="shared" si="25"/>
        <v>8</v>
      </c>
      <c r="EZ28" s="319" t="str">
        <f t="shared" ca="1" si="26"/>
        <v/>
      </c>
      <c r="FA28" s="309">
        <v>74</v>
      </c>
      <c r="FB28" s="305">
        <v>44848</v>
      </c>
      <c r="FC28" s="326">
        <f t="shared" si="27"/>
        <v>8</v>
      </c>
      <c r="FD28" s="326"/>
      <c r="FE28" s="326"/>
      <c r="FF28" s="326"/>
      <c r="FG28" s="309" t="str">
        <f t="shared" ca="1" si="28"/>
        <v/>
      </c>
      <c r="FH28" s="327"/>
      <c r="FI28" s="326" t="str">
        <f t="shared" si="29"/>
        <v>TOMAR EXAMEN</v>
      </c>
      <c r="FJ28" s="305" t="s">
        <v>867</v>
      </c>
      <c r="FK28" s="305">
        <v>44848</v>
      </c>
      <c r="FL28" s="326">
        <f t="shared" ca="1" si="30"/>
        <v>8</v>
      </c>
      <c r="FM28" s="305"/>
      <c r="FN28" s="328"/>
      <c r="FO28" s="326" t="str">
        <f t="shared" ca="1" si="31"/>
        <v>PIERDE TOMA DE TAMIZAJE</v>
      </c>
      <c r="FP28" s="305"/>
      <c r="FQ28" s="328"/>
      <c r="FR28" s="326" t="str">
        <f t="shared" ca="1" si="32"/>
        <v>TOMA INMEDIATA DE TAMIZAJE</v>
      </c>
      <c r="FS28" s="305"/>
      <c r="FT28" s="328"/>
      <c r="FU28" s="326" t="str">
        <f>IF(AND(FJ28="",FM28="",FP28="",FS28=""),"",IF(OR(OR(Tabla1[[#This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8" s="320"/>
      <c r="FW28" s="305"/>
      <c r="FX28" s="326" t="str">
        <f t="shared" si="33"/>
        <v>TOMAR EXAMEN</v>
      </c>
      <c r="FY28" s="305">
        <v>44848</v>
      </c>
      <c r="FZ28" s="305">
        <v>44848</v>
      </c>
      <c r="GA28" s="326">
        <f t="shared" ca="1" si="34"/>
        <v>8</v>
      </c>
      <c r="GB28" s="305"/>
      <c r="GC28" s="305"/>
      <c r="GD28" s="326" t="str">
        <f t="shared" ca="1" si="35"/>
        <v>PIERDE TOMA DE TAMIZAJE</v>
      </c>
      <c r="GE28" s="305"/>
      <c r="GF28" s="305"/>
      <c r="GG28" s="326" t="str">
        <f t="shared" ca="1" si="36"/>
        <v>TOMA INMEDIATA DE TAMIZAJE</v>
      </c>
      <c r="GH28" s="305"/>
      <c r="GI28" s="326"/>
      <c r="GJ28" s="305"/>
      <c r="GK28" s="305"/>
      <c r="GL28" s="305" t="s">
        <v>879</v>
      </c>
      <c r="GM28" s="305"/>
      <c r="GN28" s="320" t="s">
        <v>869</v>
      </c>
      <c r="GO28" s="305">
        <v>44848</v>
      </c>
      <c r="GP28" s="326">
        <f t="shared" si="37"/>
        <v>8</v>
      </c>
      <c r="GQ28" s="320" t="s">
        <v>869</v>
      </c>
      <c r="GR28" s="320" t="s">
        <v>869</v>
      </c>
      <c r="GS28" s="305" t="str">
        <f t="shared" si="38"/>
        <v>CONTROL Igm</v>
      </c>
      <c r="GT28" s="305">
        <v>44848</v>
      </c>
      <c r="GU28" s="326">
        <f t="shared" si="39"/>
        <v>8</v>
      </c>
      <c r="GV28" s="309" t="str">
        <f t="shared" si="40"/>
        <v>I TRIM</v>
      </c>
      <c r="GW28" s="320" t="s">
        <v>869</v>
      </c>
      <c r="GX28" s="329"/>
      <c r="GY28" s="309"/>
      <c r="GZ28" s="309"/>
      <c r="HA28" s="309"/>
      <c r="HB28" s="309"/>
      <c r="HC28" s="309"/>
      <c r="HD28" s="309"/>
      <c r="HE28" s="309"/>
      <c r="HF28" s="305"/>
      <c r="HG28" s="305" t="str">
        <f>IF(OR(O28&gt;0,R28&gt;0),CONCATENATE(IF(Tabla1[[#This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8" s="305" t="e">
        <f t="shared" si="41"/>
        <v>#REF!</v>
      </c>
      <c r="HI28" s="305" t="e">
        <f t="shared" ca="1" si="42"/>
        <v>#REF!</v>
      </c>
      <c r="HJ28" s="309" t="str">
        <f t="shared" ca="1" si="43"/>
        <v>************************RIESGO POR EDAD***************</v>
      </c>
      <c r="HK28" s="309" t="str">
        <f t="shared" si="44"/>
        <v>SIN ANTECEDENTES DE RIESGO</v>
      </c>
      <c r="HL28" s="310" t="str">
        <f t="shared" si="45"/>
        <v>REGISTRE DATO PRESIÓN ARTERIAL MENSUAL</v>
      </c>
      <c r="HM28" s="309" t="e">
        <f t="shared" ca="1" si="46"/>
        <v>#REF!</v>
      </c>
      <c r="HN28" s="329" t="str">
        <f t="shared" si="47"/>
        <v>ACTIVA INGRESO A CPN</v>
      </c>
      <c r="HO28" s="309"/>
      <c r="HP28" s="309"/>
      <c r="HQ28" s="309">
        <v>44846</v>
      </c>
      <c r="HR28" s="309" t="str">
        <f>IF(R28="","",IF(Tabla1[[#This Row],[ALARMA FACTORES DE RIESGO COMPLICACIONES HIPERTENSIVAS3]]="SIN ANTECEDENTES DE RIESGO","No Aplica para suministro de ASA",IF(AND(Tabla1[[#This Row],[FECHA INICIO DE SUMINISTRO DE ASA]]&gt;0,RV28&lt;12),"Inicia ASA ANTES de Sem 12",IF(AND(RV28&gt;11,RV28&lt;17,OR(HK28="RIESGO ALTO DE COMPLICACIONES HIPERTENSIVAS VER MANEJO GUIA SUMINISTRO ASA Y CALCIO",HK28="RIESGO MODERADO (2 O MAS CRITERIOS) VER MANEJO GUIA SUMINISTRO ASA Y CALCIO")),"Inicio oportuno de ASA",IF(AND(RV28&gt;12,OR(HK28="RIESGO ALTO DE COMPLICACIONES HIPERTENSIVAS VER MANEJO GUIA SUMINISTRO ASA Y CALCIO",HK28="RIESGO MODERADO (2 O MAS CRITERIOS) VER MANEJO GUIA SUMINISTRO ASA Y CALCIO")),"Inicio no oportuno mayor a 16 semanas",IF(AND(BU28&lt;12,OR(HK28="RIESGO ALTO DE COMPLICACIONES HIPERTENSIVAS VER MANEJO GUIA SUMINISTRO ASA Y CALCIO",HK28="RIESGO MODERADO (2 O MAS CRITERIOS) VER MANEJO GUIA SUMINISTRO ASA Y CALCIO")),"Pendiente Inicio de ASA a la semana 12",IF(AND(BU28&gt;11,BU28&lt;17,OR(HK28="RIESGO ALTO DE COMPLICACIONES HIPERTENSIVAS VER MANEJO GUIA SUMINISTRO ASA Y CALCIO",HK28="RIESGO MODERADO (2 O MAS CRITERIOS) VER MANEJO GUIA SUMINISTRO ASA Y CALCIO")),"Iniciar de inmediato ASA",IF(AND(BU28&gt;16,OR(HK28="RIESGO ALTO DE COMPLICACIONES HIPERTENSIVAS VER MANEJO GUIA SUMINISTRO ASA Y CALCIO",HK28="RIESGO MODERADO (2 O MAS CRITERIOS) VER MANEJO GUIA SUMINISTRO ASA Y CALCIO")),"Pierde Oportunidad, Inicio tardío de ASA","XXXXX"))))))))</f>
        <v>No Aplica para suministro de ASA</v>
      </c>
      <c r="HS28" s="305">
        <v>44846</v>
      </c>
      <c r="HT28" s="305" t="s">
        <v>870</v>
      </c>
      <c r="HU28" s="305"/>
      <c r="HV28" s="305"/>
      <c r="HW28" s="305">
        <v>44846</v>
      </c>
      <c r="HX28" s="305" t="s">
        <v>870</v>
      </c>
      <c r="HY28" s="305"/>
      <c r="HZ28" s="320" t="str">
        <f t="shared" si="48"/>
        <v>PENDIENTE CONSULTA</v>
      </c>
      <c r="IA28" s="308" t="s">
        <v>864</v>
      </c>
      <c r="IB28" s="308"/>
      <c r="IC28" s="330"/>
      <c r="ID28" s="305"/>
      <c r="IE28" s="305" t="str">
        <f t="shared" ca="1" si="49"/>
        <v/>
      </c>
      <c r="IF28" s="305"/>
      <c r="IG28" s="305">
        <f t="shared" si="50"/>
        <v>45072</v>
      </c>
      <c r="IH28" s="326">
        <f t="shared" ca="1" si="51"/>
        <v>-160</v>
      </c>
      <c r="II28" s="305" t="str">
        <f t="shared" ca="1" si="52"/>
        <v>POSIBLEMENTE NACIO</v>
      </c>
      <c r="IJ28" s="305"/>
      <c r="IK28" s="309"/>
      <c r="IL28" s="309"/>
      <c r="IM28" s="331"/>
      <c r="IN28" s="350"/>
      <c r="IO28" s="309"/>
      <c r="IP28" s="326" t="str">
        <f t="shared" si="53"/>
        <v/>
      </c>
      <c r="IQ28" s="332"/>
      <c r="IR28" s="309"/>
      <c r="IS28" s="309"/>
      <c r="IT28" s="309"/>
      <c r="IU28" s="309"/>
      <c r="IV28" s="309"/>
      <c r="IW28" s="309"/>
      <c r="IX28" s="309"/>
      <c r="IY28" s="309"/>
      <c r="IZ28" s="309"/>
      <c r="JA28" s="309"/>
      <c r="JB28" s="329"/>
      <c r="JC28" s="309"/>
      <c r="JD28" s="333"/>
      <c r="JE28" s="309" t="str">
        <f t="shared" si="54"/>
        <v/>
      </c>
      <c r="JF28" s="329"/>
      <c r="JG28" s="309"/>
      <c r="JH28" s="309"/>
      <c r="JI28" s="309"/>
      <c r="JJ28" s="329"/>
      <c r="JK28" s="305"/>
      <c r="JL28" s="305"/>
      <c r="JM28" s="309"/>
      <c r="JN28" s="333"/>
      <c r="JO28" s="309" t="str">
        <f t="shared" si="55"/>
        <v/>
      </c>
      <c r="JP28" s="305"/>
      <c r="JQ28" s="309"/>
      <c r="JR28" s="309"/>
      <c r="JS28" s="309"/>
      <c r="JT28" s="329"/>
      <c r="JU28" s="305"/>
      <c r="JV28" s="305"/>
      <c r="JW28" s="334"/>
      <c r="JX28" s="320" t="str">
        <f t="shared" si="56"/>
        <v/>
      </c>
      <c r="JY28" s="334"/>
      <c r="JZ28" s="320" t="str">
        <f t="shared" si="57"/>
        <v/>
      </c>
      <c r="KA28" s="309"/>
      <c r="KB28" s="309"/>
      <c r="KC28" s="309"/>
      <c r="KD28" s="335"/>
      <c r="KE28" s="320"/>
      <c r="KF28" s="320"/>
      <c r="KG28" s="320"/>
      <c r="KH28" s="336"/>
      <c r="KI28" s="336"/>
      <c r="KJ28" s="337"/>
      <c r="KK28" s="336"/>
      <c r="KL28" s="336"/>
      <c r="KM28" s="337"/>
      <c r="KN28" s="336"/>
      <c r="KO28" s="336"/>
      <c r="KP28" s="336"/>
      <c r="KQ28" s="336"/>
      <c r="KR28" s="336"/>
      <c r="KS28" s="336"/>
      <c r="KT28" s="336"/>
      <c r="KU28" s="312"/>
      <c r="KV28" s="312"/>
      <c r="KW28" s="312"/>
      <c r="KX28" s="312"/>
      <c r="KY28" s="312"/>
      <c r="KZ28" s="312"/>
      <c r="LA28" s="312"/>
      <c r="LB28" s="312"/>
      <c r="LC28" s="312"/>
      <c r="LD28" s="312"/>
      <c r="LE28" s="312"/>
      <c r="LF28" s="312"/>
      <c r="LG28" s="312"/>
      <c r="LH28" s="312"/>
      <c r="LI28" s="312"/>
      <c r="LJ28" s="312"/>
      <c r="LK28" s="312"/>
      <c r="LL28" s="312"/>
      <c r="LM28" s="312"/>
      <c r="LN28" s="312"/>
      <c r="LO28" s="312"/>
      <c r="LP28" s="312"/>
      <c r="LQ28" s="312"/>
      <c r="LR28" s="312"/>
      <c r="LS28" s="312"/>
      <c r="LT28" s="312"/>
      <c r="LU28" s="312"/>
      <c r="LV28" s="312"/>
      <c r="LW28" s="312"/>
      <c r="LX28" s="312"/>
      <c r="LY28" s="312"/>
      <c r="LZ28" s="312"/>
      <c r="MA28" s="312"/>
      <c r="MB28" s="312"/>
      <c r="MC28" s="312"/>
      <c r="MD28" s="312"/>
      <c r="ME28" s="312"/>
      <c r="MF28" s="312"/>
      <c r="MG28" s="312"/>
      <c r="MH28" s="43">
        <f t="shared" si="58"/>
        <v>0</v>
      </c>
      <c r="MI28" s="43" t="str">
        <f t="shared" si="59"/>
        <v/>
      </c>
      <c r="MJ28" s="43" t="str">
        <f t="shared" si="60"/>
        <v/>
      </c>
      <c r="MK28" s="43">
        <f t="shared" si="61"/>
        <v>0</v>
      </c>
      <c r="ML2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12</v>
      </c>
      <c r="MM28" s="43">
        <f t="shared" si="62"/>
        <v>6</v>
      </c>
      <c r="MN28" s="43">
        <f t="shared" si="63"/>
        <v>10</v>
      </c>
      <c r="MO28" s="43">
        <f t="shared" si="64"/>
        <v>2022</v>
      </c>
      <c r="MP28" s="43" t="str">
        <f t="shared" si="65"/>
        <v>IV TRIMESTRE AÑO</v>
      </c>
      <c r="MQ28" s="43">
        <f t="shared" si="66"/>
        <v>39.183639947437577</v>
      </c>
      <c r="MR28" s="43">
        <f t="shared" si="67"/>
        <v>2</v>
      </c>
      <c r="MS28" s="43" t="str">
        <f t="shared" si="68"/>
        <v xml:space="preserve"> DE 35 A 39 AÑOS</v>
      </c>
      <c r="MT28" s="43">
        <f t="shared" si="69"/>
        <v>0</v>
      </c>
      <c r="MU28" s="43">
        <f t="shared" si="70"/>
        <v>0</v>
      </c>
      <c r="MV28" s="43">
        <f t="shared" si="71"/>
        <v>0</v>
      </c>
      <c r="MW28" s="43">
        <f t="shared" si="72"/>
        <v>0</v>
      </c>
      <c r="MX28" s="43" t="str">
        <f t="shared" si="73"/>
        <v/>
      </c>
      <c r="MY28" s="43" t="str">
        <f t="shared" ca="1" si="74"/>
        <v/>
      </c>
      <c r="MZ28" s="43" t="str">
        <f t="shared" si="75"/>
        <v/>
      </c>
      <c r="NA28" s="43" t="str">
        <f t="shared" si="76"/>
        <v/>
      </c>
      <c r="NB28" s="43" t="str">
        <f t="shared" si="77"/>
        <v/>
      </c>
      <c r="NC28" s="43" t="str">
        <f t="shared" si="78"/>
        <v/>
      </c>
      <c r="ND28" s="43">
        <f t="shared" ca="1" si="79"/>
        <v>2</v>
      </c>
      <c r="NE28" s="43">
        <f>IF(OR(O28&gt;0,R28&gt;0),SUM(COUNTIF(Tabla1[[#This Row],[AÑOS AL INICIO5 CPN]],"&gt;=40"),COUNTIF(AS28,"0"),COUNTIF(AR28,"SI"),COUNTIF(CC28,"SI"),COUNTIF(BQ28,"&gt;119"),COUNTIF(CI28,"&gt;=35")),"")</f>
        <v>0</v>
      </c>
      <c r="NF28" s="43" t="str">
        <f t="shared" si="80"/>
        <v/>
      </c>
      <c r="NG28" s="43">
        <f t="shared" si="81"/>
        <v>0</v>
      </c>
      <c r="NH28" s="43">
        <f t="shared" si="82"/>
        <v>67.2</v>
      </c>
      <c r="NI2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CPN",P28="NO"),"Z",IF(AND(Tabla1[[#This Row],[CITA PROXIMO CONTROL]]="CITA MANUAL",Tabla1[[#This Row],[GESTANTES ACTUALES]]="ACTIVA INGRESO A CPN"),"W",IF(AND(Tabla1[[#This Row],[GESTANTES ACTUALES]]="SALIO PROGRAMA",IN28=""),"S",IF(AND(Tabla1[[#This Row],[CITA PROXIMO CONTROL]]&gt;0,IN28=""),(Tabla1[[#This Row],[CITA PROXIMO CONTROL]]-TODAY()),"SD"))))))))</f>
        <v>#REF!</v>
      </c>
      <c r="NJ28" s="43">
        <f>MONTH(Tabla1[[#This Row],[FECHA DE SALIDA  DEL PROGRAMA]])</f>
        <v>1</v>
      </c>
      <c r="NK28" s="43">
        <f>YEAR(Tabla1[[#This Row],[FECHA DE SALIDA  DEL PROGRAMA]])</f>
        <v>1900</v>
      </c>
      <c r="NL28" s="43">
        <f t="shared" si="83"/>
        <v>197</v>
      </c>
      <c r="NM28" s="43" t="str">
        <f t="shared" si="84"/>
        <v>NO</v>
      </c>
      <c r="NN28" s="43" t="str">
        <f ca="1">IF(AND(O28&gt;0,R28=""),"NO CPN",IF(AND(O28="",R28=""),"",IF(AND(R28&gt;0,Tabla1[[#This Row],[SEMANAS DE GESTACION ACTUALIZADAS]]&lt;=12),"NO APLICA",IF(AND(FH28&lt;&gt;"",FN28&lt;&gt;""),"SI","NO"))))</f>
        <v>NO</v>
      </c>
      <c r="NO28" s="43" t="str">
        <f ca="1">IF(AND(O28&gt;0,R28=""),"NO CPN",IF(AND(O28="",R28=""),"",IF(AND(R28&gt;0,Tabla1[[#This Row],[SEMANAS DE GESTACION ACTUALIZADAS]]&lt;=27),"NO APLICA",IF(AND(ES28&lt;&gt;"",FQ28&lt;&gt;"",GF28&lt;&gt;""),"SI","NO"))))</f>
        <v>NO</v>
      </c>
      <c r="NP28" s="204" t="str">
        <f t="shared" si="85"/>
        <v>I TRIM</v>
      </c>
      <c r="NQ28" s="21" t="str">
        <f t="shared" si="86"/>
        <v/>
      </c>
      <c r="NR28" s="21" t="str">
        <f t="shared" ca="1" si="87"/>
        <v>REVISAR FUM O FECHA SALIDA PROGRAMA</v>
      </c>
      <c r="NS28" s="205">
        <f t="shared" ca="1" si="88"/>
        <v>1</v>
      </c>
      <c r="NT28" s="21">
        <f t="shared" ca="1" si="89"/>
        <v>1</v>
      </c>
      <c r="NU28" s="21" t="str">
        <f t="shared" ca="1" si="90"/>
        <v>POR DEFINIR</v>
      </c>
      <c r="NV28" s="21" t="str">
        <f t="shared" ca="1" si="91"/>
        <v>POR DEFINIR</v>
      </c>
      <c r="NW28" s="206" t="str">
        <f>IF(AND(O28="",R28=""),"",IF(OR(AND(Tabla1[[#This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8" s="207" t="str">
        <f t="shared" ca="1" si="92"/>
        <v>SIN VACUNAR</v>
      </c>
      <c r="NY28" s="43">
        <f>ROW(Tabla1[[#This Row],['# DE TAMIZAJES SIFILIS TOMADOS ]])</f>
        <v>28</v>
      </c>
      <c r="NZ28" s="43" t="str">
        <f t="shared" si="93"/>
        <v>Menor</v>
      </c>
      <c r="OA28" s="43" t="str">
        <f t="shared" si="94"/>
        <v>SOBREPESO</v>
      </c>
      <c r="OB28" s="43" t="str">
        <f t="shared" si="95"/>
        <v/>
      </c>
      <c r="OC28" s="43" t="str">
        <f t="shared" si="96"/>
        <v/>
      </c>
      <c r="OD28" s="43" t="str">
        <f t="shared" si="97"/>
        <v/>
      </c>
      <c r="OE28" s="43" t="str">
        <f t="shared" si="98"/>
        <v/>
      </c>
      <c r="OF28" s="43" t="str">
        <f t="shared" si="99"/>
        <v/>
      </c>
      <c r="OG28" s="43" t="str">
        <f t="shared" si="100"/>
        <v/>
      </c>
      <c r="OH28" s="43" t="str">
        <f t="shared" si="101"/>
        <v/>
      </c>
      <c r="OI28" s="43" t="str">
        <f t="shared" si="102"/>
        <v/>
      </c>
      <c r="OJ28" s="43" t="str">
        <f t="shared" si="103"/>
        <v/>
      </c>
      <c r="OK28" s="43" t="str">
        <f t="shared" si="104"/>
        <v/>
      </c>
      <c r="OL28" s="43" t="str">
        <f t="shared" si="105"/>
        <v/>
      </c>
      <c r="OM28" s="43" t="str">
        <f t="shared" si="106"/>
        <v/>
      </c>
      <c r="ON28" s="43" t="str">
        <f t="shared" si="107"/>
        <v/>
      </c>
      <c r="OO28" s="43" t="str">
        <f t="shared" si="108"/>
        <v/>
      </c>
      <c r="OP28" s="43" t="str">
        <f t="shared" si="109"/>
        <v/>
      </c>
      <c r="OQ28" s="43" t="str">
        <f t="shared" si="110"/>
        <v/>
      </c>
      <c r="OR28" s="43" t="str">
        <f t="shared" si="111"/>
        <v/>
      </c>
      <c r="OS28" s="43" t="str">
        <f t="shared" si="112"/>
        <v/>
      </c>
      <c r="OT28" s="43" t="str">
        <f t="shared" si="113"/>
        <v/>
      </c>
      <c r="OU28" s="43" t="str">
        <f t="shared" si="114"/>
        <v/>
      </c>
      <c r="OV28" s="110" t="str">
        <f t="shared" si="115"/>
        <v/>
      </c>
      <c r="OW28" s="43" t="str">
        <f t="shared" si="116"/>
        <v/>
      </c>
      <c r="OX28" s="43" t="str">
        <f t="shared" si="117"/>
        <v/>
      </c>
      <c r="OY28" s="43" t="str">
        <f t="shared" si="118"/>
        <v/>
      </c>
      <c r="OZ28" s="43" t="str">
        <f t="shared" si="119"/>
        <v/>
      </c>
      <c r="PA28" s="43" t="str">
        <f t="shared" si="120"/>
        <v/>
      </c>
      <c r="PB28" s="43" t="str">
        <f t="shared" si="121"/>
        <v/>
      </c>
      <c r="PC28" s="43" t="str">
        <f t="shared" si="122"/>
        <v/>
      </c>
      <c r="PD28" s="43" t="str">
        <f t="shared" si="123"/>
        <v/>
      </c>
      <c r="PE28" s="43" t="str">
        <f t="shared" si="124"/>
        <v/>
      </c>
      <c r="PF28" s="43" t="str">
        <f t="shared" si="125"/>
        <v/>
      </c>
      <c r="PG28" s="43" t="str">
        <f t="shared" si="126"/>
        <v/>
      </c>
      <c r="PH28" s="43" t="str">
        <f t="shared" si="127"/>
        <v/>
      </c>
      <c r="PI28" s="43" t="str">
        <f t="shared" si="128"/>
        <v>Menor</v>
      </c>
      <c r="PJ28" s="43" t="str">
        <f t="shared" si="129"/>
        <v/>
      </c>
      <c r="PK28" s="43" t="str">
        <f t="shared" si="130"/>
        <v/>
      </c>
      <c r="PL28" s="43" t="str">
        <f t="shared" si="131"/>
        <v/>
      </c>
      <c r="PM28" s="43" t="str">
        <f t="shared" si="132"/>
        <v/>
      </c>
      <c r="PN28" s="43" t="str">
        <f t="shared" si="133"/>
        <v/>
      </c>
      <c r="PO28" s="43" t="str">
        <f t="shared" si="134"/>
        <v/>
      </c>
      <c r="PP28" s="43" t="str">
        <f t="shared" si="135"/>
        <v/>
      </c>
      <c r="PQ28" s="43" t="str">
        <f t="shared" si="136"/>
        <v/>
      </c>
      <c r="PR28" s="43" t="str">
        <f t="shared" si="137"/>
        <v/>
      </c>
      <c r="PS28" s="43" t="str">
        <f t="shared" si="138"/>
        <v/>
      </c>
      <c r="PT28" s="43" t="str">
        <f t="shared" si="139"/>
        <v/>
      </c>
      <c r="PU28" s="43" t="str">
        <f t="shared" si="140"/>
        <v/>
      </c>
      <c r="PV28" s="43" t="str">
        <f t="shared" si="141"/>
        <v/>
      </c>
      <c r="PW28" s="43" t="str">
        <f t="shared" si="142"/>
        <v/>
      </c>
      <c r="PX28" s="43" t="str">
        <f t="shared" si="143"/>
        <v/>
      </c>
      <c r="PY28" s="43" t="str">
        <f t="shared" si="144"/>
        <v/>
      </c>
      <c r="PZ28" s="43" t="str">
        <f t="shared" si="145"/>
        <v/>
      </c>
      <c r="QA28" s="43" t="str">
        <f t="shared" si="146"/>
        <v/>
      </c>
      <c r="QB28" s="43" t="str">
        <f t="shared" si="147"/>
        <v/>
      </c>
      <c r="QC28" s="43" t="str">
        <f t="shared" si="148"/>
        <v/>
      </c>
      <c r="QD28" s="43" t="str">
        <f t="shared" si="149"/>
        <v/>
      </c>
      <c r="QE28" s="43" t="str">
        <f t="shared" si="150"/>
        <v/>
      </c>
      <c r="QF28" s="43" t="str">
        <f t="shared" si="151"/>
        <v/>
      </c>
      <c r="QG28" s="43" t="str">
        <f t="shared" si="152"/>
        <v/>
      </c>
      <c r="QH28" s="43" t="str">
        <f t="shared" si="153"/>
        <v/>
      </c>
      <c r="QI28" s="43" t="str">
        <f t="shared" si="154"/>
        <v/>
      </c>
      <c r="QJ28" s="43" t="str">
        <f t="shared" si="155"/>
        <v/>
      </c>
      <c r="QK28" s="43" t="str">
        <f t="shared" si="156"/>
        <v/>
      </c>
      <c r="QL28" s="43" t="str">
        <f t="shared" si="157"/>
        <v/>
      </c>
      <c r="QM28" s="43" t="str">
        <f t="shared" si="158"/>
        <v/>
      </c>
      <c r="QN28" s="43" t="str">
        <f t="shared" si="159"/>
        <v/>
      </c>
      <c r="QO28" s="43" t="str">
        <f t="shared" si="160"/>
        <v/>
      </c>
      <c r="QP28" s="43" t="str">
        <f t="shared" si="161"/>
        <v/>
      </c>
      <c r="QQ28" s="43" t="str">
        <f t="shared" si="162"/>
        <v/>
      </c>
      <c r="QR28" s="43" t="str">
        <f t="shared" si="192"/>
        <v>Menor</v>
      </c>
      <c r="QS28" s="43"/>
      <c r="QT28" s="21" t="str">
        <f t="shared" si="163"/>
        <v/>
      </c>
      <c r="QU28" s="21" t="str">
        <f t="shared" si="164"/>
        <v/>
      </c>
      <c r="QV28" s="21" t="str">
        <f t="shared" si="165"/>
        <v/>
      </c>
      <c r="QW28" s="21" t="str">
        <f t="shared" si="166"/>
        <v/>
      </c>
      <c r="QX28" s="21" t="str">
        <f t="shared" si="167"/>
        <v/>
      </c>
      <c r="QY28" s="21" t="str">
        <f t="shared" si="168"/>
        <v/>
      </c>
      <c r="QZ28" s="21" t="str">
        <f t="shared" si="169"/>
        <v/>
      </c>
      <c r="RA28" s="21" t="str">
        <f t="shared" si="170"/>
        <v/>
      </c>
      <c r="RB28" s="21" t="str">
        <f t="shared" si="171"/>
        <v/>
      </c>
      <c r="RC28" s="21" t="str">
        <f t="shared" si="172"/>
        <v/>
      </c>
      <c r="RD28" s="21" t="str">
        <f t="shared" si="173"/>
        <v/>
      </c>
      <c r="RE28" s="21" t="str">
        <f t="shared" si="174"/>
        <v/>
      </c>
      <c r="RF28" s="21" t="str">
        <f t="shared" si="175"/>
        <v/>
      </c>
      <c r="RG28" s="21" t="str">
        <f t="shared" si="176"/>
        <v/>
      </c>
      <c r="RH28" s="21" t="str">
        <f t="shared" si="177"/>
        <v/>
      </c>
      <c r="RI28" s="21" t="str">
        <f t="shared" si="178"/>
        <v/>
      </c>
      <c r="RJ28" s="21" t="str">
        <f t="shared" si="179"/>
        <v/>
      </c>
      <c r="RK28" s="21" t="str">
        <f t="shared" si="180"/>
        <v/>
      </c>
      <c r="RL28" s="21" t="str">
        <f t="shared" si="181"/>
        <v/>
      </c>
      <c r="RM28" s="21" t="str">
        <f t="shared" si="182"/>
        <v/>
      </c>
      <c r="RN28" s="21" t="str">
        <f t="shared" si="183"/>
        <v/>
      </c>
      <c r="RO28" s="21" t="str">
        <f t="shared" si="184"/>
        <v/>
      </c>
      <c r="RP28" s="21" t="str">
        <f t="shared" si="185"/>
        <v/>
      </c>
      <c r="RQ28" s="21" t="str">
        <f t="shared" si="186"/>
        <v/>
      </c>
      <c r="RR28" s="21" t="str">
        <f t="shared" si="187"/>
        <v/>
      </c>
      <c r="RS28" s="21" t="str">
        <f t="shared" si="188"/>
        <v/>
      </c>
      <c r="RT28" s="21" t="str">
        <f t="shared" si="189"/>
        <v/>
      </c>
      <c r="RU28" s="21" t="str">
        <f t="shared" si="190"/>
        <v/>
      </c>
      <c r="RV28" s="21">
        <f t="shared" si="191"/>
        <v>7.7142857142857144</v>
      </c>
      <c r="RW28" s="284">
        <f>IF(OR(Tabla1[[#This Row],[FUM FORMULA CONFIABLE]]="",Tabla1[[#This Row],[FUM FORMULA CONFIABLE]]="SD"),"",IF(Tabla1[[#This Row],[FUM FORMULA CONFIABLE]]="CORREGIDA",Tabla1[[#This Row],[FUM X ECO 1]],Tabla1[[#This Row],[FUM x AMENORREA]]))</f>
        <v>44792</v>
      </c>
      <c r="RX28" s="21">
        <f>IF(AND(Tabla1[[#This Row],[FUM X ECO 1]]="",Tabla1[[#This Row],[FUM x AMENORREA]]=""),"",IF(AND(Tabla1[[#This Row],[FUM X ECO 1]]="",Tabla1[[#This Row],[FUM x AMENORREA]]&lt;&gt;""),"X",SUM(Tabla1[[#This Row],[FUM X ECO 1]]-Tabla1[[#This Row],[FUM x AMENORREA]])))</f>
        <v>2.8000000000029104</v>
      </c>
      <c r="RY28" s="21">
        <f t="shared" si="193"/>
        <v>0</v>
      </c>
    </row>
    <row r="29" spans="1:493" ht="45" customHeight="1" x14ac:dyDescent="0.25">
      <c r="A29" s="109" t="s">
        <v>1018</v>
      </c>
      <c r="B29" s="43" t="s">
        <v>1019</v>
      </c>
      <c r="C29" s="43" t="s">
        <v>845</v>
      </c>
      <c r="D29" s="124" t="s">
        <v>846</v>
      </c>
      <c r="E29" s="43" t="s">
        <v>1020</v>
      </c>
      <c r="F29" s="43" t="s">
        <v>979</v>
      </c>
      <c r="G29" s="43" t="s">
        <v>985</v>
      </c>
      <c r="H29" s="43" t="s">
        <v>1021</v>
      </c>
      <c r="I29" s="109" t="s">
        <v>851</v>
      </c>
      <c r="J29" s="110">
        <v>1059604272</v>
      </c>
      <c r="K29" s="43" t="s">
        <v>932</v>
      </c>
      <c r="L29" s="175" t="s">
        <v>853</v>
      </c>
      <c r="M29" s="22">
        <v>35177</v>
      </c>
      <c r="N29" s="213">
        <f t="shared" ca="1" si="0"/>
        <v>27.547945205479451</v>
      </c>
      <c r="O29" s="22">
        <v>44853</v>
      </c>
      <c r="P29" s="214" t="str">
        <f t="shared" si="1"/>
        <v>SI</v>
      </c>
      <c r="Q29" s="26" t="s">
        <v>855</v>
      </c>
      <c r="R29" s="22">
        <v>44853</v>
      </c>
      <c r="S29" s="21" t="s">
        <v>856</v>
      </c>
      <c r="T29" s="24" t="s">
        <v>690</v>
      </c>
      <c r="U29" s="21" t="s">
        <v>857</v>
      </c>
      <c r="V29" s="21" t="s">
        <v>858</v>
      </c>
      <c r="W29" s="21" t="s">
        <v>1022</v>
      </c>
      <c r="X29" s="21" t="s">
        <v>1022</v>
      </c>
      <c r="Y29" s="21" t="s">
        <v>859</v>
      </c>
      <c r="Z29" s="21">
        <v>3184234233</v>
      </c>
      <c r="AA29" s="21" t="s">
        <v>860</v>
      </c>
      <c r="AB29" s="27" t="s">
        <v>861</v>
      </c>
      <c r="AC29" s="26" t="s">
        <v>888</v>
      </c>
      <c r="AD29" s="38" t="s">
        <v>863</v>
      </c>
      <c r="AE29" s="26" t="s">
        <v>854</v>
      </c>
      <c r="AF29" s="26" t="s">
        <v>854</v>
      </c>
      <c r="AG29" s="23" t="s">
        <v>864</v>
      </c>
      <c r="AH29" s="23" t="s">
        <v>864</v>
      </c>
      <c r="AI29" s="24" t="s">
        <v>863</v>
      </c>
      <c r="AJ29" s="23" t="s">
        <v>864</v>
      </c>
      <c r="AK29" s="220" t="str">
        <f>IF(AND(AD29="",AE29="",AF29="",AG29="",AH29="",AI29="",AJ29=""),"",IF(OR(Tabla1[[#This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EVALUACIÓN",IF(AND(O29="",R29=""),"",IF(AND(OR(O29&gt;0,R29&gt;0),NG29&gt;=0,NG29&lt;2),"SIN RIESGO",IF(AND(OR(O29&gt;0,R29&gt;0),NG29&gt;=2),"CON RIESGO","ASD")))))</f>
        <v>SIN RIESGO</v>
      </c>
      <c r="AL29" s="23" t="s">
        <v>864</v>
      </c>
      <c r="AM29" s="26" t="s">
        <v>864</v>
      </c>
      <c r="AN29" s="26" t="s">
        <v>864</v>
      </c>
      <c r="AO29" s="26" t="s">
        <v>864</v>
      </c>
      <c r="AP29" s="26" t="s">
        <v>864</v>
      </c>
      <c r="AQ29" s="26" t="s">
        <v>864</v>
      </c>
      <c r="AR29" s="26" t="s">
        <v>864</v>
      </c>
      <c r="AS29" s="21">
        <v>2</v>
      </c>
      <c r="AT29" s="21">
        <v>1</v>
      </c>
      <c r="AU29" s="21">
        <v>0</v>
      </c>
      <c r="AV29" s="26" t="s">
        <v>864</v>
      </c>
      <c r="AW29" s="21">
        <v>0</v>
      </c>
      <c r="AX29" s="26" t="s">
        <v>864</v>
      </c>
      <c r="AY29" s="26" t="s">
        <v>864</v>
      </c>
      <c r="AZ29" s="26" t="s">
        <v>864</v>
      </c>
      <c r="BA29" s="26" t="s">
        <v>864</v>
      </c>
      <c r="BB29" s="26" t="s">
        <v>864</v>
      </c>
      <c r="BC29" s="26" t="s">
        <v>864</v>
      </c>
      <c r="BD29" s="26" t="s">
        <v>864</v>
      </c>
      <c r="BE29" s="26" t="s">
        <v>864</v>
      </c>
      <c r="BF29" s="26" t="s">
        <v>864</v>
      </c>
      <c r="BG29" s="26" t="s">
        <v>864</v>
      </c>
      <c r="BH29" s="26" t="s">
        <v>864</v>
      </c>
      <c r="BI29" s="26" t="s">
        <v>864</v>
      </c>
      <c r="BJ29" s="26"/>
      <c r="BK29" s="26"/>
      <c r="BL29" s="26" t="s">
        <v>864</v>
      </c>
      <c r="BM29" s="26" t="s">
        <v>864</v>
      </c>
      <c r="BN29" s="22"/>
      <c r="BO29" s="22">
        <v>44793</v>
      </c>
      <c r="BP29" s="21" t="s">
        <v>854</v>
      </c>
      <c r="BQ29" s="222">
        <f t="shared" si="2"/>
        <v>0</v>
      </c>
      <c r="BR29" s="223">
        <f t="shared" si="3"/>
        <v>44799</v>
      </c>
      <c r="BS29" s="224">
        <f t="shared" si="4"/>
        <v>8.5714285714285712</v>
      </c>
      <c r="BT29" s="216" t="str">
        <f t="shared" si="5"/>
        <v>I TRIM</v>
      </c>
      <c r="BU29" s="214" t="str">
        <f t="shared" ca="1" si="6"/>
        <v/>
      </c>
      <c r="BV29" s="25"/>
      <c r="BW29" s="22">
        <v>44862</v>
      </c>
      <c r="BX29" s="28">
        <v>9</v>
      </c>
      <c r="BY29" s="28"/>
      <c r="BZ29" s="22"/>
      <c r="CA29" s="21"/>
      <c r="CB29" s="26" t="s">
        <v>864</v>
      </c>
      <c r="CC29" s="26" t="s">
        <v>864</v>
      </c>
      <c r="CD29" s="26"/>
      <c r="CE29" s="26" t="s">
        <v>864</v>
      </c>
      <c r="CF29" s="22" t="s">
        <v>1517</v>
      </c>
      <c r="CG29" s="21">
        <v>1.56</v>
      </c>
      <c r="CH29" s="21">
        <v>68</v>
      </c>
      <c r="CI29" s="214">
        <f t="shared" si="7"/>
        <v>27.94214332675871</v>
      </c>
      <c r="CJ29" s="225" t="str">
        <f>IF(AND(CI29&lt;10,CH29="SD"),"SIN DATO PESO PREGESTACION O I TRIM",IF(AND(OR(R29&gt;0,O29&gt;0),CI29="X"),"INGRESAR DATO DE PESO",IF(CI29="SD","INGRESAR DATO DE TALLA Y PESO",IF(AND(OR(Tabla1[[#This Row],[MOMENTO EN QUE SE REALIZA EL PESO AL INGRESO A CPN]]="PREGESTACIÓN",NZ29="Menor"),CI29&lt;18.5),"BAJO PESO",IF(AND(OR(Tabla1[[#This Row],[MOMENTO EN QUE SE REALIZA EL PESO AL INGRESO A CPN]]="PREGESTACIÓN",NZ29="Menor"),CI29&lt;25),"NORMAL",IF(AND(OR(Tabla1[[#This Row],[MOMENTO EN QUE SE REALIZA EL PESO AL INGRESO A CPN]]="PREGESTACIÓN",NZ29="Menor"),CI29&lt;30),"SOBREPESO",IF(AND(OR(Tabla1[[#This Row],[MOMENTO EN QUE SE REALIZA EL PESO AL INGRESO A CPN]]="PREGESTACIÓN",NZ29="Menor"),CI29&gt;=30,CI29&lt;50),"OBESIDAD",IF(AND(BS29&gt;0,Tabla1[[#This Row],[MOMENTO EN QUE SE REALIZA EL PESO AL INGRESO A CPN]]="GESTACIÓN"),HLOOKUP(NZ29,$OA$2:PH29,NY29),""))))))))</f>
        <v>SOBREPESO</v>
      </c>
      <c r="CK29" s="212">
        <f t="shared" si="8"/>
        <v>45062</v>
      </c>
      <c r="CL29" s="21">
        <v>80</v>
      </c>
      <c r="CM29" s="214">
        <f t="shared" si="9"/>
        <v>32.873109796186718</v>
      </c>
      <c r="CN29" s="216">
        <f t="shared" si="10"/>
        <v>38</v>
      </c>
      <c r="CO29" s="216" t="e">
        <f>IF(PI29="","",IF(PI29&gt;0,HLOOKUP(PI29,$PJ$2:QQ29,NY29),""))</f>
        <v>#REF!</v>
      </c>
      <c r="CP29" s="21"/>
      <c r="CQ29" s="216" t="e">
        <f>IF(QR29="Menor","NO APLICA-MENOR 13 SEM",IF(AND(CC29="SI",CN29&gt;23),"NO APLICA- GEMELAR",IF(QR29="","",IF(QR29&gt;0,HLOOKUP(QR29,$QS$2:RU29,NY29),""))))</f>
        <v>#REF!</v>
      </c>
      <c r="CR29" s="21">
        <v>110</v>
      </c>
      <c r="CS29" s="21">
        <v>60</v>
      </c>
      <c r="CT29" s="217" t="str">
        <f>IF(R29="","",IF(AND(BS29&gt;1,BS29&lt;12,Tabla1[[#This Row],[T.A. SISTOLICA - ANTES DE SEMANA 12]]="",Tabla1[[#This Row],[T.A. DIASTOLICA - ANTES DE SEMANA 12]]=""),"REGISTRE DATO TA ANTES SEMANA 12",IF(AND(BS29&gt;11,BS29&lt;43,Tabla1[[#This Row],[T.A. SISTOLICA - ANTES DE SEMANA 12]]="",Tabla1[[#This Row],[T.A. DIASTOLICA - ANTES DE SEMANA 12]]=""),"NO APLICA REGISTRO TA-INGRESO TARDIO",IF(AND(OR(O29&gt;0,R29&gt;0),OR(CR29&gt;=140,CS29&gt;=90)),"DEFINIR ESTADIO HTA",IF(AND(OR(O29&gt;0,R29&gt;0),AND(CR29&gt;120,CR29&lt;=139)),"PRE HTA SEGUIMIENTO",IF(AND(OR(O29&gt;0,R29&gt;0),AND(CS29&gt;80,CS29&lt;=89)),"PRE HTA SEGUIMIENTO",IF(AND(OR(O29&gt;0,R29&gt;0),AND(CR29&gt;=80,CR29&lt;=120)),"APARENTEMENTE NORMAL",IF(AND(OR(O29&gt;0,R29&gt;0),AND(CS29&gt;=50,CS29&lt;=80)),"APARENTEMENTE NORMAL",IF(AND(OR(O29&gt;0,R29&gt;0),AND(CR29&gt;1,CR29&lt;=70),AND(CS29&gt;1,CS29&lt;=40)),"HIPOTENSIÓN","")))))))))</f>
        <v>APARENTEMENTE NORMAL</v>
      </c>
      <c r="CU29" s="21">
        <v>100</v>
      </c>
      <c r="CV29" s="21">
        <v>60</v>
      </c>
      <c r="CW29" s="217" t="str">
        <f ca="1">IF(R29="","",IF(AND(CN29&gt;19,CN29&lt;27,Tabla1[[#This Row],[T.A. SISTOLICA (Entre semana 20 y 26)]]="",Tabla1[[#This Row],[T.A. DIATOLICA (Entre semana 20 y 26)]]=""),"ACUDE A CONTROL SEM 20 A 26 REGISTRE TA AHORA",IF(AND(BS29&gt;1,BS29&lt;27,BU29&gt;19,Tabla1[[#This Row],[T.A. SISTOLICA (Entre semana 20 y 26)]]="",Tabla1[[#This Row],[T.A. DIATOLICA (Entre semana 20 y 26)]]=""),"COMPLETE REGISTRO TA CONTROL SEM 20 A26 ",IF(AND(BS29&gt;26,BS29&lt;43,Tabla1[[#This Row],[T.A. SISTOLICA (Entre semana 20 y 26)]]="",Tabla1[[#This Row],[T.A. DIATOLICA (Entre semana 20 y 26)]]=""),"NO APLICA REGISTRO TA-INGRESO TARDIO",IF(AND(OR(O29&gt;0,R29&gt;0),OR(CU29&gt;=140,CV29&gt;=90)),"ALTO RIESGO PREECLAMPSIA,DEFINIR ESTADIO HTA",IF(AND(OR(O29&gt;0,R29&gt;0),AND(CU29&gt;120,CU29&lt;=139)),"PRE HTA SEGUIMIENTO,RIESGO HIPERTENSION INDUCIDA POR EL EMBARAZO",IF(AND(OR(O29&gt;0,R29&gt;0),AND(CV29&gt;80,CV29&lt;=89)),"PRE HTA SEGUIMIENTO, RIESGO HIPERTENSION INDUCIDA POR EL EMBARAZO",IF(AND(OR(O29&lt;&gt;"",R29&lt;&gt;""),CS29&lt;&gt;"",CV29&lt;&gt;"",CS29&lt;=CV29),"VIGILAR CIFRAS PRESION ARTERIAL",IF(AND(OR(O29&gt;0,R29&gt;0),AND(CU29&gt;120,CU29&lt;=139)),"PRE HTA SEGUIMIENTO",IF(AND(OR(O29&gt;0,R29&gt;0),AND(CU29&gt;1,CU29&lt;=70),AND(CV29&gt;1,CV29&lt;=40)),"HIPOTENSIÓN",IF(AND(OR(O29&lt;&gt;"",R29&lt;&gt;""),CS29&lt;&gt;"",CV29&lt;&gt;"",CS29&gt;CV29),"APARENTEMENTE NORMAL",IF(AND(OR(O29&gt;0,R29&gt;0),AND(CU29&gt;=80,CU29&lt;=120)),"APARENTEMENTE NORMAL",IF(AND(OR(O29&gt;0,R29&gt;0),AND(CV29&gt;=50,CV29&lt;=80)),"APARENTEMENTE NORMAL","")))))))))))))</f>
        <v>VIGILAR CIFRAS PRESION ARTERIAL</v>
      </c>
      <c r="CX29" s="21">
        <v>100</v>
      </c>
      <c r="CY29" s="21">
        <v>60</v>
      </c>
      <c r="CZ29" s="216" t="str">
        <f t="shared" si="11"/>
        <v>APARENTEMENTE NORMAL</v>
      </c>
      <c r="DA29" s="21">
        <v>120</v>
      </c>
      <c r="DB29" s="21">
        <v>70</v>
      </c>
      <c r="DC29" s="217" t="str">
        <f t="shared" si="12"/>
        <v>VIGILAR CIFRAS PRESION ARTERIAL</v>
      </c>
      <c r="DD29" s="22">
        <v>44859</v>
      </c>
      <c r="DE29" s="22">
        <v>44859</v>
      </c>
      <c r="DF29" s="22">
        <v>44919</v>
      </c>
      <c r="DG29" s="22">
        <v>44951</v>
      </c>
      <c r="DH29" s="22">
        <v>44985</v>
      </c>
      <c r="DI29" s="22">
        <v>45042</v>
      </c>
      <c r="DJ29" s="22">
        <v>45062</v>
      </c>
      <c r="DK29" s="22"/>
      <c r="DL29" s="22"/>
      <c r="DM29" s="22"/>
      <c r="DN29" s="22"/>
      <c r="DO29" s="22"/>
      <c r="DP29" s="22"/>
      <c r="DQ29" s="22"/>
      <c r="DR29" s="28">
        <v>2</v>
      </c>
      <c r="DS29" s="22"/>
      <c r="DT29" s="22"/>
      <c r="DU29" s="216" t="str">
        <f t="shared" ca="1" si="13"/>
        <v>SALE SIN PLAN DE PARTO</v>
      </c>
      <c r="DV29" s="226" t="str">
        <f t="shared" si="14"/>
        <v>SALIO PROGRAMA</v>
      </c>
      <c r="DW29"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29" s="216" t="str">
        <f t="shared" ca="1" si="15"/>
        <v/>
      </c>
      <c r="DY29" s="212">
        <f>IF(R29="","",IF(R29&gt;0,MAX(Tabla1[[#This Row],[FECHA C2]:[FECHA C13]],Tabla1[[#This Row],[FECHA CONSULTA PRIMERA VEZ PROGRAMA CPN ]])))</f>
        <v>45062</v>
      </c>
      <c r="DZ29" s="216">
        <f t="shared" si="16"/>
        <v>38</v>
      </c>
      <c r="EA29" s="222">
        <f>IF(R29&gt;0,SUM(COUNTA(DF29:DQ29)+COUNTA(Tabla1[[#This Row],[FECHA CONSULTA PRIMERA VEZ PROGRAMA CPN ]])),"")</f>
        <v>6</v>
      </c>
      <c r="EB29" s="222" t="str">
        <f t="shared" si="17"/>
        <v>SI</v>
      </c>
      <c r="EC29" s="214">
        <f t="shared" si="18"/>
        <v>9</v>
      </c>
      <c r="ED29" s="227">
        <f t="shared" si="19"/>
        <v>0.66666666666666663</v>
      </c>
      <c r="EE29" s="22">
        <v>44859</v>
      </c>
      <c r="EF29" s="22">
        <v>44862</v>
      </c>
      <c r="EG29" s="22">
        <v>44859</v>
      </c>
      <c r="EH29" s="22"/>
      <c r="EI29" s="22">
        <v>44862</v>
      </c>
      <c r="EJ29" s="22"/>
      <c r="EK29" s="22"/>
      <c r="EL29" s="21"/>
      <c r="EM29" s="21">
        <v>14.2</v>
      </c>
      <c r="EN29" s="22">
        <v>44861</v>
      </c>
      <c r="EO29" s="222">
        <f t="shared" si="20"/>
        <v>9.7142857142857135</v>
      </c>
      <c r="EP29" s="214" t="str">
        <f t="shared" si="21"/>
        <v>NO DAR SULFATO FERROSO</v>
      </c>
      <c r="EQ29" s="216" t="str">
        <f t="shared" si="22"/>
        <v>I TRIM</v>
      </c>
      <c r="ER29" s="24"/>
      <c r="ES29" s="22"/>
      <c r="ET29" s="29" t="str">
        <f t="shared" ca="1" si="23"/>
        <v>SALE SIN TAMIZAJE HEMOGLOBINA SEM 28</v>
      </c>
      <c r="EU29" s="25" t="str">
        <f t="shared" si="24"/>
        <v/>
      </c>
      <c r="EV29" s="24" t="s">
        <v>866</v>
      </c>
      <c r="EW29" s="24">
        <v>44861</v>
      </c>
      <c r="EX29" s="22"/>
      <c r="EY29" s="29">
        <f t="shared" si="25"/>
        <v>9.7142857142857135</v>
      </c>
      <c r="EZ29" s="25" t="str">
        <f t="shared" ca="1" si="26"/>
        <v/>
      </c>
      <c r="FA29" s="21">
        <v>80</v>
      </c>
      <c r="FB29" s="22">
        <v>44861</v>
      </c>
      <c r="FC29" s="29">
        <f t="shared" si="27"/>
        <v>9.7142857142857135</v>
      </c>
      <c r="FD29" s="29">
        <v>70</v>
      </c>
      <c r="FE29" s="29">
        <v>198</v>
      </c>
      <c r="FF29" s="29">
        <v>94</v>
      </c>
      <c r="FG29" s="21" t="str">
        <f t="shared" ca="1" si="28"/>
        <v>DIABETES, REMITIR</v>
      </c>
      <c r="FH29" s="31">
        <v>45001</v>
      </c>
      <c r="FI29" s="29">
        <f t="shared" si="29"/>
        <v>29.714285714285715</v>
      </c>
      <c r="FJ29" s="22" t="s">
        <v>867</v>
      </c>
      <c r="FK29" s="22">
        <v>44861</v>
      </c>
      <c r="FL29" s="29">
        <f t="shared" ca="1" si="30"/>
        <v>9.7142857142857135</v>
      </c>
      <c r="FM29" s="22" t="s">
        <v>867</v>
      </c>
      <c r="FN29" s="32">
        <v>44951</v>
      </c>
      <c r="FO29" s="29">
        <f t="shared" ca="1" si="31"/>
        <v>22.571428571428573</v>
      </c>
      <c r="FP29" s="22" t="s">
        <v>867</v>
      </c>
      <c r="FQ29" s="32"/>
      <c r="FR29" s="29" t="str">
        <f t="shared" ca="1" si="32"/>
        <v>PIERDE TOMA DE TAMIZAJE</v>
      </c>
      <c r="FS29" s="22"/>
      <c r="FT29" s="32"/>
      <c r="FU29" s="29" t="str">
        <f>IF(AND(FJ29="",FM29="",FP29="",FS29=""),"",IF(OR(OR(Tabla1[[#This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9" s="28"/>
      <c r="FW29" s="22"/>
      <c r="FX29" s="29" t="str">
        <f t="shared" si="33"/>
        <v>TOMAR EXAMEN</v>
      </c>
      <c r="FY29" s="22">
        <v>44861</v>
      </c>
      <c r="FZ29" s="22">
        <v>44861</v>
      </c>
      <c r="GA29" s="29">
        <f t="shared" ca="1" si="34"/>
        <v>9.7142857142857135</v>
      </c>
      <c r="GB29" s="22"/>
      <c r="GC29" s="22"/>
      <c r="GD29" s="29" t="str">
        <f t="shared" ca="1" si="35"/>
        <v>PIERDE TOMA DE TAMIZAJE</v>
      </c>
      <c r="GE29" s="22"/>
      <c r="GF29" s="22"/>
      <c r="GG29" s="29" t="str">
        <f t="shared" ca="1" si="36"/>
        <v>PIERDE TOMA DE TAMIZAJE</v>
      </c>
      <c r="GH29" s="22"/>
      <c r="GI29" s="29"/>
      <c r="GJ29" s="22"/>
      <c r="GK29" s="22"/>
      <c r="GL29" s="22" t="s">
        <v>879</v>
      </c>
      <c r="GM29" s="22"/>
      <c r="GN29" s="28" t="s">
        <v>869</v>
      </c>
      <c r="GO29" s="22">
        <v>44861</v>
      </c>
      <c r="GP29" s="29">
        <f t="shared" si="37"/>
        <v>9.7142857142857135</v>
      </c>
      <c r="GQ29" s="28" t="s">
        <v>869</v>
      </c>
      <c r="GR29" s="28" t="s">
        <v>869</v>
      </c>
      <c r="GS29" s="22" t="str">
        <f t="shared" si="38"/>
        <v>CONTROL Igm</v>
      </c>
      <c r="GT29" s="22">
        <v>44861</v>
      </c>
      <c r="GU29" s="29">
        <f t="shared" si="39"/>
        <v>9.7142857142857135</v>
      </c>
      <c r="GV29" s="21" t="str">
        <f t="shared" si="40"/>
        <v>I TRIM</v>
      </c>
      <c r="GW29" s="28" t="s">
        <v>869</v>
      </c>
      <c r="GX29" s="30"/>
      <c r="GY29" s="21"/>
      <c r="GZ29" s="21"/>
      <c r="HA29" s="21"/>
      <c r="HB29" s="21"/>
      <c r="HC29" s="21"/>
      <c r="HD29" s="21"/>
      <c r="HE29" s="21"/>
      <c r="HF29" s="22"/>
      <c r="HG29" s="22" t="str">
        <f>IF(OR(O29&gt;0,R29&gt;0),CONCATENATE(IF(Tabla1[[#This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9" s="22" t="e">
        <f t="shared" si="41"/>
        <v>#REF!</v>
      </c>
      <c r="HI29" s="22" t="e">
        <f t="shared" ca="1" si="42"/>
        <v>#REF!</v>
      </c>
      <c r="HJ29" s="21" t="str">
        <f t="shared" ca="1" si="43"/>
        <v>*****************DIABETES GESTACIONAL**********************</v>
      </c>
      <c r="HK29" s="21" t="str">
        <f t="shared" si="44"/>
        <v>SIN ANTECEDENTES DE RIESGO</v>
      </c>
      <c r="HL29" s="24" t="str">
        <f t="shared" si="45"/>
        <v>VIGILAR CIFRAS PRESION ARTERIAL</v>
      </c>
      <c r="HM29" s="21" t="str">
        <f t="shared" ca="1" si="46"/>
        <v/>
      </c>
      <c r="HN29" s="30" t="str">
        <f t="shared" si="47"/>
        <v>SALIO PROGRAMA</v>
      </c>
      <c r="HO29" s="21"/>
      <c r="HP29" s="21"/>
      <c r="HQ29" s="21">
        <v>44859</v>
      </c>
      <c r="HR29" s="21" t="str">
        <f>IF(R29="","",IF(Tabla1[[#This Row],[ALARMA FACTORES DE RIESGO COMPLICACIONES HIPERTENSIVAS3]]="SIN ANTECEDENTES DE RIESGO","No Aplica para suministro de ASA",IF(AND(Tabla1[[#This Row],[FECHA INICIO DE SUMINISTRO DE ASA]]&gt;0,RV29&lt;12),"Inicia ASA ANTES de Sem 12",IF(AND(RV29&gt;11,RV29&lt;17,OR(HK29="RIESGO ALTO DE COMPLICACIONES HIPERTENSIVAS VER MANEJO GUIA SUMINISTRO ASA Y CALCIO",HK29="RIESGO MODERADO (2 O MAS CRITERIOS) VER MANEJO GUIA SUMINISTRO ASA Y CALCIO")),"Inicio oportuno de ASA",IF(AND(RV29&gt;12,OR(HK29="RIESGO ALTO DE COMPLICACIONES HIPERTENSIVAS VER MANEJO GUIA SUMINISTRO ASA Y CALCIO",HK29="RIESGO MODERADO (2 O MAS CRITERIOS) VER MANEJO GUIA SUMINISTRO ASA Y CALCIO")),"Inicio no oportuno mayor a 16 semanas",IF(AND(BU29&lt;12,OR(HK29="RIESGO ALTO DE COMPLICACIONES HIPERTENSIVAS VER MANEJO GUIA SUMINISTRO ASA Y CALCIO",HK29="RIESGO MODERADO (2 O MAS CRITERIOS) VER MANEJO GUIA SUMINISTRO ASA Y CALCIO")),"Pendiente Inicio de ASA a la semana 12",IF(AND(BU29&gt;11,BU29&lt;17,OR(HK29="RIESGO ALTO DE COMPLICACIONES HIPERTENSIVAS VER MANEJO GUIA SUMINISTRO ASA Y CALCIO",HK29="RIESGO MODERADO (2 O MAS CRITERIOS) VER MANEJO GUIA SUMINISTRO ASA Y CALCIO")),"Iniciar de inmediato ASA",IF(AND(BU29&gt;16,OR(HK29="RIESGO ALTO DE COMPLICACIONES HIPERTENSIVAS VER MANEJO GUIA SUMINISTRO ASA Y CALCIO",HK29="RIESGO MODERADO (2 O MAS CRITERIOS) VER MANEJO GUIA SUMINISTRO ASA Y CALCIO")),"Pierde Oportunidad, Inicio tardío de ASA","XXXXX"))))))))</f>
        <v>No Aplica para suministro de ASA</v>
      </c>
      <c r="HS29" s="22">
        <v>44859</v>
      </c>
      <c r="HT29" s="22" t="s">
        <v>870</v>
      </c>
      <c r="HU29" s="22">
        <v>44859</v>
      </c>
      <c r="HV29" s="22" t="s">
        <v>870</v>
      </c>
      <c r="HW29" s="22">
        <v>44859</v>
      </c>
      <c r="HX29" s="22" t="s">
        <v>870</v>
      </c>
      <c r="HY29" s="22">
        <v>44859</v>
      </c>
      <c r="HZ29" s="28">
        <f t="shared" si="48"/>
        <v>9.4285714285714288</v>
      </c>
      <c r="IA29" s="26" t="s">
        <v>864</v>
      </c>
      <c r="IB29" s="26"/>
      <c r="IC29" s="111"/>
      <c r="ID29" s="22"/>
      <c r="IE29" s="22" t="str">
        <f t="shared" ca="1" si="49"/>
        <v>SALE SIN VACUNA</v>
      </c>
      <c r="IF29" s="22"/>
      <c r="IG29" s="22">
        <f t="shared" si="50"/>
        <v>45073</v>
      </c>
      <c r="IH29" s="29">
        <f t="shared" ca="1" si="51"/>
        <v>-159</v>
      </c>
      <c r="II29" s="22" t="str">
        <f t="shared" ca="1" si="52"/>
        <v>POSIBLEMENTE NACIO</v>
      </c>
      <c r="IJ29" s="22"/>
      <c r="IK29" s="21" t="s">
        <v>898</v>
      </c>
      <c r="IL29" s="21"/>
      <c r="IM29" s="34"/>
      <c r="IN29" s="349">
        <v>45077</v>
      </c>
      <c r="IO29" s="21" t="s">
        <v>1640</v>
      </c>
      <c r="IP29" s="29">
        <f t="shared" si="53"/>
        <v>40.571428571428569</v>
      </c>
      <c r="IQ29" s="35"/>
      <c r="IR29" s="21" t="s">
        <v>879</v>
      </c>
      <c r="IS29" s="21" t="s">
        <v>1641</v>
      </c>
      <c r="IT29" s="21" t="s">
        <v>1642</v>
      </c>
      <c r="IU29" s="21"/>
      <c r="IV29" s="21"/>
      <c r="IW29" s="21"/>
      <c r="IX29" s="21"/>
      <c r="IY29" s="21"/>
      <c r="IZ29" s="21"/>
      <c r="JA29" s="21"/>
      <c r="JB29" s="30">
        <v>1</v>
      </c>
      <c r="JC29" s="21" t="s">
        <v>1643</v>
      </c>
      <c r="JD29" s="36">
        <v>3100</v>
      </c>
      <c r="JE29" s="21" t="str">
        <f t="shared" si="54"/>
        <v>PESO ADECUADO EDAD GESTACIONAL</v>
      </c>
      <c r="JF29" s="30"/>
      <c r="JG29" s="21"/>
      <c r="JH29" s="21"/>
      <c r="JI29" s="21"/>
      <c r="JJ29" s="30"/>
      <c r="JK29" s="22"/>
      <c r="JL29" s="22"/>
      <c r="JM29" s="21"/>
      <c r="JN29" s="36"/>
      <c r="JO29" s="21" t="str">
        <f t="shared" si="55"/>
        <v/>
      </c>
      <c r="JP29" s="22"/>
      <c r="JQ29" s="21"/>
      <c r="JR29" s="21"/>
      <c r="JS29" s="21"/>
      <c r="JT29" s="30"/>
      <c r="JU29" s="22"/>
      <c r="JV29" s="22"/>
      <c r="JW29" s="33"/>
      <c r="JX29" s="28" t="str">
        <f t="shared" si="56"/>
        <v>INASISTENTE</v>
      </c>
      <c r="JY29" s="33"/>
      <c r="JZ29" s="28" t="str">
        <f t="shared" si="57"/>
        <v>INASISTENTE</v>
      </c>
      <c r="KA29" s="21"/>
      <c r="KB29" s="21"/>
      <c r="KC29" s="21"/>
      <c r="KD29" s="37"/>
      <c r="KE29" s="28"/>
      <c r="KF29" s="28"/>
      <c r="KG29" s="28"/>
      <c r="KH29" s="39"/>
      <c r="KI29" s="39"/>
      <c r="KJ29" s="66"/>
      <c r="KK29" s="39"/>
      <c r="KL29" s="39"/>
      <c r="KM29" s="66"/>
      <c r="KN29" s="39"/>
      <c r="KO29" s="39"/>
      <c r="KP29" s="39"/>
      <c r="KQ29" s="39"/>
      <c r="KR29" s="39"/>
      <c r="KS29" s="39"/>
      <c r="KT29" s="39"/>
      <c r="KU29" s="38"/>
      <c r="KV29" s="38"/>
      <c r="KW29" s="38"/>
      <c r="KX29" s="38"/>
      <c r="KY29" s="38"/>
      <c r="KZ29" s="38"/>
      <c r="LA29" s="38"/>
      <c r="LB29" s="38"/>
      <c r="LC29" s="38"/>
      <c r="LD29" s="38"/>
      <c r="LE29" s="38"/>
      <c r="LF29" s="38"/>
      <c r="LG29" s="38"/>
      <c r="LH29" s="38"/>
      <c r="LI29" s="38"/>
      <c r="LJ29" s="38"/>
      <c r="LK29" s="38"/>
      <c r="LL29" s="38"/>
      <c r="LM29" s="38"/>
      <c r="LN29" s="38"/>
      <c r="LO29" s="38"/>
      <c r="LP29" s="38"/>
      <c r="LQ29" s="38"/>
      <c r="LR29" s="38"/>
      <c r="LS29" s="38"/>
      <c r="LT29" s="38"/>
      <c r="LU29" s="38"/>
      <c r="LV29" s="38"/>
      <c r="LW29" s="38"/>
      <c r="LX29" s="38"/>
      <c r="LY29" s="38"/>
      <c r="LZ29" s="38"/>
      <c r="MA29" s="38"/>
      <c r="MB29" s="38"/>
      <c r="MC29" s="38"/>
      <c r="MD29" s="38"/>
      <c r="ME29" s="38"/>
      <c r="MF29" s="38"/>
      <c r="MG29" s="38"/>
      <c r="MH29" s="43">
        <f t="shared" si="58"/>
        <v>0</v>
      </c>
      <c r="MI29" s="43" t="str">
        <f t="shared" si="59"/>
        <v/>
      </c>
      <c r="MJ29" s="43" t="str">
        <f t="shared" si="60"/>
        <v/>
      </c>
      <c r="MK29" s="43">
        <f t="shared" si="61"/>
        <v>0</v>
      </c>
      <c r="ML2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9" s="43">
        <f t="shared" si="62"/>
        <v>8.5714285714285712</v>
      </c>
      <c r="MN29" s="43">
        <f t="shared" si="63"/>
        <v>10</v>
      </c>
      <c r="MO29" s="43">
        <f t="shared" si="64"/>
        <v>2022</v>
      </c>
      <c r="MP29" s="43" t="str">
        <f t="shared" si="65"/>
        <v>IV TRIMESTRE AÑO</v>
      </c>
      <c r="MQ29" s="43">
        <f t="shared" si="66"/>
        <v>26.108738501971089</v>
      </c>
      <c r="MR29" s="43">
        <f t="shared" si="67"/>
        <v>0</v>
      </c>
      <c r="MS29" s="43" t="str">
        <f t="shared" si="68"/>
        <v xml:space="preserve"> DE 25 A 29 AÑOS</v>
      </c>
      <c r="MT29" s="43">
        <f t="shared" si="69"/>
        <v>0</v>
      </c>
      <c r="MU29" s="43">
        <f t="shared" si="70"/>
        <v>0</v>
      </c>
      <c r="MV29" s="43">
        <f t="shared" si="71"/>
        <v>0</v>
      </c>
      <c r="MW29" s="43">
        <f t="shared" si="72"/>
        <v>0</v>
      </c>
      <c r="MX29" s="43" t="str">
        <f t="shared" si="73"/>
        <v/>
      </c>
      <c r="MY29" s="43" t="str">
        <f t="shared" ca="1" si="74"/>
        <v/>
      </c>
      <c r="MZ29" s="43" t="str">
        <f t="shared" si="75"/>
        <v/>
      </c>
      <c r="NA29" s="43" t="str">
        <f t="shared" si="76"/>
        <v/>
      </c>
      <c r="NB29" s="43" t="str">
        <f t="shared" si="77"/>
        <v/>
      </c>
      <c r="NC29" s="43" t="str">
        <f t="shared" si="78"/>
        <v/>
      </c>
      <c r="ND29" s="43">
        <f t="shared" ca="1" si="79"/>
        <v>2</v>
      </c>
      <c r="NE29" s="43">
        <f>IF(OR(O29&gt;0,R29&gt;0),SUM(COUNTIF(Tabla1[[#This Row],[AÑOS AL INICIO5 CPN]],"&gt;=40"),COUNTIF(AS29,"0"),COUNTIF(AR29,"SI"),COUNTIF(CC29,"SI"),COUNTIF(BQ29,"&gt;119"),COUNTIF(CI29,"&gt;=35")),"")</f>
        <v>0</v>
      </c>
      <c r="NF29" s="43" t="str">
        <f t="shared" si="80"/>
        <v/>
      </c>
      <c r="NG29" s="43">
        <f t="shared" si="81"/>
        <v>0</v>
      </c>
      <c r="NH29" s="43">
        <f t="shared" si="82"/>
        <v>63</v>
      </c>
      <c r="NI29"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CPN",P29="NO"),"Z",IF(AND(Tabla1[[#This Row],[CITA PROXIMO CONTROL]]="CITA MANUAL",Tabla1[[#This Row],[GESTANTES ACTUALES]]="ACTIVA INGRESO A CPN"),"W",IF(AND(Tabla1[[#This Row],[GESTANTES ACTUALES]]="SALIO PROGRAMA",IN29=""),"S",IF(AND(Tabla1[[#This Row],[CITA PROXIMO CONTROL]]&gt;0,IN29=""),(Tabla1[[#This Row],[CITA PROXIMO CONTROL]]-TODAY()),"SD"))))))))</f>
        <v>SD</v>
      </c>
      <c r="NJ29" s="43">
        <f>MONTH(Tabla1[[#This Row],[FECHA DE SALIDA  DEL PROGRAMA]])</f>
        <v>5</v>
      </c>
      <c r="NK29" s="43">
        <f>YEAR(Tabla1[[#This Row],[FECHA DE SALIDA  DEL PROGRAMA]])</f>
        <v>2023</v>
      </c>
      <c r="NL29" s="43" t="str">
        <f t="shared" si="83"/>
        <v>X</v>
      </c>
      <c r="NM29" s="43" t="str">
        <f t="shared" si="84"/>
        <v>NO</v>
      </c>
      <c r="NN29" s="43" t="str">
        <f ca="1">IF(AND(O29&gt;0,R29=""),"NO CPN",IF(AND(O29="",R29=""),"",IF(AND(R29&gt;0,Tabla1[[#This Row],[SEMANAS DE GESTACION ACTUALIZADAS]]&lt;=12),"NO APLICA",IF(AND(FH29&lt;&gt;"",FN29&lt;&gt;""),"SI","NO"))))</f>
        <v>SI</v>
      </c>
      <c r="NO29" s="43" t="str">
        <f ca="1">IF(AND(O29&gt;0,R29=""),"NO CPN",IF(AND(O29="",R29=""),"",IF(AND(R29&gt;0,Tabla1[[#This Row],[SEMANAS DE GESTACION ACTUALIZADAS]]&lt;=27),"NO APLICA",IF(AND(ES29&lt;&gt;"",FQ29&lt;&gt;"",GF29&lt;&gt;""),"SI","NO"))))</f>
        <v>NO</v>
      </c>
      <c r="NP29" s="204" t="str">
        <f t="shared" si="85"/>
        <v>I TRIM</v>
      </c>
      <c r="NQ29" s="21">
        <f t="shared" si="86"/>
        <v>1</v>
      </c>
      <c r="NR29" s="21">
        <f t="shared" si="87"/>
        <v>3</v>
      </c>
      <c r="NS29" s="205">
        <f t="shared" ca="1" si="88"/>
        <v>2</v>
      </c>
      <c r="NT29" s="21">
        <f t="shared" ca="1" si="89"/>
        <v>1</v>
      </c>
      <c r="NU29" s="21" t="str">
        <f t="shared" ca="1" si="90"/>
        <v>INCOMPLETO</v>
      </c>
      <c r="NV29" s="21" t="str">
        <f t="shared" ca="1" si="91"/>
        <v>INCOMPLETO</v>
      </c>
      <c r="NW29" s="206" t="str">
        <f>IF(AND(O29="",R29=""),"",IF(OR(AND(Tabla1[[#This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29" s="207" t="str">
        <f t="shared" ca="1" si="92"/>
        <v>SIN VACUNAR</v>
      </c>
      <c r="NY29" s="43">
        <f>ROW(Tabla1[[#This Row],['# DE TAMIZAJES SIFILIS TOMADOS ]])</f>
        <v>29</v>
      </c>
      <c r="NZ29" s="43" t="str">
        <f t="shared" si="93"/>
        <v>Menor</v>
      </c>
      <c r="OA29" s="43" t="str">
        <f t="shared" si="94"/>
        <v>SOBREPESO</v>
      </c>
      <c r="OB29" s="43" t="str">
        <f t="shared" si="95"/>
        <v/>
      </c>
      <c r="OC29" s="43" t="str">
        <f t="shared" si="96"/>
        <v/>
      </c>
      <c r="OD29" s="43" t="str">
        <f t="shared" si="97"/>
        <v/>
      </c>
      <c r="OE29" s="43" t="str">
        <f t="shared" si="98"/>
        <v/>
      </c>
      <c r="OF29" s="43" t="str">
        <f t="shared" si="99"/>
        <v/>
      </c>
      <c r="OG29" s="43" t="str">
        <f t="shared" si="100"/>
        <v/>
      </c>
      <c r="OH29" s="43" t="str">
        <f t="shared" si="101"/>
        <v/>
      </c>
      <c r="OI29" s="43" t="str">
        <f t="shared" si="102"/>
        <v/>
      </c>
      <c r="OJ29" s="43" t="str">
        <f t="shared" si="103"/>
        <v/>
      </c>
      <c r="OK29" s="43" t="str">
        <f t="shared" si="104"/>
        <v/>
      </c>
      <c r="OL29" s="43" t="str">
        <f t="shared" si="105"/>
        <v/>
      </c>
      <c r="OM29" s="43" t="str">
        <f t="shared" si="106"/>
        <v/>
      </c>
      <c r="ON29" s="43" t="str">
        <f t="shared" si="107"/>
        <v/>
      </c>
      <c r="OO29" s="43" t="str">
        <f t="shared" si="108"/>
        <v/>
      </c>
      <c r="OP29" s="43" t="str">
        <f t="shared" si="109"/>
        <v/>
      </c>
      <c r="OQ29" s="43" t="str">
        <f t="shared" si="110"/>
        <v/>
      </c>
      <c r="OR29" s="43" t="str">
        <f t="shared" si="111"/>
        <v/>
      </c>
      <c r="OS29" s="43" t="str">
        <f t="shared" si="112"/>
        <v/>
      </c>
      <c r="OT29" s="43" t="str">
        <f t="shared" si="113"/>
        <v/>
      </c>
      <c r="OU29" s="43" t="str">
        <f t="shared" si="114"/>
        <v/>
      </c>
      <c r="OV29" s="110" t="str">
        <f t="shared" si="115"/>
        <v/>
      </c>
      <c r="OW29" s="43" t="str">
        <f t="shared" si="116"/>
        <v/>
      </c>
      <c r="OX29" s="43" t="str">
        <f t="shared" si="117"/>
        <v/>
      </c>
      <c r="OY29" s="43" t="str">
        <f t="shared" si="118"/>
        <v/>
      </c>
      <c r="OZ29" s="43" t="str">
        <f t="shared" si="119"/>
        <v/>
      </c>
      <c r="PA29" s="43" t="str">
        <f t="shared" si="120"/>
        <v/>
      </c>
      <c r="PB29" s="43" t="str">
        <f t="shared" si="121"/>
        <v/>
      </c>
      <c r="PC29" s="43" t="str">
        <f t="shared" si="122"/>
        <v/>
      </c>
      <c r="PD29" s="43" t="str">
        <f t="shared" si="123"/>
        <v/>
      </c>
      <c r="PE29" s="43" t="str">
        <f t="shared" si="124"/>
        <v/>
      </c>
      <c r="PF29" s="43" t="str">
        <f t="shared" si="125"/>
        <v/>
      </c>
      <c r="PG29" s="43" t="str">
        <f t="shared" si="126"/>
        <v/>
      </c>
      <c r="PH29" s="43" t="str">
        <f t="shared" si="127"/>
        <v/>
      </c>
      <c r="PI29" s="43">
        <f t="shared" si="128"/>
        <v>38</v>
      </c>
      <c r="PJ29" s="43" t="str">
        <f t="shared" si="129"/>
        <v/>
      </c>
      <c r="PK29" s="43" t="str">
        <f t="shared" si="130"/>
        <v/>
      </c>
      <c r="PL29" s="43" t="str">
        <f t="shared" si="131"/>
        <v/>
      </c>
      <c r="PM29" s="43" t="str">
        <f t="shared" si="132"/>
        <v/>
      </c>
      <c r="PN29" s="43" t="str">
        <f t="shared" si="133"/>
        <v/>
      </c>
      <c r="PO29" s="43" t="str">
        <f t="shared" si="134"/>
        <v/>
      </c>
      <c r="PP29" s="43" t="str">
        <f t="shared" si="135"/>
        <v/>
      </c>
      <c r="PQ29" s="43" t="str">
        <f t="shared" si="136"/>
        <v/>
      </c>
      <c r="PR29" s="43" t="str">
        <f t="shared" si="137"/>
        <v/>
      </c>
      <c r="PS29" s="43" t="str">
        <f t="shared" si="138"/>
        <v/>
      </c>
      <c r="PT29" s="43" t="str">
        <f t="shared" si="139"/>
        <v/>
      </c>
      <c r="PU29" s="43" t="str">
        <f t="shared" si="140"/>
        <v/>
      </c>
      <c r="PV29" s="43" t="str">
        <f t="shared" si="141"/>
        <v/>
      </c>
      <c r="PW29" s="43" t="str">
        <f t="shared" si="142"/>
        <v/>
      </c>
      <c r="PX29" s="43" t="str">
        <f t="shared" si="143"/>
        <v/>
      </c>
      <c r="PY29" s="43" t="str">
        <f t="shared" si="144"/>
        <v/>
      </c>
      <c r="PZ29" s="43" t="str">
        <f t="shared" si="145"/>
        <v/>
      </c>
      <c r="QA29" s="43" t="str">
        <f t="shared" si="146"/>
        <v/>
      </c>
      <c r="QB29" s="43" t="str">
        <f t="shared" si="147"/>
        <v/>
      </c>
      <c r="QC29" s="43" t="str">
        <f t="shared" si="148"/>
        <v/>
      </c>
      <c r="QD29" s="43" t="str">
        <f t="shared" si="149"/>
        <v/>
      </c>
      <c r="QE29" s="43" t="str">
        <f t="shared" si="150"/>
        <v/>
      </c>
      <c r="QF29" s="43" t="str">
        <f t="shared" si="151"/>
        <v/>
      </c>
      <c r="QG29" s="43" t="str">
        <f t="shared" si="152"/>
        <v/>
      </c>
      <c r="QH29" s="43" t="str">
        <f t="shared" si="153"/>
        <v/>
      </c>
      <c r="QI29" s="43" t="str">
        <f t="shared" si="154"/>
        <v/>
      </c>
      <c r="QJ29" s="43" t="str">
        <f t="shared" si="155"/>
        <v/>
      </c>
      <c r="QK29" s="43" t="str">
        <f t="shared" si="156"/>
        <v/>
      </c>
      <c r="QL29" s="43" t="str">
        <f t="shared" si="157"/>
        <v/>
      </c>
      <c r="QM29" s="43" t="str">
        <f t="shared" si="158"/>
        <v>SOBREPESO</v>
      </c>
      <c r="QN29" s="43" t="str">
        <f t="shared" si="159"/>
        <v/>
      </c>
      <c r="QO29" s="43" t="str">
        <f t="shared" si="160"/>
        <v/>
      </c>
      <c r="QP29" s="43" t="str">
        <f t="shared" si="161"/>
        <v/>
      </c>
      <c r="QQ29" s="43" t="str">
        <f t="shared" si="162"/>
        <v/>
      </c>
      <c r="QR29" s="43">
        <f t="shared" si="192"/>
        <v>38</v>
      </c>
      <c r="QS29" s="43"/>
      <c r="QT29" s="21" t="str">
        <f t="shared" si="163"/>
        <v/>
      </c>
      <c r="QU29" s="21" t="str">
        <f t="shared" si="164"/>
        <v/>
      </c>
      <c r="QV29" s="21" t="str">
        <f t="shared" si="165"/>
        <v/>
      </c>
      <c r="QW29" s="21" t="str">
        <f t="shared" si="166"/>
        <v/>
      </c>
      <c r="QX29" s="21" t="str">
        <f t="shared" si="167"/>
        <v/>
      </c>
      <c r="QY29" s="21" t="str">
        <f t="shared" si="168"/>
        <v/>
      </c>
      <c r="QZ29" s="21" t="str">
        <f t="shared" si="169"/>
        <v/>
      </c>
      <c r="RA29" s="21" t="str">
        <f t="shared" si="170"/>
        <v/>
      </c>
      <c r="RB29" s="21" t="str">
        <f t="shared" si="171"/>
        <v/>
      </c>
      <c r="RC29" s="21" t="str">
        <f t="shared" si="172"/>
        <v/>
      </c>
      <c r="RD29" s="21" t="str">
        <f t="shared" si="173"/>
        <v/>
      </c>
      <c r="RE29" s="21" t="str">
        <f t="shared" si="174"/>
        <v/>
      </c>
      <c r="RF29" s="21" t="str">
        <f t="shared" si="175"/>
        <v/>
      </c>
      <c r="RG29" s="21" t="str">
        <f t="shared" si="176"/>
        <v/>
      </c>
      <c r="RH29" s="21" t="str">
        <f t="shared" si="177"/>
        <v/>
      </c>
      <c r="RI29" s="21" t="str">
        <f t="shared" si="178"/>
        <v/>
      </c>
      <c r="RJ29" s="21" t="str">
        <f t="shared" si="179"/>
        <v/>
      </c>
      <c r="RK29" s="21" t="str">
        <f t="shared" si="180"/>
        <v/>
      </c>
      <c r="RL29" s="21" t="str">
        <f t="shared" si="181"/>
        <v/>
      </c>
      <c r="RM29" s="21" t="str">
        <f t="shared" si="182"/>
        <v/>
      </c>
      <c r="RN29" s="21" t="str">
        <f t="shared" si="183"/>
        <v/>
      </c>
      <c r="RO29" s="21" t="str">
        <f t="shared" si="184"/>
        <v/>
      </c>
      <c r="RP29" s="21" t="str">
        <f t="shared" si="185"/>
        <v/>
      </c>
      <c r="RQ29" s="21" t="str">
        <f t="shared" si="186"/>
        <v/>
      </c>
      <c r="RR29" s="21" t="str">
        <f t="shared" si="187"/>
        <v/>
      </c>
      <c r="RS29" s="21" t="str">
        <f t="shared" si="188"/>
        <v/>
      </c>
      <c r="RT29" s="21" t="str">
        <f t="shared" si="189"/>
        <v/>
      </c>
      <c r="RU29" s="21" t="str">
        <f t="shared" si="190"/>
        <v/>
      </c>
      <c r="RV29" s="21">
        <f t="shared" si="191"/>
        <v>9.4285714285714288</v>
      </c>
      <c r="RW29" s="284">
        <f>IF(OR(Tabla1[[#This Row],[FUM FORMULA CONFIABLE]]="",Tabla1[[#This Row],[FUM FORMULA CONFIABLE]]="SD"),"",IF(Tabla1[[#This Row],[FUM FORMULA CONFIABLE]]="CORREGIDA",Tabla1[[#This Row],[FUM X ECO 1]],Tabla1[[#This Row],[FUM x AMENORREA]]))</f>
        <v>44793</v>
      </c>
      <c r="RX29" s="21">
        <f>IF(AND(Tabla1[[#This Row],[FUM X ECO 1]]="",Tabla1[[#This Row],[FUM x AMENORREA]]=""),"",IF(AND(Tabla1[[#This Row],[FUM X ECO 1]]="",Tabla1[[#This Row],[FUM x AMENORREA]]&lt;&gt;""),"X",SUM(Tabla1[[#This Row],[FUM X ECO 1]]-Tabla1[[#This Row],[FUM x AMENORREA]])))</f>
        <v>6</v>
      </c>
      <c r="RY29" s="21">
        <f t="shared" si="193"/>
        <v>0</v>
      </c>
    </row>
    <row r="30" spans="1:493" ht="45" customHeight="1" x14ac:dyDescent="0.25">
      <c r="A30" s="109" t="s">
        <v>1023</v>
      </c>
      <c r="B30" s="43" t="s">
        <v>1024</v>
      </c>
      <c r="C30" s="43" t="s">
        <v>845</v>
      </c>
      <c r="D30" s="124" t="s">
        <v>846</v>
      </c>
      <c r="E30" s="43" t="s">
        <v>1025</v>
      </c>
      <c r="F30" s="43" t="s">
        <v>1026</v>
      </c>
      <c r="G30" s="43" t="s">
        <v>1027</v>
      </c>
      <c r="H30" s="43" t="s">
        <v>1028</v>
      </c>
      <c r="I30" s="109" t="s">
        <v>851</v>
      </c>
      <c r="J30" s="110">
        <v>1002848230</v>
      </c>
      <c r="K30" s="43" t="s">
        <v>852</v>
      </c>
      <c r="L30" s="175" t="s">
        <v>886</v>
      </c>
      <c r="M30" s="22">
        <v>37951</v>
      </c>
      <c r="N30" s="213">
        <f t="shared" ca="1" si="0"/>
        <v>19.947945205479453</v>
      </c>
      <c r="O30" s="22">
        <v>44849</v>
      </c>
      <c r="P30" s="214" t="str">
        <f t="shared" si="1"/>
        <v>SI</v>
      </c>
      <c r="Q30" s="26" t="s">
        <v>855</v>
      </c>
      <c r="R30" s="22">
        <v>44859</v>
      </c>
      <c r="S30" s="21" t="s">
        <v>856</v>
      </c>
      <c r="T30" s="24" t="s">
        <v>690</v>
      </c>
      <c r="U30" s="21" t="s">
        <v>857</v>
      </c>
      <c r="V30" s="21" t="s">
        <v>858</v>
      </c>
      <c r="W30" s="21" t="s">
        <v>1029</v>
      </c>
      <c r="X30" s="21" t="s">
        <v>1029</v>
      </c>
      <c r="Y30" s="21" t="s">
        <v>859</v>
      </c>
      <c r="Z30" s="21">
        <v>3183428790</v>
      </c>
      <c r="AA30" s="21" t="s">
        <v>860</v>
      </c>
      <c r="AB30" s="27" t="s">
        <v>861</v>
      </c>
      <c r="AC30" s="26" t="s">
        <v>897</v>
      </c>
      <c r="AD30" s="38" t="s">
        <v>863</v>
      </c>
      <c r="AE30" s="26" t="s">
        <v>864</v>
      </c>
      <c r="AF30" s="26" t="s">
        <v>854</v>
      </c>
      <c r="AG30" s="23" t="s">
        <v>864</v>
      </c>
      <c r="AH30" s="23" t="s">
        <v>864</v>
      </c>
      <c r="AI30" s="24" t="s">
        <v>863</v>
      </c>
      <c r="AJ30" s="23" t="s">
        <v>864</v>
      </c>
      <c r="AK30" s="220" t="str">
        <f>IF(AND(AD30="",AE30="",AF30="",AG30="",AH30="",AI30="",AJ30=""),"",IF(OR(Tabla1[[#This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EVALUACIÓN",IF(AND(O30="",R30=""),"",IF(AND(OR(O30&gt;0,R30&gt;0),NG30&gt;=0,NG30&lt;2),"SIN RIESGO",IF(AND(OR(O30&gt;0,R30&gt;0),NG30&gt;=2),"CON RIESGO","ASD")))))</f>
        <v>SIN RIESGO</v>
      </c>
      <c r="AL30" s="23" t="s">
        <v>864</v>
      </c>
      <c r="AM30" s="26" t="s">
        <v>864</v>
      </c>
      <c r="AN30" s="26" t="s">
        <v>864</v>
      </c>
      <c r="AO30" s="26" t="s">
        <v>864</v>
      </c>
      <c r="AP30" s="26" t="s">
        <v>864</v>
      </c>
      <c r="AQ30" s="26" t="s">
        <v>864</v>
      </c>
      <c r="AR30" s="26" t="s">
        <v>864</v>
      </c>
      <c r="AS30" s="21">
        <v>1</v>
      </c>
      <c r="AT30" s="21">
        <v>0</v>
      </c>
      <c r="AU30" s="21">
        <v>0</v>
      </c>
      <c r="AV30" s="26" t="s">
        <v>864</v>
      </c>
      <c r="AW30" s="21">
        <v>0</v>
      </c>
      <c r="AX30" s="26" t="s">
        <v>864</v>
      </c>
      <c r="AY30" s="26" t="s">
        <v>864</v>
      </c>
      <c r="AZ30" s="26" t="s">
        <v>864</v>
      </c>
      <c r="BA30" s="26" t="s">
        <v>864</v>
      </c>
      <c r="BB30" s="26" t="s">
        <v>864</v>
      </c>
      <c r="BC30" s="26" t="s">
        <v>864</v>
      </c>
      <c r="BD30" s="26" t="s">
        <v>864</v>
      </c>
      <c r="BE30" s="26" t="s">
        <v>864</v>
      </c>
      <c r="BF30" s="26" t="s">
        <v>864</v>
      </c>
      <c r="BG30" s="26" t="s">
        <v>864</v>
      </c>
      <c r="BH30" s="26" t="s">
        <v>864</v>
      </c>
      <c r="BI30" s="26" t="s">
        <v>864</v>
      </c>
      <c r="BJ30" s="26"/>
      <c r="BK30" s="26"/>
      <c r="BL30" s="26" t="s">
        <v>864</v>
      </c>
      <c r="BM30" s="26" t="s">
        <v>864</v>
      </c>
      <c r="BN30" s="22"/>
      <c r="BO30" s="22">
        <v>44731</v>
      </c>
      <c r="BP30" s="21" t="s">
        <v>854</v>
      </c>
      <c r="BQ30" s="222">
        <f t="shared" si="2"/>
        <v>0</v>
      </c>
      <c r="BR30" s="223">
        <f t="shared" si="3"/>
        <v>44743</v>
      </c>
      <c r="BS30" s="224">
        <f t="shared" si="4"/>
        <v>18.285714285714285</v>
      </c>
      <c r="BT30" s="216" t="str">
        <f t="shared" si="5"/>
        <v>II TRIM</v>
      </c>
      <c r="BU30" s="214" t="str">
        <f t="shared" ca="1" si="6"/>
        <v/>
      </c>
      <c r="BV30" s="25"/>
      <c r="BW30" s="22">
        <v>44862</v>
      </c>
      <c r="BX30" s="28">
        <v>17</v>
      </c>
      <c r="BY30" s="28"/>
      <c r="BZ30" s="22">
        <v>44960</v>
      </c>
      <c r="CA30" s="21">
        <v>30.5</v>
      </c>
      <c r="CB30" s="26" t="s">
        <v>864</v>
      </c>
      <c r="CC30" s="26" t="s">
        <v>864</v>
      </c>
      <c r="CD30" s="26" t="s">
        <v>878</v>
      </c>
      <c r="CE30" s="26" t="s">
        <v>864</v>
      </c>
      <c r="CF30" s="22" t="s">
        <v>1517</v>
      </c>
      <c r="CG30" s="21">
        <v>1.5</v>
      </c>
      <c r="CH30" s="21">
        <v>55</v>
      </c>
      <c r="CI30" s="214">
        <f t="shared" si="7"/>
        <v>24.444444444444443</v>
      </c>
      <c r="CJ30" s="225" t="e">
        <f>IF(AND(CI30&lt;10,CH30="SD"),"SIN DATO PESO PREGESTACION O I TRIM",IF(AND(OR(R30&gt;0,O30&gt;0),CI30="X"),"INGRESAR DATO DE PESO",IF(CI30="SD","INGRESAR DATO DE TALLA Y PESO",IF(AND(OR(Tabla1[[#This Row],[MOMENTO EN QUE SE REALIZA EL PESO AL INGRESO A CPN]]="PREGESTACIÓN",NZ30="Menor"),CI30&lt;18.5),"BAJO PESO",IF(AND(OR(Tabla1[[#This Row],[MOMENTO EN QUE SE REALIZA EL PESO AL INGRESO A CPN]]="PREGESTACIÓN",NZ30="Menor"),CI30&lt;25),"NORMAL",IF(AND(OR(Tabla1[[#This Row],[MOMENTO EN QUE SE REALIZA EL PESO AL INGRESO A CPN]]="PREGESTACIÓN",NZ30="Menor"),CI30&lt;30),"SOBREPESO",IF(AND(OR(Tabla1[[#This Row],[MOMENTO EN QUE SE REALIZA EL PESO AL INGRESO A CPN]]="PREGESTACIÓN",NZ30="Menor"),CI30&gt;=30,CI30&lt;50),"OBESIDAD",IF(AND(BS30&gt;0,Tabla1[[#This Row],[MOMENTO EN QUE SE REALIZA EL PESO AL INGRESO A CPN]]="GESTACIÓN"),HLOOKUP(NZ30,$OA$2:PH30,NY30),""))))))))</f>
        <v>#REF!</v>
      </c>
      <c r="CK30" s="212">
        <f t="shared" si="8"/>
        <v>44957</v>
      </c>
      <c r="CL30" s="21"/>
      <c r="CM30" s="214">
        <f t="shared" si="9"/>
        <v>0</v>
      </c>
      <c r="CN30" s="216">
        <f t="shared" si="10"/>
        <v>32</v>
      </c>
      <c r="CO30" s="216" t="e">
        <f>IF(PI30="","",IF(PI30&gt;0,HLOOKUP(PI30,$PJ$2:QQ30,NY30),""))</f>
        <v>#REF!</v>
      </c>
      <c r="CP30" s="21"/>
      <c r="CQ30" s="216" t="e">
        <f>IF(QR30="Menor","NO APLICA-MENOR 13 SEM",IF(AND(CC30="SI",CN30&gt;23),"NO APLICA- GEMELAR",IF(QR30="","",IF(QR30&gt;0,HLOOKUP(QR30,$QS$2:RU30,NY30),""))))</f>
        <v>#REF!</v>
      </c>
      <c r="CR30" s="21">
        <v>110</v>
      </c>
      <c r="CS30" s="21">
        <v>60</v>
      </c>
      <c r="CT30" s="217" t="str">
        <f>IF(R30="","",IF(AND(BS30&gt;1,BS30&lt;12,Tabla1[[#This Row],[T.A. SISTOLICA - ANTES DE SEMANA 12]]="",Tabla1[[#This Row],[T.A. DIASTOLICA - ANTES DE SEMANA 12]]=""),"REGISTRE DATO TA ANTES SEMANA 12",IF(AND(BS30&gt;11,BS30&lt;43,Tabla1[[#This Row],[T.A. SISTOLICA - ANTES DE SEMANA 12]]="",Tabla1[[#This Row],[T.A. DIASTOLICA - ANTES DE SEMANA 12]]=""),"NO APLICA REGISTRO TA-INGRESO TARDIO",IF(AND(OR(O30&gt;0,R30&gt;0),OR(CR30&gt;=140,CS30&gt;=90)),"DEFINIR ESTADIO HTA",IF(AND(OR(O30&gt;0,R30&gt;0),AND(CR30&gt;120,CR30&lt;=139)),"PRE HTA SEGUIMIENTO",IF(AND(OR(O30&gt;0,R30&gt;0),AND(CS30&gt;80,CS30&lt;=89)),"PRE HTA SEGUIMIENTO",IF(AND(OR(O30&gt;0,R30&gt;0),AND(CR30&gt;=80,CR30&lt;=120)),"APARENTEMENTE NORMAL",IF(AND(OR(O30&gt;0,R30&gt;0),AND(CS30&gt;=50,CS30&lt;=80)),"APARENTEMENTE NORMAL",IF(AND(OR(O30&gt;0,R30&gt;0),AND(CR30&gt;1,CR30&lt;=70),AND(CS30&gt;1,CS30&lt;=40)),"HIPOTENSIÓN","")))))))))</f>
        <v>APARENTEMENTE NORMAL</v>
      </c>
      <c r="CU30" s="21"/>
      <c r="CV30" s="21"/>
      <c r="CW30" s="217" t="str">
        <f ca="1">IF(R30="","",IF(AND(CN30&gt;19,CN30&lt;27,Tabla1[[#This Row],[T.A. SISTOLICA (Entre semana 20 y 26)]]="",Tabla1[[#This Row],[T.A. DIATOLICA (Entre semana 20 y 26)]]=""),"ACUDE A CONTROL SEM 20 A 26 REGISTRE TA AHORA",IF(AND(BS30&gt;1,BS30&lt;27,BU30&gt;19,Tabla1[[#This Row],[T.A. SISTOLICA (Entre semana 20 y 26)]]="",Tabla1[[#This Row],[T.A. DIATOLICA (Entre semana 20 y 26)]]=""),"COMPLETE REGISTRO TA CONTROL SEM 20 A26 ",IF(AND(BS30&gt;26,BS30&lt;43,Tabla1[[#This Row],[T.A. SISTOLICA (Entre semana 20 y 26)]]="",Tabla1[[#This Row],[T.A. DIATOLICA (Entre semana 20 y 26)]]=""),"NO APLICA REGISTRO TA-INGRESO TARDIO",IF(AND(OR(O30&gt;0,R30&gt;0),OR(CU30&gt;=140,CV30&gt;=90)),"ALTO RIESGO PREECLAMPSIA,DEFINIR ESTADIO HTA",IF(AND(OR(O30&gt;0,R30&gt;0),AND(CU30&gt;120,CU30&lt;=139)),"PRE HTA SEGUIMIENTO,RIESGO HIPERTENSION INDUCIDA POR EL EMBARAZO",IF(AND(OR(O30&gt;0,R30&gt;0),AND(CV30&gt;80,CV30&lt;=89)),"PRE HTA SEGUIMIENTO, RIESGO HIPERTENSION INDUCIDA POR EL EMBARAZO",IF(AND(OR(O30&lt;&gt;"",R30&lt;&gt;""),CS30&lt;&gt;"",CV30&lt;&gt;"",CS30&lt;=CV30),"VIGILAR CIFRAS PRESION ARTERIAL",IF(AND(OR(O30&gt;0,R30&gt;0),AND(CU30&gt;120,CU30&lt;=139)),"PRE HTA SEGUIMIENTO",IF(AND(OR(O30&gt;0,R30&gt;0),AND(CU30&gt;1,CU30&lt;=70),AND(CV30&gt;1,CV30&lt;=40)),"HIPOTENSIÓN",IF(AND(OR(O30&lt;&gt;"",R30&lt;&gt;""),CS30&lt;&gt;"",CV30&lt;&gt;"",CS30&gt;CV30),"APARENTEMENTE NORMAL",IF(AND(OR(O30&gt;0,R30&gt;0),AND(CU30&gt;=80,CU30&lt;=120)),"APARENTEMENTE NORMAL",IF(AND(OR(O30&gt;0,R30&gt;0),AND(CV30&gt;=50,CV30&lt;=80)),"APARENTEMENTE NORMAL","")))))))))))))</f>
        <v xml:space="preserve">COMPLETE REGISTRO TA CONTROL SEM 20 A26 </v>
      </c>
      <c r="CX30" s="21">
        <v>90</v>
      </c>
      <c r="CY30" s="21">
        <v>60</v>
      </c>
      <c r="CZ30" s="216" t="str">
        <f t="shared" si="11"/>
        <v>APARENTEMENTE NORMAL</v>
      </c>
      <c r="DA30" s="21"/>
      <c r="DB30" s="21"/>
      <c r="DC30" s="217" t="str">
        <f t="shared" si="12"/>
        <v>REGISTRE DATO PRESIÓN ARTERIAL MENSUAL</v>
      </c>
      <c r="DD30" s="22">
        <v>44859</v>
      </c>
      <c r="DE30" s="22">
        <v>44859</v>
      </c>
      <c r="DF30" s="22">
        <v>44957</v>
      </c>
      <c r="DG30" s="22"/>
      <c r="DH30" s="22"/>
      <c r="DI30" s="22"/>
      <c r="DJ30" s="22"/>
      <c r="DK30" s="22"/>
      <c r="DL30" s="22"/>
      <c r="DM30" s="22"/>
      <c r="DN30" s="22"/>
      <c r="DO30" s="22"/>
      <c r="DP30" s="22"/>
      <c r="DQ30" s="22"/>
      <c r="DR30" s="28">
        <v>1</v>
      </c>
      <c r="DS30" s="22"/>
      <c r="DT30" s="22"/>
      <c r="DU30" s="216" t="str">
        <f t="shared" ca="1" si="13"/>
        <v>SALE SIN PLAN DE PARTO</v>
      </c>
      <c r="DV30" s="226" t="str">
        <f t="shared" si="14"/>
        <v>SALIO PROGRAMA</v>
      </c>
      <c r="DW30"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30" s="216" t="str">
        <f t="shared" ca="1" si="15"/>
        <v/>
      </c>
      <c r="DY30" s="212">
        <f>IF(R30="","",IF(R30&gt;0,MAX(Tabla1[[#This Row],[FECHA C2]:[FECHA C13]],Tabla1[[#This Row],[FECHA CONSULTA PRIMERA VEZ PROGRAMA CPN ]])))</f>
        <v>44957</v>
      </c>
      <c r="DZ30" s="216">
        <f t="shared" si="16"/>
        <v>32</v>
      </c>
      <c r="EA30" s="222">
        <f>IF(R30&gt;0,SUM(COUNTA(DF30:DQ30)+COUNTA(Tabla1[[#This Row],[FECHA CONSULTA PRIMERA VEZ PROGRAMA CPN ]])),"")</f>
        <v>2</v>
      </c>
      <c r="EB30" s="222" t="str">
        <f t="shared" si="17"/>
        <v>NO</v>
      </c>
      <c r="EC30" s="214">
        <f t="shared" si="18"/>
        <v>7</v>
      </c>
      <c r="ED30" s="227">
        <f t="shared" si="19"/>
        <v>0.2857142857142857</v>
      </c>
      <c r="EE30" s="22">
        <v>44859</v>
      </c>
      <c r="EF30" s="22">
        <v>44862</v>
      </c>
      <c r="EG30" s="22">
        <v>44859</v>
      </c>
      <c r="EH30" s="22"/>
      <c r="EI30" s="22">
        <v>44859</v>
      </c>
      <c r="EJ30" s="22">
        <v>44900</v>
      </c>
      <c r="EK30" s="22">
        <v>44900</v>
      </c>
      <c r="EL30" s="21">
        <v>1</v>
      </c>
      <c r="EM30" s="21">
        <v>12.5</v>
      </c>
      <c r="EN30" s="22">
        <v>44849</v>
      </c>
      <c r="EO30" s="222">
        <f t="shared" si="20"/>
        <v>16.857142857142858</v>
      </c>
      <c r="EP30" s="214" t="str">
        <f t="shared" si="21"/>
        <v>NORMAL- SUMINISTRAR SULFATO FERROSO</v>
      </c>
      <c r="EQ30" s="216" t="str">
        <f t="shared" si="22"/>
        <v>II TRIM</v>
      </c>
      <c r="ER30" s="24"/>
      <c r="ES30" s="22"/>
      <c r="ET30" s="29" t="str">
        <f t="shared" ca="1" si="23"/>
        <v>SALE SIN TAMIZAJE HEMOGLOBINA SEM 28</v>
      </c>
      <c r="EU30" s="25" t="str">
        <f t="shared" si="24"/>
        <v/>
      </c>
      <c r="EV30" s="24" t="s">
        <v>1030</v>
      </c>
      <c r="EW30" s="24">
        <v>44849</v>
      </c>
      <c r="EX30" s="22"/>
      <c r="EY30" s="29">
        <f t="shared" si="25"/>
        <v>16.857142857142858</v>
      </c>
      <c r="EZ30" s="25" t="str">
        <f t="shared" ca="1" si="26"/>
        <v/>
      </c>
      <c r="FA30" s="21">
        <v>65</v>
      </c>
      <c r="FB30" s="22">
        <v>44849</v>
      </c>
      <c r="FC30" s="29">
        <f t="shared" si="27"/>
        <v>16.857142857142858</v>
      </c>
      <c r="FD30" s="29"/>
      <c r="FE30" s="29"/>
      <c r="FF30" s="29"/>
      <c r="FG30" s="21" t="str">
        <f t="shared" ca="1" si="28"/>
        <v/>
      </c>
      <c r="FH30" s="31"/>
      <c r="FI30" s="29" t="str">
        <f t="shared" si="29"/>
        <v>TOMAR EXAMEN</v>
      </c>
      <c r="FJ30" s="22"/>
      <c r="FK30" s="22"/>
      <c r="FL30" s="29" t="str">
        <f t="shared" ca="1" si="30"/>
        <v>NO APLICA-INGRESO TARDIO</v>
      </c>
      <c r="FM30" s="22" t="s">
        <v>867</v>
      </c>
      <c r="FN30" s="32">
        <v>44849</v>
      </c>
      <c r="FO30" s="29">
        <f t="shared" ca="1" si="31"/>
        <v>16.857142857142858</v>
      </c>
      <c r="FP30" s="22"/>
      <c r="FQ30" s="32"/>
      <c r="FR30" s="29" t="str">
        <f t="shared" ca="1" si="32"/>
        <v>PIERDE TOMA DE TAMIZAJE</v>
      </c>
      <c r="FS30" s="22"/>
      <c r="FT30" s="32"/>
      <c r="FU30" s="29" t="str">
        <f>IF(AND(FJ30="",FM30="",FP30="",FS30=""),"",IF(OR(OR(Tabla1[[#This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30" s="28"/>
      <c r="FW30" s="22"/>
      <c r="FX30" s="29" t="str">
        <f t="shared" si="33"/>
        <v>TOMAR EXAMEN</v>
      </c>
      <c r="FY30" s="22">
        <v>44849</v>
      </c>
      <c r="FZ30" s="22">
        <v>44849</v>
      </c>
      <c r="GA30" s="29" t="str">
        <f t="shared" si="34"/>
        <v>REGISTRAR EN II TRIMESTRE</v>
      </c>
      <c r="GB30" s="22" t="s">
        <v>868</v>
      </c>
      <c r="GC30" s="22">
        <v>44849</v>
      </c>
      <c r="GD30" s="29">
        <f t="shared" ca="1" si="35"/>
        <v>16.857142857142858</v>
      </c>
      <c r="GE30" s="22"/>
      <c r="GF30" s="22"/>
      <c r="GG30" s="29" t="str">
        <f t="shared" ca="1" si="36"/>
        <v>PIERDE TOMA DE TAMIZAJE</v>
      </c>
      <c r="GH30" s="22"/>
      <c r="GI30" s="29"/>
      <c r="GJ30" s="22"/>
      <c r="GK30" s="22"/>
      <c r="GL30" s="22" t="s">
        <v>879</v>
      </c>
      <c r="GM30" s="22"/>
      <c r="GN30" s="28" t="s">
        <v>869</v>
      </c>
      <c r="GO30" s="22">
        <v>44849</v>
      </c>
      <c r="GP30" s="29">
        <f t="shared" si="37"/>
        <v>16.857142857142858</v>
      </c>
      <c r="GQ30" s="28" t="s">
        <v>880</v>
      </c>
      <c r="GR30" s="28" t="s">
        <v>869</v>
      </c>
      <c r="GS30" s="22" t="str">
        <f t="shared" si="38"/>
        <v>SE EXCLUYE INFECCION</v>
      </c>
      <c r="GT30" s="22">
        <v>44849</v>
      </c>
      <c r="GU30" s="29">
        <f t="shared" si="39"/>
        <v>16.857142857142858</v>
      </c>
      <c r="GV30" s="21" t="str">
        <f t="shared" si="40"/>
        <v>II TRIM</v>
      </c>
      <c r="GW30" s="28" t="s">
        <v>869</v>
      </c>
      <c r="GX30" s="30"/>
      <c r="GY30" s="21"/>
      <c r="GZ30" s="21"/>
      <c r="HA30" s="21"/>
      <c r="HB30" s="21"/>
      <c r="HC30" s="21"/>
      <c r="HD30" s="21"/>
      <c r="HE30" s="21"/>
      <c r="HF30" s="22"/>
      <c r="HG30" s="22" t="str">
        <f>IF(OR(O30&gt;0,R30&gt;0),CONCATENATE(IF(Tabla1[[#This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30" s="22" t="e">
        <f t="shared" si="41"/>
        <v>#REF!</v>
      </c>
      <c r="HI30" s="22" t="e">
        <f t="shared" ca="1" si="42"/>
        <v>#REF!</v>
      </c>
      <c r="HJ30" s="21" t="str">
        <f t="shared" ca="1" si="43"/>
        <v>**********************MULTIPARIDAD*****************</v>
      </c>
      <c r="HK30" s="21" t="str">
        <f t="shared" si="44"/>
        <v>SIN ANTECEDENTES DE RIESGO</v>
      </c>
      <c r="HL30" s="24" t="str">
        <f t="shared" si="45"/>
        <v>REGISTRE DATO PRESIÓN ARTERIAL MENSUAL</v>
      </c>
      <c r="HM30" s="21" t="str">
        <f t="shared" ca="1" si="46"/>
        <v/>
      </c>
      <c r="HN30" s="30" t="str">
        <f t="shared" si="47"/>
        <v>SALIO PROGRAMA</v>
      </c>
      <c r="HO30" s="21"/>
      <c r="HP30" s="21"/>
      <c r="HQ30" s="21">
        <v>44859</v>
      </c>
      <c r="HR30" s="21" t="str">
        <f>IF(R30="","",IF(Tabla1[[#This Row],[ALARMA FACTORES DE RIESGO COMPLICACIONES HIPERTENSIVAS3]]="SIN ANTECEDENTES DE RIESGO","No Aplica para suministro de ASA",IF(AND(Tabla1[[#This Row],[FECHA INICIO DE SUMINISTRO DE ASA]]&gt;0,RV30&lt;12),"Inicia ASA ANTES de Sem 12",IF(AND(RV30&gt;11,RV30&lt;17,OR(HK30="RIESGO ALTO DE COMPLICACIONES HIPERTENSIVAS VER MANEJO GUIA SUMINISTRO ASA Y CALCIO",HK30="RIESGO MODERADO (2 O MAS CRITERIOS) VER MANEJO GUIA SUMINISTRO ASA Y CALCIO")),"Inicio oportuno de ASA",IF(AND(RV30&gt;12,OR(HK30="RIESGO ALTO DE COMPLICACIONES HIPERTENSIVAS VER MANEJO GUIA SUMINISTRO ASA Y CALCIO",HK30="RIESGO MODERADO (2 O MAS CRITERIOS) VER MANEJO GUIA SUMINISTRO ASA Y CALCIO")),"Inicio no oportuno mayor a 16 semanas",IF(AND(BU30&lt;12,OR(HK30="RIESGO ALTO DE COMPLICACIONES HIPERTENSIVAS VER MANEJO GUIA SUMINISTRO ASA Y CALCIO",HK30="RIESGO MODERADO (2 O MAS CRITERIOS) VER MANEJO GUIA SUMINISTRO ASA Y CALCIO")),"Pendiente Inicio de ASA a la semana 12",IF(AND(BU30&gt;11,BU30&lt;17,OR(HK30="RIESGO ALTO DE COMPLICACIONES HIPERTENSIVAS VER MANEJO GUIA SUMINISTRO ASA Y CALCIO",HK30="RIESGO MODERADO (2 O MAS CRITERIOS) VER MANEJO GUIA SUMINISTRO ASA Y CALCIO")),"Iniciar de inmediato ASA",IF(AND(BU30&gt;16,OR(HK30="RIESGO ALTO DE COMPLICACIONES HIPERTENSIVAS VER MANEJO GUIA SUMINISTRO ASA Y CALCIO",HK30="RIESGO MODERADO (2 O MAS CRITERIOS) VER MANEJO GUIA SUMINISTRO ASA Y CALCIO")),"Pierde Oportunidad, Inicio tardío de ASA","XXXXX"))))))))</f>
        <v>No Aplica para suministro de ASA</v>
      </c>
      <c r="HS30" s="22">
        <v>44859</v>
      </c>
      <c r="HT30" s="22" t="s">
        <v>870</v>
      </c>
      <c r="HU30" s="22">
        <v>44859</v>
      </c>
      <c r="HV30" s="22" t="s">
        <v>870</v>
      </c>
      <c r="HW30" s="22">
        <v>44859</v>
      </c>
      <c r="HX30" s="22" t="s">
        <v>870</v>
      </c>
      <c r="HY30" s="22"/>
      <c r="HZ30" s="28" t="str">
        <f t="shared" si="48"/>
        <v>PENDIENTE CONSULTA</v>
      </c>
      <c r="IA30" s="26"/>
      <c r="IB30" s="26"/>
      <c r="IC30" s="111"/>
      <c r="ID30" s="22"/>
      <c r="IE30" s="22" t="str">
        <f t="shared" ca="1" si="49"/>
        <v>SALE SIN VACUNA</v>
      </c>
      <c r="IF30" s="22"/>
      <c r="IG30" s="22">
        <f t="shared" si="50"/>
        <v>45011</v>
      </c>
      <c r="IH30" s="29">
        <f t="shared" ca="1" si="51"/>
        <v>-221</v>
      </c>
      <c r="II30" s="22" t="str">
        <f t="shared" ca="1" si="52"/>
        <v>POSIBLEMENTE NACIO</v>
      </c>
      <c r="IJ30" s="22"/>
      <c r="IK30" s="21" t="s">
        <v>898</v>
      </c>
      <c r="IL30" s="21"/>
      <c r="IM30" s="34"/>
      <c r="IN30" s="349">
        <v>45015</v>
      </c>
      <c r="IO30" s="21" t="s">
        <v>1186</v>
      </c>
      <c r="IP30" s="29">
        <f t="shared" si="53"/>
        <v>40.571428571428569</v>
      </c>
      <c r="IQ30" s="35" t="s">
        <v>1650</v>
      </c>
      <c r="IR30" s="21" t="s">
        <v>1651</v>
      </c>
      <c r="IS30" s="21" t="s">
        <v>1646</v>
      </c>
      <c r="IT30" s="21" t="s">
        <v>1642</v>
      </c>
      <c r="IU30" s="21"/>
      <c r="IV30" s="21"/>
      <c r="IW30" s="21"/>
      <c r="IX30" s="21"/>
      <c r="IY30" s="21"/>
      <c r="IZ30" s="21"/>
      <c r="JA30" s="21"/>
      <c r="JB30" s="30">
        <v>1</v>
      </c>
      <c r="JC30" s="21" t="s">
        <v>1647</v>
      </c>
      <c r="JD30" s="36">
        <v>2900</v>
      </c>
      <c r="JE30" s="21" t="str">
        <f t="shared" si="54"/>
        <v>PESO ADECUADO EDAD GESTACIONAL</v>
      </c>
      <c r="JF30" s="30"/>
      <c r="JG30" s="21"/>
      <c r="JH30" s="21"/>
      <c r="JI30" s="21" t="s">
        <v>854</v>
      </c>
      <c r="JJ30" s="30" t="s">
        <v>866</v>
      </c>
      <c r="JK30" s="22"/>
      <c r="JL30" s="22"/>
      <c r="JM30" s="21"/>
      <c r="JN30" s="36"/>
      <c r="JO30" s="21" t="str">
        <f t="shared" si="55"/>
        <v/>
      </c>
      <c r="JP30" s="22"/>
      <c r="JQ30" s="21"/>
      <c r="JR30" s="21"/>
      <c r="JS30" s="21"/>
      <c r="JT30" s="30"/>
      <c r="JU30" s="22"/>
      <c r="JV30" s="22"/>
      <c r="JW30" s="33"/>
      <c r="JX30" s="28" t="str">
        <f t="shared" si="56"/>
        <v>INASISTENTE</v>
      </c>
      <c r="JY30" s="33"/>
      <c r="JZ30" s="28" t="str">
        <f t="shared" si="57"/>
        <v>INASISTENTE</v>
      </c>
      <c r="KA30" s="21"/>
      <c r="KB30" s="21"/>
      <c r="KC30" s="21"/>
      <c r="KD30" s="37"/>
      <c r="KE30" s="28"/>
      <c r="KF30" s="28"/>
      <c r="KG30" s="28"/>
      <c r="KH30" s="39"/>
      <c r="KI30" s="39"/>
      <c r="KJ30" s="66"/>
      <c r="KK30" s="39"/>
      <c r="KL30" s="39"/>
      <c r="KM30" s="66"/>
      <c r="KN30" s="39"/>
      <c r="KO30" s="39"/>
      <c r="KP30" s="39"/>
      <c r="KQ30" s="39"/>
      <c r="KR30" s="39"/>
      <c r="KS30" s="39"/>
      <c r="KT30" s="39"/>
      <c r="KU30" s="38"/>
      <c r="KV30" s="38"/>
      <c r="KW30" s="38"/>
      <c r="KX30" s="38"/>
      <c r="KY30" s="38"/>
      <c r="KZ30" s="38"/>
      <c r="LA30" s="38"/>
      <c r="LB30" s="38"/>
      <c r="LC30" s="38"/>
      <c r="LD30" s="38"/>
      <c r="LE30" s="38"/>
      <c r="LF30" s="38"/>
      <c r="LG30" s="38"/>
      <c r="LH30" s="38"/>
      <c r="LI30" s="38"/>
      <c r="LJ30" s="38"/>
      <c r="LK30" s="38"/>
      <c r="LL30" s="38"/>
      <c r="LM30" s="38"/>
      <c r="LN30" s="38"/>
      <c r="LO30" s="38"/>
      <c r="LP30" s="38"/>
      <c r="LQ30" s="38"/>
      <c r="LR30" s="38"/>
      <c r="LS30" s="38"/>
      <c r="LT30" s="38"/>
      <c r="LU30" s="38"/>
      <c r="LV30" s="38"/>
      <c r="LW30" s="38"/>
      <c r="LX30" s="38"/>
      <c r="LY30" s="38"/>
      <c r="LZ30" s="38"/>
      <c r="MA30" s="38"/>
      <c r="MB30" s="38"/>
      <c r="MC30" s="38"/>
      <c r="MD30" s="38"/>
      <c r="ME30" s="38"/>
      <c r="MF30" s="38"/>
      <c r="MG30" s="38"/>
      <c r="MH30" s="43">
        <f t="shared" si="58"/>
        <v>0</v>
      </c>
      <c r="MI30" s="43" t="str">
        <f t="shared" si="59"/>
        <v/>
      </c>
      <c r="MJ30" s="43" t="str">
        <f t="shared" si="60"/>
        <v/>
      </c>
      <c r="MK30" s="43">
        <f t="shared" si="61"/>
        <v>0</v>
      </c>
      <c r="ML3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10</v>
      </c>
      <c r="MM30" s="43">
        <f t="shared" si="62"/>
        <v>16.857142857142858</v>
      </c>
      <c r="MN30" s="43">
        <f t="shared" si="63"/>
        <v>10</v>
      </c>
      <c r="MO30" s="43">
        <f t="shared" si="64"/>
        <v>2022</v>
      </c>
      <c r="MP30" s="43" t="str">
        <f t="shared" si="65"/>
        <v>IV TRIMESTRE AÑO</v>
      </c>
      <c r="MQ30" s="43">
        <f t="shared" si="66"/>
        <v>18.640494962768287</v>
      </c>
      <c r="MR30" s="43">
        <f t="shared" si="67"/>
        <v>0</v>
      </c>
      <c r="MS30" s="43" t="str">
        <f t="shared" si="68"/>
        <v>DE 14 A 19AÑOS</v>
      </c>
      <c r="MT30" s="43">
        <f t="shared" si="69"/>
        <v>0</v>
      </c>
      <c r="MU30" s="43">
        <f t="shared" si="70"/>
        <v>1</v>
      </c>
      <c r="MV30" s="43">
        <f t="shared" si="71"/>
        <v>0</v>
      </c>
      <c r="MW30" s="43">
        <f t="shared" si="72"/>
        <v>0</v>
      </c>
      <c r="MX30" s="43" t="str">
        <f t="shared" si="73"/>
        <v/>
      </c>
      <c r="MY30" s="43" t="str">
        <f t="shared" ca="1" si="74"/>
        <v/>
      </c>
      <c r="MZ30" s="43" t="str">
        <f t="shared" si="75"/>
        <v/>
      </c>
      <c r="NA30" s="43">
        <f t="shared" si="76"/>
        <v>0</v>
      </c>
      <c r="NB30" s="43" t="str">
        <f t="shared" si="77"/>
        <v/>
      </c>
      <c r="NC30" s="43" t="str">
        <f t="shared" si="78"/>
        <v/>
      </c>
      <c r="ND30" s="43">
        <f t="shared" ca="1" si="79"/>
        <v>1.5</v>
      </c>
      <c r="NE30" s="43">
        <f>IF(OR(O30&gt;0,R30&gt;0),SUM(COUNTIF(Tabla1[[#This Row],[AÑOS AL INICIO5 CPN]],"&gt;=40"),COUNTIF(AS30,"0"),COUNTIF(AR30,"SI"),COUNTIF(CC30,"SI"),COUNTIF(BQ30,"&gt;119"),COUNTIF(CI30,"&gt;=35")),"")</f>
        <v>0</v>
      </c>
      <c r="NF30" s="43" t="str">
        <f t="shared" si="80"/>
        <v/>
      </c>
      <c r="NG30" s="43">
        <f t="shared" si="81"/>
        <v>0.5</v>
      </c>
      <c r="NH30" s="43">
        <f t="shared" si="82"/>
        <v>119</v>
      </c>
      <c r="NI30"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CPN",P30="NO"),"Z",IF(AND(Tabla1[[#This Row],[CITA PROXIMO CONTROL]]="CITA MANUAL",Tabla1[[#This Row],[GESTANTES ACTUALES]]="ACTIVA INGRESO A CPN"),"W",IF(AND(Tabla1[[#This Row],[GESTANTES ACTUALES]]="SALIO PROGRAMA",IN30=""),"S",IF(AND(Tabla1[[#This Row],[CITA PROXIMO CONTROL]]&gt;0,IN30=""),(Tabla1[[#This Row],[CITA PROXIMO CONTROL]]-TODAY()),"SD"))))))))</f>
        <v>SD</v>
      </c>
      <c r="NJ30" s="43">
        <f>MONTH(Tabla1[[#This Row],[FECHA DE SALIDA  DEL PROGRAMA]])</f>
        <v>3</v>
      </c>
      <c r="NK30" s="43">
        <f>YEAR(Tabla1[[#This Row],[FECHA DE SALIDA  DEL PROGRAMA]])</f>
        <v>2023</v>
      </c>
      <c r="NL30" s="43">
        <f t="shared" si="83"/>
        <v>41</v>
      </c>
      <c r="NM30" s="43" t="str">
        <f t="shared" si="84"/>
        <v>NO</v>
      </c>
      <c r="NN30" s="43" t="str">
        <f ca="1">IF(AND(O30&gt;0,R30=""),"NO CPN",IF(AND(O30="",R30=""),"",IF(AND(R30&gt;0,Tabla1[[#This Row],[SEMANAS DE GESTACION ACTUALIZADAS]]&lt;=12),"NO APLICA",IF(AND(FH30&lt;&gt;"",FN30&lt;&gt;""),"SI","NO"))))</f>
        <v>NO</v>
      </c>
      <c r="NO30" s="43" t="str">
        <f ca="1">IF(AND(O30&gt;0,R30=""),"NO CPN",IF(AND(O30="",R30=""),"",IF(AND(R30&gt;0,Tabla1[[#This Row],[SEMANAS DE GESTACION ACTUALIZADAS]]&lt;=27),"NO APLICA",IF(AND(ES30&lt;&gt;"",FQ30&lt;&gt;"",GF30&lt;&gt;""),"SI","NO"))))</f>
        <v>NO</v>
      </c>
      <c r="NP30" s="204" t="str">
        <f t="shared" si="85"/>
        <v>II TRIM</v>
      </c>
      <c r="NQ30" s="21" t="str">
        <f t="shared" si="86"/>
        <v/>
      </c>
      <c r="NR30" s="21">
        <f t="shared" si="87"/>
        <v>2</v>
      </c>
      <c r="NS30" s="205">
        <f t="shared" ca="1" si="88"/>
        <v>1</v>
      </c>
      <c r="NT30" s="21">
        <f t="shared" ca="1" si="89"/>
        <v>1</v>
      </c>
      <c r="NU30" s="21" t="str">
        <f t="shared" ca="1" si="90"/>
        <v>INCOMPLETO</v>
      </c>
      <c r="NV30" s="21" t="str">
        <f t="shared" ca="1" si="91"/>
        <v>INCOMPLETO</v>
      </c>
      <c r="NW30" s="206" t="str">
        <f>IF(AND(O30="",R30=""),"",IF(OR(AND(Tabla1[[#This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30" s="207" t="str">
        <f t="shared" ca="1" si="92"/>
        <v>SIN VACUNAR</v>
      </c>
      <c r="NY30" s="43">
        <f>ROW(Tabla1[[#This Row],['# DE TAMIZAJES SIFILIS TOMADOS ]])</f>
        <v>30</v>
      </c>
      <c r="NZ30" s="43">
        <f t="shared" si="93"/>
        <v>18</v>
      </c>
      <c r="OA30" s="43" t="str">
        <f t="shared" si="94"/>
        <v/>
      </c>
      <c r="OB30" s="43" t="str">
        <f t="shared" si="95"/>
        <v/>
      </c>
      <c r="OC30" s="43" t="str">
        <f t="shared" si="96"/>
        <v/>
      </c>
      <c r="OD30" s="43" t="str">
        <f t="shared" si="97"/>
        <v/>
      </c>
      <c r="OE30" s="43" t="str">
        <f t="shared" si="98"/>
        <v/>
      </c>
      <c r="OF30" s="43" t="str">
        <f t="shared" si="99"/>
        <v/>
      </c>
      <c r="OG30" s="43" t="str">
        <f t="shared" si="100"/>
        <v/>
      </c>
      <c r="OH30" s="43" t="str">
        <f t="shared" si="101"/>
        <v/>
      </c>
      <c r="OI30" s="43" t="str">
        <f t="shared" si="102"/>
        <v/>
      </c>
      <c r="OJ30" s="43" t="str">
        <f t="shared" si="103"/>
        <v>NORMAL</v>
      </c>
      <c r="OK30" s="43" t="str">
        <f t="shared" si="104"/>
        <v/>
      </c>
      <c r="OL30" s="43" t="str">
        <f t="shared" si="105"/>
        <v/>
      </c>
      <c r="OM30" s="43" t="str">
        <f t="shared" si="106"/>
        <v/>
      </c>
      <c r="ON30" s="43" t="str">
        <f t="shared" si="107"/>
        <v/>
      </c>
      <c r="OO30" s="43" t="str">
        <f t="shared" si="108"/>
        <v/>
      </c>
      <c r="OP30" s="43" t="str">
        <f t="shared" si="109"/>
        <v/>
      </c>
      <c r="OQ30" s="43" t="str">
        <f t="shared" si="110"/>
        <v/>
      </c>
      <c r="OR30" s="43" t="str">
        <f t="shared" si="111"/>
        <v/>
      </c>
      <c r="OS30" s="43" t="str">
        <f t="shared" si="112"/>
        <v/>
      </c>
      <c r="OT30" s="43" t="str">
        <f t="shared" si="113"/>
        <v/>
      </c>
      <c r="OU30" s="43" t="str">
        <f t="shared" si="114"/>
        <v/>
      </c>
      <c r="OV30" s="110" t="str">
        <f t="shared" si="115"/>
        <v/>
      </c>
      <c r="OW30" s="43" t="str">
        <f t="shared" si="116"/>
        <v/>
      </c>
      <c r="OX30" s="43" t="str">
        <f t="shared" si="117"/>
        <v/>
      </c>
      <c r="OY30" s="43" t="str">
        <f t="shared" si="118"/>
        <v/>
      </c>
      <c r="OZ30" s="43" t="str">
        <f t="shared" si="119"/>
        <v/>
      </c>
      <c r="PA30" s="43" t="str">
        <f t="shared" si="120"/>
        <v/>
      </c>
      <c r="PB30" s="43" t="str">
        <f t="shared" si="121"/>
        <v/>
      </c>
      <c r="PC30" s="43" t="str">
        <f t="shared" si="122"/>
        <v/>
      </c>
      <c r="PD30" s="43" t="str">
        <f t="shared" si="123"/>
        <v/>
      </c>
      <c r="PE30" s="43" t="str">
        <f t="shared" si="124"/>
        <v/>
      </c>
      <c r="PF30" s="43" t="str">
        <f t="shared" si="125"/>
        <v/>
      </c>
      <c r="PG30" s="43" t="str">
        <f t="shared" si="126"/>
        <v/>
      </c>
      <c r="PH30" s="43" t="str">
        <f t="shared" si="127"/>
        <v/>
      </c>
      <c r="PI30" s="43">
        <f t="shared" si="128"/>
        <v>32</v>
      </c>
      <c r="PJ30" s="43" t="str">
        <f t="shared" si="129"/>
        <v/>
      </c>
      <c r="PK30" s="43" t="str">
        <f t="shared" si="130"/>
        <v/>
      </c>
      <c r="PL30" s="43" t="str">
        <f t="shared" si="131"/>
        <v/>
      </c>
      <c r="PM30" s="43" t="str">
        <f t="shared" si="132"/>
        <v/>
      </c>
      <c r="PN30" s="43" t="str">
        <f t="shared" si="133"/>
        <v/>
      </c>
      <c r="PO30" s="43" t="str">
        <f t="shared" si="134"/>
        <v/>
      </c>
      <c r="PP30" s="43" t="str">
        <f t="shared" si="135"/>
        <v/>
      </c>
      <c r="PQ30" s="43" t="str">
        <f t="shared" si="136"/>
        <v/>
      </c>
      <c r="PR30" s="43" t="str">
        <f t="shared" si="137"/>
        <v/>
      </c>
      <c r="PS30" s="43" t="str">
        <f t="shared" si="138"/>
        <v/>
      </c>
      <c r="PT30" s="43" t="str">
        <f t="shared" si="139"/>
        <v/>
      </c>
      <c r="PU30" s="43" t="str">
        <f t="shared" si="140"/>
        <v/>
      </c>
      <c r="PV30" s="43" t="str">
        <f t="shared" si="141"/>
        <v/>
      </c>
      <c r="PW30" s="43" t="str">
        <f t="shared" si="142"/>
        <v/>
      </c>
      <c r="PX30" s="43" t="str">
        <f t="shared" si="143"/>
        <v/>
      </c>
      <c r="PY30" s="43" t="str">
        <f t="shared" si="144"/>
        <v/>
      </c>
      <c r="PZ30" s="43" t="str">
        <f t="shared" si="145"/>
        <v/>
      </c>
      <c r="QA30" s="43" t="str">
        <f t="shared" si="146"/>
        <v/>
      </c>
      <c r="QB30" s="43" t="str">
        <f t="shared" si="147"/>
        <v/>
      </c>
      <c r="QC30" s="43" t="str">
        <f t="shared" si="148"/>
        <v/>
      </c>
      <c r="QD30" s="43" t="str">
        <f t="shared" si="149"/>
        <v/>
      </c>
      <c r="QE30" s="43" t="str">
        <f t="shared" si="150"/>
        <v/>
      </c>
      <c r="QF30" s="43" t="str">
        <f t="shared" si="151"/>
        <v/>
      </c>
      <c r="QG30" s="43" t="str">
        <f t="shared" si="152"/>
        <v/>
      </c>
      <c r="QH30" s="43" t="str">
        <f t="shared" si="153"/>
        <v/>
      </c>
      <c r="QI30" s="43" t="str">
        <f t="shared" si="154"/>
        <v/>
      </c>
      <c r="QJ30" s="43" t="str">
        <f t="shared" si="155"/>
        <v/>
      </c>
      <c r="QK30" s="43" t="str">
        <f t="shared" si="156"/>
        <v/>
      </c>
      <c r="QL30" s="43" t="str">
        <f t="shared" si="157"/>
        <v/>
      </c>
      <c r="QM30" s="43" t="str">
        <f t="shared" si="158"/>
        <v/>
      </c>
      <c r="QN30" s="43" t="str">
        <f t="shared" si="159"/>
        <v/>
      </c>
      <c r="QO30" s="43" t="str">
        <f t="shared" si="160"/>
        <v/>
      </c>
      <c r="QP30" s="43" t="str">
        <f t="shared" si="161"/>
        <v/>
      </c>
      <c r="QQ30" s="43" t="str">
        <f t="shared" si="162"/>
        <v/>
      </c>
      <c r="QR30" s="43">
        <f t="shared" si="192"/>
        <v>32</v>
      </c>
      <c r="QS30" s="43"/>
      <c r="QT30" s="21" t="str">
        <f t="shared" si="163"/>
        <v/>
      </c>
      <c r="QU30" s="21" t="str">
        <f t="shared" si="164"/>
        <v/>
      </c>
      <c r="QV30" s="21" t="str">
        <f t="shared" si="165"/>
        <v/>
      </c>
      <c r="QW30" s="21" t="str">
        <f t="shared" si="166"/>
        <v/>
      </c>
      <c r="QX30" s="21" t="str">
        <f t="shared" si="167"/>
        <v/>
      </c>
      <c r="QY30" s="21" t="str">
        <f t="shared" si="168"/>
        <v/>
      </c>
      <c r="QZ30" s="21" t="str">
        <f t="shared" si="169"/>
        <v/>
      </c>
      <c r="RA30" s="21" t="str">
        <f t="shared" si="170"/>
        <v/>
      </c>
      <c r="RB30" s="21" t="str">
        <f t="shared" si="171"/>
        <v/>
      </c>
      <c r="RC30" s="21" t="str">
        <f t="shared" si="172"/>
        <v/>
      </c>
      <c r="RD30" s="21" t="str">
        <f t="shared" si="173"/>
        <v/>
      </c>
      <c r="RE30" s="21" t="str">
        <f t="shared" si="174"/>
        <v/>
      </c>
      <c r="RF30" s="21" t="str">
        <f t="shared" si="175"/>
        <v/>
      </c>
      <c r="RG30" s="21" t="str">
        <f t="shared" si="176"/>
        <v/>
      </c>
      <c r="RH30" s="21" t="str">
        <f t="shared" si="177"/>
        <v/>
      </c>
      <c r="RI30" s="21" t="str">
        <f t="shared" si="178"/>
        <v/>
      </c>
      <c r="RJ30" s="21" t="str">
        <f t="shared" si="179"/>
        <v/>
      </c>
      <c r="RK30" s="21" t="str">
        <f t="shared" si="180"/>
        <v/>
      </c>
      <c r="RL30" s="21" t="str">
        <f t="shared" si="181"/>
        <v/>
      </c>
      <c r="RM30" s="21" t="str">
        <f t="shared" si="182"/>
        <v/>
      </c>
      <c r="RN30" s="21" t="str">
        <f t="shared" si="183"/>
        <v/>
      </c>
      <c r="RO30" s="21" t="str">
        <f t="shared" si="184"/>
        <v/>
      </c>
      <c r="RP30" s="21" t="str">
        <f t="shared" si="185"/>
        <v/>
      </c>
      <c r="RQ30" s="21" t="str">
        <f t="shared" si="186"/>
        <v/>
      </c>
      <c r="RR30" s="21" t="str">
        <f t="shared" si="187"/>
        <v/>
      </c>
      <c r="RS30" s="21" t="str">
        <f t="shared" si="188"/>
        <v/>
      </c>
      <c r="RT30" s="21" t="str">
        <f t="shared" si="189"/>
        <v/>
      </c>
      <c r="RU30" s="21" t="str">
        <f t="shared" si="190"/>
        <v/>
      </c>
      <c r="RV30" s="21">
        <f t="shared" si="191"/>
        <v>18.285714285714285</v>
      </c>
      <c r="RW30" s="284">
        <f>IF(OR(Tabla1[[#This Row],[FUM FORMULA CONFIABLE]]="",Tabla1[[#This Row],[FUM FORMULA CONFIABLE]]="SD"),"",IF(Tabla1[[#This Row],[FUM FORMULA CONFIABLE]]="CORREGIDA",Tabla1[[#This Row],[FUM X ECO 1]],Tabla1[[#This Row],[FUM x AMENORREA]]))</f>
        <v>44731</v>
      </c>
      <c r="RX30" s="21">
        <f>IF(AND(Tabla1[[#This Row],[FUM X ECO 1]]="",Tabla1[[#This Row],[FUM x AMENORREA]]=""),"",IF(AND(Tabla1[[#This Row],[FUM X ECO 1]]="",Tabla1[[#This Row],[FUM x AMENORREA]]&lt;&gt;""),"X",SUM(Tabla1[[#This Row],[FUM X ECO 1]]-Tabla1[[#This Row],[FUM x AMENORREA]])))</f>
        <v>12</v>
      </c>
      <c r="RY30" s="21">
        <f t="shared" si="193"/>
        <v>1</v>
      </c>
    </row>
    <row r="31" spans="1:493" ht="45" customHeight="1" x14ac:dyDescent="0.25">
      <c r="A31" s="109" t="s">
        <v>1031</v>
      </c>
      <c r="B31" s="43" t="s">
        <v>1032</v>
      </c>
      <c r="C31" s="43" t="s">
        <v>845</v>
      </c>
      <c r="D31" s="124" t="s">
        <v>846</v>
      </c>
      <c r="E31" s="43" t="s">
        <v>1033</v>
      </c>
      <c r="F31" s="43" t="s">
        <v>1034</v>
      </c>
      <c r="G31" s="43" t="s">
        <v>1035</v>
      </c>
      <c r="H31" s="43"/>
      <c r="I31" s="109" t="s">
        <v>851</v>
      </c>
      <c r="J31" s="110">
        <v>1059606995</v>
      </c>
      <c r="K31" s="43" t="s">
        <v>852</v>
      </c>
      <c r="L31" s="175" t="s">
        <v>853</v>
      </c>
      <c r="M31" s="22">
        <v>36318</v>
      </c>
      <c r="N31" s="213">
        <f t="shared" ca="1" si="0"/>
        <v>24.421917808219177</v>
      </c>
      <c r="O31" s="22">
        <v>44859</v>
      </c>
      <c r="P31" s="214" t="str">
        <f t="shared" si="1"/>
        <v>SI</v>
      </c>
      <c r="Q31" s="26" t="s">
        <v>855</v>
      </c>
      <c r="R31" s="22">
        <v>44859</v>
      </c>
      <c r="S31" s="21" t="s">
        <v>856</v>
      </c>
      <c r="T31" s="24" t="s">
        <v>690</v>
      </c>
      <c r="U31" s="21" t="s">
        <v>857</v>
      </c>
      <c r="V31" s="21" t="s">
        <v>858</v>
      </c>
      <c r="W31" s="21" t="s">
        <v>970</v>
      </c>
      <c r="X31" s="21" t="s">
        <v>970</v>
      </c>
      <c r="Y31" s="21" t="s">
        <v>859</v>
      </c>
      <c r="Z31" s="21" t="s">
        <v>1036</v>
      </c>
      <c r="AA31" s="21" t="s">
        <v>860</v>
      </c>
      <c r="AB31" s="27" t="s">
        <v>861</v>
      </c>
      <c r="AC31" s="26" t="s">
        <v>888</v>
      </c>
      <c r="AD31" s="38" t="s">
        <v>863</v>
      </c>
      <c r="AE31" s="26" t="s">
        <v>854</v>
      </c>
      <c r="AF31" s="26" t="s">
        <v>854</v>
      </c>
      <c r="AG31" s="23" t="s">
        <v>864</v>
      </c>
      <c r="AH31" s="23" t="s">
        <v>864</v>
      </c>
      <c r="AI31" s="24" t="s">
        <v>863</v>
      </c>
      <c r="AJ31" s="23" t="s">
        <v>864</v>
      </c>
      <c r="AK31" s="220" t="str">
        <f>IF(AND(AD31="",AE31="",AF31="",AG31="",AH31="",AI31="",AJ31=""),"",IF(OR(Tabla1[[#This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EVALUACIÓN",IF(AND(O31="",R31=""),"",IF(AND(OR(O31&gt;0,R31&gt;0),NG31&gt;=0,NG31&lt;2),"SIN RIESGO",IF(AND(OR(O31&gt;0,R31&gt;0),NG31&gt;=2),"CON RIESGO","ASD")))))</f>
        <v>SIN RIESGO</v>
      </c>
      <c r="AL31" s="23" t="s">
        <v>864</v>
      </c>
      <c r="AM31" s="26" t="s">
        <v>864</v>
      </c>
      <c r="AN31" s="26" t="s">
        <v>864</v>
      </c>
      <c r="AO31" s="26" t="s">
        <v>864</v>
      </c>
      <c r="AP31" s="26" t="s">
        <v>864</v>
      </c>
      <c r="AQ31" s="26" t="s">
        <v>864</v>
      </c>
      <c r="AR31" s="26" t="s">
        <v>864</v>
      </c>
      <c r="AS31" s="21">
        <v>3</v>
      </c>
      <c r="AT31" s="21">
        <v>1</v>
      </c>
      <c r="AU31" s="21">
        <v>1</v>
      </c>
      <c r="AV31" s="26" t="s">
        <v>864</v>
      </c>
      <c r="AW31" s="21">
        <v>0</v>
      </c>
      <c r="AX31" s="26" t="s">
        <v>864</v>
      </c>
      <c r="AY31" s="26" t="s">
        <v>864</v>
      </c>
      <c r="AZ31" s="26" t="s">
        <v>864</v>
      </c>
      <c r="BA31" s="26" t="s">
        <v>864</v>
      </c>
      <c r="BB31" s="26" t="s">
        <v>864</v>
      </c>
      <c r="BC31" s="26" t="s">
        <v>864</v>
      </c>
      <c r="BD31" s="26" t="s">
        <v>864</v>
      </c>
      <c r="BE31" s="26" t="s">
        <v>864</v>
      </c>
      <c r="BF31" s="26" t="s">
        <v>864</v>
      </c>
      <c r="BG31" s="26" t="s">
        <v>864</v>
      </c>
      <c r="BH31" s="26" t="s">
        <v>864</v>
      </c>
      <c r="BI31" s="26" t="s">
        <v>864</v>
      </c>
      <c r="BJ31" s="26"/>
      <c r="BK31" s="26"/>
      <c r="BL31" s="26" t="s">
        <v>864</v>
      </c>
      <c r="BM31" s="26" t="s">
        <v>864</v>
      </c>
      <c r="BN31" s="22"/>
      <c r="BO31" s="22">
        <v>44768</v>
      </c>
      <c r="BP31" s="21" t="s">
        <v>854</v>
      </c>
      <c r="BQ31" s="222">
        <f t="shared" si="2"/>
        <v>0</v>
      </c>
      <c r="BR31" s="223">
        <f t="shared" si="3"/>
        <v>44757</v>
      </c>
      <c r="BS31" s="224">
        <f t="shared" si="4"/>
        <v>13</v>
      </c>
      <c r="BT31" s="216" t="str">
        <f t="shared" si="5"/>
        <v>II TRIM</v>
      </c>
      <c r="BU31" s="214" t="str">
        <f t="shared" ca="1" si="6"/>
        <v/>
      </c>
      <c r="BV31" s="25"/>
      <c r="BW31" s="22">
        <v>44862</v>
      </c>
      <c r="BX31" s="28">
        <v>15</v>
      </c>
      <c r="BY31" s="28"/>
      <c r="BZ31" s="22"/>
      <c r="CA31" s="21"/>
      <c r="CB31" s="26"/>
      <c r="CC31" s="26"/>
      <c r="CD31" s="26"/>
      <c r="CE31" s="26"/>
      <c r="CF31" s="22" t="s">
        <v>1517</v>
      </c>
      <c r="CG31" s="21">
        <v>1.51</v>
      </c>
      <c r="CH31" s="21">
        <v>72</v>
      </c>
      <c r="CI31" s="214">
        <f t="shared" si="7"/>
        <v>31.577562387614577</v>
      </c>
      <c r="CJ31" s="225" t="e">
        <f>IF(AND(CI31&lt;10,CH31="SD"),"SIN DATO PESO PREGESTACION O I TRIM",IF(AND(OR(R31&gt;0,O31&gt;0),CI31="X"),"INGRESAR DATO DE PESO",IF(CI31="SD","INGRESAR DATO DE TALLA Y PESO",IF(AND(OR(Tabla1[[#This Row],[MOMENTO EN QUE SE REALIZA EL PESO AL INGRESO A CPN]]="PREGESTACIÓN",NZ31="Menor"),CI31&lt;18.5),"BAJO PESO",IF(AND(OR(Tabla1[[#This Row],[MOMENTO EN QUE SE REALIZA EL PESO AL INGRESO A CPN]]="PREGESTACIÓN",NZ31="Menor"),CI31&lt;25),"NORMAL",IF(AND(OR(Tabla1[[#This Row],[MOMENTO EN QUE SE REALIZA EL PESO AL INGRESO A CPN]]="PREGESTACIÓN",NZ31="Menor"),CI31&lt;30),"SOBREPESO",IF(AND(OR(Tabla1[[#This Row],[MOMENTO EN QUE SE REALIZA EL PESO AL INGRESO A CPN]]="PREGESTACIÓN",NZ31="Menor"),CI31&gt;=30,CI31&lt;50),"OBESIDAD",IF(AND(BS31&gt;0,Tabla1[[#This Row],[MOMENTO EN QUE SE REALIZA EL PESO AL INGRESO A CPN]]="GESTACIÓN"),HLOOKUP(NZ31,$OA$2:PH31,NY31),""))))))))</f>
        <v>#REF!</v>
      </c>
      <c r="CK31" s="212">
        <f t="shared" si="8"/>
        <v>44981</v>
      </c>
      <c r="CL31" s="21"/>
      <c r="CM31" s="214">
        <f t="shared" si="9"/>
        <v>0</v>
      </c>
      <c r="CN31" s="216">
        <f t="shared" si="10"/>
        <v>30</v>
      </c>
      <c r="CO31" s="216" t="e">
        <f>IF(PI31="","",IF(PI31&gt;0,HLOOKUP(PI31,$PJ$2:QQ31,NY31),""))</f>
        <v>#REF!</v>
      </c>
      <c r="CP31" s="21"/>
      <c r="CQ31" s="216" t="e">
        <f>IF(QR31="Menor","NO APLICA-MENOR 13 SEM",IF(AND(CC31="SI",CN31&gt;23),"NO APLICA- GEMELAR",IF(QR31="","",IF(QR31&gt;0,HLOOKUP(QR31,$QS$2:RU31,NY31),""))))</f>
        <v>#REF!</v>
      </c>
      <c r="CR31" s="21"/>
      <c r="CS31" s="21"/>
      <c r="CT31" s="217" t="str">
        <f>IF(R31="","",IF(AND(BS31&gt;1,BS31&lt;12,Tabla1[[#This Row],[T.A. SISTOLICA - ANTES DE SEMANA 12]]="",Tabla1[[#This Row],[T.A. DIASTOLICA - ANTES DE SEMANA 12]]=""),"REGISTRE DATO TA ANTES SEMANA 12",IF(AND(BS31&gt;11,BS31&lt;43,Tabla1[[#This Row],[T.A. SISTOLICA - ANTES DE SEMANA 12]]="",Tabla1[[#This Row],[T.A. DIASTOLICA - ANTES DE SEMANA 12]]=""),"NO APLICA REGISTRO TA-INGRESO TARDIO",IF(AND(OR(O31&gt;0,R31&gt;0),OR(CR31&gt;=140,CS31&gt;=90)),"DEFINIR ESTADIO HTA",IF(AND(OR(O31&gt;0,R31&gt;0),AND(CR31&gt;120,CR31&lt;=139)),"PRE HTA SEGUIMIENTO",IF(AND(OR(O31&gt;0,R31&gt;0),AND(CS31&gt;80,CS31&lt;=89)),"PRE HTA SEGUIMIENTO",IF(AND(OR(O31&gt;0,R31&gt;0),AND(CR31&gt;=80,CR31&lt;=120)),"APARENTEMENTE NORMAL",IF(AND(OR(O31&gt;0,R31&gt;0),AND(CS31&gt;=50,CS31&lt;=80)),"APARENTEMENTE NORMAL",IF(AND(OR(O31&gt;0,R31&gt;0),AND(CR31&gt;1,CR31&lt;=70),AND(CS31&gt;1,CS31&lt;=40)),"HIPOTENSIÓN","")))))))))</f>
        <v>NO APLICA REGISTRO TA-INGRESO TARDIO</v>
      </c>
      <c r="CU31" s="21"/>
      <c r="CV31" s="21"/>
      <c r="CW31" s="217" t="str">
        <f ca="1">IF(R31="","",IF(AND(CN31&gt;19,CN31&lt;27,Tabla1[[#This Row],[T.A. SISTOLICA (Entre semana 20 y 26)]]="",Tabla1[[#This Row],[T.A. DIATOLICA (Entre semana 20 y 26)]]=""),"ACUDE A CONTROL SEM 20 A 26 REGISTRE TA AHORA",IF(AND(BS31&gt;1,BS31&lt;27,BU31&gt;19,Tabla1[[#This Row],[T.A. SISTOLICA (Entre semana 20 y 26)]]="",Tabla1[[#This Row],[T.A. DIATOLICA (Entre semana 20 y 26)]]=""),"COMPLETE REGISTRO TA CONTROL SEM 20 A26 ",IF(AND(BS31&gt;26,BS31&lt;43,Tabla1[[#This Row],[T.A. SISTOLICA (Entre semana 20 y 26)]]="",Tabla1[[#This Row],[T.A. DIATOLICA (Entre semana 20 y 26)]]=""),"NO APLICA REGISTRO TA-INGRESO TARDIO",IF(AND(OR(O31&gt;0,R31&gt;0),OR(CU31&gt;=140,CV31&gt;=90)),"ALTO RIESGO PREECLAMPSIA,DEFINIR ESTADIO HTA",IF(AND(OR(O31&gt;0,R31&gt;0),AND(CU31&gt;120,CU31&lt;=139)),"PRE HTA SEGUIMIENTO,RIESGO HIPERTENSION INDUCIDA POR EL EMBARAZO",IF(AND(OR(O31&gt;0,R31&gt;0),AND(CV31&gt;80,CV31&lt;=89)),"PRE HTA SEGUIMIENTO, RIESGO HIPERTENSION INDUCIDA POR EL EMBARAZO",IF(AND(OR(O31&lt;&gt;"",R31&lt;&gt;""),CS31&lt;&gt;"",CV31&lt;&gt;"",CS31&lt;=CV31),"VIGILAR CIFRAS PRESION ARTERIAL",IF(AND(OR(O31&gt;0,R31&gt;0),AND(CU31&gt;120,CU31&lt;=139)),"PRE HTA SEGUIMIENTO",IF(AND(OR(O31&gt;0,R31&gt;0),AND(CU31&gt;1,CU31&lt;=70),AND(CV31&gt;1,CV31&lt;=40)),"HIPOTENSIÓN",IF(AND(OR(O31&lt;&gt;"",R31&lt;&gt;""),CS31&lt;&gt;"",CV31&lt;&gt;"",CS31&gt;CV31),"APARENTEMENTE NORMAL",IF(AND(OR(O31&gt;0,R31&gt;0),AND(CU31&gt;=80,CU31&lt;=120)),"APARENTEMENTE NORMAL",IF(AND(OR(O31&gt;0,R31&gt;0),AND(CV31&gt;=50,CV31&lt;=80)),"APARENTEMENTE NORMAL","")))))))))))))</f>
        <v xml:space="preserve">COMPLETE REGISTRO TA CONTROL SEM 20 A26 </v>
      </c>
      <c r="CX31" s="21">
        <v>90</v>
      </c>
      <c r="CY31" s="21">
        <v>60</v>
      </c>
      <c r="CZ31" s="216" t="str">
        <f t="shared" si="11"/>
        <v>APARENTEMENTE NORMAL</v>
      </c>
      <c r="DA31" s="21"/>
      <c r="DB31" s="21"/>
      <c r="DC31" s="217" t="str">
        <f t="shared" si="12"/>
        <v>REGISTRE DATO PRESIÓN ARTERIAL MENSUAL</v>
      </c>
      <c r="DD31" s="22">
        <v>44859</v>
      </c>
      <c r="DE31" s="22">
        <v>44859</v>
      </c>
      <c r="DF31" s="22">
        <v>44981</v>
      </c>
      <c r="DG31" s="22"/>
      <c r="DH31" s="22"/>
      <c r="DI31" s="22"/>
      <c r="DJ31" s="22"/>
      <c r="DK31" s="22"/>
      <c r="DL31" s="22"/>
      <c r="DM31" s="22"/>
      <c r="DN31" s="22"/>
      <c r="DO31" s="22"/>
      <c r="DP31" s="22"/>
      <c r="DQ31" s="22"/>
      <c r="DR31" s="28"/>
      <c r="DS31" s="22"/>
      <c r="DT31" s="22"/>
      <c r="DU31" s="216" t="str">
        <f t="shared" ca="1" si="13"/>
        <v>SALE SIN PLAN DE PARTO</v>
      </c>
      <c r="DV31" s="226" t="str">
        <f t="shared" si="14"/>
        <v>SALIO PROGRAMA</v>
      </c>
      <c r="DW31"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31" s="216" t="str">
        <f t="shared" ca="1" si="15"/>
        <v/>
      </c>
      <c r="DY31" s="212">
        <f>IF(R31="","",IF(R31&gt;0,MAX(Tabla1[[#This Row],[FECHA C2]:[FECHA C13]],Tabla1[[#This Row],[FECHA CONSULTA PRIMERA VEZ PROGRAMA CPN ]])))</f>
        <v>44981</v>
      </c>
      <c r="DZ31" s="216">
        <f t="shared" si="16"/>
        <v>30</v>
      </c>
      <c r="EA31" s="222">
        <f>IF(R31&gt;0,SUM(COUNTA(DF31:DQ31)+COUNTA(Tabla1[[#This Row],[FECHA CONSULTA PRIMERA VEZ PROGRAMA CPN ]])),"")</f>
        <v>2</v>
      </c>
      <c r="EB31" s="222" t="str">
        <f t="shared" si="17"/>
        <v>NO</v>
      </c>
      <c r="EC31" s="214">
        <f t="shared" si="18"/>
        <v>8</v>
      </c>
      <c r="ED31" s="227">
        <f t="shared" si="19"/>
        <v>0.25</v>
      </c>
      <c r="EE31" s="22">
        <v>44859</v>
      </c>
      <c r="EF31" s="22">
        <v>44862</v>
      </c>
      <c r="EG31" s="22">
        <v>44859</v>
      </c>
      <c r="EH31" s="22"/>
      <c r="EI31" s="22">
        <v>44859</v>
      </c>
      <c r="EJ31" s="22">
        <v>44936</v>
      </c>
      <c r="EK31" s="22">
        <v>44936</v>
      </c>
      <c r="EL31" s="21"/>
      <c r="EM31" s="21">
        <v>12.6</v>
      </c>
      <c r="EN31" s="22">
        <v>44862</v>
      </c>
      <c r="EO31" s="222">
        <f t="shared" si="20"/>
        <v>13.428571428571429</v>
      </c>
      <c r="EP31" s="214" t="str">
        <f t="shared" si="21"/>
        <v>NORMAL- SUMINISTRAR SULFATO FERROSO</v>
      </c>
      <c r="EQ31" s="216" t="str">
        <f t="shared" si="22"/>
        <v>II TRIM</v>
      </c>
      <c r="ER31" s="24"/>
      <c r="ES31" s="22"/>
      <c r="ET31" s="29" t="str">
        <f t="shared" ca="1" si="23"/>
        <v>SALE SIN TAMIZAJE HEMOGLOBINA SEM 28</v>
      </c>
      <c r="EU31" s="25" t="str">
        <f t="shared" si="24"/>
        <v/>
      </c>
      <c r="EV31" s="24" t="s">
        <v>866</v>
      </c>
      <c r="EW31" s="24">
        <v>44862</v>
      </c>
      <c r="EX31" s="22"/>
      <c r="EY31" s="29">
        <f t="shared" si="25"/>
        <v>13.428571428571429</v>
      </c>
      <c r="EZ31" s="25" t="str">
        <f t="shared" ca="1" si="26"/>
        <v/>
      </c>
      <c r="FA31" s="21">
        <v>70</v>
      </c>
      <c r="FB31" s="22">
        <v>44862</v>
      </c>
      <c r="FC31" s="29">
        <f t="shared" si="27"/>
        <v>13.428571428571429</v>
      </c>
      <c r="FD31" s="29"/>
      <c r="FE31" s="29"/>
      <c r="FF31" s="29"/>
      <c r="FG31" s="21" t="str">
        <f t="shared" ca="1" si="28"/>
        <v/>
      </c>
      <c r="FH31" s="31"/>
      <c r="FI31" s="29" t="str">
        <f t="shared" si="29"/>
        <v>TOMAR EXAMEN</v>
      </c>
      <c r="FJ31" s="22"/>
      <c r="FK31" s="22"/>
      <c r="FL31" s="29" t="str">
        <f t="shared" ca="1" si="30"/>
        <v>NO APLICA-INGRESO TARDIO</v>
      </c>
      <c r="FM31" s="22" t="s">
        <v>867</v>
      </c>
      <c r="FN31" s="32">
        <v>44862</v>
      </c>
      <c r="FO31" s="29">
        <f t="shared" ca="1" si="31"/>
        <v>13.428571428571429</v>
      </c>
      <c r="FP31" s="22"/>
      <c r="FQ31" s="32"/>
      <c r="FR31" s="29" t="str">
        <f t="shared" ca="1" si="32"/>
        <v>PIERDE TOMA DE TAMIZAJE</v>
      </c>
      <c r="FS31" s="22"/>
      <c r="FT31" s="32"/>
      <c r="FU31" s="29" t="str">
        <f>IF(AND(FJ31="",FM31="",FP31="",FS31=""),"",IF(OR(OR(Tabla1[[#This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31" s="28"/>
      <c r="FW31" s="22"/>
      <c r="FX31" s="29" t="str">
        <f t="shared" si="33"/>
        <v>TOMAR EXAMEN</v>
      </c>
      <c r="FY31" s="22">
        <v>45224</v>
      </c>
      <c r="FZ31" s="22">
        <v>45224</v>
      </c>
      <c r="GA31" s="29">
        <f t="shared" ca="1" si="34"/>
        <v>65.142857142857139</v>
      </c>
      <c r="GB31" s="22" t="s">
        <v>868</v>
      </c>
      <c r="GC31" s="22">
        <v>44862</v>
      </c>
      <c r="GD31" s="29">
        <f t="shared" ca="1" si="35"/>
        <v>13.428571428571429</v>
      </c>
      <c r="GE31" s="22"/>
      <c r="GF31" s="22"/>
      <c r="GG31" s="29" t="str">
        <f t="shared" ca="1" si="36"/>
        <v>PIERDE TOMA DE TAMIZAJE</v>
      </c>
      <c r="GH31" s="22"/>
      <c r="GI31" s="29"/>
      <c r="GJ31" s="22"/>
      <c r="GK31" s="22"/>
      <c r="GL31" s="22" t="s">
        <v>879</v>
      </c>
      <c r="GM31" s="22"/>
      <c r="GN31" s="28" t="s">
        <v>869</v>
      </c>
      <c r="GO31" s="22">
        <v>44862</v>
      </c>
      <c r="GP31" s="29">
        <f t="shared" si="37"/>
        <v>13.428571428571429</v>
      </c>
      <c r="GQ31" s="28" t="s">
        <v>880</v>
      </c>
      <c r="GR31" s="28" t="s">
        <v>869</v>
      </c>
      <c r="GS31" s="22" t="str">
        <f t="shared" si="38"/>
        <v>SE EXCLUYE INFECCION</v>
      </c>
      <c r="GT31" s="22">
        <v>44862</v>
      </c>
      <c r="GU31" s="29">
        <f t="shared" si="39"/>
        <v>13.428571428571429</v>
      </c>
      <c r="GV31" s="21" t="str">
        <f t="shared" si="40"/>
        <v>II TRIM</v>
      </c>
      <c r="GW31" s="28" t="s">
        <v>869</v>
      </c>
      <c r="GX31" s="30"/>
      <c r="GY31" s="21"/>
      <c r="GZ31" s="21"/>
      <c r="HA31" s="21"/>
      <c r="HB31" s="21"/>
      <c r="HC31" s="21"/>
      <c r="HD31" s="21"/>
      <c r="HE31" s="21"/>
      <c r="HF31" s="22"/>
      <c r="HG31" s="22" t="str">
        <f>IF(OR(O31&gt;0,R31&gt;0),CONCATENATE(IF(Tabla1[[#This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31" s="22" t="e">
        <f t="shared" si="41"/>
        <v>#REF!</v>
      </c>
      <c r="HI31" s="22" t="e">
        <f t="shared" ca="1" si="42"/>
        <v>#REF!</v>
      </c>
      <c r="HJ31" s="21" t="str">
        <f t="shared" ca="1" si="43"/>
        <v>***************************************</v>
      </c>
      <c r="HK31" s="21" t="str">
        <f t="shared" si="44"/>
        <v>SIN ANTECEDENTES DE RIESGO</v>
      </c>
      <c r="HL31" s="24" t="str">
        <f t="shared" si="45"/>
        <v>REGISTRE DATO PRESIÓN ARTERIAL MENSUAL</v>
      </c>
      <c r="HM31" s="21" t="str">
        <f t="shared" ca="1" si="46"/>
        <v/>
      </c>
      <c r="HN31" s="30" t="str">
        <f t="shared" si="47"/>
        <v>SALIO PROGRAMA</v>
      </c>
      <c r="HO31" s="21"/>
      <c r="HP31" s="21"/>
      <c r="HQ31" s="21">
        <v>44859</v>
      </c>
      <c r="HR31" s="21" t="str">
        <f>IF(R31="","",IF(Tabla1[[#This Row],[ALARMA FACTORES DE RIESGO COMPLICACIONES HIPERTENSIVAS3]]="SIN ANTECEDENTES DE RIESGO","No Aplica para suministro de ASA",IF(AND(Tabla1[[#This Row],[FECHA INICIO DE SUMINISTRO DE ASA]]&gt;0,RV31&lt;12),"Inicia ASA ANTES de Sem 12",IF(AND(RV31&gt;11,RV31&lt;17,OR(HK31="RIESGO ALTO DE COMPLICACIONES HIPERTENSIVAS VER MANEJO GUIA SUMINISTRO ASA Y CALCIO",HK31="RIESGO MODERADO (2 O MAS CRITERIOS) VER MANEJO GUIA SUMINISTRO ASA Y CALCIO")),"Inicio oportuno de ASA",IF(AND(RV31&gt;12,OR(HK31="RIESGO ALTO DE COMPLICACIONES HIPERTENSIVAS VER MANEJO GUIA SUMINISTRO ASA Y CALCIO",HK31="RIESGO MODERADO (2 O MAS CRITERIOS) VER MANEJO GUIA SUMINISTRO ASA Y CALCIO")),"Inicio no oportuno mayor a 16 semanas",IF(AND(BU31&lt;12,OR(HK31="RIESGO ALTO DE COMPLICACIONES HIPERTENSIVAS VER MANEJO GUIA SUMINISTRO ASA Y CALCIO",HK31="RIESGO MODERADO (2 O MAS CRITERIOS) VER MANEJO GUIA SUMINISTRO ASA Y CALCIO")),"Pendiente Inicio de ASA a la semana 12",IF(AND(BU31&gt;11,BU31&lt;17,OR(HK31="RIESGO ALTO DE COMPLICACIONES HIPERTENSIVAS VER MANEJO GUIA SUMINISTRO ASA Y CALCIO",HK31="RIESGO MODERADO (2 O MAS CRITERIOS) VER MANEJO GUIA SUMINISTRO ASA Y CALCIO")),"Iniciar de inmediato ASA",IF(AND(BU31&gt;16,OR(HK31="RIESGO ALTO DE COMPLICACIONES HIPERTENSIVAS VER MANEJO GUIA SUMINISTRO ASA Y CALCIO",HK31="RIESGO MODERADO (2 O MAS CRITERIOS) VER MANEJO GUIA SUMINISTRO ASA Y CALCIO")),"Pierde Oportunidad, Inicio tardío de ASA","XXXXX"))))))))</f>
        <v>No Aplica para suministro de ASA</v>
      </c>
      <c r="HS31" s="22">
        <v>44859</v>
      </c>
      <c r="HT31" s="22" t="s">
        <v>870</v>
      </c>
      <c r="HU31" s="22">
        <v>44859</v>
      </c>
      <c r="HV31" s="22" t="s">
        <v>870</v>
      </c>
      <c r="HW31" s="22">
        <v>44859</v>
      </c>
      <c r="HX31" s="22" t="s">
        <v>870</v>
      </c>
      <c r="HY31" s="22">
        <v>44859</v>
      </c>
      <c r="HZ31" s="28">
        <f t="shared" si="48"/>
        <v>13</v>
      </c>
      <c r="IA31" s="26" t="s">
        <v>864</v>
      </c>
      <c r="IB31" s="26"/>
      <c r="IC31" s="111"/>
      <c r="ID31" s="22"/>
      <c r="IE31" s="22" t="str">
        <f t="shared" ca="1" si="49"/>
        <v>SALE SIN VACUNA</v>
      </c>
      <c r="IF31" s="22"/>
      <c r="IG31" s="22">
        <f t="shared" si="50"/>
        <v>45048</v>
      </c>
      <c r="IH31" s="29">
        <f t="shared" ca="1" si="51"/>
        <v>-184</v>
      </c>
      <c r="II31" s="22" t="str">
        <f t="shared" ca="1" si="52"/>
        <v>POSIBLEMENTE NACIO</v>
      </c>
      <c r="IJ31" s="22"/>
      <c r="IK31" s="21" t="s">
        <v>898</v>
      </c>
      <c r="IL31" s="21"/>
      <c r="IM31" s="34"/>
      <c r="IN31" s="349">
        <v>45031</v>
      </c>
      <c r="IO31" s="21" t="s">
        <v>1186</v>
      </c>
      <c r="IP31" s="29">
        <f t="shared" si="53"/>
        <v>37.571428571428569</v>
      </c>
      <c r="IQ31" s="35" t="s">
        <v>1650</v>
      </c>
      <c r="IR31" s="21" t="s">
        <v>1651</v>
      </c>
      <c r="IS31" s="21" t="s">
        <v>1646</v>
      </c>
      <c r="IT31" s="21" t="s">
        <v>1642</v>
      </c>
      <c r="IU31" s="21"/>
      <c r="IV31" s="21"/>
      <c r="IW31" s="21"/>
      <c r="IX31" s="21"/>
      <c r="IY31" s="21"/>
      <c r="IZ31" s="21"/>
      <c r="JA31" s="21"/>
      <c r="JB31" s="30">
        <v>1</v>
      </c>
      <c r="JC31" s="21" t="s">
        <v>1643</v>
      </c>
      <c r="JD31" s="36">
        <v>3270</v>
      </c>
      <c r="JE31" s="21" t="str">
        <f t="shared" si="54"/>
        <v>PESO ADECUADO EDAD GESTACIONAL</v>
      </c>
      <c r="JF31" s="30"/>
      <c r="JG31" s="21"/>
      <c r="JH31" s="21"/>
      <c r="JI31" s="21" t="s">
        <v>854</v>
      </c>
      <c r="JJ31" s="30" t="s">
        <v>866</v>
      </c>
      <c r="JK31" s="22"/>
      <c r="JL31" s="22"/>
      <c r="JM31" s="21"/>
      <c r="JN31" s="36"/>
      <c r="JO31" s="21" t="str">
        <f t="shared" si="55"/>
        <v/>
      </c>
      <c r="JP31" s="22"/>
      <c r="JQ31" s="21"/>
      <c r="JR31" s="21"/>
      <c r="JS31" s="21"/>
      <c r="JT31" s="30"/>
      <c r="JU31" s="22"/>
      <c r="JV31" s="22"/>
      <c r="JW31" s="33"/>
      <c r="JX31" s="28" t="str">
        <f t="shared" si="56"/>
        <v>INASISTENTE</v>
      </c>
      <c r="JY31" s="33"/>
      <c r="JZ31" s="28" t="str">
        <f t="shared" si="57"/>
        <v>INASISTENTE</v>
      </c>
      <c r="KA31" s="21"/>
      <c r="KB31" s="21"/>
      <c r="KC31" s="21"/>
      <c r="KD31" s="37"/>
      <c r="KE31" s="28"/>
      <c r="KF31" s="28"/>
      <c r="KG31" s="28"/>
      <c r="KH31" s="39"/>
      <c r="KI31" s="39"/>
      <c r="KJ31" s="66"/>
      <c r="KK31" s="39"/>
      <c r="KL31" s="39"/>
      <c r="KM31" s="66"/>
      <c r="KN31" s="39"/>
      <c r="KO31" s="39"/>
      <c r="KP31" s="39"/>
      <c r="KQ31" s="39"/>
      <c r="KR31" s="39"/>
      <c r="KS31" s="39"/>
      <c r="KT31" s="39"/>
      <c r="KU31" s="38"/>
      <c r="KV31" s="38"/>
      <c r="KW31" s="38"/>
      <c r="KX31" s="38"/>
      <c r="KY31" s="38"/>
      <c r="KZ31" s="38"/>
      <c r="LA31" s="38"/>
      <c r="LB31" s="38"/>
      <c r="LC31" s="38"/>
      <c r="LD31" s="38"/>
      <c r="LE31" s="38"/>
      <c r="LF31" s="38"/>
      <c r="LG31" s="38"/>
      <c r="LH31" s="38"/>
      <c r="LI31" s="38"/>
      <c r="LJ31" s="38"/>
      <c r="LK31" s="38"/>
      <c r="LL31" s="38"/>
      <c r="LM31" s="38"/>
      <c r="LN31" s="38"/>
      <c r="LO31" s="38"/>
      <c r="LP31" s="38"/>
      <c r="LQ31" s="38"/>
      <c r="LR31" s="38"/>
      <c r="LS31" s="38"/>
      <c r="LT31" s="38"/>
      <c r="LU31" s="38"/>
      <c r="LV31" s="38"/>
      <c r="LW31" s="38"/>
      <c r="LX31" s="38"/>
      <c r="LY31" s="38"/>
      <c r="LZ31" s="38"/>
      <c r="MA31" s="38"/>
      <c r="MB31" s="38"/>
      <c r="MC31" s="38"/>
      <c r="MD31" s="38"/>
      <c r="ME31" s="38"/>
      <c r="MF31" s="38"/>
      <c r="MG31" s="38"/>
      <c r="MH31" s="43">
        <f t="shared" si="58"/>
        <v>0</v>
      </c>
      <c r="MI31" s="43" t="str">
        <f t="shared" si="59"/>
        <v/>
      </c>
      <c r="MJ31" s="43" t="str">
        <f t="shared" si="60"/>
        <v/>
      </c>
      <c r="MK31" s="43">
        <f t="shared" si="61"/>
        <v>0</v>
      </c>
      <c r="ML3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31" s="43">
        <f t="shared" si="62"/>
        <v>13</v>
      </c>
      <c r="MN31" s="43">
        <f t="shared" si="63"/>
        <v>10</v>
      </c>
      <c r="MO31" s="43">
        <f t="shared" si="64"/>
        <v>2022</v>
      </c>
      <c r="MP31" s="43" t="str">
        <f t="shared" si="65"/>
        <v>IV TRIMESTRE AÑO</v>
      </c>
      <c r="MQ31" s="43">
        <f t="shared" si="66"/>
        <v>23.045335085413928</v>
      </c>
      <c r="MR31" s="43">
        <f t="shared" si="67"/>
        <v>0</v>
      </c>
      <c r="MS31" s="43" t="str">
        <f t="shared" si="68"/>
        <v xml:space="preserve"> DE 20 A 24 AÑOS</v>
      </c>
      <c r="MT31" s="43">
        <f t="shared" si="69"/>
        <v>0</v>
      </c>
      <c r="MU31" s="43">
        <f t="shared" si="70"/>
        <v>0</v>
      </c>
      <c r="MV31" s="43">
        <f t="shared" si="71"/>
        <v>0</v>
      </c>
      <c r="MW31" s="43">
        <f t="shared" si="72"/>
        <v>0</v>
      </c>
      <c r="MX31" s="43" t="str">
        <f t="shared" si="73"/>
        <v/>
      </c>
      <c r="MY31" s="43" t="str">
        <f t="shared" ca="1" si="74"/>
        <v/>
      </c>
      <c r="MZ31" s="43" t="str">
        <f t="shared" si="75"/>
        <v/>
      </c>
      <c r="NA31" s="43" t="str">
        <f t="shared" si="76"/>
        <v/>
      </c>
      <c r="NB31" s="43" t="str">
        <f t="shared" si="77"/>
        <v/>
      </c>
      <c r="NC31" s="43" t="str">
        <f t="shared" si="78"/>
        <v/>
      </c>
      <c r="ND31" s="43">
        <f t="shared" ca="1" si="79"/>
        <v>0</v>
      </c>
      <c r="NE31" s="43">
        <f>IF(OR(O31&gt;0,R31&gt;0),SUM(COUNTIF(Tabla1[[#This Row],[AÑOS AL INICIO5 CPN]],"&gt;=40"),COUNTIF(AS31,"0"),COUNTIF(AR31,"SI"),COUNTIF(CC31,"SI"),COUNTIF(BQ31,"&gt;119"),COUNTIF(CI31,"&gt;=35")),"")</f>
        <v>0</v>
      </c>
      <c r="NF31" s="43" t="str">
        <f t="shared" si="80"/>
        <v/>
      </c>
      <c r="NG31" s="43">
        <f t="shared" si="81"/>
        <v>0</v>
      </c>
      <c r="NH31" s="43">
        <f t="shared" si="82"/>
        <v>105</v>
      </c>
      <c r="NI31"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CPN",P31="NO"),"Z",IF(AND(Tabla1[[#This Row],[CITA PROXIMO CONTROL]]="CITA MANUAL",Tabla1[[#This Row],[GESTANTES ACTUALES]]="ACTIVA INGRESO A CPN"),"W",IF(AND(Tabla1[[#This Row],[GESTANTES ACTUALES]]="SALIO PROGRAMA",IN31=""),"S",IF(AND(Tabla1[[#This Row],[CITA PROXIMO CONTROL]]&gt;0,IN31=""),(Tabla1[[#This Row],[CITA PROXIMO CONTROL]]-TODAY()),"SD"))))))))</f>
        <v>SD</v>
      </c>
      <c r="NJ31" s="43">
        <f>MONTH(Tabla1[[#This Row],[FECHA DE SALIDA  DEL PROGRAMA]])</f>
        <v>4</v>
      </c>
      <c r="NK31" s="43">
        <f>YEAR(Tabla1[[#This Row],[FECHA DE SALIDA  DEL PROGRAMA]])</f>
        <v>2023</v>
      </c>
      <c r="NL31" s="43">
        <f t="shared" si="83"/>
        <v>77</v>
      </c>
      <c r="NM31" s="43" t="str">
        <f t="shared" si="84"/>
        <v>NO</v>
      </c>
      <c r="NN31" s="43" t="str">
        <f ca="1">IF(AND(O31&gt;0,R31=""),"NO CPN",IF(AND(O31="",R31=""),"",IF(AND(R31&gt;0,Tabla1[[#This Row],[SEMANAS DE GESTACION ACTUALIZADAS]]&lt;=12),"NO APLICA",IF(AND(FH31&lt;&gt;"",FN31&lt;&gt;""),"SI","NO"))))</f>
        <v>NO</v>
      </c>
      <c r="NO31" s="43" t="str">
        <f ca="1">IF(AND(O31&gt;0,R31=""),"NO CPN",IF(AND(O31="",R31=""),"",IF(AND(R31&gt;0,Tabla1[[#This Row],[SEMANAS DE GESTACION ACTUALIZADAS]]&lt;=27),"NO APLICA",IF(AND(ES31&lt;&gt;"",FQ31&lt;&gt;"",GF31&lt;&gt;""),"SI","NO"))))</f>
        <v>NO</v>
      </c>
      <c r="NP31" s="204" t="str">
        <f t="shared" si="85"/>
        <v>II TRIM</v>
      </c>
      <c r="NQ31" s="21">
        <f t="shared" si="86"/>
        <v>3</v>
      </c>
      <c r="NR31" s="21">
        <f t="shared" si="87"/>
        <v>2</v>
      </c>
      <c r="NS31" s="205">
        <f t="shared" ca="1" si="88"/>
        <v>1</v>
      </c>
      <c r="NT31" s="21">
        <f t="shared" ca="1" si="89"/>
        <v>2</v>
      </c>
      <c r="NU31" s="21" t="str">
        <f t="shared" ca="1" si="90"/>
        <v>INCOMPLETO</v>
      </c>
      <c r="NV31" s="21" t="str">
        <f t="shared" ca="1" si="91"/>
        <v>COMPLETO</v>
      </c>
      <c r="NW31" s="206" t="str">
        <f>IF(AND(O31="",R31=""),"",IF(OR(AND(Tabla1[[#This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31" s="207" t="str">
        <f t="shared" ca="1" si="92"/>
        <v>SIN VACUNAR</v>
      </c>
      <c r="NY31" s="43">
        <f>ROW(Tabla1[[#This Row],['# DE TAMIZAJES SIFILIS TOMADOS ]])</f>
        <v>31</v>
      </c>
      <c r="NZ31" s="43">
        <f t="shared" si="93"/>
        <v>13</v>
      </c>
      <c r="OA31" s="43" t="str">
        <f t="shared" si="94"/>
        <v/>
      </c>
      <c r="OB31" s="43" t="str">
        <f t="shared" si="95"/>
        <v/>
      </c>
      <c r="OC31" s="43" t="str">
        <f t="shared" si="96"/>
        <v/>
      </c>
      <c r="OD31" s="43" t="str">
        <f t="shared" si="97"/>
        <v/>
      </c>
      <c r="OE31" s="43" t="str">
        <f t="shared" si="98"/>
        <v>OBESIDAD</v>
      </c>
      <c r="OF31" s="43" t="str">
        <f t="shared" si="99"/>
        <v/>
      </c>
      <c r="OG31" s="43" t="str">
        <f t="shared" si="100"/>
        <v/>
      </c>
      <c r="OH31" s="43" t="str">
        <f t="shared" si="101"/>
        <v/>
      </c>
      <c r="OI31" s="43" t="str">
        <f t="shared" si="102"/>
        <v/>
      </c>
      <c r="OJ31" s="43" t="str">
        <f t="shared" si="103"/>
        <v/>
      </c>
      <c r="OK31" s="43" t="str">
        <f t="shared" si="104"/>
        <v/>
      </c>
      <c r="OL31" s="43" t="str">
        <f t="shared" si="105"/>
        <v/>
      </c>
      <c r="OM31" s="43" t="str">
        <f t="shared" si="106"/>
        <v/>
      </c>
      <c r="ON31" s="43" t="str">
        <f t="shared" si="107"/>
        <v/>
      </c>
      <c r="OO31" s="43" t="str">
        <f t="shared" si="108"/>
        <v/>
      </c>
      <c r="OP31" s="43" t="str">
        <f t="shared" si="109"/>
        <v/>
      </c>
      <c r="OQ31" s="43" t="str">
        <f t="shared" si="110"/>
        <v/>
      </c>
      <c r="OR31" s="43" t="str">
        <f t="shared" si="111"/>
        <v/>
      </c>
      <c r="OS31" s="43" t="str">
        <f t="shared" si="112"/>
        <v/>
      </c>
      <c r="OT31" s="43" t="str">
        <f t="shared" si="113"/>
        <v/>
      </c>
      <c r="OU31" s="43" t="str">
        <f t="shared" si="114"/>
        <v/>
      </c>
      <c r="OV31" s="110" t="str">
        <f t="shared" si="115"/>
        <v/>
      </c>
      <c r="OW31" s="43" t="str">
        <f t="shared" si="116"/>
        <v/>
      </c>
      <c r="OX31" s="43" t="str">
        <f t="shared" si="117"/>
        <v/>
      </c>
      <c r="OY31" s="43" t="str">
        <f t="shared" si="118"/>
        <v/>
      </c>
      <c r="OZ31" s="43" t="str">
        <f t="shared" si="119"/>
        <v/>
      </c>
      <c r="PA31" s="43" t="str">
        <f t="shared" si="120"/>
        <v/>
      </c>
      <c r="PB31" s="43" t="str">
        <f t="shared" si="121"/>
        <v/>
      </c>
      <c r="PC31" s="43" t="str">
        <f t="shared" si="122"/>
        <v/>
      </c>
      <c r="PD31" s="43" t="str">
        <f t="shared" si="123"/>
        <v/>
      </c>
      <c r="PE31" s="43" t="str">
        <f t="shared" si="124"/>
        <v/>
      </c>
      <c r="PF31" s="43" t="str">
        <f t="shared" si="125"/>
        <v/>
      </c>
      <c r="PG31" s="43" t="str">
        <f t="shared" si="126"/>
        <v/>
      </c>
      <c r="PH31" s="43" t="str">
        <f t="shared" si="127"/>
        <v/>
      </c>
      <c r="PI31" s="43">
        <f t="shared" si="128"/>
        <v>30</v>
      </c>
      <c r="PJ31" s="43" t="str">
        <f t="shared" si="129"/>
        <v/>
      </c>
      <c r="PK31" s="43" t="str">
        <f t="shared" si="130"/>
        <v/>
      </c>
      <c r="PL31" s="43" t="str">
        <f t="shared" si="131"/>
        <v/>
      </c>
      <c r="PM31" s="43" t="str">
        <f t="shared" si="132"/>
        <v/>
      </c>
      <c r="PN31" s="43" t="str">
        <f t="shared" si="133"/>
        <v/>
      </c>
      <c r="PO31" s="43" t="str">
        <f t="shared" si="134"/>
        <v/>
      </c>
      <c r="PP31" s="43" t="str">
        <f t="shared" si="135"/>
        <v/>
      </c>
      <c r="PQ31" s="43" t="str">
        <f t="shared" si="136"/>
        <v/>
      </c>
      <c r="PR31" s="43" t="str">
        <f t="shared" si="137"/>
        <v/>
      </c>
      <c r="PS31" s="43" t="str">
        <f t="shared" si="138"/>
        <v/>
      </c>
      <c r="PT31" s="43" t="str">
        <f t="shared" si="139"/>
        <v/>
      </c>
      <c r="PU31" s="43" t="str">
        <f t="shared" si="140"/>
        <v/>
      </c>
      <c r="PV31" s="43" t="str">
        <f t="shared" si="141"/>
        <v/>
      </c>
      <c r="PW31" s="43" t="str">
        <f t="shared" si="142"/>
        <v/>
      </c>
      <c r="PX31" s="43" t="str">
        <f t="shared" si="143"/>
        <v/>
      </c>
      <c r="PY31" s="43" t="str">
        <f t="shared" si="144"/>
        <v/>
      </c>
      <c r="PZ31" s="43" t="str">
        <f t="shared" si="145"/>
        <v/>
      </c>
      <c r="QA31" s="43" t="str">
        <f t="shared" si="146"/>
        <v/>
      </c>
      <c r="QB31" s="43" t="str">
        <f t="shared" si="147"/>
        <v/>
      </c>
      <c r="QC31" s="43" t="str">
        <f t="shared" si="148"/>
        <v/>
      </c>
      <c r="QD31" s="43" t="str">
        <f t="shared" si="149"/>
        <v/>
      </c>
      <c r="QE31" s="43" t="str">
        <f t="shared" si="150"/>
        <v/>
      </c>
      <c r="QF31" s="43" t="str">
        <f t="shared" si="151"/>
        <v/>
      </c>
      <c r="QG31" s="43" t="str">
        <f t="shared" si="152"/>
        <v/>
      </c>
      <c r="QH31" s="43" t="str">
        <f t="shared" si="153"/>
        <v/>
      </c>
      <c r="QI31" s="43" t="str">
        <f t="shared" si="154"/>
        <v/>
      </c>
      <c r="QJ31" s="43" t="str">
        <f t="shared" si="155"/>
        <v/>
      </c>
      <c r="QK31" s="43" t="str">
        <f t="shared" si="156"/>
        <v/>
      </c>
      <c r="QL31" s="43" t="str">
        <f t="shared" si="157"/>
        <v/>
      </c>
      <c r="QM31" s="43" t="str">
        <f t="shared" si="158"/>
        <v/>
      </c>
      <c r="QN31" s="43" t="str">
        <f t="shared" si="159"/>
        <v/>
      </c>
      <c r="QO31" s="43" t="str">
        <f t="shared" si="160"/>
        <v/>
      </c>
      <c r="QP31" s="43" t="str">
        <f t="shared" si="161"/>
        <v/>
      </c>
      <c r="QQ31" s="43" t="str">
        <f t="shared" si="162"/>
        <v/>
      </c>
      <c r="QR31" s="43">
        <f t="shared" si="192"/>
        <v>30</v>
      </c>
      <c r="QS31" s="43"/>
      <c r="QT31" s="21" t="str">
        <f t="shared" si="163"/>
        <v/>
      </c>
      <c r="QU31" s="21" t="str">
        <f t="shared" si="164"/>
        <v/>
      </c>
      <c r="QV31" s="21" t="str">
        <f t="shared" si="165"/>
        <v/>
      </c>
      <c r="QW31" s="21" t="str">
        <f t="shared" si="166"/>
        <v/>
      </c>
      <c r="QX31" s="21" t="str">
        <f t="shared" si="167"/>
        <v/>
      </c>
      <c r="QY31" s="21" t="str">
        <f t="shared" si="168"/>
        <v/>
      </c>
      <c r="QZ31" s="21" t="str">
        <f t="shared" si="169"/>
        <v/>
      </c>
      <c r="RA31" s="21" t="str">
        <f t="shared" si="170"/>
        <v/>
      </c>
      <c r="RB31" s="21" t="str">
        <f t="shared" si="171"/>
        <v/>
      </c>
      <c r="RC31" s="21" t="str">
        <f t="shared" si="172"/>
        <v/>
      </c>
      <c r="RD31" s="21" t="str">
        <f t="shared" si="173"/>
        <v/>
      </c>
      <c r="RE31" s="21" t="str">
        <f t="shared" si="174"/>
        <v/>
      </c>
      <c r="RF31" s="21" t="str">
        <f t="shared" si="175"/>
        <v/>
      </c>
      <c r="RG31" s="21" t="str">
        <f t="shared" si="176"/>
        <v/>
      </c>
      <c r="RH31" s="21" t="str">
        <f t="shared" si="177"/>
        <v/>
      </c>
      <c r="RI31" s="21" t="str">
        <f t="shared" si="178"/>
        <v/>
      </c>
      <c r="RJ31" s="21" t="str">
        <f t="shared" si="179"/>
        <v/>
      </c>
      <c r="RK31" s="21" t="str">
        <f t="shared" si="180"/>
        <v/>
      </c>
      <c r="RL31" s="21" t="str">
        <f t="shared" si="181"/>
        <v/>
      </c>
      <c r="RM31" s="21" t="str">
        <f t="shared" si="182"/>
        <v/>
      </c>
      <c r="RN31" s="21" t="str">
        <f t="shared" si="183"/>
        <v/>
      </c>
      <c r="RO31" s="21" t="str">
        <f t="shared" si="184"/>
        <v/>
      </c>
      <c r="RP31" s="21" t="str">
        <f t="shared" si="185"/>
        <v/>
      </c>
      <c r="RQ31" s="21" t="str">
        <f t="shared" si="186"/>
        <v/>
      </c>
      <c r="RR31" s="21" t="str">
        <f t="shared" si="187"/>
        <v/>
      </c>
      <c r="RS31" s="21" t="str">
        <f t="shared" si="188"/>
        <v/>
      </c>
      <c r="RT31" s="21" t="str">
        <f t="shared" si="189"/>
        <v/>
      </c>
      <c r="RU31" s="21" t="str">
        <f t="shared" si="190"/>
        <v/>
      </c>
      <c r="RV31" s="21">
        <f t="shared" si="191"/>
        <v>13</v>
      </c>
      <c r="RW31" s="284">
        <f>IF(OR(Tabla1[[#This Row],[FUM FORMULA CONFIABLE]]="",Tabla1[[#This Row],[FUM FORMULA CONFIABLE]]="SD"),"",IF(Tabla1[[#This Row],[FUM FORMULA CONFIABLE]]="CORREGIDA",Tabla1[[#This Row],[FUM X ECO 1]],Tabla1[[#This Row],[FUM x AMENORREA]]))</f>
        <v>44768</v>
      </c>
      <c r="RX31" s="21">
        <f>IF(AND(Tabla1[[#This Row],[FUM X ECO 1]]="",Tabla1[[#This Row],[FUM x AMENORREA]]=""),"",IF(AND(Tabla1[[#This Row],[FUM X ECO 1]]="",Tabla1[[#This Row],[FUM x AMENORREA]]&lt;&gt;""),"X",SUM(Tabla1[[#This Row],[FUM X ECO 1]]-Tabla1[[#This Row],[FUM x AMENORREA]])))</f>
        <v>-11</v>
      </c>
      <c r="RY31" s="21">
        <f t="shared" si="193"/>
        <v>1</v>
      </c>
    </row>
    <row r="32" spans="1:493" ht="45" customHeight="1" x14ac:dyDescent="0.25">
      <c r="A32" s="109"/>
      <c r="B32" s="43" t="s">
        <v>895</v>
      </c>
      <c r="C32" s="43" t="s">
        <v>845</v>
      </c>
      <c r="D32" s="124" t="s">
        <v>846</v>
      </c>
      <c r="E32" s="43" t="s">
        <v>1037</v>
      </c>
      <c r="F32" s="43" t="s">
        <v>980</v>
      </c>
      <c r="G32" s="43" t="s">
        <v>1038</v>
      </c>
      <c r="H32" s="43"/>
      <c r="I32" s="109" t="s">
        <v>851</v>
      </c>
      <c r="J32" s="110">
        <v>1002848059</v>
      </c>
      <c r="K32" s="43" t="s">
        <v>852</v>
      </c>
      <c r="L32" s="175" t="s">
        <v>853</v>
      </c>
      <c r="M32" s="22">
        <v>37087</v>
      </c>
      <c r="N32" s="213">
        <f t="shared" ca="1" si="0"/>
        <v>22.315068493150687</v>
      </c>
      <c r="O32" s="22">
        <v>44848</v>
      </c>
      <c r="P32" s="214" t="str">
        <f t="shared" si="1"/>
        <v>SI</v>
      </c>
      <c r="Q32" s="26" t="s">
        <v>855</v>
      </c>
      <c r="R32" s="22">
        <v>44848</v>
      </c>
      <c r="S32" s="21" t="s">
        <v>856</v>
      </c>
      <c r="T32" s="24" t="s">
        <v>690</v>
      </c>
      <c r="U32" s="21" t="s">
        <v>857</v>
      </c>
      <c r="V32" s="21" t="s">
        <v>858</v>
      </c>
      <c r="W32" s="21" t="s">
        <v>859</v>
      </c>
      <c r="X32" s="21" t="s">
        <v>859</v>
      </c>
      <c r="Y32" s="21" t="s">
        <v>859</v>
      </c>
      <c r="Z32" s="21" t="s">
        <v>894</v>
      </c>
      <c r="AA32" s="21" t="s">
        <v>860</v>
      </c>
      <c r="AB32" s="27" t="s">
        <v>861</v>
      </c>
      <c r="AC32" s="26" t="s">
        <v>877</v>
      </c>
      <c r="AD32" s="38" t="s">
        <v>1039</v>
      </c>
      <c r="AE32" s="26" t="s">
        <v>854</v>
      </c>
      <c r="AF32" s="26" t="s">
        <v>854</v>
      </c>
      <c r="AG32" s="23" t="s">
        <v>864</v>
      </c>
      <c r="AH32" s="23" t="s">
        <v>864</v>
      </c>
      <c r="AI32" s="24" t="s">
        <v>863</v>
      </c>
      <c r="AJ32" s="23" t="s">
        <v>864</v>
      </c>
      <c r="AK32" s="220" t="str">
        <f>IF(AND(AD32="",AE32="",AF32="",AG32="",AH32="",AI32="",AJ32=""),"",IF(OR(Tabla1[[#This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EVALUACIÓN",IF(AND(O32="",R32=""),"",IF(AND(OR(O32&gt;0,R32&gt;0),NG32&gt;=0,NG32&lt;2),"SIN RIESGO",IF(AND(OR(O32&gt;0,R32&gt;0),NG32&gt;=2),"CON RIESGO","ASD")))))</f>
        <v>SIN RIESGO</v>
      </c>
      <c r="AL32" s="23" t="s">
        <v>864</v>
      </c>
      <c r="AM32" s="26" t="s">
        <v>864</v>
      </c>
      <c r="AN32" s="26" t="s">
        <v>864</v>
      </c>
      <c r="AO32" s="26" t="s">
        <v>864</v>
      </c>
      <c r="AP32" s="26" t="s">
        <v>864</v>
      </c>
      <c r="AQ32" s="26" t="s">
        <v>864</v>
      </c>
      <c r="AR32" s="26" t="s">
        <v>864</v>
      </c>
      <c r="AS32" s="21">
        <v>2</v>
      </c>
      <c r="AT32" s="21">
        <v>2</v>
      </c>
      <c r="AU32" s="21">
        <v>0</v>
      </c>
      <c r="AV32" s="26" t="s">
        <v>864</v>
      </c>
      <c r="AW32" s="21">
        <v>0</v>
      </c>
      <c r="AX32" s="26" t="s">
        <v>864</v>
      </c>
      <c r="AY32" s="26" t="s">
        <v>864</v>
      </c>
      <c r="AZ32" s="26" t="s">
        <v>864</v>
      </c>
      <c r="BA32" s="26" t="s">
        <v>864</v>
      </c>
      <c r="BB32" s="26" t="s">
        <v>864</v>
      </c>
      <c r="BC32" s="26" t="s">
        <v>864</v>
      </c>
      <c r="BD32" s="26" t="s">
        <v>864</v>
      </c>
      <c r="BE32" s="26" t="s">
        <v>864</v>
      </c>
      <c r="BF32" s="26" t="s">
        <v>864</v>
      </c>
      <c r="BG32" s="26" t="s">
        <v>864</v>
      </c>
      <c r="BH32" s="26" t="s">
        <v>864</v>
      </c>
      <c r="BI32" s="26" t="s">
        <v>864</v>
      </c>
      <c r="BJ32" s="26"/>
      <c r="BK32" s="26"/>
      <c r="BL32" s="26" t="s">
        <v>864</v>
      </c>
      <c r="BM32" s="26" t="s">
        <v>864</v>
      </c>
      <c r="BN32" s="22">
        <v>43928</v>
      </c>
      <c r="BO32" s="22">
        <v>44799</v>
      </c>
      <c r="BP32" s="21" t="s">
        <v>854</v>
      </c>
      <c r="BQ32" s="222">
        <f t="shared" si="2"/>
        <v>29.033333333333335</v>
      </c>
      <c r="BR32" s="223">
        <f t="shared" si="3"/>
        <v>44799</v>
      </c>
      <c r="BS32" s="224">
        <f t="shared" si="4"/>
        <v>7</v>
      </c>
      <c r="BT32" s="216" t="str">
        <f t="shared" si="5"/>
        <v>I TRIM</v>
      </c>
      <c r="BU32" s="214" t="str">
        <f t="shared" ca="1" si="6"/>
        <v/>
      </c>
      <c r="BV32" s="25"/>
      <c r="BW32" s="22">
        <v>44862</v>
      </c>
      <c r="BX32" s="28">
        <v>9</v>
      </c>
      <c r="BY32" s="28"/>
      <c r="BZ32" s="22">
        <v>44918</v>
      </c>
      <c r="CA32" s="21">
        <v>17</v>
      </c>
      <c r="CB32" s="26" t="s">
        <v>864</v>
      </c>
      <c r="CC32" s="26" t="s">
        <v>864</v>
      </c>
      <c r="CD32" s="26" t="s">
        <v>878</v>
      </c>
      <c r="CE32" s="26" t="s">
        <v>864</v>
      </c>
      <c r="CF32" s="22" t="s">
        <v>1517</v>
      </c>
      <c r="CG32" s="21">
        <v>1.45</v>
      </c>
      <c r="CH32" s="21">
        <v>51.9</v>
      </c>
      <c r="CI32" s="214">
        <f t="shared" si="7"/>
        <v>24.684898929845421</v>
      </c>
      <c r="CJ32" s="225" t="str">
        <f>IF(AND(CI32&lt;10,CH32="SD"),"SIN DATO PESO PREGESTACION O I TRIM",IF(AND(OR(R32&gt;0,O32&gt;0),CI32="X"),"INGRESAR DATO DE PESO",IF(CI32="SD","INGRESAR DATO DE TALLA Y PESO",IF(AND(OR(Tabla1[[#This Row],[MOMENTO EN QUE SE REALIZA EL PESO AL INGRESO A CPN]]="PREGESTACIÓN",NZ32="Menor"),CI32&lt;18.5),"BAJO PESO",IF(AND(OR(Tabla1[[#This Row],[MOMENTO EN QUE SE REALIZA EL PESO AL INGRESO A CPN]]="PREGESTACIÓN",NZ32="Menor"),CI32&lt;25),"NORMAL",IF(AND(OR(Tabla1[[#This Row],[MOMENTO EN QUE SE REALIZA EL PESO AL INGRESO A CPN]]="PREGESTACIÓN",NZ32="Menor"),CI32&lt;30),"SOBREPESO",IF(AND(OR(Tabla1[[#This Row],[MOMENTO EN QUE SE REALIZA EL PESO AL INGRESO A CPN]]="PREGESTACIÓN",NZ32="Menor"),CI32&gt;=30,CI32&lt;50),"OBESIDAD",IF(AND(BS32&gt;0,Tabla1[[#This Row],[MOMENTO EN QUE SE REALIZA EL PESO AL INGRESO A CPN]]="GESTACIÓN"),HLOOKUP(NZ32,$OA$2:PH32,NY32),""))))))))</f>
        <v>NORMAL</v>
      </c>
      <c r="CK32" s="212">
        <f t="shared" si="8"/>
        <v>45069</v>
      </c>
      <c r="CL32" s="21">
        <v>62</v>
      </c>
      <c r="CM32" s="214">
        <f t="shared" si="9"/>
        <v>29.488703923900118</v>
      </c>
      <c r="CN32" s="216">
        <f t="shared" si="10"/>
        <v>38</v>
      </c>
      <c r="CO32" s="216" t="e">
        <f>IF(PI32="","",IF(PI32&gt;0,HLOOKUP(PI32,$PJ$2:QQ32,NY32),""))</f>
        <v>#REF!</v>
      </c>
      <c r="CP32" s="21">
        <v>36</v>
      </c>
      <c r="CQ32" s="216" t="e">
        <f>IF(QR32="Menor","NO APLICA-MENOR 13 SEM",IF(AND(CC32="SI",CN32&gt;23),"NO APLICA- GEMELAR",IF(QR32="","",IF(QR32&gt;0,HLOOKUP(QR32,$QS$2:RU32,NY32),""))))</f>
        <v>#REF!</v>
      </c>
      <c r="CR32" s="21">
        <v>100</v>
      </c>
      <c r="CS32" s="21">
        <v>60</v>
      </c>
      <c r="CT32" s="217" t="str">
        <f>IF(R32="","",IF(AND(BS32&gt;1,BS32&lt;12,Tabla1[[#This Row],[T.A. SISTOLICA - ANTES DE SEMANA 12]]="",Tabla1[[#This Row],[T.A. DIASTOLICA - ANTES DE SEMANA 12]]=""),"REGISTRE DATO TA ANTES SEMANA 12",IF(AND(BS32&gt;11,BS32&lt;43,Tabla1[[#This Row],[T.A. SISTOLICA - ANTES DE SEMANA 12]]="",Tabla1[[#This Row],[T.A. DIASTOLICA - ANTES DE SEMANA 12]]=""),"NO APLICA REGISTRO TA-INGRESO TARDIO",IF(AND(OR(O32&gt;0,R32&gt;0),OR(CR32&gt;=140,CS32&gt;=90)),"DEFINIR ESTADIO HTA",IF(AND(OR(O32&gt;0,R32&gt;0),AND(CR32&gt;120,CR32&lt;=139)),"PRE HTA SEGUIMIENTO",IF(AND(OR(O32&gt;0,R32&gt;0),AND(CS32&gt;80,CS32&lt;=89)),"PRE HTA SEGUIMIENTO",IF(AND(OR(O32&gt;0,R32&gt;0),AND(CR32&gt;=80,CR32&lt;=120)),"APARENTEMENTE NORMAL",IF(AND(OR(O32&gt;0,R32&gt;0),AND(CS32&gt;=50,CS32&lt;=80)),"APARENTEMENTE NORMAL",IF(AND(OR(O32&gt;0,R32&gt;0),AND(CR32&gt;1,CR32&lt;=70),AND(CS32&gt;1,CS32&lt;=40)),"HIPOTENSIÓN","")))))))))</f>
        <v>APARENTEMENTE NORMAL</v>
      </c>
      <c r="CU32" s="21"/>
      <c r="CV32" s="21"/>
      <c r="CW32" s="217" t="str">
        <f ca="1">IF(R32="","",IF(AND(CN32&gt;19,CN32&lt;27,Tabla1[[#This Row],[T.A. SISTOLICA (Entre semana 20 y 26)]]="",Tabla1[[#This Row],[T.A. DIATOLICA (Entre semana 20 y 26)]]=""),"ACUDE A CONTROL SEM 20 A 26 REGISTRE TA AHORA",IF(AND(BS32&gt;1,BS32&lt;27,BU32&gt;19,Tabla1[[#This Row],[T.A. SISTOLICA (Entre semana 20 y 26)]]="",Tabla1[[#This Row],[T.A. DIATOLICA (Entre semana 20 y 26)]]=""),"COMPLETE REGISTRO TA CONTROL SEM 20 A26 ",IF(AND(BS32&gt;26,BS32&lt;43,Tabla1[[#This Row],[T.A. SISTOLICA (Entre semana 20 y 26)]]="",Tabla1[[#This Row],[T.A. DIATOLICA (Entre semana 20 y 26)]]=""),"NO APLICA REGISTRO TA-INGRESO TARDIO",IF(AND(OR(O32&gt;0,R32&gt;0),OR(CU32&gt;=140,CV32&gt;=90)),"ALTO RIESGO PREECLAMPSIA,DEFINIR ESTADIO HTA",IF(AND(OR(O32&gt;0,R32&gt;0),AND(CU32&gt;120,CU32&lt;=139)),"PRE HTA SEGUIMIENTO,RIESGO HIPERTENSION INDUCIDA POR EL EMBARAZO",IF(AND(OR(O32&gt;0,R32&gt;0),AND(CV32&gt;80,CV32&lt;=89)),"PRE HTA SEGUIMIENTO, RIESGO HIPERTENSION INDUCIDA POR EL EMBARAZO",IF(AND(OR(O32&lt;&gt;"",R32&lt;&gt;""),CS32&lt;&gt;"",CV32&lt;&gt;"",CS32&lt;=CV32),"VIGILAR CIFRAS PRESION ARTERIAL",IF(AND(OR(O32&gt;0,R32&gt;0),AND(CU32&gt;120,CU32&lt;=139)),"PRE HTA SEGUIMIENTO",IF(AND(OR(O32&gt;0,R32&gt;0),AND(CU32&gt;1,CU32&lt;=70),AND(CV32&gt;1,CV32&lt;=40)),"HIPOTENSIÓN",IF(AND(OR(O32&lt;&gt;"",R32&lt;&gt;""),CS32&lt;&gt;"",CV32&lt;&gt;"",CS32&gt;CV32),"APARENTEMENTE NORMAL",IF(AND(OR(O32&gt;0,R32&gt;0),AND(CU32&gt;=80,CU32&lt;=120)),"APARENTEMENTE NORMAL",IF(AND(OR(O32&gt;0,R32&gt;0),AND(CV32&gt;=50,CV32&lt;=80)),"APARENTEMENTE NORMAL","")))))))))))))</f>
        <v xml:space="preserve">COMPLETE REGISTRO TA CONTROL SEM 20 A26 </v>
      </c>
      <c r="CX32" s="21">
        <v>100</v>
      </c>
      <c r="CY32" s="21">
        <v>60</v>
      </c>
      <c r="CZ32" s="216" t="str">
        <f t="shared" si="11"/>
        <v>APARENTEMENTE NORMAL</v>
      </c>
      <c r="DA32" s="21">
        <v>100</v>
      </c>
      <c r="DB32" s="21">
        <v>60</v>
      </c>
      <c r="DC32" s="217" t="str">
        <f t="shared" si="12"/>
        <v>APARENTEMENTE NORMAL</v>
      </c>
      <c r="DD32" s="22">
        <v>44848</v>
      </c>
      <c r="DE32" s="22">
        <v>44848</v>
      </c>
      <c r="DF32" s="22">
        <v>44888</v>
      </c>
      <c r="DG32" s="22">
        <v>44918</v>
      </c>
      <c r="DH32" s="22">
        <v>45016</v>
      </c>
      <c r="DI32" s="22">
        <v>45069</v>
      </c>
      <c r="DJ32" s="22"/>
      <c r="DK32" s="22"/>
      <c r="DL32" s="22"/>
      <c r="DM32" s="22"/>
      <c r="DN32" s="22"/>
      <c r="DO32" s="22"/>
      <c r="DP32" s="22"/>
      <c r="DQ32" s="22"/>
      <c r="DR32" s="28">
        <v>2</v>
      </c>
      <c r="DS32" s="22"/>
      <c r="DT32" s="22"/>
      <c r="DU32" s="216" t="str">
        <f t="shared" ca="1" si="13"/>
        <v>SALE SIN PLAN DE PARTO</v>
      </c>
      <c r="DV32" s="226" t="str">
        <f t="shared" si="14"/>
        <v>SALIO PROGRAMA</v>
      </c>
      <c r="DW32"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32" s="216" t="str">
        <f t="shared" ca="1" si="15"/>
        <v/>
      </c>
      <c r="DY32" s="212">
        <f>IF(R32="","",IF(R32&gt;0,MAX(Tabla1[[#This Row],[FECHA C2]:[FECHA C13]],Tabla1[[#This Row],[FECHA CONSULTA PRIMERA VEZ PROGRAMA CPN ]])))</f>
        <v>45069</v>
      </c>
      <c r="DZ32" s="216">
        <f t="shared" si="16"/>
        <v>38</v>
      </c>
      <c r="EA32" s="222">
        <f>IF(R32&gt;0,SUM(COUNTA(DF32:DQ32)+COUNTA(Tabla1[[#This Row],[FECHA CONSULTA PRIMERA VEZ PROGRAMA CPN ]])),"")</f>
        <v>5</v>
      </c>
      <c r="EB32" s="222" t="str">
        <f t="shared" si="17"/>
        <v>SI</v>
      </c>
      <c r="EC32" s="214">
        <f t="shared" si="18"/>
        <v>10</v>
      </c>
      <c r="ED32" s="227">
        <f t="shared" si="19"/>
        <v>0.5</v>
      </c>
      <c r="EE32" s="22">
        <v>44848</v>
      </c>
      <c r="EF32" s="22">
        <v>44862</v>
      </c>
      <c r="EG32" s="22">
        <v>44848</v>
      </c>
      <c r="EH32" s="22"/>
      <c r="EI32" s="22">
        <v>44848</v>
      </c>
      <c r="EJ32" s="22"/>
      <c r="EK32" s="22"/>
      <c r="EL32" s="21"/>
      <c r="EM32" s="21">
        <v>15</v>
      </c>
      <c r="EN32" s="22">
        <v>44862</v>
      </c>
      <c r="EO32" s="222">
        <f t="shared" si="20"/>
        <v>9</v>
      </c>
      <c r="EP32" s="214" t="str">
        <f t="shared" si="21"/>
        <v>NO DAR SULFATO FERROSO</v>
      </c>
      <c r="EQ32" s="216" t="str">
        <f t="shared" si="22"/>
        <v>I TRIM</v>
      </c>
      <c r="ER32" s="24"/>
      <c r="ES32" s="22"/>
      <c r="ET32" s="29" t="str">
        <f t="shared" ca="1" si="23"/>
        <v>SALE SIN TAMIZAJE HEMOGLOBINA SEM 28</v>
      </c>
      <c r="EU32" s="25" t="str">
        <f t="shared" si="24"/>
        <v/>
      </c>
      <c r="EV32" s="24" t="s">
        <v>866</v>
      </c>
      <c r="EW32" s="24">
        <v>44862</v>
      </c>
      <c r="EX32" s="22"/>
      <c r="EY32" s="29">
        <f t="shared" si="25"/>
        <v>9</v>
      </c>
      <c r="EZ32" s="25" t="str">
        <f t="shared" ca="1" si="26"/>
        <v/>
      </c>
      <c r="FA32" s="21">
        <v>101</v>
      </c>
      <c r="FB32" s="22">
        <v>44862</v>
      </c>
      <c r="FC32" s="29">
        <f t="shared" si="27"/>
        <v>9</v>
      </c>
      <c r="FD32" s="29"/>
      <c r="FE32" s="29"/>
      <c r="FF32" s="29"/>
      <c r="FG32" s="21" t="str">
        <f t="shared" ca="1" si="28"/>
        <v/>
      </c>
      <c r="FH32" s="31"/>
      <c r="FI32" s="29" t="str">
        <f t="shared" si="29"/>
        <v>TOMAR EXAMEN</v>
      </c>
      <c r="FJ32" s="22" t="s">
        <v>867</v>
      </c>
      <c r="FK32" s="22">
        <v>44862</v>
      </c>
      <c r="FL32" s="29">
        <f t="shared" ca="1" si="30"/>
        <v>9</v>
      </c>
      <c r="FM32" s="22"/>
      <c r="FN32" s="32"/>
      <c r="FO32" s="29" t="str">
        <f t="shared" ca="1" si="31"/>
        <v>PIERDE TOMA DE TAMIZAJE</v>
      </c>
      <c r="FP32" s="22" t="s">
        <v>867</v>
      </c>
      <c r="FQ32" s="32">
        <v>45072</v>
      </c>
      <c r="FR32" s="29">
        <f t="shared" ca="1" si="32"/>
        <v>39</v>
      </c>
      <c r="FS32" s="22"/>
      <c r="FT32" s="32"/>
      <c r="FU32" s="29" t="str">
        <f>IF(AND(FJ32="",FM32="",FP32="",FS32=""),"",IF(OR(OR(Tabla1[[#This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32" s="28"/>
      <c r="FW32" s="22"/>
      <c r="FX32" s="29" t="str">
        <f t="shared" si="33"/>
        <v>TOMAR EXAMEN</v>
      </c>
      <c r="FY32" s="22">
        <v>44862</v>
      </c>
      <c r="FZ32" s="22">
        <v>44862</v>
      </c>
      <c r="GA32" s="29">
        <f t="shared" ca="1" si="34"/>
        <v>9</v>
      </c>
      <c r="GB32" s="22"/>
      <c r="GC32" s="22"/>
      <c r="GD32" s="29" t="str">
        <f t="shared" ca="1" si="35"/>
        <v>PIERDE TOMA DE TAMIZAJE</v>
      </c>
      <c r="GE32" s="22" t="s">
        <v>868</v>
      </c>
      <c r="GF32" s="22">
        <v>45072</v>
      </c>
      <c r="GG32" s="29">
        <f t="shared" ca="1" si="36"/>
        <v>39</v>
      </c>
      <c r="GH32" s="22"/>
      <c r="GI32" s="29"/>
      <c r="GJ32" s="22"/>
      <c r="GK32" s="22"/>
      <c r="GL32" s="22" t="s">
        <v>879</v>
      </c>
      <c r="GM32" s="22"/>
      <c r="GN32" s="28" t="s">
        <v>869</v>
      </c>
      <c r="GO32" s="22">
        <v>44862</v>
      </c>
      <c r="GP32" s="29">
        <f t="shared" si="37"/>
        <v>9</v>
      </c>
      <c r="GQ32" s="28" t="s">
        <v>869</v>
      </c>
      <c r="GR32" s="28" t="s">
        <v>869</v>
      </c>
      <c r="GS32" s="22" t="str">
        <f t="shared" si="38"/>
        <v>CONTROL Igm</v>
      </c>
      <c r="GT32" s="22">
        <v>44862</v>
      </c>
      <c r="GU32" s="29">
        <f t="shared" si="39"/>
        <v>9</v>
      </c>
      <c r="GV32" s="21" t="str">
        <f t="shared" si="40"/>
        <v>I TRIM</v>
      </c>
      <c r="GW32" s="28" t="s">
        <v>869</v>
      </c>
      <c r="GX32" s="30"/>
      <c r="GY32" s="21"/>
      <c r="GZ32" s="21"/>
      <c r="HA32" s="21"/>
      <c r="HB32" s="21"/>
      <c r="HC32" s="21"/>
      <c r="HD32" s="21"/>
      <c r="HE32" s="21"/>
      <c r="HF32" s="22"/>
      <c r="HG32" s="22" t="str">
        <f>IF(OR(O32&gt;0,R32&gt;0),CONCATENATE(IF(Tabla1[[#This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32" s="22" t="e">
        <f t="shared" si="41"/>
        <v>#REF!</v>
      </c>
      <c r="HI32" s="22" t="e">
        <f t="shared" ca="1" si="42"/>
        <v>#REF!</v>
      </c>
      <c r="HJ32" s="21" t="str">
        <f t="shared" ca="1" si="43"/>
        <v>***************************************</v>
      </c>
      <c r="HK32" s="21" t="str">
        <f t="shared" si="44"/>
        <v>SIN ANTECEDENTES DE RIESGO</v>
      </c>
      <c r="HL32" s="24" t="str">
        <f t="shared" si="45"/>
        <v>APARENTEMENTE NORMAL</v>
      </c>
      <c r="HM32" s="21" t="str">
        <f t="shared" ca="1" si="46"/>
        <v/>
      </c>
      <c r="HN32" s="30" t="str">
        <f t="shared" si="47"/>
        <v>SALIO PROGRAMA</v>
      </c>
      <c r="HO32" s="21"/>
      <c r="HP32" s="21"/>
      <c r="HQ32" s="21">
        <v>44848</v>
      </c>
      <c r="HR32" s="21" t="str">
        <f>IF(R32="","",IF(Tabla1[[#This Row],[ALARMA FACTORES DE RIESGO COMPLICACIONES HIPERTENSIVAS3]]="SIN ANTECEDENTES DE RIESGO","No Aplica para suministro de ASA",IF(AND(Tabla1[[#This Row],[FECHA INICIO DE SUMINISTRO DE ASA]]&gt;0,RV32&lt;12),"Inicia ASA ANTES de Sem 12",IF(AND(RV32&gt;11,RV32&lt;17,OR(HK32="RIESGO ALTO DE COMPLICACIONES HIPERTENSIVAS VER MANEJO GUIA SUMINISTRO ASA Y CALCIO",HK32="RIESGO MODERADO (2 O MAS CRITERIOS) VER MANEJO GUIA SUMINISTRO ASA Y CALCIO")),"Inicio oportuno de ASA",IF(AND(RV32&gt;12,OR(HK32="RIESGO ALTO DE COMPLICACIONES HIPERTENSIVAS VER MANEJO GUIA SUMINISTRO ASA Y CALCIO",HK32="RIESGO MODERADO (2 O MAS CRITERIOS) VER MANEJO GUIA SUMINISTRO ASA Y CALCIO")),"Inicio no oportuno mayor a 16 semanas",IF(AND(BU32&lt;12,OR(HK32="RIESGO ALTO DE COMPLICACIONES HIPERTENSIVAS VER MANEJO GUIA SUMINISTRO ASA Y CALCIO",HK32="RIESGO MODERADO (2 O MAS CRITERIOS) VER MANEJO GUIA SUMINISTRO ASA Y CALCIO")),"Pendiente Inicio de ASA a la semana 12",IF(AND(BU32&gt;11,BU32&lt;17,OR(HK32="RIESGO ALTO DE COMPLICACIONES HIPERTENSIVAS VER MANEJO GUIA SUMINISTRO ASA Y CALCIO",HK32="RIESGO MODERADO (2 O MAS CRITERIOS) VER MANEJO GUIA SUMINISTRO ASA Y CALCIO")),"Iniciar de inmediato ASA",IF(AND(BU32&gt;16,OR(HK32="RIESGO ALTO DE COMPLICACIONES HIPERTENSIVAS VER MANEJO GUIA SUMINISTRO ASA Y CALCIO",HK32="RIESGO MODERADO (2 O MAS CRITERIOS) VER MANEJO GUIA SUMINISTRO ASA Y CALCIO")),"Pierde Oportunidad, Inicio tardío de ASA","XXXXX"))))))))</f>
        <v>No Aplica para suministro de ASA</v>
      </c>
      <c r="HS32" s="22">
        <v>44848</v>
      </c>
      <c r="HT32" s="22" t="s">
        <v>870</v>
      </c>
      <c r="HU32" s="22">
        <v>44848</v>
      </c>
      <c r="HV32" s="22" t="s">
        <v>870</v>
      </c>
      <c r="HW32" s="22">
        <v>44848</v>
      </c>
      <c r="HX32" s="22" t="s">
        <v>870</v>
      </c>
      <c r="HY32" s="22">
        <v>44862</v>
      </c>
      <c r="HZ32" s="28">
        <f t="shared" si="48"/>
        <v>9</v>
      </c>
      <c r="IA32" s="26" t="s">
        <v>864</v>
      </c>
      <c r="IB32" s="26"/>
      <c r="IC32" s="111"/>
      <c r="ID32" s="22"/>
      <c r="IE32" s="22" t="str">
        <f t="shared" ca="1" si="49"/>
        <v>SALE SIN VACUNA</v>
      </c>
      <c r="IF32" s="22"/>
      <c r="IG32" s="22">
        <f t="shared" si="50"/>
        <v>45079</v>
      </c>
      <c r="IH32" s="29">
        <f t="shared" ca="1" si="51"/>
        <v>-153</v>
      </c>
      <c r="II32" s="22" t="str">
        <f t="shared" ca="1" si="52"/>
        <v>POSIBLEMENTE NACIO</v>
      </c>
      <c r="IJ32" s="22"/>
      <c r="IK32" s="21" t="s">
        <v>898</v>
      </c>
      <c r="IL32" s="21"/>
      <c r="IM32" s="34"/>
      <c r="IN32" s="349">
        <v>45075</v>
      </c>
      <c r="IO32" s="21" t="s">
        <v>1186</v>
      </c>
      <c r="IP32" s="29">
        <f t="shared" si="53"/>
        <v>39.428571428571431</v>
      </c>
      <c r="IQ32" s="35" t="s">
        <v>1650</v>
      </c>
      <c r="IR32" s="21" t="s">
        <v>1651</v>
      </c>
      <c r="IS32" s="21" t="s">
        <v>1646</v>
      </c>
      <c r="IT32" s="21" t="s">
        <v>1642</v>
      </c>
      <c r="IU32" s="21"/>
      <c r="IV32" s="21"/>
      <c r="IW32" s="21"/>
      <c r="IX32" s="21"/>
      <c r="IY32" s="21"/>
      <c r="IZ32" s="21"/>
      <c r="JA32" s="21"/>
      <c r="JB32" s="30">
        <v>1</v>
      </c>
      <c r="JC32" s="21" t="s">
        <v>1647</v>
      </c>
      <c r="JD32" s="36">
        <v>3620</v>
      </c>
      <c r="JE32" s="21" t="str">
        <f t="shared" si="54"/>
        <v>PESO ADECUADO EDAD GESTACIONAL</v>
      </c>
      <c r="JF32" s="30"/>
      <c r="JG32" s="21"/>
      <c r="JH32" s="21"/>
      <c r="JI32" s="21" t="s">
        <v>854</v>
      </c>
      <c r="JJ32" s="30" t="s">
        <v>926</v>
      </c>
      <c r="JK32" s="22"/>
      <c r="JL32" s="22"/>
      <c r="JM32" s="21"/>
      <c r="JN32" s="36"/>
      <c r="JO32" s="21" t="str">
        <f t="shared" si="55"/>
        <v/>
      </c>
      <c r="JP32" s="22"/>
      <c r="JQ32" s="21"/>
      <c r="JR32" s="21"/>
      <c r="JS32" s="21"/>
      <c r="JT32" s="30"/>
      <c r="JU32" s="22"/>
      <c r="JV32" s="22"/>
      <c r="JW32" s="33"/>
      <c r="JX32" s="28" t="str">
        <f t="shared" si="56"/>
        <v>INASISTENTE</v>
      </c>
      <c r="JY32" s="33"/>
      <c r="JZ32" s="28" t="str">
        <f t="shared" si="57"/>
        <v>INASISTENTE</v>
      </c>
      <c r="KA32" s="21"/>
      <c r="KB32" s="21"/>
      <c r="KC32" s="21"/>
      <c r="KD32" s="37"/>
      <c r="KE32" s="28"/>
      <c r="KF32" s="28"/>
      <c r="KG32" s="28"/>
      <c r="KH32" s="39"/>
      <c r="KI32" s="39"/>
      <c r="KJ32" s="66"/>
      <c r="KK32" s="39"/>
      <c r="KL32" s="39"/>
      <c r="KM32" s="66"/>
      <c r="KN32" s="39"/>
      <c r="KO32" s="39"/>
      <c r="KP32" s="39"/>
      <c r="KQ32" s="39"/>
      <c r="KR32" s="39"/>
      <c r="KS32" s="39"/>
      <c r="KT32" s="39"/>
      <c r="KU32" s="38"/>
      <c r="KV32" s="38"/>
      <c r="KW32" s="38"/>
      <c r="KX32" s="38"/>
      <c r="KY32" s="38"/>
      <c r="KZ32" s="38"/>
      <c r="LA32" s="38"/>
      <c r="LB32" s="38"/>
      <c r="LC32" s="38"/>
      <c r="LD32" s="38"/>
      <c r="LE32" s="38"/>
      <c r="LF32" s="38"/>
      <c r="LG32" s="38"/>
      <c r="LH32" s="38"/>
      <c r="LI32" s="38"/>
      <c r="LJ32" s="38"/>
      <c r="LK32" s="38"/>
      <c r="LL32" s="38"/>
      <c r="LM32" s="38"/>
      <c r="LN32" s="38"/>
      <c r="LO32" s="38"/>
      <c r="LP32" s="38"/>
      <c r="LQ32" s="38"/>
      <c r="LR32" s="38"/>
      <c r="LS32" s="38"/>
      <c r="LT32" s="38"/>
      <c r="LU32" s="38"/>
      <c r="LV32" s="38"/>
      <c r="LW32" s="38"/>
      <c r="LX32" s="38"/>
      <c r="LY32" s="38"/>
      <c r="LZ32" s="38"/>
      <c r="MA32" s="38"/>
      <c r="MB32" s="38"/>
      <c r="MC32" s="38"/>
      <c r="MD32" s="38"/>
      <c r="ME32" s="38"/>
      <c r="MF32" s="38"/>
      <c r="MG32" s="38"/>
      <c r="MH32" s="43">
        <f t="shared" si="58"/>
        <v>0</v>
      </c>
      <c r="MI32" s="43" t="str">
        <f t="shared" si="59"/>
        <v/>
      </c>
      <c r="MJ32" s="43" t="str">
        <f t="shared" si="60"/>
        <v/>
      </c>
      <c r="MK32" s="43">
        <f t="shared" si="61"/>
        <v>0</v>
      </c>
      <c r="ML3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32" s="43">
        <f t="shared" si="62"/>
        <v>7</v>
      </c>
      <c r="MN32" s="43">
        <f t="shared" si="63"/>
        <v>10</v>
      </c>
      <c r="MO32" s="43">
        <f t="shared" si="64"/>
        <v>2022</v>
      </c>
      <c r="MP32" s="43" t="str">
        <f t="shared" si="65"/>
        <v>IV TRIMESTRE AÑO</v>
      </c>
      <c r="MQ32" s="43">
        <f t="shared" si="66"/>
        <v>20.940100744634254</v>
      </c>
      <c r="MR32" s="43">
        <f t="shared" si="67"/>
        <v>0</v>
      </c>
      <c r="MS32" s="43" t="str">
        <f t="shared" si="68"/>
        <v xml:space="preserve"> DE 20 A 24 AÑOS</v>
      </c>
      <c r="MT32" s="43">
        <f t="shared" si="69"/>
        <v>0</v>
      </c>
      <c r="MU32" s="43">
        <f t="shared" si="70"/>
        <v>0</v>
      </c>
      <c r="MV32" s="43">
        <f t="shared" si="71"/>
        <v>0</v>
      </c>
      <c r="MW32" s="43">
        <f t="shared" si="72"/>
        <v>0</v>
      </c>
      <c r="MX32" s="43" t="str">
        <f t="shared" si="73"/>
        <v/>
      </c>
      <c r="MY32" s="43" t="str">
        <f t="shared" ca="1" si="74"/>
        <v/>
      </c>
      <c r="MZ32" s="43" t="str">
        <f t="shared" si="75"/>
        <v/>
      </c>
      <c r="NA32" s="43">
        <f t="shared" si="76"/>
        <v>0</v>
      </c>
      <c r="NB32" s="43" t="str">
        <f t="shared" si="77"/>
        <v/>
      </c>
      <c r="NC32" s="43" t="str">
        <f t="shared" si="78"/>
        <v/>
      </c>
      <c r="ND32" s="43">
        <f t="shared" ca="1" si="79"/>
        <v>0</v>
      </c>
      <c r="NE32" s="43">
        <f>IF(OR(O32&gt;0,R32&gt;0),SUM(COUNTIF(Tabla1[[#This Row],[AÑOS AL INICIO5 CPN]],"&gt;=40"),COUNTIF(AS32,"0"),COUNTIF(AR32,"SI"),COUNTIF(CC32,"SI"),COUNTIF(BQ32,"&gt;119"),COUNTIF(CI32,"&gt;=35")),"")</f>
        <v>0</v>
      </c>
      <c r="NF32" s="43" t="str">
        <f t="shared" si="80"/>
        <v/>
      </c>
      <c r="NG32" s="43">
        <f t="shared" si="81"/>
        <v>0</v>
      </c>
      <c r="NH32" s="43">
        <f t="shared" si="82"/>
        <v>63</v>
      </c>
      <c r="NI32"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CPN",P32="NO"),"Z",IF(AND(Tabla1[[#This Row],[CITA PROXIMO CONTROL]]="CITA MANUAL",Tabla1[[#This Row],[GESTANTES ACTUALES]]="ACTIVA INGRESO A CPN"),"W",IF(AND(Tabla1[[#This Row],[GESTANTES ACTUALES]]="SALIO PROGRAMA",IN32=""),"S",IF(AND(Tabla1[[#This Row],[CITA PROXIMO CONTROL]]&gt;0,IN32=""),(Tabla1[[#This Row],[CITA PROXIMO CONTROL]]-TODAY()),"SD"))))))))</f>
        <v>SD</v>
      </c>
      <c r="NJ32" s="43">
        <f>MONTH(Tabla1[[#This Row],[FECHA DE SALIDA  DEL PROGRAMA]])</f>
        <v>5</v>
      </c>
      <c r="NK32" s="43">
        <f>YEAR(Tabla1[[#This Row],[FECHA DE SALIDA  DEL PROGRAMA]])</f>
        <v>2023</v>
      </c>
      <c r="NL32" s="43" t="str">
        <f t="shared" si="83"/>
        <v>X</v>
      </c>
      <c r="NM32" s="43" t="str">
        <f t="shared" si="84"/>
        <v>NO</v>
      </c>
      <c r="NN32" s="43" t="str">
        <f ca="1">IF(AND(O32&gt;0,R32=""),"NO CPN",IF(AND(O32="",R32=""),"",IF(AND(R32&gt;0,Tabla1[[#This Row],[SEMANAS DE GESTACION ACTUALIZADAS]]&lt;=12),"NO APLICA",IF(AND(FH32&lt;&gt;"",FN32&lt;&gt;""),"SI","NO"))))</f>
        <v>NO</v>
      </c>
      <c r="NO32" s="43" t="str">
        <f ca="1">IF(AND(O32&gt;0,R32=""),"NO CPN",IF(AND(O32="",R32=""),"",IF(AND(R32&gt;0,Tabla1[[#This Row],[SEMANAS DE GESTACION ACTUALIZADAS]]&lt;=27),"NO APLICA",IF(AND(ES32&lt;&gt;"",FQ32&lt;&gt;"",GF32&lt;&gt;""),"SI","NO"))))</f>
        <v>NO</v>
      </c>
      <c r="NP32" s="204" t="str">
        <f t="shared" si="85"/>
        <v>I TRIM</v>
      </c>
      <c r="NQ32" s="21">
        <f t="shared" si="86"/>
        <v>1</v>
      </c>
      <c r="NR32" s="21">
        <f t="shared" si="87"/>
        <v>3</v>
      </c>
      <c r="NS32" s="205">
        <f t="shared" ca="1" si="88"/>
        <v>2</v>
      </c>
      <c r="NT32" s="21">
        <f t="shared" ca="1" si="89"/>
        <v>2</v>
      </c>
      <c r="NU32" s="21" t="str">
        <f t="shared" ca="1" si="90"/>
        <v>INCOMPLETO</v>
      </c>
      <c r="NV32" s="21" t="str">
        <f t="shared" ca="1" si="91"/>
        <v>INCOMPLETO</v>
      </c>
      <c r="NW32" s="206" t="str">
        <f>IF(AND(O32="",R32=""),"",IF(OR(AND(Tabla1[[#This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32" s="207" t="str">
        <f t="shared" ca="1" si="92"/>
        <v>SIN VACUNAR</v>
      </c>
      <c r="NY32" s="43">
        <f>ROW(Tabla1[[#This Row],['# DE TAMIZAJES SIFILIS TOMADOS ]])</f>
        <v>32</v>
      </c>
      <c r="NZ32" s="43" t="str">
        <f t="shared" si="93"/>
        <v>Menor</v>
      </c>
      <c r="OA32" s="43" t="str">
        <f t="shared" si="94"/>
        <v>NORMAL</v>
      </c>
      <c r="OB32" s="43" t="str">
        <f t="shared" si="95"/>
        <v/>
      </c>
      <c r="OC32" s="43" t="str">
        <f t="shared" si="96"/>
        <v/>
      </c>
      <c r="OD32" s="43" t="str">
        <f t="shared" si="97"/>
        <v/>
      </c>
      <c r="OE32" s="43" t="str">
        <f t="shared" si="98"/>
        <v/>
      </c>
      <c r="OF32" s="43" t="str">
        <f t="shared" si="99"/>
        <v/>
      </c>
      <c r="OG32" s="43" t="str">
        <f t="shared" si="100"/>
        <v/>
      </c>
      <c r="OH32" s="43" t="str">
        <f t="shared" si="101"/>
        <v/>
      </c>
      <c r="OI32" s="43" t="str">
        <f t="shared" si="102"/>
        <v/>
      </c>
      <c r="OJ32" s="43" t="str">
        <f t="shared" si="103"/>
        <v/>
      </c>
      <c r="OK32" s="43" t="str">
        <f t="shared" si="104"/>
        <v/>
      </c>
      <c r="OL32" s="43" t="str">
        <f t="shared" si="105"/>
        <v/>
      </c>
      <c r="OM32" s="43" t="str">
        <f t="shared" si="106"/>
        <v/>
      </c>
      <c r="ON32" s="43" t="str">
        <f t="shared" si="107"/>
        <v/>
      </c>
      <c r="OO32" s="43" t="str">
        <f t="shared" si="108"/>
        <v/>
      </c>
      <c r="OP32" s="43" t="str">
        <f t="shared" si="109"/>
        <v/>
      </c>
      <c r="OQ32" s="43" t="str">
        <f t="shared" si="110"/>
        <v/>
      </c>
      <c r="OR32" s="43" t="str">
        <f t="shared" si="111"/>
        <v/>
      </c>
      <c r="OS32" s="43" t="str">
        <f t="shared" si="112"/>
        <v/>
      </c>
      <c r="OT32" s="43" t="str">
        <f t="shared" si="113"/>
        <v/>
      </c>
      <c r="OU32" s="43" t="str">
        <f t="shared" si="114"/>
        <v/>
      </c>
      <c r="OV32" s="110" t="str">
        <f t="shared" si="115"/>
        <v/>
      </c>
      <c r="OW32" s="43" t="str">
        <f t="shared" si="116"/>
        <v/>
      </c>
      <c r="OX32" s="43" t="str">
        <f t="shared" si="117"/>
        <v/>
      </c>
      <c r="OY32" s="43" t="str">
        <f t="shared" si="118"/>
        <v/>
      </c>
      <c r="OZ32" s="43" t="str">
        <f t="shared" si="119"/>
        <v/>
      </c>
      <c r="PA32" s="43" t="str">
        <f t="shared" si="120"/>
        <v/>
      </c>
      <c r="PB32" s="43" t="str">
        <f t="shared" si="121"/>
        <v/>
      </c>
      <c r="PC32" s="43" t="str">
        <f t="shared" si="122"/>
        <v/>
      </c>
      <c r="PD32" s="43" t="str">
        <f t="shared" si="123"/>
        <v/>
      </c>
      <c r="PE32" s="43" t="str">
        <f t="shared" si="124"/>
        <v/>
      </c>
      <c r="PF32" s="43" t="str">
        <f t="shared" si="125"/>
        <v/>
      </c>
      <c r="PG32" s="43" t="str">
        <f t="shared" si="126"/>
        <v/>
      </c>
      <c r="PH32" s="43" t="str">
        <f t="shared" si="127"/>
        <v/>
      </c>
      <c r="PI32" s="43">
        <f t="shared" si="128"/>
        <v>38</v>
      </c>
      <c r="PJ32" s="43" t="str">
        <f t="shared" si="129"/>
        <v/>
      </c>
      <c r="PK32" s="43" t="str">
        <f t="shared" si="130"/>
        <v/>
      </c>
      <c r="PL32" s="43" t="str">
        <f t="shared" si="131"/>
        <v/>
      </c>
      <c r="PM32" s="43" t="str">
        <f t="shared" si="132"/>
        <v/>
      </c>
      <c r="PN32" s="43" t="str">
        <f t="shared" si="133"/>
        <v/>
      </c>
      <c r="PO32" s="43" t="str">
        <f t="shared" si="134"/>
        <v/>
      </c>
      <c r="PP32" s="43" t="str">
        <f t="shared" si="135"/>
        <v/>
      </c>
      <c r="PQ32" s="43" t="str">
        <f t="shared" si="136"/>
        <v/>
      </c>
      <c r="PR32" s="43" t="str">
        <f t="shared" si="137"/>
        <v/>
      </c>
      <c r="PS32" s="43" t="str">
        <f t="shared" si="138"/>
        <v/>
      </c>
      <c r="PT32" s="43" t="str">
        <f t="shared" si="139"/>
        <v/>
      </c>
      <c r="PU32" s="43" t="str">
        <f t="shared" si="140"/>
        <v/>
      </c>
      <c r="PV32" s="43" t="str">
        <f t="shared" si="141"/>
        <v/>
      </c>
      <c r="PW32" s="43" t="str">
        <f t="shared" si="142"/>
        <v/>
      </c>
      <c r="PX32" s="43" t="str">
        <f t="shared" si="143"/>
        <v/>
      </c>
      <c r="PY32" s="43" t="str">
        <f t="shared" si="144"/>
        <v/>
      </c>
      <c r="PZ32" s="43" t="str">
        <f t="shared" si="145"/>
        <v/>
      </c>
      <c r="QA32" s="43" t="str">
        <f t="shared" si="146"/>
        <v/>
      </c>
      <c r="QB32" s="43" t="str">
        <f t="shared" si="147"/>
        <v/>
      </c>
      <c r="QC32" s="43" t="str">
        <f t="shared" si="148"/>
        <v/>
      </c>
      <c r="QD32" s="43" t="str">
        <f t="shared" si="149"/>
        <v/>
      </c>
      <c r="QE32" s="43" t="str">
        <f t="shared" si="150"/>
        <v/>
      </c>
      <c r="QF32" s="43" t="str">
        <f t="shared" si="151"/>
        <v/>
      </c>
      <c r="QG32" s="43" t="str">
        <f t="shared" si="152"/>
        <v/>
      </c>
      <c r="QH32" s="43" t="str">
        <f t="shared" si="153"/>
        <v/>
      </c>
      <c r="QI32" s="43" t="str">
        <f t="shared" si="154"/>
        <v/>
      </c>
      <c r="QJ32" s="43" t="str">
        <f t="shared" si="155"/>
        <v/>
      </c>
      <c r="QK32" s="43" t="str">
        <f t="shared" si="156"/>
        <v/>
      </c>
      <c r="QL32" s="43" t="str">
        <f t="shared" si="157"/>
        <v/>
      </c>
      <c r="QM32" s="43" t="str">
        <f t="shared" si="158"/>
        <v>SOBREPESO</v>
      </c>
      <c r="QN32" s="43" t="str">
        <f t="shared" si="159"/>
        <v/>
      </c>
      <c r="QO32" s="43" t="str">
        <f t="shared" si="160"/>
        <v/>
      </c>
      <c r="QP32" s="43" t="str">
        <f t="shared" si="161"/>
        <v/>
      </c>
      <c r="QQ32" s="43" t="str">
        <f t="shared" si="162"/>
        <v/>
      </c>
      <c r="QR32" s="43">
        <f t="shared" si="192"/>
        <v>38</v>
      </c>
      <c r="QS32" s="43"/>
      <c r="QT32" s="21" t="str">
        <f t="shared" si="163"/>
        <v/>
      </c>
      <c r="QU32" s="21" t="str">
        <f t="shared" si="164"/>
        <v/>
      </c>
      <c r="QV32" s="21" t="str">
        <f t="shared" si="165"/>
        <v/>
      </c>
      <c r="QW32" s="21" t="str">
        <f t="shared" si="166"/>
        <v/>
      </c>
      <c r="QX32" s="21" t="str">
        <f t="shared" si="167"/>
        <v/>
      </c>
      <c r="QY32" s="21" t="str">
        <f t="shared" si="168"/>
        <v/>
      </c>
      <c r="QZ32" s="21" t="str">
        <f t="shared" si="169"/>
        <v/>
      </c>
      <c r="RA32" s="21" t="str">
        <f t="shared" si="170"/>
        <v/>
      </c>
      <c r="RB32" s="21" t="str">
        <f t="shared" si="171"/>
        <v/>
      </c>
      <c r="RC32" s="21" t="str">
        <f t="shared" si="172"/>
        <v/>
      </c>
      <c r="RD32" s="21" t="str">
        <f t="shared" si="173"/>
        <v/>
      </c>
      <c r="RE32" s="21" t="str">
        <f t="shared" si="174"/>
        <v/>
      </c>
      <c r="RF32" s="21" t="str">
        <f t="shared" si="175"/>
        <v/>
      </c>
      <c r="RG32" s="21" t="str">
        <f t="shared" si="176"/>
        <v/>
      </c>
      <c r="RH32" s="21" t="str">
        <f t="shared" si="177"/>
        <v/>
      </c>
      <c r="RI32" s="21" t="str">
        <f t="shared" si="178"/>
        <v/>
      </c>
      <c r="RJ32" s="21" t="str">
        <f t="shared" si="179"/>
        <v/>
      </c>
      <c r="RK32" s="21" t="str">
        <f t="shared" si="180"/>
        <v/>
      </c>
      <c r="RL32" s="21" t="str">
        <f t="shared" si="181"/>
        <v/>
      </c>
      <c r="RM32" s="21" t="str">
        <f t="shared" si="182"/>
        <v/>
      </c>
      <c r="RN32" s="21" t="str">
        <f t="shared" si="183"/>
        <v/>
      </c>
      <c r="RO32" s="21" t="str">
        <f t="shared" si="184"/>
        <v/>
      </c>
      <c r="RP32" s="21" t="str">
        <f t="shared" si="185"/>
        <v/>
      </c>
      <c r="RQ32" s="21" t="str">
        <f t="shared" si="186"/>
        <v/>
      </c>
      <c r="RR32" s="21" t="str">
        <f t="shared" si="187"/>
        <v/>
      </c>
      <c r="RS32" s="21" t="str">
        <f t="shared" si="188"/>
        <v>ALTO PARA EDAD GESTACIONAL</v>
      </c>
      <c r="RT32" s="21" t="str">
        <f t="shared" si="189"/>
        <v/>
      </c>
      <c r="RU32" s="21" t="str">
        <f t="shared" si="190"/>
        <v/>
      </c>
      <c r="RV32" s="21">
        <f t="shared" si="191"/>
        <v>7</v>
      </c>
      <c r="RW32" s="284">
        <f>IF(OR(Tabla1[[#This Row],[FUM FORMULA CONFIABLE]]="",Tabla1[[#This Row],[FUM FORMULA CONFIABLE]]="SD"),"",IF(Tabla1[[#This Row],[FUM FORMULA CONFIABLE]]="CORREGIDA",Tabla1[[#This Row],[FUM X ECO 1]],Tabla1[[#This Row],[FUM x AMENORREA]]))</f>
        <v>44799</v>
      </c>
      <c r="RX32" s="21">
        <f>IF(AND(Tabla1[[#This Row],[FUM X ECO 1]]="",Tabla1[[#This Row],[FUM x AMENORREA]]=""),"",IF(AND(Tabla1[[#This Row],[FUM X ECO 1]]="",Tabla1[[#This Row],[FUM x AMENORREA]]&lt;&gt;""),"X",SUM(Tabla1[[#This Row],[FUM X ECO 1]]-Tabla1[[#This Row],[FUM x AMENORREA]])))</f>
        <v>0</v>
      </c>
      <c r="RY32" s="21">
        <f t="shared" si="193"/>
        <v>0</v>
      </c>
    </row>
    <row r="33" spans="1:493" ht="45" customHeight="1" x14ac:dyDescent="0.25">
      <c r="A33" s="109" t="s">
        <v>1040</v>
      </c>
      <c r="B33" s="43" t="s">
        <v>900</v>
      </c>
      <c r="C33" s="43" t="s">
        <v>845</v>
      </c>
      <c r="D33" s="124" t="s">
        <v>846</v>
      </c>
      <c r="E33" s="43" t="s">
        <v>1041</v>
      </c>
      <c r="F33" s="43" t="s">
        <v>915</v>
      </c>
      <c r="G33" s="43" t="s">
        <v>1042</v>
      </c>
      <c r="H33" s="43" t="s">
        <v>1043</v>
      </c>
      <c r="I33" s="109" t="s">
        <v>851</v>
      </c>
      <c r="J33" s="110">
        <v>1059599632</v>
      </c>
      <c r="K33" s="43" t="s">
        <v>932</v>
      </c>
      <c r="L33" s="175" t="s">
        <v>853</v>
      </c>
      <c r="M33" s="22">
        <v>33361</v>
      </c>
      <c r="N33" s="213">
        <f t="shared" ca="1" si="0"/>
        <v>32.523287671232879</v>
      </c>
      <c r="O33" s="22">
        <v>44859</v>
      </c>
      <c r="P33" s="214" t="str">
        <f t="shared" si="1"/>
        <v>SI</v>
      </c>
      <c r="Q33" s="26" t="s">
        <v>855</v>
      </c>
      <c r="R33" s="22">
        <v>44859</v>
      </c>
      <c r="S33" s="21" t="s">
        <v>856</v>
      </c>
      <c r="T33" s="24" t="s">
        <v>690</v>
      </c>
      <c r="U33" s="21" t="s">
        <v>857</v>
      </c>
      <c r="V33" s="21" t="s">
        <v>858</v>
      </c>
      <c r="W33" s="21" t="s">
        <v>859</v>
      </c>
      <c r="X33" s="21" t="s">
        <v>1044</v>
      </c>
      <c r="Y33" s="21" t="s">
        <v>859</v>
      </c>
      <c r="Z33" s="21">
        <v>3215656426</v>
      </c>
      <c r="AA33" s="21" t="s">
        <v>860</v>
      </c>
      <c r="AB33" s="27" t="s">
        <v>861</v>
      </c>
      <c r="AC33" s="26" t="s">
        <v>888</v>
      </c>
      <c r="AD33" s="38" t="s">
        <v>863</v>
      </c>
      <c r="AE33" s="26" t="s">
        <v>854</v>
      </c>
      <c r="AF33" s="26" t="s">
        <v>854</v>
      </c>
      <c r="AG33" s="23" t="s">
        <v>864</v>
      </c>
      <c r="AH33" s="23" t="s">
        <v>864</v>
      </c>
      <c r="AI33" s="24" t="s">
        <v>863</v>
      </c>
      <c r="AJ33" s="23" t="s">
        <v>864</v>
      </c>
      <c r="AK33" s="220" t="str">
        <f>IF(AND(AD33="",AE33="",AF33="",AG33="",AH33="",AI33="",AJ33=""),"",IF(OR(Tabla1[[#This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EVALUACIÓN",IF(AND(O33="",R33=""),"",IF(AND(OR(O33&gt;0,R33&gt;0),NG33&gt;=0,NG33&lt;2),"SIN RIESGO",IF(AND(OR(O33&gt;0,R33&gt;0),NG33&gt;=2),"CON RIESGO","ASD")))))</f>
        <v>SIN RIESGO</v>
      </c>
      <c r="AL33" s="23" t="s">
        <v>864</v>
      </c>
      <c r="AM33" s="26" t="s">
        <v>864</v>
      </c>
      <c r="AN33" s="26" t="s">
        <v>864</v>
      </c>
      <c r="AO33" s="26" t="s">
        <v>864</v>
      </c>
      <c r="AP33" s="26" t="s">
        <v>864</v>
      </c>
      <c r="AQ33" s="26" t="s">
        <v>864</v>
      </c>
      <c r="AR33" s="26" t="s">
        <v>864</v>
      </c>
      <c r="AS33" s="21">
        <v>0</v>
      </c>
      <c r="AT33" s="21">
        <v>0</v>
      </c>
      <c r="AU33" s="21">
        <v>0</v>
      </c>
      <c r="AV33" s="26" t="s">
        <v>864</v>
      </c>
      <c r="AW33" s="21">
        <v>0</v>
      </c>
      <c r="AX33" s="26" t="s">
        <v>864</v>
      </c>
      <c r="AY33" s="26" t="s">
        <v>864</v>
      </c>
      <c r="AZ33" s="26" t="s">
        <v>864</v>
      </c>
      <c r="BA33" s="26" t="s">
        <v>864</v>
      </c>
      <c r="BB33" s="26" t="s">
        <v>864</v>
      </c>
      <c r="BC33" s="26" t="s">
        <v>864</v>
      </c>
      <c r="BD33" s="26" t="s">
        <v>864</v>
      </c>
      <c r="BE33" s="26" t="s">
        <v>864</v>
      </c>
      <c r="BF33" s="26" t="s">
        <v>864</v>
      </c>
      <c r="BG33" s="26" t="s">
        <v>864</v>
      </c>
      <c r="BH33" s="26" t="s">
        <v>864</v>
      </c>
      <c r="BI33" s="26" t="s">
        <v>864</v>
      </c>
      <c r="BJ33" s="26"/>
      <c r="BK33" s="26"/>
      <c r="BL33" s="26" t="s">
        <v>864</v>
      </c>
      <c r="BM33" s="26" t="s">
        <v>864</v>
      </c>
      <c r="BN33" s="22"/>
      <c r="BO33" s="22">
        <v>44733</v>
      </c>
      <c r="BP33" s="21" t="s">
        <v>854</v>
      </c>
      <c r="BQ33" s="222">
        <f t="shared" si="2"/>
        <v>0</v>
      </c>
      <c r="BR33" s="223">
        <f t="shared" si="3"/>
        <v>44733.9</v>
      </c>
      <c r="BS33" s="224">
        <f t="shared" si="4"/>
        <v>18</v>
      </c>
      <c r="BT33" s="216" t="str">
        <f t="shared" si="5"/>
        <v>II TRIM</v>
      </c>
      <c r="BU33" s="214" t="str">
        <f t="shared" ca="1" si="6"/>
        <v/>
      </c>
      <c r="BV33" s="25"/>
      <c r="BW33" s="22">
        <v>44862</v>
      </c>
      <c r="BX33" s="28">
        <v>18.3</v>
      </c>
      <c r="BY33" s="28"/>
      <c r="BZ33" s="22">
        <v>44895</v>
      </c>
      <c r="CA33" s="21">
        <v>23</v>
      </c>
      <c r="CB33" s="26" t="s">
        <v>864</v>
      </c>
      <c r="CC33" s="26" t="s">
        <v>864</v>
      </c>
      <c r="CD33" s="26" t="s">
        <v>878</v>
      </c>
      <c r="CE33" s="26" t="s">
        <v>864</v>
      </c>
      <c r="CF33" s="22" t="s">
        <v>1517</v>
      </c>
      <c r="CG33" s="21">
        <v>1.55</v>
      </c>
      <c r="CH33" s="21">
        <v>62.3</v>
      </c>
      <c r="CI33" s="214">
        <f t="shared" si="7"/>
        <v>25.931321540062431</v>
      </c>
      <c r="CJ33" s="225" t="e">
        <f>IF(AND(CI33&lt;10,CH33="SD"),"SIN DATO PESO PREGESTACION O I TRIM",IF(AND(OR(R33&gt;0,O33&gt;0),CI33="X"),"INGRESAR DATO DE PESO",IF(CI33="SD","INGRESAR DATO DE TALLA Y PESO",IF(AND(OR(Tabla1[[#This Row],[MOMENTO EN QUE SE REALIZA EL PESO AL INGRESO A CPN]]="PREGESTACIÓN",NZ33="Menor"),CI33&lt;18.5),"BAJO PESO",IF(AND(OR(Tabla1[[#This Row],[MOMENTO EN QUE SE REALIZA EL PESO AL INGRESO A CPN]]="PREGESTACIÓN",NZ33="Menor"),CI33&lt;25),"NORMAL",IF(AND(OR(Tabla1[[#This Row],[MOMENTO EN QUE SE REALIZA EL PESO AL INGRESO A CPN]]="PREGESTACIÓN",NZ33="Menor"),CI33&lt;30),"SOBREPESO",IF(AND(OR(Tabla1[[#This Row],[MOMENTO EN QUE SE REALIZA EL PESO AL INGRESO A CPN]]="PREGESTACIÓN",NZ33="Menor"),CI33&gt;=30,CI33&lt;50),"OBESIDAD",IF(AND(BS33&gt;0,Tabla1[[#This Row],[MOMENTO EN QUE SE REALIZA EL PESO AL INGRESO A CPN]]="GESTACIÓN"),HLOOKUP(NZ33,$OA$2:PH33,NY33),""))))))))</f>
        <v>#REF!</v>
      </c>
      <c r="CK33" s="212">
        <f t="shared" si="8"/>
        <v>44965</v>
      </c>
      <c r="CL33" s="21"/>
      <c r="CM33" s="214">
        <f t="shared" si="9"/>
        <v>0</v>
      </c>
      <c r="CN33" s="216">
        <f t="shared" si="10"/>
        <v>33</v>
      </c>
      <c r="CO33" s="216" t="e">
        <f>IF(PI33="","",IF(PI33&gt;0,HLOOKUP(PI33,$PJ$2:QQ33,NY33),""))</f>
        <v>#REF!</v>
      </c>
      <c r="CP33" s="21"/>
      <c r="CQ33" s="216" t="e">
        <f>IF(QR33="Menor","NO APLICA-MENOR 13 SEM",IF(AND(CC33="SI",CN33&gt;23),"NO APLICA- GEMELAR",IF(QR33="","",IF(QR33&gt;0,HLOOKUP(QR33,$QS$2:RU33,NY33),""))))</f>
        <v>#REF!</v>
      </c>
      <c r="CR33" s="21">
        <v>120</v>
      </c>
      <c r="CS33" s="21">
        <v>65</v>
      </c>
      <c r="CT33" s="217" t="str">
        <f>IF(R33="","",IF(AND(BS33&gt;1,BS33&lt;12,Tabla1[[#This Row],[T.A. SISTOLICA - ANTES DE SEMANA 12]]="",Tabla1[[#This Row],[T.A. DIASTOLICA - ANTES DE SEMANA 12]]=""),"REGISTRE DATO TA ANTES SEMANA 12",IF(AND(BS33&gt;11,BS33&lt;43,Tabla1[[#This Row],[T.A. SISTOLICA - ANTES DE SEMANA 12]]="",Tabla1[[#This Row],[T.A. DIASTOLICA - ANTES DE SEMANA 12]]=""),"NO APLICA REGISTRO TA-INGRESO TARDIO",IF(AND(OR(O33&gt;0,R33&gt;0),OR(CR33&gt;=140,CS33&gt;=90)),"DEFINIR ESTADIO HTA",IF(AND(OR(O33&gt;0,R33&gt;0),AND(CR33&gt;120,CR33&lt;=139)),"PRE HTA SEGUIMIENTO",IF(AND(OR(O33&gt;0,R33&gt;0),AND(CS33&gt;80,CS33&lt;=89)),"PRE HTA SEGUIMIENTO",IF(AND(OR(O33&gt;0,R33&gt;0),AND(CR33&gt;=80,CR33&lt;=120)),"APARENTEMENTE NORMAL",IF(AND(OR(O33&gt;0,R33&gt;0),AND(CS33&gt;=50,CS33&lt;=80)),"APARENTEMENTE NORMAL",IF(AND(OR(O33&gt;0,R33&gt;0),AND(CR33&gt;1,CR33&lt;=70),AND(CS33&gt;1,CS33&lt;=40)),"HIPOTENSIÓN","")))))))))</f>
        <v>APARENTEMENTE NORMAL</v>
      </c>
      <c r="CU33" s="21">
        <v>100</v>
      </c>
      <c r="CV33" s="21">
        <v>70</v>
      </c>
      <c r="CW33" s="217" t="str">
        <f ca="1">IF(R33="","",IF(AND(CN33&gt;19,CN33&lt;27,Tabla1[[#This Row],[T.A. SISTOLICA (Entre semana 20 y 26)]]="",Tabla1[[#This Row],[T.A. DIATOLICA (Entre semana 20 y 26)]]=""),"ACUDE A CONTROL SEM 20 A 26 REGISTRE TA AHORA",IF(AND(BS33&gt;1,BS33&lt;27,BU33&gt;19,Tabla1[[#This Row],[T.A. SISTOLICA (Entre semana 20 y 26)]]="",Tabla1[[#This Row],[T.A. DIATOLICA (Entre semana 20 y 26)]]=""),"COMPLETE REGISTRO TA CONTROL SEM 20 A26 ",IF(AND(BS33&gt;26,BS33&lt;43,Tabla1[[#This Row],[T.A. SISTOLICA (Entre semana 20 y 26)]]="",Tabla1[[#This Row],[T.A. DIATOLICA (Entre semana 20 y 26)]]=""),"NO APLICA REGISTRO TA-INGRESO TARDIO",IF(AND(OR(O33&gt;0,R33&gt;0),OR(CU33&gt;=140,CV33&gt;=90)),"ALTO RIESGO PREECLAMPSIA,DEFINIR ESTADIO HTA",IF(AND(OR(O33&gt;0,R33&gt;0),AND(CU33&gt;120,CU33&lt;=139)),"PRE HTA SEGUIMIENTO,RIESGO HIPERTENSION INDUCIDA POR EL EMBARAZO",IF(AND(OR(O33&gt;0,R33&gt;0),AND(CV33&gt;80,CV33&lt;=89)),"PRE HTA SEGUIMIENTO, RIESGO HIPERTENSION INDUCIDA POR EL EMBARAZO",IF(AND(OR(O33&lt;&gt;"",R33&lt;&gt;""),CS33&lt;&gt;"",CV33&lt;&gt;"",CS33&lt;=CV33),"VIGILAR CIFRAS PRESION ARTERIAL",IF(AND(OR(O33&gt;0,R33&gt;0),AND(CU33&gt;120,CU33&lt;=139)),"PRE HTA SEGUIMIENTO",IF(AND(OR(O33&gt;0,R33&gt;0),AND(CU33&gt;1,CU33&lt;=70),AND(CV33&gt;1,CV33&lt;=40)),"HIPOTENSIÓN",IF(AND(OR(O33&lt;&gt;"",R33&lt;&gt;""),CS33&lt;&gt;"",CV33&lt;&gt;"",CS33&gt;CV33),"APARENTEMENTE NORMAL",IF(AND(OR(O33&gt;0,R33&gt;0),AND(CU33&gt;=80,CU33&lt;=120)),"APARENTEMENTE NORMAL",IF(AND(OR(O33&gt;0,R33&gt;0),AND(CV33&gt;=50,CV33&lt;=80)),"APARENTEMENTE NORMAL","")))))))))))))</f>
        <v>VIGILAR CIFRAS PRESION ARTERIAL</v>
      </c>
      <c r="CX33" s="21">
        <v>90</v>
      </c>
      <c r="CY33" s="21">
        <v>60</v>
      </c>
      <c r="CZ33" s="216" t="str">
        <f t="shared" si="11"/>
        <v>APARENTEMENTE NORMAL</v>
      </c>
      <c r="DA33" s="21"/>
      <c r="DB33" s="21"/>
      <c r="DC33" s="217" t="str">
        <f t="shared" si="12"/>
        <v>REGISTRE DATO PRESIÓN ARTERIAL MENSUAL</v>
      </c>
      <c r="DD33" s="22">
        <v>44859</v>
      </c>
      <c r="DE33" s="22">
        <v>44859</v>
      </c>
      <c r="DF33" s="22">
        <v>44825</v>
      </c>
      <c r="DG33" s="22">
        <v>44859</v>
      </c>
      <c r="DH33" s="22">
        <v>44894</v>
      </c>
      <c r="DI33" s="22">
        <v>44938</v>
      </c>
      <c r="DJ33" s="22">
        <v>44965</v>
      </c>
      <c r="DK33" s="22"/>
      <c r="DL33" s="22"/>
      <c r="DM33" s="22"/>
      <c r="DN33" s="22"/>
      <c r="DO33" s="22"/>
      <c r="DP33" s="22"/>
      <c r="DQ33" s="22"/>
      <c r="DR33" s="28">
        <v>2</v>
      </c>
      <c r="DS33" s="22"/>
      <c r="DT33" s="22"/>
      <c r="DU33" s="216" t="str">
        <f t="shared" ca="1" si="13"/>
        <v>SALE SIN PLAN DE PARTO</v>
      </c>
      <c r="DV33" s="226" t="str">
        <f t="shared" si="14"/>
        <v>SALIO PROGRAMA</v>
      </c>
      <c r="DW33"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33" s="216" t="str">
        <f t="shared" ca="1" si="15"/>
        <v/>
      </c>
      <c r="DY33" s="212">
        <f>IF(R33="","",IF(R33&gt;0,MAX(Tabla1[[#This Row],[FECHA C2]:[FECHA C13]],Tabla1[[#This Row],[FECHA CONSULTA PRIMERA VEZ PROGRAMA CPN ]])))</f>
        <v>44965</v>
      </c>
      <c r="DZ33" s="216">
        <f t="shared" si="16"/>
        <v>33</v>
      </c>
      <c r="EA33" s="222">
        <f>IF(R33&gt;0,SUM(COUNTA(DF33:DQ33)+COUNTA(Tabla1[[#This Row],[FECHA CONSULTA PRIMERA VEZ PROGRAMA CPN ]])),"")</f>
        <v>6</v>
      </c>
      <c r="EB33" s="222" t="str">
        <f t="shared" si="17"/>
        <v>SI</v>
      </c>
      <c r="EC33" s="214">
        <f t="shared" si="18"/>
        <v>7</v>
      </c>
      <c r="ED33" s="227">
        <f t="shared" si="19"/>
        <v>0.8571428571428571</v>
      </c>
      <c r="EE33" s="22">
        <v>44859</v>
      </c>
      <c r="EF33" s="22">
        <v>44836</v>
      </c>
      <c r="EG33" s="22">
        <v>44859</v>
      </c>
      <c r="EH33" s="22"/>
      <c r="EI33" s="22">
        <v>44859</v>
      </c>
      <c r="EJ33" s="22">
        <v>44950</v>
      </c>
      <c r="EK33" s="22">
        <v>44950</v>
      </c>
      <c r="EL33" s="21"/>
      <c r="EM33" s="21">
        <v>13.1</v>
      </c>
      <c r="EN33" s="22">
        <v>44861</v>
      </c>
      <c r="EO33" s="222">
        <f t="shared" si="20"/>
        <v>18.285714285714285</v>
      </c>
      <c r="EP33" s="214" t="str">
        <f t="shared" si="21"/>
        <v>NORMAL- SUMINISTRAR SULFATO FERROSO</v>
      </c>
      <c r="EQ33" s="216" t="str">
        <f t="shared" si="22"/>
        <v>II TRIM</v>
      </c>
      <c r="ER33" s="24"/>
      <c r="ES33" s="22"/>
      <c r="ET33" s="29" t="str">
        <f t="shared" ca="1" si="23"/>
        <v>SALE SIN TAMIZAJE HEMOGLOBINA SEM 28</v>
      </c>
      <c r="EU33" s="25" t="str">
        <f t="shared" si="24"/>
        <v/>
      </c>
      <c r="EV33" s="24" t="s">
        <v>866</v>
      </c>
      <c r="EW33" s="24">
        <v>44861</v>
      </c>
      <c r="EX33" s="22"/>
      <c r="EY33" s="29">
        <f t="shared" si="25"/>
        <v>18.285714285714285</v>
      </c>
      <c r="EZ33" s="25" t="str">
        <f t="shared" ca="1" si="26"/>
        <v/>
      </c>
      <c r="FA33" s="21">
        <v>75</v>
      </c>
      <c r="FB33" s="22">
        <v>44861</v>
      </c>
      <c r="FC33" s="29">
        <f t="shared" si="27"/>
        <v>18.285714285714285</v>
      </c>
      <c r="FD33" s="29">
        <v>86</v>
      </c>
      <c r="FE33" s="29">
        <v>120</v>
      </c>
      <c r="FF33" s="29">
        <v>117</v>
      </c>
      <c r="FG33" s="21" t="str">
        <f t="shared" ca="1" si="28"/>
        <v>NORMAL</v>
      </c>
      <c r="FH33" s="31">
        <v>44939</v>
      </c>
      <c r="FI33" s="29">
        <f t="shared" si="29"/>
        <v>29.428571428571427</v>
      </c>
      <c r="FJ33" s="22"/>
      <c r="FK33" s="22"/>
      <c r="FL33" s="29" t="str">
        <f t="shared" ca="1" si="30"/>
        <v>NO APLICA-INGRESO TARDIO</v>
      </c>
      <c r="FM33" s="22" t="s">
        <v>867</v>
      </c>
      <c r="FN33" s="32">
        <v>44861</v>
      </c>
      <c r="FO33" s="29">
        <f t="shared" ca="1" si="31"/>
        <v>18.285714285714285</v>
      </c>
      <c r="FP33" s="22"/>
      <c r="FQ33" s="32"/>
      <c r="FR33" s="29" t="str">
        <f t="shared" ca="1" si="32"/>
        <v>PIERDE TOMA DE TAMIZAJE</v>
      </c>
      <c r="FS33" s="22"/>
      <c r="FT33" s="32"/>
      <c r="FU33" s="29" t="str">
        <f>IF(AND(FJ33="",FM33="",FP33="",FS33=""),"",IF(OR(OR(Tabla1[[#This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33" s="28"/>
      <c r="FW33" s="22"/>
      <c r="FX33" s="29" t="str">
        <f t="shared" si="33"/>
        <v>TOMAR EXAMEN</v>
      </c>
      <c r="FY33" s="22">
        <v>44859</v>
      </c>
      <c r="FZ33" s="22">
        <v>44859</v>
      </c>
      <c r="GA33" s="29" t="str">
        <f t="shared" si="34"/>
        <v>REGISTRAR EN II TRIMESTRE</v>
      </c>
      <c r="GB33" s="22" t="s">
        <v>868</v>
      </c>
      <c r="GC33" s="22">
        <v>44861</v>
      </c>
      <c r="GD33" s="29">
        <f t="shared" ca="1" si="35"/>
        <v>18.285714285714285</v>
      </c>
      <c r="GE33" s="22"/>
      <c r="GF33" s="22"/>
      <c r="GG33" s="29" t="str">
        <f t="shared" ca="1" si="36"/>
        <v>PIERDE TOMA DE TAMIZAJE</v>
      </c>
      <c r="GH33" s="22"/>
      <c r="GI33" s="29"/>
      <c r="GJ33" s="22"/>
      <c r="GK33" s="22"/>
      <c r="GL33" s="22" t="s">
        <v>879</v>
      </c>
      <c r="GM33" s="22"/>
      <c r="GN33" s="28" t="s">
        <v>869</v>
      </c>
      <c r="GO33" s="22">
        <v>44861</v>
      </c>
      <c r="GP33" s="29">
        <f t="shared" si="37"/>
        <v>18.285714285714285</v>
      </c>
      <c r="GQ33" s="28" t="s">
        <v>869</v>
      </c>
      <c r="GR33" s="28" t="s">
        <v>869</v>
      </c>
      <c r="GS33" s="22" t="str">
        <f t="shared" si="38"/>
        <v>CONTROL Igm</v>
      </c>
      <c r="GT33" s="22"/>
      <c r="GU33" s="29" t="str">
        <f t="shared" si="39"/>
        <v>TOMAR EXAMEN</v>
      </c>
      <c r="GV33" s="21" t="str">
        <f t="shared" si="40"/>
        <v>POR DEFINIR</v>
      </c>
      <c r="GW33" s="28" t="s">
        <v>869</v>
      </c>
      <c r="GX33" s="30"/>
      <c r="GY33" s="21"/>
      <c r="GZ33" s="21"/>
      <c r="HA33" s="21"/>
      <c r="HB33" s="21"/>
      <c r="HC33" s="21"/>
      <c r="HD33" s="21"/>
      <c r="HE33" s="21"/>
      <c r="HF33" s="22"/>
      <c r="HG33" s="22" t="str">
        <f>IF(OR(O33&gt;0,R33&gt;0),CONCATENATE(IF(Tabla1[[#This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33" s="22" t="e">
        <f t="shared" si="41"/>
        <v>#REF!</v>
      </c>
      <c r="HI33" s="22" t="e">
        <f t="shared" ca="1" si="42"/>
        <v>#REF!</v>
      </c>
      <c r="HJ33" s="21" t="str">
        <f t="shared" ca="1" si="43"/>
        <v>**********************MULTIPARIDAD*****************</v>
      </c>
      <c r="HK33" s="21" t="str">
        <f t="shared" si="44"/>
        <v>SIN ANTECEDENTES DE RIESGO</v>
      </c>
      <c r="HL33" s="24" t="str">
        <f t="shared" si="45"/>
        <v>REGISTRE DATO PRESIÓN ARTERIAL MENSUAL</v>
      </c>
      <c r="HM33" s="21" t="str">
        <f t="shared" ca="1" si="46"/>
        <v/>
      </c>
      <c r="HN33" s="30" t="str">
        <f t="shared" si="47"/>
        <v>SALIO PROGRAMA</v>
      </c>
      <c r="HO33" s="21"/>
      <c r="HP33" s="21"/>
      <c r="HQ33" s="21">
        <v>44859</v>
      </c>
      <c r="HR33" s="21" t="str">
        <f>IF(R33="","",IF(Tabla1[[#This Row],[ALARMA FACTORES DE RIESGO COMPLICACIONES HIPERTENSIVAS3]]="SIN ANTECEDENTES DE RIESGO","No Aplica para suministro de ASA",IF(AND(Tabla1[[#This Row],[FECHA INICIO DE SUMINISTRO DE ASA]]&gt;0,RV33&lt;12),"Inicia ASA ANTES de Sem 12",IF(AND(RV33&gt;11,RV33&lt;17,OR(HK33="RIESGO ALTO DE COMPLICACIONES HIPERTENSIVAS VER MANEJO GUIA SUMINISTRO ASA Y CALCIO",HK33="RIESGO MODERADO (2 O MAS CRITERIOS) VER MANEJO GUIA SUMINISTRO ASA Y CALCIO")),"Inicio oportuno de ASA",IF(AND(RV33&gt;12,OR(HK33="RIESGO ALTO DE COMPLICACIONES HIPERTENSIVAS VER MANEJO GUIA SUMINISTRO ASA Y CALCIO",HK33="RIESGO MODERADO (2 O MAS CRITERIOS) VER MANEJO GUIA SUMINISTRO ASA Y CALCIO")),"Inicio no oportuno mayor a 16 semanas",IF(AND(BU33&lt;12,OR(HK33="RIESGO ALTO DE COMPLICACIONES HIPERTENSIVAS VER MANEJO GUIA SUMINISTRO ASA Y CALCIO",HK33="RIESGO MODERADO (2 O MAS CRITERIOS) VER MANEJO GUIA SUMINISTRO ASA Y CALCIO")),"Pendiente Inicio de ASA a la semana 12",IF(AND(BU33&gt;11,BU33&lt;17,OR(HK33="RIESGO ALTO DE COMPLICACIONES HIPERTENSIVAS VER MANEJO GUIA SUMINISTRO ASA Y CALCIO",HK33="RIESGO MODERADO (2 O MAS CRITERIOS) VER MANEJO GUIA SUMINISTRO ASA Y CALCIO")),"Iniciar de inmediato ASA",IF(AND(BU33&gt;16,OR(HK33="RIESGO ALTO DE COMPLICACIONES HIPERTENSIVAS VER MANEJO GUIA SUMINISTRO ASA Y CALCIO",HK33="RIESGO MODERADO (2 O MAS CRITERIOS) VER MANEJO GUIA SUMINISTRO ASA Y CALCIO")),"Pierde Oportunidad, Inicio tardío de ASA","XXXXX"))))))))</f>
        <v>No Aplica para suministro de ASA</v>
      </c>
      <c r="HS33" s="22">
        <v>44859</v>
      </c>
      <c r="HT33" s="22" t="s">
        <v>870</v>
      </c>
      <c r="HU33" s="22"/>
      <c r="HV33" s="22"/>
      <c r="HW33" s="22">
        <v>44859</v>
      </c>
      <c r="HX33" s="22" t="s">
        <v>870</v>
      </c>
      <c r="HY33" s="22">
        <v>44862</v>
      </c>
      <c r="HZ33" s="28">
        <f t="shared" si="48"/>
        <v>18.428571428571427</v>
      </c>
      <c r="IA33" s="26" t="s">
        <v>864</v>
      </c>
      <c r="IB33" s="26"/>
      <c r="IC33" s="111">
        <v>44840</v>
      </c>
      <c r="ID33" s="22"/>
      <c r="IE33" s="22" t="str">
        <f t="shared" ca="1" si="49"/>
        <v>SALE SIN VACUNA</v>
      </c>
      <c r="IF33" s="22"/>
      <c r="IG33" s="22">
        <f t="shared" si="50"/>
        <v>45013</v>
      </c>
      <c r="IH33" s="29">
        <f t="shared" ca="1" si="51"/>
        <v>-219</v>
      </c>
      <c r="II33" s="22" t="str">
        <f t="shared" ca="1" si="52"/>
        <v>POSIBLEMENTE NACIO</v>
      </c>
      <c r="IJ33" s="22"/>
      <c r="IK33" s="21" t="s">
        <v>898</v>
      </c>
      <c r="IL33" s="21"/>
      <c r="IM33" s="34"/>
      <c r="IN33" s="349">
        <v>45015</v>
      </c>
      <c r="IO33" s="21" t="s">
        <v>1186</v>
      </c>
      <c r="IP33" s="29">
        <f t="shared" si="53"/>
        <v>40.285714285714285</v>
      </c>
      <c r="IQ33" s="110" t="s">
        <v>1654</v>
      </c>
      <c r="IR33" s="21" t="s">
        <v>1651</v>
      </c>
      <c r="IS33" s="21" t="s">
        <v>1646</v>
      </c>
      <c r="IT33" s="21" t="s">
        <v>1642</v>
      </c>
      <c r="IU33" s="21"/>
      <c r="IV33" s="21"/>
      <c r="IW33" s="21"/>
      <c r="IX33" s="21"/>
      <c r="IY33" s="21"/>
      <c r="IZ33" s="21"/>
      <c r="JA33" s="21"/>
      <c r="JB33" s="30">
        <v>1</v>
      </c>
      <c r="JC33" s="21" t="s">
        <v>1643</v>
      </c>
      <c r="JD33" s="36">
        <v>3680</v>
      </c>
      <c r="JE33" s="21" t="str">
        <f t="shared" si="54"/>
        <v>PESO ADECUADO EDAD GESTACIONAL</v>
      </c>
      <c r="JF33" s="30"/>
      <c r="JG33" s="21"/>
      <c r="JH33" s="21"/>
      <c r="JI33" s="21" t="s">
        <v>854</v>
      </c>
      <c r="JJ33" s="30" t="s">
        <v>866</v>
      </c>
      <c r="JK33" s="22"/>
      <c r="JL33" s="22"/>
      <c r="JM33" s="21"/>
      <c r="JN33" s="36"/>
      <c r="JO33" s="21" t="str">
        <f t="shared" si="55"/>
        <v/>
      </c>
      <c r="JP33" s="22"/>
      <c r="JQ33" s="21"/>
      <c r="JR33" s="21"/>
      <c r="JS33" s="21"/>
      <c r="JT33" s="30"/>
      <c r="JU33" s="22"/>
      <c r="JV33" s="22"/>
      <c r="JW33" s="33"/>
      <c r="JX33" s="28" t="str">
        <f t="shared" si="56"/>
        <v>INASISTENTE</v>
      </c>
      <c r="JY33" s="33"/>
      <c r="JZ33" s="28" t="str">
        <f t="shared" si="57"/>
        <v>INASISTENTE</v>
      </c>
      <c r="KA33" s="21"/>
      <c r="KB33" s="21"/>
      <c r="KC33" s="21"/>
      <c r="KD33" s="37"/>
      <c r="KE33" s="28"/>
      <c r="KF33" s="28"/>
      <c r="KG33" s="28"/>
      <c r="KH33" s="39"/>
      <c r="KI33" s="39"/>
      <c r="KJ33" s="66"/>
      <c r="KK33" s="39"/>
      <c r="KL33" s="39"/>
      <c r="KM33" s="66"/>
      <c r="KN33" s="39"/>
      <c r="KO33" s="39"/>
      <c r="KP33" s="39"/>
      <c r="KQ33" s="39"/>
      <c r="KR33" s="39"/>
      <c r="KS33" s="39"/>
      <c r="KT33" s="39"/>
      <c r="KU33" s="38"/>
      <c r="KV33" s="38"/>
      <c r="KW33" s="38"/>
      <c r="KX33" s="38"/>
      <c r="KY33" s="38"/>
      <c r="KZ33" s="38"/>
      <c r="LA33" s="38"/>
      <c r="LB33" s="38"/>
      <c r="LC33" s="38"/>
      <c r="LD33" s="38"/>
      <c r="LE33" s="38"/>
      <c r="LF33" s="38"/>
      <c r="LG33" s="38"/>
      <c r="LH33" s="38"/>
      <c r="LI33" s="38"/>
      <c r="LJ33" s="38"/>
      <c r="LK33" s="38"/>
      <c r="LL33" s="38"/>
      <c r="LM33" s="38"/>
      <c r="LN33" s="38"/>
      <c r="LO33" s="38"/>
      <c r="LP33" s="38"/>
      <c r="LQ33" s="38"/>
      <c r="LR33" s="38"/>
      <c r="LS33" s="38"/>
      <c r="LT33" s="38"/>
      <c r="LU33" s="38"/>
      <c r="LV33" s="38"/>
      <c r="LW33" s="38"/>
      <c r="LX33" s="38"/>
      <c r="LY33" s="38"/>
      <c r="LZ33" s="38"/>
      <c r="MA33" s="38"/>
      <c r="MB33" s="38"/>
      <c r="MC33" s="38"/>
      <c r="MD33" s="38"/>
      <c r="ME33" s="38"/>
      <c r="MF33" s="38"/>
      <c r="MG33" s="38"/>
      <c r="MH33" s="43">
        <f t="shared" si="58"/>
        <v>0</v>
      </c>
      <c r="MI33" s="43" t="str">
        <f t="shared" si="59"/>
        <v/>
      </c>
      <c r="MJ33" s="43" t="str">
        <f t="shared" si="60"/>
        <v/>
      </c>
      <c r="MK33" s="43">
        <f t="shared" si="61"/>
        <v>0</v>
      </c>
      <c r="ML3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33" s="43">
        <f t="shared" si="62"/>
        <v>18</v>
      </c>
      <c r="MN33" s="43">
        <f t="shared" si="63"/>
        <v>10</v>
      </c>
      <c r="MO33" s="43">
        <f t="shared" si="64"/>
        <v>2022</v>
      </c>
      <c r="MP33" s="43" t="str">
        <f t="shared" si="65"/>
        <v>IV TRIMESTRE AÑO</v>
      </c>
      <c r="MQ33" s="43">
        <f t="shared" si="66"/>
        <v>31.022777047744196</v>
      </c>
      <c r="MR33" s="43">
        <f t="shared" si="67"/>
        <v>0</v>
      </c>
      <c r="MS33" s="43" t="str">
        <f t="shared" si="68"/>
        <v xml:space="preserve"> DE 30 A 34 AÑOS</v>
      </c>
      <c r="MT33" s="43">
        <f t="shared" si="69"/>
        <v>0</v>
      </c>
      <c r="MU33" s="43">
        <f t="shared" si="70"/>
        <v>1</v>
      </c>
      <c r="MV33" s="43">
        <f t="shared" si="71"/>
        <v>0</v>
      </c>
      <c r="MW33" s="43">
        <f t="shared" si="72"/>
        <v>0</v>
      </c>
      <c r="MX33" s="43" t="str">
        <f t="shared" si="73"/>
        <v/>
      </c>
      <c r="MY33" s="43" t="str">
        <f t="shared" ca="1" si="74"/>
        <v/>
      </c>
      <c r="MZ33" s="43" t="str">
        <f t="shared" si="75"/>
        <v/>
      </c>
      <c r="NA33" s="43">
        <f t="shared" si="76"/>
        <v>0</v>
      </c>
      <c r="NB33" s="43" t="str">
        <f t="shared" si="77"/>
        <v/>
      </c>
      <c r="NC33" s="43" t="str">
        <f t="shared" si="78"/>
        <v/>
      </c>
      <c r="ND33" s="43">
        <f t="shared" ca="1" si="79"/>
        <v>1</v>
      </c>
      <c r="NE33" s="43">
        <f>IF(OR(O33&gt;0,R33&gt;0),SUM(COUNTIF(Tabla1[[#This Row],[AÑOS AL INICIO5 CPN]],"&gt;=40"),COUNTIF(AS33,"0"),COUNTIF(AR33,"SI"),COUNTIF(CC33,"SI"),COUNTIF(BQ33,"&gt;119"),COUNTIF(CI33,"&gt;=35")),"")</f>
        <v>1</v>
      </c>
      <c r="NF33" s="43" t="str">
        <f t="shared" si="80"/>
        <v/>
      </c>
      <c r="NG33" s="43">
        <f t="shared" si="81"/>
        <v>0</v>
      </c>
      <c r="NH33" s="43">
        <f t="shared" si="82"/>
        <v>128.1</v>
      </c>
      <c r="NI33"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CPN",P33="NO"),"Z",IF(AND(Tabla1[[#This Row],[CITA PROXIMO CONTROL]]="CITA MANUAL",Tabla1[[#This Row],[GESTANTES ACTUALES]]="ACTIVA INGRESO A CPN"),"W",IF(AND(Tabla1[[#This Row],[GESTANTES ACTUALES]]="SALIO PROGRAMA",IN33=""),"S",IF(AND(Tabla1[[#This Row],[CITA PROXIMO CONTROL]]&gt;0,IN33=""),(Tabla1[[#This Row],[CITA PROXIMO CONTROL]]-TODAY()),"SD"))))))))</f>
        <v>SD</v>
      </c>
      <c r="NJ33" s="43">
        <f>MONTH(Tabla1[[#This Row],[FECHA DE SALIDA  DEL PROGRAMA]])</f>
        <v>3</v>
      </c>
      <c r="NK33" s="43">
        <f>YEAR(Tabla1[[#This Row],[FECHA DE SALIDA  DEL PROGRAMA]])</f>
        <v>2023</v>
      </c>
      <c r="NL33" s="43">
        <f t="shared" si="83"/>
        <v>91</v>
      </c>
      <c r="NM33" s="43" t="str">
        <f t="shared" si="84"/>
        <v>NO</v>
      </c>
      <c r="NN33" s="43" t="str">
        <f ca="1">IF(AND(O33&gt;0,R33=""),"NO CPN",IF(AND(O33="",R33=""),"",IF(AND(R33&gt;0,Tabla1[[#This Row],[SEMANAS DE GESTACION ACTUALIZADAS]]&lt;=12),"NO APLICA",IF(AND(FH33&lt;&gt;"",FN33&lt;&gt;""),"SI","NO"))))</f>
        <v>SI</v>
      </c>
      <c r="NO33" s="43" t="str">
        <f ca="1">IF(AND(O33&gt;0,R33=""),"NO CPN",IF(AND(O33="",R33=""),"",IF(AND(R33&gt;0,Tabla1[[#This Row],[SEMANAS DE GESTACION ACTUALIZADAS]]&lt;=27),"NO APLICA",IF(AND(ES33&lt;&gt;"",FQ33&lt;&gt;"",GF33&lt;&gt;""),"SI","NO"))))</f>
        <v>NO</v>
      </c>
      <c r="NP33" s="204" t="str">
        <f t="shared" si="85"/>
        <v>II TRIM</v>
      </c>
      <c r="NQ33" s="21">
        <f t="shared" si="86"/>
        <v>1</v>
      </c>
      <c r="NR33" s="21">
        <f t="shared" si="87"/>
        <v>2</v>
      </c>
      <c r="NS33" s="205">
        <f t="shared" ca="1" si="88"/>
        <v>1</v>
      </c>
      <c r="NT33" s="21">
        <f t="shared" ca="1" si="89"/>
        <v>1</v>
      </c>
      <c r="NU33" s="21" t="str">
        <f t="shared" ca="1" si="90"/>
        <v>INCOMPLETO</v>
      </c>
      <c r="NV33" s="21" t="str">
        <f t="shared" ca="1" si="91"/>
        <v>INCOMPLETO</v>
      </c>
      <c r="NW33" s="206" t="str">
        <f>IF(AND(O33="",R33=""),"",IF(OR(AND(Tabla1[[#This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33" s="207" t="str">
        <f t="shared" ca="1" si="92"/>
        <v>SIN VACUNAR</v>
      </c>
      <c r="NY33" s="43">
        <f>ROW(Tabla1[[#This Row],['# DE TAMIZAJES SIFILIS TOMADOS ]])</f>
        <v>33</v>
      </c>
      <c r="NZ33" s="43">
        <f t="shared" si="93"/>
        <v>18</v>
      </c>
      <c r="OA33" s="43" t="str">
        <f t="shared" si="94"/>
        <v/>
      </c>
      <c r="OB33" s="43" t="str">
        <f t="shared" si="95"/>
        <v/>
      </c>
      <c r="OC33" s="43" t="str">
        <f t="shared" si="96"/>
        <v/>
      </c>
      <c r="OD33" s="43" t="str">
        <f t="shared" si="97"/>
        <v/>
      </c>
      <c r="OE33" s="43" t="str">
        <f t="shared" si="98"/>
        <v/>
      </c>
      <c r="OF33" s="43" t="str">
        <f t="shared" si="99"/>
        <v/>
      </c>
      <c r="OG33" s="43" t="str">
        <f t="shared" si="100"/>
        <v/>
      </c>
      <c r="OH33" s="43" t="str">
        <f t="shared" si="101"/>
        <v/>
      </c>
      <c r="OI33" s="43" t="str">
        <f t="shared" si="102"/>
        <v/>
      </c>
      <c r="OJ33" s="43" t="str">
        <f t="shared" si="103"/>
        <v>NORMAL</v>
      </c>
      <c r="OK33" s="43" t="str">
        <f t="shared" si="104"/>
        <v/>
      </c>
      <c r="OL33" s="43" t="str">
        <f t="shared" si="105"/>
        <v/>
      </c>
      <c r="OM33" s="43" t="str">
        <f t="shared" si="106"/>
        <v/>
      </c>
      <c r="ON33" s="43" t="str">
        <f t="shared" si="107"/>
        <v/>
      </c>
      <c r="OO33" s="43" t="str">
        <f t="shared" si="108"/>
        <v/>
      </c>
      <c r="OP33" s="43" t="str">
        <f t="shared" si="109"/>
        <v/>
      </c>
      <c r="OQ33" s="43" t="str">
        <f t="shared" si="110"/>
        <v/>
      </c>
      <c r="OR33" s="43" t="str">
        <f t="shared" si="111"/>
        <v/>
      </c>
      <c r="OS33" s="43" t="str">
        <f t="shared" si="112"/>
        <v/>
      </c>
      <c r="OT33" s="43" t="str">
        <f t="shared" si="113"/>
        <v/>
      </c>
      <c r="OU33" s="43" t="str">
        <f t="shared" si="114"/>
        <v/>
      </c>
      <c r="OV33" s="110" t="str">
        <f t="shared" si="115"/>
        <v/>
      </c>
      <c r="OW33" s="43" t="str">
        <f t="shared" si="116"/>
        <v/>
      </c>
      <c r="OX33" s="43" t="str">
        <f t="shared" si="117"/>
        <v/>
      </c>
      <c r="OY33" s="43" t="str">
        <f t="shared" si="118"/>
        <v/>
      </c>
      <c r="OZ33" s="43" t="str">
        <f t="shared" si="119"/>
        <v/>
      </c>
      <c r="PA33" s="43" t="str">
        <f t="shared" si="120"/>
        <v/>
      </c>
      <c r="PB33" s="43" t="str">
        <f t="shared" si="121"/>
        <v/>
      </c>
      <c r="PC33" s="43" t="str">
        <f t="shared" si="122"/>
        <v/>
      </c>
      <c r="PD33" s="43" t="str">
        <f t="shared" si="123"/>
        <v/>
      </c>
      <c r="PE33" s="43" t="str">
        <f t="shared" si="124"/>
        <v/>
      </c>
      <c r="PF33" s="43" t="str">
        <f t="shared" si="125"/>
        <v/>
      </c>
      <c r="PG33" s="43" t="str">
        <f t="shared" si="126"/>
        <v/>
      </c>
      <c r="PH33" s="43" t="str">
        <f t="shared" si="127"/>
        <v/>
      </c>
      <c r="PI33" s="43">
        <f t="shared" si="128"/>
        <v>33</v>
      </c>
      <c r="PJ33" s="43" t="str">
        <f t="shared" si="129"/>
        <v/>
      </c>
      <c r="PK33" s="43" t="str">
        <f t="shared" si="130"/>
        <v/>
      </c>
      <c r="PL33" s="43" t="str">
        <f t="shared" si="131"/>
        <v/>
      </c>
      <c r="PM33" s="43" t="str">
        <f t="shared" si="132"/>
        <v/>
      </c>
      <c r="PN33" s="43" t="str">
        <f t="shared" si="133"/>
        <v/>
      </c>
      <c r="PO33" s="43" t="str">
        <f t="shared" si="134"/>
        <v/>
      </c>
      <c r="PP33" s="43" t="str">
        <f t="shared" si="135"/>
        <v/>
      </c>
      <c r="PQ33" s="43" t="str">
        <f t="shared" si="136"/>
        <v/>
      </c>
      <c r="PR33" s="43" t="str">
        <f t="shared" si="137"/>
        <v/>
      </c>
      <c r="PS33" s="43" t="str">
        <f t="shared" si="138"/>
        <v/>
      </c>
      <c r="PT33" s="43" t="str">
        <f t="shared" si="139"/>
        <v/>
      </c>
      <c r="PU33" s="43" t="str">
        <f t="shared" si="140"/>
        <v/>
      </c>
      <c r="PV33" s="43" t="str">
        <f t="shared" si="141"/>
        <v/>
      </c>
      <c r="PW33" s="43" t="str">
        <f t="shared" si="142"/>
        <v/>
      </c>
      <c r="PX33" s="43" t="str">
        <f t="shared" si="143"/>
        <v/>
      </c>
      <c r="PY33" s="43" t="str">
        <f t="shared" si="144"/>
        <v/>
      </c>
      <c r="PZ33" s="43" t="str">
        <f t="shared" si="145"/>
        <v/>
      </c>
      <c r="QA33" s="43" t="str">
        <f t="shared" si="146"/>
        <v/>
      </c>
      <c r="QB33" s="43" t="str">
        <f t="shared" si="147"/>
        <v/>
      </c>
      <c r="QC33" s="43" t="str">
        <f t="shared" si="148"/>
        <v/>
      </c>
      <c r="QD33" s="43" t="str">
        <f t="shared" si="149"/>
        <v/>
      </c>
      <c r="QE33" s="43" t="str">
        <f t="shared" si="150"/>
        <v/>
      </c>
      <c r="QF33" s="43" t="str">
        <f t="shared" si="151"/>
        <v/>
      </c>
      <c r="QG33" s="43" t="str">
        <f t="shared" si="152"/>
        <v/>
      </c>
      <c r="QH33" s="43" t="str">
        <f t="shared" si="153"/>
        <v/>
      </c>
      <c r="QI33" s="43" t="str">
        <f t="shared" si="154"/>
        <v/>
      </c>
      <c r="QJ33" s="43" t="str">
        <f t="shared" si="155"/>
        <v/>
      </c>
      <c r="QK33" s="43" t="str">
        <f t="shared" si="156"/>
        <v/>
      </c>
      <c r="QL33" s="43" t="str">
        <f t="shared" si="157"/>
        <v/>
      </c>
      <c r="QM33" s="43" t="str">
        <f t="shared" si="158"/>
        <v/>
      </c>
      <c r="QN33" s="43" t="str">
        <f t="shared" si="159"/>
        <v/>
      </c>
      <c r="QO33" s="43" t="str">
        <f t="shared" si="160"/>
        <v/>
      </c>
      <c r="QP33" s="43" t="str">
        <f t="shared" si="161"/>
        <v/>
      </c>
      <c r="QQ33" s="43" t="str">
        <f t="shared" si="162"/>
        <v/>
      </c>
      <c r="QR33" s="43">
        <f t="shared" si="192"/>
        <v>33</v>
      </c>
      <c r="QS33" s="43"/>
      <c r="QT33" s="21" t="str">
        <f t="shared" si="163"/>
        <v/>
      </c>
      <c r="QU33" s="21" t="str">
        <f t="shared" si="164"/>
        <v/>
      </c>
      <c r="QV33" s="21" t="str">
        <f t="shared" si="165"/>
        <v/>
      </c>
      <c r="QW33" s="21" t="str">
        <f t="shared" si="166"/>
        <v/>
      </c>
      <c r="QX33" s="21" t="str">
        <f t="shared" si="167"/>
        <v/>
      </c>
      <c r="QY33" s="21" t="str">
        <f t="shared" si="168"/>
        <v/>
      </c>
      <c r="QZ33" s="21" t="str">
        <f t="shared" si="169"/>
        <v/>
      </c>
      <c r="RA33" s="21" t="str">
        <f t="shared" si="170"/>
        <v/>
      </c>
      <c r="RB33" s="21" t="str">
        <f t="shared" si="171"/>
        <v/>
      </c>
      <c r="RC33" s="21" t="str">
        <f t="shared" si="172"/>
        <v/>
      </c>
      <c r="RD33" s="21" t="str">
        <f t="shared" si="173"/>
        <v/>
      </c>
      <c r="RE33" s="21" t="str">
        <f t="shared" si="174"/>
        <v/>
      </c>
      <c r="RF33" s="21" t="str">
        <f t="shared" si="175"/>
        <v/>
      </c>
      <c r="RG33" s="21" t="str">
        <f t="shared" si="176"/>
        <v/>
      </c>
      <c r="RH33" s="21" t="str">
        <f t="shared" si="177"/>
        <v/>
      </c>
      <c r="RI33" s="21" t="str">
        <f t="shared" si="178"/>
        <v/>
      </c>
      <c r="RJ33" s="21" t="str">
        <f t="shared" si="179"/>
        <v/>
      </c>
      <c r="RK33" s="21" t="str">
        <f t="shared" si="180"/>
        <v/>
      </c>
      <c r="RL33" s="21" t="str">
        <f t="shared" si="181"/>
        <v/>
      </c>
      <c r="RM33" s="21" t="str">
        <f t="shared" si="182"/>
        <v/>
      </c>
      <c r="RN33" s="21" t="str">
        <f t="shared" si="183"/>
        <v/>
      </c>
      <c r="RO33" s="21" t="str">
        <f t="shared" si="184"/>
        <v/>
      </c>
      <c r="RP33" s="21" t="str">
        <f t="shared" si="185"/>
        <v/>
      </c>
      <c r="RQ33" s="21" t="str">
        <f t="shared" si="186"/>
        <v/>
      </c>
      <c r="RR33" s="21" t="str">
        <f t="shared" si="187"/>
        <v/>
      </c>
      <c r="RS33" s="21" t="str">
        <f t="shared" si="188"/>
        <v/>
      </c>
      <c r="RT33" s="21" t="str">
        <f t="shared" si="189"/>
        <v/>
      </c>
      <c r="RU33" s="21" t="str">
        <f t="shared" si="190"/>
        <v/>
      </c>
      <c r="RV33" s="21">
        <f t="shared" si="191"/>
        <v>18</v>
      </c>
      <c r="RW33" s="284">
        <f>IF(OR(Tabla1[[#This Row],[FUM FORMULA CONFIABLE]]="",Tabla1[[#This Row],[FUM FORMULA CONFIABLE]]="SD"),"",IF(Tabla1[[#This Row],[FUM FORMULA CONFIABLE]]="CORREGIDA",Tabla1[[#This Row],[FUM X ECO 1]],Tabla1[[#This Row],[FUM x AMENORREA]]))</f>
        <v>44733</v>
      </c>
      <c r="RX33" s="21">
        <f>IF(AND(Tabla1[[#This Row],[FUM X ECO 1]]="",Tabla1[[#This Row],[FUM x AMENORREA]]=""),"",IF(AND(Tabla1[[#This Row],[FUM X ECO 1]]="",Tabla1[[#This Row],[FUM x AMENORREA]]&lt;&gt;""),"X",SUM(Tabla1[[#This Row],[FUM X ECO 1]]-Tabla1[[#This Row],[FUM x AMENORREA]])))</f>
        <v>0.90000000000145519</v>
      </c>
      <c r="RY33" s="21">
        <f t="shared" si="193"/>
        <v>0</v>
      </c>
    </row>
    <row r="34" spans="1:493" ht="45" customHeight="1" x14ac:dyDescent="0.25">
      <c r="A34" s="109" t="s">
        <v>1045</v>
      </c>
      <c r="B34" s="43"/>
      <c r="C34" s="43" t="s">
        <v>845</v>
      </c>
      <c r="D34" s="124" t="s">
        <v>846</v>
      </c>
      <c r="E34" s="43" t="s">
        <v>848</v>
      </c>
      <c r="F34" s="43" t="s">
        <v>874</v>
      </c>
      <c r="G34" s="43" t="s">
        <v>1046</v>
      </c>
      <c r="H34" s="43" t="s">
        <v>1047</v>
      </c>
      <c r="I34" s="109" t="s">
        <v>851</v>
      </c>
      <c r="J34" s="110">
        <v>1059594475</v>
      </c>
      <c r="K34" s="43" t="s">
        <v>852</v>
      </c>
      <c r="L34" s="175" t="s">
        <v>886</v>
      </c>
      <c r="M34" s="22">
        <v>37962</v>
      </c>
      <c r="N34" s="213">
        <f t="shared" ca="1" si="0"/>
        <v>19.917808219178081</v>
      </c>
      <c r="O34" s="22">
        <v>44820</v>
      </c>
      <c r="P34" s="214" t="str">
        <f t="shared" si="1"/>
        <v>SI</v>
      </c>
      <c r="Q34" s="26" t="s">
        <v>855</v>
      </c>
      <c r="R34" s="22">
        <v>44820</v>
      </c>
      <c r="S34" s="21" t="s">
        <v>856</v>
      </c>
      <c r="T34" s="24" t="s">
        <v>690</v>
      </c>
      <c r="U34" s="21" t="s">
        <v>857</v>
      </c>
      <c r="V34" s="21" t="s">
        <v>858</v>
      </c>
      <c r="W34" s="21" t="s">
        <v>876</v>
      </c>
      <c r="X34" s="21" t="s">
        <v>1048</v>
      </c>
      <c r="Y34" s="21" t="s">
        <v>859</v>
      </c>
      <c r="Z34" s="21" t="s">
        <v>846</v>
      </c>
      <c r="AA34" s="21" t="s">
        <v>860</v>
      </c>
      <c r="AB34" s="27" t="s">
        <v>861</v>
      </c>
      <c r="AC34" s="26" t="s">
        <v>897</v>
      </c>
      <c r="AD34" s="38" t="s">
        <v>1049</v>
      </c>
      <c r="AE34" s="26" t="s">
        <v>854</v>
      </c>
      <c r="AF34" s="26" t="s">
        <v>854</v>
      </c>
      <c r="AG34" s="23" t="s">
        <v>864</v>
      </c>
      <c r="AH34" s="23" t="s">
        <v>864</v>
      </c>
      <c r="AI34" s="24" t="s">
        <v>863</v>
      </c>
      <c r="AJ34" s="23" t="s">
        <v>864</v>
      </c>
      <c r="AK34" s="220" t="str">
        <f>IF(AND(AD34="",AE34="",AF34="",AG34="",AH34="",AI34="",AJ34=""),"",IF(OR(Tabla1[[#This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EVALUACIÓN",IF(AND(O34="",R34=""),"",IF(AND(OR(O34&gt;0,R34&gt;0),NG34&gt;=0,NG34&lt;2),"SIN RIESGO",IF(AND(OR(O34&gt;0,R34&gt;0),NG34&gt;=2),"CON RIESGO","ASD")))))</f>
        <v>SIN RIESGO</v>
      </c>
      <c r="AL34" s="23" t="s">
        <v>864</v>
      </c>
      <c r="AM34" s="26" t="s">
        <v>864</v>
      </c>
      <c r="AN34" s="26" t="s">
        <v>864</v>
      </c>
      <c r="AO34" s="26" t="s">
        <v>864</v>
      </c>
      <c r="AP34" s="26" t="s">
        <v>864</v>
      </c>
      <c r="AQ34" s="26" t="s">
        <v>864</v>
      </c>
      <c r="AR34" s="26" t="s">
        <v>864</v>
      </c>
      <c r="AS34" s="21">
        <v>0</v>
      </c>
      <c r="AT34" s="21">
        <v>0</v>
      </c>
      <c r="AU34" s="21">
        <v>0</v>
      </c>
      <c r="AV34" s="26" t="s">
        <v>864</v>
      </c>
      <c r="AW34" s="21">
        <v>0</v>
      </c>
      <c r="AX34" s="26" t="s">
        <v>864</v>
      </c>
      <c r="AY34" s="26" t="s">
        <v>864</v>
      </c>
      <c r="AZ34" s="26" t="s">
        <v>864</v>
      </c>
      <c r="BA34" s="26" t="s">
        <v>864</v>
      </c>
      <c r="BB34" s="26" t="s">
        <v>864</v>
      </c>
      <c r="BC34" s="26" t="s">
        <v>864</v>
      </c>
      <c r="BD34" s="26" t="s">
        <v>864</v>
      </c>
      <c r="BE34" s="26" t="s">
        <v>864</v>
      </c>
      <c r="BF34" s="26" t="s">
        <v>864</v>
      </c>
      <c r="BG34" s="26" t="s">
        <v>864</v>
      </c>
      <c r="BH34" s="26" t="s">
        <v>864</v>
      </c>
      <c r="BI34" s="26" t="s">
        <v>864</v>
      </c>
      <c r="BJ34" s="26"/>
      <c r="BK34" s="26"/>
      <c r="BL34" s="26" t="s">
        <v>864</v>
      </c>
      <c r="BM34" s="26" t="s">
        <v>864</v>
      </c>
      <c r="BN34" s="22"/>
      <c r="BO34" s="22">
        <v>44732</v>
      </c>
      <c r="BP34" s="21" t="s">
        <v>854</v>
      </c>
      <c r="BQ34" s="222">
        <f t="shared" si="2"/>
        <v>0</v>
      </c>
      <c r="BR34" s="223">
        <f t="shared" si="3"/>
        <v>44732.5</v>
      </c>
      <c r="BS34" s="224">
        <f t="shared" si="4"/>
        <v>12.571428571428571</v>
      </c>
      <c r="BT34" s="216" t="str">
        <f t="shared" si="5"/>
        <v>II TRIM</v>
      </c>
      <c r="BU34" s="214" t="str">
        <f t="shared" ca="1" si="6"/>
        <v/>
      </c>
      <c r="BV34" s="25"/>
      <c r="BW34" s="22">
        <v>44862</v>
      </c>
      <c r="BX34" s="28">
        <v>18.5</v>
      </c>
      <c r="BY34" s="28"/>
      <c r="BZ34" s="22"/>
      <c r="CA34" s="21"/>
      <c r="CB34" s="26" t="s">
        <v>864</v>
      </c>
      <c r="CC34" s="26" t="s">
        <v>864</v>
      </c>
      <c r="CD34" s="26" t="s">
        <v>878</v>
      </c>
      <c r="CE34" s="26" t="s">
        <v>864</v>
      </c>
      <c r="CF34" s="22" t="s">
        <v>1517</v>
      </c>
      <c r="CG34" s="21">
        <v>1.45</v>
      </c>
      <c r="CH34" s="21">
        <v>47</v>
      </c>
      <c r="CI34" s="214">
        <f t="shared" si="7"/>
        <v>22.354340071343639</v>
      </c>
      <c r="CJ34" s="225" t="e">
        <f>IF(AND(CI34&lt;10,CH34="SD"),"SIN DATO PESO PREGESTACION O I TRIM",IF(AND(OR(R34&gt;0,O34&gt;0),CI34="X"),"INGRESAR DATO DE PESO",IF(CI34="SD","INGRESAR DATO DE TALLA Y PESO",IF(AND(OR(Tabla1[[#This Row],[MOMENTO EN QUE SE REALIZA EL PESO AL INGRESO A CPN]]="PREGESTACIÓN",NZ34="Menor"),CI34&lt;18.5),"BAJO PESO",IF(AND(OR(Tabla1[[#This Row],[MOMENTO EN QUE SE REALIZA EL PESO AL INGRESO A CPN]]="PREGESTACIÓN",NZ34="Menor"),CI34&lt;25),"NORMAL",IF(AND(OR(Tabla1[[#This Row],[MOMENTO EN QUE SE REALIZA EL PESO AL INGRESO A CPN]]="PREGESTACIÓN",NZ34="Menor"),CI34&lt;30),"SOBREPESO",IF(AND(OR(Tabla1[[#This Row],[MOMENTO EN QUE SE REALIZA EL PESO AL INGRESO A CPN]]="PREGESTACIÓN",NZ34="Menor"),CI34&gt;=30,CI34&lt;50),"OBESIDAD",IF(AND(BS34&gt;0,Tabla1[[#This Row],[MOMENTO EN QUE SE REALIZA EL PESO AL INGRESO A CPN]]="GESTACIÓN"),HLOOKUP(NZ34,$OA$2:PH34,NY34),""))))))))</f>
        <v>#REF!</v>
      </c>
      <c r="CK34" s="212">
        <f t="shared" si="8"/>
        <v>44989</v>
      </c>
      <c r="CL34" s="21"/>
      <c r="CM34" s="214">
        <f t="shared" si="9"/>
        <v>0</v>
      </c>
      <c r="CN34" s="216">
        <f t="shared" si="10"/>
        <v>36</v>
      </c>
      <c r="CO34" s="216" t="e">
        <f>IF(PI34="","",IF(PI34&gt;0,HLOOKUP(PI34,$PJ$2:QQ34,NY34),""))</f>
        <v>#REF!</v>
      </c>
      <c r="CP34" s="21"/>
      <c r="CQ34" s="216" t="e">
        <f>IF(QR34="Menor","NO APLICA-MENOR 13 SEM",IF(AND(CC34="SI",CN34&gt;23),"NO APLICA- GEMELAR",IF(QR34="","",IF(QR34&gt;0,HLOOKUP(QR34,$QS$2:RU34,NY34),""))))</f>
        <v>#REF!</v>
      </c>
      <c r="CR34" s="21">
        <v>100</v>
      </c>
      <c r="CS34" s="21">
        <v>60</v>
      </c>
      <c r="CT34" s="217" t="str">
        <f>IF(R34="","",IF(AND(BS34&gt;1,BS34&lt;12,Tabla1[[#This Row],[T.A. SISTOLICA - ANTES DE SEMANA 12]]="",Tabla1[[#This Row],[T.A. DIASTOLICA - ANTES DE SEMANA 12]]=""),"REGISTRE DATO TA ANTES SEMANA 12",IF(AND(BS34&gt;11,BS34&lt;43,Tabla1[[#This Row],[T.A. SISTOLICA - ANTES DE SEMANA 12]]="",Tabla1[[#This Row],[T.A. DIASTOLICA - ANTES DE SEMANA 12]]=""),"NO APLICA REGISTRO TA-INGRESO TARDIO",IF(AND(OR(O34&gt;0,R34&gt;0),OR(CR34&gt;=140,CS34&gt;=90)),"DEFINIR ESTADIO HTA",IF(AND(OR(O34&gt;0,R34&gt;0),AND(CR34&gt;120,CR34&lt;=139)),"PRE HTA SEGUIMIENTO",IF(AND(OR(O34&gt;0,R34&gt;0),AND(CS34&gt;80,CS34&lt;=89)),"PRE HTA SEGUIMIENTO",IF(AND(OR(O34&gt;0,R34&gt;0),AND(CR34&gt;=80,CR34&lt;=120)),"APARENTEMENTE NORMAL",IF(AND(OR(O34&gt;0,R34&gt;0),AND(CS34&gt;=50,CS34&lt;=80)),"APARENTEMENTE NORMAL",IF(AND(OR(O34&gt;0,R34&gt;0),AND(CR34&gt;1,CR34&lt;=70),AND(CS34&gt;1,CS34&lt;=40)),"HIPOTENSIÓN","")))))))))</f>
        <v>APARENTEMENTE NORMAL</v>
      </c>
      <c r="CU34" s="21">
        <v>90</v>
      </c>
      <c r="CV34" s="21">
        <v>60</v>
      </c>
      <c r="CW34" s="217" t="str">
        <f ca="1">IF(R34="","",IF(AND(CN34&gt;19,CN34&lt;27,Tabla1[[#This Row],[T.A. SISTOLICA (Entre semana 20 y 26)]]="",Tabla1[[#This Row],[T.A. DIATOLICA (Entre semana 20 y 26)]]=""),"ACUDE A CONTROL SEM 20 A 26 REGISTRE TA AHORA",IF(AND(BS34&gt;1,BS34&lt;27,BU34&gt;19,Tabla1[[#This Row],[T.A. SISTOLICA (Entre semana 20 y 26)]]="",Tabla1[[#This Row],[T.A. DIATOLICA (Entre semana 20 y 26)]]=""),"COMPLETE REGISTRO TA CONTROL SEM 20 A26 ",IF(AND(BS34&gt;26,BS34&lt;43,Tabla1[[#This Row],[T.A. SISTOLICA (Entre semana 20 y 26)]]="",Tabla1[[#This Row],[T.A. DIATOLICA (Entre semana 20 y 26)]]=""),"NO APLICA REGISTRO TA-INGRESO TARDIO",IF(AND(OR(O34&gt;0,R34&gt;0),OR(CU34&gt;=140,CV34&gt;=90)),"ALTO RIESGO PREECLAMPSIA,DEFINIR ESTADIO HTA",IF(AND(OR(O34&gt;0,R34&gt;0),AND(CU34&gt;120,CU34&lt;=139)),"PRE HTA SEGUIMIENTO,RIESGO HIPERTENSION INDUCIDA POR EL EMBARAZO",IF(AND(OR(O34&gt;0,R34&gt;0),AND(CV34&gt;80,CV34&lt;=89)),"PRE HTA SEGUIMIENTO, RIESGO HIPERTENSION INDUCIDA POR EL EMBARAZO",IF(AND(OR(O34&lt;&gt;"",R34&lt;&gt;""),CS34&lt;&gt;"",CV34&lt;&gt;"",CS34&lt;=CV34),"VIGILAR CIFRAS PRESION ARTERIAL",IF(AND(OR(O34&gt;0,R34&gt;0),AND(CU34&gt;120,CU34&lt;=139)),"PRE HTA SEGUIMIENTO",IF(AND(OR(O34&gt;0,R34&gt;0),AND(CU34&gt;1,CU34&lt;=70),AND(CV34&gt;1,CV34&lt;=40)),"HIPOTENSIÓN",IF(AND(OR(O34&lt;&gt;"",R34&lt;&gt;""),CS34&lt;&gt;"",CV34&lt;&gt;"",CS34&gt;CV34),"APARENTEMENTE NORMAL",IF(AND(OR(O34&gt;0,R34&gt;0),AND(CU34&gt;=80,CU34&lt;=120)),"APARENTEMENTE NORMAL",IF(AND(OR(O34&gt;0,R34&gt;0),AND(CV34&gt;=50,CV34&lt;=80)),"APARENTEMENTE NORMAL","")))))))))))))</f>
        <v>VIGILAR CIFRAS PRESION ARTERIAL</v>
      </c>
      <c r="CX34" s="21"/>
      <c r="CY34" s="21"/>
      <c r="CZ34" s="216" t="str">
        <f t="shared" si="11"/>
        <v/>
      </c>
      <c r="DA34" s="21"/>
      <c r="DB34" s="21"/>
      <c r="DC34" s="217" t="str">
        <f t="shared" si="12"/>
        <v>REGISTRE DATO PRESIÓN ARTERIAL MENSUAL</v>
      </c>
      <c r="DD34" s="22">
        <v>44820</v>
      </c>
      <c r="DE34" s="22">
        <v>44820</v>
      </c>
      <c r="DF34" s="22">
        <v>44854</v>
      </c>
      <c r="DG34" s="22">
        <v>44916</v>
      </c>
      <c r="DH34" s="22"/>
      <c r="DI34" s="22">
        <v>44989</v>
      </c>
      <c r="DJ34" s="22"/>
      <c r="DK34" s="22"/>
      <c r="DL34" s="22"/>
      <c r="DM34" s="22"/>
      <c r="DN34" s="22"/>
      <c r="DO34" s="22"/>
      <c r="DP34" s="22"/>
      <c r="DQ34" s="22"/>
      <c r="DR34" s="28">
        <v>2</v>
      </c>
      <c r="DS34" s="22"/>
      <c r="DT34" s="22"/>
      <c r="DU34" s="216" t="str">
        <f t="shared" ca="1" si="13"/>
        <v>SALE SIN PLAN DE PARTO</v>
      </c>
      <c r="DV34" s="226" t="str">
        <f t="shared" si="14"/>
        <v>SALIO PROGRAMA</v>
      </c>
      <c r="DW34"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34" s="216" t="str">
        <f t="shared" ca="1" si="15"/>
        <v/>
      </c>
      <c r="DY34" s="212">
        <f>IF(R34="","",IF(R34&gt;0,MAX(Tabla1[[#This Row],[FECHA C2]:[FECHA C13]],Tabla1[[#This Row],[FECHA CONSULTA PRIMERA VEZ PROGRAMA CPN ]])))</f>
        <v>44989</v>
      </c>
      <c r="DZ34" s="216">
        <f t="shared" si="16"/>
        <v>36</v>
      </c>
      <c r="EA34" s="222">
        <f>IF(R34&gt;0,SUM(COUNTA(DF34:DQ34)+COUNTA(Tabla1[[#This Row],[FECHA CONSULTA PRIMERA VEZ PROGRAMA CPN ]])),"")</f>
        <v>4</v>
      </c>
      <c r="EB34" s="222" t="str">
        <f t="shared" si="17"/>
        <v>SI</v>
      </c>
      <c r="EC34" s="214">
        <f t="shared" si="18"/>
        <v>8</v>
      </c>
      <c r="ED34" s="227">
        <f t="shared" si="19"/>
        <v>0.5</v>
      </c>
      <c r="EE34" s="22">
        <v>44820</v>
      </c>
      <c r="EF34" s="22">
        <v>44862</v>
      </c>
      <c r="EG34" s="22">
        <v>44820</v>
      </c>
      <c r="EH34" s="22"/>
      <c r="EI34" s="22">
        <v>44820</v>
      </c>
      <c r="EJ34" s="22"/>
      <c r="EK34" s="22"/>
      <c r="EL34" s="21"/>
      <c r="EM34" s="21"/>
      <c r="EN34" s="22"/>
      <c r="EO34" s="222" t="str">
        <f t="shared" si="20"/>
        <v>TOMAR EXAMEN</v>
      </c>
      <c r="EP34" s="214" t="str">
        <f t="shared" si="21"/>
        <v/>
      </c>
      <c r="EQ34" s="216" t="str">
        <f t="shared" si="22"/>
        <v>POR DEFINIR</v>
      </c>
      <c r="ER34" s="24">
        <v>13.1</v>
      </c>
      <c r="ES34" s="22">
        <v>44981</v>
      </c>
      <c r="ET34" s="29">
        <f t="shared" ca="1" si="23"/>
        <v>35.571428571428569</v>
      </c>
      <c r="EU34" s="25" t="str">
        <f t="shared" si="24"/>
        <v>NORMAL- SUMINISTRAR SULFATO FERROSO</v>
      </c>
      <c r="EV34" s="24" t="s">
        <v>866</v>
      </c>
      <c r="EW34" s="24">
        <v>44981</v>
      </c>
      <c r="EX34" s="22"/>
      <c r="EY34" s="29">
        <f t="shared" si="25"/>
        <v>35.571428571428569</v>
      </c>
      <c r="EZ34" s="25" t="str">
        <f t="shared" ca="1" si="26"/>
        <v/>
      </c>
      <c r="FA34" s="21">
        <v>73</v>
      </c>
      <c r="FB34" s="22">
        <v>44981</v>
      </c>
      <c r="FC34" s="29" t="str">
        <f t="shared" si="27"/>
        <v>NO APLICA &gt; 23 SEM -TOMAR PTOG</v>
      </c>
      <c r="FD34" s="29"/>
      <c r="FE34" s="29"/>
      <c r="FF34" s="29"/>
      <c r="FG34" s="21" t="str">
        <f t="shared" ca="1" si="28"/>
        <v/>
      </c>
      <c r="FH34" s="31">
        <v>44981</v>
      </c>
      <c r="FI34" s="29">
        <f t="shared" si="29"/>
        <v>35.571428571428569</v>
      </c>
      <c r="FJ34" s="22"/>
      <c r="FK34" s="22"/>
      <c r="FL34" s="29" t="str">
        <f t="shared" ca="1" si="30"/>
        <v>PIERDE TOMA DE TAMIZAJE</v>
      </c>
      <c r="FM34" s="22"/>
      <c r="FN34" s="32"/>
      <c r="FO34" s="29" t="str">
        <f t="shared" ca="1" si="31"/>
        <v>PIERDE TOMA DE TAMIZAJE</v>
      </c>
      <c r="FP34" s="22" t="s">
        <v>867</v>
      </c>
      <c r="FQ34" s="32">
        <v>44981</v>
      </c>
      <c r="FR34" s="29">
        <f t="shared" ca="1" si="32"/>
        <v>35.571428571428569</v>
      </c>
      <c r="FS34" s="22"/>
      <c r="FT34" s="32"/>
      <c r="FU34" s="29" t="str">
        <f>IF(AND(FJ34="",FM34="",FP34="",FS34=""),"",IF(OR(OR(Tabla1[[#This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34" s="28"/>
      <c r="FW34" s="22"/>
      <c r="FX34" s="29" t="str">
        <f t="shared" si="33"/>
        <v>TOMAR EXAMEN</v>
      </c>
      <c r="FY34" s="22">
        <v>44981</v>
      </c>
      <c r="FZ34" s="22">
        <v>44981</v>
      </c>
      <c r="GA34" s="29" t="str">
        <f t="shared" si="34"/>
        <v>REGISTRAR EN III TRIMESTRE</v>
      </c>
      <c r="GB34" s="22"/>
      <c r="GC34" s="22"/>
      <c r="GD34" s="29" t="str">
        <f t="shared" ca="1" si="35"/>
        <v>PIERDE TOMA DE TAMIZAJE</v>
      </c>
      <c r="GE34" s="22" t="s">
        <v>868</v>
      </c>
      <c r="GF34" s="22">
        <v>44981</v>
      </c>
      <c r="GG34" s="29">
        <f t="shared" ca="1" si="36"/>
        <v>35.571428571428569</v>
      </c>
      <c r="GH34" s="22"/>
      <c r="GI34" s="29"/>
      <c r="GJ34" s="22"/>
      <c r="GK34" s="22"/>
      <c r="GL34" s="22" t="s">
        <v>879</v>
      </c>
      <c r="GM34" s="22"/>
      <c r="GN34" s="28" t="s">
        <v>869</v>
      </c>
      <c r="GO34" s="22">
        <v>44981</v>
      </c>
      <c r="GP34" s="29">
        <f t="shared" si="37"/>
        <v>35.571428571428569</v>
      </c>
      <c r="GQ34" s="28" t="s">
        <v>869</v>
      </c>
      <c r="GR34" s="28" t="s">
        <v>869</v>
      </c>
      <c r="GS34" s="22" t="str">
        <f t="shared" si="38"/>
        <v>CONTROL Igm</v>
      </c>
      <c r="GT34" s="22">
        <v>44981</v>
      </c>
      <c r="GU34" s="29">
        <f t="shared" si="39"/>
        <v>35.571428571428569</v>
      </c>
      <c r="GV34" s="21" t="str">
        <f t="shared" si="40"/>
        <v>III TRIM</v>
      </c>
      <c r="GW34" s="28" t="s">
        <v>869</v>
      </c>
      <c r="GX34" s="30"/>
      <c r="GY34" s="21"/>
      <c r="GZ34" s="21"/>
      <c r="HA34" s="21"/>
      <c r="HB34" s="21"/>
      <c r="HC34" s="21"/>
      <c r="HD34" s="21"/>
      <c r="HE34" s="21"/>
      <c r="HF34" s="22"/>
      <c r="HG34" s="22" t="str">
        <f>IF(OR(O34&gt;0,R34&gt;0),CONCATENATE(IF(Tabla1[[#This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34" s="22" t="e">
        <f t="shared" si="41"/>
        <v>#REF!</v>
      </c>
      <c r="HI34" s="22" t="e">
        <f t="shared" ca="1" si="42"/>
        <v>#REF!</v>
      </c>
      <c r="HJ34" s="21" t="str">
        <f t="shared" ca="1" si="43"/>
        <v>**********************MULTIPARIDAD*****************</v>
      </c>
      <c r="HK34" s="21" t="str">
        <f t="shared" si="44"/>
        <v>SIN ANTECEDENTES DE RIESGO</v>
      </c>
      <c r="HL34" s="24" t="str">
        <f t="shared" si="45"/>
        <v>REGISTRE DATO PRESIÓN ARTERIAL MENSUAL</v>
      </c>
      <c r="HM34" s="21" t="str">
        <f t="shared" ca="1" si="46"/>
        <v/>
      </c>
      <c r="HN34" s="30" t="str">
        <f t="shared" si="47"/>
        <v>SALIO PROGRAMA</v>
      </c>
      <c r="HO34" s="21"/>
      <c r="HP34" s="21"/>
      <c r="HQ34" s="21">
        <v>44989</v>
      </c>
      <c r="HR34" s="21" t="str">
        <f>IF(R34="","",IF(Tabla1[[#This Row],[ALARMA FACTORES DE RIESGO COMPLICACIONES HIPERTENSIVAS3]]="SIN ANTECEDENTES DE RIESGO","No Aplica para suministro de ASA",IF(AND(Tabla1[[#This Row],[FECHA INICIO DE SUMINISTRO DE ASA]]&gt;0,RV34&lt;12),"Inicia ASA ANTES de Sem 12",IF(AND(RV34&gt;11,RV34&lt;17,OR(HK34="RIESGO ALTO DE COMPLICACIONES HIPERTENSIVAS VER MANEJO GUIA SUMINISTRO ASA Y CALCIO",HK34="RIESGO MODERADO (2 O MAS CRITERIOS) VER MANEJO GUIA SUMINISTRO ASA Y CALCIO")),"Inicio oportuno de ASA",IF(AND(RV34&gt;12,OR(HK34="RIESGO ALTO DE COMPLICACIONES HIPERTENSIVAS VER MANEJO GUIA SUMINISTRO ASA Y CALCIO",HK34="RIESGO MODERADO (2 O MAS CRITERIOS) VER MANEJO GUIA SUMINISTRO ASA Y CALCIO")),"Inicio no oportuno mayor a 16 semanas",IF(AND(BU34&lt;12,OR(HK34="RIESGO ALTO DE COMPLICACIONES HIPERTENSIVAS VER MANEJO GUIA SUMINISTRO ASA Y CALCIO",HK34="RIESGO MODERADO (2 O MAS CRITERIOS) VER MANEJO GUIA SUMINISTRO ASA Y CALCIO")),"Pendiente Inicio de ASA a la semana 12",IF(AND(BU34&gt;11,BU34&lt;17,OR(HK34="RIESGO ALTO DE COMPLICACIONES HIPERTENSIVAS VER MANEJO GUIA SUMINISTRO ASA Y CALCIO",HK34="RIESGO MODERADO (2 O MAS CRITERIOS) VER MANEJO GUIA SUMINISTRO ASA Y CALCIO")),"Iniciar de inmediato ASA",IF(AND(BU34&gt;16,OR(HK34="RIESGO ALTO DE COMPLICACIONES HIPERTENSIVAS VER MANEJO GUIA SUMINISTRO ASA Y CALCIO",HK34="RIESGO MODERADO (2 O MAS CRITERIOS) VER MANEJO GUIA SUMINISTRO ASA Y CALCIO")),"Pierde Oportunidad, Inicio tardío de ASA","XXXXX"))))))))</f>
        <v>No Aplica para suministro de ASA</v>
      </c>
      <c r="HS34" s="22">
        <v>44989</v>
      </c>
      <c r="HT34" s="22" t="s">
        <v>870</v>
      </c>
      <c r="HU34" s="22">
        <v>44989</v>
      </c>
      <c r="HV34" s="22"/>
      <c r="HW34" s="22">
        <v>44989</v>
      </c>
      <c r="HX34" s="22" t="s">
        <v>870</v>
      </c>
      <c r="HY34" s="22"/>
      <c r="HZ34" s="28" t="str">
        <f t="shared" si="48"/>
        <v>PENDIENTE CONSULTA</v>
      </c>
      <c r="IA34" s="26" t="s">
        <v>864</v>
      </c>
      <c r="IB34" s="26"/>
      <c r="IC34" s="111"/>
      <c r="ID34" s="22"/>
      <c r="IE34" s="22" t="str">
        <f t="shared" ca="1" si="49"/>
        <v>SALE SIN VACUNA</v>
      </c>
      <c r="IF34" s="22"/>
      <c r="IG34" s="22">
        <f t="shared" si="50"/>
        <v>45012</v>
      </c>
      <c r="IH34" s="29">
        <f t="shared" ca="1" si="51"/>
        <v>-220</v>
      </c>
      <c r="II34" s="22" t="str">
        <f t="shared" ca="1" si="52"/>
        <v>POSIBLEMENTE NACIO</v>
      </c>
      <c r="IJ34" s="22"/>
      <c r="IK34" s="21" t="s">
        <v>898</v>
      </c>
      <c r="IL34" s="21"/>
      <c r="IM34" s="34"/>
      <c r="IN34" s="349">
        <v>44998</v>
      </c>
      <c r="IO34" s="21" t="s">
        <v>1186</v>
      </c>
      <c r="IP34" s="29">
        <f t="shared" si="53"/>
        <v>38</v>
      </c>
      <c r="IQ34" s="110" t="s">
        <v>1654</v>
      </c>
      <c r="IR34" s="21" t="s">
        <v>1651</v>
      </c>
      <c r="IS34" s="21" t="s">
        <v>1646</v>
      </c>
      <c r="IT34" s="21" t="s">
        <v>1642</v>
      </c>
      <c r="IU34" s="21"/>
      <c r="IV34" s="21"/>
      <c r="IW34" s="21"/>
      <c r="IX34" s="21"/>
      <c r="IY34" s="21"/>
      <c r="IZ34" s="21"/>
      <c r="JA34" s="21"/>
      <c r="JB34" s="30">
        <v>1</v>
      </c>
      <c r="JC34" s="21" t="s">
        <v>1643</v>
      </c>
      <c r="JD34" s="36">
        <v>2360</v>
      </c>
      <c r="JE34" s="21" t="str">
        <f t="shared" si="54"/>
        <v>BAJO PESO AL NACER</v>
      </c>
      <c r="JF34" s="30"/>
      <c r="JG34" s="21"/>
      <c r="JH34" s="21"/>
      <c r="JI34" s="21" t="s">
        <v>854</v>
      </c>
      <c r="JJ34" s="30" t="s">
        <v>866</v>
      </c>
      <c r="JK34" s="22"/>
      <c r="JL34" s="22"/>
      <c r="JM34" s="21"/>
      <c r="JN34" s="36"/>
      <c r="JO34" s="21" t="str">
        <f t="shared" si="55"/>
        <v/>
      </c>
      <c r="JP34" s="22"/>
      <c r="JQ34" s="21"/>
      <c r="JR34" s="21"/>
      <c r="JS34" s="21"/>
      <c r="JT34" s="30"/>
      <c r="JU34" s="22"/>
      <c r="JV34" s="22"/>
      <c r="JW34" s="33"/>
      <c r="JX34" s="28" t="str">
        <f t="shared" si="56"/>
        <v>INASISTENTE</v>
      </c>
      <c r="JY34" s="33"/>
      <c r="JZ34" s="28" t="str">
        <f t="shared" si="57"/>
        <v>INASISTENTE</v>
      </c>
      <c r="KA34" s="21"/>
      <c r="KB34" s="21"/>
      <c r="KC34" s="21"/>
      <c r="KD34" s="37"/>
      <c r="KE34" s="28"/>
      <c r="KF34" s="28"/>
      <c r="KG34" s="28"/>
      <c r="KH34" s="39"/>
      <c r="KI34" s="39"/>
      <c r="KJ34" s="66"/>
      <c r="KK34" s="39"/>
      <c r="KL34" s="39"/>
      <c r="KM34" s="66"/>
      <c r="KN34" s="39"/>
      <c r="KO34" s="39"/>
      <c r="KP34" s="39"/>
      <c r="KQ34" s="39"/>
      <c r="KR34" s="39"/>
      <c r="KS34" s="39"/>
      <c r="KT34" s="39"/>
      <c r="KU34" s="38"/>
      <c r="KV34" s="38"/>
      <c r="KW34" s="38"/>
      <c r="KX34" s="38"/>
      <c r="KY34" s="38"/>
      <c r="KZ34" s="38"/>
      <c r="LA34" s="38"/>
      <c r="LB34" s="38"/>
      <c r="LC34" s="38"/>
      <c r="LD34" s="38"/>
      <c r="LE34" s="38"/>
      <c r="LF34" s="38"/>
      <c r="LG34" s="38"/>
      <c r="LH34" s="38"/>
      <c r="LI34" s="38"/>
      <c r="LJ34" s="38"/>
      <c r="LK34" s="38"/>
      <c r="LL34" s="38"/>
      <c r="LM34" s="38"/>
      <c r="LN34" s="38"/>
      <c r="LO34" s="38"/>
      <c r="LP34" s="38"/>
      <c r="LQ34" s="38"/>
      <c r="LR34" s="38"/>
      <c r="LS34" s="38"/>
      <c r="LT34" s="38"/>
      <c r="LU34" s="38"/>
      <c r="LV34" s="38"/>
      <c r="LW34" s="38"/>
      <c r="LX34" s="38"/>
      <c r="LY34" s="38"/>
      <c r="LZ34" s="38"/>
      <c r="MA34" s="38"/>
      <c r="MB34" s="38"/>
      <c r="MC34" s="38"/>
      <c r="MD34" s="38"/>
      <c r="ME34" s="38"/>
      <c r="MF34" s="38"/>
      <c r="MG34" s="38"/>
      <c r="MH34" s="43">
        <f t="shared" si="58"/>
        <v>0</v>
      </c>
      <c r="MI34" s="43" t="str">
        <f t="shared" si="59"/>
        <v/>
      </c>
      <c r="MJ34" s="43" t="str">
        <f t="shared" si="60"/>
        <v/>
      </c>
      <c r="MK34" s="43">
        <f t="shared" si="61"/>
        <v>0</v>
      </c>
      <c r="ML3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34" s="43">
        <f t="shared" si="62"/>
        <v>12.571428571428571</v>
      </c>
      <c r="MN34" s="43">
        <f t="shared" si="63"/>
        <v>9</v>
      </c>
      <c r="MO34" s="43">
        <f t="shared" si="64"/>
        <v>2022</v>
      </c>
      <c r="MP34" s="43" t="str">
        <f t="shared" si="65"/>
        <v>III TRIMESTRE AÑO</v>
      </c>
      <c r="MQ34" s="43">
        <f t="shared" si="66"/>
        <v>18.503613666228645</v>
      </c>
      <c r="MR34" s="43">
        <f t="shared" si="67"/>
        <v>0</v>
      </c>
      <c r="MS34" s="43" t="str">
        <f t="shared" si="68"/>
        <v>DE 14 A 19AÑOS</v>
      </c>
      <c r="MT34" s="43">
        <f t="shared" si="69"/>
        <v>0</v>
      </c>
      <c r="MU34" s="43">
        <f t="shared" si="70"/>
        <v>1</v>
      </c>
      <c r="MV34" s="43">
        <f t="shared" si="71"/>
        <v>0</v>
      </c>
      <c r="MW34" s="43">
        <f t="shared" si="72"/>
        <v>0</v>
      </c>
      <c r="MX34" s="43" t="str">
        <f t="shared" si="73"/>
        <v/>
      </c>
      <c r="MY34" s="43" t="str">
        <f t="shared" ca="1" si="74"/>
        <v/>
      </c>
      <c r="MZ34" s="43" t="str">
        <f t="shared" si="75"/>
        <v/>
      </c>
      <c r="NA34" s="43">
        <f t="shared" si="76"/>
        <v>0</v>
      </c>
      <c r="NB34" s="43" t="str">
        <f t="shared" si="77"/>
        <v/>
      </c>
      <c r="NC34" s="43" t="str">
        <f t="shared" si="78"/>
        <v/>
      </c>
      <c r="ND34" s="43">
        <f t="shared" ca="1" si="79"/>
        <v>1</v>
      </c>
      <c r="NE34" s="43">
        <f>IF(OR(O34&gt;0,R34&gt;0),SUM(COUNTIF(Tabla1[[#This Row],[AÑOS AL INICIO5 CPN]],"&gt;=40"),COUNTIF(AS34,"0"),COUNTIF(AR34,"SI"),COUNTIF(CC34,"SI"),COUNTIF(BQ34,"&gt;119"),COUNTIF(CI34,"&gt;=35")),"")</f>
        <v>1</v>
      </c>
      <c r="NF34" s="43" t="str">
        <f t="shared" si="80"/>
        <v/>
      </c>
      <c r="NG34" s="43">
        <f t="shared" si="81"/>
        <v>0</v>
      </c>
      <c r="NH34" s="43">
        <f t="shared" si="82"/>
        <v>129.5</v>
      </c>
      <c r="NI34"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CPN",P34="NO"),"Z",IF(AND(Tabla1[[#This Row],[CITA PROXIMO CONTROL]]="CITA MANUAL",Tabla1[[#This Row],[GESTANTES ACTUALES]]="ACTIVA INGRESO A CPN"),"W",IF(AND(Tabla1[[#This Row],[GESTANTES ACTUALES]]="SALIO PROGRAMA",IN34=""),"S",IF(AND(Tabla1[[#This Row],[CITA PROXIMO CONTROL]]&gt;0,IN34=""),(Tabla1[[#This Row],[CITA PROXIMO CONTROL]]-TODAY()),"SD"))))))))</f>
        <v>SD</v>
      </c>
      <c r="NJ34" s="43">
        <f>MONTH(Tabla1[[#This Row],[FECHA DE SALIDA  DEL PROGRAMA]])</f>
        <v>3</v>
      </c>
      <c r="NK34" s="43">
        <f>YEAR(Tabla1[[#This Row],[FECHA DE SALIDA  DEL PROGRAMA]])</f>
        <v>2023</v>
      </c>
      <c r="NL34" s="43" t="str">
        <f t="shared" si="83"/>
        <v>X</v>
      </c>
      <c r="NM34" s="43" t="str">
        <f t="shared" si="84"/>
        <v>NO</v>
      </c>
      <c r="NN34" s="43" t="str">
        <f ca="1">IF(AND(O34&gt;0,R34=""),"NO CPN",IF(AND(O34="",R34=""),"",IF(AND(R34&gt;0,Tabla1[[#This Row],[SEMANAS DE GESTACION ACTUALIZADAS]]&lt;=12),"NO APLICA",IF(AND(FH34&lt;&gt;"",FN34&lt;&gt;""),"SI","NO"))))</f>
        <v>NO</v>
      </c>
      <c r="NO34" s="43" t="str">
        <f ca="1">IF(AND(O34&gt;0,R34=""),"NO CPN",IF(AND(O34="",R34=""),"",IF(AND(R34&gt;0,Tabla1[[#This Row],[SEMANAS DE GESTACION ACTUALIZADAS]]&lt;=27),"NO APLICA",IF(AND(ES34&lt;&gt;"",FQ34&lt;&gt;"",GF34&lt;&gt;""),"SI","NO"))))</f>
        <v>SI</v>
      </c>
      <c r="NP34" s="204" t="str">
        <f t="shared" si="85"/>
        <v>II TRIM</v>
      </c>
      <c r="NQ34" s="21">
        <f t="shared" si="86"/>
        <v>10</v>
      </c>
      <c r="NR34" s="21">
        <f t="shared" si="87"/>
        <v>2</v>
      </c>
      <c r="NS34" s="205">
        <f t="shared" ca="1" si="88"/>
        <v>1</v>
      </c>
      <c r="NT34" s="21">
        <f t="shared" ca="1" si="89"/>
        <v>1</v>
      </c>
      <c r="NU34" s="21" t="str">
        <f t="shared" ca="1" si="90"/>
        <v>INCOMPLETO</v>
      </c>
      <c r="NV34" s="21" t="str">
        <f t="shared" ca="1" si="91"/>
        <v>INCOMPLETO</v>
      </c>
      <c r="NW34" s="206" t="str">
        <f>IF(AND(O34="",R34=""),"",IF(OR(AND(Tabla1[[#This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34" s="207" t="str">
        <f t="shared" ca="1" si="92"/>
        <v>SIN VACUNAR</v>
      </c>
      <c r="NY34" s="43">
        <f>ROW(Tabla1[[#This Row],['# DE TAMIZAJES SIFILIS TOMADOS ]])</f>
        <v>34</v>
      </c>
      <c r="NZ34" s="43">
        <f t="shared" si="93"/>
        <v>12</v>
      </c>
      <c r="OA34" s="43" t="str">
        <f t="shared" si="94"/>
        <v/>
      </c>
      <c r="OB34" s="43" t="str">
        <f t="shared" si="95"/>
        <v/>
      </c>
      <c r="OC34" s="43" t="str">
        <f t="shared" si="96"/>
        <v/>
      </c>
      <c r="OD34" s="43" t="str">
        <f t="shared" si="97"/>
        <v>NORMAL</v>
      </c>
      <c r="OE34" s="43" t="str">
        <f t="shared" si="98"/>
        <v/>
      </c>
      <c r="OF34" s="43" t="str">
        <f t="shared" si="99"/>
        <v/>
      </c>
      <c r="OG34" s="43" t="str">
        <f t="shared" si="100"/>
        <v/>
      </c>
      <c r="OH34" s="43" t="str">
        <f t="shared" si="101"/>
        <v/>
      </c>
      <c r="OI34" s="43" t="str">
        <f t="shared" si="102"/>
        <v/>
      </c>
      <c r="OJ34" s="43" t="str">
        <f t="shared" si="103"/>
        <v/>
      </c>
      <c r="OK34" s="43" t="str">
        <f t="shared" si="104"/>
        <v/>
      </c>
      <c r="OL34" s="43" t="str">
        <f t="shared" si="105"/>
        <v/>
      </c>
      <c r="OM34" s="43" t="str">
        <f t="shared" si="106"/>
        <v/>
      </c>
      <c r="ON34" s="43" t="str">
        <f t="shared" si="107"/>
        <v/>
      </c>
      <c r="OO34" s="43" t="str">
        <f t="shared" si="108"/>
        <v/>
      </c>
      <c r="OP34" s="43" t="str">
        <f t="shared" si="109"/>
        <v/>
      </c>
      <c r="OQ34" s="43" t="str">
        <f t="shared" si="110"/>
        <v/>
      </c>
      <c r="OR34" s="43" t="str">
        <f t="shared" si="111"/>
        <v/>
      </c>
      <c r="OS34" s="43" t="str">
        <f t="shared" si="112"/>
        <v/>
      </c>
      <c r="OT34" s="43" t="str">
        <f t="shared" si="113"/>
        <v/>
      </c>
      <c r="OU34" s="43" t="str">
        <f t="shared" si="114"/>
        <v/>
      </c>
      <c r="OV34" s="110" t="str">
        <f t="shared" si="115"/>
        <v/>
      </c>
      <c r="OW34" s="43" t="str">
        <f t="shared" si="116"/>
        <v/>
      </c>
      <c r="OX34" s="43" t="str">
        <f t="shared" si="117"/>
        <v/>
      </c>
      <c r="OY34" s="43" t="str">
        <f t="shared" si="118"/>
        <v/>
      </c>
      <c r="OZ34" s="43" t="str">
        <f t="shared" si="119"/>
        <v/>
      </c>
      <c r="PA34" s="43" t="str">
        <f t="shared" si="120"/>
        <v/>
      </c>
      <c r="PB34" s="43" t="str">
        <f t="shared" si="121"/>
        <v/>
      </c>
      <c r="PC34" s="43" t="str">
        <f t="shared" si="122"/>
        <v/>
      </c>
      <c r="PD34" s="43" t="str">
        <f t="shared" si="123"/>
        <v/>
      </c>
      <c r="PE34" s="43" t="str">
        <f t="shared" si="124"/>
        <v/>
      </c>
      <c r="PF34" s="43" t="str">
        <f t="shared" si="125"/>
        <v/>
      </c>
      <c r="PG34" s="43" t="str">
        <f t="shared" si="126"/>
        <v/>
      </c>
      <c r="PH34" s="43" t="str">
        <f t="shared" si="127"/>
        <v/>
      </c>
      <c r="PI34" s="43">
        <f t="shared" si="128"/>
        <v>36</v>
      </c>
      <c r="PJ34" s="43" t="str">
        <f t="shared" si="129"/>
        <v/>
      </c>
      <c r="PK34" s="43" t="str">
        <f t="shared" si="130"/>
        <v/>
      </c>
      <c r="PL34" s="43" t="str">
        <f t="shared" si="131"/>
        <v/>
      </c>
      <c r="PM34" s="43" t="str">
        <f t="shared" si="132"/>
        <v/>
      </c>
      <c r="PN34" s="43" t="str">
        <f t="shared" si="133"/>
        <v/>
      </c>
      <c r="PO34" s="43" t="str">
        <f t="shared" si="134"/>
        <v/>
      </c>
      <c r="PP34" s="43" t="str">
        <f t="shared" si="135"/>
        <v/>
      </c>
      <c r="PQ34" s="43" t="str">
        <f t="shared" si="136"/>
        <v/>
      </c>
      <c r="PR34" s="43" t="str">
        <f t="shared" si="137"/>
        <v/>
      </c>
      <c r="PS34" s="43" t="str">
        <f t="shared" si="138"/>
        <v/>
      </c>
      <c r="PT34" s="43" t="str">
        <f t="shared" si="139"/>
        <v/>
      </c>
      <c r="PU34" s="43" t="str">
        <f t="shared" si="140"/>
        <v/>
      </c>
      <c r="PV34" s="43" t="str">
        <f t="shared" si="141"/>
        <v/>
      </c>
      <c r="PW34" s="43" t="str">
        <f t="shared" si="142"/>
        <v/>
      </c>
      <c r="PX34" s="43" t="str">
        <f t="shared" si="143"/>
        <v/>
      </c>
      <c r="PY34" s="43" t="str">
        <f t="shared" si="144"/>
        <v/>
      </c>
      <c r="PZ34" s="43" t="str">
        <f t="shared" si="145"/>
        <v/>
      </c>
      <c r="QA34" s="43" t="str">
        <f t="shared" si="146"/>
        <v/>
      </c>
      <c r="QB34" s="43" t="str">
        <f t="shared" si="147"/>
        <v/>
      </c>
      <c r="QC34" s="43" t="str">
        <f t="shared" si="148"/>
        <v/>
      </c>
      <c r="QD34" s="43" t="str">
        <f t="shared" si="149"/>
        <v/>
      </c>
      <c r="QE34" s="43" t="str">
        <f t="shared" si="150"/>
        <v/>
      </c>
      <c r="QF34" s="43" t="str">
        <f t="shared" si="151"/>
        <v/>
      </c>
      <c r="QG34" s="43" t="str">
        <f t="shared" si="152"/>
        <v/>
      </c>
      <c r="QH34" s="43" t="str">
        <f t="shared" si="153"/>
        <v/>
      </c>
      <c r="QI34" s="43" t="str">
        <f t="shared" si="154"/>
        <v/>
      </c>
      <c r="QJ34" s="43" t="str">
        <f t="shared" si="155"/>
        <v/>
      </c>
      <c r="QK34" s="43" t="str">
        <f t="shared" si="156"/>
        <v/>
      </c>
      <c r="QL34" s="43" t="str">
        <f t="shared" si="157"/>
        <v/>
      </c>
      <c r="QM34" s="43" t="str">
        <f t="shared" si="158"/>
        <v/>
      </c>
      <c r="QN34" s="43" t="str">
        <f t="shared" si="159"/>
        <v/>
      </c>
      <c r="QO34" s="43" t="str">
        <f t="shared" si="160"/>
        <v/>
      </c>
      <c r="QP34" s="43" t="str">
        <f t="shared" si="161"/>
        <v/>
      </c>
      <c r="QQ34" s="43" t="str">
        <f t="shared" si="162"/>
        <v/>
      </c>
      <c r="QR34" s="43">
        <f t="shared" si="192"/>
        <v>36</v>
      </c>
      <c r="QS34" s="43"/>
      <c r="QT34" s="21" t="str">
        <f t="shared" si="163"/>
        <v/>
      </c>
      <c r="QU34" s="21" t="str">
        <f t="shared" si="164"/>
        <v/>
      </c>
      <c r="QV34" s="21" t="str">
        <f t="shared" si="165"/>
        <v/>
      </c>
      <c r="QW34" s="21" t="str">
        <f t="shared" si="166"/>
        <v/>
      </c>
      <c r="QX34" s="21" t="str">
        <f t="shared" si="167"/>
        <v/>
      </c>
      <c r="QY34" s="21" t="str">
        <f t="shared" si="168"/>
        <v/>
      </c>
      <c r="QZ34" s="21" t="str">
        <f t="shared" si="169"/>
        <v/>
      </c>
      <c r="RA34" s="21" t="str">
        <f t="shared" si="170"/>
        <v/>
      </c>
      <c r="RB34" s="21" t="str">
        <f t="shared" si="171"/>
        <v/>
      </c>
      <c r="RC34" s="21" t="str">
        <f t="shared" si="172"/>
        <v/>
      </c>
      <c r="RD34" s="21" t="str">
        <f t="shared" si="173"/>
        <v/>
      </c>
      <c r="RE34" s="21" t="str">
        <f t="shared" si="174"/>
        <v/>
      </c>
      <c r="RF34" s="21" t="str">
        <f t="shared" si="175"/>
        <v/>
      </c>
      <c r="RG34" s="21" t="str">
        <f t="shared" si="176"/>
        <v/>
      </c>
      <c r="RH34" s="21" t="str">
        <f t="shared" si="177"/>
        <v/>
      </c>
      <c r="RI34" s="21" t="str">
        <f t="shared" si="178"/>
        <v/>
      </c>
      <c r="RJ34" s="21" t="str">
        <f t="shared" si="179"/>
        <v/>
      </c>
      <c r="RK34" s="21" t="str">
        <f t="shared" si="180"/>
        <v/>
      </c>
      <c r="RL34" s="21" t="str">
        <f t="shared" si="181"/>
        <v/>
      </c>
      <c r="RM34" s="21" t="str">
        <f t="shared" si="182"/>
        <v/>
      </c>
      <c r="RN34" s="21" t="str">
        <f t="shared" si="183"/>
        <v/>
      </c>
      <c r="RO34" s="21" t="str">
        <f t="shared" si="184"/>
        <v/>
      </c>
      <c r="RP34" s="21" t="str">
        <f t="shared" si="185"/>
        <v/>
      </c>
      <c r="RQ34" s="21" t="str">
        <f t="shared" si="186"/>
        <v/>
      </c>
      <c r="RR34" s="21" t="str">
        <f t="shared" si="187"/>
        <v/>
      </c>
      <c r="RS34" s="21" t="str">
        <f t="shared" si="188"/>
        <v/>
      </c>
      <c r="RT34" s="21" t="str">
        <f t="shared" si="189"/>
        <v/>
      </c>
      <c r="RU34" s="21" t="str">
        <f t="shared" si="190"/>
        <v/>
      </c>
      <c r="RV34" s="21">
        <f t="shared" si="191"/>
        <v>36.714285714285715</v>
      </c>
      <c r="RW34" s="284">
        <f>IF(OR(Tabla1[[#This Row],[FUM FORMULA CONFIABLE]]="",Tabla1[[#This Row],[FUM FORMULA CONFIABLE]]="SD"),"",IF(Tabla1[[#This Row],[FUM FORMULA CONFIABLE]]="CORREGIDA",Tabla1[[#This Row],[FUM X ECO 1]],Tabla1[[#This Row],[FUM x AMENORREA]]))</f>
        <v>44732</v>
      </c>
      <c r="RX34" s="21">
        <f>IF(AND(Tabla1[[#This Row],[FUM X ECO 1]]="",Tabla1[[#This Row],[FUM x AMENORREA]]=""),"",IF(AND(Tabla1[[#This Row],[FUM X ECO 1]]="",Tabla1[[#This Row],[FUM x AMENORREA]]&lt;&gt;""),"X",SUM(Tabla1[[#This Row],[FUM X ECO 1]]-Tabla1[[#This Row],[FUM x AMENORREA]])))</f>
        <v>0.5</v>
      </c>
      <c r="RY34" s="21">
        <f t="shared" si="193"/>
        <v>0</v>
      </c>
    </row>
    <row r="35" spans="1:493" ht="45" customHeight="1" x14ac:dyDescent="0.25">
      <c r="A35" s="109" t="s">
        <v>1050</v>
      </c>
      <c r="B35" s="43" t="s">
        <v>1051</v>
      </c>
      <c r="C35" s="43" t="s">
        <v>845</v>
      </c>
      <c r="D35" s="124" t="s">
        <v>846</v>
      </c>
      <c r="E35" s="43" t="s">
        <v>1052</v>
      </c>
      <c r="F35" s="43" t="s">
        <v>953</v>
      </c>
      <c r="G35" s="43" t="s">
        <v>1053</v>
      </c>
      <c r="H35" s="43"/>
      <c r="I35" s="109" t="s">
        <v>851</v>
      </c>
      <c r="J35" s="110">
        <v>1059594776</v>
      </c>
      <c r="K35" s="43" t="s">
        <v>852</v>
      </c>
      <c r="L35" s="175" t="s">
        <v>886</v>
      </c>
      <c r="M35" s="22">
        <v>38280</v>
      </c>
      <c r="N35" s="213">
        <f t="shared" ca="1" si="0"/>
        <v>19.046575342465754</v>
      </c>
      <c r="O35" s="22">
        <v>44854</v>
      </c>
      <c r="P35" s="214" t="str">
        <f t="shared" ref="P35:P66" si="194">IF(AND(O35="",R35&gt;0),"ACUDE ESPONTANEAMENTE",IF(AND(AND(O35&gt;0,R35=""),OR(IN35&gt;0,IK35&lt;&gt;"")),"NA",IF(AND(O35&gt;0,IN35="",R35=""),"NO",IF(AND(O35&gt;0,R35&gt;0),"SI",""))))</f>
        <v>SI</v>
      </c>
      <c r="Q35" s="26" t="s">
        <v>855</v>
      </c>
      <c r="R35" s="22">
        <v>44854</v>
      </c>
      <c r="S35" s="21" t="s">
        <v>856</v>
      </c>
      <c r="T35" s="24" t="s">
        <v>690</v>
      </c>
      <c r="U35" s="21" t="s">
        <v>857</v>
      </c>
      <c r="V35" s="21" t="s">
        <v>858</v>
      </c>
      <c r="W35" s="21" t="s">
        <v>1054</v>
      </c>
      <c r="X35" s="21" t="s">
        <v>1054</v>
      </c>
      <c r="Y35" s="21" t="s">
        <v>859</v>
      </c>
      <c r="Z35" s="21">
        <v>3217584252</v>
      </c>
      <c r="AA35" s="21" t="s">
        <v>860</v>
      </c>
      <c r="AB35" s="27" t="s">
        <v>861</v>
      </c>
      <c r="AC35" s="26" t="s">
        <v>897</v>
      </c>
      <c r="AD35" s="38" t="s">
        <v>863</v>
      </c>
      <c r="AE35" s="26" t="s">
        <v>854</v>
      </c>
      <c r="AF35" s="26" t="s">
        <v>854</v>
      </c>
      <c r="AG35" s="23" t="s">
        <v>864</v>
      </c>
      <c r="AH35" s="23" t="s">
        <v>864</v>
      </c>
      <c r="AI35" s="24" t="s">
        <v>863</v>
      </c>
      <c r="AJ35" s="23" t="s">
        <v>864</v>
      </c>
      <c r="AK35" s="220" t="str">
        <f>IF(AND(AD35="",AE35="",AF35="",AG35="",AH35="",AI35="",AJ35=""),"",IF(OR(Tabla1[[#This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EVALUACIÓN",IF(AND(O35="",R35=""),"",IF(AND(OR(O35&gt;0,R35&gt;0),NG35&gt;=0,NG35&lt;2),"SIN RIESGO",IF(AND(OR(O35&gt;0,R35&gt;0),NG35&gt;=2),"CON RIESGO","ASD")))))</f>
        <v>SIN RIESGO</v>
      </c>
      <c r="AL35" s="23" t="s">
        <v>864</v>
      </c>
      <c r="AM35" s="26" t="s">
        <v>864</v>
      </c>
      <c r="AN35" s="26" t="s">
        <v>864</v>
      </c>
      <c r="AO35" s="26" t="s">
        <v>864</v>
      </c>
      <c r="AP35" s="26" t="s">
        <v>864</v>
      </c>
      <c r="AQ35" s="26" t="s">
        <v>864</v>
      </c>
      <c r="AR35" s="26" t="s">
        <v>864</v>
      </c>
      <c r="AS35" s="21">
        <v>1</v>
      </c>
      <c r="AT35" s="21">
        <v>0</v>
      </c>
      <c r="AU35" s="21">
        <v>1</v>
      </c>
      <c r="AV35" s="26" t="s">
        <v>864</v>
      </c>
      <c r="AW35" s="21">
        <v>0</v>
      </c>
      <c r="AX35" s="26" t="s">
        <v>864</v>
      </c>
      <c r="AY35" s="26" t="s">
        <v>864</v>
      </c>
      <c r="AZ35" s="26" t="s">
        <v>864</v>
      </c>
      <c r="BA35" s="26" t="s">
        <v>864</v>
      </c>
      <c r="BB35" s="26" t="s">
        <v>864</v>
      </c>
      <c r="BC35" s="26" t="s">
        <v>864</v>
      </c>
      <c r="BD35" s="26" t="s">
        <v>864</v>
      </c>
      <c r="BE35" s="26" t="s">
        <v>864</v>
      </c>
      <c r="BF35" s="26" t="s">
        <v>864</v>
      </c>
      <c r="BG35" s="26" t="s">
        <v>864</v>
      </c>
      <c r="BH35" s="26" t="s">
        <v>864</v>
      </c>
      <c r="BI35" s="26" t="s">
        <v>864</v>
      </c>
      <c r="BJ35" s="26"/>
      <c r="BK35" s="26"/>
      <c r="BL35" s="26" t="s">
        <v>864</v>
      </c>
      <c r="BM35" s="26" t="s">
        <v>864</v>
      </c>
      <c r="BN35" s="22"/>
      <c r="BO35" s="22">
        <v>44804</v>
      </c>
      <c r="BP35" s="21" t="s">
        <v>854</v>
      </c>
      <c r="BQ35" s="222">
        <f t="shared" si="2"/>
        <v>0</v>
      </c>
      <c r="BR35" s="223">
        <f t="shared" si="3"/>
        <v>44804.2</v>
      </c>
      <c r="BS35" s="224">
        <f t="shared" si="4"/>
        <v>7.1428571428571432</v>
      </c>
      <c r="BT35" s="216" t="str">
        <f t="shared" si="5"/>
        <v>I TRIM</v>
      </c>
      <c r="BU35" s="214" t="str">
        <f t="shared" ca="1" si="6"/>
        <v/>
      </c>
      <c r="BV35" s="25"/>
      <c r="BW35" s="22">
        <v>44856</v>
      </c>
      <c r="BX35" s="28">
        <v>7.4</v>
      </c>
      <c r="BY35" s="28"/>
      <c r="BZ35" s="22">
        <v>44890</v>
      </c>
      <c r="CA35" s="21">
        <v>13.1</v>
      </c>
      <c r="CB35" s="26" t="s">
        <v>864</v>
      </c>
      <c r="CC35" s="26" t="s">
        <v>864</v>
      </c>
      <c r="CD35" s="26" t="s">
        <v>878</v>
      </c>
      <c r="CE35" s="26" t="s">
        <v>864</v>
      </c>
      <c r="CF35" s="22" t="s">
        <v>1517</v>
      </c>
      <c r="CG35" s="21">
        <v>1.51</v>
      </c>
      <c r="CH35" s="21">
        <v>43</v>
      </c>
      <c r="CI35" s="214">
        <f t="shared" si="7"/>
        <v>18.858821981492039</v>
      </c>
      <c r="CJ35" s="225" t="str">
        <f>IF(AND(CI35&lt;10,CH35="SD"),"SIN DATO PESO PREGESTACION O I TRIM",IF(AND(OR(R35&gt;0,O35&gt;0),CI35="X"),"INGRESAR DATO DE PESO",IF(CI35="SD","INGRESAR DATO DE TALLA Y PESO",IF(AND(OR(Tabla1[[#This Row],[MOMENTO EN QUE SE REALIZA EL PESO AL INGRESO A CPN]]="PREGESTACIÓN",NZ35="Menor"),CI35&lt;18.5),"BAJO PESO",IF(AND(OR(Tabla1[[#This Row],[MOMENTO EN QUE SE REALIZA EL PESO AL INGRESO A CPN]]="PREGESTACIÓN",NZ35="Menor"),CI35&lt;25),"NORMAL",IF(AND(OR(Tabla1[[#This Row],[MOMENTO EN QUE SE REALIZA EL PESO AL INGRESO A CPN]]="PREGESTACIÓN",NZ35="Menor"),CI35&lt;30),"SOBREPESO",IF(AND(OR(Tabla1[[#This Row],[MOMENTO EN QUE SE REALIZA EL PESO AL INGRESO A CPN]]="PREGESTACIÓN",NZ35="Menor"),CI35&gt;=30,CI35&lt;50),"OBESIDAD",IF(AND(BS35&gt;0,Tabla1[[#This Row],[MOMENTO EN QUE SE REALIZA EL PESO AL INGRESO A CPN]]="GESTACIÓN"),HLOOKUP(NZ35,$OA$2:PH35,NY35),""))))))))</f>
        <v>NORMAL</v>
      </c>
      <c r="CK35" s="212">
        <f t="shared" si="8"/>
        <v>45041</v>
      </c>
      <c r="CL35" s="21"/>
      <c r="CM35" s="214">
        <f t="shared" si="9"/>
        <v>0</v>
      </c>
      <c r="CN35" s="216">
        <f t="shared" si="10"/>
        <v>33</v>
      </c>
      <c r="CO35" s="216" t="e">
        <f>IF(PI35="","",IF(PI35&gt;0,HLOOKUP(PI35,$PJ$2:QQ35,NY35),""))</f>
        <v>#REF!</v>
      </c>
      <c r="CP35" s="21"/>
      <c r="CQ35" s="216" t="e">
        <f>IF(QR35="Menor","NO APLICA-MENOR 13 SEM",IF(AND(CC35="SI",CN35&gt;23),"NO APLICA- GEMELAR",IF(QR35="","",IF(QR35&gt;0,HLOOKUP(QR35,$QS$2:RU35,NY35),""))))</f>
        <v>#REF!</v>
      </c>
      <c r="CR35" s="21">
        <v>90</v>
      </c>
      <c r="CS35" s="21">
        <v>60</v>
      </c>
      <c r="CT35" s="217" t="str">
        <f>IF(R35="","",IF(AND(BS35&gt;1,BS35&lt;12,Tabla1[[#This Row],[T.A. SISTOLICA - ANTES DE SEMANA 12]]="",Tabla1[[#This Row],[T.A. DIASTOLICA - ANTES DE SEMANA 12]]=""),"REGISTRE DATO TA ANTES SEMANA 12",IF(AND(BS35&gt;11,BS35&lt;43,Tabla1[[#This Row],[T.A. SISTOLICA - ANTES DE SEMANA 12]]="",Tabla1[[#This Row],[T.A. DIASTOLICA - ANTES DE SEMANA 12]]=""),"NO APLICA REGISTRO TA-INGRESO TARDIO",IF(AND(OR(O35&gt;0,R35&gt;0),OR(CR35&gt;=140,CS35&gt;=90)),"DEFINIR ESTADIO HTA",IF(AND(OR(O35&gt;0,R35&gt;0),AND(CR35&gt;120,CR35&lt;=139)),"PRE HTA SEGUIMIENTO",IF(AND(OR(O35&gt;0,R35&gt;0),AND(CS35&gt;80,CS35&lt;=89)),"PRE HTA SEGUIMIENTO",IF(AND(OR(O35&gt;0,R35&gt;0),AND(CR35&gt;=80,CR35&lt;=120)),"APARENTEMENTE NORMAL",IF(AND(OR(O35&gt;0,R35&gt;0),AND(CS35&gt;=50,CS35&lt;=80)),"APARENTEMENTE NORMAL",IF(AND(OR(O35&gt;0,R35&gt;0),AND(CR35&gt;1,CR35&lt;=70),AND(CS35&gt;1,CS35&lt;=40)),"HIPOTENSIÓN","")))))))))</f>
        <v>APARENTEMENTE NORMAL</v>
      </c>
      <c r="CU35" s="21">
        <v>90</v>
      </c>
      <c r="CV35" s="21">
        <v>60</v>
      </c>
      <c r="CW35" s="217" t="str">
        <f ca="1">IF(R35="","",IF(AND(CN35&gt;19,CN35&lt;27,Tabla1[[#This Row],[T.A. SISTOLICA (Entre semana 20 y 26)]]="",Tabla1[[#This Row],[T.A. DIATOLICA (Entre semana 20 y 26)]]=""),"ACUDE A CONTROL SEM 20 A 26 REGISTRE TA AHORA",IF(AND(BS35&gt;1,BS35&lt;27,BU35&gt;19,Tabla1[[#This Row],[T.A. SISTOLICA (Entre semana 20 y 26)]]="",Tabla1[[#This Row],[T.A. DIATOLICA (Entre semana 20 y 26)]]=""),"COMPLETE REGISTRO TA CONTROL SEM 20 A26 ",IF(AND(BS35&gt;26,BS35&lt;43,Tabla1[[#This Row],[T.A. SISTOLICA (Entre semana 20 y 26)]]="",Tabla1[[#This Row],[T.A. DIATOLICA (Entre semana 20 y 26)]]=""),"NO APLICA REGISTRO TA-INGRESO TARDIO",IF(AND(OR(O35&gt;0,R35&gt;0),OR(CU35&gt;=140,CV35&gt;=90)),"ALTO RIESGO PREECLAMPSIA,DEFINIR ESTADIO HTA",IF(AND(OR(O35&gt;0,R35&gt;0),AND(CU35&gt;120,CU35&lt;=139)),"PRE HTA SEGUIMIENTO,RIESGO HIPERTENSION INDUCIDA POR EL EMBARAZO",IF(AND(OR(O35&gt;0,R35&gt;0),AND(CV35&gt;80,CV35&lt;=89)),"PRE HTA SEGUIMIENTO, RIESGO HIPERTENSION INDUCIDA POR EL EMBARAZO",IF(AND(OR(O35&lt;&gt;"",R35&lt;&gt;""),CS35&lt;&gt;"",CV35&lt;&gt;"",CS35&lt;=CV35),"VIGILAR CIFRAS PRESION ARTERIAL",IF(AND(OR(O35&gt;0,R35&gt;0),AND(CU35&gt;120,CU35&lt;=139)),"PRE HTA SEGUIMIENTO",IF(AND(OR(O35&gt;0,R35&gt;0),AND(CU35&gt;1,CU35&lt;=70),AND(CV35&gt;1,CV35&lt;=40)),"HIPOTENSIÓN",IF(AND(OR(O35&lt;&gt;"",R35&lt;&gt;""),CS35&lt;&gt;"",CV35&lt;&gt;"",CS35&gt;CV35),"APARENTEMENTE NORMAL",IF(AND(OR(O35&gt;0,R35&gt;0),AND(CU35&gt;=80,CU35&lt;=120)),"APARENTEMENTE NORMAL",IF(AND(OR(O35&gt;0,R35&gt;0),AND(CV35&gt;=50,CV35&lt;=80)),"APARENTEMENTE NORMAL","")))))))))))))</f>
        <v>VIGILAR CIFRAS PRESION ARTERIAL</v>
      </c>
      <c r="CX35" s="21">
        <v>90</v>
      </c>
      <c r="CY35" s="21">
        <v>60</v>
      </c>
      <c r="CZ35" s="216" t="str">
        <f t="shared" ref="CZ35:CZ66" si="195">IF(R35="","",IF(AND(CN35&gt;31,CN35&lt;35,CX35="",CY35=""),"ACUDE A CONTROL SEM 30 A 34- REGISTRE AHORA",IF(AND(BS35&gt;34,BS35&lt;43,CX36="",CY36=""),"NO APLICA-INGRESO TARDIO",IF(AND(OR(O35&gt;0,R35&gt;0),OR(CX35&gt;=140,CY35&gt;=90)),"ESTUDIO INMEDIATO HTA PARA DESCARTAR PREECLAMSIA",IF(AND(OR(O35&gt;0,R35&gt;0),AND(CX35&gt;=130,CX35&lt;=139)),"PRE HTA,RIESGO ALTO PREECLAMPSIA",IF(AND(OR(O35&gt;0,R35&gt;0),AND(CY35&gt;80,CY35&lt;=89)),"PRE HTA,RIESGO ALTO PREECLAMPSIA",IF(AND(OR(O35&gt;0,R35&gt;0),AND(CX35&gt;120,CX35&lt;=129)),"RANGO PREHIPERTENSIVO SEGUIMIENTO HTA",IF(AND(OR(O35&lt;&gt;"",R35&lt;&gt;""),CS35&lt;&gt;"",CY35&lt;&gt;"",CS35&lt;CY35),"VIGILAR CIFRAS PRESION ARTERIAL",IF(AND(OR(O35&lt;&gt;"",R35&lt;&gt;""),CS35&lt;&gt;"",CY35&lt;&gt;"",CS35=CY35),"APARENTEMENTE NORMAL",IF(AND(OR(O35&gt;0,R35&gt;0),CX35&gt;=80,CX35&lt;=120),"APARENTEMENTE NORMAL",IF(AND(OR(O35&gt;0,R35&gt;0),CY35&gt;=50,CY35&lt;=80),"APARENTEMENTE NORMAL","")))))))))))</f>
        <v>APARENTEMENTE NORMAL</v>
      </c>
      <c r="DA35" s="21"/>
      <c r="DB35" s="21"/>
      <c r="DC35" s="217" t="str">
        <f t="shared" si="12"/>
        <v>REGISTRE DATO PRESIÓN ARTERIAL MENSUAL</v>
      </c>
      <c r="DD35" s="22">
        <v>44854</v>
      </c>
      <c r="DE35" s="22">
        <v>44854</v>
      </c>
      <c r="DF35" s="22">
        <v>44917</v>
      </c>
      <c r="DG35" s="22">
        <v>44950</v>
      </c>
      <c r="DH35" s="22">
        <v>44984</v>
      </c>
      <c r="DI35" s="22">
        <v>45013</v>
      </c>
      <c r="DJ35" s="22">
        <v>45041</v>
      </c>
      <c r="DK35" s="22"/>
      <c r="DL35" s="22"/>
      <c r="DM35" s="22"/>
      <c r="DN35" s="22"/>
      <c r="DO35" s="22"/>
      <c r="DP35" s="22"/>
      <c r="DQ35" s="22"/>
      <c r="DR35" s="28">
        <v>2</v>
      </c>
      <c r="DS35" s="22"/>
      <c r="DT35" s="22"/>
      <c r="DU35" s="216" t="str">
        <f t="shared" ref="DU35:DU66" ca="1" si="196">IF(AND(BT35="ERROR FUM O INGRESO",DS35&gt;0),"ERROR FUM O INGRESO",IF(AND(DS35="",R35="",O35=""),"",IF(OR(AND(DS35&lt;&gt;"",DS35&lt;RW35),AND(DS35&lt;&gt;"",AND(SUM((DS35-RW35)/7)&gt;0,SUM((DS35-RW35)/7)&lt;28))),"PLAN REALIZADO ANTES III TRIM", IF(AND(DS35="",OR(O35&gt;0,R35&gt;0),AND(BU35&gt;=28, BU35&lt;35,DV35="ACTIVA INGRESO A CPN")),"PLANEAR PLAN DE PARTO", IF(AND(DS35="",OR(O35&gt;0,R35&gt;0),BU35&gt;=35,DV35="ACTIVA INGRESO A CPN"),"CONCERTAR PLAN DE PARTO INMEDIATO", IF(AND(DS35="",OR(O35&gt;0,R35&gt;0),AND(BU35&gt;0, BU35&lt;28),OR(DV35="ACTIVA INGRESO A CPN", DV35=" ACTIVA SIN INGRESO CPN")),"EN ESPERA", IF(AND(DS35="",OR(O35&gt;0,R35&gt;0),AND(IP35&gt;0, IP35&lt;28)),"NO APLICA SALE PROGRAMA ANTES III TRIM", IF(AND(DS35="",OR(O35&gt;0,R35&gt;0),AND(IP35&gt;=28, IP35&lt;35)),"SALE PROGRAMA ANTES SEMANA 35", IF(AND(DS35="",OR(O35&gt;0,R35&gt;0),IP35&gt;35),"SALE SIN PLAN DE PARTO",IF(DS35&gt;0,SUM(DS35-BO35)/7,""))))))))))</f>
        <v>SALE SIN PLAN DE PARTO</v>
      </c>
      <c r="DV35" s="226" t="str">
        <f t="shared" ref="DV35:DV71" si="197">IF(AND(R35&lt;&gt;"",IK35="CAMBIO DE RESIDENCIA",IK35="CAMBIO DE IPS",IK35="CAMBIO DE EPS"),"SEGUIMIENTO REPORTE EPS",IF(IK35="IVE","IVE",IF(AND(R35&lt;&gt;"",OR(IK35&lt;&gt;"",IN35&lt;&gt;"")),"SALIO PROGRAMA",IF(AND(AND(R35="",O35&gt;0),OR(IK35&lt;&gt;"",IN35&lt;&gt;"")),"SALE SIN INGRESO CPN",IF(AND(R35="",O35&gt;0,IK35="",IN35=""),"ACTIVA SIN INGRESO CPN",IF(AND(R35&lt;&gt;"",OR(IK35="",IN35="")),"ACTIVA INGRESO A CPN",""))))))</f>
        <v>SALIO PROGRAMA</v>
      </c>
      <c r="DW35"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35" s="216" t="str">
        <f t="shared" ca="1" si="15"/>
        <v/>
      </c>
      <c r="DY35" s="212">
        <f>IF(R35="","",IF(R35&gt;0,MAX(Tabla1[[#This Row],[FECHA C2]:[FECHA C13]],Tabla1[[#This Row],[FECHA CONSULTA PRIMERA VEZ PROGRAMA CPN ]])))</f>
        <v>45041</v>
      </c>
      <c r="DZ35" s="216">
        <f t="shared" si="16"/>
        <v>33</v>
      </c>
      <c r="EA35" s="222">
        <f>IF(R35&gt;0,SUM(COUNTA(DF35:DQ35)+COUNTA(Tabla1[[#This Row],[FECHA CONSULTA PRIMERA VEZ PROGRAMA CPN ]])),"")</f>
        <v>6</v>
      </c>
      <c r="EB35" s="222" t="str">
        <f t="shared" si="17"/>
        <v>SI</v>
      </c>
      <c r="EC35" s="214">
        <f t="shared" si="18"/>
        <v>10</v>
      </c>
      <c r="ED35" s="227">
        <f t="shared" si="19"/>
        <v>0.6</v>
      </c>
      <c r="EE35" s="22">
        <v>44854</v>
      </c>
      <c r="EF35" s="22">
        <v>44866</v>
      </c>
      <c r="EG35" s="22">
        <v>44854</v>
      </c>
      <c r="EH35" s="22"/>
      <c r="EI35" s="22">
        <v>44854</v>
      </c>
      <c r="EJ35" s="22">
        <v>45008</v>
      </c>
      <c r="EK35" s="22">
        <v>45030</v>
      </c>
      <c r="EL35" s="21"/>
      <c r="EM35" s="21">
        <v>13</v>
      </c>
      <c r="EN35" s="22">
        <v>44854</v>
      </c>
      <c r="EO35" s="222">
        <f t="shared" si="20"/>
        <v>7.1428571428571432</v>
      </c>
      <c r="EP35" s="214" t="str">
        <f t="shared" si="21"/>
        <v>NORMAL- SUMINISTRAR SULFATO FERROSO</v>
      </c>
      <c r="EQ35" s="216" t="str">
        <f t="shared" si="22"/>
        <v>I TRIM</v>
      </c>
      <c r="ER35" s="24"/>
      <c r="ES35" s="22"/>
      <c r="ET35" s="29" t="str">
        <f t="shared" ref="ET35:ET66" ca="1" si="198">IF(AND(BT35="ERROR FUM O INGRESO",ES35&gt;0),"ERROR FUM O INGRESO",IF(AND(ES35="",R35="",O35=""),"",IF(OR(AND(ES35&lt;&gt;"",ES35&lt;RW35),AND(ES35&lt;&gt;"",SUM((ES35-RW35)/7)&gt;40)),"CORREGIR FECHA RESULTADO",IF(AND(BU35&gt;1,BU35&lt;23,ER35="",ES35=""),"EN ESPERA PARA TOMA EXAMEN",IF(AND(BU35&gt;22,BU35&lt;26,ER35="",ES35=""),"PROGRAMAR TOMA HEMOGLOBINA A SEM 28",IF(AND(BU35&gt;25,BU35&lt;28,ER35="",ES35=""),"TOMA HEMOGLOBINA A SEM 28 EN 1 SEMANA",IF(AND(BU35&gt;27,BU35&lt;31,ES35="",OR(O35&gt;0,R35&gt;0)),"EN SEMANA 28 TOMA INMEDIATA DE EXAMEN",IF(AND(IP35&gt;0,IP35&lt;28,ES35="",OR(O35&gt;0,R35&gt;0)),"NO APLICA-SALE ANTES SEM 28",IF(AND(IP35&gt;28,IP35&lt;43,ES35="",OR(O35&gt;0,R35&gt;0)),"SALE SIN TAMIZAJE HEMOGLOBINA SEM 28",IF(AND(BS35&gt;0,ES35="",OR(O35&gt;0,R35&gt;0)),"TOMA DE HEMOGLOBINA TARDÍA",IF(ES35&gt;0,SUM(ES35-RW35)/7,"")))))))))))</f>
        <v>SALE SIN TAMIZAJE HEMOGLOBINA SEM 28</v>
      </c>
      <c r="EU35" s="25" t="str">
        <f t="shared" si="24"/>
        <v/>
      </c>
      <c r="EV35" s="24" t="s">
        <v>866</v>
      </c>
      <c r="EW35" s="24">
        <v>44854</v>
      </c>
      <c r="EX35" s="22"/>
      <c r="EY35" s="29">
        <f t="shared" ref="EY35:EY59" si="199">IF(AND(BT35="ERROR FUM O INGRESO",EW35&gt;0),"ERROR FUM O INGRESO",IF(AND(EW35="",R35="",O35=""),"",IF(OR(AND(EW35&lt;&gt;"",EW35&lt;RW35),AND(EW35&lt;&gt;"",SUM((EW35-RW35)/7)&gt;40)),"CORREGIR FECHA RESULTADO",IF(AND(EW35="",OR(O35&gt;0,R35&gt;0)),"TOMAR EXAMEN",IF(EW35&gt;0,SUM(EW35-RW35)/7,"")))))</f>
        <v>7.1428571428571432</v>
      </c>
      <c r="EZ35" s="25" t="str">
        <f t="shared" ref="EZ35:EZ59" ca="1" si="200">IF(EV35="RH POSITIVO","SIN RIESGO DE ISOINMUNIZACIÓN",IF(AND(EV35="RH NEGATIVO CON COOMBS NEGATIVO",EX35="",BU35&lt;=24),"COOMBS C/MES Y APLICAR RHESUMAN SEM 28",IF(AND(EV35="RH NEGATIVO CON COOMBS NEGATIVO",EX35="",AND(BU35&gt;24,BU35&lt;27)),"FALTAN DE 4 A 2 SEMANAS PARA APLICAR RHESUMAN A SEM 28",IF(AND(EV35="RH NEGATIVO CON COOMBS NEGATIVO",EX35="",AND(BU35&gt;26.99,BU35&lt;27.99)),"FALTAN 1 SEMANAS PARA APLICAR RHESUMAN A SEM 28",IF(AND(EV35="RH NEGATIVO CON COOMBS NEGATIVO",EX35="",AND(BU35&gt;27.99,BU35&lt;29)),"SEMANA 28 APLICAR DE INMEDIATO RHESUMAN",IF(AND(EV35="RH NEGATIVO CON COOMBS NEGATIVO",EX35="",AND(BU35&gt;28.99,BU35&lt;42)),"DEBE APLICAR RHESUMAN, ES NO OPORTUNO &gt; 28 SEMANAS",IF(AND(EV35="RH NEGATIVO CON COOMBS NEGATIVO",EX35&gt;0),SUM(EX35-RW35)/7,IF(EV35="RH NEGATIVO SIN COOMBS","TOMAR COOMBS INMEDIATO PARA DEFINIR MANEJO",IF(EV35="RH NEGATIVO CON COOMBS POSITIVO","TOMAR COOMBS CUANTITATIVO Y REMISIÓN","")))))))))</f>
        <v/>
      </c>
      <c r="FA35" s="21">
        <v>77</v>
      </c>
      <c r="FB35" s="22">
        <v>44854</v>
      </c>
      <c r="FC35" s="29">
        <f t="shared" si="27"/>
        <v>7.1428571428571432</v>
      </c>
      <c r="FD35" s="29">
        <v>71</v>
      </c>
      <c r="FE35" s="29">
        <v>90</v>
      </c>
      <c r="FF35" s="29">
        <v>96</v>
      </c>
      <c r="FG35" s="21" t="str">
        <f t="shared" si="28"/>
        <v xml:space="preserve">NORMAL, NO DESCARTA DIABETES POR REALIZARLO ANTES DE  SEMANA 24, </v>
      </c>
      <c r="FH35" s="31">
        <v>44961</v>
      </c>
      <c r="FI35" s="29">
        <f t="shared" si="29"/>
        <v>22.428571428571427</v>
      </c>
      <c r="FJ35" s="22" t="s">
        <v>867</v>
      </c>
      <c r="FK35" s="22">
        <v>44854</v>
      </c>
      <c r="FL35" s="29">
        <f t="shared" ca="1" si="30"/>
        <v>7.1428571428571432</v>
      </c>
      <c r="FM35" s="22" t="s">
        <v>867</v>
      </c>
      <c r="FN35" s="32">
        <v>44950</v>
      </c>
      <c r="FO35" s="29">
        <f t="shared" ref="FO35:FO66" ca="1" si="201">IF(AND(BT35="ERROR FUM O INGRESO",FN35&gt;0),"ERROR FUM O INGRESO",IF(AND(FN35="",R35="",O35=""),"",IF(AND(FN35&lt;&gt;"",FN35&lt;RW35), "INCOHERENCIA FUM Y FECHA TAMIZAJE",IF(AND(FN35="",DV35="ACTIVA INGRESO A CPN",AND(BU35&gt;0,BU35&lt;13)),"EN ESPERA-ESTÁ I TRIM", IF(AND(FN35="",AND(BS35&gt;0, BS35&lt;13),OR(O35&gt;0,R35&gt;0),AND(IP35&gt;0,IP35&lt;13)),"NO APLICA-SALIO DEL PROGRAMA I TRIM",IF(AND(FN35&lt;&gt;"",AND(SUM((FN35-RW35)/7)&gt;0,SUM((FN35-RW35)/7)&lt;13)),"REGISTRAR EN I TRIMESTRE",IF(AND(FN35&lt;&gt;"",AND(SUM((FN35-RW35)/7)&gt;=27,SUM((FN35-RW35)/7)&lt;44)),"REGISTRAR EN III TRIMESTRE",IF(AND(FN35="",OR(O35&gt;0,R35&gt;0),AND(BU35&gt;=13,BU35&lt;24),DV35="ACTIVA INGRESO A CPN"),"EN RANGO PARA TOMAR EXAMEN",IF(AND(FN35="",OR(O35&gt;0,R35&gt;0),AND(BU35&gt;=25,BU35&lt;27),DV35="ACTIVA INGRESO A CPN"),"TOMA INMEDIATA DE TAMIZAJE",IF(AND(FN35="",OR(O35&gt;0,R35&gt;0),AND(BS35&gt;=27,BS35&lt;44)),"NO APLICA-INGRESO TARDIO",IF(AND(FN35="",BS35&lt;27,OR(AND(IP35&gt;12,IP35&lt;44),BU35&gt;12)),"PIERDE TOMA DE TAMIZAJE",IF(FN35&gt;0,SUM(FN35-RW35)/7,""))))))))))))</f>
        <v>20.857142857142858</v>
      </c>
      <c r="FP35" s="22" t="s">
        <v>867</v>
      </c>
      <c r="FQ35" s="32">
        <v>45041</v>
      </c>
      <c r="FR35" s="29">
        <f t="shared" ref="FR35:FR66" ca="1" si="202">IF(AND(BT35="ERROR FUM O INGRESO",FQ35&gt;0),"ERROR FUM O INGRESO",IF(AND(FQ35="",R35="",O35=""),"",IF(AND(FQ35&lt;&gt;"",FQ35&lt;RW35), "INCOHERENCIA FUM Y FECHA TAMIZAJE",IF(AND(FQ35="",DV35="ACTIVA INGRESO A CPN",AND(BU35&gt;0,BU35&lt;27)),"EN ESPERA-ESTÁ I TRIM O II TRIM", IF(AND(FQ35="",AND(BS35&gt;0, BS35&lt;27),OR(O35&gt;0,R35&gt;0),AND(IP35&gt;0,IP35&lt;27)),"NO APLICA-SALIO DEL PROGRAMA I O II TRIM",IF(AND(FQ35&lt;&gt;"",AND(SUM((FQ35-RW35)/7)&gt;0,SUM((FQ35-RW35)/7)&lt;13)),"REGISTAR EN I TRIMESTRE",IF(AND(FQ35&lt;&gt;"",AND(SUM((FQ35-RW35)/7)&gt;=13,SUM((FQ35-RW35)/7)&lt;27)),"REGISTRAR EN II TRIMESTRE",IF(AND(FQ35="",OR(O35&gt;0,R35&gt;0),AND(BU35&gt;=28,BU35&lt;35),DV35="ACTIVA INGRESO A CPN"),"EN RANGO PARA TOMAR EXAMEN",IF(AND(FQ35="",OR(O35&gt;0,R35&gt;0),BU35&gt;=35, DV35="ACTIVA INGRESO A CPN"),"TOMA INMEDIATA DE TAMIZAJE",IF(AND(FQ35="",DV35= "SALE SIN INGRESO CPN"),"NO APLICA-SIN CPN",IF(AND(FQ35="",AND(IP35&gt;26,IP35&lt;43)),"PIERDE TOMA DE TAMIZAJE",IF(FQ35&gt;0,SUM(FQ35-RW35)/7,""))))))))))))</f>
        <v>33.857142857142854</v>
      </c>
      <c r="FS35" s="22"/>
      <c r="FT35" s="32"/>
      <c r="FU35" s="29" t="str">
        <f>IF(AND(FJ35="",FM35="",FP35="",FS35=""),"",IF(OR(OR(Tabla1[[#This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35" s="28"/>
      <c r="FW35" s="22"/>
      <c r="FX35" s="29" t="str">
        <f t="shared" si="33"/>
        <v>TOMAR EXAMEN</v>
      </c>
      <c r="FY35" s="22">
        <v>44854</v>
      </c>
      <c r="FZ35" s="22">
        <v>44854</v>
      </c>
      <c r="GA35" s="29">
        <f t="shared" ref="GA35:GA59" ca="1" si="203">IF(AND(BT35="ERROR FUM O INGRESO",FZ35&gt;0),"ERROR FUM O INGRESO",IF(AND(FZ35="",R35="",O35=""),"",IF(OR(AND(FZ35&lt;&gt;"",FZ35&lt;RW35),AND(FZ35&lt;&gt;"",AND(SUM((FZ35-RW35)/7)&gt;=13,SUM((FZ35-RW35)/7)&lt;27))),"REGISTRAR EN II TRIMESTRE",IF(OR(AND(FZ35&lt;&gt;"",FZ35&lt;RW35),AND(FZ35&lt;&gt;"",AND(SUM((FZ35-RW35)/7)&gt;=27,SUM((FZ35-RW35)/7)&lt;44))),"REGISTRAR EN III TRIMESTRE",IF(AND(FZ35="",OR(O35&gt;0,R35&gt;0),AND(BU35&gt;1,BU35&lt;10)),"EN RANGO PARA TOMAR EXAMEN",IF(AND(FZ35="",OR(O35&gt;0,R35&gt;0),AND(BU35&gt;=10,BU35&lt;12)),"TOMA INMEDIATA DE TAMIZAJE",IF(AND(FZ35="",BS35&lt;12,OR(O35&gt;0,R35&gt;0)),"PIERDE TOMA DE TAMIZAJE",IF(AND(FZ35="",OR(O35&gt;0,R35&gt;0),AND(BS35&gt;=13,BS35&lt;44)),"NO APLICA-INGRESO TARDIO",IF(FZ35&gt;0,SUM(FZ35-RW35)/7,"")))))))))</f>
        <v>7.1428571428571432</v>
      </c>
      <c r="GB35" s="22"/>
      <c r="GC35" s="22"/>
      <c r="GD35" s="29" t="str">
        <f t="shared" ref="GD35:GD66" ca="1" si="204">IF(AND(BT35="ERROR FUM O INGRESO",GC35&gt;0),"ERROR FUM O INGRESO",IF(AND(GC35="",R35="",O35=""),"",IF(AND(GC35&lt;&gt;"",GC35&lt;RW35), "INCOHERENCIA FUM Y FECHA TAMIZAJE",IF(AND(GC35="",DV35="ACTIVA INGRESO A CPN",AND(BU35&gt;0,BU35&lt;13)),"EN ESPERA-ESTÁ I TRIM", IF(AND(GC35="",AND(BS35&gt;0, BS35&lt;12),OR(O35&gt;0,R35&gt;0),AND(IP35&gt;0,IP35&lt;13)),"NO APLICA-SALIO DEL PROGRAMA I TRIM",IF(AND(GC35&lt;&gt;"",AND(SUM((GC35-RW35)/7)&gt;0,SUM((GC35-RW35)/7)&lt;13)),"REGISTRAR EN I TRIMESTRE",IF(AND(GC35&lt;&gt;"",AND(SUM((GC35-RW35)/7)&gt;=27,SUM((GC35-RW35)/7)&lt;44)),"REGISTRAR EN III TRIMESTRE",IF(AND(GC35="",OR(O35&gt;0,R35&gt;0),AND(BU35&gt;=12,BU35&lt;25),DV35="ACTIVA INGRESO A CPN"),"EN RANGO PARA TOMAR EXAMEN",IF(AND(GC35="",OR(O35&gt;0,R35&gt;0),AND(BU35&gt;=25,BU35&lt;27),DV35="ACTIVA INGRESO A CPN"),"TOMA INMEDIATA DE TAMIZAJE",IF(AND(GC35="",OR(O35&gt;0,R35&gt;0),AND(BS35&gt;=27,BS35&lt;43)),"NO APLICA-INGRESO TARDIO",IF(AND(GC35="",BS35&lt;27),"PIERDE TOMA DE TAMIZAJE",IF(GC35&gt;0,SUM(GC35-RW35)/7,""))))))))))))</f>
        <v>PIERDE TOMA DE TAMIZAJE</v>
      </c>
      <c r="GE35" s="22" t="s">
        <v>868</v>
      </c>
      <c r="GF35" s="22">
        <v>45044</v>
      </c>
      <c r="GG35" s="29">
        <f t="shared" ref="GG35:GG66" ca="1" si="205">IF(AND(BT35="ERROR FUM O INGRESO",GF35&gt;0),"ERROR FUM O INGRESO",IF(AND(GF35="",R35="",O35=""),"",IF(AND(GF35&lt;&gt;"",GF35&lt;RW35), "INCOHERENCIA FUM Y FECHA TAMIZAJE",IF(AND(GF35="",DV35="ACTIVA INGRESO A CPN",AND(BU35&gt;0,BU35&lt;27)),"EN ESPERA-ESTÁ I TRIM O II TRIM", IF(AND(GF35="",AND(BS35&gt;0, BS35&lt;28),OR(O35&gt;0,R35&gt;0),AND(IP35&gt;0,IP35&lt;28)),"NO APLICA-SALIO DEL PROGRAMA I O II TRIM",IF(AND(GF35&lt;&gt;"",AND(SUM((GF35-RW35)/7)&gt;0,SUM((GF35-RW35)/7)&lt;13)),"REGISTAR EN I TRIMESTRE",IF(AND(GF35&lt;&gt;"",AND(SUM((GF35-RW35)/7)&gt;=13,SUM((GF35-RW35)/7)&lt;27)),"REGISTRAR EN II TRIMESTRE",IF(AND(GF35="",OR(O35&gt;0,R35&gt;0),AND(BU35&gt;=28,BU35&lt;35),DV35="ACTIVA INGRESO A CPN"),"EN RANGO PARA TOMAR EXAMEN",IF(AND(GF35="",OR(O35&gt;0,R35&gt;0),BU35&gt;=35, DV35="ACTIVA INGRESO A CPN"),"TOMA INMEDIATA DE TAMIZAJE",IF(AND(GF35="",DV35= "SALE SIN INGRESO CPN"),"NO APLICA-SIN CPN",IF(AND(GF35="",BS35&lt;44),"PIERDE TOMA DE TAMIZAJE",IF(GF35&gt;0,SUM(GF35-RW35)/7,""))))))))))))</f>
        <v>34.285714285714285</v>
      </c>
      <c r="GH35" s="22"/>
      <c r="GI35" s="29"/>
      <c r="GJ35" s="22"/>
      <c r="GK35" s="22"/>
      <c r="GL35" s="22" t="s">
        <v>879</v>
      </c>
      <c r="GM35" s="22"/>
      <c r="GN35" s="28" t="s">
        <v>869</v>
      </c>
      <c r="GO35" s="22">
        <v>44854</v>
      </c>
      <c r="GP35" s="29">
        <f t="shared" si="37"/>
        <v>7.1428571428571432</v>
      </c>
      <c r="GQ35" s="28" t="s">
        <v>880</v>
      </c>
      <c r="GR35" s="28" t="s">
        <v>869</v>
      </c>
      <c r="GS35" s="22" t="str">
        <f t="shared" ref="GS35:GS66" si="206">IF(GQ35="NEGATIVO","CONTROL Igm",IF(AND(GQ35="POSITIVO",GR35="NEGATIVO"),"SE EXCLUYE INFECCION",IF(AND(GQ35="POSITIVO",GR35="POSITIVO"),"TOXOPLASMOSIS, REMITIR PARA MANEJO","")))</f>
        <v>SE EXCLUYE INFECCION</v>
      </c>
      <c r="GT35" s="22">
        <v>44854</v>
      </c>
      <c r="GU35" s="29">
        <f t="shared" si="39"/>
        <v>7.1428571428571432</v>
      </c>
      <c r="GV35" s="21" t="str">
        <f t="shared" si="40"/>
        <v>I TRIM</v>
      </c>
      <c r="GW35" s="28" t="s">
        <v>869</v>
      </c>
      <c r="GX35" s="30"/>
      <c r="GY35" s="21" t="s">
        <v>906</v>
      </c>
      <c r="GZ35" s="21"/>
      <c r="HA35" s="21"/>
      <c r="HB35" s="21"/>
      <c r="HC35" s="21"/>
      <c r="HD35" s="21"/>
      <c r="HE35" s="21"/>
      <c r="HF35" s="22"/>
      <c r="HG35" s="22" t="str">
        <f>IF(OR(O35&gt;0,R35&gt;0),CONCATENATE(IF(Tabla1[[#This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35" s="22" t="e">
        <f t="shared" si="41"/>
        <v>#REF!</v>
      </c>
      <c r="HI35" s="22" t="e">
        <f t="shared" ca="1" si="42"/>
        <v>#REF!</v>
      </c>
      <c r="HJ35" s="21" t="str">
        <f t="shared" ca="1" si="43"/>
        <v>**********************MULTIPARIDAD*****************</v>
      </c>
      <c r="HK35" s="21" t="str">
        <f t="shared" si="44"/>
        <v>SIN ANTECEDENTES DE RIESGO</v>
      </c>
      <c r="HL35" s="24" t="str">
        <f t="shared" si="45"/>
        <v>REGISTRE DATO PRESIÓN ARTERIAL MENSUAL</v>
      </c>
      <c r="HM35" s="21" t="str">
        <f t="shared" ca="1" si="46"/>
        <v/>
      </c>
      <c r="HN35" s="30" t="str">
        <f t="shared" ref="HN35:HN71" si="207">IF(AND(R35&lt;&gt;"",IK35="CAMBIO DE RESIDENCIA"),"SEGUIMIENTO REPORTE EPS",IF(AND(R35&lt;&gt;"",OR(IK35&lt;&gt;"",IN35&lt;&gt;"")),"SALIO PROGRAMA",IF(AND(AND(R35="",O35&gt;0),OR(IK35&lt;&gt;"",IN35&lt;&gt;"")),"SALE SIN INGRESO CPN",IF(AND(R35="",O35&gt;0,IK35="",IN35=""),"ACTIVA SIN INGRESO CPN",IF(AND(R35&lt;&gt;"",OR(IK35="",IN35="")),"ACTIVA INGRESO A CPN","")))))</f>
        <v>SALIO PROGRAMA</v>
      </c>
      <c r="HO35" s="21"/>
      <c r="HP35" s="21"/>
      <c r="HQ35" s="21">
        <v>44854</v>
      </c>
      <c r="HR35" s="21" t="str">
        <f>IF(R35="","",IF(Tabla1[[#This Row],[ALARMA FACTORES DE RIESGO COMPLICACIONES HIPERTENSIVAS3]]="SIN ANTECEDENTES DE RIESGO","No Aplica para suministro de ASA",IF(AND(Tabla1[[#This Row],[FECHA INICIO DE SUMINISTRO DE ASA]]&gt;0,RV35&lt;12),"Inicia ASA ANTES de Sem 12",IF(AND(RV35&gt;11,RV35&lt;17,OR(HK35="RIESGO ALTO DE COMPLICACIONES HIPERTENSIVAS VER MANEJO GUIA SUMINISTRO ASA Y CALCIO",HK35="RIESGO MODERADO (2 O MAS CRITERIOS) VER MANEJO GUIA SUMINISTRO ASA Y CALCIO")),"Inicio oportuno de ASA",IF(AND(RV35&gt;12,OR(HK35="RIESGO ALTO DE COMPLICACIONES HIPERTENSIVAS VER MANEJO GUIA SUMINISTRO ASA Y CALCIO",HK35="RIESGO MODERADO (2 O MAS CRITERIOS) VER MANEJO GUIA SUMINISTRO ASA Y CALCIO")),"Inicio no oportuno mayor a 16 semanas",IF(AND(BU35&lt;12,OR(HK35="RIESGO ALTO DE COMPLICACIONES HIPERTENSIVAS VER MANEJO GUIA SUMINISTRO ASA Y CALCIO",HK35="RIESGO MODERADO (2 O MAS CRITERIOS) VER MANEJO GUIA SUMINISTRO ASA Y CALCIO")),"Pendiente Inicio de ASA a la semana 12",IF(AND(BU35&gt;11,BU35&lt;17,OR(HK35="RIESGO ALTO DE COMPLICACIONES HIPERTENSIVAS VER MANEJO GUIA SUMINISTRO ASA Y CALCIO",HK35="RIESGO MODERADO (2 O MAS CRITERIOS) VER MANEJO GUIA SUMINISTRO ASA Y CALCIO")),"Iniciar de inmediato ASA",IF(AND(BU35&gt;16,OR(HK35="RIESGO ALTO DE COMPLICACIONES HIPERTENSIVAS VER MANEJO GUIA SUMINISTRO ASA Y CALCIO",HK35="RIESGO MODERADO (2 O MAS CRITERIOS) VER MANEJO GUIA SUMINISTRO ASA Y CALCIO")),"Pierde Oportunidad, Inicio tardío de ASA","XXXXX"))))))))</f>
        <v>No Aplica para suministro de ASA</v>
      </c>
      <c r="HS35" s="22">
        <v>44854</v>
      </c>
      <c r="HT35" s="22" t="s">
        <v>870</v>
      </c>
      <c r="HU35" s="22">
        <v>44854</v>
      </c>
      <c r="HV35" s="22" t="s">
        <v>935</v>
      </c>
      <c r="HW35" s="22">
        <v>44854</v>
      </c>
      <c r="HX35" s="22" t="s">
        <v>935</v>
      </c>
      <c r="HY35" s="22">
        <v>44854</v>
      </c>
      <c r="HZ35" s="28">
        <f t="shared" si="48"/>
        <v>7.1428571428571432</v>
      </c>
      <c r="IA35" s="26" t="s">
        <v>864</v>
      </c>
      <c r="IB35" s="26"/>
      <c r="IC35" s="111"/>
      <c r="ID35" s="22">
        <v>44961</v>
      </c>
      <c r="IE35" s="22" t="str">
        <f t="shared" ca="1" si="49"/>
        <v>VACUNA APLICADA ENTRE SEMANA 20 Y SEMANA 26</v>
      </c>
      <c r="IF35" s="22"/>
      <c r="IG35" s="22">
        <f t="shared" si="50"/>
        <v>45084</v>
      </c>
      <c r="IH35" s="29">
        <f t="shared" ca="1" si="51"/>
        <v>-148</v>
      </c>
      <c r="II35" s="22" t="str">
        <f t="shared" ca="1" si="52"/>
        <v>POSIBLEMENTE NACIO</v>
      </c>
      <c r="IJ35" s="22"/>
      <c r="IK35" s="21" t="s">
        <v>898</v>
      </c>
      <c r="IL35" s="21"/>
      <c r="IM35" s="34"/>
      <c r="IN35" s="349">
        <v>45062</v>
      </c>
      <c r="IO35" s="21" t="s">
        <v>1186</v>
      </c>
      <c r="IP35" s="29">
        <f t="shared" ref="IP35:IP66" si="208">IF(AND(IN35&gt;0,IK35&lt;&gt;""),SUM(IN35-RW35)/7,"")</f>
        <v>36.857142857142854</v>
      </c>
      <c r="IQ35" s="35" t="s">
        <v>1650</v>
      </c>
      <c r="IR35" s="21" t="s">
        <v>1651</v>
      </c>
      <c r="IS35" s="21" t="s">
        <v>1646</v>
      </c>
      <c r="IT35" s="21" t="s">
        <v>1642</v>
      </c>
      <c r="IU35" s="21"/>
      <c r="IV35" s="21"/>
      <c r="IW35" s="21"/>
      <c r="IX35" s="21"/>
      <c r="IY35" s="21"/>
      <c r="IZ35" s="21"/>
      <c r="JA35" s="21"/>
      <c r="JB35" s="30">
        <v>1</v>
      </c>
      <c r="JC35" s="21" t="s">
        <v>1647</v>
      </c>
      <c r="JD35" s="36">
        <v>3680</v>
      </c>
      <c r="JE35" s="21" t="str">
        <f t="shared" ref="JE35:JE66" si="209">IF(AND(JD35&gt;700,JD35&lt;2500,IP35&gt;36),"BAJO PESO AL NACER",IF(AND(JD35&gt;500,JD35&lt;2500,IP35&lt;37),"PREMATURO",IF(AND(JD35&gt;2499,JD35&lt;5000,IP35&lt;37),"ERROR VERIFICAR DATO EDAD GESTACIONAL VS PESO",IF(AND(JD35&gt;2499,JD35&lt;4000,IP35&gt;36),"PESO ADECUADO EDAD GESTACIONAL",IF(AND(JD35&gt;3999,JD35&lt;6000,IP35&gt;36),"PESO GRANDE EDAD GESTACIONAL","")))))</f>
        <v>ERROR VERIFICAR DATO EDAD GESTACIONAL VS PESO</v>
      </c>
      <c r="JF35" s="30"/>
      <c r="JG35" s="21"/>
      <c r="JH35" s="21"/>
      <c r="JI35" s="21" t="s">
        <v>854</v>
      </c>
      <c r="JJ35" s="30" t="s">
        <v>866</v>
      </c>
      <c r="JK35" s="22"/>
      <c r="JL35" s="22"/>
      <c r="JM35" s="21"/>
      <c r="JN35" s="36"/>
      <c r="JO35" s="21" t="str">
        <f t="shared" ref="JO35:JO66" si="210">IF(AND(JN35&gt;700,JN35&lt;2500,IP35&gt;36,IP35&lt;43),"BAJO PESO AL NACER",IF(AND(JN35&gt;700,JN35&lt;2500,IP35&lt;37),"PREMATURO",IF(AND(JN35&gt;2499,JN35&lt;5000,IP35&lt;37),"ERROR VERIFICAR DATO EDAD GESTACIONAL VS PESO",IF(AND(JN35&gt;2499,JN35&lt;4000,IP35&gt;36,IP35&lt;43),"PESO ADECUADO EDAD GESTACIONAL",IF(AND(JN35&gt;3999,JN35&lt;6000,IP35&gt;36,IP35&lt;43),"PESO GRANDE EDAD GESTACIONAL","")))))</f>
        <v/>
      </c>
      <c r="JP35" s="22"/>
      <c r="JQ35" s="21"/>
      <c r="JR35" s="21"/>
      <c r="JS35" s="21"/>
      <c r="JT35" s="30"/>
      <c r="JU35" s="22"/>
      <c r="JV35" s="22"/>
      <c r="JW35" s="33"/>
      <c r="JX35" s="28" t="str">
        <f t="shared" ref="JX35:JX66" si="211">IF(AND(JW35&lt;&gt;"",JW35&lt;IN35),"INCONSISTENCIA FECHA CONTROL",IF(AND(OR(IK35="Parto",IK35="Cesarea"),JW35&gt;0,IN35&gt;0),SUM(JW35-IN35),IF(AND(OR(IK35="Parto",IK35="Cesarea"),JW35="",IN35&gt;0),"INASISTENTE","")))</f>
        <v>INASISTENTE</v>
      </c>
      <c r="JY35" s="33"/>
      <c r="JZ35" s="28" t="str">
        <f t="shared" ref="JZ35:JZ66" si="212">IF(AND(JY35&lt;&gt;"",JY35&lt;IN35),"INCONSISTENCIA FECHA CONTROL",IF(AND(OR(IK35="Parto",IK35="Cesarea",IK35="Aborto Espontaneo",IK35="Aborto Inducido",IK35="IVE"),JY35&gt;0,IN35&gt;0),SUM(JY35-IN35),IF(AND(JY35&lt;&gt;"",JY35&lt;IN35),"INCONSISTENCIA FECHA CONTROL",IF(AND(OR(IK35="Parto",IK35="Cesarea",IK35="Aborto Espontaneo",IK35="Aborto Inducido",IK35="IVE"),JY35="",IN35&gt;0),"INASISTENTE",""))))</f>
        <v>INASISTENTE</v>
      </c>
      <c r="KA35" s="21"/>
      <c r="KB35" s="21"/>
      <c r="KC35" s="21"/>
      <c r="KD35" s="37"/>
      <c r="KE35" s="28"/>
      <c r="KF35" s="28"/>
      <c r="KG35" s="28"/>
      <c r="KH35" s="39"/>
      <c r="KI35" s="39"/>
      <c r="KJ35" s="66"/>
      <c r="KK35" s="39"/>
      <c r="KL35" s="39"/>
      <c r="KM35" s="66"/>
      <c r="KN35" s="39"/>
      <c r="KO35" s="39"/>
      <c r="KP35" s="39"/>
      <c r="KQ35" s="39"/>
      <c r="KR35" s="39"/>
      <c r="KS35" s="39"/>
      <c r="KT35" s="39"/>
      <c r="KU35" s="38"/>
      <c r="KV35" s="38"/>
      <c r="KW35" s="38"/>
      <c r="KX35" s="38"/>
      <c r="KY35" s="38"/>
      <c r="KZ35" s="38"/>
      <c r="LA35" s="38"/>
      <c r="LB35" s="38"/>
      <c r="LC35" s="38"/>
      <c r="LD35" s="38"/>
      <c r="LE35" s="38"/>
      <c r="LF35" s="38"/>
      <c r="LG35" s="38"/>
      <c r="LH35" s="38"/>
      <c r="LI35" s="38"/>
      <c r="LJ35" s="38"/>
      <c r="LK35" s="38"/>
      <c r="LL35" s="38"/>
      <c r="LM35" s="38"/>
      <c r="LN35" s="38"/>
      <c r="LO35" s="38"/>
      <c r="LP35" s="38"/>
      <c r="LQ35" s="38"/>
      <c r="LR35" s="38"/>
      <c r="LS35" s="38"/>
      <c r="LT35" s="38"/>
      <c r="LU35" s="38"/>
      <c r="LV35" s="38"/>
      <c r="LW35" s="38"/>
      <c r="LX35" s="38"/>
      <c r="LY35" s="38"/>
      <c r="LZ35" s="38"/>
      <c r="MA35" s="38"/>
      <c r="MB35" s="38"/>
      <c r="MC35" s="38"/>
      <c r="MD35" s="38"/>
      <c r="ME35" s="38"/>
      <c r="MF35" s="38"/>
      <c r="MG35" s="38"/>
      <c r="MH35" s="43">
        <f t="shared" ref="MH35:MH66" si="213">SUM(COUNTIF(KU35,"PARTERO (A)"),COUNTIF(KY35,"PARTERO (A)"),COUNTIF(LC35,"PARTERO (A)"),COUNTIF(LG35,"PARTERO (A)"),COUNTIF(LK35,"PARTERO (A)"),COUNTIF(LO35,"PARTERO (A)"),COUNTIF(ME35,"PARTERO (A)"))</f>
        <v>0</v>
      </c>
      <c r="MI35" s="43" t="str">
        <f t="shared" ref="MI35:MI66" si="214">IF(AND(R35="",O35=""),"",IF(AND(OR(O35&gt;0,R35&gt;0),KT35&gt;0),SUM(KT35-RW35)/7,""))</f>
        <v/>
      </c>
      <c r="MJ35" s="43" t="str">
        <f t="shared" ref="MJ35:MJ66" si="215">IF(AND(MI35="",BT35=""),"",IF(AND(MI35&lt;&gt;"",BT35="SIN DATO"),"SIN DATO",IF(AND(MI35="",BT35&lt;&gt;""),"",IF(AND(MI35&lt;0,BT35&gt;0),"ERROR FUM O INGRESO",IF(MI35&lt;=13,"I TRIM",IF(MI35&lt;28,"II TRIM",IF(AND(MI35&gt;27,MI35&lt;45),"III TRIM","POR DEFINIR")))))))</f>
        <v/>
      </c>
      <c r="MK35" s="43">
        <f t="shared" ref="MK35:MK66" si="216">SUM(COUNTIF(KU35,"MEDICO (A) TRADICIONAL"),COUNTIF(KY35,"MEDICO (A) TRADICIONAL"),COUNTIF(LC35,"MEDICO (A) TRADICIONAL"),COUNTIF(LG35,"MEDICO (A) TRADICIONAL"),COUNTIF(LK35,"MEDICO (A) TRADICIONAL"),COUNTIF(LO35,"MEDICO (A) TRADICIONAL"),COUNTIF(ME35,"MEDICO (A) TRADICIONAL"))</f>
        <v>0</v>
      </c>
      <c r="ML3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35" s="43">
        <f t="shared" ref="MM35:MM66" si="217">IF(AND(O35&gt;0,RW35&gt;0),SUM(O35-RW35)/7,"")</f>
        <v>7.1428571428571432</v>
      </c>
      <c r="MN35" s="43">
        <f t="shared" ref="MN35:MN66" si="218">IF(R35&gt;0,MONTH(R35),"")</f>
        <v>10</v>
      </c>
      <c r="MO35" s="43">
        <f t="shared" ref="MO35:MO66" si="219">IF(R35&gt;0,YEAR(R35),"")</f>
        <v>2022</v>
      </c>
      <c r="MP35" s="43" t="str">
        <f t="shared" ref="MP35:MP66" si="220">IF(AND(MN35&gt;=1,MN35&lt;=3),"I TRIMESTRE AÑO",IF(AND(MN35&gt;=4,MN35&lt;=6),"II TRIMESTRE AÑO",IF(AND(MN35&gt;=7,MN35&lt;=9),"III TRIMESTRE AÑO",IF(AND(MN35&gt;=10,MN35&lt;=12),"IV TRIMESTRE AÑO",""))))</f>
        <v>IV TRIMESTRE AÑO</v>
      </c>
      <c r="MQ35" s="43">
        <f t="shared" ref="MQ35:MQ66" si="221">IF(AND(M35&gt;0,R35&gt;0),DAYS360(M35,R35)/30.44/12,IF(AND(M35&gt;0,O35&gt;0,R35=""),DAYS360(M35,O35)/30.44/12,""))</f>
        <v>17.739816031537451</v>
      </c>
      <c r="MR35" s="43">
        <f t="shared" ref="MR35:MR66" si="222">IF(AND(MQ35&gt;7,MQ35&lt;14),2,IF(MQ35&lt;16,1,IF(MQ35&lt;=35,0,IF(AND(MQ35&gt;35,MQ35&lt;50),2,""))))</f>
        <v>0</v>
      </c>
      <c r="MS35" s="43" t="str">
        <f t="shared" ref="MS35:MS66" si="223">+IF(MQ35="","",IF(MQ35&lt;14,"MENOR 14 AÑOS",IF(MQ35&lt;20,"DE 14 A 19AÑOS",IF(MQ35&lt;25," DE 20 A 24 AÑOS",IF(MQ35&lt;30," DE 25 A 29 AÑOS",IF(MQ35&lt;35," DE 30 A 34 AÑOS",IF(MQ35&lt;40," DE 35 A 39 AÑOS"," DE 40 Y MAS")))))))</f>
        <v>DE 14 A 19AÑOS</v>
      </c>
      <c r="MT35" s="43">
        <f t="shared" ref="MT35:MT66" si="224">IF(OR(AX35="SI",BA35="SI"),1,IF(AND(AX35="NO",BA35="NO"),0,""))</f>
        <v>0</v>
      </c>
      <c r="MU35" s="43">
        <f t="shared" ref="MU35:MU66" si="225">IF(AT35="","",IF(AT35=0,1,IF(AND(AT35&gt;=1,AT35&lt;=4),0,IF(AT35&gt;=5,2,"X"))))</f>
        <v>1</v>
      </c>
      <c r="MV35" s="43">
        <f t="shared" ref="MV35:MV66" si="226">IF(AW35="","",IF(AW35=0,0,IF(AW35=1,1,IF(OR(AW35=2,AW35="3 o MAS"),2,"X"))))</f>
        <v>0</v>
      </c>
      <c r="MW35" s="43">
        <f t="shared" ref="MW35:MW66" si="227">IF(AY35="SI",1,IF(AY35="NO",0,""))</f>
        <v>0</v>
      </c>
      <c r="MX35" s="43" t="str">
        <f t="shared" ref="MX35:MX66" si="228">IF(OR(AND(EM35&gt;0,EM35&lt;11),AND(ER35&gt;0,ER35&lt;10.5)),1,"")</f>
        <v/>
      </c>
      <c r="MY35" s="43" t="str">
        <f t="shared" ref="MY35:MY71" ca="1" si="229">IF(AND(AND(BU35&gt;40.9,BU35&lt;43),IN35=""),1,"")</f>
        <v/>
      </c>
      <c r="MZ35" s="43" t="str">
        <f t="shared" ref="MZ35:MZ66" si="230">IF(AND(GJ35="",GL35="",BB35=""),"",IF(OR(OR(GJ35="P.R REACTIVA",GJ35="ELISA REACTIVA"),OR(BB35="SI",GL35="POSITIVA",GL35="NO CONCLUYENTE")),3,""))</f>
        <v/>
      </c>
      <c r="NA35" s="43">
        <f t="shared" ref="NA35:NA66" si="231">IF(CD35="","",IF(OR(CD35="CEFÁLICA",CD35="SD"),0,IF(OR(CD35="PODÁLICA",CD35="TRANSVERSA O DE FRENTE",CD35="OBLICUA"),3,"")))</f>
        <v>0</v>
      </c>
      <c r="NB35" s="43" t="str">
        <f t="shared" ref="NB35:NB66" si="232">IF(GZ35="","",IF(GZ35="POSITIVO",2,"0"))</f>
        <v/>
      </c>
      <c r="NC35" s="43" t="str">
        <f t="shared" ref="NC35:NC66" si="233">IF(AND(HB35="",HD35=""),"",IF(OR(HB35="POSITIVO",HD35="POSITIVO"),3,0))</f>
        <v/>
      </c>
      <c r="ND35" s="43">
        <f t="shared" ref="ND35:ND66" ca="1" si="234">IF(AND(O35="",R35=""),"",IF(OR(O35&lt;&gt;"",R35&lt;&gt;""),SUM(COUNTIF(AL35:AR35,"SI"),COUNTIF(AV35,"SI"),COUNTIF(BC35,"SI, CONTROLADA"),COUNTIF(BI35,"SI"),COUNTIF(BM35,"SI"),SUM(COUNTIF(BC35,"SI, SIN MANEJO")*3),SUM(COUNTIF(BC35,"SI, NO CONTROLADA")*3),SUM(COUNTIF(BD35:BG35,"SI")*3),SUM(COUNTIF(CB35:CC35,"SI")*3),SUM(COUNTIF(AD35,"Consumo Actual")*3),SUM(COUNTIF(AD35,"Hasta Antes de la Gestación")*2),SUM(COUNTIF(BK35,"SI")*3),SUM(COUNTIF(BL35,"SI")*2),SUM(COUNTIF(CE35,"SI")*2),SUM(COUNTIF(BH35,"SI")*2),SUM(COUNTIF(FG35,"DIABETES, REMITIR")*2),SUM(MT35:NC35),SUM(MR35),SUM(NG35),SUM(COUNTIF(EZ35,"COOMBS C/MES Y RESUMAN SEM 28")*2),SUM(COUNTIF(EZ35,"TOMAR COOMBS CUANTITATIVO Y REMISIÓN")*3),SUM(COUNTIF(FU35,"SIFILIS GESTACIONAL")*3)),""))</f>
        <v>1</v>
      </c>
      <c r="NE35" s="43">
        <f>IF(OR(O35&gt;0,R35&gt;0),SUM(COUNTIF(Tabla1[[#This Row],[AÑOS AL INICIO5 CPN]],"&gt;=40"),COUNTIF(AS35,"0"),COUNTIF(AR35,"SI"),COUNTIF(CC35,"SI"),COUNTIF(BQ35,"&gt;119"),COUNTIF(CI35,"&gt;=35")),"")</f>
        <v>0</v>
      </c>
      <c r="NF35" s="43">
        <f t="shared" ref="NF35:NF66" si="235">IF(AND(R35="",O35=""),"",IF(AND(OR(O35&gt;0,R35&gt;0),RW35=""),"SD",IF(AND(OR(O35&gt;0,R35&gt;0),ID35&gt;0),SUM(ID35-RW35)/7,"")))</f>
        <v>22.428571428571427</v>
      </c>
      <c r="NG35" s="43">
        <f t="shared" ref="NG35:NG66" si="236">IF(AND(AD35="",AE35="",AF35="",AG35="",AH35="",AI35="",AJ35=""),"",SUM(COUNTIF(AD35,"Hasta Antes de la Gestación")/2,SUM(COUNTIF(AE35,"NO")/2),COUNTIF(AF35,"NO"),SUM(COUNTIF(AG35,"SI")/2),COUNTIF(AH35,"SI"),SUM(COUNTIF(AJ35,"SI")*2),COUNTIF(AD35,"Consumo Actual"),COUNTIF(AI35,"HABITANTE DE CALLE"),COUNTIF(AI35,"DESPLAZADA"),COUNTIF(AI35,"MIGRATORIA"),COUNTIF(AI35,"DISCAPACIDAD FISICA"),COUNTIF(AI35,"DISCAPACIDAD CONDUCTUAL"),COUNTIF(AI35,"DISCAPACIDAD VISUAL"),COUNTIF(AI35,"DISCAPACIDAD AUDITIVA"),COUNTIF(AI35,"DISCAPACIDAD MULTIPLE"),COUNTIF(AI35,"DISCAPACIDAD SISTEMICA")))</f>
        <v>0</v>
      </c>
      <c r="NH35" s="43">
        <f t="shared" ref="NH35:NH66" si="237">IF(BX35&gt;0,BX35*7,"")</f>
        <v>51.800000000000004</v>
      </c>
      <c r="NI35"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CPN",P35="NO"),"Z",IF(AND(Tabla1[[#This Row],[CITA PROXIMO CONTROL]]="CITA MANUAL",Tabla1[[#This Row],[GESTANTES ACTUALES]]="ACTIVA INGRESO A CPN"),"W",IF(AND(Tabla1[[#This Row],[GESTANTES ACTUALES]]="SALIO PROGRAMA",IN35=""),"S",IF(AND(Tabla1[[#This Row],[CITA PROXIMO CONTROL]]&gt;0,IN35=""),(Tabla1[[#This Row],[CITA PROXIMO CONTROL]]-TODAY()),"SD"))))))))</f>
        <v>SD</v>
      </c>
      <c r="NJ35" s="43">
        <f>MONTH(Tabla1[[#This Row],[FECHA DE SALIDA  DEL PROGRAMA]])</f>
        <v>5</v>
      </c>
      <c r="NK35" s="43">
        <f>YEAR(Tabla1[[#This Row],[FECHA DE SALIDA  DEL PROGRAMA]])</f>
        <v>2023</v>
      </c>
      <c r="NL35" s="43">
        <f t="shared" ref="NL35:NL66" si="238">IF(AND(O35&gt;0,R35=""),"NO CPN",IF(AND(O35="",R35=""),"",IF(AND(R35&gt;0,EJ35&gt;0,EI35&gt;0),_xlfn.DAYS(EJ35,EI35),IF(AND(R35&gt;0,EJ35&gt;0,EI35=""),"NO CITA","X"))))</f>
        <v>154</v>
      </c>
      <c r="NM35" s="43" t="str">
        <f t="shared" ref="NM35:NM59" si="239">IF(AND(O35&gt;0,R35=""),"NO CPN",IF(AND(O35="",R35=""),"",IF(AND(EN35&lt;&gt;"",EX35&lt;&gt;"",FB35&lt;&gt;"",FK35&lt;&gt;"",FW35&lt;&gt;"",FZ35&lt;&gt;"",GO35&lt;&gt;"",GQ35&lt;&gt;"",GR35&lt;&gt;""),"SI","NO")))</f>
        <v>NO</v>
      </c>
      <c r="NN35" s="43" t="str">
        <f ca="1">IF(AND(O35&gt;0,R35=""),"NO CPN",IF(AND(O35="",R35=""),"",IF(AND(R35&gt;0,Tabla1[[#This Row],[SEMANAS DE GESTACION ACTUALIZADAS]]&lt;=12),"NO APLICA",IF(AND(FH35&lt;&gt;"",FN35&lt;&gt;""),"SI","NO"))))</f>
        <v>SI</v>
      </c>
      <c r="NO35" s="43" t="str">
        <f ca="1">IF(AND(O35&gt;0,R35=""),"NO CPN",IF(AND(O35="",R35=""),"",IF(AND(R35&gt;0,Tabla1[[#This Row],[SEMANAS DE GESTACION ACTUALIZADAS]]&lt;=27),"NO APLICA",IF(AND(ES35&lt;&gt;"",FQ35&lt;&gt;"",GF35&lt;&gt;""),"SI","NO"))))</f>
        <v>NO</v>
      </c>
      <c r="NP35" s="204" t="str">
        <f t="shared" ref="NP35:NP66" si="240">IF(AND(BS35="",IG35=""),"",IF(AND(BS35="",IG35="DEFINIR FPP POR ECO"),"SIN DATO",IF(BS35&lt;0,"ERROR FUM O INGRESO",IF(BP35="NO","DEFINIR CON ECO",IF(BS35&lt;12,"I TRIM",IF(BS35&lt;27,"II TRIM",IF(AND(BS35&gt;26,BS35&lt;45),"III TRIM","ERROR FUM O INGRESO")))))))</f>
        <v>I TRIM</v>
      </c>
      <c r="NQ35" s="21">
        <f t="shared" ref="NQ35:NQ70" si="241">IF(AND(IP36&gt;0,IP36&lt;37),10,IF(OR(CD36="Transversa",CD36="Oblicua"),9,IF(CC36="SI",8,IF(AND(AT36=0,AW36=0,CC36="NO",CD36="Cefálica",IP36&gt;=37,IT36="INICIO ESPONTÁNEO"),1,IF(AND(AND(AT36=0,AW36=0,CC36="NO",CD36="Cefálica",IP36&gt;=37),OR(IT36="LE HACEN INDUCCIÓN",IT36="LE HACEN CESÁREA SIN INICIO TRABAJO DE PARTO")),2,IF(AND(AT36&gt;=1,AW36=0,CC36="NO",CD36="Cefálica",IP36&gt;=37,IT36="INICIO ESPONTÁNEO"),3,IF(AND(AND(AT36&gt;=1,AW36=0,CC36="NO",CD36="Cefálica",IP36&gt;=37),OR(IT36="LE HACEN INDUCCIÓN",IT36="LE HACEN CESÁREA SIN INICIO TRABAJO DE PARTO")),4,IF(AND(AND(AT36&gt;=1,AW36&gt;=1,CC36="NO",CD36="Cefálica",IP36&gt;=37),OR(IT36="LE HACEN INDUCCIÓN",IT36="LE HACEN CESÁREA SIN INICIO TRABAJO DE PARTO",IT36="INICIO ESPONTÁNEO")),5,IF(AND(AND(AT36=0,AW36=0,CC36="NO",CD36="Podálica",IP36&gt;=1),OR(IT36="LE HACEN INDUCCIÓN",IT36="LE HACEN CESÁREA SIN INICIO TRABAJO DE PARTO",IT36="INICIO ESPONTÁNEO")),6,IF(AND(AND(AT36&gt;=1,CC36="NO",CD36="Podálica",IP36&gt;=1),OR(IT36="LE HACEN INDUCCIÓN",IT36="LE HACEN CESÁREA SIN INICIO TRABAJO DE PARTO",IT36="INICIO ESPONTÁNEO"),OR(AW36=0,AW36&gt;=1)),7,""))))))))))</f>
        <v>10</v>
      </c>
      <c r="NR35" s="21">
        <f t="shared" ref="NR35:NR71" si="242">IF(AND(O35="",R35=""),"",IF(AND(BS35&gt;0,BS35&lt;12,IP35&gt;28,IP35&lt;44),3, IF(OR(AND(BS35&gt;=12,BS35&lt;28,IP35&gt;=28,IP35&lt;44),AND(BS35&gt;0,BS35&lt;12,IP35&gt;=12,IP35&lt;29)),2,IF(OR(AND(BS35&gt;=28,BS35&lt;44),AND(BS35&gt;0,BS35&lt;12,IP35&gt;0,IP35&lt;12),AND(BS35&gt;=12,BS35&lt;28,IP35&gt;=12,IP35&lt;28)),1,IF(AND(BS35&gt;0,BS35&lt;12,BU35&gt;=28,BU35&lt;44,DV35="ACTIVA INGRESO A CPN"),3,IF(OR(AND(BS35&gt;0,BS35&lt;12,BU35&gt;=12,BU35&lt;28,DV35="ACTIVA INGRESO A CPN"),AND(BS35&gt;=12,BS35&lt;28,BU35&gt;=28,BU35&lt;44,DV35="ACTIVA INGRESO A CPN")),2,IF(OR(AND(BS35&gt;0,BS35&lt;12,BU35&gt;0,BU35&lt;12,DV35="ACTIVA INGRESO A CPN"),AND(BS35&gt;=12,BS35&lt;28,BU35&gt;=12,BU35&lt;28,DV35="ACTIVA INGRESO A CPN")),1,"REVISAR FUM O FECHA SALIDA PROGRAMA")))))))</f>
        <v>3</v>
      </c>
      <c r="NS35" s="205">
        <f t="shared" ref="NS35:NS66" ca="1" si="243">COUNT(FL35,FO35,FR35,FT35)</f>
        <v>3</v>
      </c>
      <c r="NT35" s="21">
        <f t="shared" ref="NT35:NT66" ca="1" si="244">COUNT(GA35,GD35,GG35,GI35)</f>
        <v>2</v>
      </c>
      <c r="NU35" s="21" t="str">
        <f t="shared" ref="NU35:NU66" ca="1" si="245">IF(NR35="","",IF(NR35="REVISAR FUM O FECHA SALIDA PROGRAMA","POR DEFINIR",IF(OR(NR35=NS35,NS35&gt;NR35),"COMPLETO",IF(NS35&lt;NR35,"INCOMPLETO",""))))</f>
        <v>COMPLETO</v>
      </c>
      <c r="NV35" s="21" t="str">
        <f t="shared" ref="NV35:NV66" ca="1" si="246">IF(NR35="","",IF(NR35="REVISAR FUM O FECHA SALIDA PROGRAMA","POR DEFINIR",IF(OR(NR35=NT35,NT35&gt;NR35),"COMPLETO",IF(NT35&lt;NR35,"INCOMPLETO",""))))</f>
        <v>INCOMPLETO</v>
      </c>
      <c r="NW35" s="206" t="str">
        <f>IF(AND(O35="",R35=""),"",IF(OR(AND(Tabla1[[#This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35" s="207" t="str">
        <f t="shared" ref="NX35:NX66" ca="1" si="247">IF(AND(O35="",R35=""),"",IF(OR(IE35="VACUNA APLICADA ENTRE SEMANA 20 Y SEMANA 26",IE35="VACUNA APLICADA ENTRE SEMANA 27 Y EL PARTO",IE35="VACUNA APLICADA ANTES SEMANA 20"),"VACUNADA","SIN VACUNAR"))</f>
        <v>VACUNADA</v>
      </c>
      <c r="NY35" s="43">
        <f>ROW(Tabla1[[#This Row],['# DE TAMIZAJES SIFILIS TOMADOS ]])</f>
        <v>35</v>
      </c>
      <c r="NZ35" s="43" t="str">
        <f t="shared" si="93"/>
        <v>Menor</v>
      </c>
      <c r="OA35" s="43" t="str">
        <f t="shared" si="94"/>
        <v>NORMAL</v>
      </c>
      <c r="OB35" s="43" t="str">
        <f t="shared" si="95"/>
        <v/>
      </c>
      <c r="OC35" s="43" t="str">
        <f t="shared" si="96"/>
        <v/>
      </c>
      <c r="OD35" s="43" t="str">
        <f t="shared" si="97"/>
        <v/>
      </c>
      <c r="OE35" s="43" t="str">
        <f t="shared" si="98"/>
        <v/>
      </c>
      <c r="OF35" s="43" t="str">
        <f t="shared" si="99"/>
        <v/>
      </c>
      <c r="OG35" s="43" t="str">
        <f t="shared" si="100"/>
        <v/>
      </c>
      <c r="OH35" s="43" t="str">
        <f t="shared" si="101"/>
        <v/>
      </c>
      <c r="OI35" s="43" t="str">
        <f t="shared" si="102"/>
        <v/>
      </c>
      <c r="OJ35" s="43" t="str">
        <f t="shared" si="103"/>
        <v/>
      </c>
      <c r="OK35" s="43" t="str">
        <f t="shared" si="104"/>
        <v/>
      </c>
      <c r="OL35" s="43" t="str">
        <f t="shared" si="105"/>
        <v/>
      </c>
      <c r="OM35" s="43" t="str">
        <f t="shared" si="106"/>
        <v/>
      </c>
      <c r="ON35" s="43" t="str">
        <f t="shared" si="107"/>
        <v/>
      </c>
      <c r="OO35" s="43" t="str">
        <f t="shared" si="108"/>
        <v/>
      </c>
      <c r="OP35" s="43" t="str">
        <f t="shared" si="109"/>
        <v/>
      </c>
      <c r="OQ35" s="43" t="str">
        <f t="shared" si="110"/>
        <v/>
      </c>
      <c r="OR35" s="43" t="str">
        <f t="shared" si="111"/>
        <v/>
      </c>
      <c r="OS35" s="43" t="str">
        <f t="shared" si="112"/>
        <v/>
      </c>
      <c r="OT35" s="43" t="str">
        <f t="shared" si="113"/>
        <v/>
      </c>
      <c r="OU35" s="43" t="str">
        <f t="shared" si="114"/>
        <v/>
      </c>
      <c r="OV35" s="110" t="str">
        <f t="shared" si="115"/>
        <v/>
      </c>
      <c r="OW35" s="43" t="str">
        <f t="shared" si="116"/>
        <v/>
      </c>
      <c r="OX35" s="43" t="str">
        <f t="shared" si="117"/>
        <v/>
      </c>
      <c r="OY35" s="43" t="str">
        <f t="shared" si="118"/>
        <v/>
      </c>
      <c r="OZ35" s="43" t="str">
        <f t="shared" si="119"/>
        <v/>
      </c>
      <c r="PA35" s="43" t="str">
        <f t="shared" si="120"/>
        <v/>
      </c>
      <c r="PB35" s="43" t="str">
        <f t="shared" si="121"/>
        <v/>
      </c>
      <c r="PC35" s="43" t="str">
        <f t="shared" si="122"/>
        <v/>
      </c>
      <c r="PD35" s="43" t="str">
        <f t="shared" si="123"/>
        <v/>
      </c>
      <c r="PE35" s="43" t="str">
        <f t="shared" si="124"/>
        <v/>
      </c>
      <c r="PF35" s="43" t="str">
        <f t="shared" si="125"/>
        <v/>
      </c>
      <c r="PG35" s="43" t="str">
        <f t="shared" si="126"/>
        <v/>
      </c>
      <c r="PH35" s="43" t="str">
        <f t="shared" si="127"/>
        <v/>
      </c>
      <c r="PI35" s="43">
        <f t="shared" si="128"/>
        <v>33</v>
      </c>
      <c r="PJ35" s="43" t="str">
        <f t="shared" si="129"/>
        <v/>
      </c>
      <c r="PK35" s="43" t="str">
        <f t="shared" si="130"/>
        <v/>
      </c>
      <c r="PL35" s="43" t="str">
        <f t="shared" si="131"/>
        <v/>
      </c>
      <c r="PM35" s="43" t="str">
        <f t="shared" si="132"/>
        <v/>
      </c>
      <c r="PN35" s="43" t="str">
        <f t="shared" si="133"/>
        <v/>
      </c>
      <c r="PO35" s="43" t="str">
        <f t="shared" si="134"/>
        <v/>
      </c>
      <c r="PP35" s="43" t="str">
        <f t="shared" si="135"/>
        <v/>
      </c>
      <c r="PQ35" s="43" t="str">
        <f t="shared" si="136"/>
        <v/>
      </c>
      <c r="PR35" s="43" t="str">
        <f t="shared" si="137"/>
        <v/>
      </c>
      <c r="PS35" s="43" t="str">
        <f t="shared" si="138"/>
        <v/>
      </c>
      <c r="PT35" s="43" t="str">
        <f t="shared" si="139"/>
        <v/>
      </c>
      <c r="PU35" s="43" t="str">
        <f t="shared" si="140"/>
        <v/>
      </c>
      <c r="PV35" s="43" t="str">
        <f t="shared" si="141"/>
        <v/>
      </c>
      <c r="PW35" s="43" t="str">
        <f t="shared" si="142"/>
        <v/>
      </c>
      <c r="PX35" s="43" t="str">
        <f t="shared" si="143"/>
        <v/>
      </c>
      <c r="PY35" s="43" t="str">
        <f t="shared" si="144"/>
        <v/>
      </c>
      <c r="PZ35" s="43" t="str">
        <f t="shared" si="145"/>
        <v/>
      </c>
      <c r="QA35" s="43" t="str">
        <f t="shared" si="146"/>
        <v/>
      </c>
      <c r="QB35" s="43" t="str">
        <f t="shared" si="147"/>
        <v/>
      </c>
      <c r="QC35" s="43" t="str">
        <f t="shared" si="148"/>
        <v/>
      </c>
      <c r="QD35" s="43" t="str">
        <f t="shared" si="149"/>
        <v/>
      </c>
      <c r="QE35" s="43" t="str">
        <f t="shared" si="150"/>
        <v/>
      </c>
      <c r="QF35" s="43" t="str">
        <f t="shared" si="151"/>
        <v/>
      </c>
      <c r="QG35" s="43" t="str">
        <f t="shared" si="152"/>
        <v/>
      </c>
      <c r="QH35" s="43" t="str">
        <f t="shared" si="153"/>
        <v/>
      </c>
      <c r="QI35" s="43" t="str">
        <f t="shared" si="154"/>
        <v/>
      </c>
      <c r="QJ35" s="43" t="str">
        <f t="shared" si="155"/>
        <v/>
      </c>
      <c r="QK35" s="43" t="str">
        <f t="shared" si="156"/>
        <v/>
      </c>
      <c r="QL35" s="43" t="str">
        <f t="shared" si="157"/>
        <v/>
      </c>
      <c r="QM35" s="43" t="str">
        <f t="shared" si="158"/>
        <v/>
      </c>
      <c r="QN35" s="43" t="str">
        <f t="shared" si="159"/>
        <v/>
      </c>
      <c r="QO35" s="43" t="str">
        <f t="shared" si="160"/>
        <v/>
      </c>
      <c r="QP35" s="43" t="str">
        <f t="shared" si="161"/>
        <v/>
      </c>
      <c r="QQ35" s="43" t="str">
        <f t="shared" si="162"/>
        <v/>
      </c>
      <c r="QR35" s="43">
        <f t="shared" si="192"/>
        <v>33</v>
      </c>
      <c r="QS35" s="43"/>
      <c r="QT35" s="21" t="str">
        <f t="shared" si="163"/>
        <v/>
      </c>
      <c r="QU35" s="21" t="str">
        <f t="shared" si="164"/>
        <v/>
      </c>
      <c r="QV35" s="21" t="str">
        <f t="shared" si="165"/>
        <v/>
      </c>
      <c r="QW35" s="21" t="str">
        <f t="shared" si="166"/>
        <v/>
      </c>
      <c r="QX35" s="21" t="str">
        <f t="shared" si="167"/>
        <v/>
      </c>
      <c r="QY35" s="21" t="str">
        <f t="shared" si="168"/>
        <v/>
      </c>
      <c r="QZ35" s="21" t="str">
        <f t="shared" si="169"/>
        <v/>
      </c>
      <c r="RA35" s="21" t="str">
        <f t="shared" si="170"/>
        <v/>
      </c>
      <c r="RB35" s="21" t="str">
        <f t="shared" si="171"/>
        <v/>
      </c>
      <c r="RC35" s="21" t="str">
        <f t="shared" si="172"/>
        <v/>
      </c>
      <c r="RD35" s="21" t="str">
        <f t="shared" si="173"/>
        <v/>
      </c>
      <c r="RE35" s="21" t="str">
        <f t="shared" si="174"/>
        <v/>
      </c>
      <c r="RF35" s="21" t="str">
        <f t="shared" si="175"/>
        <v/>
      </c>
      <c r="RG35" s="21" t="str">
        <f t="shared" si="176"/>
        <v/>
      </c>
      <c r="RH35" s="21" t="str">
        <f t="shared" si="177"/>
        <v/>
      </c>
      <c r="RI35" s="21" t="str">
        <f t="shared" si="178"/>
        <v/>
      </c>
      <c r="RJ35" s="21" t="str">
        <f t="shared" si="179"/>
        <v/>
      </c>
      <c r="RK35" s="21" t="str">
        <f t="shared" si="180"/>
        <v/>
      </c>
      <c r="RL35" s="21" t="str">
        <f t="shared" si="181"/>
        <v/>
      </c>
      <c r="RM35" s="21" t="str">
        <f t="shared" si="182"/>
        <v/>
      </c>
      <c r="RN35" s="21" t="str">
        <f t="shared" si="183"/>
        <v/>
      </c>
      <c r="RO35" s="21" t="str">
        <f t="shared" si="184"/>
        <v/>
      </c>
      <c r="RP35" s="21" t="str">
        <f t="shared" si="185"/>
        <v/>
      </c>
      <c r="RQ35" s="21" t="str">
        <f t="shared" si="186"/>
        <v/>
      </c>
      <c r="RR35" s="21" t="str">
        <f t="shared" si="187"/>
        <v/>
      </c>
      <c r="RS35" s="21" t="str">
        <f t="shared" si="188"/>
        <v/>
      </c>
      <c r="RT35" s="21" t="str">
        <f t="shared" si="189"/>
        <v/>
      </c>
      <c r="RU35" s="21" t="str">
        <f t="shared" si="190"/>
        <v/>
      </c>
      <c r="RV35" s="21">
        <f t="shared" si="191"/>
        <v>7.1428571428571432</v>
      </c>
      <c r="RW35" s="284">
        <f>IF(OR(Tabla1[[#This Row],[FUM FORMULA CONFIABLE]]="",Tabla1[[#This Row],[FUM FORMULA CONFIABLE]]="SD"),"",IF(Tabla1[[#This Row],[FUM FORMULA CONFIABLE]]="CORREGIDA",Tabla1[[#This Row],[FUM X ECO 1]],Tabla1[[#This Row],[FUM x AMENORREA]]))</f>
        <v>44804</v>
      </c>
      <c r="RX35" s="21">
        <f>IF(AND(Tabla1[[#This Row],[FUM X ECO 1]]="",Tabla1[[#This Row],[FUM x AMENORREA]]=""),"",IF(AND(Tabla1[[#This Row],[FUM X ECO 1]]="",Tabla1[[#This Row],[FUM x AMENORREA]]&lt;&gt;""),"X",SUM(Tabla1[[#This Row],[FUM X ECO 1]]-Tabla1[[#This Row],[FUM x AMENORREA]])))</f>
        <v>0.19999999999708962</v>
      </c>
      <c r="RY35" s="21">
        <f t="shared" si="193"/>
        <v>0</v>
      </c>
    </row>
    <row r="36" spans="1:493" ht="45" customHeight="1" x14ac:dyDescent="0.25">
      <c r="A36" s="109"/>
      <c r="B36" s="43"/>
      <c r="C36" s="43" t="s">
        <v>845</v>
      </c>
      <c r="D36" s="124" t="s">
        <v>846</v>
      </c>
      <c r="E36" s="43" t="s">
        <v>992</v>
      </c>
      <c r="F36" s="43" t="s">
        <v>908</v>
      </c>
      <c r="G36" s="43" t="s">
        <v>1055</v>
      </c>
      <c r="H36" s="43"/>
      <c r="I36" s="109" t="s">
        <v>851</v>
      </c>
      <c r="J36" s="110">
        <v>1059602228</v>
      </c>
      <c r="K36" s="43" t="s">
        <v>852</v>
      </c>
      <c r="L36" s="175" t="s">
        <v>853</v>
      </c>
      <c r="M36" s="22">
        <v>34307</v>
      </c>
      <c r="N36" s="213">
        <f t="shared" ca="1" si="0"/>
        <v>29.931506849315067</v>
      </c>
      <c r="O36" s="22">
        <v>44856</v>
      </c>
      <c r="P36" s="214" t="str">
        <f t="shared" si="194"/>
        <v>SI</v>
      </c>
      <c r="Q36" s="26" t="s">
        <v>855</v>
      </c>
      <c r="R36" s="22">
        <v>44856</v>
      </c>
      <c r="S36" s="21" t="s">
        <v>856</v>
      </c>
      <c r="T36" s="24" t="s">
        <v>690</v>
      </c>
      <c r="U36" s="21" t="s">
        <v>857</v>
      </c>
      <c r="V36" s="21" t="s">
        <v>858</v>
      </c>
      <c r="W36" s="21" t="s">
        <v>1056</v>
      </c>
      <c r="X36" s="21" t="s">
        <v>1056</v>
      </c>
      <c r="Y36" s="21" t="s">
        <v>859</v>
      </c>
      <c r="Z36" s="21">
        <v>3506257486</v>
      </c>
      <c r="AA36" s="21" t="s">
        <v>860</v>
      </c>
      <c r="AB36" s="27" t="s">
        <v>861</v>
      </c>
      <c r="AC36" s="26" t="s">
        <v>877</v>
      </c>
      <c r="AD36" s="38" t="s">
        <v>846</v>
      </c>
      <c r="AE36" s="26" t="s">
        <v>854</v>
      </c>
      <c r="AF36" s="26" t="s">
        <v>854</v>
      </c>
      <c r="AG36" s="23" t="s">
        <v>864</v>
      </c>
      <c r="AH36" s="23" t="s">
        <v>864</v>
      </c>
      <c r="AI36" s="24" t="s">
        <v>863</v>
      </c>
      <c r="AJ36" s="23" t="s">
        <v>864</v>
      </c>
      <c r="AK36" s="220" t="str">
        <f>IF(AND(AD36="",AE36="",AF36="",AG36="",AH36="",AI36="",AJ36=""),"",IF(OR(Tabla1[[#This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EVALUACIÓN",IF(AND(O36="",R36=""),"",IF(AND(OR(O36&gt;0,R36&gt;0),NG36&gt;=0,NG36&lt;2),"SIN RIESGO",IF(AND(OR(O36&gt;0,R36&gt;0),NG36&gt;=2),"CON RIESGO","ASD")))))</f>
        <v>SIN RIESGO</v>
      </c>
      <c r="AL36" s="23" t="s">
        <v>864</v>
      </c>
      <c r="AM36" s="26" t="s">
        <v>864</v>
      </c>
      <c r="AN36" s="26" t="s">
        <v>864</v>
      </c>
      <c r="AO36" s="26" t="s">
        <v>864</v>
      </c>
      <c r="AP36" s="26" t="s">
        <v>864</v>
      </c>
      <c r="AQ36" s="26" t="s">
        <v>864</v>
      </c>
      <c r="AR36" s="26" t="s">
        <v>864</v>
      </c>
      <c r="AS36" s="21">
        <v>3</v>
      </c>
      <c r="AT36" s="21">
        <v>3</v>
      </c>
      <c r="AU36" s="21">
        <v>0</v>
      </c>
      <c r="AV36" s="26" t="s">
        <v>864</v>
      </c>
      <c r="AW36" s="21">
        <v>0</v>
      </c>
      <c r="AX36" s="26" t="s">
        <v>864</v>
      </c>
      <c r="AY36" s="26" t="s">
        <v>864</v>
      </c>
      <c r="AZ36" s="26" t="s">
        <v>864</v>
      </c>
      <c r="BA36" s="26" t="s">
        <v>864</v>
      </c>
      <c r="BB36" s="26" t="s">
        <v>864</v>
      </c>
      <c r="BC36" s="26" t="s">
        <v>864</v>
      </c>
      <c r="BD36" s="26" t="s">
        <v>864</v>
      </c>
      <c r="BE36" s="26" t="s">
        <v>864</v>
      </c>
      <c r="BF36" s="26" t="s">
        <v>864</v>
      </c>
      <c r="BG36" s="26" t="s">
        <v>864</v>
      </c>
      <c r="BH36" s="26" t="s">
        <v>864</v>
      </c>
      <c r="BI36" s="26" t="s">
        <v>864</v>
      </c>
      <c r="BJ36" s="26"/>
      <c r="BK36" s="26" t="s">
        <v>864</v>
      </c>
      <c r="BL36" s="26" t="s">
        <v>864</v>
      </c>
      <c r="BM36" s="26" t="s">
        <v>864</v>
      </c>
      <c r="BN36" s="22">
        <v>43007</v>
      </c>
      <c r="BO36" s="22">
        <v>44830</v>
      </c>
      <c r="BP36" s="21" t="s">
        <v>854</v>
      </c>
      <c r="BQ36" s="222">
        <f t="shared" si="2"/>
        <v>60.766666666666666</v>
      </c>
      <c r="BR36" s="223">
        <f t="shared" si="3"/>
        <v>44830.9</v>
      </c>
      <c r="BS36" s="224">
        <f t="shared" si="4"/>
        <v>3.7142857142857144</v>
      </c>
      <c r="BT36" s="216" t="str">
        <f t="shared" si="5"/>
        <v>I TRIM</v>
      </c>
      <c r="BU36" s="214" t="str">
        <f t="shared" ca="1" si="6"/>
        <v/>
      </c>
      <c r="BV36" s="25" t="s">
        <v>988</v>
      </c>
      <c r="BW36" s="22">
        <v>44987</v>
      </c>
      <c r="BX36" s="28">
        <v>22.3</v>
      </c>
      <c r="BY36" s="28" t="s">
        <v>988</v>
      </c>
      <c r="BZ36" s="22">
        <v>44995</v>
      </c>
      <c r="CA36" s="21">
        <v>27.2</v>
      </c>
      <c r="CB36" s="26" t="s">
        <v>864</v>
      </c>
      <c r="CC36" s="26" t="s">
        <v>864</v>
      </c>
      <c r="CD36" s="26"/>
      <c r="CE36" s="26" t="s">
        <v>864</v>
      </c>
      <c r="CF36" s="22" t="s">
        <v>1517</v>
      </c>
      <c r="CG36" s="21">
        <v>1.49</v>
      </c>
      <c r="CH36" s="21">
        <v>62</v>
      </c>
      <c r="CI36" s="214">
        <f t="shared" si="7"/>
        <v>27.92666996982118</v>
      </c>
      <c r="CJ36" s="225" t="str">
        <f>IF(AND(CI36&lt;10,CH36="SD"),"SIN DATO PESO PREGESTACION O I TRIM",IF(AND(OR(R36&gt;0,O36&gt;0),CI36="X"),"INGRESAR DATO DE PESO",IF(CI36="SD","INGRESAR DATO DE TALLA Y PESO",IF(AND(OR(Tabla1[[#This Row],[MOMENTO EN QUE SE REALIZA EL PESO AL INGRESO A CPN]]="PREGESTACIÓN",NZ36="Menor"),CI36&lt;18.5),"BAJO PESO",IF(AND(OR(Tabla1[[#This Row],[MOMENTO EN QUE SE REALIZA EL PESO AL INGRESO A CPN]]="PREGESTACIÓN",NZ36="Menor"),CI36&lt;25),"NORMAL",IF(AND(OR(Tabla1[[#This Row],[MOMENTO EN QUE SE REALIZA EL PESO AL INGRESO A CPN]]="PREGESTACIÓN",NZ36="Menor"),CI36&lt;30),"SOBREPESO",IF(AND(OR(Tabla1[[#This Row],[MOMENTO EN QUE SE REALIZA EL PESO AL INGRESO A CPN]]="PREGESTACIÓN",NZ36="Menor"),CI36&gt;=30,CI36&lt;50),"OBESIDAD",IF(AND(BS36&gt;0,Tabla1[[#This Row],[MOMENTO EN QUE SE REALIZA EL PESO AL INGRESO A CPN]]="GESTACIÓN"),HLOOKUP(NZ36,$OA$2:PH36,NY36),""))))))))</f>
        <v>SOBREPESO</v>
      </c>
      <c r="CK36" s="212">
        <f t="shared" si="8"/>
        <v>45057</v>
      </c>
      <c r="CL36" s="21">
        <v>69.3</v>
      </c>
      <c r="CM36" s="214">
        <f t="shared" si="9"/>
        <v>31.21481014368722</v>
      </c>
      <c r="CN36" s="216">
        <f t="shared" si="10"/>
        <v>32</v>
      </c>
      <c r="CO36" s="216" t="e">
        <f>IF(PI36="","",IF(PI36&gt;0,HLOOKUP(PI36,$PJ$2:QQ36,NY36),""))</f>
        <v>#REF!</v>
      </c>
      <c r="CP36" s="21">
        <v>34</v>
      </c>
      <c r="CQ36" s="216" t="e">
        <f>IF(QR36="Menor","NO APLICA-MENOR 13 SEM",IF(AND(CC36="SI",CN36&gt;23),"NO APLICA- GEMELAR",IF(QR36="","",IF(QR36&gt;0,HLOOKUP(QR36,$QS$2:RU36,NY36),""))))</f>
        <v>#REF!</v>
      </c>
      <c r="CR36" s="21">
        <v>110</v>
      </c>
      <c r="CS36" s="21">
        <v>70</v>
      </c>
      <c r="CT36" s="217" t="str">
        <f>IF(R36="","",IF(AND(BS36&gt;1,BS36&lt;12,Tabla1[[#This Row],[T.A. SISTOLICA - ANTES DE SEMANA 12]]="",Tabla1[[#This Row],[T.A. DIASTOLICA - ANTES DE SEMANA 12]]=""),"REGISTRE DATO TA ANTES SEMANA 12",IF(AND(BS36&gt;11,BS36&lt;43,Tabla1[[#This Row],[T.A. SISTOLICA - ANTES DE SEMANA 12]]="",Tabla1[[#This Row],[T.A. DIASTOLICA - ANTES DE SEMANA 12]]=""),"NO APLICA REGISTRO TA-INGRESO TARDIO",IF(AND(OR(O36&gt;0,R36&gt;0),OR(CR36&gt;=140,CS36&gt;=90)),"DEFINIR ESTADIO HTA",IF(AND(OR(O36&gt;0,R36&gt;0),AND(CR36&gt;120,CR36&lt;=139)),"PRE HTA SEGUIMIENTO",IF(AND(OR(O36&gt;0,R36&gt;0),AND(CS36&gt;80,CS36&lt;=89)),"PRE HTA SEGUIMIENTO",IF(AND(OR(O36&gt;0,R36&gt;0),AND(CR36&gt;=80,CR36&lt;=120)),"APARENTEMENTE NORMAL",IF(AND(OR(O36&gt;0,R36&gt;0),AND(CS36&gt;=50,CS36&lt;=80)),"APARENTEMENTE NORMAL",IF(AND(OR(O36&gt;0,R36&gt;0),AND(CR36&gt;1,CR36&lt;=70),AND(CS36&gt;1,CS36&lt;=40)),"HIPOTENSIÓN","")))))))))</f>
        <v>APARENTEMENTE NORMAL</v>
      </c>
      <c r="CU36" s="21">
        <v>90</v>
      </c>
      <c r="CV36" s="21">
        <v>50</v>
      </c>
      <c r="CW36" s="217" t="str">
        <f ca="1">IF(R36="","",IF(AND(CN36&gt;19,CN36&lt;27,Tabla1[[#This Row],[T.A. SISTOLICA (Entre semana 20 y 26)]]="",Tabla1[[#This Row],[T.A. DIATOLICA (Entre semana 20 y 26)]]=""),"ACUDE A CONTROL SEM 20 A 26 REGISTRE TA AHORA",IF(AND(BS36&gt;1,BS36&lt;27,BU36&gt;19,Tabla1[[#This Row],[T.A. SISTOLICA (Entre semana 20 y 26)]]="",Tabla1[[#This Row],[T.A. DIATOLICA (Entre semana 20 y 26)]]=""),"COMPLETE REGISTRO TA CONTROL SEM 20 A26 ",IF(AND(BS36&gt;26,BS36&lt;43,Tabla1[[#This Row],[T.A. SISTOLICA (Entre semana 20 y 26)]]="",Tabla1[[#This Row],[T.A. DIATOLICA (Entre semana 20 y 26)]]=""),"NO APLICA REGISTRO TA-INGRESO TARDIO",IF(AND(OR(O36&gt;0,R36&gt;0),OR(CU36&gt;=140,CV36&gt;=90)),"ALTO RIESGO PREECLAMPSIA,DEFINIR ESTADIO HTA",IF(AND(OR(O36&gt;0,R36&gt;0),AND(CU36&gt;120,CU36&lt;=139)),"PRE HTA SEGUIMIENTO,RIESGO HIPERTENSION INDUCIDA POR EL EMBARAZO",IF(AND(OR(O36&gt;0,R36&gt;0),AND(CV36&gt;80,CV36&lt;=89)),"PRE HTA SEGUIMIENTO, RIESGO HIPERTENSION INDUCIDA POR EL EMBARAZO",IF(AND(OR(O36&lt;&gt;"",R36&lt;&gt;""),CS36&lt;&gt;"",CV36&lt;&gt;"",CS36&lt;=CV36),"VIGILAR CIFRAS PRESION ARTERIAL",IF(AND(OR(O36&gt;0,R36&gt;0),AND(CU36&gt;120,CU36&lt;=139)),"PRE HTA SEGUIMIENTO",IF(AND(OR(O36&gt;0,R36&gt;0),AND(CU36&gt;1,CU36&lt;=70),AND(CV36&gt;1,CV36&lt;=40)),"HIPOTENSIÓN",IF(AND(OR(O36&lt;&gt;"",R36&lt;&gt;""),CS36&lt;&gt;"",CV36&lt;&gt;"",CS36&gt;CV36),"APARENTEMENTE NORMAL",IF(AND(OR(O36&gt;0,R36&gt;0),AND(CU36&gt;=80,CU36&lt;=120)),"APARENTEMENTE NORMAL",IF(AND(OR(O36&gt;0,R36&gt;0),AND(CV36&gt;=50,CV36&lt;=80)),"APARENTEMENTE NORMAL","")))))))))))))</f>
        <v>APARENTEMENTE NORMAL</v>
      </c>
      <c r="CX36" s="21"/>
      <c r="CY36" s="21"/>
      <c r="CZ36" s="216" t="str">
        <f t="shared" si="195"/>
        <v>ACUDE A CONTROL SEM 30 A 34- REGISTRE AHORA</v>
      </c>
      <c r="DA36" s="21">
        <v>110</v>
      </c>
      <c r="DB36" s="21">
        <v>70</v>
      </c>
      <c r="DC36" s="217" t="str">
        <f t="shared" si="12"/>
        <v>APARENTEMENTE NORMAL</v>
      </c>
      <c r="DD36" s="22">
        <v>44856</v>
      </c>
      <c r="DE36" s="22">
        <v>44856</v>
      </c>
      <c r="DF36" s="22">
        <v>44890</v>
      </c>
      <c r="DG36" s="22">
        <v>44943</v>
      </c>
      <c r="DH36" s="22">
        <v>44979</v>
      </c>
      <c r="DI36" s="22">
        <v>45010</v>
      </c>
      <c r="DJ36" s="22">
        <v>45057</v>
      </c>
      <c r="DK36" s="22"/>
      <c r="DL36" s="22"/>
      <c r="DM36" s="22"/>
      <c r="DN36" s="22"/>
      <c r="DO36" s="22"/>
      <c r="DP36" s="22"/>
      <c r="DQ36" s="22"/>
      <c r="DR36" s="28">
        <v>2</v>
      </c>
      <c r="DS36" s="22"/>
      <c r="DT36" s="22"/>
      <c r="DU36" s="216" t="str">
        <f t="shared" ca="1" si="196"/>
        <v>SALE PROGRAMA ANTES SEMANA 35</v>
      </c>
      <c r="DV36" s="226" t="str">
        <f t="shared" si="197"/>
        <v>SALIO PROGRAMA</v>
      </c>
      <c r="DW36"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36" s="216" t="str">
        <f t="shared" ca="1" si="15"/>
        <v/>
      </c>
      <c r="DY36" s="212">
        <f>IF(R36="","",IF(R36&gt;0,MAX(Tabla1[[#This Row],[FECHA C2]:[FECHA C13]],Tabla1[[#This Row],[FECHA CONSULTA PRIMERA VEZ PROGRAMA CPN ]])))</f>
        <v>45057</v>
      </c>
      <c r="DZ36" s="216">
        <f t="shared" si="16"/>
        <v>32</v>
      </c>
      <c r="EA36" s="222">
        <f>IF(R36&gt;0,SUM(COUNTA(DF36:DQ36)+COUNTA(Tabla1[[#This Row],[FECHA CONSULTA PRIMERA VEZ PROGRAMA CPN ]])),"")</f>
        <v>6</v>
      </c>
      <c r="EB36" s="222" t="str">
        <f t="shared" si="17"/>
        <v>SI</v>
      </c>
      <c r="EC36" s="214">
        <f t="shared" si="18"/>
        <v>11</v>
      </c>
      <c r="ED36" s="227">
        <f t="shared" si="19"/>
        <v>0.54545454545454541</v>
      </c>
      <c r="EE36" s="22">
        <v>44856</v>
      </c>
      <c r="EF36" s="22">
        <v>44856</v>
      </c>
      <c r="EG36" s="22">
        <v>44856</v>
      </c>
      <c r="EH36" s="22">
        <v>44907</v>
      </c>
      <c r="EI36" s="22">
        <v>44856</v>
      </c>
      <c r="EJ36" s="22"/>
      <c r="EK36" s="22"/>
      <c r="EL36" s="21"/>
      <c r="EM36" s="21">
        <v>14.3</v>
      </c>
      <c r="EN36" s="22">
        <v>44856</v>
      </c>
      <c r="EO36" s="222">
        <f t="shared" si="20"/>
        <v>3.7142857142857144</v>
      </c>
      <c r="EP36" s="214" t="str">
        <f t="shared" si="21"/>
        <v>NO DAR SULFATO FERROSO</v>
      </c>
      <c r="EQ36" s="216" t="str">
        <f t="shared" si="22"/>
        <v>I TRIM</v>
      </c>
      <c r="ER36" s="24"/>
      <c r="ES36" s="22"/>
      <c r="ET36" s="29" t="str">
        <f t="shared" ca="1" si="198"/>
        <v>SALE SIN TAMIZAJE HEMOGLOBINA SEM 28</v>
      </c>
      <c r="EU36" s="25" t="str">
        <f t="shared" si="24"/>
        <v/>
      </c>
      <c r="EV36" s="24" t="s">
        <v>1510</v>
      </c>
      <c r="EW36" s="32">
        <v>44856</v>
      </c>
      <c r="EX36" s="22"/>
      <c r="EY36" s="29">
        <f t="shared" si="199"/>
        <v>3.7142857142857144</v>
      </c>
      <c r="EZ36" s="25" t="str">
        <f t="shared" si="200"/>
        <v>SIN RIESGO DE ISOINMUNIZACIÓN</v>
      </c>
      <c r="FA36" s="21">
        <v>96</v>
      </c>
      <c r="FB36" s="22">
        <v>44856</v>
      </c>
      <c r="FC36" s="29">
        <f t="shared" si="27"/>
        <v>3.7142857142857144</v>
      </c>
      <c r="FD36" s="29">
        <v>66</v>
      </c>
      <c r="FE36" s="29">
        <v>133</v>
      </c>
      <c r="FF36" s="29">
        <v>132</v>
      </c>
      <c r="FG36" s="21" t="str">
        <f t="shared" si="28"/>
        <v xml:space="preserve">NORMAL, NO DESCARTA DIABETES POR REALIZARLO ANTES DE  SEMANA 24, </v>
      </c>
      <c r="FH36" s="31">
        <v>44995</v>
      </c>
      <c r="FI36" s="29">
        <f t="shared" si="29"/>
        <v>23.571428571428573</v>
      </c>
      <c r="FJ36" s="22" t="s">
        <v>867</v>
      </c>
      <c r="FK36" s="22">
        <v>44856</v>
      </c>
      <c r="FL36" s="29">
        <f t="shared" ca="1" si="30"/>
        <v>3.7142857142857144</v>
      </c>
      <c r="FM36" s="22" t="s">
        <v>867</v>
      </c>
      <c r="FN36" s="32">
        <v>44995</v>
      </c>
      <c r="FO36" s="29">
        <f t="shared" ca="1" si="201"/>
        <v>23.571428571428573</v>
      </c>
      <c r="FP36" s="22"/>
      <c r="FQ36" s="32"/>
      <c r="FR36" s="29" t="str">
        <f t="shared" ca="1" si="202"/>
        <v>PIERDE TOMA DE TAMIZAJE</v>
      </c>
      <c r="FS36" s="22"/>
      <c r="FT36" s="32"/>
      <c r="FU36" s="29" t="str">
        <f>IF(AND(FJ36="",FM36="",FP36="",FS36=""),"",IF(OR(OR(Tabla1[[#This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36" s="28"/>
      <c r="FW36" s="22"/>
      <c r="FX36" s="29" t="str">
        <f t="shared" si="33"/>
        <v>TOMAR EXAMEN</v>
      </c>
      <c r="FY36" s="22">
        <v>44856</v>
      </c>
      <c r="FZ36" s="22">
        <v>44856</v>
      </c>
      <c r="GA36" s="29">
        <f t="shared" ca="1" si="203"/>
        <v>3.7142857142857144</v>
      </c>
      <c r="GB36" s="22" t="s">
        <v>868</v>
      </c>
      <c r="GC36" s="22">
        <v>44995</v>
      </c>
      <c r="GD36" s="29">
        <f t="shared" ca="1" si="204"/>
        <v>23.571428571428573</v>
      </c>
      <c r="GE36" s="22"/>
      <c r="GF36" s="22"/>
      <c r="GG36" s="29" t="str">
        <f t="shared" ca="1" si="205"/>
        <v>PIERDE TOMA DE TAMIZAJE</v>
      </c>
      <c r="GH36" s="22"/>
      <c r="GI36" s="29"/>
      <c r="GJ36" s="22"/>
      <c r="GK36" s="22"/>
      <c r="GL36" s="22" t="s">
        <v>879</v>
      </c>
      <c r="GM36" s="22"/>
      <c r="GN36" s="28" t="s">
        <v>869</v>
      </c>
      <c r="GO36" s="22">
        <v>44856</v>
      </c>
      <c r="GP36" s="29">
        <f t="shared" si="37"/>
        <v>3.7142857142857144</v>
      </c>
      <c r="GQ36" s="28" t="s">
        <v>869</v>
      </c>
      <c r="GR36" s="28" t="s">
        <v>869</v>
      </c>
      <c r="GS36" s="22" t="str">
        <f t="shared" si="206"/>
        <v>CONTROL Igm</v>
      </c>
      <c r="GT36" s="22">
        <v>44856</v>
      </c>
      <c r="GU36" s="29">
        <f t="shared" si="39"/>
        <v>3.7142857142857144</v>
      </c>
      <c r="GV36" s="21" t="str">
        <f t="shared" si="40"/>
        <v>I TRIM</v>
      </c>
      <c r="GW36" s="28" t="s">
        <v>869</v>
      </c>
      <c r="GX36" s="30"/>
      <c r="GY36" s="21" t="s">
        <v>906</v>
      </c>
      <c r="GZ36" s="21"/>
      <c r="HA36" s="21"/>
      <c r="HB36" s="21"/>
      <c r="HC36" s="21"/>
      <c r="HD36" s="21"/>
      <c r="HE36" s="21"/>
      <c r="HF36" s="22"/>
      <c r="HG36" s="22" t="str">
        <f>IF(OR(O36&gt;0,R36&gt;0),CONCATENATE(IF(Tabla1[[#This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36" s="22" t="e">
        <f t="shared" si="41"/>
        <v>#REF!</v>
      </c>
      <c r="HI36" s="22" t="e">
        <f t="shared" ca="1" si="42"/>
        <v>#REF!</v>
      </c>
      <c r="HJ36" s="21" t="str">
        <f t="shared" ca="1" si="43"/>
        <v>***************************************</v>
      </c>
      <c r="HK36" s="21" t="str">
        <f t="shared" si="44"/>
        <v>SIN ANTECEDENTES DE RIESGO</v>
      </c>
      <c r="HL36" s="24" t="str">
        <f t="shared" si="45"/>
        <v>APARENTEMENTE NORMAL</v>
      </c>
      <c r="HM36" s="21" t="str">
        <f t="shared" ca="1" si="46"/>
        <v/>
      </c>
      <c r="HN36" s="30" t="str">
        <f t="shared" si="207"/>
        <v>SALIO PROGRAMA</v>
      </c>
      <c r="HO36" s="21"/>
      <c r="HP36" s="21"/>
      <c r="HQ36" s="21">
        <v>44856</v>
      </c>
      <c r="HR36" s="21" t="str">
        <f>IF(R36="","",IF(Tabla1[[#This Row],[ALARMA FACTORES DE RIESGO COMPLICACIONES HIPERTENSIVAS3]]="SIN ANTECEDENTES DE RIESGO","No Aplica para suministro de ASA",IF(AND(Tabla1[[#This Row],[FECHA INICIO DE SUMINISTRO DE ASA]]&gt;0,RV36&lt;12),"Inicia ASA ANTES de Sem 12",IF(AND(RV36&gt;11,RV36&lt;17,OR(HK36="RIESGO ALTO DE COMPLICACIONES HIPERTENSIVAS VER MANEJO GUIA SUMINISTRO ASA Y CALCIO",HK36="RIESGO MODERADO (2 O MAS CRITERIOS) VER MANEJO GUIA SUMINISTRO ASA Y CALCIO")),"Inicio oportuno de ASA",IF(AND(RV36&gt;12,OR(HK36="RIESGO ALTO DE COMPLICACIONES HIPERTENSIVAS VER MANEJO GUIA SUMINISTRO ASA Y CALCIO",HK36="RIESGO MODERADO (2 O MAS CRITERIOS) VER MANEJO GUIA SUMINISTRO ASA Y CALCIO")),"Inicio no oportuno mayor a 16 semanas",IF(AND(BU36&lt;12,OR(HK36="RIESGO ALTO DE COMPLICACIONES HIPERTENSIVAS VER MANEJO GUIA SUMINISTRO ASA Y CALCIO",HK36="RIESGO MODERADO (2 O MAS CRITERIOS) VER MANEJO GUIA SUMINISTRO ASA Y CALCIO")),"Pendiente Inicio de ASA a la semana 12",IF(AND(BU36&gt;11,BU36&lt;17,OR(HK36="RIESGO ALTO DE COMPLICACIONES HIPERTENSIVAS VER MANEJO GUIA SUMINISTRO ASA Y CALCIO",HK36="RIESGO MODERADO (2 O MAS CRITERIOS) VER MANEJO GUIA SUMINISTRO ASA Y CALCIO")),"Iniciar de inmediato ASA",IF(AND(BU36&gt;16,OR(HK36="RIESGO ALTO DE COMPLICACIONES HIPERTENSIVAS VER MANEJO GUIA SUMINISTRO ASA Y CALCIO",HK36="RIESGO MODERADO (2 O MAS CRITERIOS) VER MANEJO GUIA SUMINISTRO ASA Y CALCIO")),"Pierde Oportunidad, Inicio tardío de ASA","XXXXX"))))))))</f>
        <v>No Aplica para suministro de ASA</v>
      </c>
      <c r="HS36" s="22">
        <v>44856</v>
      </c>
      <c r="HT36" s="22" t="s">
        <v>935</v>
      </c>
      <c r="HU36" s="22">
        <v>44856</v>
      </c>
      <c r="HV36" s="22" t="s">
        <v>1523</v>
      </c>
      <c r="HW36" s="22">
        <v>44856</v>
      </c>
      <c r="HX36" s="22" t="s">
        <v>870</v>
      </c>
      <c r="HY36" s="22">
        <v>44856</v>
      </c>
      <c r="HZ36" s="28">
        <f t="shared" si="48"/>
        <v>3.7142857142857144</v>
      </c>
      <c r="IA36" s="26" t="s">
        <v>864</v>
      </c>
      <c r="IB36" s="26"/>
      <c r="IC36" s="111"/>
      <c r="ID36" s="22">
        <v>44988</v>
      </c>
      <c r="IE36" s="22" t="str">
        <f t="shared" ca="1" si="49"/>
        <v>VACUNA APLICADA ENTRE SEMANA 20 Y SEMANA 26</v>
      </c>
      <c r="IF36" s="22"/>
      <c r="IG36" s="22">
        <f t="shared" si="50"/>
        <v>45110</v>
      </c>
      <c r="IH36" s="29">
        <f t="shared" ca="1" si="51"/>
        <v>-122</v>
      </c>
      <c r="II36" s="22" t="str">
        <f t="shared" ca="1" si="52"/>
        <v>POSIBLEMENTE NACIO</v>
      </c>
      <c r="IJ36" s="22"/>
      <c r="IK36" s="21" t="s">
        <v>898</v>
      </c>
      <c r="IL36" s="21"/>
      <c r="IM36" s="34"/>
      <c r="IN36" s="349">
        <v>45069</v>
      </c>
      <c r="IO36" s="21" t="s">
        <v>1640</v>
      </c>
      <c r="IP36" s="29">
        <f t="shared" si="208"/>
        <v>34.142857142857146</v>
      </c>
      <c r="IQ36" s="110"/>
      <c r="IR36" s="21" t="s">
        <v>879</v>
      </c>
      <c r="IS36" s="21" t="s">
        <v>1641</v>
      </c>
      <c r="IT36" s="21" t="s">
        <v>1642</v>
      </c>
      <c r="IU36" s="21"/>
      <c r="IV36" s="21"/>
      <c r="IW36" s="21"/>
      <c r="IX36" s="21"/>
      <c r="IY36" s="21"/>
      <c r="IZ36" s="21"/>
      <c r="JA36" s="21"/>
      <c r="JB36" s="30">
        <v>1</v>
      </c>
      <c r="JC36" s="21" t="s">
        <v>1647</v>
      </c>
      <c r="JD36" s="36">
        <v>2700</v>
      </c>
      <c r="JE36" s="21" t="str">
        <f t="shared" si="209"/>
        <v>ERROR VERIFICAR DATO EDAD GESTACIONAL VS PESO</v>
      </c>
      <c r="JF36" s="30"/>
      <c r="JG36" s="21"/>
      <c r="JH36" s="21"/>
      <c r="JI36" s="21"/>
      <c r="JJ36" s="30"/>
      <c r="JK36" s="22"/>
      <c r="JL36" s="22"/>
      <c r="JM36" s="21"/>
      <c r="JN36" s="36"/>
      <c r="JO36" s="21" t="str">
        <f t="shared" si="210"/>
        <v/>
      </c>
      <c r="JP36" s="22"/>
      <c r="JQ36" s="21"/>
      <c r="JR36" s="21"/>
      <c r="JS36" s="21"/>
      <c r="JT36" s="30"/>
      <c r="JU36" s="22"/>
      <c r="JV36" s="22"/>
      <c r="JW36" s="33"/>
      <c r="JX36" s="28" t="str">
        <f t="shared" si="211"/>
        <v>INASISTENTE</v>
      </c>
      <c r="JY36" s="33"/>
      <c r="JZ36" s="28" t="str">
        <f t="shared" si="212"/>
        <v>INASISTENTE</v>
      </c>
      <c r="KA36" s="21"/>
      <c r="KB36" s="21"/>
      <c r="KC36" s="21"/>
      <c r="KD36" s="37"/>
      <c r="KE36" s="28"/>
      <c r="KF36" s="28"/>
      <c r="KG36" s="28"/>
      <c r="KH36" s="39"/>
      <c r="KI36" s="39"/>
      <c r="KJ36" s="66"/>
      <c r="KK36" s="39"/>
      <c r="KL36" s="39"/>
      <c r="KM36" s="66"/>
      <c r="KN36" s="39"/>
      <c r="KO36" s="39"/>
      <c r="KP36" s="39"/>
      <c r="KQ36" s="39"/>
      <c r="KR36" s="39"/>
      <c r="KS36" s="39"/>
      <c r="KT36" s="39"/>
      <c r="KU36" s="38"/>
      <c r="KV36" s="38"/>
      <c r="KW36" s="38"/>
      <c r="KX36" s="38"/>
      <c r="KY36" s="38"/>
      <c r="KZ36" s="38"/>
      <c r="LA36" s="38"/>
      <c r="LB36" s="38"/>
      <c r="LC36" s="38"/>
      <c r="LD36" s="38"/>
      <c r="LE36" s="38"/>
      <c r="LF36" s="38"/>
      <c r="LG36" s="38"/>
      <c r="LH36" s="38"/>
      <c r="LI36" s="38"/>
      <c r="LJ36" s="38"/>
      <c r="LK36" s="38"/>
      <c r="LL36" s="38"/>
      <c r="LM36" s="38"/>
      <c r="LN36" s="38"/>
      <c r="LO36" s="38"/>
      <c r="LP36" s="38"/>
      <c r="LQ36" s="38"/>
      <c r="LR36" s="38"/>
      <c r="LS36" s="38"/>
      <c r="LT36" s="38"/>
      <c r="LU36" s="38"/>
      <c r="LV36" s="38"/>
      <c r="LW36" s="38"/>
      <c r="LX36" s="38"/>
      <c r="LY36" s="38"/>
      <c r="LZ36" s="38"/>
      <c r="MA36" s="38"/>
      <c r="MB36" s="38"/>
      <c r="MC36" s="38"/>
      <c r="MD36" s="38"/>
      <c r="ME36" s="38"/>
      <c r="MF36" s="38"/>
      <c r="MG36" s="38"/>
      <c r="MH36" s="43">
        <f t="shared" si="213"/>
        <v>0</v>
      </c>
      <c r="MI36" s="43" t="str">
        <f t="shared" si="214"/>
        <v/>
      </c>
      <c r="MJ36" s="43" t="str">
        <f t="shared" si="215"/>
        <v/>
      </c>
      <c r="MK36" s="43">
        <f t="shared" si="216"/>
        <v>0</v>
      </c>
      <c r="ML3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36" s="43">
        <f t="shared" si="217"/>
        <v>3.7142857142857144</v>
      </c>
      <c r="MN36" s="43">
        <f t="shared" si="218"/>
        <v>10</v>
      </c>
      <c r="MO36" s="43">
        <f t="shared" si="219"/>
        <v>2022</v>
      </c>
      <c r="MP36" s="43" t="str">
        <f t="shared" si="220"/>
        <v>IV TRIMESTRE AÑO</v>
      </c>
      <c r="MQ36" s="43">
        <f t="shared" si="221"/>
        <v>28.465834428383705</v>
      </c>
      <c r="MR36" s="43">
        <f t="shared" si="222"/>
        <v>0</v>
      </c>
      <c r="MS36" s="43" t="str">
        <f t="shared" si="223"/>
        <v xml:space="preserve"> DE 25 A 29 AÑOS</v>
      </c>
      <c r="MT36" s="43">
        <f t="shared" si="224"/>
        <v>0</v>
      </c>
      <c r="MU36" s="43">
        <f t="shared" si="225"/>
        <v>0</v>
      </c>
      <c r="MV36" s="43">
        <f t="shared" si="226"/>
        <v>0</v>
      </c>
      <c r="MW36" s="43">
        <f t="shared" si="227"/>
        <v>0</v>
      </c>
      <c r="MX36" s="43" t="str">
        <f t="shared" si="228"/>
        <v/>
      </c>
      <c r="MY36" s="43" t="str">
        <f t="shared" ca="1" si="229"/>
        <v/>
      </c>
      <c r="MZ36" s="43" t="str">
        <f t="shared" si="230"/>
        <v/>
      </c>
      <c r="NA36" s="43" t="str">
        <f t="shared" si="231"/>
        <v/>
      </c>
      <c r="NB36" s="43" t="str">
        <f t="shared" si="232"/>
        <v/>
      </c>
      <c r="NC36" s="43" t="str">
        <f t="shared" si="233"/>
        <v/>
      </c>
      <c r="ND36" s="43">
        <f t="shared" ca="1" si="234"/>
        <v>0</v>
      </c>
      <c r="NE36" s="43">
        <f>IF(OR(O36&gt;0,R36&gt;0),SUM(COUNTIF(Tabla1[[#This Row],[AÑOS AL INICIO5 CPN]],"&gt;=40"),COUNTIF(AS36,"0"),COUNTIF(AR36,"SI"),COUNTIF(CC36,"SI"),COUNTIF(BQ36,"&gt;119"),COUNTIF(CI36,"&gt;=35")),"")</f>
        <v>0</v>
      </c>
      <c r="NF36" s="43">
        <f t="shared" si="235"/>
        <v>22.571428571428573</v>
      </c>
      <c r="NG36" s="43">
        <f t="shared" si="236"/>
        <v>0</v>
      </c>
      <c r="NH36" s="43">
        <f t="shared" si="237"/>
        <v>156.1</v>
      </c>
      <c r="NI36"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CPN",P36="NO"),"Z",IF(AND(Tabla1[[#This Row],[CITA PROXIMO CONTROL]]="CITA MANUAL",Tabla1[[#This Row],[GESTANTES ACTUALES]]="ACTIVA INGRESO A CPN"),"W",IF(AND(Tabla1[[#This Row],[GESTANTES ACTUALES]]="SALIO PROGRAMA",IN36=""),"S",IF(AND(Tabla1[[#This Row],[CITA PROXIMO CONTROL]]&gt;0,IN36=""),(Tabla1[[#This Row],[CITA PROXIMO CONTROL]]-TODAY()),"SD"))))))))</f>
        <v>SD</v>
      </c>
      <c r="NJ36" s="43">
        <f>MONTH(Tabla1[[#This Row],[FECHA DE SALIDA  DEL PROGRAMA]])</f>
        <v>5</v>
      </c>
      <c r="NK36" s="43">
        <f>YEAR(Tabla1[[#This Row],[FECHA DE SALIDA  DEL PROGRAMA]])</f>
        <v>2023</v>
      </c>
      <c r="NL36" s="43" t="str">
        <f t="shared" si="238"/>
        <v>X</v>
      </c>
      <c r="NM36" s="43" t="str">
        <f t="shared" si="239"/>
        <v>NO</v>
      </c>
      <c r="NN36" s="43" t="str">
        <f ca="1">IF(AND(O36&gt;0,R36=""),"NO CPN",IF(AND(O36="",R36=""),"",IF(AND(R36&gt;0,Tabla1[[#This Row],[SEMANAS DE GESTACION ACTUALIZADAS]]&lt;=12),"NO APLICA",IF(AND(FH36&lt;&gt;"",FN36&lt;&gt;""),"SI","NO"))))</f>
        <v>SI</v>
      </c>
      <c r="NO36" s="43" t="str">
        <f ca="1">IF(AND(O36&gt;0,R36=""),"NO CPN",IF(AND(O36="",R36=""),"",IF(AND(R36&gt;0,Tabla1[[#This Row],[SEMANAS DE GESTACION ACTUALIZADAS]]&lt;=27),"NO APLICA",IF(AND(ES36&lt;&gt;"",FQ36&lt;&gt;"",GF36&lt;&gt;""),"SI","NO"))))</f>
        <v>NO</v>
      </c>
      <c r="NP36" s="204" t="str">
        <f t="shared" si="240"/>
        <v>I TRIM</v>
      </c>
      <c r="NQ36" s="21">
        <f t="shared" si="241"/>
        <v>1</v>
      </c>
      <c r="NR36" s="21">
        <f t="shared" si="242"/>
        <v>3</v>
      </c>
      <c r="NS36" s="205">
        <f t="shared" ca="1" si="243"/>
        <v>2</v>
      </c>
      <c r="NT36" s="21">
        <f t="shared" ca="1" si="244"/>
        <v>2</v>
      </c>
      <c r="NU36" s="21" t="str">
        <f t="shared" ca="1" si="245"/>
        <v>INCOMPLETO</v>
      </c>
      <c r="NV36" s="21" t="str">
        <f t="shared" ca="1" si="246"/>
        <v>INCOMPLETO</v>
      </c>
      <c r="NW36" s="206" t="str">
        <f>IF(AND(O36="",R36=""),"",IF(OR(AND(Tabla1[[#This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36" s="207" t="str">
        <f t="shared" ca="1" si="247"/>
        <v>VACUNADA</v>
      </c>
      <c r="NY36" s="43">
        <f>ROW(Tabla1[[#This Row],['# DE TAMIZAJES SIFILIS TOMADOS ]])</f>
        <v>36</v>
      </c>
      <c r="NZ36" s="43" t="str">
        <f t="shared" si="93"/>
        <v>Menor</v>
      </c>
      <c r="OA36" s="43" t="str">
        <f t="shared" si="94"/>
        <v>SOBREPESO</v>
      </c>
      <c r="OB36" s="43" t="str">
        <f t="shared" si="95"/>
        <v/>
      </c>
      <c r="OC36" s="43" t="str">
        <f t="shared" si="96"/>
        <v/>
      </c>
      <c r="OD36" s="43" t="str">
        <f t="shared" si="97"/>
        <v/>
      </c>
      <c r="OE36" s="43" t="str">
        <f t="shared" si="98"/>
        <v/>
      </c>
      <c r="OF36" s="43" t="str">
        <f t="shared" si="99"/>
        <v/>
      </c>
      <c r="OG36" s="43" t="str">
        <f t="shared" si="100"/>
        <v/>
      </c>
      <c r="OH36" s="43" t="str">
        <f t="shared" si="101"/>
        <v/>
      </c>
      <c r="OI36" s="43" t="str">
        <f t="shared" si="102"/>
        <v/>
      </c>
      <c r="OJ36" s="43" t="str">
        <f t="shared" si="103"/>
        <v/>
      </c>
      <c r="OK36" s="43" t="str">
        <f t="shared" si="104"/>
        <v/>
      </c>
      <c r="OL36" s="43" t="str">
        <f t="shared" si="105"/>
        <v/>
      </c>
      <c r="OM36" s="43" t="str">
        <f t="shared" si="106"/>
        <v/>
      </c>
      <c r="ON36" s="43" t="str">
        <f t="shared" si="107"/>
        <v/>
      </c>
      <c r="OO36" s="43" t="str">
        <f t="shared" si="108"/>
        <v/>
      </c>
      <c r="OP36" s="43" t="str">
        <f t="shared" si="109"/>
        <v/>
      </c>
      <c r="OQ36" s="43" t="str">
        <f t="shared" si="110"/>
        <v/>
      </c>
      <c r="OR36" s="43" t="str">
        <f t="shared" si="111"/>
        <v/>
      </c>
      <c r="OS36" s="43" t="str">
        <f t="shared" si="112"/>
        <v/>
      </c>
      <c r="OT36" s="43" t="str">
        <f t="shared" si="113"/>
        <v/>
      </c>
      <c r="OU36" s="43" t="str">
        <f t="shared" si="114"/>
        <v/>
      </c>
      <c r="OV36" s="110" t="str">
        <f t="shared" si="115"/>
        <v/>
      </c>
      <c r="OW36" s="43" t="str">
        <f t="shared" si="116"/>
        <v/>
      </c>
      <c r="OX36" s="43" t="str">
        <f t="shared" si="117"/>
        <v/>
      </c>
      <c r="OY36" s="43" t="str">
        <f t="shared" si="118"/>
        <v/>
      </c>
      <c r="OZ36" s="43" t="str">
        <f t="shared" si="119"/>
        <v/>
      </c>
      <c r="PA36" s="43" t="str">
        <f t="shared" si="120"/>
        <v/>
      </c>
      <c r="PB36" s="43" t="str">
        <f t="shared" si="121"/>
        <v/>
      </c>
      <c r="PC36" s="43" t="str">
        <f t="shared" si="122"/>
        <v/>
      </c>
      <c r="PD36" s="43" t="str">
        <f t="shared" si="123"/>
        <v/>
      </c>
      <c r="PE36" s="43" t="str">
        <f t="shared" si="124"/>
        <v/>
      </c>
      <c r="PF36" s="43" t="str">
        <f t="shared" si="125"/>
        <v/>
      </c>
      <c r="PG36" s="43" t="str">
        <f t="shared" si="126"/>
        <v/>
      </c>
      <c r="PH36" s="43" t="str">
        <f t="shared" si="127"/>
        <v/>
      </c>
      <c r="PI36" s="43">
        <f t="shared" si="128"/>
        <v>32</v>
      </c>
      <c r="PJ36" s="43" t="str">
        <f t="shared" si="129"/>
        <v/>
      </c>
      <c r="PK36" s="43" t="str">
        <f t="shared" si="130"/>
        <v/>
      </c>
      <c r="PL36" s="43" t="str">
        <f t="shared" si="131"/>
        <v/>
      </c>
      <c r="PM36" s="43" t="str">
        <f t="shared" si="132"/>
        <v/>
      </c>
      <c r="PN36" s="43" t="str">
        <f t="shared" si="133"/>
        <v/>
      </c>
      <c r="PO36" s="43" t="str">
        <f t="shared" si="134"/>
        <v/>
      </c>
      <c r="PP36" s="43" t="str">
        <f t="shared" si="135"/>
        <v/>
      </c>
      <c r="PQ36" s="43" t="str">
        <f t="shared" si="136"/>
        <v/>
      </c>
      <c r="PR36" s="43" t="str">
        <f t="shared" si="137"/>
        <v/>
      </c>
      <c r="PS36" s="43" t="str">
        <f t="shared" si="138"/>
        <v/>
      </c>
      <c r="PT36" s="43" t="str">
        <f t="shared" si="139"/>
        <v/>
      </c>
      <c r="PU36" s="43" t="str">
        <f t="shared" si="140"/>
        <v/>
      </c>
      <c r="PV36" s="43" t="str">
        <f t="shared" si="141"/>
        <v/>
      </c>
      <c r="PW36" s="43" t="str">
        <f t="shared" si="142"/>
        <v/>
      </c>
      <c r="PX36" s="43" t="str">
        <f t="shared" si="143"/>
        <v/>
      </c>
      <c r="PY36" s="43" t="str">
        <f t="shared" si="144"/>
        <v/>
      </c>
      <c r="PZ36" s="43" t="str">
        <f t="shared" si="145"/>
        <v/>
      </c>
      <c r="QA36" s="43" t="str">
        <f t="shared" si="146"/>
        <v/>
      </c>
      <c r="QB36" s="43" t="str">
        <f t="shared" si="147"/>
        <v/>
      </c>
      <c r="QC36" s="43" t="str">
        <f t="shared" si="148"/>
        <v/>
      </c>
      <c r="QD36" s="43" t="str">
        <f t="shared" si="149"/>
        <v/>
      </c>
      <c r="QE36" s="43" t="str">
        <f t="shared" si="150"/>
        <v/>
      </c>
      <c r="QF36" s="43" t="str">
        <f t="shared" si="151"/>
        <v/>
      </c>
      <c r="QG36" s="43" t="str">
        <f t="shared" si="152"/>
        <v>SOBREPESO</v>
      </c>
      <c r="QH36" s="43" t="str">
        <f t="shared" si="153"/>
        <v/>
      </c>
      <c r="QI36" s="43" t="str">
        <f t="shared" si="154"/>
        <v/>
      </c>
      <c r="QJ36" s="43" t="str">
        <f t="shared" si="155"/>
        <v/>
      </c>
      <c r="QK36" s="43" t="str">
        <f t="shared" si="156"/>
        <v/>
      </c>
      <c r="QL36" s="43" t="str">
        <f t="shared" si="157"/>
        <v/>
      </c>
      <c r="QM36" s="43" t="str">
        <f t="shared" si="158"/>
        <v/>
      </c>
      <c r="QN36" s="43" t="str">
        <f t="shared" si="159"/>
        <v/>
      </c>
      <c r="QO36" s="43" t="str">
        <f t="shared" si="160"/>
        <v/>
      </c>
      <c r="QP36" s="43" t="str">
        <f t="shared" si="161"/>
        <v/>
      </c>
      <c r="QQ36" s="43" t="str">
        <f t="shared" si="162"/>
        <v/>
      </c>
      <c r="QR36" s="43">
        <f t="shared" si="192"/>
        <v>32</v>
      </c>
      <c r="QS36" s="43"/>
      <c r="QT36" s="21" t="str">
        <f t="shared" si="163"/>
        <v/>
      </c>
      <c r="QU36" s="21" t="str">
        <f t="shared" si="164"/>
        <v/>
      </c>
      <c r="QV36" s="21" t="str">
        <f t="shared" si="165"/>
        <v/>
      </c>
      <c r="QW36" s="21" t="str">
        <f t="shared" si="166"/>
        <v/>
      </c>
      <c r="QX36" s="21" t="str">
        <f t="shared" si="167"/>
        <v/>
      </c>
      <c r="QY36" s="21" t="str">
        <f t="shared" si="168"/>
        <v/>
      </c>
      <c r="QZ36" s="21" t="str">
        <f t="shared" si="169"/>
        <v/>
      </c>
      <c r="RA36" s="21" t="str">
        <f t="shared" si="170"/>
        <v/>
      </c>
      <c r="RB36" s="21" t="str">
        <f t="shared" si="171"/>
        <v/>
      </c>
      <c r="RC36" s="21" t="str">
        <f t="shared" si="172"/>
        <v/>
      </c>
      <c r="RD36" s="21" t="str">
        <f t="shared" si="173"/>
        <v/>
      </c>
      <c r="RE36" s="21" t="str">
        <f t="shared" si="174"/>
        <v/>
      </c>
      <c r="RF36" s="21" t="str">
        <f t="shared" si="175"/>
        <v/>
      </c>
      <c r="RG36" s="21" t="str">
        <f t="shared" si="176"/>
        <v/>
      </c>
      <c r="RH36" s="21" t="str">
        <f t="shared" si="177"/>
        <v/>
      </c>
      <c r="RI36" s="21" t="str">
        <f t="shared" si="178"/>
        <v/>
      </c>
      <c r="RJ36" s="21" t="str">
        <f t="shared" si="179"/>
        <v/>
      </c>
      <c r="RK36" s="21" t="str">
        <f t="shared" si="180"/>
        <v/>
      </c>
      <c r="RL36" s="21" t="str">
        <f t="shared" si="181"/>
        <v/>
      </c>
      <c r="RM36" s="21" t="str">
        <f t="shared" si="182"/>
        <v>ALTO PARA EDAD GESTACIONAL</v>
      </c>
      <c r="RN36" s="21" t="str">
        <f t="shared" si="183"/>
        <v/>
      </c>
      <c r="RO36" s="21" t="str">
        <f t="shared" si="184"/>
        <v/>
      </c>
      <c r="RP36" s="21" t="str">
        <f t="shared" si="185"/>
        <v/>
      </c>
      <c r="RQ36" s="21" t="str">
        <f t="shared" si="186"/>
        <v/>
      </c>
      <c r="RR36" s="21" t="str">
        <f t="shared" si="187"/>
        <v/>
      </c>
      <c r="RS36" s="21" t="str">
        <f t="shared" si="188"/>
        <v/>
      </c>
      <c r="RT36" s="21" t="str">
        <f t="shared" si="189"/>
        <v/>
      </c>
      <c r="RU36" s="21" t="str">
        <f t="shared" si="190"/>
        <v/>
      </c>
      <c r="RV36" s="21">
        <f t="shared" si="191"/>
        <v>3.7142857142857144</v>
      </c>
      <c r="RW36" s="284">
        <f>IF(OR(Tabla1[[#This Row],[FUM FORMULA CONFIABLE]]="",Tabla1[[#This Row],[FUM FORMULA CONFIABLE]]="SD"),"",IF(Tabla1[[#This Row],[FUM FORMULA CONFIABLE]]="CORREGIDA",Tabla1[[#This Row],[FUM X ECO 1]],Tabla1[[#This Row],[FUM x AMENORREA]]))</f>
        <v>44830</v>
      </c>
      <c r="RX36" s="21">
        <f>IF(AND(Tabla1[[#This Row],[FUM X ECO 1]]="",Tabla1[[#This Row],[FUM x AMENORREA]]=""),"",IF(AND(Tabla1[[#This Row],[FUM X ECO 1]]="",Tabla1[[#This Row],[FUM x AMENORREA]]&lt;&gt;""),"X",SUM(Tabla1[[#This Row],[FUM X ECO 1]]-Tabla1[[#This Row],[FUM x AMENORREA]])))</f>
        <v>0.90000000000145519</v>
      </c>
      <c r="RY36" s="21">
        <f t="shared" si="193"/>
        <v>0</v>
      </c>
    </row>
    <row r="37" spans="1:493" ht="45" customHeight="1" x14ac:dyDescent="0.25">
      <c r="A37" s="109"/>
      <c r="B37" s="43" t="s">
        <v>1057</v>
      </c>
      <c r="C37" s="43" t="s">
        <v>845</v>
      </c>
      <c r="D37" s="124" t="s">
        <v>846</v>
      </c>
      <c r="E37" s="43" t="s">
        <v>1058</v>
      </c>
      <c r="F37" s="43" t="s">
        <v>883</v>
      </c>
      <c r="G37" s="43" t="s">
        <v>1059</v>
      </c>
      <c r="H37" s="43" t="s">
        <v>1060</v>
      </c>
      <c r="I37" s="109" t="s">
        <v>851</v>
      </c>
      <c r="J37" s="110">
        <v>1067462101</v>
      </c>
      <c r="K37" s="43" t="s">
        <v>852</v>
      </c>
      <c r="L37" s="175" t="s">
        <v>853</v>
      </c>
      <c r="M37" s="22">
        <v>38678</v>
      </c>
      <c r="N37" s="213">
        <f t="shared" ca="1" si="0"/>
        <v>17.956164383561642</v>
      </c>
      <c r="O37" s="22">
        <v>44856</v>
      </c>
      <c r="P37" s="214" t="str">
        <f t="shared" si="194"/>
        <v>SI</v>
      </c>
      <c r="Q37" s="26" t="s">
        <v>855</v>
      </c>
      <c r="R37" s="22">
        <v>44856</v>
      </c>
      <c r="S37" s="21" t="s">
        <v>856</v>
      </c>
      <c r="T37" s="24" t="s">
        <v>690</v>
      </c>
      <c r="U37" s="21" t="s">
        <v>857</v>
      </c>
      <c r="V37" s="21" t="s">
        <v>858</v>
      </c>
      <c r="W37" s="21" t="s">
        <v>1061</v>
      </c>
      <c r="X37" s="21" t="s">
        <v>1061</v>
      </c>
      <c r="Y37" s="21" t="s">
        <v>859</v>
      </c>
      <c r="Z37" s="21">
        <v>3166421565</v>
      </c>
      <c r="AA37" s="21" t="s">
        <v>860</v>
      </c>
      <c r="AB37" s="27" t="s">
        <v>861</v>
      </c>
      <c r="AC37" s="26" t="s">
        <v>877</v>
      </c>
      <c r="AD37" s="38" t="s">
        <v>846</v>
      </c>
      <c r="AE37" s="26" t="s">
        <v>854</v>
      </c>
      <c r="AF37" s="26" t="s">
        <v>854</v>
      </c>
      <c r="AG37" s="23" t="s">
        <v>864</v>
      </c>
      <c r="AH37" s="23" t="s">
        <v>864</v>
      </c>
      <c r="AI37" s="24" t="s">
        <v>863</v>
      </c>
      <c r="AJ37" s="23" t="s">
        <v>864</v>
      </c>
      <c r="AK37" s="220" t="str">
        <f>IF(AND(AD37="",AE37="",AF37="",AG37="",AH37="",AI37="",AJ37=""),"",IF(OR(Tabla1[[#This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EVALUACIÓN",IF(AND(O37="",R37=""),"",IF(AND(OR(O37&gt;0,R37&gt;0),NG37&gt;=0,NG37&lt;2),"SIN RIESGO",IF(AND(OR(O37&gt;0,R37&gt;0),NG37&gt;=2),"CON RIESGO","ASD")))))</f>
        <v>SIN RIESGO</v>
      </c>
      <c r="AL37" s="23" t="s">
        <v>864</v>
      </c>
      <c r="AM37" s="26" t="s">
        <v>864</v>
      </c>
      <c r="AN37" s="26" t="s">
        <v>864</v>
      </c>
      <c r="AO37" s="26" t="s">
        <v>864</v>
      </c>
      <c r="AP37" s="26" t="s">
        <v>864</v>
      </c>
      <c r="AQ37" s="26" t="s">
        <v>864</v>
      </c>
      <c r="AR37" s="26" t="s">
        <v>864</v>
      </c>
      <c r="AS37" s="21">
        <v>0</v>
      </c>
      <c r="AT37" s="21">
        <v>0</v>
      </c>
      <c r="AU37" s="21">
        <v>0</v>
      </c>
      <c r="AV37" s="26" t="s">
        <v>864</v>
      </c>
      <c r="AW37" s="21">
        <v>0</v>
      </c>
      <c r="AX37" s="26" t="s">
        <v>864</v>
      </c>
      <c r="AY37" s="26" t="s">
        <v>864</v>
      </c>
      <c r="AZ37" s="26" t="s">
        <v>864</v>
      </c>
      <c r="BA37" s="26" t="s">
        <v>864</v>
      </c>
      <c r="BB37" s="26" t="s">
        <v>864</v>
      </c>
      <c r="BC37" s="26" t="s">
        <v>864</v>
      </c>
      <c r="BD37" s="26" t="s">
        <v>864</v>
      </c>
      <c r="BE37" s="26" t="s">
        <v>864</v>
      </c>
      <c r="BF37" s="26" t="s">
        <v>864</v>
      </c>
      <c r="BG37" s="26" t="s">
        <v>864</v>
      </c>
      <c r="BH37" s="26" t="s">
        <v>864</v>
      </c>
      <c r="BI37" s="26" t="s">
        <v>864</v>
      </c>
      <c r="BJ37" s="26"/>
      <c r="BK37" s="26"/>
      <c r="BL37" s="26" t="s">
        <v>864</v>
      </c>
      <c r="BM37" s="26" t="s">
        <v>864</v>
      </c>
      <c r="BN37" s="22"/>
      <c r="BO37" s="22">
        <v>44769</v>
      </c>
      <c r="BP37" s="21" t="s">
        <v>854</v>
      </c>
      <c r="BQ37" s="222">
        <f t="shared" si="2"/>
        <v>0</v>
      </c>
      <c r="BR37" s="223">
        <f t="shared" si="3"/>
        <v>44769.599999999999</v>
      </c>
      <c r="BS37" s="224">
        <f t="shared" si="4"/>
        <v>12.428571428571429</v>
      </c>
      <c r="BT37" s="216" t="str">
        <f t="shared" si="5"/>
        <v>II TRIM</v>
      </c>
      <c r="BU37" s="214" t="str">
        <f t="shared" ca="1" si="6"/>
        <v/>
      </c>
      <c r="BV37" s="25"/>
      <c r="BW37" s="22">
        <v>44918</v>
      </c>
      <c r="BX37" s="28">
        <v>21.2</v>
      </c>
      <c r="BY37" s="28"/>
      <c r="BZ37" s="22"/>
      <c r="CA37" s="21"/>
      <c r="CB37" s="26" t="s">
        <v>864</v>
      </c>
      <c r="CC37" s="26" t="s">
        <v>864</v>
      </c>
      <c r="CD37" s="26" t="s">
        <v>878</v>
      </c>
      <c r="CE37" s="26" t="s">
        <v>864</v>
      </c>
      <c r="CF37" s="22" t="s">
        <v>1517</v>
      </c>
      <c r="CG37" s="21">
        <v>1.43</v>
      </c>
      <c r="CH37" s="21">
        <v>51</v>
      </c>
      <c r="CI37" s="214">
        <f t="shared" si="7"/>
        <v>24.940094870164803</v>
      </c>
      <c r="CJ37" s="225" t="e">
        <f>IF(AND(CI37&lt;10,CH37="SD"),"SIN DATO PESO PREGESTACION O I TRIM",IF(AND(OR(R37&gt;0,O37&gt;0),CI37="X"),"INGRESAR DATO DE PESO",IF(CI37="SD","INGRESAR DATO DE TALLA Y PESO",IF(AND(OR(Tabla1[[#This Row],[MOMENTO EN QUE SE REALIZA EL PESO AL INGRESO A CPN]]="PREGESTACIÓN",NZ37="Menor"),CI37&lt;18.5),"BAJO PESO",IF(AND(OR(Tabla1[[#This Row],[MOMENTO EN QUE SE REALIZA EL PESO AL INGRESO A CPN]]="PREGESTACIÓN",NZ37="Menor"),CI37&lt;25),"NORMAL",IF(AND(OR(Tabla1[[#This Row],[MOMENTO EN QUE SE REALIZA EL PESO AL INGRESO A CPN]]="PREGESTACIÓN",NZ37="Menor"),CI37&lt;30),"SOBREPESO",IF(AND(OR(Tabla1[[#This Row],[MOMENTO EN QUE SE REALIZA EL PESO AL INGRESO A CPN]]="PREGESTACIÓN",NZ37="Menor"),CI37&gt;=30,CI37&lt;50),"OBESIDAD",IF(AND(BS37&gt;0,Tabla1[[#This Row],[MOMENTO EN QUE SE REALIZA EL PESO AL INGRESO A CPN]]="GESTACIÓN"),HLOOKUP(NZ37,$OA$2:PH37,NY37),""))))))))</f>
        <v>#REF!</v>
      </c>
      <c r="CK37" s="212">
        <f t="shared" si="8"/>
        <v>45042</v>
      </c>
      <c r="CL37" s="21"/>
      <c r="CM37" s="214">
        <f t="shared" si="9"/>
        <v>0</v>
      </c>
      <c r="CN37" s="216">
        <f t="shared" si="10"/>
        <v>39</v>
      </c>
      <c r="CO37" s="216" t="e">
        <f>IF(PI37="","",IF(PI37&gt;0,HLOOKUP(PI37,$PJ$2:QQ37,NY37),""))</f>
        <v>#REF!</v>
      </c>
      <c r="CP37" s="21"/>
      <c r="CQ37" s="216" t="e">
        <f>IF(QR37="Menor","NO APLICA-MENOR 13 SEM",IF(AND(CC37="SI",CN37&gt;23),"NO APLICA- GEMELAR",IF(QR37="","",IF(QR37&gt;0,HLOOKUP(QR37,$QS$2:RU37,NY37),""))))</f>
        <v>#REF!</v>
      </c>
      <c r="CR37" s="21">
        <v>90</v>
      </c>
      <c r="CS37" s="21">
        <v>60</v>
      </c>
      <c r="CT37" s="217" t="str">
        <f>IF(R37="","",IF(AND(BS37&gt;1,BS37&lt;12,Tabla1[[#This Row],[T.A. SISTOLICA - ANTES DE SEMANA 12]]="",Tabla1[[#This Row],[T.A. DIASTOLICA - ANTES DE SEMANA 12]]=""),"REGISTRE DATO TA ANTES SEMANA 12",IF(AND(BS37&gt;11,BS37&lt;43,Tabla1[[#This Row],[T.A. SISTOLICA - ANTES DE SEMANA 12]]="",Tabla1[[#This Row],[T.A. DIASTOLICA - ANTES DE SEMANA 12]]=""),"NO APLICA REGISTRO TA-INGRESO TARDIO",IF(AND(OR(O37&gt;0,R37&gt;0),OR(CR37&gt;=140,CS37&gt;=90)),"DEFINIR ESTADIO HTA",IF(AND(OR(O37&gt;0,R37&gt;0),AND(CR37&gt;120,CR37&lt;=139)),"PRE HTA SEGUIMIENTO",IF(AND(OR(O37&gt;0,R37&gt;0),AND(CS37&gt;80,CS37&lt;=89)),"PRE HTA SEGUIMIENTO",IF(AND(OR(O37&gt;0,R37&gt;0),AND(CR37&gt;=80,CR37&lt;=120)),"APARENTEMENTE NORMAL",IF(AND(OR(O37&gt;0,R37&gt;0),AND(CS37&gt;=50,CS37&lt;=80)),"APARENTEMENTE NORMAL",IF(AND(OR(O37&gt;0,R37&gt;0),AND(CR37&gt;1,CR37&lt;=70),AND(CS37&gt;1,CS37&lt;=40)),"HIPOTENSIÓN","")))))))))</f>
        <v>APARENTEMENTE NORMAL</v>
      </c>
      <c r="CU37" s="21">
        <v>90</v>
      </c>
      <c r="CV37" s="21">
        <v>60</v>
      </c>
      <c r="CW37" s="217" t="str">
        <f ca="1">IF(R37="","",IF(AND(CN37&gt;19,CN37&lt;27,Tabla1[[#This Row],[T.A. SISTOLICA (Entre semana 20 y 26)]]="",Tabla1[[#This Row],[T.A. DIATOLICA (Entre semana 20 y 26)]]=""),"ACUDE A CONTROL SEM 20 A 26 REGISTRE TA AHORA",IF(AND(BS37&gt;1,BS37&lt;27,BU37&gt;19,Tabla1[[#This Row],[T.A. SISTOLICA (Entre semana 20 y 26)]]="",Tabla1[[#This Row],[T.A. DIATOLICA (Entre semana 20 y 26)]]=""),"COMPLETE REGISTRO TA CONTROL SEM 20 A26 ",IF(AND(BS37&gt;26,BS37&lt;43,Tabla1[[#This Row],[T.A. SISTOLICA (Entre semana 20 y 26)]]="",Tabla1[[#This Row],[T.A. DIATOLICA (Entre semana 20 y 26)]]=""),"NO APLICA REGISTRO TA-INGRESO TARDIO",IF(AND(OR(O37&gt;0,R37&gt;0),OR(CU37&gt;=140,CV37&gt;=90)),"ALTO RIESGO PREECLAMPSIA,DEFINIR ESTADIO HTA",IF(AND(OR(O37&gt;0,R37&gt;0),AND(CU37&gt;120,CU37&lt;=139)),"PRE HTA SEGUIMIENTO,RIESGO HIPERTENSION INDUCIDA POR EL EMBARAZO",IF(AND(OR(O37&gt;0,R37&gt;0),AND(CV37&gt;80,CV37&lt;=89)),"PRE HTA SEGUIMIENTO, RIESGO HIPERTENSION INDUCIDA POR EL EMBARAZO",IF(AND(OR(O37&lt;&gt;"",R37&lt;&gt;""),CS37&lt;&gt;"",CV37&lt;&gt;"",CS37&lt;=CV37),"VIGILAR CIFRAS PRESION ARTERIAL",IF(AND(OR(O37&gt;0,R37&gt;0),AND(CU37&gt;120,CU37&lt;=139)),"PRE HTA SEGUIMIENTO",IF(AND(OR(O37&gt;0,R37&gt;0),AND(CU37&gt;1,CU37&lt;=70),AND(CV37&gt;1,CV37&lt;=40)),"HIPOTENSIÓN",IF(AND(OR(O37&lt;&gt;"",R37&lt;&gt;""),CS37&lt;&gt;"",CV37&lt;&gt;"",CS37&gt;CV37),"APARENTEMENTE NORMAL",IF(AND(OR(O37&gt;0,R37&gt;0),AND(CU37&gt;=80,CU37&lt;=120)),"APARENTEMENTE NORMAL",IF(AND(OR(O37&gt;0,R37&gt;0),AND(CV37&gt;=50,CV37&lt;=80)),"APARENTEMENTE NORMAL","")))))))))))))</f>
        <v>VIGILAR CIFRAS PRESION ARTERIAL</v>
      </c>
      <c r="CX37" s="21"/>
      <c r="CY37" s="21"/>
      <c r="CZ37" s="216" t="str">
        <f t="shared" si="195"/>
        <v/>
      </c>
      <c r="DA37" s="21"/>
      <c r="DB37" s="21"/>
      <c r="DC37" s="217" t="str">
        <f t="shared" si="12"/>
        <v>REGISTRE DATO PRESIÓN ARTERIAL MENSUAL</v>
      </c>
      <c r="DD37" s="22">
        <v>44856</v>
      </c>
      <c r="DE37" s="22">
        <v>44856</v>
      </c>
      <c r="DF37" s="22">
        <v>44908</v>
      </c>
      <c r="DG37" s="22">
        <v>45042</v>
      </c>
      <c r="DH37" s="22"/>
      <c r="DI37" s="22"/>
      <c r="DJ37" s="22"/>
      <c r="DK37" s="22"/>
      <c r="DL37" s="22"/>
      <c r="DM37" s="22"/>
      <c r="DN37" s="22"/>
      <c r="DO37" s="22"/>
      <c r="DP37" s="22"/>
      <c r="DQ37" s="22"/>
      <c r="DR37" s="28">
        <v>1</v>
      </c>
      <c r="DS37" s="22"/>
      <c r="DT37" s="22"/>
      <c r="DU37" s="216" t="str">
        <f t="shared" ca="1" si="196"/>
        <v>SALE SIN PLAN DE PARTO</v>
      </c>
      <c r="DV37" s="226" t="str">
        <f t="shared" si="197"/>
        <v>SALIO PROGRAMA</v>
      </c>
      <c r="DW37"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37" s="216" t="str">
        <f t="shared" ca="1" si="15"/>
        <v/>
      </c>
      <c r="DY37" s="212">
        <f>IF(R37="","",IF(R37&gt;0,MAX(Tabla1[[#This Row],[FECHA C2]:[FECHA C13]],Tabla1[[#This Row],[FECHA CONSULTA PRIMERA VEZ PROGRAMA CPN ]])))</f>
        <v>45042</v>
      </c>
      <c r="DZ37" s="216">
        <f t="shared" si="16"/>
        <v>39</v>
      </c>
      <c r="EA37" s="222">
        <f>IF(R37&gt;0,SUM(COUNTA(DF37:DQ37)+COUNTA(Tabla1[[#This Row],[FECHA CONSULTA PRIMERA VEZ PROGRAMA CPN ]])),"")</f>
        <v>3</v>
      </c>
      <c r="EB37" s="222" t="str">
        <f t="shared" si="17"/>
        <v>NO</v>
      </c>
      <c r="EC37" s="214">
        <f t="shared" si="18"/>
        <v>8</v>
      </c>
      <c r="ED37" s="227">
        <f t="shared" si="19"/>
        <v>0.375</v>
      </c>
      <c r="EE37" s="22">
        <v>44856</v>
      </c>
      <c r="EF37" s="22">
        <v>44856</v>
      </c>
      <c r="EG37" s="22">
        <v>44856</v>
      </c>
      <c r="EH37" s="22"/>
      <c r="EI37" s="22">
        <v>44856</v>
      </c>
      <c r="EJ37" s="22"/>
      <c r="EK37" s="22"/>
      <c r="EL37" s="21"/>
      <c r="EM37" s="21">
        <v>13.3</v>
      </c>
      <c r="EN37" s="22">
        <v>44856</v>
      </c>
      <c r="EO37" s="222">
        <f t="shared" si="20"/>
        <v>12.428571428571429</v>
      </c>
      <c r="EP37" s="214" t="str">
        <f t="shared" si="21"/>
        <v>NORMAL- SUMINISTRAR SULFATO FERROSO</v>
      </c>
      <c r="EQ37" s="216" t="str">
        <f t="shared" si="22"/>
        <v>I TRIM</v>
      </c>
      <c r="ER37" s="24"/>
      <c r="ES37" s="22"/>
      <c r="ET37" s="29" t="str">
        <f t="shared" ca="1" si="198"/>
        <v>SALE SIN TAMIZAJE HEMOGLOBINA SEM 28</v>
      </c>
      <c r="EU37" s="25" t="str">
        <f t="shared" si="24"/>
        <v/>
      </c>
      <c r="EV37" s="24" t="s">
        <v>866</v>
      </c>
      <c r="EW37" s="24">
        <v>44859</v>
      </c>
      <c r="EX37" s="22"/>
      <c r="EY37" s="29">
        <f t="shared" si="199"/>
        <v>12.857142857142858</v>
      </c>
      <c r="EZ37" s="25" t="str">
        <f t="shared" ca="1" si="200"/>
        <v/>
      </c>
      <c r="FA37" s="21">
        <v>78</v>
      </c>
      <c r="FB37" s="22">
        <v>44859</v>
      </c>
      <c r="FC37" s="29">
        <f t="shared" si="27"/>
        <v>12.857142857142858</v>
      </c>
      <c r="FD37" s="29"/>
      <c r="FE37" s="29"/>
      <c r="FF37" s="29"/>
      <c r="FG37" s="21" t="str">
        <f t="shared" ca="1" si="28"/>
        <v/>
      </c>
      <c r="FH37" s="31"/>
      <c r="FI37" s="29" t="str">
        <f t="shared" si="29"/>
        <v>TOMAR EXAMEN</v>
      </c>
      <c r="FJ37" s="22" t="s">
        <v>867</v>
      </c>
      <c r="FK37" s="22">
        <v>44859</v>
      </c>
      <c r="FL37" s="29">
        <f t="shared" ca="1" si="30"/>
        <v>12.857142857142858</v>
      </c>
      <c r="FM37" s="22"/>
      <c r="FN37" s="32"/>
      <c r="FO37" s="29" t="str">
        <f t="shared" ca="1" si="201"/>
        <v>PIERDE TOMA DE TAMIZAJE</v>
      </c>
      <c r="FP37" s="22"/>
      <c r="FQ37" s="32"/>
      <c r="FR37" s="29" t="str">
        <f t="shared" ca="1" si="202"/>
        <v>PIERDE TOMA DE TAMIZAJE</v>
      </c>
      <c r="FS37" s="22"/>
      <c r="FT37" s="32"/>
      <c r="FU37" s="29" t="str">
        <f>IF(AND(FJ37="",FM37="",FP37="",FS37=""),"",IF(OR(OR(Tabla1[[#This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37" s="28"/>
      <c r="FW37" s="22"/>
      <c r="FX37" s="29" t="str">
        <f t="shared" si="33"/>
        <v>TOMAR EXAMEN</v>
      </c>
      <c r="FY37" s="22"/>
      <c r="FZ37" s="22"/>
      <c r="GA37" s="29" t="str">
        <f t="shared" ca="1" si="203"/>
        <v/>
      </c>
      <c r="GB37" s="22"/>
      <c r="GC37" s="22"/>
      <c r="GD37" s="29" t="str">
        <f t="shared" ca="1" si="204"/>
        <v>PIERDE TOMA DE TAMIZAJE</v>
      </c>
      <c r="GE37" s="22"/>
      <c r="GF37" s="22"/>
      <c r="GG37" s="29" t="str">
        <f t="shared" ca="1" si="205"/>
        <v>PIERDE TOMA DE TAMIZAJE</v>
      </c>
      <c r="GH37" s="22"/>
      <c r="GI37" s="29"/>
      <c r="GJ37" s="22"/>
      <c r="GK37" s="22"/>
      <c r="GL37" s="22" t="s">
        <v>879</v>
      </c>
      <c r="GM37" s="22"/>
      <c r="GN37" s="28" t="s">
        <v>869</v>
      </c>
      <c r="GO37" s="22">
        <v>44859</v>
      </c>
      <c r="GP37" s="29">
        <f t="shared" si="37"/>
        <v>12.857142857142858</v>
      </c>
      <c r="GQ37" s="28" t="s">
        <v>869</v>
      </c>
      <c r="GR37" s="28" t="s">
        <v>869</v>
      </c>
      <c r="GS37" s="22" t="str">
        <f t="shared" si="206"/>
        <v>CONTROL Igm</v>
      </c>
      <c r="GT37" s="22">
        <v>44859</v>
      </c>
      <c r="GU37" s="29">
        <f t="shared" si="39"/>
        <v>12.857142857142858</v>
      </c>
      <c r="GV37" s="21" t="str">
        <f t="shared" si="40"/>
        <v>I TRIM</v>
      </c>
      <c r="GW37" s="28" t="s">
        <v>869</v>
      </c>
      <c r="GX37" s="30"/>
      <c r="GY37" s="21"/>
      <c r="GZ37" s="21"/>
      <c r="HA37" s="21"/>
      <c r="HB37" s="21"/>
      <c r="HC37" s="21"/>
      <c r="HD37" s="21"/>
      <c r="HE37" s="21"/>
      <c r="HF37" s="22"/>
      <c r="HG37" s="22" t="str">
        <f>IF(OR(O37&gt;0,R37&gt;0),CONCATENATE(IF(Tabla1[[#This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37" s="22" t="e">
        <f t="shared" si="41"/>
        <v>#REF!</v>
      </c>
      <c r="HI37" s="22" t="e">
        <f t="shared" ca="1" si="42"/>
        <v>#REF!</v>
      </c>
      <c r="HJ37" s="21" t="str">
        <f t="shared" ca="1" si="43"/>
        <v>**********************MULTIPARIDAD*****************</v>
      </c>
      <c r="HK37" s="21" t="str">
        <f t="shared" si="44"/>
        <v>SIN ANTECEDENTES DE RIESGO</v>
      </c>
      <c r="HL37" s="24" t="str">
        <f t="shared" si="45"/>
        <v>REGISTRE DATO PRESIÓN ARTERIAL MENSUAL</v>
      </c>
      <c r="HM37" s="21" t="str">
        <f t="shared" ca="1" si="46"/>
        <v/>
      </c>
      <c r="HN37" s="30" t="str">
        <f t="shared" si="207"/>
        <v>SALIO PROGRAMA</v>
      </c>
      <c r="HO37" s="21"/>
      <c r="HP37" s="21"/>
      <c r="HQ37" s="21"/>
      <c r="HR37" s="21" t="str">
        <f>IF(R37="","",IF(Tabla1[[#This Row],[ALARMA FACTORES DE RIESGO COMPLICACIONES HIPERTENSIVAS3]]="SIN ANTECEDENTES DE RIESGO","No Aplica para suministro de ASA",IF(AND(Tabla1[[#This Row],[FECHA INICIO DE SUMINISTRO DE ASA]]&gt;0,RV37&lt;12),"Inicia ASA ANTES de Sem 12",IF(AND(RV37&gt;11,RV37&lt;17,OR(HK37="RIESGO ALTO DE COMPLICACIONES HIPERTENSIVAS VER MANEJO GUIA SUMINISTRO ASA Y CALCIO",HK37="RIESGO MODERADO (2 O MAS CRITERIOS) VER MANEJO GUIA SUMINISTRO ASA Y CALCIO")),"Inicio oportuno de ASA",IF(AND(RV37&gt;12,OR(HK37="RIESGO ALTO DE COMPLICACIONES HIPERTENSIVAS VER MANEJO GUIA SUMINISTRO ASA Y CALCIO",HK37="RIESGO MODERADO (2 O MAS CRITERIOS) VER MANEJO GUIA SUMINISTRO ASA Y CALCIO")),"Inicio no oportuno mayor a 16 semanas",IF(AND(BU37&lt;12,OR(HK37="RIESGO ALTO DE COMPLICACIONES HIPERTENSIVAS VER MANEJO GUIA SUMINISTRO ASA Y CALCIO",HK37="RIESGO MODERADO (2 O MAS CRITERIOS) VER MANEJO GUIA SUMINISTRO ASA Y CALCIO")),"Pendiente Inicio de ASA a la semana 12",IF(AND(BU37&gt;11,BU37&lt;17,OR(HK37="RIESGO ALTO DE COMPLICACIONES HIPERTENSIVAS VER MANEJO GUIA SUMINISTRO ASA Y CALCIO",HK37="RIESGO MODERADO (2 O MAS CRITERIOS) VER MANEJO GUIA SUMINISTRO ASA Y CALCIO")),"Iniciar de inmediato ASA",IF(AND(BU37&gt;16,OR(HK37="RIESGO ALTO DE COMPLICACIONES HIPERTENSIVAS VER MANEJO GUIA SUMINISTRO ASA Y CALCIO",HK37="RIESGO MODERADO (2 O MAS CRITERIOS) VER MANEJO GUIA SUMINISTRO ASA Y CALCIO")),"Pierde Oportunidad, Inicio tardío de ASA","XXXXX"))))))))</f>
        <v>No Aplica para suministro de ASA</v>
      </c>
      <c r="HS37" s="22"/>
      <c r="HT37" s="22"/>
      <c r="HU37" s="22"/>
      <c r="HV37" s="22"/>
      <c r="HW37" s="22"/>
      <c r="HX37" s="22"/>
      <c r="HY37" s="22">
        <v>44856</v>
      </c>
      <c r="HZ37" s="28">
        <f t="shared" si="48"/>
        <v>12.428571428571429</v>
      </c>
      <c r="IA37" s="26"/>
      <c r="IB37" s="26"/>
      <c r="IC37" s="111"/>
      <c r="ID37" s="22"/>
      <c r="IE37" s="22" t="str">
        <f t="shared" ca="1" si="49"/>
        <v>SALE SIN VACUNA</v>
      </c>
      <c r="IF37" s="22"/>
      <c r="IG37" s="22">
        <f t="shared" si="50"/>
        <v>45049</v>
      </c>
      <c r="IH37" s="29">
        <f t="shared" ca="1" si="51"/>
        <v>-183</v>
      </c>
      <c r="II37" s="22" t="str">
        <f t="shared" ca="1" si="52"/>
        <v>POSIBLEMENTE NACIO</v>
      </c>
      <c r="IJ37" s="22"/>
      <c r="IK37" s="21" t="s">
        <v>1652</v>
      </c>
      <c r="IL37" s="21"/>
      <c r="IM37" s="34"/>
      <c r="IN37" s="349">
        <v>45050</v>
      </c>
      <c r="IO37" s="21" t="s">
        <v>1186</v>
      </c>
      <c r="IP37" s="29">
        <f t="shared" si="208"/>
        <v>40.142857142857146</v>
      </c>
      <c r="IQ37" s="35" t="s">
        <v>1650</v>
      </c>
      <c r="IR37" s="21" t="s">
        <v>1651</v>
      </c>
      <c r="IS37" s="21" t="s">
        <v>1646</v>
      </c>
      <c r="IT37" s="21" t="s">
        <v>1642</v>
      </c>
      <c r="IU37" s="21"/>
      <c r="IV37" s="21"/>
      <c r="IW37" s="21"/>
      <c r="IX37" s="21"/>
      <c r="IY37" s="21"/>
      <c r="IZ37" s="21"/>
      <c r="JA37" s="21"/>
      <c r="JB37" s="30">
        <v>1</v>
      </c>
      <c r="JC37" s="21" t="s">
        <v>1647</v>
      </c>
      <c r="JD37" s="36">
        <v>3215</v>
      </c>
      <c r="JE37" s="21" t="str">
        <f t="shared" si="209"/>
        <v>PESO ADECUADO EDAD GESTACIONAL</v>
      </c>
      <c r="JF37" s="30"/>
      <c r="JG37" s="21"/>
      <c r="JH37" s="21"/>
      <c r="JI37" s="21" t="s">
        <v>854</v>
      </c>
      <c r="JJ37" s="30" t="s">
        <v>866</v>
      </c>
      <c r="JK37" s="22"/>
      <c r="JL37" s="22"/>
      <c r="JM37" s="21"/>
      <c r="JN37" s="36"/>
      <c r="JO37" s="21" t="str">
        <f t="shared" si="210"/>
        <v/>
      </c>
      <c r="JP37" s="22"/>
      <c r="JQ37" s="21"/>
      <c r="JR37" s="21"/>
      <c r="JS37" s="21"/>
      <c r="JT37" s="30"/>
      <c r="JU37" s="22"/>
      <c r="JV37" s="22"/>
      <c r="JW37" s="33"/>
      <c r="JX37" s="28" t="str">
        <f t="shared" si="211"/>
        <v>INASISTENTE</v>
      </c>
      <c r="JY37" s="33"/>
      <c r="JZ37" s="28" t="str">
        <f t="shared" si="212"/>
        <v>INASISTENTE</v>
      </c>
      <c r="KA37" s="21"/>
      <c r="KB37" s="21"/>
      <c r="KC37" s="21"/>
      <c r="KD37" s="37"/>
      <c r="KE37" s="28"/>
      <c r="KF37" s="28"/>
      <c r="KG37" s="28"/>
      <c r="KH37" s="39"/>
      <c r="KI37" s="39"/>
      <c r="KJ37" s="66"/>
      <c r="KK37" s="39"/>
      <c r="KL37" s="39"/>
      <c r="KM37" s="66"/>
      <c r="KN37" s="39"/>
      <c r="KO37" s="39"/>
      <c r="KP37" s="39"/>
      <c r="KQ37" s="39"/>
      <c r="KR37" s="39"/>
      <c r="KS37" s="39"/>
      <c r="KT37" s="39"/>
      <c r="KU37" s="38"/>
      <c r="KV37" s="38"/>
      <c r="KW37" s="38"/>
      <c r="KX37" s="38"/>
      <c r="KY37" s="38"/>
      <c r="KZ37" s="38"/>
      <c r="LA37" s="38"/>
      <c r="LB37" s="38"/>
      <c r="LC37" s="38"/>
      <c r="LD37" s="38"/>
      <c r="LE37" s="38"/>
      <c r="LF37" s="38"/>
      <c r="LG37" s="38"/>
      <c r="LH37" s="38"/>
      <c r="LI37" s="38"/>
      <c r="LJ37" s="38"/>
      <c r="LK37" s="38"/>
      <c r="LL37" s="38"/>
      <c r="LM37" s="38"/>
      <c r="LN37" s="38"/>
      <c r="LO37" s="38"/>
      <c r="LP37" s="38"/>
      <c r="LQ37" s="38"/>
      <c r="LR37" s="38"/>
      <c r="LS37" s="38"/>
      <c r="LT37" s="38"/>
      <c r="LU37" s="38"/>
      <c r="LV37" s="38"/>
      <c r="LW37" s="38"/>
      <c r="LX37" s="38"/>
      <c r="LY37" s="38"/>
      <c r="LZ37" s="38"/>
      <c r="MA37" s="38"/>
      <c r="MB37" s="38"/>
      <c r="MC37" s="38"/>
      <c r="MD37" s="38"/>
      <c r="ME37" s="38"/>
      <c r="MF37" s="38"/>
      <c r="MG37" s="38"/>
      <c r="MH37" s="43">
        <f t="shared" si="213"/>
        <v>0</v>
      </c>
      <c r="MI37" s="43" t="str">
        <f t="shared" si="214"/>
        <v/>
      </c>
      <c r="MJ37" s="43" t="str">
        <f t="shared" si="215"/>
        <v/>
      </c>
      <c r="MK37" s="43">
        <f t="shared" si="216"/>
        <v>0</v>
      </c>
      <c r="ML3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37" s="43">
        <f t="shared" si="217"/>
        <v>12.428571428571429</v>
      </c>
      <c r="MN37" s="43">
        <f t="shared" si="218"/>
        <v>10</v>
      </c>
      <c r="MO37" s="43">
        <f t="shared" si="219"/>
        <v>2022</v>
      </c>
      <c r="MP37" s="43" t="str">
        <f t="shared" si="220"/>
        <v>IV TRIMESTRE AÑO</v>
      </c>
      <c r="MQ37" s="43">
        <f t="shared" si="221"/>
        <v>16.672141918528251</v>
      </c>
      <c r="MR37" s="43">
        <f t="shared" si="222"/>
        <v>0</v>
      </c>
      <c r="MS37" s="43" t="str">
        <f t="shared" si="223"/>
        <v>DE 14 A 19AÑOS</v>
      </c>
      <c r="MT37" s="43">
        <f t="shared" si="224"/>
        <v>0</v>
      </c>
      <c r="MU37" s="43">
        <f t="shared" si="225"/>
        <v>1</v>
      </c>
      <c r="MV37" s="43">
        <f t="shared" si="226"/>
        <v>0</v>
      </c>
      <c r="MW37" s="43">
        <f t="shared" si="227"/>
        <v>0</v>
      </c>
      <c r="MX37" s="43" t="str">
        <f t="shared" si="228"/>
        <v/>
      </c>
      <c r="MY37" s="43" t="str">
        <f t="shared" ca="1" si="229"/>
        <v/>
      </c>
      <c r="MZ37" s="43" t="str">
        <f t="shared" si="230"/>
        <v/>
      </c>
      <c r="NA37" s="43">
        <f t="shared" si="231"/>
        <v>0</v>
      </c>
      <c r="NB37" s="43" t="str">
        <f t="shared" si="232"/>
        <v/>
      </c>
      <c r="NC37" s="43" t="str">
        <f t="shared" si="233"/>
        <v/>
      </c>
      <c r="ND37" s="43">
        <f t="shared" ca="1" si="234"/>
        <v>1</v>
      </c>
      <c r="NE37" s="43">
        <f>IF(OR(O37&gt;0,R37&gt;0),SUM(COUNTIF(Tabla1[[#This Row],[AÑOS AL INICIO5 CPN]],"&gt;=40"),COUNTIF(AS37,"0"),COUNTIF(AR37,"SI"),COUNTIF(CC37,"SI"),COUNTIF(BQ37,"&gt;119"),COUNTIF(CI37,"&gt;=35")),"")</f>
        <v>1</v>
      </c>
      <c r="NF37" s="43" t="str">
        <f t="shared" si="235"/>
        <v/>
      </c>
      <c r="NG37" s="43">
        <f t="shared" si="236"/>
        <v>0</v>
      </c>
      <c r="NH37" s="43">
        <f t="shared" si="237"/>
        <v>148.4</v>
      </c>
      <c r="NI37"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CPN",P37="NO"),"Z",IF(AND(Tabla1[[#This Row],[CITA PROXIMO CONTROL]]="CITA MANUAL",Tabla1[[#This Row],[GESTANTES ACTUALES]]="ACTIVA INGRESO A CPN"),"W",IF(AND(Tabla1[[#This Row],[GESTANTES ACTUALES]]="SALIO PROGRAMA",IN37=""),"S",IF(AND(Tabla1[[#This Row],[CITA PROXIMO CONTROL]]&gt;0,IN37=""),(Tabla1[[#This Row],[CITA PROXIMO CONTROL]]-TODAY()),"SD"))))))))</f>
        <v>SD</v>
      </c>
      <c r="NJ37" s="43">
        <f>MONTH(Tabla1[[#This Row],[FECHA DE SALIDA  DEL PROGRAMA]])</f>
        <v>5</v>
      </c>
      <c r="NK37" s="43">
        <f>YEAR(Tabla1[[#This Row],[FECHA DE SALIDA  DEL PROGRAMA]])</f>
        <v>2023</v>
      </c>
      <c r="NL37" s="43" t="str">
        <f t="shared" si="238"/>
        <v>X</v>
      </c>
      <c r="NM37" s="43" t="str">
        <f t="shared" si="239"/>
        <v>NO</v>
      </c>
      <c r="NN37" s="43" t="str">
        <f ca="1">IF(AND(O37&gt;0,R37=""),"NO CPN",IF(AND(O37="",R37=""),"",IF(AND(R37&gt;0,Tabla1[[#This Row],[SEMANAS DE GESTACION ACTUALIZADAS]]&lt;=12),"NO APLICA",IF(AND(FH37&lt;&gt;"",FN37&lt;&gt;""),"SI","NO"))))</f>
        <v>NO</v>
      </c>
      <c r="NO37" s="43" t="str">
        <f ca="1">IF(AND(O37&gt;0,R37=""),"NO CPN",IF(AND(O37="",R37=""),"",IF(AND(R37&gt;0,Tabla1[[#This Row],[SEMANAS DE GESTACION ACTUALIZADAS]]&lt;=27),"NO APLICA",IF(AND(ES37&lt;&gt;"",FQ37&lt;&gt;"",GF37&lt;&gt;""),"SI","NO"))))</f>
        <v>NO</v>
      </c>
      <c r="NP37" s="204" t="str">
        <f t="shared" si="240"/>
        <v>II TRIM</v>
      </c>
      <c r="NQ37" s="21">
        <f t="shared" si="241"/>
        <v>3</v>
      </c>
      <c r="NR37" s="21">
        <f t="shared" si="242"/>
        <v>2</v>
      </c>
      <c r="NS37" s="205">
        <f t="shared" ca="1" si="243"/>
        <v>1</v>
      </c>
      <c r="NT37" s="21">
        <f t="shared" ca="1" si="244"/>
        <v>0</v>
      </c>
      <c r="NU37" s="21" t="str">
        <f t="shared" ca="1" si="245"/>
        <v>INCOMPLETO</v>
      </c>
      <c r="NV37" s="21" t="str">
        <f t="shared" ca="1" si="246"/>
        <v>INCOMPLETO</v>
      </c>
      <c r="NW37" s="206" t="str">
        <f>IF(AND(O37="",R37=""),"",IF(OR(AND(Tabla1[[#This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37" s="207" t="str">
        <f t="shared" ca="1" si="247"/>
        <v>SIN VACUNAR</v>
      </c>
      <c r="NY37" s="43">
        <f>ROW(Tabla1[[#This Row],['# DE TAMIZAJES SIFILIS TOMADOS ]])</f>
        <v>37</v>
      </c>
      <c r="NZ37" s="43">
        <f t="shared" si="93"/>
        <v>12</v>
      </c>
      <c r="OA37" s="43" t="str">
        <f t="shared" si="94"/>
        <v/>
      </c>
      <c r="OB37" s="43" t="str">
        <f t="shared" si="95"/>
        <v/>
      </c>
      <c r="OC37" s="43" t="str">
        <f t="shared" si="96"/>
        <v/>
      </c>
      <c r="OD37" s="43" t="str">
        <f t="shared" si="97"/>
        <v>NORMAL</v>
      </c>
      <c r="OE37" s="43" t="str">
        <f t="shared" si="98"/>
        <v/>
      </c>
      <c r="OF37" s="43" t="str">
        <f t="shared" si="99"/>
        <v/>
      </c>
      <c r="OG37" s="43" t="str">
        <f t="shared" si="100"/>
        <v/>
      </c>
      <c r="OH37" s="43" t="str">
        <f t="shared" si="101"/>
        <v/>
      </c>
      <c r="OI37" s="43" t="str">
        <f t="shared" si="102"/>
        <v/>
      </c>
      <c r="OJ37" s="43" t="str">
        <f t="shared" si="103"/>
        <v/>
      </c>
      <c r="OK37" s="43" t="str">
        <f t="shared" si="104"/>
        <v/>
      </c>
      <c r="OL37" s="43" t="str">
        <f t="shared" si="105"/>
        <v/>
      </c>
      <c r="OM37" s="43" t="str">
        <f t="shared" si="106"/>
        <v/>
      </c>
      <c r="ON37" s="43" t="str">
        <f t="shared" si="107"/>
        <v/>
      </c>
      <c r="OO37" s="43" t="str">
        <f t="shared" si="108"/>
        <v/>
      </c>
      <c r="OP37" s="43" t="str">
        <f t="shared" si="109"/>
        <v/>
      </c>
      <c r="OQ37" s="43" t="str">
        <f t="shared" si="110"/>
        <v/>
      </c>
      <c r="OR37" s="43" t="str">
        <f t="shared" si="111"/>
        <v/>
      </c>
      <c r="OS37" s="43" t="str">
        <f t="shared" si="112"/>
        <v/>
      </c>
      <c r="OT37" s="43" t="str">
        <f t="shared" si="113"/>
        <v/>
      </c>
      <c r="OU37" s="43" t="str">
        <f t="shared" si="114"/>
        <v/>
      </c>
      <c r="OV37" s="110" t="str">
        <f t="shared" si="115"/>
        <v/>
      </c>
      <c r="OW37" s="43" t="str">
        <f t="shared" si="116"/>
        <v/>
      </c>
      <c r="OX37" s="43" t="str">
        <f t="shared" si="117"/>
        <v/>
      </c>
      <c r="OY37" s="43" t="str">
        <f t="shared" si="118"/>
        <v/>
      </c>
      <c r="OZ37" s="43" t="str">
        <f t="shared" si="119"/>
        <v/>
      </c>
      <c r="PA37" s="43" t="str">
        <f t="shared" si="120"/>
        <v/>
      </c>
      <c r="PB37" s="43" t="str">
        <f t="shared" si="121"/>
        <v/>
      </c>
      <c r="PC37" s="43" t="str">
        <f t="shared" si="122"/>
        <v/>
      </c>
      <c r="PD37" s="43" t="str">
        <f t="shared" si="123"/>
        <v/>
      </c>
      <c r="PE37" s="43" t="str">
        <f t="shared" si="124"/>
        <v/>
      </c>
      <c r="PF37" s="43" t="str">
        <f t="shared" si="125"/>
        <v/>
      </c>
      <c r="PG37" s="43" t="str">
        <f t="shared" si="126"/>
        <v/>
      </c>
      <c r="PH37" s="43" t="str">
        <f t="shared" si="127"/>
        <v/>
      </c>
      <c r="PI37" s="43">
        <f t="shared" si="128"/>
        <v>39</v>
      </c>
      <c r="PJ37" s="43" t="str">
        <f t="shared" si="129"/>
        <v/>
      </c>
      <c r="PK37" s="43" t="str">
        <f t="shared" si="130"/>
        <v/>
      </c>
      <c r="PL37" s="43" t="str">
        <f t="shared" si="131"/>
        <v/>
      </c>
      <c r="PM37" s="43" t="str">
        <f t="shared" si="132"/>
        <v/>
      </c>
      <c r="PN37" s="43" t="str">
        <f t="shared" si="133"/>
        <v/>
      </c>
      <c r="PO37" s="43" t="str">
        <f t="shared" si="134"/>
        <v/>
      </c>
      <c r="PP37" s="43" t="str">
        <f t="shared" si="135"/>
        <v/>
      </c>
      <c r="PQ37" s="43" t="str">
        <f t="shared" si="136"/>
        <v/>
      </c>
      <c r="PR37" s="43" t="str">
        <f t="shared" si="137"/>
        <v/>
      </c>
      <c r="PS37" s="43" t="str">
        <f t="shared" si="138"/>
        <v/>
      </c>
      <c r="PT37" s="43" t="str">
        <f t="shared" si="139"/>
        <v/>
      </c>
      <c r="PU37" s="43" t="str">
        <f t="shared" si="140"/>
        <v/>
      </c>
      <c r="PV37" s="43" t="str">
        <f t="shared" si="141"/>
        <v/>
      </c>
      <c r="PW37" s="43" t="str">
        <f t="shared" si="142"/>
        <v/>
      </c>
      <c r="PX37" s="43" t="str">
        <f t="shared" si="143"/>
        <v/>
      </c>
      <c r="PY37" s="43" t="str">
        <f t="shared" si="144"/>
        <v/>
      </c>
      <c r="PZ37" s="43" t="str">
        <f t="shared" si="145"/>
        <v/>
      </c>
      <c r="QA37" s="43" t="str">
        <f t="shared" si="146"/>
        <v/>
      </c>
      <c r="QB37" s="43" t="str">
        <f t="shared" si="147"/>
        <v/>
      </c>
      <c r="QC37" s="43" t="str">
        <f t="shared" si="148"/>
        <v/>
      </c>
      <c r="QD37" s="43" t="str">
        <f t="shared" si="149"/>
        <v/>
      </c>
      <c r="QE37" s="43" t="str">
        <f t="shared" si="150"/>
        <v/>
      </c>
      <c r="QF37" s="43" t="str">
        <f t="shared" si="151"/>
        <v/>
      </c>
      <c r="QG37" s="43" t="str">
        <f t="shared" si="152"/>
        <v/>
      </c>
      <c r="QH37" s="43" t="str">
        <f t="shared" si="153"/>
        <v/>
      </c>
      <c r="QI37" s="43" t="str">
        <f t="shared" si="154"/>
        <v/>
      </c>
      <c r="QJ37" s="43" t="str">
        <f t="shared" si="155"/>
        <v/>
      </c>
      <c r="QK37" s="43" t="str">
        <f t="shared" si="156"/>
        <v/>
      </c>
      <c r="QL37" s="43" t="str">
        <f t="shared" si="157"/>
        <v/>
      </c>
      <c r="QM37" s="43" t="str">
        <f t="shared" si="158"/>
        <v/>
      </c>
      <c r="QN37" s="43" t="str">
        <f t="shared" si="159"/>
        <v/>
      </c>
      <c r="QO37" s="43" t="str">
        <f t="shared" si="160"/>
        <v/>
      </c>
      <c r="QP37" s="43" t="str">
        <f t="shared" si="161"/>
        <v/>
      </c>
      <c r="QQ37" s="43" t="str">
        <f t="shared" si="162"/>
        <v/>
      </c>
      <c r="QR37" s="43">
        <f t="shared" si="192"/>
        <v>39</v>
      </c>
      <c r="QS37" s="43"/>
      <c r="QT37" s="21" t="str">
        <f t="shared" si="163"/>
        <v/>
      </c>
      <c r="QU37" s="21" t="str">
        <f t="shared" si="164"/>
        <v/>
      </c>
      <c r="QV37" s="21" t="str">
        <f t="shared" si="165"/>
        <v/>
      </c>
      <c r="QW37" s="21" t="str">
        <f t="shared" si="166"/>
        <v/>
      </c>
      <c r="QX37" s="21" t="str">
        <f t="shared" si="167"/>
        <v/>
      </c>
      <c r="QY37" s="21" t="str">
        <f t="shared" si="168"/>
        <v/>
      </c>
      <c r="QZ37" s="21" t="str">
        <f t="shared" si="169"/>
        <v/>
      </c>
      <c r="RA37" s="21" t="str">
        <f t="shared" si="170"/>
        <v/>
      </c>
      <c r="RB37" s="21" t="str">
        <f t="shared" si="171"/>
        <v/>
      </c>
      <c r="RC37" s="21" t="str">
        <f t="shared" si="172"/>
        <v/>
      </c>
      <c r="RD37" s="21" t="str">
        <f t="shared" si="173"/>
        <v/>
      </c>
      <c r="RE37" s="21" t="str">
        <f t="shared" si="174"/>
        <v/>
      </c>
      <c r="RF37" s="21" t="str">
        <f t="shared" si="175"/>
        <v/>
      </c>
      <c r="RG37" s="21" t="str">
        <f t="shared" si="176"/>
        <v/>
      </c>
      <c r="RH37" s="21" t="str">
        <f t="shared" si="177"/>
        <v/>
      </c>
      <c r="RI37" s="21" t="str">
        <f t="shared" si="178"/>
        <v/>
      </c>
      <c r="RJ37" s="21" t="str">
        <f t="shared" si="179"/>
        <v/>
      </c>
      <c r="RK37" s="21" t="str">
        <f t="shared" si="180"/>
        <v/>
      </c>
      <c r="RL37" s="21" t="str">
        <f t="shared" si="181"/>
        <v/>
      </c>
      <c r="RM37" s="21" t="str">
        <f t="shared" si="182"/>
        <v/>
      </c>
      <c r="RN37" s="21" t="str">
        <f t="shared" si="183"/>
        <v/>
      </c>
      <c r="RO37" s="21" t="str">
        <f t="shared" si="184"/>
        <v/>
      </c>
      <c r="RP37" s="21" t="str">
        <f t="shared" si="185"/>
        <v/>
      </c>
      <c r="RQ37" s="21" t="str">
        <f t="shared" si="186"/>
        <v/>
      </c>
      <c r="RR37" s="21" t="str">
        <f t="shared" si="187"/>
        <v/>
      </c>
      <c r="RS37" s="21" t="str">
        <f t="shared" si="188"/>
        <v/>
      </c>
      <c r="RT37" s="21" t="str">
        <f t="shared" si="189"/>
        <v/>
      </c>
      <c r="RU37" s="21" t="str">
        <f t="shared" si="190"/>
        <v/>
      </c>
      <c r="RV37" s="21">
        <f t="shared" si="191"/>
        <v>-1</v>
      </c>
      <c r="RW37" s="284">
        <f>IF(OR(Tabla1[[#This Row],[FUM FORMULA CONFIABLE]]="",Tabla1[[#This Row],[FUM FORMULA CONFIABLE]]="SD"),"",IF(Tabla1[[#This Row],[FUM FORMULA CONFIABLE]]="CORREGIDA",Tabla1[[#This Row],[FUM X ECO 1]],Tabla1[[#This Row],[FUM x AMENORREA]]))</f>
        <v>44769</v>
      </c>
      <c r="RX37" s="21">
        <f>IF(AND(Tabla1[[#This Row],[FUM X ECO 1]]="",Tabla1[[#This Row],[FUM x AMENORREA]]=""),"",IF(AND(Tabla1[[#This Row],[FUM X ECO 1]]="",Tabla1[[#This Row],[FUM x AMENORREA]]&lt;&gt;""),"X",SUM(Tabla1[[#This Row],[FUM X ECO 1]]-Tabla1[[#This Row],[FUM x AMENORREA]])))</f>
        <v>0.59999999999854481</v>
      </c>
      <c r="RY37" s="21">
        <f t="shared" si="193"/>
        <v>0</v>
      </c>
    </row>
    <row r="38" spans="1:493" ht="45" customHeight="1" x14ac:dyDescent="0.25">
      <c r="A38" s="109"/>
      <c r="B38" s="43" t="s">
        <v>1062</v>
      </c>
      <c r="C38" s="43" t="s">
        <v>845</v>
      </c>
      <c r="D38" s="124" t="s">
        <v>846</v>
      </c>
      <c r="E38" s="43" t="s">
        <v>848</v>
      </c>
      <c r="F38" s="43"/>
      <c r="G38" s="43" t="s">
        <v>1063</v>
      </c>
      <c r="H38" s="43"/>
      <c r="I38" s="109" t="s">
        <v>851</v>
      </c>
      <c r="J38" s="110">
        <v>1059598027</v>
      </c>
      <c r="K38" s="43" t="s">
        <v>852</v>
      </c>
      <c r="L38" s="175" t="s">
        <v>853</v>
      </c>
      <c r="M38" s="22">
        <v>32872</v>
      </c>
      <c r="N38" s="213">
        <f t="shared" ca="1" si="0"/>
        <v>33.863013698630134</v>
      </c>
      <c r="O38" s="22">
        <v>44856</v>
      </c>
      <c r="P38" s="214" t="str">
        <f t="shared" si="194"/>
        <v>SI</v>
      </c>
      <c r="Q38" s="26" t="s">
        <v>855</v>
      </c>
      <c r="R38" s="22">
        <v>44856</v>
      </c>
      <c r="S38" s="21" t="s">
        <v>856</v>
      </c>
      <c r="T38" s="24" t="s">
        <v>690</v>
      </c>
      <c r="U38" s="21" t="s">
        <v>857</v>
      </c>
      <c r="V38" s="21" t="s">
        <v>858</v>
      </c>
      <c r="W38" s="21" t="s">
        <v>1064</v>
      </c>
      <c r="X38" s="21" t="s">
        <v>1064</v>
      </c>
      <c r="Y38" s="21" t="s">
        <v>859</v>
      </c>
      <c r="Z38" s="21">
        <v>3176972636</v>
      </c>
      <c r="AA38" s="21" t="s">
        <v>860</v>
      </c>
      <c r="AB38" s="27" t="s">
        <v>861</v>
      </c>
      <c r="AC38" s="26" t="s">
        <v>862</v>
      </c>
      <c r="AD38" s="38" t="s">
        <v>846</v>
      </c>
      <c r="AE38" s="26" t="s">
        <v>1065</v>
      </c>
      <c r="AF38" s="26" t="s">
        <v>854</v>
      </c>
      <c r="AG38" s="23" t="s">
        <v>864</v>
      </c>
      <c r="AH38" s="23" t="s">
        <v>864</v>
      </c>
      <c r="AI38" s="24" t="s">
        <v>863</v>
      </c>
      <c r="AJ38" s="23" t="s">
        <v>864</v>
      </c>
      <c r="AK38" s="220" t="str">
        <f>IF(AND(AD38="",AE38="",AF38="",AG38="",AH38="",AI38="",AJ38=""),"",IF(OR(Tabla1[[#This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EVALUACIÓN",IF(AND(O38="",R38=""),"",IF(AND(OR(O38&gt;0,R38&gt;0),NG38&gt;=0,NG38&lt;2),"SIN RIESGO",IF(AND(OR(O38&gt;0,R38&gt;0),NG38&gt;=2),"CON RIESGO","ASD")))))</f>
        <v>SIN RIESGO</v>
      </c>
      <c r="AL38" s="23" t="s">
        <v>864</v>
      </c>
      <c r="AM38" s="26" t="s">
        <v>864</v>
      </c>
      <c r="AN38" s="26" t="s">
        <v>864</v>
      </c>
      <c r="AO38" s="26" t="s">
        <v>864</v>
      </c>
      <c r="AP38" s="26" t="s">
        <v>864</v>
      </c>
      <c r="AQ38" s="26" t="s">
        <v>864</v>
      </c>
      <c r="AR38" s="26" t="s">
        <v>864</v>
      </c>
      <c r="AS38" s="21">
        <v>3</v>
      </c>
      <c r="AT38" s="21">
        <v>3</v>
      </c>
      <c r="AU38" s="21">
        <v>0</v>
      </c>
      <c r="AV38" s="26" t="s">
        <v>864</v>
      </c>
      <c r="AW38" s="21">
        <v>0</v>
      </c>
      <c r="AX38" s="26" t="s">
        <v>864</v>
      </c>
      <c r="AY38" s="26" t="s">
        <v>864</v>
      </c>
      <c r="AZ38" s="26" t="s">
        <v>864</v>
      </c>
      <c r="BA38" s="26" t="s">
        <v>864</v>
      </c>
      <c r="BB38" s="26" t="s">
        <v>864</v>
      </c>
      <c r="BC38" s="26" t="s">
        <v>864</v>
      </c>
      <c r="BD38" s="26" t="s">
        <v>864</v>
      </c>
      <c r="BE38" s="26" t="s">
        <v>864</v>
      </c>
      <c r="BF38" s="26" t="s">
        <v>864</v>
      </c>
      <c r="BG38" s="26" t="s">
        <v>864</v>
      </c>
      <c r="BH38" s="26" t="s">
        <v>864</v>
      </c>
      <c r="BI38" s="26" t="s">
        <v>864</v>
      </c>
      <c r="BJ38" s="26"/>
      <c r="BK38" s="26"/>
      <c r="BL38" s="26" t="s">
        <v>864</v>
      </c>
      <c r="BM38" s="26" t="s">
        <v>864</v>
      </c>
      <c r="BN38" s="22"/>
      <c r="BO38" s="22">
        <v>44721</v>
      </c>
      <c r="BP38" s="21" t="s">
        <v>854</v>
      </c>
      <c r="BQ38" s="222">
        <f t="shared" si="2"/>
        <v>0</v>
      </c>
      <c r="BR38" s="223">
        <f t="shared" si="3"/>
        <v>44785.8</v>
      </c>
      <c r="BS38" s="224">
        <f t="shared" si="4"/>
        <v>19.285714285714285</v>
      </c>
      <c r="BT38" s="216" t="str">
        <f t="shared" si="5"/>
        <v>II TRIM</v>
      </c>
      <c r="BU38" s="214" t="str">
        <f t="shared" ca="1" si="6"/>
        <v/>
      </c>
      <c r="BV38" s="25" t="s">
        <v>988</v>
      </c>
      <c r="BW38" s="22">
        <v>45028</v>
      </c>
      <c r="BX38" s="28">
        <v>34.6</v>
      </c>
      <c r="BY38" s="28"/>
      <c r="BZ38" s="22">
        <v>45051</v>
      </c>
      <c r="CA38" s="21">
        <v>38.200000000000003</v>
      </c>
      <c r="CB38" s="26" t="s">
        <v>864</v>
      </c>
      <c r="CC38" s="26" t="s">
        <v>864</v>
      </c>
      <c r="CD38" s="26" t="s">
        <v>878</v>
      </c>
      <c r="CE38" s="26" t="s">
        <v>864</v>
      </c>
      <c r="CF38" s="22" t="s">
        <v>1517</v>
      </c>
      <c r="CG38" s="21">
        <v>1.51</v>
      </c>
      <c r="CH38" s="21">
        <v>58</v>
      </c>
      <c r="CI38" s="214">
        <f t="shared" si="7"/>
        <v>25.437480812245077</v>
      </c>
      <c r="CJ38" s="225" t="e">
        <f>IF(AND(CI38&lt;10,CH38="SD"),"SIN DATO PESO PREGESTACION O I TRIM",IF(AND(OR(R38&gt;0,O38&gt;0),CI38="X"),"INGRESAR DATO DE PESO",IF(CI38="SD","INGRESAR DATO DE TALLA Y PESO",IF(AND(OR(Tabla1[[#This Row],[MOMENTO EN QUE SE REALIZA EL PESO AL INGRESO A CPN]]="PREGESTACIÓN",NZ38="Menor"),CI38&lt;18.5),"BAJO PESO",IF(AND(OR(Tabla1[[#This Row],[MOMENTO EN QUE SE REALIZA EL PESO AL INGRESO A CPN]]="PREGESTACIÓN",NZ38="Menor"),CI38&lt;25),"NORMAL",IF(AND(OR(Tabla1[[#This Row],[MOMENTO EN QUE SE REALIZA EL PESO AL INGRESO A CPN]]="PREGESTACIÓN",NZ38="Menor"),CI38&lt;30),"SOBREPESO",IF(AND(OR(Tabla1[[#This Row],[MOMENTO EN QUE SE REALIZA EL PESO AL INGRESO A CPN]]="PREGESTACIÓN",NZ38="Menor"),CI38&gt;=30,CI38&lt;50),"OBESIDAD",IF(AND(BS38&gt;0,Tabla1[[#This Row],[MOMENTO EN QUE SE REALIZA EL PESO AL INGRESO A CPN]]="GESTACIÓN"),HLOOKUP(NZ38,$OA$2:PH38,NY38),""))))))))</f>
        <v>#REF!</v>
      </c>
      <c r="CK38" s="212">
        <f t="shared" si="8"/>
        <v>45052</v>
      </c>
      <c r="CL38" s="21">
        <v>64</v>
      </c>
      <c r="CM38" s="214">
        <f t="shared" si="9"/>
        <v>28.068944344546292</v>
      </c>
      <c r="CN38" s="216">
        <f t="shared" si="10"/>
        <v>47</v>
      </c>
      <c r="CO38" s="216" t="e">
        <f>IF(PI38="","",IF(PI38&gt;0,HLOOKUP(PI38,$PJ$2:QQ38,NY38),""))</f>
        <v>#REF!</v>
      </c>
      <c r="CP38" s="21"/>
      <c r="CQ38" s="216" t="e">
        <f>IF(QR38="Menor","NO APLICA-MENOR 13 SEM",IF(AND(CC38="SI",CN38&gt;23),"NO APLICA- GEMELAR",IF(QR38="","",IF(QR38&gt;0,HLOOKUP(QR38,$QS$2:RU38,NY38),""))))</f>
        <v>#REF!</v>
      </c>
      <c r="CR38" s="21">
        <v>110</v>
      </c>
      <c r="CS38" s="21">
        <v>60</v>
      </c>
      <c r="CT38" s="217" t="str">
        <f>IF(R38="","",IF(AND(BS38&gt;1,BS38&lt;12,Tabla1[[#This Row],[T.A. SISTOLICA - ANTES DE SEMANA 12]]="",Tabla1[[#This Row],[T.A. DIASTOLICA - ANTES DE SEMANA 12]]=""),"REGISTRE DATO TA ANTES SEMANA 12",IF(AND(BS38&gt;11,BS38&lt;43,Tabla1[[#This Row],[T.A. SISTOLICA - ANTES DE SEMANA 12]]="",Tabla1[[#This Row],[T.A. DIASTOLICA - ANTES DE SEMANA 12]]=""),"NO APLICA REGISTRO TA-INGRESO TARDIO",IF(AND(OR(O38&gt;0,R38&gt;0),OR(CR38&gt;=140,CS38&gt;=90)),"DEFINIR ESTADIO HTA",IF(AND(OR(O38&gt;0,R38&gt;0),AND(CR38&gt;120,CR38&lt;=139)),"PRE HTA SEGUIMIENTO",IF(AND(OR(O38&gt;0,R38&gt;0),AND(CS38&gt;80,CS38&lt;=89)),"PRE HTA SEGUIMIENTO",IF(AND(OR(O38&gt;0,R38&gt;0),AND(CR38&gt;=80,CR38&lt;=120)),"APARENTEMENTE NORMAL",IF(AND(OR(O38&gt;0,R38&gt;0),AND(CS38&gt;=50,CS38&lt;=80)),"APARENTEMENTE NORMAL",IF(AND(OR(O38&gt;0,R38&gt;0),AND(CR38&gt;1,CR38&lt;=70),AND(CS38&gt;1,CS38&lt;=40)),"HIPOTENSIÓN","")))))))))</f>
        <v>APARENTEMENTE NORMAL</v>
      </c>
      <c r="CU38" s="21"/>
      <c r="CV38" s="21"/>
      <c r="CW38" s="217" t="str">
        <f ca="1">IF(R38="","",IF(AND(CN38&gt;19,CN38&lt;27,Tabla1[[#This Row],[T.A. SISTOLICA (Entre semana 20 y 26)]]="",Tabla1[[#This Row],[T.A. DIATOLICA (Entre semana 20 y 26)]]=""),"ACUDE A CONTROL SEM 20 A 26 REGISTRE TA AHORA",IF(AND(BS38&gt;1,BS38&lt;27,BU38&gt;19,Tabla1[[#This Row],[T.A. SISTOLICA (Entre semana 20 y 26)]]="",Tabla1[[#This Row],[T.A. DIATOLICA (Entre semana 20 y 26)]]=""),"COMPLETE REGISTRO TA CONTROL SEM 20 A26 ",IF(AND(BS38&gt;26,BS38&lt;43,Tabla1[[#This Row],[T.A. SISTOLICA (Entre semana 20 y 26)]]="",Tabla1[[#This Row],[T.A. DIATOLICA (Entre semana 20 y 26)]]=""),"NO APLICA REGISTRO TA-INGRESO TARDIO",IF(AND(OR(O38&gt;0,R38&gt;0),OR(CU38&gt;=140,CV38&gt;=90)),"ALTO RIESGO PREECLAMPSIA,DEFINIR ESTADIO HTA",IF(AND(OR(O38&gt;0,R38&gt;0),AND(CU38&gt;120,CU38&lt;=139)),"PRE HTA SEGUIMIENTO,RIESGO HIPERTENSION INDUCIDA POR EL EMBARAZO",IF(AND(OR(O38&gt;0,R38&gt;0),AND(CV38&gt;80,CV38&lt;=89)),"PRE HTA SEGUIMIENTO, RIESGO HIPERTENSION INDUCIDA POR EL EMBARAZO",IF(AND(OR(O38&lt;&gt;"",R38&lt;&gt;""),CS38&lt;&gt;"",CV38&lt;&gt;"",CS38&lt;=CV38),"VIGILAR CIFRAS PRESION ARTERIAL",IF(AND(OR(O38&gt;0,R38&gt;0),AND(CU38&gt;120,CU38&lt;=139)),"PRE HTA SEGUIMIENTO",IF(AND(OR(O38&gt;0,R38&gt;0),AND(CU38&gt;1,CU38&lt;=70),AND(CV38&gt;1,CV38&lt;=40)),"HIPOTENSIÓN",IF(AND(OR(O38&lt;&gt;"",R38&lt;&gt;""),CS38&lt;&gt;"",CV38&lt;&gt;"",CS38&gt;CV38),"APARENTEMENTE NORMAL",IF(AND(OR(O38&gt;0,R38&gt;0),AND(CU38&gt;=80,CU38&lt;=120)),"APARENTEMENTE NORMAL",IF(AND(OR(O38&gt;0,R38&gt;0),AND(CV38&gt;=50,CV38&lt;=80)),"APARENTEMENTE NORMAL","")))))))))))))</f>
        <v xml:space="preserve">COMPLETE REGISTRO TA CONTROL SEM 20 A26 </v>
      </c>
      <c r="CX38" s="21">
        <v>110</v>
      </c>
      <c r="CY38" s="21">
        <v>80</v>
      </c>
      <c r="CZ38" s="216" t="str">
        <f t="shared" si="195"/>
        <v>VIGILAR CIFRAS PRESION ARTERIAL</v>
      </c>
      <c r="DA38" s="21">
        <v>100</v>
      </c>
      <c r="DB38" s="21">
        <v>70</v>
      </c>
      <c r="DC38" s="217" t="str">
        <f t="shared" si="12"/>
        <v>APARENTEMENTE NORMAL</v>
      </c>
      <c r="DD38" s="22">
        <v>44856</v>
      </c>
      <c r="DE38" s="22">
        <v>44856</v>
      </c>
      <c r="DF38" s="22">
        <v>44888</v>
      </c>
      <c r="DG38" s="22">
        <v>44968</v>
      </c>
      <c r="DH38" s="22">
        <v>45008</v>
      </c>
      <c r="DI38" s="22">
        <v>45038</v>
      </c>
      <c r="DJ38" s="22">
        <v>45052</v>
      </c>
      <c r="DK38" s="22"/>
      <c r="DL38" s="22"/>
      <c r="DM38" s="22"/>
      <c r="DN38" s="22"/>
      <c r="DO38" s="22"/>
      <c r="DP38" s="22"/>
      <c r="DQ38" s="22"/>
      <c r="DR38" s="28">
        <v>2</v>
      </c>
      <c r="DS38" s="22"/>
      <c r="DT38" s="22"/>
      <c r="DU38" s="216" t="str">
        <f t="shared" ca="1" si="196"/>
        <v>SALE SIN PLAN DE PARTO</v>
      </c>
      <c r="DV38" s="226" t="str">
        <f t="shared" si="197"/>
        <v>SALIO PROGRAMA</v>
      </c>
      <c r="DW38"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38" s="216" t="str">
        <f t="shared" ca="1" si="15"/>
        <v/>
      </c>
      <c r="DY38" s="212">
        <f>IF(R38="","",IF(R38&gt;0,MAX(Tabla1[[#This Row],[FECHA C2]:[FECHA C13]],Tabla1[[#This Row],[FECHA CONSULTA PRIMERA VEZ PROGRAMA CPN ]])))</f>
        <v>45052</v>
      </c>
      <c r="DZ38" s="216">
        <f t="shared" si="16"/>
        <v>47</v>
      </c>
      <c r="EA38" s="222">
        <f>IF(R38&gt;0,SUM(COUNTA(DF38:DQ38)+COUNTA(Tabla1[[#This Row],[FECHA CONSULTA PRIMERA VEZ PROGRAMA CPN ]])),"")</f>
        <v>6</v>
      </c>
      <c r="EB38" s="222" t="str">
        <f t="shared" si="17"/>
        <v>SI</v>
      </c>
      <c r="EC38" s="214">
        <f t="shared" si="18"/>
        <v>7</v>
      </c>
      <c r="ED38" s="227">
        <f t="shared" si="19"/>
        <v>0.8571428571428571</v>
      </c>
      <c r="EE38" s="22">
        <v>44856</v>
      </c>
      <c r="EF38" s="22">
        <v>44835</v>
      </c>
      <c r="EG38" s="22">
        <v>44856</v>
      </c>
      <c r="EH38" s="22"/>
      <c r="EI38" s="22">
        <v>45008</v>
      </c>
      <c r="EJ38" s="22"/>
      <c r="EK38" s="22"/>
      <c r="EL38" s="21"/>
      <c r="EM38" s="21">
        <v>13.6</v>
      </c>
      <c r="EN38" s="22">
        <v>44856</v>
      </c>
      <c r="EO38" s="222">
        <f t="shared" si="20"/>
        <v>19.285714285714285</v>
      </c>
      <c r="EP38" s="214" t="str">
        <f t="shared" si="21"/>
        <v>NORMAL- SUMINISTRAR SULFATO FERROSO</v>
      </c>
      <c r="EQ38" s="216" t="str">
        <f t="shared" si="22"/>
        <v>II TRIM</v>
      </c>
      <c r="ER38" s="24"/>
      <c r="ES38" s="22"/>
      <c r="ET38" s="29" t="str">
        <f t="shared" ca="1" si="198"/>
        <v>TOMA DE HEMOGLOBINA TARDÍA</v>
      </c>
      <c r="EU38" s="25" t="str">
        <f t="shared" si="24"/>
        <v/>
      </c>
      <c r="EV38" s="24" t="s">
        <v>866</v>
      </c>
      <c r="EW38" s="24">
        <v>44856</v>
      </c>
      <c r="EX38" s="22"/>
      <c r="EY38" s="29">
        <f t="shared" si="199"/>
        <v>19.285714285714285</v>
      </c>
      <c r="EZ38" s="25" t="str">
        <f t="shared" ca="1" si="200"/>
        <v/>
      </c>
      <c r="FA38" s="21">
        <v>78</v>
      </c>
      <c r="FB38" s="22">
        <v>44856</v>
      </c>
      <c r="FC38" s="29">
        <f t="shared" si="27"/>
        <v>19.285714285714285</v>
      </c>
      <c r="FD38" s="29"/>
      <c r="FE38" s="29"/>
      <c r="FF38" s="29"/>
      <c r="FG38" s="21" t="str">
        <f t="shared" ca="1" si="28"/>
        <v/>
      </c>
      <c r="FH38" s="31"/>
      <c r="FI38" s="29" t="str">
        <f t="shared" si="29"/>
        <v>TOMAR EXAMEN</v>
      </c>
      <c r="FJ38" s="22"/>
      <c r="FK38" s="22"/>
      <c r="FL38" s="29" t="str">
        <f t="shared" ca="1" si="30"/>
        <v>NO APLICA-INGRESO TARDIO</v>
      </c>
      <c r="FM38" s="22" t="s">
        <v>867</v>
      </c>
      <c r="FN38" s="32">
        <v>44856</v>
      </c>
      <c r="FO38" s="29">
        <f t="shared" ca="1" si="201"/>
        <v>19.285714285714285</v>
      </c>
      <c r="FP38" s="22" t="s">
        <v>867</v>
      </c>
      <c r="FQ38" s="32">
        <v>45038</v>
      </c>
      <c r="FR38" s="29">
        <f t="shared" ca="1" si="202"/>
        <v>45.285714285714285</v>
      </c>
      <c r="FS38" s="22"/>
      <c r="FT38" s="32"/>
      <c r="FU38" s="29" t="str">
        <f>IF(AND(FJ38="",FM38="",FP38="",FS38=""),"",IF(OR(OR(Tabla1[[#This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38" s="28"/>
      <c r="FW38" s="22"/>
      <c r="FX38" s="29" t="str">
        <f t="shared" si="33"/>
        <v>TOMAR EXAMEN</v>
      </c>
      <c r="FY38" s="22">
        <v>44856</v>
      </c>
      <c r="FZ38" s="22">
        <v>44856</v>
      </c>
      <c r="GA38" s="29" t="str">
        <f t="shared" si="203"/>
        <v>REGISTRAR EN II TRIMESTRE</v>
      </c>
      <c r="GB38" s="22" t="s">
        <v>868</v>
      </c>
      <c r="GC38" s="22">
        <v>44856</v>
      </c>
      <c r="GD38" s="29">
        <f t="shared" ca="1" si="204"/>
        <v>19.285714285714285</v>
      </c>
      <c r="GE38" s="22" t="s">
        <v>868</v>
      </c>
      <c r="GF38" s="22">
        <v>45038</v>
      </c>
      <c r="GG38" s="29">
        <f t="shared" ca="1" si="205"/>
        <v>45.285714285714285</v>
      </c>
      <c r="GH38" s="22"/>
      <c r="GI38" s="29"/>
      <c r="GJ38" s="22"/>
      <c r="GK38" s="22"/>
      <c r="GL38" s="22" t="s">
        <v>879</v>
      </c>
      <c r="GM38" s="22"/>
      <c r="GN38" s="28" t="s">
        <v>869</v>
      </c>
      <c r="GO38" s="22">
        <v>44856</v>
      </c>
      <c r="GP38" s="29">
        <f t="shared" si="37"/>
        <v>19.285714285714285</v>
      </c>
      <c r="GQ38" s="28" t="s">
        <v>869</v>
      </c>
      <c r="GR38" s="28" t="s">
        <v>869</v>
      </c>
      <c r="GS38" s="22" t="str">
        <f t="shared" si="206"/>
        <v>CONTROL Igm</v>
      </c>
      <c r="GT38" s="22">
        <v>44856</v>
      </c>
      <c r="GU38" s="29">
        <f t="shared" si="39"/>
        <v>19.285714285714285</v>
      </c>
      <c r="GV38" s="21" t="str">
        <f t="shared" si="40"/>
        <v>II TRIM</v>
      </c>
      <c r="GW38" s="28" t="s">
        <v>869</v>
      </c>
      <c r="GX38" s="30"/>
      <c r="GY38" s="21"/>
      <c r="GZ38" s="21"/>
      <c r="HA38" s="21"/>
      <c r="HB38" s="21"/>
      <c r="HC38" s="21"/>
      <c r="HD38" s="21"/>
      <c r="HE38" s="21"/>
      <c r="HF38" s="22"/>
      <c r="HG38" s="22" t="str">
        <f>IF(OR(O38&gt;0,R38&gt;0),CONCATENATE(IF(Tabla1[[#This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38" s="22" t="e">
        <f t="shared" si="41"/>
        <v>#REF!</v>
      </c>
      <c r="HI38" s="22" t="e">
        <f t="shared" ca="1" si="42"/>
        <v>#REF!</v>
      </c>
      <c r="HJ38" s="21" t="str">
        <f t="shared" ca="1" si="43"/>
        <v>***************************************</v>
      </c>
      <c r="HK38" s="21" t="str">
        <f t="shared" si="44"/>
        <v>SIN ANTECEDENTES DE RIESGO</v>
      </c>
      <c r="HL38" s="24" t="str">
        <f t="shared" si="45"/>
        <v>APARENTEMENTE NORMAL</v>
      </c>
      <c r="HM38" s="21" t="str">
        <f t="shared" ca="1" si="46"/>
        <v/>
      </c>
      <c r="HN38" s="30" t="str">
        <f t="shared" si="207"/>
        <v>SALIO PROGRAMA</v>
      </c>
      <c r="HO38" s="21"/>
      <c r="HP38" s="21"/>
      <c r="HQ38" s="21">
        <v>44856</v>
      </c>
      <c r="HR38" s="21" t="str">
        <f>IF(R38="","",IF(Tabla1[[#This Row],[ALARMA FACTORES DE RIESGO COMPLICACIONES HIPERTENSIVAS3]]="SIN ANTECEDENTES DE RIESGO","No Aplica para suministro de ASA",IF(AND(Tabla1[[#This Row],[FECHA INICIO DE SUMINISTRO DE ASA]]&gt;0,RV38&lt;12),"Inicia ASA ANTES de Sem 12",IF(AND(RV38&gt;11,RV38&lt;17,OR(HK38="RIESGO ALTO DE COMPLICACIONES HIPERTENSIVAS VER MANEJO GUIA SUMINISTRO ASA Y CALCIO",HK38="RIESGO MODERADO (2 O MAS CRITERIOS) VER MANEJO GUIA SUMINISTRO ASA Y CALCIO")),"Inicio oportuno de ASA",IF(AND(RV38&gt;12,OR(HK38="RIESGO ALTO DE COMPLICACIONES HIPERTENSIVAS VER MANEJO GUIA SUMINISTRO ASA Y CALCIO",HK38="RIESGO MODERADO (2 O MAS CRITERIOS) VER MANEJO GUIA SUMINISTRO ASA Y CALCIO")),"Inicio no oportuno mayor a 16 semanas",IF(AND(BU38&lt;12,OR(HK38="RIESGO ALTO DE COMPLICACIONES HIPERTENSIVAS VER MANEJO GUIA SUMINISTRO ASA Y CALCIO",HK38="RIESGO MODERADO (2 O MAS CRITERIOS) VER MANEJO GUIA SUMINISTRO ASA Y CALCIO")),"Pendiente Inicio de ASA a la semana 12",IF(AND(BU38&gt;11,BU38&lt;17,OR(HK38="RIESGO ALTO DE COMPLICACIONES HIPERTENSIVAS VER MANEJO GUIA SUMINISTRO ASA Y CALCIO",HK38="RIESGO MODERADO (2 O MAS CRITERIOS) VER MANEJO GUIA SUMINISTRO ASA Y CALCIO")),"Iniciar de inmediato ASA",IF(AND(BU38&gt;16,OR(HK38="RIESGO ALTO DE COMPLICACIONES HIPERTENSIVAS VER MANEJO GUIA SUMINISTRO ASA Y CALCIO",HK38="RIESGO MODERADO (2 O MAS CRITERIOS) VER MANEJO GUIA SUMINISTRO ASA Y CALCIO")),"Pierde Oportunidad, Inicio tardío de ASA","XXXXX"))))))))</f>
        <v>No Aplica para suministro de ASA</v>
      </c>
      <c r="HS38" s="22">
        <v>44856</v>
      </c>
      <c r="HT38" s="22" t="s">
        <v>870</v>
      </c>
      <c r="HU38" s="22"/>
      <c r="HV38" s="22"/>
      <c r="HW38" s="22">
        <v>44856</v>
      </c>
      <c r="HX38" s="22" t="s">
        <v>870</v>
      </c>
      <c r="HY38" s="22">
        <v>44856</v>
      </c>
      <c r="HZ38" s="28">
        <f t="shared" si="48"/>
        <v>19.285714285714285</v>
      </c>
      <c r="IA38" s="26" t="s">
        <v>864</v>
      </c>
      <c r="IB38" s="26"/>
      <c r="IC38" s="111"/>
      <c r="ID38" s="22">
        <v>45038</v>
      </c>
      <c r="IE38" s="22" t="str">
        <f t="shared" ca="1" si="49"/>
        <v>VACUNA APLICADA ENTRE SEMANA 27 Y EL PARTO</v>
      </c>
      <c r="IF38" s="22"/>
      <c r="IG38" s="22">
        <f t="shared" si="50"/>
        <v>45001</v>
      </c>
      <c r="IH38" s="29">
        <f t="shared" ca="1" si="51"/>
        <v>-231</v>
      </c>
      <c r="II38" s="22" t="str">
        <f t="shared" ca="1" si="52"/>
        <v>POSIBLEMENTE NACIO</v>
      </c>
      <c r="IJ38" s="22"/>
      <c r="IK38" s="21" t="s">
        <v>898</v>
      </c>
      <c r="IL38" s="21"/>
      <c r="IM38" s="34"/>
      <c r="IN38" s="349">
        <v>45055</v>
      </c>
      <c r="IO38" s="21" t="s">
        <v>1186</v>
      </c>
      <c r="IP38" s="29">
        <f t="shared" si="208"/>
        <v>47.714285714285715</v>
      </c>
      <c r="IQ38" s="110" t="s">
        <v>1644</v>
      </c>
      <c r="IR38" s="21" t="s">
        <v>1645</v>
      </c>
      <c r="IS38" s="21" t="s">
        <v>1646</v>
      </c>
      <c r="IT38" s="21" t="s">
        <v>1642</v>
      </c>
      <c r="IU38" s="21"/>
      <c r="IV38" s="21"/>
      <c r="IW38" s="21"/>
      <c r="IX38" s="21"/>
      <c r="IY38" s="21"/>
      <c r="IZ38" s="21"/>
      <c r="JA38" s="21"/>
      <c r="JB38" s="30">
        <v>1</v>
      </c>
      <c r="JC38" s="21" t="s">
        <v>1643</v>
      </c>
      <c r="JD38" s="36">
        <v>3280</v>
      </c>
      <c r="JE38" s="21" t="str">
        <f t="shared" si="209"/>
        <v>PESO ADECUADO EDAD GESTACIONAL</v>
      </c>
      <c r="JF38" s="30"/>
      <c r="JG38" s="21"/>
      <c r="JH38" s="21"/>
      <c r="JI38" s="21" t="s">
        <v>854</v>
      </c>
      <c r="JJ38" s="30" t="s">
        <v>866</v>
      </c>
      <c r="JK38" s="22"/>
      <c r="JL38" s="22"/>
      <c r="JM38" s="21"/>
      <c r="JN38" s="36"/>
      <c r="JO38" s="21" t="str">
        <f t="shared" si="210"/>
        <v/>
      </c>
      <c r="JP38" s="22"/>
      <c r="JQ38" s="21"/>
      <c r="JR38" s="21"/>
      <c r="JS38" s="21"/>
      <c r="JT38" s="30"/>
      <c r="JU38" s="22"/>
      <c r="JV38" s="22"/>
      <c r="JW38" s="33"/>
      <c r="JX38" s="28" t="str">
        <f t="shared" si="211"/>
        <v>INASISTENTE</v>
      </c>
      <c r="JY38" s="33"/>
      <c r="JZ38" s="28" t="str">
        <f t="shared" si="212"/>
        <v>INASISTENTE</v>
      </c>
      <c r="KA38" s="21"/>
      <c r="KB38" s="21"/>
      <c r="KC38" s="21"/>
      <c r="KD38" s="37"/>
      <c r="KE38" s="28"/>
      <c r="KF38" s="28"/>
      <c r="KG38" s="28"/>
      <c r="KH38" s="39"/>
      <c r="KI38" s="39"/>
      <c r="KJ38" s="66"/>
      <c r="KK38" s="39"/>
      <c r="KL38" s="39"/>
      <c r="KM38" s="66"/>
      <c r="KN38" s="39"/>
      <c r="KO38" s="39"/>
      <c r="KP38" s="39"/>
      <c r="KQ38" s="39"/>
      <c r="KR38" s="39"/>
      <c r="KS38" s="39"/>
      <c r="KT38" s="39"/>
      <c r="KU38" s="38"/>
      <c r="KV38" s="38"/>
      <c r="KW38" s="38"/>
      <c r="KX38" s="38"/>
      <c r="KY38" s="38"/>
      <c r="KZ38" s="38"/>
      <c r="LA38" s="38"/>
      <c r="LB38" s="38"/>
      <c r="LC38" s="38"/>
      <c r="LD38" s="38"/>
      <c r="LE38" s="38"/>
      <c r="LF38" s="38"/>
      <c r="LG38" s="38"/>
      <c r="LH38" s="38"/>
      <c r="LI38" s="38"/>
      <c r="LJ38" s="38"/>
      <c r="LK38" s="38"/>
      <c r="LL38" s="38"/>
      <c r="LM38" s="38"/>
      <c r="LN38" s="38"/>
      <c r="LO38" s="38"/>
      <c r="LP38" s="38"/>
      <c r="LQ38" s="38"/>
      <c r="LR38" s="38"/>
      <c r="LS38" s="38"/>
      <c r="LT38" s="38"/>
      <c r="LU38" s="38"/>
      <c r="LV38" s="38"/>
      <c r="LW38" s="38"/>
      <c r="LX38" s="38"/>
      <c r="LY38" s="38"/>
      <c r="LZ38" s="38"/>
      <c r="MA38" s="38"/>
      <c r="MB38" s="38"/>
      <c r="MC38" s="38"/>
      <c r="MD38" s="38"/>
      <c r="ME38" s="38"/>
      <c r="MF38" s="38"/>
      <c r="MG38" s="38"/>
      <c r="MH38" s="43">
        <f t="shared" si="213"/>
        <v>0</v>
      </c>
      <c r="MI38" s="43" t="str">
        <f t="shared" si="214"/>
        <v/>
      </c>
      <c r="MJ38" s="43" t="str">
        <f t="shared" si="215"/>
        <v/>
      </c>
      <c r="MK38" s="43">
        <f t="shared" si="216"/>
        <v>0</v>
      </c>
      <c r="ML3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38" s="43">
        <f t="shared" si="217"/>
        <v>19.285714285714285</v>
      </c>
      <c r="MN38" s="43">
        <f t="shared" si="218"/>
        <v>10</v>
      </c>
      <c r="MO38" s="43">
        <f t="shared" si="219"/>
        <v>2022</v>
      </c>
      <c r="MP38" s="43" t="str">
        <f t="shared" si="220"/>
        <v>IV TRIMESTRE AÑO</v>
      </c>
      <c r="MQ38" s="43">
        <f t="shared" si="221"/>
        <v>32.336837494524751</v>
      </c>
      <c r="MR38" s="43">
        <f t="shared" si="222"/>
        <v>0</v>
      </c>
      <c r="MS38" s="43" t="str">
        <f t="shared" si="223"/>
        <v xml:space="preserve"> DE 30 A 34 AÑOS</v>
      </c>
      <c r="MT38" s="43">
        <f t="shared" si="224"/>
        <v>0</v>
      </c>
      <c r="MU38" s="43">
        <f t="shared" si="225"/>
        <v>0</v>
      </c>
      <c r="MV38" s="43">
        <f t="shared" si="226"/>
        <v>0</v>
      </c>
      <c r="MW38" s="43">
        <f t="shared" si="227"/>
        <v>0</v>
      </c>
      <c r="MX38" s="43" t="str">
        <f t="shared" si="228"/>
        <v/>
      </c>
      <c r="MY38" s="43" t="str">
        <f t="shared" ca="1" si="229"/>
        <v/>
      </c>
      <c r="MZ38" s="43" t="str">
        <f t="shared" si="230"/>
        <v/>
      </c>
      <c r="NA38" s="43">
        <f t="shared" si="231"/>
        <v>0</v>
      </c>
      <c r="NB38" s="43" t="str">
        <f t="shared" si="232"/>
        <v/>
      </c>
      <c r="NC38" s="43" t="str">
        <f t="shared" si="233"/>
        <v/>
      </c>
      <c r="ND38" s="43">
        <f t="shared" ca="1" si="234"/>
        <v>0</v>
      </c>
      <c r="NE38" s="43">
        <f>IF(OR(O38&gt;0,R38&gt;0),SUM(COUNTIF(Tabla1[[#This Row],[AÑOS AL INICIO5 CPN]],"&gt;=40"),COUNTIF(AS38,"0"),COUNTIF(AR38,"SI"),COUNTIF(CC38,"SI"),COUNTIF(BQ38,"&gt;119"),COUNTIF(CI38,"&gt;=35")),"")</f>
        <v>0</v>
      </c>
      <c r="NF38" s="43">
        <f t="shared" si="235"/>
        <v>45.285714285714285</v>
      </c>
      <c r="NG38" s="43">
        <f t="shared" si="236"/>
        <v>0</v>
      </c>
      <c r="NH38" s="43">
        <f t="shared" si="237"/>
        <v>242.20000000000002</v>
      </c>
      <c r="NI38"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CPN",P38="NO"),"Z",IF(AND(Tabla1[[#This Row],[CITA PROXIMO CONTROL]]="CITA MANUAL",Tabla1[[#This Row],[GESTANTES ACTUALES]]="ACTIVA INGRESO A CPN"),"W",IF(AND(Tabla1[[#This Row],[GESTANTES ACTUALES]]="SALIO PROGRAMA",IN38=""),"S",IF(AND(Tabla1[[#This Row],[CITA PROXIMO CONTROL]]&gt;0,IN38=""),(Tabla1[[#This Row],[CITA PROXIMO CONTROL]]-TODAY()),"SD"))))))))</f>
        <v>SD</v>
      </c>
      <c r="NJ38" s="43">
        <f>MONTH(Tabla1[[#This Row],[FECHA DE SALIDA  DEL PROGRAMA]])</f>
        <v>5</v>
      </c>
      <c r="NK38" s="43">
        <f>YEAR(Tabla1[[#This Row],[FECHA DE SALIDA  DEL PROGRAMA]])</f>
        <v>2023</v>
      </c>
      <c r="NL38" s="43" t="str">
        <f t="shared" si="238"/>
        <v>X</v>
      </c>
      <c r="NM38" s="43" t="str">
        <f t="shared" si="239"/>
        <v>NO</v>
      </c>
      <c r="NN38" s="43" t="str">
        <f ca="1">IF(AND(O38&gt;0,R38=""),"NO CPN",IF(AND(O38="",R38=""),"",IF(AND(R38&gt;0,Tabla1[[#This Row],[SEMANAS DE GESTACION ACTUALIZADAS]]&lt;=12),"NO APLICA",IF(AND(FH38&lt;&gt;"",FN38&lt;&gt;""),"SI","NO"))))</f>
        <v>NO</v>
      </c>
      <c r="NO38" s="43" t="str">
        <f ca="1">IF(AND(O38&gt;0,R38=""),"NO CPN",IF(AND(O38="",R38=""),"",IF(AND(R38&gt;0,Tabla1[[#This Row],[SEMANAS DE GESTACION ACTUALIZADAS]]&lt;=27),"NO APLICA",IF(AND(ES38&lt;&gt;"",FQ38&lt;&gt;"",GF38&lt;&gt;""),"SI","NO"))))</f>
        <v>NO</v>
      </c>
      <c r="NP38" s="204" t="str">
        <f t="shared" si="240"/>
        <v>II TRIM</v>
      </c>
      <c r="NQ38" s="21" t="str">
        <f t="shared" si="241"/>
        <v/>
      </c>
      <c r="NR38" s="21" t="str">
        <f t="shared" ca="1" si="242"/>
        <v>REVISAR FUM O FECHA SALIDA PROGRAMA</v>
      </c>
      <c r="NS38" s="205">
        <f t="shared" ca="1" si="243"/>
        <v>2</v>
      </c>
      <c r="NT38" s="21">
        <f t="shared" ca="1" si="244"/>
        <v>2</v>
      </c>
      <c r="NU38" s="21" t="str">
        <f t="shared" ca="1" si="245"/>
        <v>POR DEFINIR</v>
      </c>
      <c r="NV38" s="21" t="str">
        <f t="shared" ca="1" si="246"/>
        <v>POR DEFINIR</v>
      </c>
      <c r="NW38" s="206" t="str">
        <f>IF(AND(O38="",R38=""),"",IF(OR(AND(Tabla1[[#This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38" s="207" t="str">
        <f t="shared" ca="1" si="247"/>
        <v>VACUNADA</v>
      </c>
      <c r="NY38" s="43">
        <f>ROW(Tabla1[[#This Row],['# DE TAMIZAJES SIFILIS TOMADOS ]])</f>
        <v>38</v>
      </c>
      <c r="NZ38" s="43">
        <f t="shared" si="93"/>
        <v>19</v>
      </c>
      <c r="OA38" s="43" t="str">
        <f t="shared" si="94"/>
        <v/>
      </c>
      <c r="OB38" s="43" t="str">
        <f t="shared" si="95"/>
        <v/>
      </c>
      <c r="OC38" s="43" t="str">
        <f t="shared" si="96"/>
        <v/>
      </c>
      <c r="OD38" s="43" t="str">
        <f t="shared" si="97"/>
        <v/>
      </c>
      <c r="OE38" s="43" t="str">
        <f t="shared" si="98"/>
        <v/>
      </c>
      <c r="OF38" s="43" t="str">
        <f t="shared" si="99"/>
        <v/>
      </c>
      <c r="OG38" s="43" t="str">
        <f t="shared" si="100"/>
        <v/>
      </c>
      <c r="OH38" s="43" t="str">
        <f t="shared" si="101"/>
        <v/>
      </c>
      <c r="OI38" s="43" t="str">
        <f t="shared" si="102"/>
        <v/>
      </c>
      <c r="OJ38" s="43" t="str">
        <f t="shared" si="103"/>
        <v/>
      </c>
      <c r="OK38" s="43" t="str">
        <f t="shared" si="104"/>
        <v>NORMAL</v>
      </c>
      <c r="OL38" s="43" t="str">
        <f t="shared" si="105"/>
        <v/>
      </c>
      <c r="OM38" s="43" t="str">
        <f t="shared" si="106"/>
        <v/>
      </c>
      <c r="ON38" s="43" t="str">
        <f t="shared" si="107"/>
        <v/>
      </c>
      <c r="OO38" s="43" t="str">
        <f t="shared" si="108"/>
        <v/>
      </c>
      <c r="OP38" s="43" t="str">
        <f t="shared" si="109"/>
        <v/>
      </c>
      <c r="OQ38" s="43" t="str">
        <f t="shared" si="110"/>
        <v/>
      </c>
      <c r="OR38" s="43" t="str">
        <f t="shared" si="111"/>
        <v/>
      </c>
      <c r="OS38" s="43" t="str">
        <f t="shared" si="112"/>
        <v/>
      </c>
      <c r="OT38" s="43" t="str">
        <f t="shared" si="113"/>
        <v/>
      </c>
      <c r="OU38" s="43" t="str">
        <f t="shared" si="114"/>
        <v/>
      </c>
      <c r="OV38" s="110" t="str">
        <f t="shared" si="115"/>
        <v/>
      </c>
      <c r="OW38" s="43" t="str">
        <f t="shared" si="116"/>
        <v/>
      </c>
      <c r="OX38" s="43" t="str">
        <f t="shared" si="117"/>
        <v/>
      </c>
      <c r="OY38" s="43" t="str">
        <f t="shared" si="118"/>
        <v/>
      </c>
      <c r="OZ38" s="43" t="str">
        <f t="shared" si="119"/>
        <v/>
      </c>
      <c r="PA38" s="43" t="str">
        <f t="shared" si="120"/>
        <v/>
      </c>
      <c r="PB38" s="43" t="str">
        <f t="shared" si="121"/>
        <v/>
      </c>
      <c r="PC38" s="43" t="str">
        <f t="shared" si="122"/>
        <v/>
      </c>
      <c r="PD38" s="43" t="str">
        <f t="shared" si="123"/>
        <v/>
      </c>
      <c r="PE38" s="43" t="str">
        <f t="shared" si="124"/>
        <v/>
      </c>
      <c r="PF38" s="43" t="str">
        <f t="shared" si="125"/>
        <v/>
      </c>
      <c r="PG38" s="43" t="str">
        <f t="shared" si="126"/>
        <v/>
      </c>
      <c r="PH38" s="43" t="str">
        <f t="shared" si="127"/>
        <v/>
      </c>
      <c r="PI38" s="43">
        <f t="shared" si="128"/>
        <v>47</v>
      </c>
      <c r="PJ38" s="43" t="str">
        <f t="shared" si="129"/>
        <v/>
      </c>
      <c r="PK38" s="43" t="str">
        <f t="shared" si="130"/>
        <v/>
      </c>
      <c r="PL38" s="43" t="str">
        <f t="shared" si="131"/>
        <v/>
      </c>
      <c r="PM38" s="43" t="str">
        <f t="shared" si="132"/>
        <v/>
      </c>
      <c r="PN38" s="43" t="str">
        <f t="shared" si="133"/>
        <v/>
      </c>
      <c r="PO38" s="43" t="str">
        <f t="shared" si="134"/>
        <v/>
      </c>
      <c r="PP38" s="43" t="str">
        <f t="shared" si="135"/>
        <v/>
      </c>
      <c r="PQ38" s="43" t="str">
        <f t="shared" si="136"/>
        <v/>
      </c>
      <c r="PR38" s="43" t="str">
        <f t="shared" si="137"/>
        <v/>
      </c>
      <c r="PS38" s="43" t="str">
        <f t="shared" si="138"/>
        <v/>
      </c>
      <c r="PT38" s="43" t="str">
        <f t="shared" si="139"/>
        <v/>
      </c>
      <c r="PU38" s="43" t="str">
        <f t="shared" si="140"/>
        <v/>
      </c>
      <c r="PV38" s="43" t="str">
        <f t="shared" si="141"/>
        <v/>
      </c>
      <c r="PW38" s="43" t="str">
        <f t="shared" si="142"/>
        <v/>
      </c>
      <c r="PX38" s="43" t="str">
        <f t="shared" si="143"/>
        <v/>
      </c>
      <c r="PY38" s="43" t="str">
        <f t="shared" si="144"/>
        <v/>
      </c>
      <c r="PZ38" s="43" t="str">
        <f t="shared" si="145"/>
        <v/>
      </c>
      <c r="QA38" s="43" t="str">
        <f t="shared" si="146"/>
        <v/>
      </c>
      <c r="QB38" s="43" t="str">
        <f t="shared" si="147"/>
        <v/>
      </c>
      <c r="QC38" s="43" t="str">
        <f t="shared" si="148"/>
        <v/>
      </c>
      <c r="QD38" s="43" t="str">
        <f t="shared" si="149"/>
        <v/>
      </c>
      <c r="QE38" s="43" t="str">
        <f t="shared" si="150"/>
        <v/>
      </c>
      <c r="QF38" s="43" t="str">
        <f t="shared" si="151"/>
        <v/>
      </c>
      <c r="QG38" s="43" t="str">
        <f t="shared" si="152"/>
        <v/>
      </c>
      <c r="QH38" s="43" t="str">
        <f t="shared" si="153"/>
        <v/>
      </c>
      <c r="QI38" s="43" t="str">
        <f t="shared" si="154"/>
        <v/>
      </c>
      <c r="QJ38" s="43" t="str">
        <f t="shared" si="155"/>
        <v/>
      </c>
      <c r="QK38" s="43" t="str">
        <f t="shared" si="156"/>
        <v/>
      </c>
      <c r="QL38" s="43" t="str">
        <f t="shared" si="157"/>
        <v/>
      </c>
      <c r="QM38" s="43" t="str">
        <f t="shared" si="158"/>
        <v/>
      </c>
      <c r="QN38" s="43" t="str">
        <f t="shared" si="159"/>
        <v/>
      </c>
      <c r="QO38" s="43" t="str">
        <f t="shared" si="160"/>
        <v/>
      </c>
      <c r="QP38" s="43" t="str">
        <f t="shared" si="161"/>
        <v/>
      </c>
      <c r="QQ38" s="43" t="str">
        <f t="shared" si="162"/>
        <v/>
      </c>
      <c r="QR38" s="43" t="str">
        <f t="shared" si="192"/>
        <v>Mayor</v>
      </c>
      <c r="QS38" s="43"/>
      <c r="QT38" s="21" t="str">
        <f t="shared" si="163"/>
        <v/>
      </c>
      <c r="QU38" s="21" t="str">
        <f t="shared" si="164"/>
        <v/>
      </c>
      <c r="QV38" s="21" t="str">
        <f t="shared" si="165"/>
        <v/>
      </c>
      <c r="QW38" s="21" t="str">
        <f t="shared" si="166"/>
        <v/>
      </c>
      <c r="QX38" s="21" t="str">
        <f t="shared" si="167"/>
        <v/>
      </c>
      <c r="QY38" s="21" t="str">
        <f t="shared" si="168"/>
        <v/>
      </c>
      <c r="QZ38" s="21" t="str">
        <f t="shared" si="169"/>
        <v/>
      </c>
      <c r="RA38" s="21" t="str">
        <f t="shared" si="170"/>
        <v/>
      </c>
      <c r="RB38" s="21" t="str">
        <f t="shared" si="171"/>
        <v/>
      </c>
      <c r="RC38" s="21" t="str">
        <f t="shared" si="172"/>
        <v/>
      </c>
      <c r="RD38" s="21" t="str">
        <f t="shared" si="173"/>
        <v/>
      </c>
      <c r="RE38" s="21" t="str">
        <f t="shared" si="174"/>
        <v/>
      </c>
      <c r="RF38" s="21" t="str">
        <f t="shared" si="175"/>
        <v/>
      </c>
      <c r="RG38" s="21" t="str">
        <f t="shared" si="176"/>
        <v/>
      </c>
      <c r="RH38" s="21" t="str">
        <f t="shared" si="177"/>
        <v/>
      </c>
      <c r="RI38" s="21" t="str">
        <f t="shared" si="178"/>
        <v/>
      </c>
      <c r="RJ38" s="21" t="str">
        <f t="shared" si="179"/>
        <v/>
      </c>
      <c r="RK38" s="21" t="str">
        <f t="shared" si="180"/>
        <v/>
      </c>
      <c r="RL38" s="21" t="str">
        <f t="shared" si="181"/>
        <v/>
      </c>
      <c r="RM38" s="21" t="str">
        <f t="shared" si="182"/>
        <v/>
      </c>
      <c r="RN38" s="21" t="str">
        <f t="shared" si="183"/>
        <v/>
      </c>
      <c r="RO38" s="21" t="str">
        <f t="shared" si="184"/>
        <v/>
      </c>
      <c r="RP38" s="21" t="str">
        <f t="shared" si="185"/>
        <v/>
      </c>
      <c r="RQ38" s="21" t="str">
        <f t="shared" si="186"/>
        <v/>
      </c>
      <c r="RR38" s="21" t="str">
        <f t="shared" si="187"/>
        <v/>
      </c>
      <c r="RS38" s="21" t="str">
        <f t="shared" si="188"/>
        <v/>
      </c>
      <c r="RT38" s="21" t="str">
        <f t="shared" si="189"/>
        <v/>
      </c>
      <c r="RU38" s="21" t="str">
        <f t="shared" si="190"/>
        <v/>
      </c>
      <c r="RV38" s="21">
        <f t="shared" si="191"/>
        <v>19.285714285714285</v>
      </c>
      <c r="RW38" s="284">
        <f>IF(OR(Tabla1[[#This Row],[FUM FORMULA CONFIABLE]]="",Tabla1[[#This Row],[FUM FORMULA CONFIABLE]]="SD"),"",IF(Tabla1[[#This Row],[FUM FORMULA CONFIABLE]]="CORREGIDA",Tabla1[[#This Row],[FUM X ECO 1]],Tabla1[[#This Row],[FUM x AMENORREA]]))</f>
        <v>44721</v>
      </c>
      <c r="RX38" s="21">
        <f>IF(AND(Tabla1[[#This Row],[FUM X ECO 1]]="",Tabla1[[#This Row],[FUM x AMENORREA]]=""),"",IF(AND(Tabla1[[#This Row],[FUM X ECO 1]]="",Tabla1[[#This Row],[FUM x AMENORREA]]&lt;&gt;""),"X",SUM(Tabla1[[#This Row],[FUM X ECO 1]]-Tabla1[[#This Row],[FUM x AMENORREA]])))</f>
        <v>64.80000000000291</v>
      </c>
      <c r="RY38" s="21">
        <f t="shared" si="193"/>
        <v>1</v>
      </c>
    </row>
    <row r="39" spans="1:493" ht="45" customHeight="1" x14ac:dyDescent="0.25">
      <c r="A39" s="109" t="s">
        <v>1066</v>
      </c>
      <c r="B39" s="43" t="s">
        <v>1067</v>
      </c>
      <c r="C39" s="43" t="s">
        <v>845</v>
      </c>
      <c r="D39" s="124" t="s">
        <v>846</v>
      </c>
      <c r="E39" s="43" t="s">
        <v>1068</v>
      </c>
      <c r="F39" s="43" t="s">
        <v>1069</v>
      </c>
      <c r="G39" s="43" t="s">
        <v>1070</v>
      </c>
      <c r="H39" s="43" t="s">
        <v>1071</v>
      </c>
      <c r="I39" s="109" t="s">
        <v>851</v>
      </c>
      <c r="J39" s="110">
        <v>1061708805</v>
      </c>
      <c r="K39" s="43" t="s">
        <v>852</v>
      </c>
      <c r="L39" s="175" t="s">
        <v>853</v>
      </c>
      <c r="M39" s="22">
        <v>32229</v>
      </c>
      <c r="N39" s="213">
        <f t="shared" ca="1" si="0"/>
        <v>35.624657534246573</v>
      </c>
      <c r="O39" s="22">
        <v>44859</v>
      </c>
      <c r="P39" s="214" t="str">
        <f t="shared" si="194"/>
        <v>SI</v>
      </c>
      <c r="Q39" s="26" t="s">
        <v>855</v>
      </c>
      <c r="R39" s="22">
        <v>44859</v>
      </c>
      <c r="S39" s="21" t="s">
        <v>856</v>
      </c>
      <c r="T39" s="24" t="s">
        <v>690</v>
      </c>
      <c r="U39" s="21" t="s">
        <v>857</v>
      </c>
      <c r="V39" s="21" t="s">
        <v>858</v>
      </c>
      <c r="W39" s="21" t="s">
        <v>1072</v>
      </c>
      <c r="X39" s="21" t="s">
        <v>1072</v>
      </c>
      <c r="Y39" s="21" t="s">
        <v>859</v>
      </c>
      <c r="Z39" s="21">
        <v>3104344705</v>
      </c>
      <c r="AA39" s="21" t="s">
        <v>860</v>
      </c>
      <c r="AB39" s="27" t="s">
        <v>861</v>
      </c>
      <c r="AC39" s="26" t="s">
        <v>888</v>
      </c>
      <c r="AD39" s="38" t="s">
        <v>846</v>
      </c>
      <c r="AE39" s="26" t="s">
        <v>854</v>
      </c>
      <c r="AF39" s="26" t="s">
        <v>854</v>
      </c>
      <c r="AG39" s="23" t="s">
        <v>864</v>
      </c>
      <c r="AH39" s="23" t="s">
        <v>864</v>
      </c>
      <c r="AI39" s="24" t="s">
        <v>863</v>
      </c>
      <c r="AJ39" s="23" t="s">
        <v>864</v>
      </c>
      <c r="AK39" s="220" t="str">
        <f>IF(AND(AD39="",AE39="",AF39="",AG39="",AH39="",AI39="",AJ39=""),"",IF(OR(Tabla1[[#This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EVALUACIÓN",IF(AND(O39="",R39=""),"",IF(AND(OR(O39&gt;0,R39&gt;0),NG39&gt;=0,NG39&lt;2),"SIN RIESGO",IF(AND(OR(O39&gt;0,R39&gt;0),NG39&gt;=2),"CON RIESGO","ASD")))))</f>
        <v>SIN RIESGO</v>
      </c>
      <c r="AL39" s="23" t="s">
        <v>864</v>
      </c>
      <c r="AM39" s="26" t="s">
        <v>864</v>
      </c>
      <c r="AN39" s="26" t="s">
        <v>864</v>
      </c>
      <c r="AO39" s="26" t="s">
        <v>864</v>
      </c>
      <c r="AP39" s="26" t="s">
        <v>864</v>
      </c>
      <c r="AQ39" s="26" t="s">
        <v>864</v>
      </c>
      <c r="AR39" s="26" t="s">
        <v>864</v>
      </c>
      <c r="AS39" s="21">
        <v>1</v>
      </c>
      <c r="AT39" s="21">
        <v>1</v>
      </c>
      <c r="AU39" s="21">
        <v>0</v>
      </c>
      <c r="AV39" s="26" t="s">
        <v>864</v>
      </c>
      <c r="AW39" s="21">
        <v>0</v>
      </c>
      <c r="AX39" s="26" t="s">
        <v>864</v>
      </c>
      <c r="AY39" s="26" t="s">
        <v>864</v>
      </c>
      <c r="AZ39" s="26" t="s">
        <v>864</v>
      </c>
      <c r="BA39" s="26" t="s">
        <v>864</v>
      </c>
      <c r="BB39" s="26" t="s">
        <v>864</v>
      </c>
      <c r="BC39" s="26" t="s">
        <v>864</v>
      </c>
      <c r="BD39" s="26" t="s">
        <v>864</v>
      </c>
      <c r="BE39" s="26" t="s">
        <v>864</v>
      </c>
      <c r="BF39" s="26" t="s">
        <v>864</v>
      </c>
      <c r="BG39" s="26" t="s">
        <v>864</v>
      </c>
      <c r="BH39" s="26" t="s">
        <v>864</v>
      </c>
      <c r="BI39" s="26" t="s">
        <v>864</v>
      </c>
      <c r="BJ39" s="26"/>
      <c r="BK39" s="26"/>
      <c r="BL39" s="26" t="s">
        <v>864</v>
      </c>
      <c r="BM39" s="26" t="s">
        <v>864</v>
      </c>
      <c r="BN39" s="22">
        <v>39249</v>
      </c>
      <c r="BO39" s="22">
        <v>44732</v>
      </c>
      <c r="BP39" s="21" t="s">
        <v>854</v>
      </c>
      <c r="BQ39" s="222">
        <f t="shared" si="2"/>
        <v>182.76666666666668</v>
      </c>
      <c r="BR39" s="223">
        <f t="shared" si="3"/>
        <v>44758.5</v>
      </c>
      <c r="BS39" s="224">
        <f t="shared" si="4"/>
        <v>18.142857142857142</v>
      </c>
      <c r="BT39" s="216" t="str">
        <f t="shared" si="5"/>
        <v>II TRIM</v>
      </c>
      <c r="BU39" s="214" t="str">
        <f t="shared" ca="1" si="6"/>
        <v/>
      </c>
      <c r="BV39" s="25"/>
      <c r="BW39" s="22">
        <v>44804</v>
      </c>
      <c r="BX39" s="28">
        <v>6.5</v>
      </c>
      <c r="BY39" s="28"/>
      <c r="BZ39" s="22">
        <v>44854</v>
      </c>
      <c r="CA39" s="21">
        <v>13.6</v>
      </c>
      <c r="CB39" s="26"/>
      <c r="CC39" s="26"/>
      <c r="CD39" s="26"/>
      <c r="CE39" s="26"/>
      <c r="CF39" s="22" t="s">
        <v>1517</v>
      </c>
      <c r="CG39" s="21">
        <v>1.62</v>
      </c>
      <c r="CH39" s="21">
        <v>112</v>
      </c>
      <c r="CI39" s="214">
        <f t="shared" si="7"/>
        <v>42.676421277244316</v>
      </c>
      <c r="CJ39" s="225" t="e">
        <f>IF(AND(CI39&lt;10,CH39="SD"),"SIN DATO PESO PREGESTACION O I TRIM",IF(AND(OR(R39&gt;0,O39&gt;0),CI39="X"),"INGRESAR DATO DE PESO",IF(CI39="SD","INGRESAR DATO DE TALLA Y PESO",IF(AND(OR(Tabla1[[#This Row],[MOMENTO EN QUE SE REALIZA EL PESO AL INGRESO A CPN]]="PREGESTACIÓN",NZ39="Menor"),CI39&lt;18.5),"BAJO PESO",IF(AND(OR(Tabla1[[#This Row],[MOMENTO EN QUE SE REALIZA EL PESO AL INGRESO A CPN]]="PREGESTACIÓN",NZ39="Menor"),CI39&lt;25),"NORMAL",IF(AND(OR(Tabla1[[#This Row],[MOMENTO EN QUE SE REALIZA EL PESO AL INGRESO A CPN]]="PREGESTACIÓN",NZ39="Menor"),CI39&lt;30),"SOBREPESO",IF(AND(OR(Tabla1[[#This Row],[MOMENTO EN QUE SE REALIZA EL PESO AL INGRESO A CPN]]="PREGESTACIÓN",NZ39="Menor"),CI39&gt;=30,CI39&lt;50),"OBESIDAD",IF(AND(BS39&gt;0,Tabla1[[#This Row],[MOMENTO EN QUE SE REALIZA EL PESO AL INGRESO A CPN]]="GESTACIÓN"),HLOOKUP(NZ39,$OA$2:PH39,NY39),""))))))))</f>
        <v>#REF!</v>
      </c>
      <c r="CK39" s="212">
        <f t="shared" si="8"/>
        <v>44972</v>
      </c>
      <c r="CL39" s="21"/>
      <c r="CM39" s="214">
        <f t="shared" si="9"/>
        <v>0</v>
      </c>
      <c r="CN39" s="216">
        <f t="shared" si="10"/>
        <v>34</v>
      </c>
      <c r="CO39" s="216" t="e">
        <f>IF(PI39="","",IF(PI39&gt;0,HLOOKUP(PI39,$PJ$2:QQ39,NY39),""))</f>
        <v>#REF!</v>
      </c>
      <c r="CP39" s="21"/>
      <c r="CQ39" s="216" t="e">
        <f>IF(QR39="Menor","NO APLICA-MENOR 13 SEM",IF(AND(CC39="SI",CN39&gt;23),"NO APLICA- GEMELAR",IF(QR39="","",IF(QR39&gt;0,HLOOKUP(QR39,$QS$2:RU39,NY39),""))))</f>
        <v>#REF!</v>
      </c>
      <c r="CR39" s="21">
        <v>120</v>
      </c>
      <c r="CS39" s="21">
        <v>70</v>
      </c>
      <c r="CT39" s="217" t="str">
        <f>IF(R39="","",IF(AND(BS39&gt;1,BS39&lt;12,Tabla1[[#This Row],[T.A. SISTOLICA - ANTES DE SEMANA 12]]="",Tabla1[[#This Row],[T.A. DIASTOLICA - ANTES DE SEMANA 12]]=""),"REGISTRE DATO TA ANTES SEMANA 12",IF(AND(BS39&gt;11,BS39&lt;43,Tabla1[[#This Row],[T.A. SISTOLICA - ANTES DE SEMANA 12]]="",Tabla1[[#This Row],[T.A. DIASTOLICA - ANTES DE SEMANA 12]]=""),"NO APLICA REGISTRO TA-INGRESO TARDIO",IF(AND(OR(O39&gt;0,R39&gt;0),OR(CR39&gt;=140,CS39&gt;=90)),"DEFINIR ESTADIO HTA",IF(AND(OR(O39&gt;0,R39&gt;0),AND(CR39&gt;120,CR39&lt;=139)),"PRE HTA SEGUIMIENTO",IF(AND(OR(O39&gt;0,R39&gt;0),AND(CS39&gt;80,CS39&lt;=89)),"PRE HTA SEGUIMIENTO",IF(AND(OR(O39&gt;0,R39&gt;0),AND(CR39&gt;=80,CR39&lt;=120)),"APARENTEMENTE NORMAL",IF(AND(OR(O39&gt;0,R39&gt;0),AND(CS39&gt;=50,CS39&lt;=80)),"APARENTEMENTE NORMAL",IF(AND(OR(O39&gt;0,R39&gt;0),AND(CR39&gt;1,CR39&lt;=70),AND(CS39&gt;1,CS39&lt;=40)),"HIPOTENSIÓN","")))))))))</f>
        <v>APARENTEMENTE NORMAL</v>
      </c>
      <c r="CU39" s="21"/>
      <c r="CV39" s="21"/>
      <c r="CW39" s="217" t="str">
        <f ca="1">IF(R39="","",IF(AND(CN39&gt;19,CN39&lt;27,Tabla1[[#This Row],[T.A. SISTOLICA (Entre semana 20 y 26)]]="",Tabla1[[#This Row],[T.A. DIATOLICA (Entre semana 20 y 26)]]=""),"ACUDE A CONTROL SEM 20 A 26 REGISTRE TA AHORA",IF(AND(BS39&gt;1,BS39&lt;27,BU39&gt;19,Tabla1[[#This Row],[T.A. SISTOLICA (Entre semana 20 y 26)]]="",Tabla1[[#This Row],[T.A. DIATOLICA (Entre semana 20 y 26)]]=""),"COMPLETE REGISTRO TA CONTROL SEM 20 A26 ",IF(AND(BS39&gt;26,BS39&lt;43,Tabla1[[#This Row],[T.A. SISTOLICA (Entre semana 20 y 26)]]="",Tabla1[[#This Row],[T.A. DIATOLICA (Entre semana 20 y 26)]]=""),"NO APLICA REGISTRO TA-INGRESO TARDIO",IF(AND(OR(O39&gt;0,R39&gt;0),OR(CU39&gt;=140,CV39&gt;=90)),"ALTO RIESGO PREECLAMPSIA,DEFINIR ESTADIO HTA",IF(AND(OR(O39&gt;0,R39&gt;0),AND(CU39&gt;120,CU39&lt;=139)),"PRE HTA SEGUIMIENTO,RIESGO HIPERTENSION INDUCIDA POR EL EMBARAZO",IF(AND(OR(O39&gt;0,R39&gt;0),AND(CV39&gt;80,CV39&lt;=89)),"PRE HTA SEGUIMIENTO, RIESGO HIPERTENSION INDUCIDA POR EL EMBARAZO",IF(AND(OR(O39&lt;&gt;"",R39&lt;&gt;""),CS39&lt;&gt;"",CV39&lt;&gt;"",CS39&lt;=CV39),"VIGILAR CIFRAS PRESION ARTERIAL",IF(AND(OR(O39&gt;0,R39&gt;0),AND(CU39&gt;120,CU39&lt;=139)),"PRE HTA SEGUIMIENTO",IF(AND(OR(O39&gt;0,R39&gt;0),AND(CU39&gt;1,CU39&lt;=70),AND(CV39&gt;1,CV39&lt;=40)),"HIPOTENSIÓN",IF(AND(OR(O39&lt;&gt;"",R39&lt;&gt;""),CS39&lt;&gt;"",CV39&lt;&gt;"",CS39&gt;CV39),"APARENTEMENTE NORMAL",IF(AND(OR(O39&gt;0,R39&gt;0),AND(CU39&gt;=80,CU39&lt;=120)),"APARENTEMENTE NORMAL",IF(AND(OR(O39&gt;0,R39&gt;0),AND(CV39&gt;=50,CV39&lt;=80)),"APARENTEMENTE NORMAL","")))))))))))))</f>
        <v xml:space="preserve">COMPLETE REGISTRO TA CONTROL SEM 20 A26 </v>
      </c>
      <c r="CX39" s="21">
        <v>110</v>
      </c>
      <c r="CY39" s="21">
        <v>60</v>
      </c>
      <c r="CZ39" s="216" t="str">
        <f t="shared" si="195"/>
        <v>APARENTEMENTE NORMAL</v>
      </c>
      <c r="DA39" s="21"/>
      <c r="DB39" s="21"/>
      <c r="DC39" s="217" t="str">
        <f t="shared" si="12"/>
        <v>REGISTRE DATO PRESIÓN ARTERIAL MENSUAL</v>
      </c>
      <c r="DD39" s="22">
        <v>44859</v>
      </c>
      <c r="DE39" s="22">
        <v>44859</v>
      </c>
      <c r="DF39" s="22">
        <v>44972</v>
      </c>
      <c r="DG39" s="22"/>
      <c r="DH39" s="22"/>
      <c r="DI39" s="22"/>
      <c r="DJ39" s="22"/>
      <c r="DK39" s="22"/>
      <c r="DL39" s="22"/>
      <c r="DM39" s="22"/>
      <c r="DN39" s="22"/>
      <c r="DO39" s="22"/>
      <c r="DP39" s="22"/>
      <c r="DQ39" s="22"/>
      <c r="DR39" s="28">
        <v>1</v>
      </c>
      <c r="DS39" s="22"/>
      <c r="DT39" s="22"/>
      <c r="DU39" s="216" t="str">
        <f t="shared" ca="1" si="196"/>
        <v>SALE SIN PLAN DE PARTO</v>
      </c>
      <c r="DV39" s="226" t="str">
        <f t="shared" si="197"/>
        <v>SALIO PROGRAMA</v>
      </c>
      <c r="DW39"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39" s="216" t="str">
        <f t="shared" ca="1" si="15"/>
        <v/>
      </c>
      <c r="DY39" s="212">
        <f>IF(R39="","",IF(R39&gt;0,MAX(Tabla1[[#This Row],[FECHA C2]:[FECHA C13]],Tabla1[[#This Row],[FECHA CONSULTA PRIMERA VEZ PROGRAMA CPN ]])))</f>
        <v>44972</v>
      </c>
      <c r="DZ39" s="216">
        <f t="shared" si="16"/>
        <v>34</v>
      </c>
      <c r="EA39" s="222">
        <f>IF(R39&gt;0,SUM(COUNTA(DF39:DQ39)+COUNTA(Tabla1[[#This Row],[FECHA CONSULTA PRIMERA VEZ PROGRAMA CPN ]])),"")</f>
        <v>2</v>
      </c>
      <c r="EB39" s="222" t="str">
        <f t="shared" si="17"/>
        <v>NO</v>
      </c>
      <c r="EC39" s="214">
        <f t="shared" si="18"/>
        <v>7</v>
      </c>
      <c r="ED39" s="227">
        <f t="shared" si="19"/>
        <v>0.2857142857142857</v>
      </c>
      <c r="EE39" s="22">
        <v>44859</v>
      </c>
      <c r="EF39" s="22"/>
      <c r="EG39" s="22">
        <v>44859</v>
      </c>
      <c r="EH39" s="22"/>
      <c r="EI39" s="22">
        <v>44859</v>
      </c>
      <c r="EJ39" s="22">
        <v>44945</v>
      </c>
      <c r="EK39" s="22">
        <v>44945</v>
      </c>
      <c r="EL39" s="21"/>
      <c r="EM39" s="21">
        <v>16.7</v>
      </c>
      <c r="EN39" s="22">
        <v>44859</v>
      </c>
      <c r="EO39" s="222">
        <f t="shared" si="20"/>
        <v>18.142857142857142</v>
      </c>
      <c r="EP39" s="214" t="str">
        <f t="shared" si="21"/>
        <v>NO DAR SULFATO FERROSO</v>
      </c>
      <c r="EQ39" s="216" t="str">
        <f t="shared" si="22"/>
        <v>II TRIM</v>
      </c>
      <c r="ER39" s="24"/>
      <c r="ES39" s="22"/>
      <c r="ET39" s="29" t="str">
        <f t="shared" ca="1" si="198"/>
        <v>SALE SIN TAMIZAJE HEMOGLOBINA SEM 28</v>
      </c>
      <c r="EU39" s="25" t="str">
        <f t="shared" si="24"/>
        <v/>
      </c>
      <c r="EV39" s="24" t="s">
        <v>866</v>
      </c>
      <c r="EW39" s="24">
        <v>44859</v>
      </c>
      <c r="EX39" s="22"/>
      <c r="EY39" s="29">
        <f t="shared" si="199"/>
        <v>18.142857142857142</v>
      </c>
      <c r="EZ39" s="25" t="str">
        <f t="shared" ca="1" si="200"/>
        <v/>
      </c>
      <c r="FA39" s="21">
        <v>86</v>
      </c>
      <c r="FB39" s="22">
        <v>44859</v>
      </c>
      <c r="FC39" s="29">
        <f t="shared" si="27"/>
        <v>18.142857142857142</v>
      </c>
      <c r="FD39" s="29">
        <v>91</v>
      </c>
      <c r="FE39" s="29">
        <v>140</v>
      </c>
      <c r="FF39" s="29">
        <v>178</v>
      </c>
      <c r="FG39" s="21" t="str">
        <f t="shared" ca="1" si="28"/>
        <v>DIABETES, REMITIR</v>
      </c>
      <c r="FH39" s="31">
        <v>44931</v>
      </c>
      <c r="FI39" s="29">
        <f t="shared" si="29"/>
        <v>28.428571428571427</v>
      </c>
      <c r="FJ39" s="22"/>
      <c r="FK39" s="22"/>
      <c r="FL39" s="29" t="str">
        <f t="shared" ca="1" si="30"/>
        <v>NO APLICA-INGRESO TARDIO</v>
      </c>
      <c r="FM39" s="22" t="s">
        <v>867</v>
      </c>
      <c r="FN39" s="32">
        <v>44859</v>
      </c>
      <c r="FO39" s="29">
        <f t="shared" ca="1" si="201"/>
        <v>18.142857142857142</v>
      </c>
      <c r="FP39" s="22"/>
      <c r="FQ39" s="32"/>
      <c r="FR39" s="29" t="str">
        <f t="shared" ca="1" si="202"/>
        <v>PIERDE TOMA DE TAMIZAJE</v>
      </c>
      <c r="FS39" s="22"/>
      <c r="FT39" s="32"/>
      <c r="FU39" s="29" t="str">
        <f>IF(AND(FJ39="",FM39="",FP39="",FS39=""),"",IF(OR(OR(Tabla1[[#This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39" s="28"/>
      <c r="FW39" s="22"/>
      <c r="FX39" s="29" t="str">
        <f t="shared" si="33"/>
        <v>TOMAR EXAMEN</v>
      </c>
      <c r="FY39" s="22">
        <v>44859</v>
      </c>
      <c r="FZ39" s="22">
        <v>44859</v>
      </c>
      <c r="GA39" s="29" t="str">
        <f t="shared" si="203"/>
        <v>REGISTRAR EN II TRIMESTRE</v>
      </c>
      <c r="GB39" s="22" t="s">
        <v>868</v>
      </c>
      <c r="GC39" s="22">
        <v>44859</v>
      </c>
      <c r="GD39" s="29">
        <f t="shared" ca="1" si="204"/>
        <v>18.142857142857142</v>
      </c>
      <c r="GE39" s="22"/>
      <c r="GF39" s="22"/>
      <c r="GG39" s="29" t="str">
        <f t="shared" ca="1" si="205"/>
        <v>PIERDE TOMA DE TAMIZAJE</v>
      </c>
      <c r="GH39" s="22"/>
      <c r="GI39" s="29"/>
      <c r="GJ39" s="22"/>
      <c r="GK39" s="22"/>
      <c r="GL39" s="22" t="s">
        <v>879</v>
      </c>
      <c r="GM39" s="22"/>
      <c r="GN39" s="28" t="s">
        <v>869</v>
      </c>
      <c r="GO39" s="22">
        <v>44859</v>
      </c>
      <c r="GP39" s="29">
        <f t="shared" si="37"/>
        <v>18.142857142857142</v>
      </c>
      <c r="GQ39" s="28" t="s">
        <v>869</v>
      </c>
      <c r="GR39" s="28" t="s">
        <v>869</v>
      </c>
      <c r="GS39" s="22" t="str">
        <f t="shared" si="206"/>
        <v>CONTROL Igm</v>
      </c>
      <c r="GT39" s="22">
        <v>44859</v>
      </c>
      <c r="GU39" s="29">
        <f t="shared" si="39"/>
        <v>18.142857142857142</v>
      </c>
      <c r="GV39" s="21" t="str">
        <f t="shared" si="40"/>
        <v>II TRIM</v>
      </c>
      <c r="GW39" s="28" t="s">
        <v>869</v>
      </c>
      <c r="GX39" s="30"/>
      <c r="GY39" s="21"/>
      <c r="GZ39" s="21"/>
      <c r="HA39" s="21"/>
      <c r="HB39" s="21"/>
      <c r="HC39" s="21"/>
      <c r="HD39" s="21"/>
      <c r="HE39" s="21"/>
      <c r="HF39" s="22"/>
      <c r="HG39" s="22" t="str">
        <f>IF(OR(O39&gt;0,R39&gt;0),CONCATENATE(IF(Tabla1[[#This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39" s="22" t="e">
        <f t="shared" si="41"/>
        <v>#REF!</v>
      </c>
      <c r="HI39" s="22" t="str">
        <f t="shared" si="42"/>
        <v>ALTO RIESGO</v>
      </c>
      <c r="HJ39" s="21" t="str">
        <f t="shared" ca="1" si="43"/>
        <v>*****************DIABETES GESTACIONAL**********************</v>
      </c>
      <c r="HK39" s="21" t="str">
        <f t="shared" si="44"/>
        <v>RIESGO MODERADO (2 O MAS CRITERIOS) VER MANEJO GUIA SUMINISTRO ASA Y CALCIO</v>
      </c>
      <c r="HL39" s="24" t="str">
        <f t="shared" si="45"/>
        <v>REGISTRE DATO PRESIÓN ARTERIAL MENSUAL</v>
      </c>
      <c r="HM39" s="21" t="str">
        <f t="shared" ca="1" si="46"/>
        <v/>
      </c>
      <c r="HN39" s="30" t="str">
        <f t="shared" si="207"/>
        <v>SALIO PROGRAMA</v>
      </c>
      <c r="HO39" s="21"/>
      <c r="HP39" s="21"/>
      <c r="HQ39" s="21">
        <v>44859</v>
      </c>
      <c r="HR39" s="21" t="str">
        <f>IF(R39="","",IF(Tabla1[[#This Row],[ALARMA FACTORES DE RIESGO COMPLICACIONES HIPERTENSIVAS3]]="SIN ANTECEDENTES DE RIESGO","No Aplica para suministro de ASA",IF(AND(Tabla1[[#This Row],[FECHA INICIO DE SUMINISTRO DE ASA]]&gt;0,RV39&lt;12),"Inicia ASA ANTES de Sem 12",IF(AND(RV39&gt;11,RV39&lt;17,OR(HK39="RIESGO ALTO DE COMPLICACIONES HIPERTENSIVAS VER MANEJO GUIA SUMINISTRO ASA Y CALCIO",HK39="RIESGO MODERADO (2 O MAS CRITERIOS) VER MANEJO GUIA SUMINISTRO ASA Y CALCIO")),"Inicio oportuno de ASA",IF(AND(RV39&gt;12,OR(HK39="RIESGO ALTO DE COMPLICACIONES HIPERTENSIVAS VER MANEJO GUIA SUMINISTRO ASA Y CALCIO",HK39="RIESGO MODERADO (2 O MAS CRITERIOS) VER MANEJO GUIA SUMINISTRO ASA Y CALCIO")),"Inicio no oportuno mayor a 16 semanas",IF(AND(BU39&lt;12,OR(HK39="RIESGO ALTO DE COMPLICACIONES HIPERTENSIVAS VER MANEJO GUIA SUMINISTRO ASA Y CALCIO",HK39="RIESGO MODERADO (2 O MAS CRITERIOS) VER MANEJO GUIA SUMINISTRO ASA Y CALCIO")),"Pendiente Inicio de ASA a la semana 12",IF(AND(BU39&gt;11,BU39&lt;17,OR(HK39="RIESGO ALTO DE COMPLICACIONES HIPERTENSIVAS VER MANEJO GUIA SUMINISTRO ASA Y CALCIO",HK39="RIESGO MODERADO (2 O MAS CRITERIOS) VER MANEJO GUIA SUMINISTRO ASA Y CALCIO")),"Iniciar de inmediato ASA",IF(AND(BU39&gt;16,OR(HK39="RIESGO ALTO DE COMPLICACIONES HIPERTENSIVAS VER MANEJO GUIA SUMINISTRO ASA Y CALCIO",HK39="RIESGO MODERADO (2 O MAS CRITERIOS) VER MANEJO GUIA SUMINISTRO ASA Y CALCIO")),"Pierde Oportunidad, Inicio tardío de ASA","XXXXX"))))))))</f>
        <v>Inicio no oportuno mayor a 16 semanas</v>
      </c>
      <c r="HS39" s="22">
        <v>44859</v>
      </c>
      <c r="HT39" s="22" t="s">
        <v>870</v>
      </c>
      <c r="HU39" s="22"/>
      <c r="HV39" s="22"/>
      <c r="HW39" s="22">
        <v>44859</v>
      </c>
      <c r="HX39" s="22" t="s">
        <v>870</v>
      </c>
      <c r="HY39" s="22">
        <v>44859</v>
      </c>
      <c r="HZ39" s="28">
        <f t="shared" si="48"/>
        <v>18.142857142857142</v>
      </c>
      <c r="IA39" s="26" t="s">
        <v>864</v>
      </c>
      <c r="IB39" s="26"/>
      <c r="IC39" s="111"/>
      <c r="ID39" s="22"/>
      <c r="IE39" s="22" t="str">
        <f t="shared" ca="1" si="49"/>
        <v>SALE SIN VACUNA</v>
      </c>
      <c r="IF39" s="22"/>
      <c r="IG39" s="22">
        <f t="shared" si="50"/>
        <v>45012</v>
      </c>
      <c r="IH39" s="29">
        <f t="shared" ca="1" si="51"/>
        <v>-220</v>
      </c>
      <c r="II39" s="22" t="str">
        <f t="shared" ca="1" si="52"/>
        <v>POSIBLEMENTE NACIO</v>
      </c>
      <c r="IJ39" s="22"/>
      <c r="IK39" s="21" t="s">
        <v>898</v>
      </c>
      <c r="IL39" s="21"/>
      <c r="IM39" s="34"/>
      <c r="IN39" s="349">
        <v>45026</v>
      </c>
      <c r="IO39" s="21" t="s">
        <v>1186</v>
      </c>
      <c r="IP39" s="29">
        <f t="shared" si="208"/>
        <v>42</v>
      </c>
      <c r="IQ39" s="110" t="s">
        <v>1654</v>
      </c>
      <c r="IR39" s="21" t="s">
        <v>1651</v>
      </c>
      <c r="IS39" s="21" t="s">
        <v>1646</v>
      </c>
      <c r="IT39" s="21" t="s">
        <v>1642</v>
      </c>
      <c r="IU39" s="21"/>
      <c r="IV39" s="21"/>
      <c r="IW39" s="21"/>
      <c r="IX39" s="21"/>
      <c r="IY39" s="21"/>
      <c r="IZ39" s="21"/>
      <c r="JA39" s="21"/>
      <c r="JB39" s="30">
        <v>1</v>
      </c>
      <c r="JC39" s="21" t="s">
        <v>1647</v>
      </c>
      <c r="JD39" s="36">
        <v>3650</v>
      </c>
      <c r="JE39" s="21" t="str">
        <f t="shared" si="209"/>
        <v>PESO ADECUADO EDAD GESTACIONAL</v>
      </c>
      <c r="JF39" s="30"/>
      <c r="JG39" s="21"/>
      <c r="JH39" s="21"/>
      <c r="JI39" s="21" t="s">
        <v>854</v>
      </c>
      <c r="JJ39" s="30" t="s">
        <v>866</v>
      </c>
      <c r="JK39" s="22"/>
      <c r="JL39" s="22"/>
      <c r="JM39" s="21"/>
      <c r="JN39" s="36"/>
      <c r="JO39" s="21" t="str">
        <f t="shared" si="210"/>
        <v/>
      </c>
      <c r="JP39" s="22"/>
      <c r="JQ39" s="21"/>
      <c r="JR39" s="21"/>
      <c r="JS39" s="21"/>
      <c r="JT39" s="30"/>
      <c r="JU39" s="22"/>
      <c r="JV39" s="22"/>
      <c r="JW39" s="33"/>
      <c r="JX39" s="28" t="str">
        <f t="shared" si="211"/>
        <v>INASISTENTE</v>
      </c>
      <c r="JY39" s="33"/>
      <c r="JZ39" s="28" t="str">
        <f t="shared" si="212"/>
        <v>INASISTENTE</v>
      </c>
      <c r="KA39" s="21"/>
      <c r="KB39" s="21"/>
      <c r="KC39" s="21"/>
      <c r="KD39" s="37"/>
      <c r="KE39" s="28"/>
      <c r="KF39" s="28"/>
      <c r="KG39" s="28"/>
      <c r="KH39" s="39"/>
      <c r="KI39" s="39"/>
      <c r="KJ39" s="66"/>
      <c r="KK39" s="39"/>
      <c r="KL39" s="39"/>
      <c r="KM39" s="66"/>
      <c r="KN39" s="39"/>
      <c r="KO39" s="39"/>
      <c r="KP39" s="39"/>
      <c r="KQ39" s="39"/>
      <c r="KR39" s="39"/>
      <c r="KS39" s="39"/>
      <c r="KT39" s="39"/>
      <c r="KU39" s="38"/>
      <c r="KV39" s="38"/>
      <c r="KW39" s="38"/>
      <c r="KX39" s="38"/>
      <c r="KY39" s="38"/>
      <c r="KZ39" s="38"/>
      <c r="LA39" s="38"/>
      <c r="LB39" s="38"/>
      <c r="LC39" s="38"/>
      <c r="LD39" s="38"/>
      <c r="LE39" s="38"/>
      <c r="LF39" s="38"/>
      <c r="LG39" s="38"/>
      <c r="LH39" s="38"/>
      <c r="LI39" s="38"/>
      <c r="LJ39" s="38"/>
      <c r="LK39" s="38"/>
      <c r="LL39" s="38"/>
      <c r="LM39" s="38"/>
      <c r="LN39" s="38"/>
      <c r="LO39" s="38"/>
      <c r="LP39" s="38"/>
      <c r="LQ39" s="38"/>
      <c r="LR39" s="38"/>
      <c r="LS39" s="38"/>
      <c r="LT39" s="38"/>
      <c r="LU39" s="38"/>
      <c r="LV39" s="38"/>
      <c r="LW39" s="38"/>
      <c r="LX39" s="38"/>
      <c r="LY39" s="38"/>
      <c r="LZ39" s="38"/>
      <c r="MA39" s="38"/>
      <c r="MB39" s="38"/>
      <c r="MC39" s="38"/>
      <c r="MD39" s="38"/>
      <c r="ME39" s="38"/>
      <c r="MF39" s="38"/>
      <c r="MG39" s="38"/>
      <c r="MH39" s="43">
        <f t="shared" si="213"/>
        <v>0</v>
      </c>
      <c r="MI39" s="43" t="str">
        <f t="shared" si="214"/>
        <v/>
      </c>
      <c r="MJ39" s="43" t="str">
        <f t="shared" si="215"/>
        <v/>
      </c>
      <c r="MK39" s="43">
        <f t="shared" si="216"/>
        <v>0</v>
      </c>
      <c r="ML3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39" s="43">
        <f t="shared" si="217"/>
        <v>18.142857142857142</v>
      </c>
      <c r="MN39" s="43">
        <f t="shared" si="218"/>
        <v>10</v>
      </c>
      <c r="MO39" s="43">
        <f t="shared" si="219"/>
        <v>2022</v>
      </c>
      <c r="MP39" s="43" t="str">
        <f t="shared" si="220"/>
        <v>IV TRIMESTRE AÑO</v>
      </c>
      <c r="MQ39" s="43">
        <f t="shared" si="221"/>
        <v>34.077967586508976</v>
      </c>
      <c r="MR39" s="43">
        <f t="shared" si="222"/>
        <v>0</v>
      </c>
      <c r="MS39" s="43" t="str">
        <f t="shared" si="223"/>
        <v xml:space="preserve"> DE 30 A 34 AÑOS</v>
      </c>
      <c r="MT39" s="43">
        <f t="shared" si="224"/>
        <v>0</v>
      </c>
      <c r="MU39" s="43">
        <f t="shared" si="225"/>
        <v>0</v>
      </c>
      <c r="MV39" s="43">
        <f t="shared" si="226"/>
        <v>0</v>
      </c>
      <c r="MW39" s="43">
        <f t="shared" si="227"/>
        <v>0</v>
      </c>
      <c r="MX39" s="43" t="str">
        <f t="shared" si="228"/>
        <v/>
      </c>
      <c r="MY39" s="43" t="str">
        <f t="shared" ca="1" si="229"/>
        <v/>
      </c>
      <c r="MZ39" s="43" t="str">
        <f t="shared" si="230"/>
        <v/>
      </c>
      <c r="NA39" s="43" t="str">
        <f t="shared" si="231"/>
        <v/>
      </c>
      <c r="NB39" s="43" t="str">
        <f t="shared" si="232"/>
        <v/>
      </c>
      <c r="NC39" s="43" t="str">
        <f t="shared" si="233"/>
        <v/>
      </c>
      <c r="ND39" s="43">
        <f t="shared" ca="1" si="234"/>
        <v>2</v>
      </c>
      <c r="NE39" s="43">
        <f>IF(OR(O39&gt;0,R39&gt;0),SUM(COUNTIF(Tabla1[[#This Row],[AÑOS AL INICIO5 CPN]],"&gt;=40"),COUNTIF(AS39,"0"),COUNTIF(AR39,"SI"),COUNTIF(CC39,"SI"),COUNTIF(BQ39,"&gt;119"),COUNTIF(CI39,"&gt;=35")),"")</f>
        <v>2</v>
      </c>
      <c r="NF39" s="43" t="str">
        <f t="shared" si="235"/>
        <v/>
      </c>
      <c r="NG39" s="43">
        <f t="shared" si="236"/>
        <v>0</v>
      </c>
      <c r="NH39" s="43">
        <f t="shared" si="237"/>
        <v>45.5</v>
      </c>
      <c r="NI39"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CPN",P39="NO"),"Z",IF(AND(Tabla1[[#This Row],[CITA PROXIMO CONTROL]]="CITA MANUAL",Tabla1[[#This Row],[GESTANTES ACTUALES]]="ACTIVA INGRESO A CPN"),"W",IF(AND(Tabla1[[#This Row],[GESTANTES ACTUALES]]="SALIO PROGRAMA",IN39=""),"S",IF(AND(Tabla1[[#This Row],[CITA PROXIMO CONTROL]]&gt;0,IN39=""),(Tabla1[[#This Row],[CITA PROXIMO CONTROL]]-TODAY()),"SD"))))))))</f>
        <v>SD</v>
      </c>
      <c r="NJ39" s="43">
        <f>MONTH(Tabla1[[#This Row],[FECHA DE SALIDA  DEL PROGRAMA]])</f>
        <v>4</v>
      </c>
      <c r="NK39" s="43">
        <f>YEAR(Tabla1[[#This Row],[FECHA DE SALIDA  DEL PROGRAMA]])</f>
        <v>2023</v>
      </c>
      <c r="NL39" s="43">
        <f t="shared" si="238"/>
        <v>86</v>
      </c>
      <c r="NM39" s="43" t="str">
        <f t="shared" si="239"/>
        <v>NO</v>
      </c>
      <c r="NN39" s="43" t="str">
        <f ca="1">IF(AND(O39&gt;0,R39=""),"NO CPN",IF(AND(O39="",R39=""),"",IF(AND(R39&gt;0,Tabla1[[#This Row],[SEMANAS DE GESTACION ACTUALIZADAS]]&lt;=12),"NO APLICA",IF(AND(FH39&lt;&gt;"",FN39&lt;&gt;""),"SI","NO"))))</f>
        <v>SI</v>
      </c>
      <c r="NO39" s="43" t="str">
        <f ca="1">IF(AND(O39&gt;0,R39=""),"NO CPN",IF(AND(O39="",R39=""),"",IF(AND(R39&gt;0,Tabla1[[#This Row],[SEMANAS DE GESTACION ACTUALIZADAS]]&lt;=27),"NO APLICA",IF(AND(ES39&lt;&gt;"",FQ39&lt;&gt;"",GF39&lt;&gt;""),"SI","NO"))))</f>
        <v>NO</v>
      </c>
      <c r="NP39" s="204" t="str">
        <f t="shared" si="240"/>
        <v>II TRIM</v>
      </c>
      <c r="NQ39" s="21" t="str">
        <f t="shared" si="241"/>
        <v/>
      </c>
      <c r="NR39" s="21">
        <f t="shared" si="242"/>
        <v>2</v>
      </c>
      <c r="NS39" s="205">
        <f t="shared" ca="1" si="243"/>
        <v>1</v>
      </c>
      <c r="NT39" s="21">
        <f t="shared" ca="1" si="244"/>
        <v>1</v>
      </c>
      <c r="NU39" s="21" t="str">
        <f t="shared" ca="1" si="245"/>
        <v>INCOMPLETO</v>
      </c>
      <c r="NV39" s="21" t="str">
        <f t="shared" ca="1" si="246"/>
        <v>INCOMPLETO</v>
      </c>
      <c r="NW39" s="206" t="str">
        <f>IF(AND(O39="",R39=""),"",IF(OR(AND(Tabla1[[#This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39" s="207" t="str">
        <f t="shared" ca="1" si="247"/>
        <v>SIN VACUNAR</v>
      </c>
      <c r="NY39" s="43">
        <f>ROW(Tabla1[[#This Row],['# DE TAMIZAJES SIFILIS TOMADOS ]])</f>
        <v>39</v>
      </c>
      <c r="NZ39" s="43">
        <f t="shared" si="93"/>
        <v>18</v>
      </c>
      <c r="OA39" s="43" t="str">
        <f t="shared" si="94"/>
        <v/>
      </c>
      <c r="OB39" s="43" t="str">
        <f t="shared" si="95"/>
        <v/>
      </c>
      <c r="OC39" s="43" t="str">
        <f t="shared" si="96"/>
        <v/>
      </c>
      <c r="OD39" s="43" t="str">
        <f t="shared" si="97"/>
        <v/>
      </c>
      <c r="OE39" s="43" t="str">
        <f t="shared" si="98"/>
        <v/>
      </c>
      <c r="OF39" s="43" t="str">
        <f t="shared" si="99"/>
        <v/>
      </c>
      <c r="OG39" s="43" t="str">
        <f t="shared" si="100"/>
        <v/>
      </c>
      <c r="OH39" s="43" t="str">
        <f t="shared" si="101"/>
        <v/>
      </c>
      <c r="OI39" s="43" t="str">
        <f t="shared" si="102"/>
        <v/>
      </c>
      <c r="OJ39" s="43" t="str">
        <f t="shared" si="103"/>
        <v>OBESIDAD</v>
      </c>
      <c r="OK39" s="43" t="str">
        <f t="shared" si="104"/>
        <v/>
      </c>
      <c r="OL39" s="43" t="str">
        <f t="shared" si="105"/>
        <v/>
      </c>
      <c r="OM39" s="43" t="str">
        <f t="shared" si="106"/>
        <v/>
      </c>
      <c r="ON39" s="43" t="str">
        <f t="shared" si="107"/>
        <v/>
      </c>
      <c r="OO39" s="43" t="str">
        <f t="shared" si="108"/>
        <v/>
      </c>
      <c r="OP39" s="43" t="str">
        <f t="shared" si="109"/>
        <v/>
      </c>
      <c r="OQ39" s="43" t="str">
        <f t="shared" si="110"/>
        <v/>
      </c>
      <c r="OR39" s="43" t="str">
        <f t="shared" si="111"/>
        <v/>
      </c>
      <c r="OS39" s="43" t="str">
        <f t="shared" si="112"/>
        <v/>
      </c>
      <c r="OT39" s="43" t="str">
        <f t="shared" si="113"/>
        <v/>
      </c>
      <c r="OU39" s="43" t="str">
        <f t="shared" si="114"/>
        <v/>
      </c>
      <c r="OV39" s="110" t="str">
        <f t="shared" si="115"/>
        <v/>
      </c>
      <c r="OW39" s="43" t="str">
        <f t="shared" si="116"/>
        <v/>
      </c>
      <c r="OX39" s="43" t="str">
        <f t="shared" si="117"/>
        <v/>
      </c>
      <c r="OY39" s="43" t="str">
        <f t="shared" si="118"/>
        <v/>
      </c>
      <c r="OZ39" s="43" t="str">
        <f t="shared" si="119"/>
        <v/>
      </c>
      <c r="PA39" s="43" t="str">
        <f t="shared" si="120"/>
        <v/>
      </c>
      <c r="PB39" s="43" t="str">
        <f t="shared" si="121"/>
        <v/>
      </c>
      <c r="PC39" s="43" t="str">
        <f t="shared" si="122"/>
        <v/>
      </c>
      <c r="PD39" s="43" t="str">
        <f t="shared" si="123"/>
        <v/>
      </c>
      <c r="PE39" s="43" t="str">
        <f t="shared" si="124"/>
        <v/>
      </c>
      <c r="PF39" s="43" t="str">
        <f t="shared" si="125"/>
        <v/>
      </c>
      <c r="PG39" s="43" t="str">
        <f t="shared" si="126"/>
        <v/>
      </c>
      <c r="PH39" s="43" t="str">
        <f t="shared" si="127"/>
        <v/>
      </c>
      <c r="PI39" s="43">
        <f t="shared" si="128"/>
        <v>34</v>
      </c>
      <c r="PJ39" s="43" t="str">
        <f t="shared" si="129"/>
        <v/>
      </c>
      <c r="PK39" s="43" t="str">
        <f t="shared" si="130"/>
        <v/>
      </c>
      <c r="PL39" s="43" t="str">
        <f t="shared" si="131"/>
        <v/>
      </c>
      <c r="PM39" s="43" t="str">
        <f t="shared" si="132"/>
        <v/>
      </c>
      <c r="PN39" s="43" t="str">
        <f t="shared" si="133"/>
        <v/>
      </c>
      <c r="PO39" s="43" t="str">
        <f t="shared" si="134"/>
        <v/>
      </c>
      <c r="PP39" s="43" t="str">
        <f t="shared" si="135"/>
        <v/>
      </c>
      <c r="PQ39" s="43" t="str">
        <f t="shared" si="136"/>
        <v/>
      </c>
      <c r="PR39" s="43" t="str">
        <f t="shared" si="137"/>
        <v/>
      </c>
      <c r="PS39" s="43" t="str">
        <f t="shared" si="138"/>
        <v/>
      </c>
      <c r="PT39" s="43" t="str">
        <f t="shared" si="139"/>
        <v/>
      </c>
      <c r="PU39" s="43" t="str">
        <f t="shared" si="140"/>
        <v/>
      </c>
      <c r="PV39" s="43" t="str">
        <f t="shared" si="141"/>
        <v/>
      </c>
      <c r="PW39" s="43" t="str">
        <f t="shared" si="142"/>
        <v/>
      </c>
      <c r="PX39" s="43" t="str">
        <f t="shared" si="143"/>
        <v/>
      </c>
      <c r="PY39" s="43" t="str">
        <f t="shared" si="144"/>
        <v/>
      </c>
      <c r="PZ39" s="43" t="str">
        <f t="shared" si="145"/>
        <v/>
      </c>
      <c r="QA39" s="43" t="str">
        <f t="shared" si="146"/>
        <v/>
      </c>
      <c r="QB39" s="43" t="str">
        <f t="shared" si="147"/>
        <v/>
      </c>
      <c r="QC39" s="43" t="str">
        <f t="shared" si="148"/>
        <v/>
      </c>
      <c r="QD39" s="43" t="str">
        <f t="shared" si="149"/>
        <v/>
      </c>
      <c r="QE39" s="43" t="str">
        <f t="shared" si="150"/>
        <v/>
      </c>
      <c r="QF39" s="43" t="str">
        <f t="shared" si="151"/>
        <v/>
      </c>
      <c r="QG39" s="43" t="str">
        <f t="shared" si="152"/>
        <v/>
      </c>
      <c r="QH39" s="43" t="str">
        <f t="shared" si="153"/>
        <v/>
      </c>
      <c r="QI39" s="43" t="str">
        <f t="shared" si="154"/>
        <v/>
      </c>
      <c r="QJ39" s="43" t="str">
        <f t="shared" si="155"/>
        <v/>
      </c>
      <c r="QK39" s="43" t="str">
        <f t="shared" si="156"/>
        <v/>
      </c>
      <c r="QL39" s="43" t="str">
        <f t="shared" si="157"/>
        <v/>
      </c>
      <c r="QM39" s="43" t="str">
        <f t="shared" si="158"/>
        <v/>
      </c>
      <c r="QN39" s="43" t="str">
        <f t="shared" si="159"/>
        <v/>
      </c>
      <c r="QO39" s="43" t="str">
        <f t="shared" si="160"/>
        <v/>
      </c>
      <c r="QP39" s="43" t="str">
        <f t="shared" si="161"/>
        <v/>
      </c>
      <c r="QQ39" s="43" t="str">
        <f t="shared" si="162"/>
        <v/>
      </c>
      <c r="QR39" s="43">
        <f t="shared" si="192"/>
        <v>34</v>
      </c>
      <c r="QS39" s="43"/>
      <c r="QT39" s="21" t="str">
        <f t="shared" si="163"/>
        <v/>
      </c>
      <c r="QU39" s="21" t="str">
        <f t="shared" si="164"/>
        <v/>
      </c>
      <c r="QV39" s="21" t="str">
        <f t="shared" si="165"/>
        <v/>
      </c>
      <c r="QW39" s="21" t="str">
        <f t="shared" si="166"/>
        <v/>
      </c>
      <c r="QX39" s="21" t="str">
        <f t="shared" si="167"/>
        <v/>
      </c>
      <c r="QY39" s="21" t="str">
        <f t="shared" si="168"/>
        <v/>
      </c>
      <c r="QZ39" s="21" t="str">
        <f t="shared" si="169"/>
        <v/>
      </c>
      <c r="RA39" s="21" t="str">
        <f t="shared" si="170"/>
        <v/>
      </c>
      <c r="RB39" s="21" t="str">
        <f t="shared" si="171"/>
        <v/>
      </c>
      <c r="RC39" s="21" t="str">
        <f t="shared" si="172"/>
        <v/>
      </c>
      <c r="RD39" s="21" t="str">
        <f t="shared" si="173"/>
        <v/>
      </c>
      <c r="RE39" s="21" t="str">
        <f t="shared" si="174"/>
        <v/>
      </c>
      <c r="RF39" s="21" t="str">
        <f t="shared" si="175"/>
        <v/>
      </c>
      <c r="RG39" s="21" t="str">
        <f t="shared" si="176"/>
        <v/>
      </c>
      <c r="RH39" s="21" t="str">
        <f t="shared" si="177"/>
        <v/>
      </c>
      <c r="RI39" s="21" t="str">
        <f t="shared" si="178"/>
        <v/>
      </c>
      <c r="RJ39" s="21" t="str">
        <f t="shared" si="179"/>
        <v/>
      </c>
      <c r="RK39" s="21" t="str">
        <f t="shared" si="180"/>
        <v/>
      </c>
      <c r="RL39" s="21" t="str">
        <f t="shared" si="181"/>
        <v/>
      </c>
      <c r="RM39" s="21" t="str">
        <f t="shared" si="182"/>
        <v/>
      </c>
      <c r="RN39" s="21" t="str">
        <f t="shared" si="183"/>
        <v/>
      </c>
      <c r="RO39" s="21" t="str">
        <f t="shared" si="184"/>
        <v/>
      </c>
      <c r="RP39" s="21" t="str">
        <f t="shared" si="185"/>
        <v/>
      </c>
      <c r="RQ39" s="21" t="str">
        <f t="shared" si="186"/>
        <v/>
      </c>
      <c r="RR39" s="21" t="str">
        <f t="shared" si="187"/>
        <v/>
      </c>
      <c r="RS39" s="21" t="str">
        <f t="shared" si="188"/>
        <v/>
      </c>
      <c r="RT39" s="21" t="str">
        <f t="shared" si="189"/>
        <v/>
      </c>
      <c r="RU39" s="21" t="str">
        <f t="shared" si="190"/>
        <v/>
      </c>
      <c r="RV39" s="21">
        <f t="shared" si="191"/>
        <v>18.142857142857142</v>
      </c>
      <c r="RW39" s="284">
        <f>IF(OR(Tabla1[[#This Row],[FUM FORMULA CONFIABLE]]="",Tabla1[[#This Row],[FUM FORMULA CONFIABLE]]="SD"),"",IF(Tabla1[[#This Row],[FUM FORMULA CONFIABLE]]="CORREGIDA",Tabla1[[#This Row],[FUM X ECO 1]],Tabla1[[#This Row],[FUM x AMENORREA]]))</f>
        <v>44732</v>
      </c>
      <c r="RX39" s="21">
        <f>IF(AND(Tabla1[[#This Row],[FUM X ECO 1]]="",Tabla1[[#This Row],[FUM x AMENORREA]]=""),"",IF(AND(Tabla1[[#This Row],[FUM X ECO 1]]="",Tabla1[[#This Row],[FUM x AMENORREA]]&lt;&gt;""),"X",SUM(Tabla1[[#This Row],[FUM X ECO 1]]-Tabla1[[#This Row],[FUM x AMENORREA]])))</f>
        <v>26.5</v>
      </c>
      <c r="RY39" s="21">
        <f t="shared" si="193"/>
        <v>1</v>
      </c>
    </row>
    <row r="40" spans="1:493" ht="45" customHeight="1" x14ac:dyDescent="0.25">
      <c r="A40" s="109" t="s">
        <v>1073</v>
      </c>
      <c r="B40" s="43"/>
      <c r="C40" s="43" t="s">
        <v>845</v>
      </c>
      <c r="D40" s="124" t="s">
        <v>846</v>
      </c>
      <c r="E40" s="43" t="s">
        <v>1041</v>
      </c>
      <c r="F40" s="43" t="s">
        <v>953</v>
      </c>
      <c r="G40" s="43" t="s">
        <v>1074</v>
      </c>
      <c r="H40" s="43"/>
      <c r="I40" s="109" t="s">
        <v>851</v>
      </c>
      <c r="J40" s="110">
        <v>1059601540</v>
      </c>
      <c r="K40" s="43" t="s">
        <v>852</v>
      </c>
      <c r="L40" s="175" t="s">
        <v>853</v>
      </c>
      <c r="M40" s="22">
        <v>34011</v>
      </c>
      <c r="N40" s="213">
        <f t="shared" ca="1" si="0"/>
        <v>30.742465753424657</v>
      </c>
      <c r="O40" s="22">
        <v>44863</v>
      </c>
      <c r="P40" s="214" t="str">
        <f t="shared" si="194"/>
        <v>SI</v>
      </c>
      <c r="Q40" s="26" t="s">
        <v>855</v>
      </c>
      <c r="R40" s="22">
        <v>44863</v>
      </c>
      <c r="S40" s="21" t="s">
        <v>856</v>
      </c>
      <c r="T40" s="24" t="s">
        <v>690</v>
      </c>
      <c r="U40" s="21" t="s">
        <v>857</v>
      </c>
      <c r="V40" s="21" t="s">
        <v>858</v>
      </c>
      <c r="W40" s="21" t="s">
        <v>1075</v>
      </c>
      <c r="X40" s="21" t="s">
        <v>1075</v>
      </c>
      <c r="Y40" s="21" t="s">
        <v>859</v>
      </c>
      <c r="Z40" s="21">
        <v>3177983200</v>
      </c>
      <c r="AA40" s="21" t="s">
        <v>860</v>
      </c>
      <c r="AB40" s="27" t="s">
        <v>861</v>
      </c>
      <c r="AC40" s="26" t="s">
        <v>877</v>
      </c>
      <c r="AD40" s="38" t="s">
        <v>846</v>
      </c>
      <c r="AE40" s="26" t="s">
        <v>864</v>
      </c>
      <c r="AF40" s="26" t="s">
        <v>854</v>
      </c>
      <c r="AG40" s="23" t="s">
        <v>864</v>
      </c>
      <c r="AH40" s="23" t="s">
        <v>864</v>
      </c>
      <c r="AI40" s="24" t="s">
        <v>863</v>
      </c>
      <c r="AJ40" s="23" t="s">
        <v>864</v>
      </c>
      <c r="AK40" s="220" t="str">
        <f>IF(AND(AD40="",AE40="",AF40="",AG40="",AH40="",AI40="",AJ40=""),"",IF(OR(Tabla1[[#This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EVALUACIÓN",IF(AND(O40="",R40=""),"",IF(AND(OR(O40&gt;0,R40&gt;0),NG40&gt;=0,NG40&lt;2),"SIN RIESGO",IF(AND(OR(O40&gt;0,R40&gt;0),NG40&gt;=2),"CON RIESGO","ASD")))))</f>
        <v>SIN RIESGO</v>
      </c>
      <c r="AL40" s="23" t="s">
        <v>864</v>
      </c>
      <c r="AM40" s="26" t="s">
        <v>864</v>
      </c>
      <c r="AN40" s="26" t="s">
        <v>864</v>
      </c>
      <c r="AO40" s="26" t="s">
        <v>864</v>
      </c>
      <c r="AP40" s="26" t="s">
        <v>864</v>
      </c>
      <c r="AQ40" s="26" t="s">
        <v>864</v>
      </c>
      <c r="AR40" s="26" t="s">
        <v>864</v>
      </c>
      <c r="AS40" s="21">
        <v>3</v>
      </c>
      <c r="AT40" s="21">
        <v>3</v>
      </c>
      <c r="AU40" s="21">
        <v>0</v>
      </c>
      <c r="AV40" s="26" t="s">
        <v>864</v>
      </c>
      <c r="AW40" s="21">
        <v>0</v>
      </c>
      <c r="AX40" s="26" t="s">
        <v>864</v>
      </c>
      <c r="AY40" s="26" t="s">
        <v>864</v>
      </c>
      <c r="AZ40" s="26" t="s">
        <v>864</v>
      </c>
      <c r="BA40" s="26" t="s">
        <v>864</v>
      </c>
      <c r="BB40" s="26" t="s">
        <v>864</v>
      </c>
      <c r="BC40" s="26" t="s">
        <v>864</v>
      </c>
      <c r="BD40" s="26" t="s">
        <v>864</v>
      </c>
      <c r="BE40" s="26" t="s">
        <v>864</v>
      </c>
      <c r="BF40" s="26" t="s">
        <v>864</v>
      </c>
      <c r="BG40" s="26" t="s">
        <v>864</v>
      </c>
      <c r="BH40" s="26" t="s">
        <v>864</v>
      </c>
      <c r="BI40" s="26" t="s">
        <v>864</v>
      </c>
      <c r="BJ40" s="26"/>
      <c r="BK40" s="26"/>
      <c r="BL40" s="26" t="s">
        <v>864</v>
      </c>
      <c r="BM40" s="26" t="s">
        <v>864</v>
      </c>
      <c r="BN40" s="22">
        <v>40330</v>
      </c>
      <c r="BO40" s="22">
        <v>44727</v>
      </c>
      <c r="BP40" s="21" t="s">
        <v>864</v>
      </c>
      <c r="BQ40" s="222">
        <f t="shared" si="2"/>
        <v>146.56666666666666</v>
      </c>
      <c r="BR40" s="223" t="str">
        <f t="shared" si="3"/>
        <v/>
      </c>
      <c r="BS40" s="224">
        <f t="shared" si="4"/>
        <v>19.428571428571427</v>
      </c>
      <c r="BT40" s="216" t="str">
        <f t="shared" si="5"/>
        <v>DEFINIR CON ECO</v>
      </c>
      <c r="BU40" s="214" t="str">
        <f t="shared" ca="1" si="6"/>
        <v/>
      </c>
      <c r="BV40" s="25"/>
      <c r="BW40" s="22"/>
      <c r="BX40" s="28"/>
      <c r="BY40" s="28"/>
      <c r="BZ40" s="22"/>
      <c r="CA40" s="21"/>
      <c r="CB40" s="26"/>
      <c r="CC40" s="26"/>
      <c r="CD40" s="26"/>
      <c r="CE40" s="26"/>
      <c r="CF40" s="22" t="s">
        <v>1517</v>
      </c>
      <c r="CG40" s="21">
        <v>1.48</v>
      </c>
      <c r="CH40" s="21">
        <v>70</v>
      </c>
      <c r="CI40" s="214">
        <f t="shared" si="7"/>
        <v>31.957633308984661</v>
      </c>
      <c r="CJ40" s="225" t="e">
        <f>IF(AND(CI40&lt;10,CH40="SD"),"SIN DATO PESO PREGESTACION O I TRIM",IF(AND(OR(R40&gt;0,O40&gt;0),CI40="X"),"INGRESAR DATO DE PESO",IF(CI40="SD","INGRESAR DATO DE TALLA Y PESO",IF(AND(OR(Tabla1[[#This Row],[MOMENTO EN QUE SE REALIZA EL PESO AL INGRESO A CPN]]="PREGESTACIÓN",NZ40="Menor"),CI40&lt;18.5),"BAJO PESO",IF(AND(OR(Tabla1[[#This Row],[MOMENTO EN QUE SE REALIZA EL PESO AL INGRESO A CPN]]="PREGESTACIÓN",NZ40="Menor"),CI40&lt;25),"NORMAL",IF(AND(OR(Tabla1[[#This Row],[MOMENTO EN QUE SE REALIZA EL PESO AL INGRESO A CPN]]="PREGESTACIÓN",NZ40="Menor"),CI40&lt;30),"SOBREPESO",IF(AND(OR(Tabla1[[#This Row],[MOMENTO EN QUE SE REALIZA EL PESO AL INGRESO A CPN]]="PREGESTACIÓN",NZ40="Menor"),CI40&gt;=30,CI40&lt;50),"OBESIDAD",IF(AND(BS40&gt;0,Tabla1[[#This Row],[MOMENTO EN QUE SE REALIZA EL PESO AL INGRESO A CPN]]="GESTACIÓN"),HLOOKUP(NZ40,$OA$2:PH40,NY40),""))))))))</f>
        <v>#REF!</v>
      </c>
      <c r="CK40" s="212">
        <f t="shared" si="8"/>
        <v>44863</v>
      </c>
      <c r="CL40" s="21"/>
      <c r="CM40" s="214">
        <f t="shared" si="9"/>
        <v>0</v>
      </c>
      <c r="CN40" s="216">
        <f t="shared" si="10"/>
        <v>19</v>
      </c>
      <c r="CO40" s="216" t="e">
        <f>IF(PI40="","",IF(PI40&gt;0,HLOOKUP(PI40,$PJ$2:QQ40,NY40),""))</f>
        <v>#REF!</v>
      </c>
      <c r="CP40" s="21"/>
      <c r="CQ40" s="216" t="e">
        <f>IF(QR40="Menor","NO APLICA-MENOR 13 SEM",IF(AND(CC40="SI",CN40&gt;23),"NO APLICA- GEMELAR",IF(QR40="","",IF(QR40&gt;0,HLOOKUP(QR40,$QS$2:RU40,NY40),""))))</f>
        <v>#REF!</v>
      </c>
      <c r="CR40" s="21"/>
      <c r="CS40" s="21"/>
      <c r="CT40" s="217" t="str">
        <f>IF(R40="","",IF(AND(BS40&gt;1,BS40&lt;12,Tabla1[[#This Row],[T.A. SISTOLICA - ANTES DE SEMANA 12]]="",Tabla1[[#This Row],[T.A. DIASTOLICA - ANTES DE SEMANA 12]]=""),"REGISTRE DATO TA ANTES SEMANA 12",IF(AND(BS40&gt;11,BS40&lt;43,Tabla1[[#This Row],[T.A. SISTOLICA - ANTES DE SEMANA 12]]="",Tabla1[[#This Row],[T.A. DIASTOLICA - ANTES DE SEMANA 12]]=""),"NO APLICA REGISTRO TA-INGRESO TARDIO",IF(AND(OR(O40&gt;0,R40&gt;0),OR(CR40&gt;=140,CS40&gt;=90)),"DEFINIR ESTADIO HTA",IF(AND(OR(O40&gt;0,R40&gt;0),AND(CR40&gt;120,CR40&lt;=139)),"PRE HTA SEGUIMIENTO",IF(AND(OR(O40&gt;0,R40&gt;0),AND(CS40&gt;80,CS40&lt;=89)),"PRE HTA SEGUIMIENTO",IF(AND(OR(O40&gt;0,R40&gt;0),AND(CR40&gt;=80,CR40&lt;=120)),"APARENTEMENTE NORMAL",IF(AND(OR(O40&gt;0,R40&gt;0),AND(CS40&gt;=50,CS40&lt;=80)),"APARENTEMENTE NORMAL",IF(AND(OR(O40&gt;0,R40&gt;0),AND(CR40&gt;1,CR40&lt;=70),AND(CS40&gt;1,CS40&lt;=40)),"HIPOTENSIÓN","")))))))))</f>
        <v>NO APLICA REGISTRO TA-INGRESO TARDIO</v>
      </c>
      <c r="CU40" s="21">
        <v>120</v>
      </c>
      <c r="CV40" s="21">
        <v>60</v>
      </c>
      <c r="CW40" s="217" t="str">
        <f ca="1">IF(R40="","",IF(AND(CN40&gt;19,CN40&lt;27,Tabla1[[#This Row],[T.A. SISTOLICA (Entre semana 20 y 26)]]="",Tabla1[[#This Row],[T.A. DIATOLICA (Entre semana 20 y 26)]]=""),"ACUDE A CONTROL SEM 20 A 26 REGISTRE TA AHORA",IF(AND(BS40&gt;1,BS40&lt;27,BU40&gt;19,Tabla1[[#This Row],[T.A. SISTOLICA (Entre semana 20 y 26)]]="",Tabla1[[#This Row],[T.A. DIATOLICA (Entre semana 20 y 26)]]=""),"COMPLETE REGISTRO TA CONTROL SEM 20 A26 ",IF(AND(BS40&gt;26,BS40&lt;43,Tabla1[[#This Row],[T.A. SISTOLICA (Entre semana 20 y 26)]]="",Tabla1[[#This Row],[T.A. DIATOLICA (Entre semana 20 y 26)]]=""),"NO APLICA REGISTRO TA-INGRESO TARDIO",IF(AND(OR(O40&gt;0,R40&gt;0),OR(CU40&gt;=140,CV40&gt;=90)),"ALTO RIESGO PREECLAMPSIA,DEFINIR ESTADIO HTA",IF(AND(OR(O40&gt;0,R40&gt;0),AND(CU40&gt;120,CU40&lt;=139)),"PRE HTA SEGUIMIENTO,RIESGO HIPERTENSION INDUCIDA POR EL EMBARAZO",IF(AND(OR(O40&gt;0,R40&gt;0),AND(CV40&gt;80,CV40&lt;=89)),"PRE HTA SEGUIMIENTO, RIESGO HIPERTENSION INDUCIDA POR EL EMBARAZO",IF(AND(OR(O40&lt;&gt;"",R40&lt;&gt;""),CS40&lt;&gt;"",CV40&lt;&gt;"",CS40&lt;=CV40),"VIGILAR CIFRAS PRESION ARTERIAL",IF(AND(OR(O40&gt;0,R40&gt;0),AND(CU40&gt;120,CU40&lt;=139)),"PRE HTA SEGUIMIENTO",IF(AND(OR(O40&gt;0,R40&gt;0),AND(CU40&gt;1,CU40&lt;=70),AND(CV40&gt;1,CV40&lt;=40)),"HIPOTENSIÓN",IF(AND(OR(O40&lt;&gt;"",R40&lt;&gt;""),CS40&lt;&gt;"",CV40&lt;&gt;"",CS40&gt;CV40),"APARENTEMENTE NORMAL",IF(AND(OR(O40&gt;0,R40&gt;0),AND(CU40&gt;=80,CU40&lt;=120)),"APARENTEMENTE NORMAL",IF(AND(OR(O40&gt;0,R40&gt;0),AND(CV40&gt;=50,CV40&lt;=80)),"APARENTEMENTE NORMAL","")))))))))))))</f>
        <v>APARENTEMENTE NORMAL</v>
      </c>
      <c r="CX40" s="21"/>
      <c r="CY40" s="21"/>
      <c r="CZ40" s="216" t="str">
        <f t="shared" si="195"/>
        <v/>
      </c>
      <c r="DA40" s="21"/>
      <c r="DB40" s="21"/>
      <c r="DC40" s="217" t="str">
        <f t="shared" si="12"/>
        <v>REGISTRE DATO PRESIÓN ARTERIAL MENSUAL</v>
      </c>
      <c r="DD40" s="22">
        <v>44862</v>
      </c>
      <c r="DE40" s="22">
        <v>44862</v>
      </c>
      <c r="DF40" s="22"/>
      <c r="DG40" s="22"/>
      <c r="DH40" s="22"/>
      <c r="DI40" s="22"/>
      <c r="DJ40" s="22"/>
      <c r="DK40" s="22"/>
      <c r="DL40" s="22"/>
      <c r="DM40" s="22"/>
      <c r="DN40" s="22"/>
      <c r="DO40" s="22"/>
      <c r="DP40" s="22"/>
      <c r="DQ40" s="22"/>
      <c r="DR40" s="28"/>
      <c r="DS40" s="22"/>
      <c r="DT40" s="22"/>
      <c r="DU40" s="216" t="str">
        <f t="shared" ca="1" si="196"/>
        <v>SALE SIN PLAN DE PARTO</v>
      </c>
      <c r="DV40" s="226" t="str">
        <f t="shared" si="197"/>
        <v>SALIO PROGRAMA</v>
      </c>
      <c r="DW40"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40" s="216" t="str">
        <f t="shared" ca="1" si="15"/>
        <v/>
      </c>
      <c r="DY40" s="212">
        <f>IF(R40="","",IF(R40&gt;0,MAX(Tabla1[[#This Row],[FECHA C2]:[FECHA C13]],Tabla1[[#This Row],[FECHA CONSULTA PRIMERA VEZ PROGRAMA CPN ]])))</f>
        <v>44863</v>
      </c>
      <c r="DZ40" s="216">
        <f t="shared" si="16"/>
        <v>19</v>
      </c>
      <c r="EA40" s="222">
        <f>IF(R40&gt;0,SUM(COUNTA(DF40:DQ40)+COUNTA(Tabla1[[#This Row],[FECHA CONSULTA PRIMERA VEZ PROGRAMA CPN ]])),"")</f>
        <v>1</v>
      </c>
      <c r="EB40" s="222" t="str">
        <f t="shared" si="17"/>
        <v>NO</v>
      </c>
      <c r="EC40" s="214">
        <f t="shared" si="18"/>
        <v>7</v>
      </c>
      <c r="ED40" s="227">
        <f t="shared" si="19"/>
        <v>0.14285714285714285</v>
      </c>
      <c r="EE40" s="22">
        <v>44862</v>
      </c>
      <c r="EF40" s="22">
        <v>44863</v>
      </c>
      <c r="EG40" s="22">
        <v>44862</v>
      </c>
      <c r="EH40" s="22"/>
      <c r="EI40" s="22">
        <v>44862</v>
      </c>
      <c r="EJ40" s="22">
        <v>44942</v>
      </c>
      <c r="EK40" s="22">
        <v>44942</v>
      </c>
      <c r="EL40" s="21"/>
      <c r="EM40" s="21">
        <v>12.2</v>
      </c>
      <c r="EN40" s="22">
        <v>44863</v>
      </c>
      <c r="EO40" s="222">
        <f t="shared" si="20"/>
        <v>19.428571428571427</v>
      </c>
      <c r="EP40" s="214" t="str">
        <f t="shared" si="21"/>
        <v>NORMAL- SUMINISTRAR SULFATO FERROSO</v>
      </c>
      <c r="EQ40" s="216" t="str">
        <f t="shared" si="22"/>
        <v>II TRIM</v>
      </c>
      <c r="ER40" s="24"/>
      <c r="ES40" s="22"/>
      <c r="ET40" s="29" t="str">
        <f t="shared" ca="1" si="198"/>
        <v>SALE SIN TAMIZAJE HEMOGLOBINA SEM 28</v>
      </c>
      <c r="EU40" s="25" t="str">
        <f t="shared" si="24"/>
        <v/>
      </c>
      <c r="EV40" s="24" t="s">
        <v>866</v>
      </c>
      <c r="EW40" s="24">
        <v>44863</v>
      </c>
      <c r="EX40" s="22"/>
      <c r="EY40" s="29">
        <f t="shared" si="199"/>
        <v>19.428571428571427</v>
      </c>
      <c r="EZ40" s="25" t="str">
        <f t="shared" ca="1" si="200"/>
        <v/>
      </c>
      <c r="FA40" s="21">
        <v>70</v>
      </c>
      <c r="FB40" s="22">
        <v>44863</v>
      </c>
      <c r="FC40" s="29">
        <f t="shared" si="27"/>
        <v>19.428571428571427</v>
      </c>
      <c r="FD40" s="29"/>
      <c r="FE40" s="29"/>
      <c r="FF40" s="29"/>
      <c r="FG40" s="21" t="str">
        <f t="shared" ca="1" si="28"/>
        <v/>
      </c>
      <c r="FH40" s="31"/>
      <c r="FI40" s="29" t="str">
        <f t="shared" si="29"/>
        <v>TOMAR EXAMEN</v>
      </c>
      <c r="FJ40" s="22"/>
      <c r="FK40" s="22"/>
      <c r="FL40" s="29" t="str">
        <f t="shared" ca="1" si="30"/>
        <v>NO APLICA-INGRESO TARDIO</v>
      </c>
      <c r="FM40" s="22" t="s">
        <v>867</v>
      </c>
      <c r="FN40" s="32">
        <v>44863</v>
      </c>
      <c r="FO40" s="29">
        <f t="shared" ca="1" si="201"/>
        <v>19.428571428571427</v>
      </c>
      <c r="FP40" s="22"/>
      <c r="FQ40" s="32"/>
      <c r="FR40" s="29" t="str">
        <f t="shared" ca="1" si="202"/>
        <v>PIERDE TOMA DE TAMIZAJE</v>
      </c>
      <c r="FS40" s="22"/>
      <c r="FT40" s="32"/>
      <c r="FU40" s="29" t="str">
        <f>IF(AND(FJ40="",FM40="",FP40="",FS40=""),"",IF(OR(OR(Tabla1[[#This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40" s="28"/>
      <c r="FW40" s="22"/>
      <c r="FX40" s="29" t="str">
        <f t="shared" si="33"/>
        <v>TOMAR EXAMEN</v>
      </c>
      <c r="FY40" s="22">
        <v>44863</v>
      </c>
      <c r="FZ40" s="22">
        <v>44863</v>
      </c>
      <c r="GA40" s="29" t="str">
        <f t="shared" si="203"/>
        <v>REGISTRAR EN II TRIMESTRE</v>
      </c>
      <c r="GB40" s="22" t="s">
        <v>868</v>
      </c>
      <c r="GC40" s="22">
        <v>44863</v>
      </c>
      <c r="GD40" s="29">
        <f t="shared" ca="1" si="204"/>
        <v>19.428571428571427</v>
      </c>
      <c r="GE40" s="22"/>
      <c r="GF40" s="22"/>
      <c r="GG40" s="29" t="str">
        <f t="shared" ca="1" si="205"/>
        <v>PIERDE TOMA DE TAMIZAJE</v>
      </c>
      <c r="GH40" s="22"/>
      <c r="GI40" s="29"/>
      <c r="GJ40" s="22"/>
      <c r="GK40" s="22"/>
      <c r="GL40" s="22" t="s">
        <v>879</v>
      </c>
      <c r="GM40" s="22"/>
      <c r="GN40" s="28" t="s">
        <v>869</v>
      </c>
      <c r="GO40" s="22">
        <v>44863</v>
      </c>
      <c r="GP40" s="29">
        <f t="shared" si="37"/>
        <v>19.428571428571427</v>
      </c>
      <c r="GQ40" s="28" t="s">
        <v>880</v>
      </c>
      <c r="GR40" s="28" t="s">
        <v>869</v>
      </c>
      <c r="GS40" s="22" t="str">
        <f t="shared" si="206"/>
        <v>SE EXCLUYE INFECCION</v>
      </c>
      <c r="GT40" s="22">
        <v>44863</v>
      </c>
      <c r="GU40" s="29">
        <f t="shared" si="39"/>
        <v>19.428571428571427</v>
      </c>
      <c r="GV40" s="21" t="str">
        <f t="shared" si="40"/>
        <v>II TRIM</v>
      </c>
      <c r="GW40" s="28" t="s">
        <v>869</v>
      </c>
      <c r="GX40" s="30"/>
      <c r="GY40" s="21" t="s">
        <v>906</v>
      </c>
      <c r="GZ40" s="21"/>
      <c r="HA40" s="21"/>
      <c r="HB40" s="21"/>
      <c r="HC40" s="21"/>
      <c r="HD40" s="21"/>
      <c r="HE40" s="21"/>
      <c r="HF40" s="22"/>
      <c r="HG40" s="22" t="str">
        <f>IF(OR(O40&gt;0,R40&gt;0),CONCATENATE(IF(Tabla1[[#This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40" s="22" t="e">
        <f t="shared" si="41"/>
        <v>#REF!</v>
      </c>
      <c r="HI40" s="22" t="e">
        <f t="shared" ca="1" si="42"/>
        <v>#REF!</v>
      </c>
      <c r="HJ40" s="21" t="str">
        <f t="shared" ca="1" si="43"/>
        <v>***************************************</v>
      </c>
      <c r="HK40" s="21" t="str">
        <f t="shared" si="44"/>
        <v>SIN ANTECEDENTES DE RIESGO</v>
      </c>
      <c r="HL40" s="24" t="str">
        <f t="shared" si="45"/>
        <v>REGISTRE DATO PRESIÓN ARTERIAL MENSUAL</v>
      </c>
      <c r="HM40" s="21" t="str">
        <f t="shared" ca="1" si="46"/>
        <v/>
      </c>
      <c r="HN40" s="30" t="str">
        <f t="shared" si="207"/>
        <v>SALIO PROGRAMA</v>
      </c>
      <c r="HO40" s="21"/>
      <c r="HP40" s="21"/>
      <c r="HQ40" s="21">
        <v>44863</v>
      </c>
      <c r="HR40" s="21" t="str">
        <f>IF(R40="","",IF(Tabla1[[#This Row],[ALARMA FACTORES DE RIESGO COMPLICACIONES HIPERTENSIVAS3]]="SIN ANTECEDENTES DE RIESGO","No Aplica para suministro de ASA",IF(AND(Tabla1[[#This Row],[FECHA INICIO DE SUMINISTRO DE ASA]]&gt;0,RV40&lt;12),"Inicia ASA ANTES de Sem 12",IF(AND(RV40&gt;11,RV40&lt;17,OR(HK40="RIESGO ALTO DE COMPLICACIONES HIPERTENSIVAS VER MANEJO GUIA SUMINISTRO ASA Y CALCIO",HK40="RIESGO MODERADO (2 O MAS CRITERIOS) VER MANEJO GUIA SUMINISTRO ASA Y CALCIO")),"Inicio oportuno de ASA",IF(AND(RV40&gt;12,OR(HK40="RIESGO ALTO DE COMPLICACIONES HIPERTENSIVAS VER MANEJO GUIA SUMINISTRO ASA Y CALCIO",HK40="RIESGO MODERADO (2 O MAS CRITERIOS) VER MANEJO GUIA SUMINISTRO ASA Y CALCIO")),"Inicio no oportuno mayor a 16 semanas",IF(AND(BU40&lt;12,OR(HK40="RIESGO ALTO DE COMPLICACIONES HIPERTENSIVAS VER MANEJO GUIA SUMINISTRO ASA Y CALCIO",HK40="RIESGO MODERADO (2 O MAS CRITERIOS) VER MANEJO GUIA SUMINISTRO ASA Y CALCIO")),"Pendiente Inicio de ASA a la semana 12",IF(AND(BU40&gt;11,BU40&lt;17,OR(HK40="RIESGO ALTO DE COMPLICACIONES HIPERTENSIVAS VER MANEJO GUIA SUMINISTRO ASA Y CALCIO",HK40="RIESGO MODERADO (2 O MAS CRITERIOS) VER MANEJO GUIA SUMINISTRO ASA Y CALCIO")),"Iniciar de inmediato ASA",IF(AND(BU40&gt;16,OR(HK40="RIESGO ALTO DE COMPLICACIONES HIPERTENSIVAS VER MANEJO GUIA SUMINISTRO ASA Y CALCIO",HK40="RIESGO MODERADO (2 O MAS CRITERIOS) VER MANEJO GUIA SUMINISTRO ASA Y CALCIO")),"Pierde Oportunidad, Inicio tardío de ASA","XXXXX"))))))))</f>
        <v>No Aplica para suministro de ASA</v>
      </c>
      <c r="HS40" s="22">
        <v>44863</v>
      </c>
      <c r="HT40" s="22" t="s">
        <v>870</v>
      </c>
      <c r="HU40" s="22"/>
      <c r="HV40" s="22"/>
      <c r="HW40" s="22">
        <v>44863</v>
      </c>
      <c r="HX40" s="22" t="s">
        <v>870</v>
      </c>
      <c r="HY40" s="22">
        <v>44870</v>
      </c>
      <c r="HZ40" s="28">
        <f t="shared" si="48"/>
        <v>20.428571428571427</v>
      </c>
      <c r="IA40" s="26" t="s">
        <v>864</v>
      </c>
      <c r="IB40" s="26"/>
      <c r="IC40" s="111"/>
      <c r="ID40" s="22"/>
      <c r="IE40" s="22" t="str">
        <f t="shared" ca="1" si="49"/>
        <v>SALE SIN VACUNA</v>
      </c>
      <c r="IF40" s="22"/>
      <c r="IG40" s="22">
        <f t="shared" si="50"/>
        <v>45007</v>
      </c>
      <c r="IH40" s="29">
        <f t="shared" ca="1" si="51"/>
        <v>-225</v>
      </c>
      <c r="II40" s="22" t="str">
        <f t="shared" ca="1" si="52"/>
        <v>POSIBLEMENTE NACIO</v>
      </c>
      <c r="IJ40" s="22"/>
      <c r="IK40" s="21" t="s">
        <v>898</v>
      </c>
      <c r="IL40" s="21"/>
      <c r="IM40" s="34"/>
      <c r="IN40" s="349">
        <v>44986</v>
      </c>
      <c r="IO40" s="21" t="s">
        <v>1186</v>
      </c>
      <c r="IP40" s="29">
        <f t="shared" si="208"/>
        <v>37</v>
      </c>
      <c r="IQ40" s="110" t="s">
        <v>1654</v>
      </c>
      <c r="IR40" s="21" t="s">
        <v>1651</v>
      </c>
      <c r="IS40" s="21" t="s">
        <v>1646</v>
      </c>
      <c r="IT40" s="21" t="s">
        <v>1642</v>
      </c>
      <c r="IU40" s="21"/>
      <c r="IV40" s="21"/>
      <c r="IW40" s="21"/>
      <c r="IX40" s="21"/>
      <c r="IY40" s="21"/>
      <c r="IZ40" s="21"/>
      <c r="JA40" s="21"/>
      <c r="JB40" s="30">
        <v>1</v>
      </c>
      <c r="JC40" s="21" t="s">
        <v>1647</v>
      </c>
      <c r="JD40" s="36">
        <v>3450</v>
      </c>
      <c r="JE40" s="21" t="str">
        <f t="shared" si="209"/>
        <v>PESO ADECUADO EDAD GESTACIONAL</v>
      </c>
      <c r="JF40" s="30"/>
      <c r="JG40" s="21"/>
      <c r="JH40" s="21"/>
      <c r="JI40" s="21" t="s">
        <v>854</v>
      </c>
      <c r="JJ40" s="30" t="s">
        <v>866</v>
      </c>
      <c r="JK40" s="22"/>
      <c r="JL40" s="22"/>
      <c r="JM40" s="21"/>
      <c r="JN40" s="36"/>
      <c r="JO40" s="21" t="str">
        <f t="shared" si="210"/>
        <v/>
      </c>
      <c r="JP40" s="22"/>
      <c r="JQ40" s="21"/>
      <c r="JR40" s="21"/>
      <c r="JS40" s="21"/>
      <c r="JT40" s="30"/>
      <c r="JU40" s="22"/>
      <c r="JV40" s="22"/>
      <c r="JW40" s="33"/>
      <c r="JX40" s="28" t="str">
        <f t="shared" si="211"/>
        <v>INASISTENTE</v>
      </c>
      <c r="JY40" s="33"/>
      <c r="JZ40" s="28" t="str">
        <f t="shared" si="212"/>
        <v>INASISTENTE</v>
      </c>
      <c r="KA40" s="21"/>
      <c r="KB40" s="21"/>
      <c r="KC40" s="21"/>
      <c r="KD40" s="37"/>
      <c r="KE40" s="28"/>
      <c r="KF40" s="28"/>
      <c r="KG40" s="28"/>
      <c r="KH40" s="39"/>
      <c r="KI40" s="39"/>
      <c r="KJ40" s="66"/>
      <c r="KK40" s="39"/>
      <c r="KL40" s="39"/>
      <c r="KM40" s="66"/>
      <c r="KN40" s="39"/>
      <c r="KO40" s="39"/>
      <c r="KP40" s="39"/>
      <c r="KQ40" s="39"/>
      <c r="KR40" s="39"/>
      <c r="KS40" s="39"/>
      <c r="KT40" s="39"/>
      <c r="KU40" s="38"/>
      <c r="KV40" s="38"/>
      <c r="KW40" s="38"/>
      <c r="KX40" s="38"/>
      <c r="KY40" s="38"/>
      <c r="KZ40" s="38"/>
      <c r="LA40" s="38"/>
      <c r="LB40" s="38"/>
      <c r="LC40" s="38"/>
      <c r="LD40" s="38"/>
      <c r="LE40" s="38"/>
      <c r="LF40" s="38"/>
      <c r="LG40" s="38"/>
      <c r="LH40" s="38"/>
      <c r="LI40" s="38"/>
      <c r="LJ40" s="38"/>
      <c r="LK40" s="38"/>
      <c r="LL40" s="38"/>
      <c r="LM40" s="38"/>
      <c r="LN40" s="38"/>
      <c r="LO40" s="38"/>
      <c r="LP40" s="38"/>
      <c r="LQ40" s="38"/>
      <c r="LR40" s="38"/>
      <c r="LS40" s="38"/>
      <c r="LT40" s="38"/>
      <c r="LU40" s="38"/>
      <c r="LV40" s="38"/>
      <c r="LW40" s="38"/>
      <c r="LX40" s="38"/>
      <c r="LY40" s="38"/>
      <c r="LZ40" s="38"/>
      <c r="MA40" s="38"/>
      <c r="MB40" s="38"/>
      <c r="MC40" s="38"/>
      <c r="MD40" s="38"/>
      <c r="ME40" s="38"/>
      <c r="MF40" s="38"/>
      <c r="MG40" s="38"/>
      <c r="MH40" s="43">
        <f t="shared" si="213"/>
        <v>0</v>
      </c>
      <c r="MI40" s="43" t="str">
        <f t="shared" si="214"/>
        <v/>
      </c>
      <c r="MJ40" s="43" t="str">
        <f t="shared" si="215"/>
        <v/>
      </c>
      <c r="MK40" s="43">
        <f t="shared" si="216"/>
        <v>0</v>
      </c>
      <c r="ML4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40" s="43">
        <f t="shared" si="217"/>
        <v>19.428571428571427</v>
      </c>
      <c r="MN40" s="43">
        <f t="shared" si="218"/>
        <v>10</v>
      </c>
      <c r="MO40" s="43">
        <f t="shared" si="219"/>
        <v>2022</v>
      </c>
      <c r="MP40" s="43" t="str">
        <f t="shared" si="220"/>
        <v>IV TRIMESTRE AÑO</v>
      </c>
      <c r="MQ40" s="43">
        <f t="shared" si="221"/>
        <v>29.28712220762155</v>
      </c>
      <c r="MR40" s="43">
        <f t="shared" si="222"/>
        <v>0</v>
      </c>
      <c r="MS40" s="43" t="str">
        <f t="shared" si="223"/>
        <v xml:space="preserve"> DE 25 A 29 AÑOS</v>
      </c>
      <c r="MT40" s="43">
        <f t="shared" si="224"/>
        <v>0</v>
      </c>
      <c r="MU40" s="43">
        <f t="shared" si="225"/>
        <v>0</v>
      </c>
      <c r="MV40" s="43">
        <f t="shared" si="226"/>
        <v>0</v>
      </c>
      <c r="MW40" s="43">
        <f t="shared" si="227"/>
        <v>0</v>
      </c>
      <c r="MX40" s="43" t="str">
        <f t="shared" si="228"/>
        <v/>
      </c>
      <c r="MY40" s="43" t="str">
        <f t="shared" ca="1" si="229"/>
        <v/>
      </c>
      <c r="MZ40" s="43" t="str">
        <f t="shared" si="230"/>
        <v/>
      </c>
      <c r="NA40" s="43" t="str">
        <f t="shared" si="231"/>
        <v/>
      </c>
      <c r="NB40" s="43" t="str">
        <f t="shared" si="232"/>
        <v/>
      </c>
      <c r="NC40" s="43" t="str">
        <f t="shared" si="233"/>
        <v/>
      </c>
      <c r="ND40" s="43">
        <f t="shared" ca="1" si="234"/>
        <v>0.5</v>
      </c>
      <c r="NE40" s="43">
        <f>IF(OR(O40&gt;0,R40&gt;0),SUM(COUNTIF(Tabla1[[#This Row],[AÑOS AL INICIO5 CPN]],"&gt;=40"),COUNTIF(AS40,"0"),COUNTIF(AR40,"SI"),COUNTIF(CC40,"SI"),COUNTIF(BQ40,"&gt;119"),COUNTIF(CI40,"&gt;=35")),"")</f>
        <v>1</v>
      </c>
      <c r="NF40" s="43" t="str">
        <f t="shared" si="235"/>
        <v/>
      </c>
      <c r="NG40" s="43">
        <f t="shared" si="236"/>
        <v>0.5</v>
      </c>
      <c r="NH40" s="43" t="str">
        <f t="shared" si="237"/>
        <v/>
      </c>
      <c r="NI40"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CPN",P40="NO"),"Z",IF(AND(Tabla1[[#This Row],[CITA PROXIMO CONTROL]]="CITA MANUAL",Tabla1[[#This Row],[GESTANTES ACTUALES]]="ACTIVA INGRESO A CPN"),"W",IF(AND(Tabla1[[#This Row],[GESTANTES ACTUALES]]="SALIO PROGRAMA",IN40=""),"S",IF(AND(Tabla1[[#This Row],[CITA PROXIMO CONTROL]]&gt;0,IN40=""),(Tabla1[[#This Row],[CITA PROXIMO CONTROL]]-TODAY()),"SD"))))))))</f>
        <v>SD</v>
      </c>
      <c r="NJ40" s="43">
        <f>MONTH(Tabla1[[#This Row],[FECHA DE SALIDA  DEL PROGRAMA]])</f>
        <v>3</v>
      </c>
      <c r="NK40" s="43">
        <f>YEAR(Tabla1[[#This Row],[FECHA DE SALIDA  DEL PROGRAMA]])</f>
        <v>2023</v>
      </c>
      <c r="NL40" s="43">
        <f t="shared" si="238"/>
        <v>80</v>
      </c>
      <c r="NM40" s="43" t="str">
        <f t="shared" si="239"/>
        <v>NO</v>
      </c>
      <c r="NN40" s="43" t="str">
        <f ca="1">IF(AND(O40&gt;0,R40=""),"NO CPN",IF(AND(O40="",R40=""),"",IF(AND(R40&gt;0,Tabla1[[#This Row],[SEMANAS DE GESTACION ACTUALIZADAS]]&lt;=12),"NO APLICA",IF(AND(FH40&lt;&gt;"",FN40&lt;&gt;""),"SI","NO"))))</f>
        <v>NO</v>
      </c>
      <c r="NO40" s="43" t="str">
        <f ca="1">IF(AND(O40&gt;0,R40=""),"NO CPN",IF(AND(O40="",R40=""),"",IF(AND(R40&gt;0,Tabla1[[#This Row],[SEMANAS DE GESTACION ACTUALIZADAS]]&lt;=27),"NO APLICA",IF(AND(ES40&lt;&gt;"",FQ40&lt;&gt;"",GF40&lt;&gt;""),"SI","NO"))))</f>
        <v>NO</v>
      </c>
      <c r="NP40" s="204" t="str">
        <f t="shared" si="240"/>
        <v>DEFINIR CON ECO</v>
      </c>
      <c r="NQ40" s="21" t="str">
        <f t="shared" si="241"/>
        <v/>
      </c>
      <c r="NR40" s="21">
        <f t="shared" si="242"/>
        <v>2</v>
      </c>
      <c r="NS40" s="205">
        <f t="shared" ca="1" si="243"/>
        <v>1</v>
      </c>
      <c r="NT40" s="21">
        <f t="shared" ca="1" si="244"/>
        <v>1</v>
      </c>
      <c r="NU40" s="21" t="str">
        <f t="shared" ca="1" si="245"/>
        <v>INCOMPLETO</v>
      </c>
      <c r="NV40" s="21" t="str">
        <f t="shared" ca="1" si="246"/>
        <v>INCOMPLETO</v>
      </c>
      <c r="NW40" s="206" t="str">
        <f>IF(AND(O40="",R40=""),"",IF(OR(AND(Tabla1[[#This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40" s="207" t="str">
        <f t="shared" ca="1" si="247"/>
        <v>SIN VACUNAR</v>
      </c>
      <c r="NY40" s="43">
        <f>ROW(Tabla1[[#This Row],['# DE TAMIZAJES SIFILIS TOMADOS ]])</f>
        <v>40</v>
      </c>
      <c r="NZ40" s="43">
        <f t="shared" si="93"/>
        <v>19</v>
      </c>
      <c r="OA40" s="43" t="str">
        <f t="shared" si="94"/>
        <v/>
      </c>
      <c r="OB40" s="43" t="str">
        <f t="shared" si="95"/>
        <v/>
      </c>
      <c r="OC40" s="43" t="str">
        <f t="shared" si="96"/>
        <v/>
      </c>
      <c r="OD40" s="43" t="str">
        <f t="shared" si="97"/>
        <v/>
      </c>
      <c r="OE40" s="43" t="str">
        <f t="shared" si="98"/>
        <v/>
      </c>
      <c r="OF40" s="43" t="str">
        <f t="shared" si="99"/>
        <v/>
      </c>
      <c r="OG40" s="43" t="str">
        <f t="shared" si="100"/>
        <v/>
      </c>
      <c r="OH40" s="43" t="str">
        <f t="shared" si="101"/>
        <v/>
      </c>
      <c r="OI40" s="43" t="str">
        <f t="shared" si="102"/>
        <v/>
      </c>
      <c r="OJ40" s="43" t="str">
        <f t="shared" si="103"/>
        <v/>
      </c>
      <c r="OK40" s="43" t="str">
        <f t="shared" si="104"/>
        <v>OBESIDAD</v>
      </c>
      <c r="OL40" s="43" t="str">
        <f t="shared" si="105"/>
        <v/>
      </c>
      <c r="OM40" s="43" t="str">
        <f t="shared" si="106"/>
        <v/>
      </c>
      <c r="ON40" s="43" t="str">
        <f t="shared" si="107"/>
        <v/>
      </c>
      <c r="OO40" s="43" t="str">
        <f t="shared" si="108"/>
        <v/>
      </c>
      <c r="OP40" s="43" t="str">
        <f t="shared" si="109"/>
        <v/>
      </c>
      <c r="OQ40" s="43" t="str">
        <f t="shared" si="110"/>
        <v/>
      </c>
      <c r="OR40" s="43" t="str">
        <f t="shared" si="111"/>
        <v/>
      </c>
      <c r="OS40" s="43" t="str">
        <f t="shared" si="112"/>
        <v/>
      </c>
      <c r="OT40" s="43" t="str">
        <f t="shared" si="113"/>
        <v/>
      </c>
      <c r="OU40" s="43" t="str">
        <f t="shared" si="114"/>
        <v/>
      </c>
      <c r="OV40" s="110" t="str">
        <f t="shared" si="115"/>
        <v/>
      </c>
      <c r="OW40" s="43" t="str">
        <f t="shared" si="116"/>
        <v/>
      </c>
      <c r="OX40" s="43" t="str">
        <f t="shared" si="117"/>
        <v/>
      </c>
      <c r="OY40" s="43" t="str">
        <f t="shared" si="118"/>
        <v/>
      </c>
      <c r="OZ40" s="43" t="str">
        <f t="shared" si="119"/>
        <v/>
      </c>
      <c r="PA40" s="43" t="str">
        <f t="shared" si="120"/>
        <v/>
      </c>
      <c r="PB40" s="43" t="str">
        <f t="shared" si="121"/>
        <v/>
      </c>
      <c r="PC40" s="43" t="str">
        <f t="shared" si="122"/>
        <v/>
      </c>
      <c r="PD40" s="43" t="str">
        <f t="shared" si="123"/>
        <v/>
      </c>
      <c r="PE40" s="43" t="str">
        <f t="shared" si="124"/>
        <v/>
      </c>
      <c r="PF40" s="43" t="str">
        <f t="shared" si="125"/>
        <v/>
      </c>
      <c r="PG40" s="43" t="str">
        <f t="shared" si="126"/>
        <v/>
      </c>
      <c r="PH40" s="43" t="str">
        <f t="shared" si="127"/>
        <v/>
      </c>
      <c r="PI40" s="43">
        <f t="shared" si="128"/>
        <v>19</v>
      </c>
      <c r="PJ40" s="43" t="str">
        <f t="shared" si="129"/>
        <v/>
      </c>
      <c r="PK40" s="43" t="str">
        <f t="shared" si="130"/>
        <v/>
      </c>
      <c r="PL40" s="43" t="str">
        <f t="shared" si="131"/>
        <v/>
      </c>
      <c r="PM40" s="43" t="str">
        <f t="shared" si="132"/>
        <v/>
      </c>
      <c r="PN40" s="43" t="str">
        <f t="shared" si="133"/>
        <v/>
      </c>
      <c r="PO40" s="43" t="str">
        <f t="shared" si="134"/>
        <v/>
      </c>
      <c r="PP40" s="43" t="str">
        <f t="shared" si="135"/>
        <v/>
      </c>
      <c r="PQ40" s="43" t="str">
        <f t="shared" si="136"/>
        <v/>
      </c>
      <c r="PR40" s="43" t="str">
        <f t="shared" si="137"/>
        <v/>
      </c>
      <c r="PS40" s="43" t="str">
        <f t="shared" si="138"/>
        <v/>
      </c>
      <c r="PT40" s="43" t="str">
        <f t="shared" si="139"/>
        <v/>
      </c>
      <c r="PU40" s="43" t="str">
        <f t="shared" si="140"/>
        <v/>
      </c>
      <c r="PV40" s="43" t="str">
        <f t="shared" si="141"/>
        <v/>
      </c>
      <c r="PW40" s="43" t="str">
        <f t="shared" si="142"/>
        <v/>
      </c>
      <c r="PX40" s="43" t="str">
        <f t="shared" si="143"/>
        <v/>
      </c>
      <c r="PY40" s="43" t="str">
        <f t="shared" si="144"/>
        <v/>
      </c>
      <c r="PZ40" s="43" t="str">
        <f t="shared" si="145"/>
        <v/>
      </c>
      <c r="QA40" s="43" t="str">
        <f t="shared" si="146"/>
        <v/>
      </c>
      <c r="QB40" s="43" t="str">
        <f t="shared" si="147"/>
        <v/>
      </c>
      <c r="QC40" s="43" t="str">
        <f t="shared" si="148"/>
        <v/>
      </c>
      <c r="QD40" s="43" t="str">
        <f t="shared" si="149"/>
        <v/>
      </c>
      <c r="QE40" s="43" t="str">
        <f t="shared" si="150"/>
        <v/>
      </c>
      <c r="QF40" s="43" t="str">
        <f t="shared" si="151"/>
        <v/>
      </c>
      <c r="QG40" s="43" t="str">
        <f t="shared" si="152"/>
        <v/>
      </c>
      <c r="QH40" s="43" t="str">
        <f t="shared" si="153"/>
        <v/>
      </c>
      <c r="QI40" s="43" t="str">
        <f t="shared" si="154"/>
        <v/>
      </c>
      <c r="QJ40" s="43" t="str">
        <f t="shared" si="155"/>
        <v/>
      </c>
      <c r="QK40" s="43" t="str">
        <f t="shared" si="156"/>
        <v/>
      </c>
      <c r="QL40" s="43" t="str">
        <f t="shared" si="157"/>
        <v/>
      </c>
      <c r="QM40" s="43" t="str">
        <f t="shared" si="158"/>
        <v/>
      </c>
      <c r="QN40" s="43" t="str">
        <f t="shared" si="159"/>
        <v/>
      </c>
      <c r="QO40" s="43" t="str">
        <f t="shared" si="160"/>
        <v/>
      </c>
      <c r="QP40" s="43" t="str">
        <f t="shared" si="161"/>
        <v/>
      </c>
      <c r="QQ40" s="43" t="str">
        <f t="shared" si="162"/>
        <v/>
      </c>
      <c r="QR40" s="43">
        <f t="shared" si="192"/>
        <v>19</v>
      </c>
      <c r="QS40" s="43"/>
      <c r="QT40" s="21" t="str">
        <f t="shared" si="163"/>
        <v/>
      </c>
      <c r="QU40" s="21" t="str">
        <f t="shared" si="164"/>
        <v/>
      </c>
      <c r="QV40" s="21" t="str">
        <f t="shared" si="165"/>
        <v/>
      </c>
      <c r="QW40" s="21" t="str">
        <f t="shared" si="166"/>
        <v/>
      </c>
      <c r="QX40" s="21" t="str">
        <f t="shared" si="167"/>
        <v/>
      </c>
      <c r="QY40" s="21" t="str">
        <f t="shared" si="168"/>
        <v/>
      </c>
      <c r="QZ40" s="21" t="str">
        <f t="shared" si="169"/>
        <v/>
      </c>
      <c r="RA40" s="21" t="str">
        <f t="shared" si="170"/>
        <v/>
      </c>
      <c r="RB40" s="21" t="str">
        <f t="shared" si="171"/>
        <v/>
      </c>
      <c r="RC40" s="21" t="str">
        <f t="shared" si="172"/>
        <v/>
      </c>
      <c r="RD40" s="21" t="str">
        <f t="shared" si="173"/>
        <v/>
      </c>
      <c r="RE40" s="21" t="str">
        <f t="shared" si="174"/>
        <v/>
      </c>
      <c r="RF40" s="21" t="str">
        <f t="shared" si="175"/>
        <v/>
      </c>
      <c r="RG40" s="21" t="str">
        <f t="shared" si="176"/>
        <v/>
      </c>
      <c r="RH40" s="21" t="str">
        <f t="shared" si="177"/>
        <v/>
      </c>
      <c r="RI40" s="21" t="str">
        <f t="shared" si="178"/>
        <v/>
      </c>
      <c r="RJ40" s="21" t="str">
        <f t="shared" si="179"/>
        <v/>
      </c>
      <c r="RK40" s="21" t="str">
        <f t="shared" si="180"/>
        <v/>
      </c>
      <c r="RL40" s="21" t="str">
        <f t="shared" si="181"/>
        <v/>
      </c>
      <c r="RM40" s="21" t="str">
        <f t="shared" si="182"/>
        <v/>
      </c>
      <c r="RN40" s="21" t="str">
        <f t="shared" si="183"/>
        <v/>
      </c>
      <c r="RO40" s="21" t="str">
        <f t="shared" si="184"/>
        <v/>
      </c>
      <c r="RP40" s="21" t="str">
        <f t="shared" si="185"/>
        <v/>
      </c>
      <c r="RQ40" s="21" t="str">
        <f t="shared" si="186"/>
        <v/>
      </c>
      <c r="RR40" s="21" t="str">
        <f t="shared" si="187"/>
        <v/>
      </c>
      <c r="RS40" s="21" t="str">
        <f t="shared" si="188"/>
        <v/>
      </c>
      <c r="RT40" s="21" t="str">
        <f t="shared" si="189"/>
        <v/>
      </c>
      <c r="RU40" s="21" t="str">
        <f t="shared" si="190"/>
        <v/>
      </c>
      <c r="RV40" s="21">
        <f t="shared" si="191"/>
        <v>19.428571428571427</v>
      </c>
      <c r="RW40" s="284">
        <f>IF(OR(Tabla1[[#This Row],[FUM FORMULA CONFIABLE]]="",Tabla1[[#This Row],[FUM FORMULA CONFIABLE]]="SD"),"",IF(Tabla1[[#This Row],[FUM FORMULA CONFIABLE]]="CORREGIDA",Tabla1[[#This Row],[FUM X ECO 1]],Tabla1[[#This Row],[FUM x AMENORREA]]))</f>
        <v>44727</v>
      </c>
      <c r="RX40" s="21" t="str">
        <f>IF(AND(Tabla1[[#This Row],[FUM X ECO 1]]="",Tabla1[[#This Row],[FUM x AMENORREA]]=""),"",IF(AND(Tabla1[[#This Row],[FUM X ECO 1]]="",Tabla1[[#This Row],[FUM x AMENORREA]]&lt;&gt;""),"X",SUM(Tabla1[[#This Row],[FUM X ECO 1]]-Tabla1[[#This Row],[FUM x AMENORREA]])))</f>
        <v>X</v>
      </c>
      <c r="RY40" s="21" t="str">
        <f t="shared" si="193"/>
        <v>x</v>
      </c>
    </row>
    <row r="41" spans="1:493" ht="45" customHeight="1" x14ac:dyDescent="0.25">
      <c r="A41" s="109" t="s">
        <v>1076</v>
      </c>
      <c r="B41" s="43"/>
      <c r="C41" s="43" t="s">
        <v>845</v>
      </c>
      <c r="D41" s="124" t="s">
        <v>846</v>
      </c>
      <c r="E41" s="43" t="s">
        <v>1077</v>
      </c>
      <c r="F41" s="43" t="s">
        <v>1078</v>
      </c>
      <c r="G41" s="43" t="s">
        <v>1079</v>
      </c>
      <c r="H41" s="43" t="s">
        <v>1080</v>
      </c>
      <c r="I41" s="109" t="s">
        <v>851</v>
      </c>
      <c r="J41" s="110">
        <v>1007459317</v>
      </c>
      <c r="K41" s="43" t="s">
        <v>852</v>
      </c>
      <c r="L41" s="175" t="s">
        <v>1081</v>
      </c>
      <c r="M41" s="22">
        <v>36940</v>
      </c>
      <c r="N41" s="213">
        <f t="shared" ca="1" si="0"/>
        <v>22.717808219178082</v>
      </c>
      <c r="O41" s="22">
        <v>44867</v>
      </c>
      <c r="P41" s="214" t="str">
        <f t="shared" si="194"/>
        <v>SI</v>
      </c>
      <c r="Q41" s="26" t="s">
        <v>855</v>
      </c>
      <c r="R41" s="22">
        <v>44867</v>
      </c>
      <c r="S41" s="21" t="s">
        <v>856</v>
      </c>
      <c r="T41" s="24" t="s">
        <v>690</v>
      </c>
      <c r="U41" s="21" t="s">
        <v>857</v>
      </c>
      <c r="V41" s="21" t="s">
        <v>858</v>
      </c>
      <c r="W41" s="21" t="s">
        <v>1082</v>
      </c>
      <c r="X41" s="21" t="s">
        <v>1082</v>
      </c>
      <c r="Y41" s="21" t="s">
        <v>859</v>
      </c>
      <c r="Z41" s="21">
        <v>3126722712</v>
      </c>
      <c r="AA41" s="21" t="s">
        <v>860</v>
      </c>
      <c r="AB41" s="27" t="s">
        <v>861</v>
      </c>
      <c r="AC41" s="26" t="s">
        <v>897</v>
      </c>
      <c r="AD41" s="38" t="s">
        <v>846</v>
      </c>
      <c r="AE41" s="26" t="s">
        <v>854</v>
      </c>
      <c r="AF41" s="26" t="s">
        <v>854</v>
      </c>
      <c r="AG41" s="23" t="s">
        <v>864</v>
      </c>
      <c r="AH41" s="23" t="s">
        <v>864</v>
      </c>
      <c r="AI41" s="24" t="s">
        <v>863</v>
      </c>
      <c r="AJ41" s="23" t="s">
        <v>864</v>
      </c>
      <c r="AK41" s="220" t="str">
        <f>IF(AND(AD41="",AE41="",AF41="",AG41="",AH41="",AI41="",AJ41=""),"",IF(OR(Tabla1[[#This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EVALUACIÓN",IF(AND(O41="",R41=""),"",IF(AND(OR(O41&gt;0,R41&gt;0),NG41&gt;=0,NG41&lt;2),"SIN RIESGO",IF(AND(OR(O41&gt;0,R41&gt;0),NG41&gt;=2),"CON RIESGO","ASD")))))</f>
        <v>SIN RIESGO</v>
      </c>
      <c r="AL41" s="23" t="s">
        <v>864</v>
      </c>
      <c r="AM41" s="26" t="s">
        <v>864</v>
      </c>
      <c r="AN41" s="26" t="s">
        <v>864</v>
      </c>
      <c r="AO41" s="26" t="s">
        <v>864</v>
      </c>
      <c r="AP41" s="26" t="s">
        <v>864</v>
      </c>
      <c r="AQ41" s="26" t="s">
        <v>864</v>
      </c>
      <c r="AR41" s="26" t="s">
        <v>864</v>
      </c>
      <c r="AS41" s="21">
        <v>1</v>
      </c>
      <c r="AT41" s="21">
        <v>1</v>
      </c>
      <c r="AU41" s="21">
        <v>0</v>
      </c>
      <c r="AV41" s="26" t="s">
        <v>864</v>
      </c>
      <c r="AW41" s="21">
        <v>0</v>
      </c>
      <c r="AX41" s="26" t="s">
        <v>864</v>
      </c>
      <c r="AY41" s="26" t="s">
        <v>864</v>
      </c>
      <c r="AZ41" s="26" t="s">
        <v>864</v>
      </c>
      <c r="BA41" s="26" t="s">
        <v>864</v>
      </c>
      <c r="BB41" s="26" t="s">
        <v>864</v>
      </c>
      <c r="BC41" s="26" t="s">
        <v>864</v>
      </c>
      <c r="BD41" s="26" t="s">
        <v>864</v>
      </c>
      <c r="BE41" s="26" t="s">
        <v>864</v>
      </c>
      <c r="BF41" s="26" t="s">
        <v>864</v>
      </c>
      <c r="BG41" s="26" t="s">
        <v>864</v>
      </c>
      <c r="BH41" s="26" t="s">
        <v>864</v>
      </c>
      <c r="BI41" s="26" t="s">
        <v>864</v>
      </c>
      <c r="BJ41" s="26"/>
      <c r="BK41" s="26"/>
      <c r="BL41" s="26" t="s">
        <v>864</v>
      </c>
      <c r="BM41" s="26" t="s">
        <v>864</v>
      </c>
      <c r="BN41" s="22">
        <v>44505</v>
      </c>
      <c r="BO41" s="22">
        <v>44660</v>
      </c>
      <c r="BP41" s="21" t="s">
        <v>854</v>
      </c>
      <c r="BQ41" s="222">
        <f t="shared" si="2"/>
        <v>5.166666666666667</v>
      </c>
      <c r="BR41" s="223">
        <f t="shared" si="3"/>
        <v>44657</v>
      </c>
      <c r="BS41" s="224">
        <f t="shared" si="4"/>
        <v>29.571428571428573</v>
      </c>
      <c r="BT41" s="216" t="str">
        <f t="shared" si="5"/>
        <v>III TRIM</v>
      </c>
      <c r="BU41" s="214" t="str">
        <f t="shared" ca="1" si="6"/>
        <v/>
      </c>
      <c r="BV41" s="25"/>
      <c r="BW41" s="22">
        <v>44895</v>
      </c>
      <c r="BX41" s="28">
        <v>34</v>
      </c>
      <c r="BY41" s="28"/>
      <c r="BZ41" s="22">
        <v>44898</v>
      </c>
      <c r="CA41" s="21">
        <v>34</v>
      </c>
      <c r="CB41" s="26" t="s">
        <v>864</v>
      </c>
      <c r="CC41" s="26" t="s">
        <v>864</v>
      </c>
      <c r="CD41" s="26" t="s">
        <v>878</v>
      </c>
      <c r="CE41" s="26" t="s">
        <v>854</v>
      </c>
      <c r="CF41" s="22" t="s">
        <v>1517</v>
      </c>
      <c r="CG41" s="21">
        <v>1.48</v>
      </c>
      <c r="CH41" s="21">
        <v>59</v>
      </c>
      <c r="CI41" s="214">
        <f t="shared" si="7"/>
        <v>26.935719503287071</v>
      </c>
      <c r="CJ41" s="225" t="e">
        <f>IF(AND(CI41&lt;10,CH41="SD"),"SIN DATO PESO PREGESTACION O I TRIM",IF(AND(OR(R41&gt;0,O41&gt;0),CI41="X"),"INGRESAR DATO DE PESO",IF(CI41="SD","INGRESAR DATO DE TALLA Y PESO",IF(AND(OR(Tabla1[[#This Row],[MOMENTO EN QUE SE REALIZA EL PESO AL INGRESO A CPN]]="PREGESTACIÓN",NZ41="Menor"),CI41&lt;18.5),"BAJO PESO",IF(AND(OR(Tabla1[[#This Row],[MOMENTO EN QUE SE REALIZA EL PESO AL INGRESO A CPN]]="PREGESTACIÓN",NZ41="Menor"),CI41&lt;25),"NORMAL",IF(AND(OR(Tabla1[[#This Row],[MOMENTO EN QUE SE REALIZA EL PESO AL INGRESO A CPN]]="PREGESTACIÓN",NZ41="Menor"),CI41&lt;30),"SOBREPESO",IF(AND(OR(Tabla1[[#This Row],[MOMENTO EN QUE SE REALIZA EL PESO AL INGRESO A CPN]]="PREGESTACIÓN",NZ41="Menor"),CI41&gt;=30,CI41&lt;50),"OBESIDAD",IF(AND(BS41&gt;0,Tabla1[[#This Row],[MOMENTO EN QUE SE REALIZA EL PESO AL INGRESO A CPN]]="GESTACIÓN"),HLOOKUP(NZ41,$OA$2:PH41,NY41),""))))))))</f>
        <v>#REF!</v>
      </c>
      <c r="CK41" s="212">
        <f t="shared" si="8"/>
        <v>44897</v>
      </c>
      <c r="CL41" s="21"/>
      <c r="CM41" s="214">
        <f t="shared" si="9"/>
        <v>0</v>
      </c>
      <c r="CN41" s="216">
        <f t="shared" si="10"/>
        <v>33</v>
      </c>
      <c r="CO41" s="216" t="e">
        <f>IF(PI41="","",IF(PI41&gt;0,HLOOKUP(PI41,$PJ$2:QQ41,NY41),""))</f>
        <v>#REF!</v>
      </c>
      <c r="CP41" s="21"/>
      <c r="CQ41" s="216" t="e">
        <f>IF(QR41="Menor","NO APLICA-MENOR 13 SEM",IF(AND(CC41="SI",CN41&gt;23),"NO APLICA- GEMELAR",IF(QR41="","",IF(QR41&gt;0,HLOOKUP(QR41,$QS$2:RU41,NY41),""))))</f>
        <v>#REF!</v>
      </c>
      <c r="CR41" s="21"/>
      <c r="CS41" s="21"/>
      <c r="CT41" s="217" t="str">
        <f>IF(R41="","",IF(AND(BS41&gt;1,BS41&lt;12,Tabla1[[#This Row],[T.A. SISTOLICA - ANTES DE SEMANA 12]]="",Tabla1[[#This Row],[T.A. DIASTOLICA - ANTES DE SEMANA 12]]=""),"REGISTRE DATO TA ANTES SEMANA 12",IF(AND(BS41&gt;11,BS41&lt;43,Tabla1[[#This Row],[T.A. SISTOLICA - ANTES DE SEMANA 12]]="",Tabla1[[#This Row],[T.A. DIASTOLICA - ANTES DE SEMANA 12]]=""),"NO APLICA REGISTRO TA-INGRESO TARDIO",IF(AND(OR(O41&gt;0,R41&gt;0),OR(CR41&gt;=140,CS41&gt;=90)),"DEFINIR ESTADIO HTA",IF(AND(OR(O41&gt;0,R41&gt;0),AND(CR41&gt;120,CR41&lt;=139)),"PRE HTA SEGUIMIENTO",IF(AND(OR(O41&gt;0,R41&gt;0),AND(CS41&gt;80,CS41&lt;=89)),"PRE HTA SEGUIMIENTO",IF(AND(OR(O41&gt;0,R41&gt;0),AND(CR41&gt;=80,CR41&lt;=120)),"APARENTEMENTE NORMAL",IF(AND(OR(O41&gt;0,R41&gt;0),AND(CS41&gt;=50,CS41&lt;=80)),"APARENTEMENTE NORMAL",IF(AND(OR(O41&gt;0,R41&gt;0),AND(CR41&gt;1,CR41&lt;=70),AND(CS41&gt;1,CS41&lt;=40)),"HIPOTENSIÓN","")))))))))</f>
        <v>NO APLICA REGISTRO TA-INGRESO TARDIO</v>
      </c>
      <c r="CU41" s="21"/>
      <c r="CV41" s="21"/>
      <c r="CW41" s="217" t="str">
        <f ca="1">IF(R41="","",IF(AND(CN41&gt;19,CN41&lt;27,Tabla1[[#This Row],[T.A. SISTOLICA (Entre semana 20 y 26)]]="",Tabla1[[#This Row],[T.A. DIATOLICA (Entre semana 20 y 26)]]=""),"ACUDE A CONTROL SEM 20 A 26 REGISTRE TA AHORA",IF(AND(BS41&gt;1,BS41&lt;27,BU41&gt;19,Tabla1[[#This Row],[T.A. SISTOLICA (Entre semana 20 y 26)]]="",Tabla1[[#This Row],[T.A. DIATOLICA (Entre semana 20 y 26)]]=""),"COMPLETE REGISTRO TA CONTROL SEM 20 A26 ",IF(AND(BS41&gt;26,BS41&lt;43,Tabla1[[#This Row],[T.A. SISTOLICA (Entre semana 20 y 26)]]="",Tabla1[[#This Row],[T.A. DIATOLICA (Entre semana 20 y 26)]]=""),"NO APLICA REGISTRO TA-INGRESO TARDIO",IF(AND(OR(O41&gt;0,R41&gt;0),OR(CU41&gt;=140,CV41&gt;=90)),"ALTO RIESGO PREECLAMPSIA,DEFINIR ESTADIO HTA",IF(AND(OR(O41&gt;0,R41&gt;0),AND(CU41&gt;120,CU41&lt;=139)),"PRE HTA SEGUIMIENTO,RIESGO HIPERTENSION INDUCIDA POR EL EMBARAZO",IF(AND(OR(O41&gt;0,R41&gt;0),AND(CV41&gt;80,CV41&lt;=89)),"PRE HTA SEGUIMIENTO, RIESGO HIPERTENSION INDUCIDA POR EL EMBARAZO",IF(AND(OR(O41&lt;&gt;"",R41&lt;&gt;""),CS41&lt;&gt;"",CV41&lt;&gt;"",CS41&lt;=CV41),"VIGILAR CIFRAS PRESION ARTERIAL",IF(AND(OR(O41&gt;0,R41&gt;0),AND(CU41&gt;120,CU41&lt;=139)),"PRE HTA SEGUIMIENTO",IF(AND(OR(O41&gt;0,R41&gt;0),AND(CU41&gt;1,CU41&lt;=70),AND(CV41&gt;1,CV41&lt;=40)),"HIPOTENSIÓN",IF(AND(OR(O41&lt;&gt;"",R41&lt;&gt;""),CS41&lt;&gt;"",CV41&lt;&gt;"",CS41&gt;CV41),"APARENTEMENTE NORMAL",IF(AND(OR(O41&gt;0,R41&gt;0),AND(CU41&gt;=80,CU41&lt;=120)),"APARENTEMENTE NORMAL",IF(AND(OR(O41&gt;0,R41&gt;0),AND(CV41&gt;=50,CV41&lt;=80)),"APARENTEMENTE NORMAL","")))))))))))))</f>
        <v>NO APLICA REGISTRO TA-INGRESO TARDIO</v>
      </c>
      <c r="CX41" s="21">
        <v>120</v>
      </c>
      <c r="CY41" s="21">
        <v>60</v>
      </c>
      <c r="CZ41" s="216" t="str">
        <f t="shared" si="195"/>
        <v>APARENTEMENTE NORMAL</v>
      </c>
      <c r="DA41" s="21"/>
      <c r="DB41" s="21"/>
      <c r="DC41" s="217" t="str">
        <f t="shared" si="12"/>
        <v>REGISTRE DATO PRESIÓN ARTERIAL MENSUAL</v>
      </c>
      <c r="DD41" s="22">
        <v>44867</v>
      </c>
      <c r="DE41" s="22">
        <v>44867</v>
      </c>
      <c r="DF41" s="22">
        <v>44897</v>
      </c>
      <c r="DG41" s="22"/>
      <c r="DH41" s="22"/>
      <c r="DI41" s="22"/>
      <c r="DJ41" s="22"/>
      <c r="DK41" s="22"/>
      <c r="DL41" s="22"/>
      <c r="DM41" s="22"/>
      <c r="DN41" s="22"/>
      <c r="DO41" s="22"/>
      <c r="DP41" s="22"/>
      <c r="DQ41" s="22"/>
      <c r="DR41" s="28">
        <v>1</v>
      </c>
      <c r="DS41" s="22"/>
      <c r="DT41" s="22"/>
      <c r="DU41" s="216" t="str">
        <f t="shared" ca="1" si="196"/>
        <v>CONCERTAR PLAN DE PARTO INMEDIATO</v>
      </c>
      <c r="DV41" s="226" t="str">
        <f t="shared" si="197"/>
        <v>ACTIVA INGRESO A CPN</v>
      </c>
      <c r="DW4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41" s="216" t="e">
        <f t="shared" ca="1" si="15"/>
        <v>#REF!</v>
      </c>
      <c r="DY41" s="212">
        <f>IF(R41="","",IF(R41&gt;0,MAX(Tabla1[[#This Row],[FECHA C2]:[FECHA C13]],Tabla1[[#This Row],[FECHA CONSULTA PRIMERA VEZ PROGRAMA CPN ]])))</f>
        <v>44897</v>
      </c>
      <c r="DZ41" s="216">
        <f t="shared" si="16"/>
        <v>33</v>
      </c>
      <c r="EA41" s="222">
        <f>IF(R41&gt;0,SUM(COUNTA(DF41:DQ41)+COUNTA(Tabla1[[#This Row],[FECHA CONSULTA PRIMERA VEZ PROGRAMA CPN ]])),"")</f>
        <v>2</v>
      </c>
      <c r="EB41" s="222" t="str">
        <f t="shared" si="17"/>
        <v>NO</v>
      </c>
      <c r="EC41" s="214">
        <f t="shared" si="18"/>
        <v>4</v>
      </c>
      <c r="ED41" s="227">
        <f t="shared" si="19"/>
        <v>0.5</v>
      </c>
      <c r="EE41" s="22">
        <v>44867</v>
      </c>
      <c r="EF41" s="22">
        <v>44870</v>
      </c>
      <c r="EG41" s="22">
        <v>44867</v>
      </c>
      <c r="EH41" s="22"/>
      <c r="EI41" s="22">
        <v>44867</v>
      </c>
      <c r="EJ41" s="22"/>
      <c r="EK41" s="22"/>
      <c r="EL41" s="21"/>
      <c r="EM41" s="21">
        <v>12.6</v>
      </c>
      <c r="EN41" s="22">
        <v>44889</v>
      </c>
      <c r="EO41" s="222">
        <f t="shared" si="20"/>
        <v>32.714285714285715</v>
      </c>
      <c r="EP41" s="214" t="str">
        <f t="shared" si="21"/>
        <v>NORMAL- SUMINISTRAR SULFATO FERROSO</v>
      </c>
      <c r="EQ41" s="216" t="str">
        <f t="shared" si="22"/>
        <v>III TRIM</v>
      </c>
      <c r="ER41" s="24"/>
      <c r="ES41" s="22"/>
      <c r="ET41" s="29" t="str">
        <f t="shared" ca="1" si="198"/>
        <v>TOMA DE HEMOGLOBINA TARDÍA</v>
      </c>
      <c r="EU41" s="25" t="str">
        <f t="shared" si="24"/>
        <v/>
      </c>
      <c r="EV41" s="24" t="s">
        <v>866</v>
      </c>
      <c r="EW41" s="24">
        <v>44889</v>
      </c>
      <c r="EX41" s="22"/>
      <c r="EY41" s="29">
        <f t="shared" si="199"/>
        <v>32.714285714285715</v>
      </c>
      <c r="EZ41" s="25" t="str">
        <f t="shared" ca="1" si="200"/>
        <v/>
      </c>
      <c r="FA41" s="21">
        <v>65</v>
      </c>
      <c r="FB41" s="22">
        <v>44889</v>
      </c>
      <c r="FC41" s="29" t="str">
        <f t="shared" si="27"/>
        <v>NO APLICA &gt; 23 SEM -TOMAR PTOG</v>
      </c>
      <c r="FD41" s="29">
        <v>65</v>
      </c>
      <c r="FE41" s="29">
        <v>80</v>
      </c>
      <c r="FF41" s="29">
        <v>95</v>
      </c>
      <c r="FG41" s="21" t="str">
        <f t="shared" ca="1" si="28"/>
        <v>NORMAL</v>
      </c>
      <c r="FH41" s="31">
        <v>44889</v>
      </c>
      <c r="FI41" s="29">
        <f t="shared" si="29"/>
        <v>32.714285714285715</v>
      </c>
      <c r="FJ41" s="22"/>
      <c r="FK41" s="22"/>
      <c r="FL41" s="29" t="str">
        <f t="shared" ca="1" si="30"/>
        <v>NO APLICA-INGRESO TARDIO</v>
      </c>
      <c r="FM41" s="22"/>
      <c r="FN41" s="32"/>
      <c r="FO41" s="29" t="str">
        <f t="shared" ca="1" si="201"/>
        <v>NO APLICA-INGRESO TARDIO</v>
      </c>
      <c r="FP41" s="22" t="s">
        <v>867</v>
      </c>
      <c r="FQ41" s="32">
        <v>44889</v>
      </c>
      <c r="FR41" s="29">
        <f t="shared" ca="1" si="202"/>
        <v>32.714285714285715</v>
      </c>
      <c r="FS41" s="22"/>
      <c r="FT41" s="32"/>
      <c r="FU41" s="29" t="str">
        <f>IF(AND(FJ41="",FM41="",FP41="",FS41=""),"",IF(OR(OR(Tabla1[[#This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41" s="28"/>
      <c r="FW41" s="22"/>
      <c r="FX41" s="29" t="str">
        <f t="shared" si="33"/>
        <v>TOMAR EXAMEN</v>
      </c>
      <c r="FY41" s="22"/>
      <c r="FZ41" s="22"/>
      <c r="GA41" s="29" t="str">
        <f t="shared" ca="1" si="203"/>
        <v>NO APLICA-INGRESO TARDIO</v>
      </c>
      <c r="GB41" s="22"/>
      <c r="GC41" s="22"/>
      <c r="GD41" s="29" t="str">
        <f t="shared" ca="1" si="204"/>
        <v>NO APLICA-INGRESO TARDIO</v>
      </c>
      <c r="GE41" s="22" t="s">
        <v>868</v>
      </c>
      <c r="GF41" s="22">
        <v>44889</v>
      </c>
      <c r="GG41" s="29">
        <f t="shared" ca="1" si="205"/>
        <v>32.714285714285715</v>
      </c>
      <c r="GH41" s="22"/>
      <c r="GI41" s="29"/>
      <c r="GJ41" s="22"/>
      <c r="GK41" s="22"/>
      <c r="GL41" s="22" t="s">
        <v>879</v>
      </c>
      <c r="GM41" s="22"/>
      <c r="GN41" s="28"/>
      <c r="GO41" s="22"/>
      <c r="GP41" s="29" t="str">
        <f t="shared" si="37"/>
        <v>TOMAR EXAMEN</v>
      </c>
      <c r="GQ41" s="28" t="s">
        <v>869</v>
      </c>
      <c r="GR41" s="28" t="s">
        <v>869</v>
      </c>
      <c r="GS41" s="22" t="str">
        <f t="shared" si="206"/>
        <v>CONTROL Igm</v>
      </c>
      <c r="GT41" s="22">
        <v>44889</v>
      </c>
      <c r="GU41" s="29">
        <f t="shared" si="39"/>
        <v>32.714285714285715</v>
      </c>
      <c r="GV41" s="21" t="str">
        <f t="shared" si="40"/>
        <v>III TRIM</v>
      </c>
      <c r="GW41" s="28" t="s">
        <v>869</v>
      </c>
      <c r="GX41" s="30"/>
      <c r="GY41" s="21"/>
      <c r="GZ41" s="21"/>
      <c r="HA41" s="21"/>
      <c r="HB41" s="21"/>
      <c r="HC41" s="21"/>
      <c r="HD41" s="21"/>
      <c r="HE41" s="21"/>
      <c r="HF41" s="22"/>
      <c r="HG41" s="22" t="str">
        <f>IF(OR(O41&gt;0,R41&gt;0),CONCATENATE(IF(Tabla1[[#This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41" s="22" t="e">
        <f t="shared" si="41"/>
        <v>#REF!</v>
      </c>
      <c r="HI41" s="22" t="e">
        <f t="shared" ca="1" si="42"/>
        <v>#REF!</v>
      </c>
      <c r="HJ41" s="21" t="str">
        <f t="shared" ca="1" si="43"/>
        <v>****************POLIHIDRAMNIOS***********************</v>
      </c>
      <c r="HK41" s="21" t="str">
        <f t="shared" si="44"/>
        <v>SIN ANTECEDENTES DE RIESGO</v>
      </c>
      <c r="HL41" s="24" t="str">
        <f t="shared" si="45"/>
        <v>REGISTRE DATO PRESIÓN ARTERIAL MENSUAL</v>
      </c>
      <c r="HM41" s="21" t="e">
        <f t="shared" ca="1" si="46"/>
        <v>#REF!</v>
      </c>
      <c r="HN41" s="30" t="str">
        <f t="shared" si="207"/>
        <v>ACTIVA INGRESO A CPN</v>
      </c>
      <c r="HO41" s="21"/>
      <c r="HP41" s="21"/>
      <c r="HQ41" s="21">
        <v>44867</v>
      </c>
      <c r="HR41" s="21" t="str">
        <f>IF(R41="","",IF(Tabla1[[#This Row],[ALARMA FACTORES DE RIESGO COMPLICACIONES HIPERTENSIVAS3]]="SIN ANTECEDENTES DE RIESGO","No Aplica para suministro de ASA",IF(AND(Tabla1[[#This Row],[FECHA INICIO DE SUMINISTRO DE ASA]]&gt;0,RV41&lt;12),"Inicia ASA ANTES de Sem 12",IF(AND(RV41&gt;11,RV41&lt;17,OR(HK41="RIESGO ALTO DE COMPLICACIONES HIPERTENSIVAS VER MANEJO GUIA SUMINISTRO ASA Y CALCIO",HK41="RIESGO MODERADO (2 O MAS CRITERIOS) VER MANEJO GUIA SUMINISTRO ASA Y CALCIO")),"Inicio oportuno de ASA",IF(AND(RV41&gt;12,OR(HK41="RIESGO ALTO DE COMPLICACIONES HIPERTENSIVAS VER MANEJO GUIA SUMINISTRO ASA Y CALCIO",HK41="RIESGO MODERADO (2 O MAS CRITERIOS) VER MANEJO GUIA SUMINISTRO ASA Y CALCIO")),"Inicio no oportuno mayor a 16 semanas",IF(AND(BU41&lt;12,OR(HK41="RIESGO ALTO DE COMPLICACIONES HIPERTENSIVAS VER MANEJO GUIA SUMINISTRO ASA Y CALCIO",HK41="RIESGO MODERADO (2 O MAS CRITERIOS) VER MANEJO GUIA SUMINISTRO ASA Y CALCIO")),"Pendiente Inicio de ASA a la semana 12",IF(AND(BU41&gt;11,BU41&lt;17,OR(HK41="RIESGO ALTO DE COMPLICACIONES HIPERTENSIVAS VER MANEJO GUIA SUMINISTRO ASA Y CALCIO",HK41="RIESGO MODERADO (2 O MAS CRITERIOS) VER MANEJO GUIA SUMINISTRO ASA Y CALCIO")),"Iniciar de inmediato ASA",IF(AND(BU41&gt;16,OR(HK41="RIESGO ALTO DE COMPLICACIONES HIPERTENSIVAS VER MANEJO GUIA SUMINISTRO ASA Y CALCIO",HK41="RIESGO MODERADO (2 O MAS CRITERIOS) VER MANEJO GUIA SUMINISTRO ASA Y CALCIO")),"Pierde Oportunidad, Inicio tardío de ASA","XXXXX"))))))))</f>
        <v>No Aplica para suministro de ASA</v>
      </c>
      <c r="HS41" s="22">
        <v>44867</v>
      </c>
      <c r="HT41" s="22" t="s">
        <v>870</v>
      </c>
      <c r="HU41" s="22"/>
      <c r="HV41" s="22"/>
      <c r="HW41" s="22">
        <v>44867</v>
      </c>
      <c r="HX41" s="22" t="s">
        <v>870</v>
      </c>
      <c r="HY41" s="22">
        <v>44867</v>
      </c>
      <c r="HZ41" s="28">
        <f t="shared" si="48"/>
        <v>29.571428571428573</v>
      </c>
      <c r="IA41" s="26" t="s">
        <v>864</v>
      </c>
      <c r="IB41" s="26"/>
      <c r="IC41" s="111">
        <v>44867</v>
      </c>
      <c r="ID41" s="22">
        <v>44867</v>
      </c>
      <c r="IE41" s="22" t="str">
        <f t="shared" ca="1" si="49"/>
        <v>VACUNA APLICADA ENTRE SEMANA 27 Y EL PARTO</v>
      </c>
      <c r="IF41" s="22"/>
      <c r="IG41" s="22">
        <f t="shared" si="50"/>
        <v>44940</v>
      </c>
      <c r="IH41" s="29">
        <f t="shared" ca="1" si="51"/>
        <v>-292</v>
      </c>
      <c r="II41" s="22" t="str">
        <f t="shared" ca="1" si="52"/>
        <v>POSIBLEMENTE NACIO</v>
      </c>
      <c r="IJ41" s="22"/>
      <c r="IK41" s="21"/>
      <c r="IL41" s="21"/>
      <c r="IM41" s="34"/>
      <c r="IN41" s="349"/>
      <c r="IO41" s="21"/>
      <c r="IP41" s="29" t="str">
        <f t="shared" si="208"/>
        <v/>
      </c>
      <c r="IQ41" s="110"/>
      <c r="IR41" s="21"/>
      <c r="IS41" s="21"/>
      <c r="IT41" s="21"/>
      <c r="IU41" s="21"/>
      <c r="IV41" s="21"/>
      <c r="IW41" s="21"/>
      <c r="IX41" s="21"/>
      <c r="IY41" s="21"/>
      <c r="IZ41" s="21"/>
      <c r="JA41" s="21"/>
      <c r="JB41" s="30"/>
      <c r="JC41" s="21"/>
      <c r="JD41" s="36"/>
      <c r="JE41" s="21" t="str">
        <f t="shared" si="209"/>
        <v/>
      </c>
      <c r="JF41" s="30"/>
      <c r="JG41" s="21"/>
      <c r="JH41" s="21"/>
      <c r="JI41" s="21"/>
      <c r="JJ41" s="30"/>
      <c r="JK41" s="22"/>
      <c r="JL41" s="22"/>
      <c r="JM41" s="21"/>
      <c r="JN41" s="36"/>
      <c r="JO41" s="21" t="str">
        <f t="shared" si="210"/>
        <v/>
      </c>
      <c r="JP41" s="22"/>
      <c r="JQ41" s="21"/>
      <c r="JR41" s="21"/>
      <c r="JS41" s="21"/>
      <c r="JT41" s="30"/>
      <c r="JU41" s="22"/>
      <c r="JV41" s="22"/>
      <c r="JW41" s="33"/>
      <c r="JX41" s="28" t="str">
        <f t="shared" si="211"/>
        <v/>
      </c>
      <c r="JY41" s="33"/>
      <c r="JZ41" s="28" t="str">
        <f t="shared" si="212"/>
        <v/>
      </c>
      <c r="KA41" s="21"/>
      <c r="KB41" s="21"/>
      <c r="KC41" s="21"/>
      <c r="KD41" s="37"/>
      <c r="KE41" s="28"/>
      <c r="KF41" s="28"/>
      <c r="KG41" s="28"/>
      <c r="KH41" s="39"/>
      <c r="KI41" s="39"/>
      <c r="KJ41" s="66"/>
      <c r="KK41" s="39"/>
      <c r="KL41" s="39"/>
      <c r="KM41" s="66"/>
      <c r="KN41" s="39"/>
      <c r="KO41" s="39"/>
      <c r="KP41" s="39"/>
      <c r="KQ41" s="39"/>
      <c r="KR41" s="39"/>
      <c r="KS41" s="39"/>
      <c r="KT41" s="39"/>
      <c r="KU41" s="38"/>
      <c r="KV41" s="38"/>
      <c r="KW41" s="38"/>
      <c r="KX41" s="38"/>
      <c r="KY41" s="38"/>
      <c r="KZ41" s="38"/>
      <c r="LA41" s="38"/>
      <c r="LB41" s="38"/>
      <c r="LC41" s="38"/>
      <c r="LD41" s="38"/>
      <c r="LE41" s="38"/>
      <c r="LF41" s="38"/>
      <c r="LG41" s="38"/>
      <c r="LH41" s="38"/>
      <c r="LI41" s="38"/>
      <c r="LJ41" s="38"/>
      <c r="LK41" s="38"/>
      <c r="LL41" s="38"/>
      <c r="LM41" s="38"/>
      <c r="LN41" s="38"/>
      <c r="LO41" s="38"/>
      <c r="LP41" s="38"/>
      <c r="LQ41" s="38"/>
      <c r="LR41" s="38"/>
      <c r="LS41" s="38"/>
      <c r="LT41" s="38"/>
      <c r="LU41" s="38"/>
      <c r="LV41" s="38"/>
      <c r="LW41" s="38"/>
      <c r="LX41" s="38"/>
      <c r="LY41" s="38"/>
      <c r="LZ41" s="38"/>
      <c r="MA41" s="38"/>
      <c r="MB41" s="38"/>
      <c r="MC41" s="38"/>
      <c r="MD41" s="38"/>
      <c r="ME41" s="38"/>
      <c r="MF41" s="38"/>
      <c r="MG41" s="38"/>
      <c r="MH41" s="43">
        <f t="shared" si="213"/>
        <v>0</v>
      </c>
      <c r="MI41" s="43" t="str">
        <f t="shared" si="214"/>
        <v/>
      </c>
      <c r="MJ41" s="43" t="str">
        <f t="shared" si="215"/>
        <v/>
      </c>
      <c r="MK41" s="43">
        <f t="shared" si="216"/>
        <v>0</v>
      </c>
      <c r="ML4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41" s="43">
        <f t="shared" si="217"/>
        <v>29.571428571428573</v>
      </c>
      <c r="MN41" s="43">
        <f t="shared" si="218"/>
        <v>11</v>
      </c>
      <c r="MO41" s="43">
        <f t="shared" si="219"/>
        <v>2022</v>
      </c>
      <c r="MP41" s="43" t="str">
        <f t="shared" si="220"/>
        <v>IV TRIMESTRE AÑO</v>
      </c>
      <c r="MQ41" s="43">
        <f t="shared" si="221"/>
        <v>21.391809023215064</v>
      </c>
      <c r="MR41" s="43">
        <f t="shared" si="222"/>
        <v>0</v>
      </c>
      <c r="MS41" s="43" t="str">
        <f t="shared" si="223"/>
        <v xml:space="preserve"> DE 20 A 24 AÑOS</v>
      </c>
      <c r="MT41" s="43">
        <f t="shared" si="224"/>
        <v>0</v>
      </c>
      <c r="MU41" s="43">
        <f t="shared" si="225"/>
        <v>0</v>
      </c>
      <c r="MV41" s="43">
        <f t="shared" si="226"/>
        <v>0</v>
      </c>
      <c r="MW41" s="43">
        <f t="shared" si="227"/>
        <v>0</v>
      </c>
      <c r="MX41" s="43" t="str">
        <f t="shared" si="228"/>
        <v/>
      </c>
      <c r="MY41" s="43" t="str">
        <f t="shared" ca="1" si="229"/>
        <v/>
      </c>
      <c r="MZ41" s="43" t="str">
        <f t="shared" si="230"/>
        <v/>
      </c>
      <c r="NA41" s="43">
        <f t="shared" si="231"/>
        <v>0</v>
      </c>
      <c r="NB41" s="43" t="str">
        <f t="shared" si="232"/>
        <v/>
      </c>
      <c r="NC41" s="43" t="str">
        <f t="shared" si="233"/>
        <v/>
      </c>
      <c r="ND41" s="43">
        <f t="shared" ca="1" si="234"/>
        <v>2</v>
      </c>
      <c r="NE41" s="43">
        <f>IF(OR(O41&gt;0,R41&gt;0),SUM(COUNTIF(Tabla1[[#This Row],[AÑOS AL INICIO5 CPN]],"&gt;=40"),COUNTIF(AS41,"0"),COUNTIF(AR41,"SI"),COUNTIF(CC41,"SI"),COUNTIF(BQ41,"&gt;119"),COUNTIF(CI41,"&gt;=35")),"")</f>
        <v>0</v>
      </c>
      <c r="NF41" s="43">
        <f t="shared" si="235"/>
        <v>29.571428571428573</v>
      </c>
      <c r="NG41" s="43">
        <f t="shared" si="236"/>
        <v>0</v>
      </c>
      <c r="NH41" s="43">
        <f t="shared" si="237"/>
        <v>238</v>
      </c>
      <c r="NI4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CPN",P41="NO"),"Z",IF(AND(Tabla1[[#This Row],[CITA PROXIMO CONTROL]]="CITA MANUAL",Tabla1[[#This Row],[GESTANTES ACTUALES]]="ACTIVA INGRESO A CPN"),"W",IF(AND(Tabla1[[#This Row],[GESTANTES ACTUALES]]="SALIO PROGRAMA",IN41=""),"S",IF(AND(Tabla1[[#This Row],[CITA PROXIMO CONTROL]]&gt;0,IN41=""),(Tabla1[[#This Row],[CITA PROXIMO CONTROL]]-TODAY()),"SD"))))))))</f>
        <v>#REF!</v>
      </c>
      <c r="NJ41" s="43">
        <f>MONTH(Tabla1[[#This Row],[FECHA DE SALIDA  DEL PROGRAMA]])</f>
        <v>1</v>
      </c>
      <c r="NK41" s="43">
        <f>YEAR(Tabla1[[#This Row],[FECHA DE SALIDA  DEL PROGRAMA]])</f>
        <v>1900</v>
      </c>
      <c r="NL41" s="43" t="str">
        <f t="shared" si="238"/>
        <v>X</v>
      </c>
      <c r="NM41" s="43" t="str">
        <f t="shared" si="239"/>
        <v>NO</v>
      </c>
      <c r="NN41" s="43" t="str">
        <f ca="1">IF(AND(O41&gt;0,R41=""),"NO CPN",IF(AND(O41="",R41=""),"",IF(AND(R41&gt;0,Tabla1[[#This Row],[SEMANAS DE GESTACION ACTUALIZADAS]]&lt;=12),"NO APLICA",IF(AND(FH41&lt;&gt;"",FN41&lt;&gt;""),"SI","NO"))))</f>
        <v>NO</v>
      </c>
      <c r="NO41" s="43" t="str">
        <f ca="1">IF(AND(O41&gt;0,R41=""),"NO CPN",IF(AND(O41="",R41=""),"",IF(AND(R41&gt;0,Tabla1[[#This Row],[SEMANAS DE GESTACION ACTUALIZADAS]]&lt;=27),"NO APLICA",IF(AND(ES41&lt;&gt;"",FQ41&lt;&gt;"",GF41&lt;&gt;""),"SI","NO"))))</f>
        <v>NO</v>
      </c>
      <c r="NP41" s="21" t="str">
        <f t="shared" si="240"/>
        <v>III TRIM</v>
      </c>
      <c r="NQ41" s="21">
        <f t="shared" si="241"/>
        <v>10</v>
      </c>
      <c r="NR41" s="21">
        <f t="shared" si="242"/>
        <v>1</v>
      </c>
      <c r="NS41" s="205">
        <f t="shared" ca="1" si="243"/>
        <v>1</v>
      </c>
      <c r="NT41" s="21">
        <f t="shared" ca="1" si="244"/>
        <v>1</v>
      </c>
      <c r="NU41" s="21" t="str">
        <f t="shared" ca="1" si="245"/>
        <v>COMPLETO</v>
      </c>
      <c r="NV41" s="21" t="str">
        <f t="shared" ca="1" si="246"/>
        <v>COMPLETO</v>
      </c>
      <c r="NW41" s="206" t="str">
        <f>IF(AND(O41="",R41=""),"",IF(OR(AND(Tabla1[[#This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41" s="207" t="str">
        <f t="shared" ca="1" si="247"/>
        <v>VACUNADA</v>
      </c>
      <c r="NY41" s="43">
        <f>ROW(Tabla1[[#This Row],['# DE TAMIZAJES SIFILIS TOMADOS ]])</f>
        <v>41</v>
      </c>
      <c r="NZ41" s="43">
        <f t="shared" si="93"/>
        <v>29</v>
      </c>
      <c r="OA41" s="43" t="str">
        <f t="shared" si="94"/>
        <v/>
      </c>
      <c r="OB41" s="43" t="str">
        <f t="shared" si="95"/>
        <v/>
      </c>
      <c r="OC41" s="43" t="str">
        <f t="shared" si="96"/>
        <v/>
      </c>
      <c r="OD41" s="43" t="str">
        <f t="shared" si="97"/>
        <v/>
      </c>
      <c r="OE41" s="43" t="str">
        <f t="shared" si="98"/>
        <v/>
      </c>
      <c r="OF41" s="43" t="str">
        <f t="shared" si="99"/>
        <v/>
      </c>
      <c r="OG41" s="43" t="str">
        <f t="shared" si="100"/>
        <v/>
      </c>
      <c r="OH41" s="43" t="str">
        <f t="shared" si="101"/>
        <v/>
      </c>
      <c r="OI41" s="43" t="str">
        <f t="shared" si="102"/>
        <v/>
      </c>
      <c r="OJ41" s="43" t="str">
        <f t="shared" si="103"/>
        <v/>
      </c>
      <c r="OK41" s="43" t="str">
        <f t="shared" si="104"/>
        <v/>
      </c>
      <c r="OL41" s="43" t="str">
        <f t="shared" si="105"/>
        <v/>
      </c>
      <c r="OM41" s="43" t="str">
        <f t="shared" si="106"/>
        <v/>
      </c>
      <c r="ON41" s="43" t="str">
        <f t="shared" si="107"/>
        <v/>
      </c>
      <c r="OO41" s="43" t="str">
        <f t="shared" si="108"/>
        <v/>
      </c>
      <c r="OP41" s="43" t="str">
        <f t="shared" si="109"/>
        <v/>
      </c>
      <c r="OQ41" s="43" t="str">
        <f t="shared" si="110"/>
        <v/>
      </c>
      <c r="OR41" s="43" t="str">
        <f t="shared" si="111"/>
        <v/>
      </c>
      <c r="OS41" s="43" t="str">
        <f t="shared" si="112"/>
        <v/>
      </c>
      <c r="OT41" s="43" t="str">
        <f t="shared" si="113"/>
        <v/>
      </c>
      <c r="OU41" s="43" t="str">
        <f t="shared" si="114"/>
        <v>NORMAL</v>
      </c>
      <c r="OV41" s="110" t="str">
        <f t="shared" si="115"/>
        <v/>
      </c>
      <c r="OW41" s="43" t="str">
        <f t="shared" si="116"/>
        <v/>
      </c>
      <c r="OX41" s="43" t="str">
        <f t="shared" si="117"/>
        <v/>
      </c>
      <c r="OY41" s="43" t="str">
        <f t="shared" si="118"/>
        <v/>
      </c>
      <c r="OZ41" s="43" t="str">
        <f t="shared" si="119"/>
        <v/>
      </c>
      <c r="PA41" s="43" t="str">
        <f t="shared" si="120"/>
        <v/>
      </c>
      <c r="PB41" s="43" t="str">
        <f t="shared" si="121"/>
        <v/>
      </c>
      <c r="PC41" s="43" t="str">
        <f t="shared" si="122"/>
        <v/>
      </c>
      <c r="PD41" s="43" t="str">
        <f t="shared" si="123"/>
        <v/>
      </c>
      <c r="PE41" s="43" t="str">
        <f t="shared" si="124"/>
        <v/>
      </c>
      <c r="PF41" s="43" t="str">
        <f t="shared" si="125"/>
        <v/>
      </c>
      <c r="PG41" s="43" t="str">
        <f t="shared" si="126"/>
        <v/>
      </c>
      <c r="PH41" s="43" t="str">
        <f t="shared" si="127"/>
        <v/>
      </c>
      <c r="PI41" s="43">
        <f t="shared" si="128"/>
        <v>33</v>
      </c>
      <c r="PJ41" s="43" t="str">
        <f t="shared" si="129"/>
        <v/>
      </c>
      <c r="PK41" s="43" t="str">
        <f t="shared" si="130"/>
        <v/>
      </c>
      <c r="PL41" s="43" t="str">
        <f t="shared" si="131"/>
        <v/>
      </c>
      <c r="PM41" s="43" t="str">
        <f t="shared" si="132"/>
        <v/>
      </c>
      <c r="PN41" s="43" t="str">
        <f t="shared" si="133"/>
        <v/>
      </c>
      <c r="PO41" s="43" t="str">
        <f t="shared" si="134"/>
        <v/>
      </c>
      <c r="PP41" s="43" t="str">
        <f t="shared" si="135"/>
        <v/>
      </c>
      <c r="PQ41" s="43" t="str">
        <f t="shared" si="136"/>
        <v/>
      </c>
      <c r="PR41" s="43" t="str">
        <f t="shared" si="137"/>
        <v/>
      </c>
      <c r="PS41" s="43" t="str">
        <f t="shared" si="138"/>
        <v/>
      </c>
      <c r="PT41" s="43" t="str">
        <f t="shared" si="139"/>
        <v/>
      </c>
      <c r="PU41" s="43" t="str">
        <f t="shared" si="140"/>
        <v/>
      </c>
      <c r="PV41" s="43" t="str">
        <f t="shared" si="141"/>
        <v/>
      </c>
      <c r="PW41" s="43" t="str">
        <f t="shared" si="142"/>
        <v/>
      </c>
      <c r="PX41" s="43" t="str">
        <f t="shared" si="143"/>
        <v/>
      </c>
      <c r="PY41" s="43" t="str">
        <f t="shared" si="144"/>
        <v/>
      </c>
      <c r="PZ41" s="43" t="str">
        <f t="shared" si="145"/>
        <v/>
      </c>
      <c r="QA41" s="43" t="str">
        <f t="shared" si="146"/>
        <v/>
      </c>
      <c r="QB41" s="43" t="str">
        <f t="shared" si="147"/>
        <v/>
      </c>
      <c r="QC41" s="43" t="str">
        <f t="shared" si="148"/>
        <v/>
      </c>
      <c r="QD41" s="43" t="str">
        <f t="shared" si="149"/>
        <v/>
      </c>
      <c r="QE41" s="43" t="str">
        <f t="shared" si="150"/>
        <v/>
      </c>
      <c r="QF41" s="43" t="str">
        <f t="shared" si="151"/>
        <v/>
      </c>
      <c r="QG41" s="43" t="str">
        <f t="shared" si="152"/>
        <v/>
      </c>
      <c r="QH41" s="43" t="str">
        <f t="shared" si="153"/>
        <v/>
      </c>
      <c r="QI41" s="43" t="str">
        <f t="shared" si="154"/>
        <v/>
      </c>
      <c r="QJ41" s="43" t="str">
        <f t="shared" si="155"/>
        <v/>
      </c>
      <c r="QK41" s="43" t="str">
        <f t="shared" si="156"/>
        <v/>
      </c>
      <c r="QL41" s="43" t="str">
        <f t="shared" si="157"/>
        <v/>
      </c>
      <c r="QM41" s="43" t="str">
        <f t="shared" si="158"/>
        <v/>
      </c>
      <c r="QN41" s="43" t="str">
        <f t="shared" si="159"/>
        <v/>
      </c>
      <c r="QO41" s="43" t="str">
        <f t="shared" si="160"/>
        <v/>
      </c>
      <c r="QP41" s="43" t="str">
        <f t="shared" si="161"/>
        <v/>
      </c>
      <c r="QQ41" s="43" t="str">
        <f t="shared" si="162"/>
        <v/>
      </c>
      <c r="QR41" s="43">
        <f t="shared" si="192"/>
        <v>33</v>
      </c>
      <c r="QS41" s="43"/>
      <c r="QT41" s="21" t="str">
        <f t="shared" si="163"/>
        <v/>
      </c>
      <c r="QU41" s="21" t="str">
        <f t="shared" si="164"/>
        <v/>
      </c>
      <c r="QV41" s="21" t="str">
        <f t="shared" si="165"/>
        <v/>
      </c>
      <c r="QW41" s="21" t="str">
        <f t="shared" si="166"/>
        <v/>
      </c>
      <c r="QX41" s="21" t="str">
        <f t="shared" si="167"/>
        <v/>
      </c>
      <c r="QY41" s="21" t="str">
        <f t="shared" si="168"/>
        <v/>
      </c>
      <c r="QZ41" s="21" t="str">
        <f t="shared" si="169"/>
        <v/>
      </c>
      <c r="RA41" s="21" t="str">
        <f t="shared" si="170"/>
        <v/>
      </c>
      <c r="RB41" s="21" t="str">
        <f t="shared" si="171"/>
        <v/>
      </c>
      <c r="RC41" s="21" t="str">
        <f t="shared" si="172"/>
        <v/>
      </c>
      <c r="RD41" s="21" t="str">
        <f t="shared" si="173"/>
        <v/>
      </c>
      <c r="RE41" s="21" t="str">
        <f t="shared" si="174"/>
        <v/>
      </c>
      <c r="RF41" s="21" t="str">
        <f t="shared" si="175"/>
        <v/>
      </c>
      <c r="RG41" s="21" t="str">
        <f t="shared" si="176"/>
        <v/>
      </c>
      <c r="RH41" s="21" t="str">
        <f t="shared" si="177"/>
        <v/>
      </c>
      <c r="RI41" s="21" t="str">
        <f t="shared" si="178"/>
        <v/>
      </c>
      <c r="RJ41" s="21" t="str">
        <f t="shared" si="179"/>
        <v/>
      </c>
      <c r="RK41" s="21" t="str">
        <f t="shared" si="180"/>
        <v/>
      </c>
      <c r="RL41" s="21" t="str">
        <f t="shared" si="181"/>
        <v/>
      </c>
      <c r="RM41" s="21" t="str">
        <f t="shared" si="182"/>
        <v/>
      </c>
      <c r="RN41" s="21" t="str">
        <f t="shared" si="183"/>
        <v/>
      </c>
      <c r="RO41" s="21" t="str">
        <f t="shared" si="184"/>
        <v/>
      </c>
      <c r="RP41" s="21" t="str">
        <f t="shared" si="185"/>
        <v/>
      </c>
      <c r="RQ41" s="21" t="str">
        <f t="shared" si="186"/>
        <v/>
      </c>
      <c r="RR41" s="21" t="str">
        <f t="shared" si="187"/>
        <v/>
      </c>
      <c r="RS41" s="21" t="str">
        <f t="shared" si="188"/>
        <v/>
      </c>
      <c r="RT41" s="21" t="str">
        <f t="shared" si="189"/>
        <v/>
      </c>
      <c r="RU41" s="21" t="str">
        <f t="shared" si="190"/>
        <v/>
      </c>
      <c r="RV41" s="21">
        <f t="shared" si="191"/>
        <v>29.571428571428573</v>
      </c>
      <c r="RW41" s="284">
        <f>IF(OR(Tabla1[[#This Row],[FUM FORMULA CONFIABLE]]="",Tabla1[[#This Row],[FUM FORMULA CONFIABLE]]="SD"),"",IF(Tabla1[[#This Row],[FUM FORMULA CONFIABLE]]="CORREGIDA",Tabla1[[#This Row],[FUM X ECO 1]],Tabla1[[#This Row],[FUM x AMENORREA]]))</f>
        <v>44660</v>
      </c>
      <c r="RX41" s="21">
        <f>IF(AND(Tabla1[[#This Row],[FUM X ECO 1]]="",Tabla1[[#This Row],[FUM x AMENORREA]]=""),"",IF(AND(Tabla1[[#This Row],[FUM X ECO 1]]="",Tabla1[[#This Row],[FUM x AMENORREA]]&lt;&gt;""),"X",SUM(Tabla1[[#This Row],[FUM X ECO 1]]-Tabla1[[#This Row],[FUM x AMENORREA]])))</f>
        <v>-3</v>
      </c>
      <c r="RY41" s="21">
        <f t="shared" si="193"/>
        <v>0</v>
      </c>
    </row>
    <row r="42" spans="1:493" ht="45" customHeight="1" x14ac:dyDescent="0.25">
      <c r="A42" s="109"/>
      <c r="B42" s="43" t="s">
        <v>1083</v>
      </c>
      <c r="C42" s="43" t="s">
        <v>845</v>
      </c>
      <c r="D42" s="124" t="s">
        <v>846</v>
      </c>
      <c r="E42" s="43" t="s">
        <v>953</v>
      </c>
      <c r="F42" s="43" t="s">
        <v>1084</v>
      </c>
      <c r="G42" s="43" t="s">
        <v>1085</v>
      </c>
      <c r="H42" s="43"/>
      <c r="I42" s="109" t="s">
        <v>851</v>
      </c>
      <c r="J42" s="110">
        <v>1059603753</v>
      </c>
      <c r="K42" s="43" t="s">
        <v>852</v>
      </c>
      <c r="L42" s="175" t="s">
        <v>853</v>
      </c>
      <c r="M42" s="22">
        <v>34943</v>
      </c>
      <c r="N42" s="213">
        <f t="shared" ca="1" si="0"/>
        <v>28.18904109589041</v>
      </c>
      <c r="O42" s="22">
        <v>44817</v>
      </c>
      <c r="P42" s="214" t="str">
        <f t="shared" si="194"/>
        <v>SI</v>
      </c>
      <c r="Q42" s="26" t="s">
        <v>855</v>
      </c>
      <c r="R42" s="22">
        <v>44817</v>
      </c>
      <c r="S42" s="21" t="s">
        <v>856</v>
      </c>
      <c r="T42" s="24" t="s">
        <v>690</v>
      </c>
      <c r="U42" s="21" t="s">
        <v>857</v>
      </c>
      <c r="V42" s="21" t="s">
        <v>858</v>
      </c>
      <c r="W42" s="21" t="s">
        <v>1086</v>
      </c>
      <c r="X42" s="21" t="s">
        <v>1086</v>
      </c>
      <c r="Y42" s="21" t="s">
        <v>859</v>
      </c>
      <c r="Z42" s="21" t="s">
        <v>894</v>
      </c>
      <c r="AA42" s="21" t="s">
        <v>860</v>
      </c>
      <c r="AB42" s="27" t="s">
        <v>861</v>
      </c>
      <c r="AC42" s="26" t="s">
        <v>862</v>
      </c>
      <c r="AD42" s="38" t="s">
        <v>846</v>
      </c>
      <c r="AE42" s="26" t="s">
        <v>854</v>
      </c>
      <c r="AF42" s="26" t="s">
        <v>854</v>
      </c>
      <c r="AG42" s="23" t="s">
        <v>864</v>
      </c>
      <c r="AH42" s="23" t="s">
        <v>864</v>
      </c>
      <c r="AI42" s="24" t="s">
        <v>863</v>
      </c>
      <c r="AJ42" s="23" t="s">
        <v>864</v>
      </c>
      <c r="AK42" s="220" t="str">
        <f>IF(AND(AD42="",AE42="",AF42="",AG42="",AH42="",AI42="",AJ42=""),"",IF(OR(Tabla1[[#This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EVALUACIÓN",IF(AND(O42="",R42=""),"",IF(AND(OR(O42&gt;0,R42&gt;0),NG42&gt;=0,NG42&lt;2),"SIN RIESGO",IF(AND(OR(O42&gt;0,R42&gt;0),NG42&gt;=2),"CON RIESGO","ASD")))))</f>
        <v>SIN RIESGO</v>
      </c>
      <c r="AL42" s="23" t="s">
        <v>864</v>
      </c>
      <c r="AM42" s="26" t="s">
        <v>864</v>
      </c>
      <c r="AN42" s="26" t="s">
        <v>864</v>
      </c>
      <c r="AO42" s="26" t="s">
        <v>864</v>
      </c>
      <c r="AP42" s="26" t="s">
        <v>864</v>
      </c>
      <c r="AQ42" s="26" t="s">
        <v>864</v>
      </c>
      <c r="AR42" s="26" t="s">
        <v>864</v>
      </c>
      <c r="AS42" s="21">
        <v>1</v>
      </c>
      <c r="AT42" s="21">
        <v>1</v>
      </c>
      <c r="AU42" s="21">
        <v>0</v>
      </c>
      <c r="AV42" s="26" t="s">
        <v>864</v>
      </c>
      <c r="AW42" s="21">
        <v>0</v>
      </c>
      <c r="AX42" s="26" t="s">
        <v>864</v>
      </c>
      <c r="AY42" s="26" t="s">
        <v>864</v>
      </c>
      <c r="AZ42" s="26" t="s">
        <v>864</v>
      </c>
      <c r="BA42" s="26" t="s">
        <v>864</v>
      </c>
      <c r="BB42" s="26" t="s">
        <v>864</v>
      </c>
      <c r="BC42" s="26" t="s">
        <v>864</v>
      </c>
      <c r="BD42" s="26" t="s">
        <v>864</v>
      </c>
      <c r="BE42" s="26" t="s">
        <v>864</v>
      </c>
      <c r="BF42" s="26" t="s">
        <v>864</v>
      </c>
      <c r="BG42" s="26" t="s">
        <v>864</v>
      </c>
      <c r="BH42" s="26" t="s">
        <v>864</v>
      </c>
      <c r="BI42" s="26" t="s">
        <v>864</v>
      </c>
      <c r="BJ42" s="26"/>
      <c r="BK42" s="26"/>
      <c r="BL42" s="26" t="s">
        <v>864</v>
      </c>
      <c r="BM42" s="26" t="s">
        <v>864</v>
      </c>
      <c r="BN42" s="22"/>
      <c r="BO42" s="22">
        <v>44724</v>
      </c>
      <c r="BP42" s="21" t="s">
        <v>854</v>
      </c>
      <c r="BQ42" s="222">
        <f t="shared" si="2"/>
        <v>0</v>
      </c>
      <c r="BR42" s="223">
        <f t="shared" si="3"/>
        <v>44723</v>
      </c>
      <c r="BS42" s="224">
        <f t="shared" si="4"/>
        <v>13.285714285714286</v>
      </c>
      <c r="BT42" s="216" t="str">
        <f t="shared" si="5"/>
        <v>II TRIM</v>
      </c>
      <c r="BU42" s="214" t="str">
        <f t="shared" ca="1" si="6"/>
        <v/>
      </c>
      <c r="BV42" s="25"/>
      <c r="BW42" s="22">
        <v>44898</v>
      </c>
      <c r="BX42" s="28">
        <v>25</v>
      </c>
      <c r="BY42" s="28"/>
      <c r="BZ42" s="22">
        <v>44960</v>
      </c>
      <c r="CA42" s="21">
        <v>33.5</v>
      </c>
      <c r="CB42" s="26" t="s">
        <v>864</v>
      </c>
      <c r="CC42" s="26" t="s">
        <v>854</v>
      </c>
      <c r="CD42" s="26" t="s">
        <v>1087</v>
      </c>
      <c r="CE42" s="26" t="s">
        <v>864</v>
      </c>
      <c r="CF42" s="22" t="s">
        <v>1517</v>
      </c>
      <c r="CG42" s="21">
        <v>1.49</v>
      </c>
      <c r="CH42" s="21">
        <v>57</v>
      </c>
      <c r="CI42" s="214">
        <f t="shared" si="7"/>
        <v>25.674519165803343</v>
      </c>
      <c r="CJ42" s="225" t="e">
        <f>IF(AND(CI42&lt;10,CH42="SD"),"SIN DATO PESO PREGESTACION O I TRIM",IF(AND(OR(R42&gt;0,O42&gt;0),CI42="X"),"INGRESAR DATO DE PESO",IF(CI42="SD","INGRESAR DATO DE TALLA Y PESO",IF(AND(OR(Tabla1[[#This Row],[MOMENTO EN QUE SE REALIZA EL PESO AL INGRESO A CPN]]="PREGESTACIÓN",NZ42="Menor"),CI42&lt;18.5),"BAJO PESO",IF(AND(OR(Tabla1[[#This Row],[MOMENTO EN QUE SE REALIZA EL PESO AL INGRESO A CPN]]="PREGESTACIÓN",NZ42="Menor"),CI42&lt;25),"NORMAL",IF(AND(OR(Tabla1[[#This Row],[MOMENTO EN QUE SE REALIZA EL PESO AL INGRESO A CPN]]="PREGESTACIÓN",NZ42="Menor"),CI42&lt;30),"SOBREPESO",IF(AND(OR(Tabla1[[#This Row],[MOMENTO EN QUE SE REALIZA EL PESO AL INGRESO A CPN]]="PREGESTACIÓN",NZ42="Menor"),CI42&gt;=30,CI42&lt;50),"OBESIDAD",IF(AND(BS42&gt;0,Tabla1[[#This Row],[MOMENTO EN QUE SE REALIZA EL PESO AL INGRESO A CPN]]="GESTACIÓN"),HLOOKUP(NZ42,$OA$2:PH42,NY42),""))))))))</f>
        <v>#REF!</v>
      </c>
      <c r="CK42" s="212">
        <f t="shared" si="8"/>
        <v>44960</v>
      </c>
      <c r="CL42" s="21"/>
      <c r="CM42" s="214">
        <f t="shared" si="9"/>
        <v>0</v>
      </c>
      <c r="CN42" s="216">
        <f t="shared" si="10"/>
        <v>33</v>
      </c>
      <c r="CO42" s="216" t="e">
        <f>IF(PI42="","",IF(PI42&gt;0,HLOOKUP(PI42,$PJ$2:QQ42,NY42),""))</f>
        <v>#REF!</v>
      </c>
      <c r="CP42" s="21"/>
      <c r="CQ42" s="216" t="str">
        <f>IF(QR42="Menor","NO APLICA-MENOR 13 SEM",IF(AND(CC42="SI",CN42&gt;23),"NO APLICA- GEMELAR",IF(QR42="","",IF(QR42&gt;0,HLOOKUP(QR42,$QS$2:RU42,NY42),""))))</f>
        <v>NO APLICA- GEMELAR</v>
      </c>
      <c r="CR42" s="21"/>
      <c r="CS42" s="21"/>
      <c r="CT42" s="217" t="str">
        <f>IF(R42="","",IF(AND(BS42&gt;1,BS42&lt;12,Tabla1[[#This Row],[T.A. SISTOLICA - ANTES DE SEMANA 12]]="",Tabla1[[#This Row],[T.A. DIASTOLICA - ANTES DE SEMANA 12]]=""),"REGISTRE DATO TA ANTES SEMANA 12",IF(AND(BS42&gt;11,BS42&lt;43,Tabla1[[#This Row],[T.A. SISTOLICA - ANTES DE SEMANA 12]]="",Tabla1[[#This Row],[T.A. DIASTOLICA - ANTES DE SEMANA 12]]=""),"NO APLICA REGISTRO TA-INGRESO TARDIO",IF(AND(OR(O42&gt;0,R42&gt;0),OR(CR42&gt;=140,CS42&gt;=90)),"DEFINIR ESTADIO HTA",IF(AND(OR(O42&gt;0,R42&gt;0),AND(CR42&gt;120,CR42&lt;=139)),"PRE HTA SEGUIMIENTO",IF(AND(OR(O42&gt;0,R42&gt;0),AND(CS42&gt;80,CS42&lt;=89)),"PRE HTA SEGUIMIENTO",IF(AND(OR(O42&gt;0,R42&gt;0),AND(CR42&gt;=80,CR42&lt;=120)),"APARENTEMENTE NORMAL",IF(AND(OR(O42&gt;0,R42&gt;0),AND(CS42&gt;=50,CS42&lt;=80)),"APARENTEMENTE NORMAL",IF(AND(OR(O42&gt;0,R42&gt;0),AND(CR42&gt;1,CR42&lt;=70),AND(CS42&gt;1,CS42&lt;=40)),"HIPOTENSIÓN","")))))))))</f>
        <v>NO APLICA REGISTRO TA-INGRESO TARDIO</v>
      </c>
      <c r="CU42" s="21">
        <v>100</v>
      </c>
      <c r="CV42" s="21">
        <v>60</v>
      </c>
      <c r="CW42" s="217" t="str">
        <f ca="1">IF(R42="","",IF(AND(CN42&gt;19,CN42&lt;27,Tabla1[[#This Row],[T.A. SISTOLICA (Entre semana 20 y 26)]]="",Tabla1[[#This Row],[T.A. DIATOLICA (Entre semana 20 y 26)]]=""),"ACUDE A CONTROL SEM 20 A 26 REGISTRE TA AHORA",IF(AND(BS42&gt;1,BS42&lt;27,BU42&gt;19,Tabla1[[#This Row],[T.A. SISTOLICA (Entre semana 20 y 26)]]="",Tabla1[[#This Row],[T.A. DIATOLICA (Entre semana 20 y 26)]]=""),"COMPLETE REGISTRO TA CONTROL SEM 20 A26 ",IF(AND(BS42&gt;26,BS42&lt;43,Tabla1[[#This Row],[T.A. SISTOLICA (Entre semana 20 y 26)]]="",Tabla1[[#This Row],[T.A. DIATOLICA (Entre semana 20 y 26)]]=""),"NO APLICA REGISTRO TA-INGRESO TARDIO",IF(AND(OR(O42&gt;0,R42&gt;0),OR(CU42&gt;=140,CV42&gt;=90)),"ALTO RIESGO PREECLAMPSIA,DEFINIR ESTADIO HTA",IF(AND(OR(O42&gt;0,R42&gt;0),AND(CU42&gt;120,CU42&lt;=139)),"PRE HTA SEGUIMIENTO,RIESGO HIPERTENSION INDUCIDA POR EL EMBARAZO",IF(AND(OR(O42&gt;0,R42&gt;0),AND(CV42&gt;80,CV42&lt;=89)),"PRE HTA SEGUIMIENTO, RIESGO HIPERTENSION INDUCIDA POR EL EMBARAZO",IF(AND(OR(O42&lt;&gt;"",R42&lt;&gt;""),CS42&lt;&gt;"",CV42&lt;&gt;"",CS42&lt;=CV42),"VIGILAR CIFRAS PRESION ARTERIAL",IF(AND(OR(O42&gt;0,R42&gt;0),AND(CU42&gt;120,CU42&lt;=139)),"PRE HTA SEGUIMIENTO",IF(AND(OR(O42&gt;0,R42&gt;0),AND(CU42&gt;1,CU42&lt;=70),AND(CV42&gt;1,CV42&lt;=40)),"HIPOTENSIÓN",IF(AND(OR(O42&lt;&gt;"",R42&lt;&gt;""),CS42&lt;&gt;"",CV42&lt;&gt;"",CS42&gt;CV42),"APARENTEMENTE NORMAL",IF(AND(OR(O42&gt;0,R42&gt;0),AND(CU42&gt;=80,CU42&lt;=120)),"APARENTEMENTE NORMAL",IF(AND(OR(O42&gt;0,R42&gt;0),AND(CV42&gt;=50,CV42&lt;=80)),"APARENTEMENTE NORMAL","")))))))))))))</f>
        <v>APARENTEMENTE NORMAL</v>
      </c>
      <c r="CX42" s="21">
        <v>110</v>
      </c>
      <c r="CY42" s="21">
        <v>60</v>
      </c>
      <c r="CZ42" s="216" t="str">
        <f t="shared" si="195"/>
        <v>APARENTEMENTE NORMAL</v>
      </c>
      <c r="DA42" s="21"/>
      <c r="DB42" s="21"/>
      <c r="DC42" s="217" t="str">
        <f t="shared" si="12"/>
        <v>REGISTRE DATO PRESIÓN ARTERIAL MENSUAL</v>
      </c>
      <c r="DD42" s="22">
        <v>44817</v>
      </c>
      <c r="DE42" s="22">
        <v>44817</v>
      </c>
      <c r="DF42" s="22">
        <v>44867</v>
      </c>
      <c r="DG42" s="22">
        <v>44897</v>
      </c>
      <c r="DH42" s="22">
        <v>44960</v>
      </c>
      <c r="DI42" s="22"/>
      <c r="DJ42" s="22"/>
      <c r="DK42" s="22"/>
      <c r="DL42" s="22"/>
      <c r="DM42" s="22"/>
      <c r="DN42" s="22"/>
      <c r="DO42" s="22"/>
      <c r="DP42" s="22"/>
      <c r="DQ42" s="22"/>
      <c r="DR42" s="28">
        <v>2</v>
      </c>
      <c r="DS42" s="22"/>
      <c r="DT42" s="22"/>
      <c r="DU42" s="216" t="str">
        <f t="shared" ca="1" si="196"/>
        <v>SALE SIN PLAN DE PARTO</v>
      </c>
      <c r="DV42" s="226" t="str">
        <f t="shared" si="197"/>
        <v>SALIO PROGRAMA</v>
      </c>
      <c r="DW42"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42" s="216" t="str">
        <f t="shared" ca="1" si="15"/>
        <v/>
      </c>
      <c r="DY42" s="212">
        <f>IF(R42="","",IF(R42&gt;0,MAX(Tabla1[[#This Row],[FECHA C2]:[FECHA C13]],Tabla1[[#This Row],[FECHA CONSULTA PRIMERA VEZ PROGRAMA CPN ]])))</f>
        <v>44960</v>
      </c>
      <c r="DZ42" s="216">
        <f t="shared" si="16"/>
        <v>33</v>
      </c>
      <c r="EA42" s="222">
        <f>IF(R42&gt;0,SUM(COUNTA(DF42:DQ42)+COUNTA(Tabla1[[#This Row],[FECHA CONSULTA PRIMERA VEZ PROGRAMA CPN ]])),"")</f>
        <v>4</v>
      </c>
      <c r="EB42" s="222" t="str">
        <f t="shared" si="17"/>
        <v>SI</v>
      </c>
      <c r="EC42" s="214">
        <f t="shared" si="18"/>
        <v>8</v>
      </c>
      <c r="ED42" s="227">
        <f t="shared" si="19"/>
        <v>0.5</v>
      </c>
      <c r="EE42" s="22">
        <v>44817</v>
      </c>
      <c r="EF42" s="22"/>
      <c r="EG42" s="22">
        <v>44817</v>
      </c>
      <c r="EH42" s="22"/>
      <c r="EI42" s="22">
        <v>44817</v>
      </c>
      <c r="EJ42" s="22"/>
      <c r="EK42" s="22"/>
      <c r="EL42" s="21"/>
      <c r="EM42" s="21">
        <v>13.7</v>
      </c>
      <c r="EN42" s="22">
        <v>44821</v>
      </c>
      <c r="EO42" s="222">
        <f t="shared" si="20"/>
        <v>13.857142857142858</v>
      </c>
      <c r="EP42" s="214" t="str">
        <f t="shared" si="21"/>
        <v>NORMAL- SUMINISTRAR SULFATO FERROSO</v>
      </c>
      <c r="EQ42" s="216" t="str">
        <f t="shared" si="22"/>
        <v>II TRIM</v>
      </c>
      <c r="ER42" s="24">
        <v>11.8</v>
      </c>
      <c r="ES42" s="22">
        <v>44898</v>
      </c>
      <c r="ET42" s="29">
        <f t="shared" ca="1" si="198"/>
        <v>24.857142857142858</v>
      </c>
      <c r="EU42" s="25" t="str">
        <f t="shared" si="24"/>
        <v>NORMAL- SUMINISTRAR SULFATO FERROSO</v>
      </c>
      <c r="EV42" s="24" t="s">
        <v>866</v>
      </c>
      <c r="EW42" s="24">
        <v>44821</v>
      </c>
      <c r="EX42" s="22"/>
      <c r="EY42" s="29">
        <f t="shared" si="199"/>
        <v>13.857142857142858</v>
      </c>
      <c r="EZ42" s="25" t="str">
        <f t="shared" ca="1" si="200"/>
        <v/>
      </c>
      <c r="FA42" s="21">
        <v>70</v>
      </c>
      <c r="FB42" s="22">
        <v>44821</v>
      </c>
      <c r="FC42" s="29">
        <f t="shared" si="27"/>
        <v>13.857142857142858</v>
      </c>
      <c r="FD42" s="29"/>
      <c r="FE42" s="29"/>
      <c r="FF42" s="29"/>
      <c r="FG42" s="21" t="str">
        <f t="shared" ca="1" si="28"/>
        <v/>
      </c>
      <c r="FH42" s="31"/>
      <c r="FI42" s="29" t="str">
        <f t="shared" si="29"/>
        <v>TOMAR EXAMEN</v>
      </c>
      <c r="FJ42" s="22"/>
      <c r="FK42" s="22"/>
      <c r="FL42" s="29" t="str">
        <f t="shared" ca="1" si="30"/>
        <v>NO APLICA-INGRESO TARDIO</v>
      </c>
      <c r="FM42" s="22" t="s">
        <v>867</v>
      </c>
      <c r="FN42" s="32">
        <v>44898</v>
      </c>
      <c r="FO42" s="29">
        <f t="shared" ca="1" si="201"/>
        <v>24.857142857142858</v>
      </c>
      <c r="FP42" s="22"/>
      <c r="FQ42" s="32"/>
      <c r="FR42" s="29" t="str">
        <f t="shared" ca="1" si="202"/>
        <v>PIERDE TOMA DE TAMIZAJE</v>
      </c>
      <c r="FS42" s="22"/>
      <c r="FT42" s="32"/>
      <c r="FU42" s="29" t="str">
        <f>IF(AND(FJ42="",FM42="",FP42="",FS42=""),"",IF(OR(OR(Tabla1[[#This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42" s="28"/>
      <c r="FW42" s="22"/>
      <c r="FX42" s="29" t="str">
        <f t="shared" si="33"/>
        <v>TOMAR EXAMEN</v>
      </c>
      <c r="FY42" s="22">
        <v>44817</v>
      </c>
      <c r="FZ42" s="22">
        <v>44817</v>
      </c>
      <c r="GA42" s="29" t="str">
        <f t="shared" si="203"/>
        <v>REGISTRAR EN II TRIMESTRE</v>
      </c>
      <c r="GB42" s="22" t="s">
        <v>868</v>
      </c>
      <c r="GC42" s="22">
        <v>44821</v>
      </c>
      <c r="GD42" s="29">
        <f t="shared" ca="1" si="204"/>
        <v>13.857142857142858</v>
      </c>
      <c r="GE42" s="22"/>
      <c r="GF42" s="22"/>
      <c r="GG42" s="29" t="str">
        <f t="shared" ca="1" si="205"/>
        <v>PIERDE TOMA DE TAMIZAJE</v>
      </c>
      <c r="GH42" s="22"/>
      <c r="GI42" s="29"/>
      <c r="GJ42" s="22"/>
      <c r="GK42" s="22"/>
      <c r="GL42" s="22" t="s">
        <v>879</v>
      </c>
      <c r="GM42" s="22"/>
      <c r="GN42" s="28" t="s">
        <v>869</v>
      </c>
      <c r="GO42" s="22">
        <v>44821</v>
      </c>
      <c r="GP42" s="29">
        <f t="shared" si="37"/>
        <v>13.857142857142858</v>
      </c>
      <c r="GQ42" s="28" t="s">
        <v>869</v>
      </c>
      <c r="GR42" s="28" t="s">
        <v>869</v>
      </c>
      <c r="GS42" s="22" t="str">
        <f t="shared" si="206"/>
        <v>CONTROL Igm</v>
      </c>
      <c r="GT42" s="22">
        <v>44821</v>
      </c>
      <c r="GU42" s="29">
        <f t="shared" si="39"/>
        <v>13.857142857142858</v>
      </c>
      <c r="GV42" s="21" t="str">
        <f t="shared" si="40"/>
        <v>II TRIM</v>
      </c>
      <c r="GW42" s="28" t="s">
        <v>869</v>
      </c>
      <c r="GX42" s="30"/>
      <c r="GY42" s="21"/>
      <c r="GZ42" s="21"/>
      <c r="HA42" s="21"/>
      <c r="HB42" s="21"/>
      <c r="HC42" s="21"/>
      <c r="HD42" s="21"/>
      <c r="HE42" s="21"/>
      <c r="HF42" s="22"/>
      <c r="HG42" s="22" t="str">
        <f>IF(OR(O42&gt;0,R42&gt;0),CONCATENATE(IF(Tabla1[[#This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42" s="22" t="e">
        <f t="shared" si="41"/>
        <v>#REF!</v>
      </c>
      <c r="HI42" s="22" t="e">
        <f t="shared" ca="1" si="42"/>
        <v>#REF!</v>
      </c>
      <c r="HJ42" s="21" t="str">
        <f t="shared" ca="1" si="43"/>
        <v>**************EMBARAZO GEMELAR*PRESENTACIÓN FETAL PODALICA O TRANSVERSA************************</v>
      </c>
      <c r="HK42" s="21" t="str">
        <f t="shared" si="44"/>
        <v>SIN ANTECEDENTES DE RIESGO</v>
      </c>
      <c r="HL42" s="24" t="str">
        <f t="shared" si="45"/>
        <v>REGISTRE DATO PRESIÓN ARTERIAL MENSUAL</v>
      </c>
      <c r="HM42" s="21" t="str">
        <f t="shared" ca="1" si="46"/>
        <v/>
      </c>
      <c r="HN42" s="30" t="str">
        <f t="shared" si="207"/>
        <v>SALIO PROGRAMA</v>
      </c>
      <c r="HO42" s="21"/>
      <c r="HP42" s="21"/>
      <c r="HQ42" s="21">
        <v>44817</v>
      </c>
      <c r="HR42" s="21" t="str">
        <f>IF(R42="","",IF(Tabla1[[#This Row],[ALARMA FACTORES DE RIESGO COMPLICACIONES HIPERTENSIVAS3]]="SIN ANTECEDENTES DE RIESGO","No Aplica para suministro de ASA",IF(AND(Tabla1[[#This Row],[FECHA INICIO DE SUMINISTRO DE ASA]]&gt;0,RV42&lt;12),"Inicia ASA ANTES de Sem 12",IF(AND(RV42&gt;11,RV42&lt;17,OR(HK42="RIESGO ALTO DE COMPLICACIONES HIPERTENSIVAS VER MANEJO GUIA SUMINISTRO ASA Y CALCIO",HK42="RIESGO MODERADO (2 O MAS CRITERIOS) VER MANEJO GUIA SUMINISTRO ASA Y CALCIO")),"Inicio oportuno de ASA",IF(AND(RV42&gt;12,OR(HK42="RIESGO ALTO DE COMPLICACIONES HIPERTENSIVAS VER MANEJO GUIA SUMINISTRO ASA Y CALCIO",HK42="RIESGO MODERADO (2 O MAS CRITERIOS) VER MANEJO GUIA SUMINISTRO ASA Y CALCIO")),"Inicio no oportuno mayor a 16 semanas",IF(AND(BU42&lt;12,OR(HK42="RIESGO ALTO DE COMPLICACIONES HIPERTENSIVAS VER MANEJO GUIA SUMINISTRO ASA Y CALCIO",HK42="RIESGO MODERADO (2 O MAS CRITERIOS) VER MANEJO GUIA SUMINISTRO ASA Y CALCIO")),"Pendiente Inicio de ASA a la semana 12",IF(AND(BU42&gt;11,BU42&lt;17,OR(HK42="RIESGO ALTO DE COMPLICACIONES HIPERTENSIVAS VER MANEJO GUIA SUMINISTRO ASA Y CALCIO",HK42="RIESGO MODERADO (2 O MAS CRITERIOS) VER MANEJO GUIA SUMINISTRO ASA Y CALCIO")),"Iniciar de inmediato ASA",IF(AND(BU42&gt;16,OR(HK42="RIESGO ALTO DE COMPLICACIONES HIPERTENSIVAS VER MANEJO GUIA SUMINISTRO ASA Y CALCIO",HK42="RIESGO MODERADO (2 O MAS CRITERIOS) VER MANEJO GUIA SUMINISTRO ASA Y CALCIO")),"Pierde Oportunidad, Inicio tardío de ASA","XXXXX"))))))))</f>
        <v>No Aplica para suministro de ASA</v>
      </c>
      <c r="HS42" s="22">
        <v>44817</v>
      </c>
      <c r="HT42" s="22" t="s">
        <v>870</v>
      </c>
      <c r="HU42" s="22">
        <v>44817</v>
      </c>
      <c r="HV42" s="22" t="s">
        <v>870</v>
      </c>
      <c r="HW42" s="22">
        <v>44817</v>
      </c>
      <c r="HX42" s="22" t="s">
        <v>870</v>
      </c>
      <c r="HY42" s="22">
        <v>44817</v>
      </c>
      <c r="HZ42" s="28">
        <f t="shared" si="48"/>
        <v>13.285714285714286</v>
      </c>
      <c r="IA42" s="26" t="s">
        <v>864</v>
      </c>
      <c r="IB42" s="26"/>
      <c r="IC42" s="111">
        <v>44897</v>
      </c>
      <c r="ID42" s="22">
        <v>44897</v>
      </c>
      <c r="IE42" s="22" t="str">
        <f t="shared" ca="1" si="49"/>
        <v>VACUNA APLICADA ENTRE SEMANA 20 Y SEMANA 26</v>
      </c>
      <c r="IF42" s="22"/>
      <c r="IG42" s="22">
        <f t="shared" si="50"/>
        <v>45004</v>
      </c>
      <c r="IH42" s="29">
        <f t="shared" ca="1" si="51"/>
        <v>-228</v>
      </c>
      <c r="II42" s="22" t="str">
        <f t="shared" ca="1" si="52"/>
        <v>POSIBLEMENTE NACIO</v>
      </c>
      <c r="IJ42" s="22"/>
      <c r="IK42" s="21" t="s">
        <v>898</v>
      </c>
      <c r="IL42" s="21"/>
      <c r="IM42" s="34"/>
      <c r="IN42" s="349">
        <v>44973</v>
      </c>
      <c r="IO42" s="21" t="s">
        <v>1186</v>
      </c>
      <c r="IP42" s="29">
        <f t="shared" si="208"/>
        <v>35.571428571428569</v>
      </c>
      <c r="IQ42" s="110" t="s">
        <v>1644</v>
      </c>
      <c r="IR42" s="21" t="s">
        <v>1645</v>
      </c>
      <c r="IS42" s="21" t="s">
        <v>1646</v>
      </c>
      <c r="IT42" s="21" t="s">
        <v>1642</v>
      </c>
      <c r="IU42" s="21"/>
      <c r="IV42" s="21"/>
      <c r="IW42" s="21"/>
      <c r="IX42" s="21"/>
      <c r="IY42" s="21"/>
      <c r="IZ42" s="21"/>
      <c r="JA42" s="21"/>
      <c r="JB42" s="30">
        <v>1</v>
      </c>
      <c r="JC42" s="21" t="s">
        <v>1643</v>
      </c>
      <c r="JD42" s="36">
        <v>2298</v>
      </c>
      <c r="JE42" s="21" t="str">
        <f t="shared" si="209"/>
        <v>PREMATURO</v>
      </c>
      <c r="JF42" s="30"/>
      <c r="JG42" s="21"/>
      <c r="JH42" s="21"/>
      <c r="JI42" s="21" t="s">
        <v>854</v>
      </c>
      <c r="JJ42" s="30" t="s">
        <v>866</v>
      </c>
      <c r="JK42" s="22"/>
      <c r="JL42" s="22"/>
      <c r="JM42" s="21"/>
      <c r="JN42" s="36"/>
      <c r="JO42" s="21" t="str">
        <f t="shared" si="210"/>
        <v/>
      </c>
      <c r="JP42" s="22"/>
      <c r="JQ42" s="21"/>
      <c r="JR42" s="21"/>
      <c r="JS42" s="21"/>
      <c r="JT42" s="30"/>
      <c r="JU42" s="22"/>
      <c r="JV42" s="22"/>
      <c r="JW42" s="33"/>
      <c r="JX42" s="28" t="str">
        <f t="shared" si="211"/>
        <v>INASISTENTE</v>
      </c>
      <c r="JY42" s="33"/>
      <c r="JZ42" s="28" t="str">
        <f t="shared" si="212"/>
        <v>INASISTENTE</v>
      </c>
      <c r="KA42" s="21"/>
      <c r="KB42" s="21"/>
      <c r="KC42" s="21"/>
      <c r="KD42" s="37"/>
      <c r="KE42" s="28"/>
      <c r="KF42" s="28"/>
      <c r="KG42" s="28"/>
      <c r="KH42" s="39"/>
      <c r="KI42" s="39"/>
      <c r="KJ42" s="66"/>
      <c r="KK42" s="39"/>
      <c r="KL42" s="39"/>
      <c r="KM42" s="66"/>
      <c r="KN42" s="39"/>
      <c r="KO42" s="39"/>
      <c r="KP42" s="39"/>
      <c r="KQ42" s="39"/>
      <c r="KR42" s="39"/>
      <c r="KS42" s="39"/>
      <c r="KT42" s="39"/>
      <c r="KU42" s="38"/>
      <c r="KV42" s="38"/>
      <c r="KW42" s="38"/>
      <c r="KX42" s="38"/>
      <c r="KY42" s="38"/>
      <c r="KZ42" s="38"/>
      <c r="LA42" s="38"/>
      <c r="LB42" s="38"/>
      <c r="LC42" s="38"/>
      <c r="LD42" s="38"/>
      <c r="LE42" s="38"/>
      <c r="LF42" s="38"/>
      <c r="LG42" s="38"/>
      <c r="LH42" s="38"/>
      <c r="LI42" s="38"/>
      <c r="LJ42" s="38"/>
      <c r="LK42" s="38"/>
      <c r="LL42" s="38"/>
      <c r="LM42" s="38"/>
      <c r="LN42" s="38"/>
      <c r="LO42" s="38"/>
      <c r="LP42" s="38"/>
      <c r="LQ42" s="38"/>
      <c r="LR42" s="38"/>
      <c r="LS42" s="38"/>
      <c r="LT42" s="38"/>
      <c r="LU42" s="38"/>
      <c r="LV42" s="38"/>
      <c r="LW42" s="38"/>
      <c r="LX42" s="38"/>
      <c r="LY42" s="38"/>
      <c r="LZ42" s="38"/>
      <c r="MA42" s="38"/>
      <c r="MB42" s="38"/>
      <c r="MC42" s="38"/>
      <c r="MD42" s="38"/>
      <c r="ME42" s="38"/>
      <c r="MF42" s="38"/>
      <c r="MG42" s="38"/>
      <c r="MH42" s="43">
        <f t="shared" si="213"/>
        <v>0</v>
      </c>
      <c r="MI42" s="43" t="str">
        <f t="shared" si="214"/>
        <v/>
      </c>
      <c r="MJ42" s="43" t="str">
        <f t="shared" si="215"/>
        <v/>
      </c>
      <c r="MK42" s="43">
        <f t="shared" si="216"/>
        <v>0</v>
      </c>
      <c r="ML4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42" s="43">
        <f t="shared" si="217"/>
        <v>13.285714285714286</v>
      </c>
      <c r="MN42" s="43">
        <f t="shared" si="218"/>
        <v>9</v>
      </c>
      <c r="MO42" s="43">
        <f t="shared" si="219"/>
        <v>2022</v>
      </c>
      <c r="MP42" s="43" t="str">
        <f t="shared" si="220"/>
        <v>III TRIMESTRE AÑO</v>
      </c>
      <c r="MQ42" s="43">
        <f t="shared" si="221"/>
        <v>26.642575558475688</v>
      </c>
      <c r="MR42" s="43">
        <f t="shared" si="222"/>
        <v>0</v>
      </c>
      <c r="MS42" s="43" t="str">
        <f t="shared" si="223"/>
        <v xml:space="preserve"> DE 25 A 29 AÑOS</v>
      </c>
      <c r="MT42" s="43">
        <f t="shared" si="224"/>
        <v>0</v>
      </c>
      <c r="MU42" s="43">
        <f t="shared" si="225"/>
        <v>0</v>
      </c>
      <c r="MV42" s="43">
        <f t="shared" si="226"/>
        <v>0</v>
      </c>
      <c r="MW42" s="43">
        <f t="shared" si="227"/>
        <v>0</v>
      </c>
      <c r="MX42" s="43" t="str">
        <f t="shared" si="228"/>
        <v/>
      </c>
      <c r="MY42" s="43" t="str">
        <f t="shared" ca="1" si="229"/>
        <v/>
      </c>
      <c r="MZ42" s="43" t="str">
        <f t="shared" si="230"/>
        <v/>
      </c>
      <c r="NA42" s="43">
        <f t="shared" si="231"/>
        <v>3</v>
      </c>
      <c r="NB42" s="43" t="str">
        <f t="shared" si="232"/>
        <v/>
      </c>
      <c r="NC42" s="43" t="str">
        <f t="shared" si="233"/>
        <v/>
      </c>
      <c r="ND42" s="43">
        <f t="shared" ca="1" si="234"/>
        <v>6</v>
      </c>
      <c r="NE42" s="43">
        <f>IF(OR(O42&gt;0,R42&gt;0),SUM(COUNTIF(Tabla1[[#This Row],[AÑOS AL INICIO5 CPN]],"&gt;=40"),COUNTIF(AS42,"0"),COUNTIF(AR42,"SI"),COUNTIF(CC42,"SI"),COUNTIF(BQ42,"&gt;119"),COUNTIF(CI42,"&gt;=35")),"")</f>
        <v>1</v>
      </c>
      <c r="NF42" s="43">
        <f t="shared" si="235"/>
        <v>24.714285714285715</v>
      </c>
      <c r="NG42" s="43">
        <f t="shared" si="236"/>
        <v>0</v>
      </c>
      <c r="NH42" s="43">
        <f t="shared" si="237"/>
        <v>175</v>
      </c>
      <c r="NI42"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CPN",P42="NO"),"Z",IF(AND(Tabla1[[#This Row],[CITA PROXIMO CONTROL]]="CITA MANUAL",Tabla1[[#This Row],[GESTANTES ACTUALES]]="ACTIVA INGRESO A CPN"),"W",IF(AND(Tabla1[[#This Row],[GESTANTES ACTUALES]]="SALIO PROGRAMA",IN42=""),"S",IF(AND(Tabla1[[#This Row],[CITA PROXIMO CONTROL]]&gt;0,IN42=""),(Tabla1[[#This Row],[CITA PROXIMO CONTROL]]-TODAY()),"SD"))))))))</f>
        <v>SD</v>
      </c>
      <c r="NJ42" s="43">
        <f>MONTH(Tabla1[[#This Row],[FECHA DE SALIDA  DEL PROGRAMA]])</f>
        <v>2</v>
      </c>
      <c r="NK42" s="43">
        <f>YEAR(Tabla1[[#This Row],[FECHA DE SALIDA  DEL PROGRAMA]])</f>
        <v>2023</v>
      </c>
      <c r="NL42" s="43" t="str">
        <f t="shared" si="238"/>
        <v>X</v>
      </c>
      <c r="NM42" s="43" t="str">
        <f t="shared" si="239"/>
        <v>NO</v>
      </c>
      <c r="NN42" s="43" t="str">
        <f ca="1">IF(AND(O42&gt;0,R42=""),"NO CPN",IF(AND(O42="",R42=""),"",IF(AND(R42&gt;0,Tabla1[[#This Row],[SEMANAS DE GESTACION ACTUALIZADAS]]&lt;=12),"NO APLICA",IF(AND(FH42&lt;&gt;"",FN42&lt;&gt;""),"SI","NO"))))</f>
        <v>NO</v>
      </c>
      <c r="NO42" s="43" t="str">
        <f ca="1">IF(AND(O42&gt;0,R42=""),"NO CPN",IF(AND(O42="",R42=""),"",IF(AND(R42&gt;0,Tabla1[[#This Row],[SEMANAS DE GESTACION ACTUALIZADAS]]&lt;=27),"NO APLICA",IF(AND(ES42&lt;&gt;"",FQ42&lt;&gt;"",GF42&lt;&gt;""),"SI","NO"))))</f>
        <v>NO</v>
      </c>
      <c r="NP42" s="204" t="str">
        <f t="shared" si="240"/>
        <v>II TRIM</v>
      </c>
      <c r="NQ42" s="21" t="str">
        <f t="shared" si="241"/>
        <v/>
      </c>
      <c r="NR42" s="21">
        <f t="shared" si="242"/>
        <v>2</v>
      </c>
      <c r="NS42" s="205">
        <f t="shared" ca="1" si="243"/>
        <v>1</v>
      </c>
      <c r="NT42" s="21">
        <f t="shared" ca="1" si="244"/>
        <v>1</v>
      </c>
      <c r="NU42" s="21" t="str">
        <f t="shared" ca="1" si="245"/>
        <v>INCOMPLETO</v>
      </c>
      <c r="NV42" s="21" t="str">
        <f t="shared" ca="1" si="246"/>
        <v>INCOMPLETO</v>
      </c>
      <c r="NW42" s="206" t="str">
        <f>IF(AND(O42="",R42=""),"",IF(OR(AND(Tabla1[[#This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42" s="207" t="str">
        <f t="shared" ca="1" si="247"/>
        <v>VACUNADA</v>
      </c>
      <c r="NY42" s="43">
        <f>ROW(Tabla1[[#This Row],['# DE TAMIZAJES SIFILIS TOMADOS ]])</f>
        <v>42</v>
      </c>
      <c r="NZ42" s="43">
        <f t="shared" si="93"/>
        <v>13</v>
      </c>
      <c r="OA42" s="43" t="str">
        <f t="shared" si="94"/>
        <v/>
      </c>
      <c r="OB42" s="43" t="str">
        <f t="shared" si="95"/>
        <v/>
      </c>
      <c r="OC42" s="43" t="str">
        <f t="shared" si="96"/>
        <v/>
      </c>
      <c r="OD42" s="43" t="str">
        <f t="shared" si="97"/>
        <v/>
      </c>
      <c r="OE42" s="43" t="str">
        <f t="shared" si="98"/>
        <v>NORMAL</v>
      </c>
      <c r="OF42" s="43" t="str">
        <f t="shared" si="99"/>
        <v/>
      </c>
      <c r="OG42" s="43" t="str">
        <f t="shared" si="100"/>
        <v/>
      </c>
      <c r="OH42" s="43" t="str">
        <f t="shared" si="101"/>
        <v/>
      </c>
      <c r="OI42" s="43" t="str">
        <f t="shared" si="102"/>
        <v/>
      </c>
      <c r="OJ42" s="43" t="str">
        <f t="shared" si="103"/>
        <v/>
      </c>
      <c r="OK42" s="43" t="str">
        <f t="shared" si="104"/>
        <v/>
      </c>
      <c r="OL42" s="43" t="str">
        <f t="shared" si="105"/>
        <v/>
      </c>
      <c r="OM42" s="43" t="str">
        <f t="shared" si="106"/>
        <v/>
      </c>
      <c r="ON42" s="43" t="str">
        <f t="shared" si="107"/>
        <v/>
      </c>
      <c r="OO42" s="43" t="str">
        <f t="shared" si="108"/>
        <v/>
      </c>
      <c r="OP42" s="43" t="str">
        <f t="shared" si="109"/>
        <v/>
      </c>
      <c r="OQ42" s="43" t="str">
        <f t="shared" si="110"/>
        <v/>
      </c>
      <c r="OR42" s="43" t="str">
        <f t="shared" si="111"/>
        <v/>
      </c>
      <c r="OS42" s="43" t="str">
        <f t="shared" si="112"/>
        <v/>
      </c>
      <c r="OT42" s="43" t="str">
        <f t="shared" si="113"/>
        <v/>
      </c>
      <c r="OU42" s="43" t="str">
        <f t="shared" si="114"/>
        <v/>
      </c>
      <c r="OV42" s="110" t="str">
        <f t="shared" si="115"/>
        <v/>
      </c>
      <c r="OW42" s="43" t="str">
        <f t="shared" si="116"/>
        <v/>
      </c>
      <c r="OX42" s="43" t="str">
        <f t="shared" si="117"/>
        <v/>
      </c>
      <c r="OY42" s="43" t="str">
        <f t="shared" si="118"/>
        <v/>
      </c>
      <c r="OZ42" s="43" t="str">
        <f t="shared" si="119"/>
        <v/>
      </c>
      <c r="PA42" s="43" t="str">
        <f t="shared" si="120"/>
        <v/>
      </c>
      <c r="PB42" s="43" t="str">
        <f t="shared" si="121"/>
        <v/>
      </c>
      <c r="PC42" s="43" t="str">
        <f t="shared" si="122"/>
        <v/>
      </c>
      <c r="PD42" s="43" t="str">
        <f t="shared" si="123"/>
        <v/>
      </c>
      <c r="PE42" s="43" t="str">
        <f t="shared" si="124"/>
        <v/>
      </c>
      <c r="PF42" s="43" t="str">
        <f t="shared" si="125"/>
        <v/>
      </c>
      <c r="PG42" s="43" t="str">
        <f t="shared" si="126"/>
        <v/>
      </c>
      <c r="PH42" s="43" t="str">
        <f t="shared" si="127"/>
        <v/>
      </c>
      <c r="PI42" s="43">
        <f t="shared" si="128"/>
        <v>33</v>
      </c>
      <c r="PJ42" s="43" t="str">
        <f t="shared" si="129"/>
        <v/>
      </c>
      <c r="PK42" s="43" t="str">
        <f t="shared" si="130"/>
        <v/>
      </c>
      <c r="PL42" s="43" t="str">
        <f t="shared" si="131"/>
        <v/>
      </c>
      <c r="PM42" s="43" t="str">
        <f t="shared" si="132"/>
        <v/>
      </c>
      <c r="PN42" s="43" t="str">
        <f t="shared" si="133"/>
        <v/>
      </c>
      <c r="PO42" s="43" t="str">
        <f t="shared" si="134"/>
        <v/>
      </c>
      <c r="PP42" s="43" t="str">
        <f t="shared" si="135"/>
        <v/>
      </c>
      <c r="PQ42" s="43" t="str">
        <f t="shared" si="136"/>
        <v/>
      </c>
      <c r="PR42" s="43" t="str">
        <f t="shared" si="137"/>
        <v/>
      </c>
      <c r="PS42" s="43" t="str">
        <f t="shared" si="138"/>
        <v/>
      </c>
      <c r="PT42" s="43" t="str">
        <f t="shared" si="139"/>
        <v/>
      </c>
      <c r="PU42" s="43" t="str">
        <f t="shared" si="140"/>
        <v/>
      </c>
      <c r="PV42" s="43" t="str">
        <f t="shared" si="141"/>
        <v/>
      </c>
      <c r="PW42" s="43" t="str">
        <f t="shared" si="142"/>
        <v/>
      </c>
      <c r="PX42" s="43" t="str">
        <f t="shared" si="143"/>
        <v/>
      </c>
      <c r="PY42" s="43" t="str">
        <f t="shared" si="144"/>
        <v/>
      </c>
      <c r="PZ42" s="43" t="str">
        <f t="shared" si="145"/>
        <v/>
      </c>
      <c r="QA42" s="43" t="str">
        <f t="shared" si="146"/>
        <v/>
      </c>
      <c r="QB42" s="43" t="str">
        <f t="shared" si="147"/>
        <v/>
      </c>
      <c r="QC42" s="43" t="str">
        <f t="shared" si="148"/>
        <v/>
      </c>
      <c r="QD42" s="43" t="str">
        <f t="shared" si="149"/>
        <v/>
      </c>
      <c r="QE42" s="43" t="str">
        <f t="shared" si="150"/>
        <v/>
      </c>
      <c r="QF42" s="43" t="str">
        <f t="shared" si="151"/>
        <v/>
      </c>
      <c r="QG42" s="43" t="str">
        <f t="shared" si="152"/>
        <v/>
      </c>
      <c r="QH42" s="43" t="str">
        <f t="shared" si="153"/>
        <v/>
      </c>
      <c r="QI42" s="43" t="str">
        <f t="shared" si="154"/>
        <v/>
      </c>
      <c r="QJ42" s="43" t="str">
        <f t="shared" si="155"/>
        <v/>
      </c>
      <c r="QK42" s="43" t="str">
        <f t="shared" si="156"/>
        <v/>
      </c>
      <c r="QL42" s="43" t="str">
        <f t="shared" si="157"/>
        <v/>
      </c>
      <c r="QM42" s="43" t="str">
        <f t="shared" si="158"/>
        <v/>
      </c>
      <c r="QN42" s="43" t="str">
        <f t="shared" si="159"/>
        <v/>
      </c>
      <c r="QO42" s="43" t="str">
        <f t="shared" si="160"/>
        <v/>
      </c>
      <c r="QP42" s="43" t="str">
        <f t="shared" si="161"/>
        <v/>
      </c>
      <c r="QQ42" s="43" t="str">
        <f t="shared" si="162"/>
        <v/>
      </c>
      <c r="QR42" s="43">
        <f t="shared" si="192"/>
        <v>33</v>
      </c>
      <c r="QS42" s="43"/>
      <c r="QT42" s="21" t="str">
        <f t="shared" si="163"/>
        <v/>
      </c>
      <c r="QU42" s="21" t="str">
        <f t="shared" si="164"/>
        <v/>
      </c>
      <c r="QV42" s="21" t="str">
        <f t="shared" si="165"/>
        <v/>
      </c>
      <c r="QW42" s="21" t="str">
        <f t="shared" si="166"/>
        <v/>
      </c>
      <c r="QX42" s="21" t="str">
        <f t="shared" si="167"/>
        <v/>
      </c>
      <c r="QY42" s="21" t="str">
        <f t="shared" si="168"/>
        <v/>
      </c>
      <c r="QZ42" s="21" t="str">
        <f t="shared" si="169"/>
        <v/>
      </c>
      <c r="RA42" s="21" t="str">
        <f t="shared" si="170"/>
        <v/>
      </c>
      <c r="RB42" s="21" t="str">
        <f t="shared" si="171"/>
        <v/>
      </c>
      <c r="RC42" s="21" t="str">
        <f t="shared" si="172"/>
        <v/>
      </c>
      <c r="RD42" s="21" t="str">
        <f t="shared" si="173"/>
        <v/>
      </c>
      <c r="RE42" s="21" t="str">
        <f t="shared" si="174"/>
        <v/>
      </c>
      <c r="RF42" s="21" t="str">
        <f t="shared" si="175"/>
        <v/>
      </c>
      <c r="RG42" s="21" t="str">
        <f t="shared" si="176"/>
        <v/>
      </c>
      <c r="RH42" s="21" t="str">
        <f t="shared" si="177"/>
        <v/>
      </c>
      <c r="RI42" s="21" t="str">
        <f t="shared" si="178"/>
        <v/>
      </c>
      <c r="RJ42" s="21" t="str">
        <f t="shared" si="179"/>
        <v/>
      </c>
      <c r="RK42" s="21" t="str">
        <f t="shared" si="180"/>
        <v/>
      </c>
      <c r="RL42" s="21" t="str">
        <f t="shared" si="181"/>
        <v/>
      </c>
      <c r="RM42" s="21" t="str">
        <f t="shared" si="182"/>
        <v/>
      </c>
      <c r="RN42" s="21" t="str">
        <f t="shared" si="183"/>
        <v/>
      </c>
      <c r="RO42" s="21" t="str">
        <f t="shared" si="184"/>
        <v/>
      </c>
      <c r="RP42" s="21" t="str">
        <f t="shared" si="185"/>
        <v/>
      </c>
      <c r="RQ42" s="21" t="str">
        <f t="shared" si="186"/>
        <v/>
      </c>
      <c r="RR42" s="21" t="str">
        <f t="shared" si="187"/>
        <v/>
      </c>
      <c r="RS42" s="21" t="str">
        <f t="shared" si="188"/>
        <v/>
      </c>
      <c r="RT42" s="21" t="str">
        <f t="shared" si="189"/>
        <v/>
      </c>
      <c r="RU42" s="21" t="str">
        <f t="shared" si="190"/>
        <v/>
      </c>
      <c r="RV42" s="21">
        <f t="shared" si="191"/>
        <v>13.285714285714286</v>
      </c>
      <c r="RW42" s="284">
        <f>IF(OR(Tabla1[[#This Row],[FUM FORMULA CONFIABLE]]="",Tabla1[[#This Row],[FUM FORMULA CONFIABLE]]="SD"),"",IF(Tabla1[[#This Row],[FUM FORMULA CONFIABLE]]="CORREGIDA",Tabla1[[#This Row],[FUM X ECO 1]],Tabla1[[#This Row],[FUM x AMENORREA]]))</f>
        <v>44724</v>
      </c>
      <c r="RX42" s="21">
        <f>IF(AND(Tabla1[[#This Row],[FUM X ECO 1]]="",Tabla1[[#This Row],[FUM x AMENORREA]]=""),"",IF(AND(Tabla1[[#This Row],[FUM X ECO 1]]="",Tabla1[[#This Row],[FUM x AMENORREA]]&lt;&gt;""),"X",SUM(Tabla1[[#This Row],[FUM X ECO 1]]-Tabla1[[#This Row],[FUM x AMENORREA]])))</f>
        <v>-1</v>
      </c>
      <c r="RY42" s="21">
        <f t="shared" si="193"/>
        <v>0</v>
      </c>
    </row>
    <row r="43" spans="1:493" ht="45" customHeight="1" x14ac:dyDescent="0.25">
      <c r="A43" s="109" t="s">
        <v>1088</v>
      </c>
      <c r="B43" s="43" t="s">
        <v>1089</v>
      </c>
      <c r="C43" s="43" t="s">
        <v>845</v>
      </c>
      <c r="D43" s="124" t="s">
        <v>846</v>
      </c>
      <c r="E43" s="43" t="s">
        <v>1090</v>
      </c>
      <c r="F43" s="43" t="s">
        <v>1091</v>
      </c>
      <c r="G43" s="43" t="s">
        <v>1092</v>
      </c>
      <c r="H43" s="43" t="s">
        <v>1093</v>
      </c>
      <c r="I43" s="109" t="s">
        <v>1094</v>
      </c>
      <c r="J43" s="110">
        <v>1060868929</v>
      </c>
      <c r="K43" s="43" t="s">
        <v>852</v>
      </c>
      <c r="L43" s="175" t="s">
        <v>1081</v>
      </c>
      <c r="M43" s="22">
        <v>38393</v>
      </c>
      <c r="N43" s="213">
        <f t="shared" ca="1" si="0"/>
        <v>18.736986301369864</v>
      </c>
      <c r="O43" s="22">
        <v>44867</v>
      </c>
      <c r="P43" s="214" t="str">
        <f t="shared" si="194"/>
        <v>SI</v>
      </c>
      <c r="Q43" s="26" t="s">
        <v>855</v>
      </c>
      <c r="R43" s="22">
        <v>44867</v>
      </c>
      <c r="S43" s="21" t="s">
        <v>856</v>
      </c>
      <c r="T43" s="24" t="s">
        <v>690</v>
      </c>
      <c r="U43" s="21" t="s">
        <v>857</v>
      </c>
      <c r="V43" s="21" t="s">
        <v>858</v>
      </c>
      <c r="W43" s="21" t="s">
        <v>1095</v>
      </c>
      <c r="X43" s="21" t="s">
        <v>1095</v>
      </c>
      <c r="Y43" s="21" t="s">
        <v>859</v>
      </c>
      <c r="Z43" s="21" t="s">
        <v>894</v>
      </c>
      <c r="AA43" s="21" t="s">
        <v>860</v>
      </c>
      <c r="AB43" s="27" t="s">
        <v>861</v>
      </c>
      <c r="AC43" s="26" t="s">
        <v>897</v>
      </c>
      <c r="AD43" s="38" t="s">
        <v>846</v>
      </c>
      <c r="AE43" s="26" t="s">
        <v>854</v>
      </c>
      <c r="AF43" s="26" t="s">
        <v>854</v>
      </c>
      <c r="AG43" s="23" t="s">
        <v>864</v>
      </c>
      <c r="AH43" s="23" t="s">
        <v>864</v>
      </c>
      <c r="AI43" s="24" t="s">
        <v>863</v>
      </c>
      <c r="AJ43" s="23" t="s">
        <v>864</v>
      </c>
      <c r="AK43" s="220" t="str">
        <f>IF(AND(AD43="",AE43="",AF43="",AG43="",AH43="",AI43="",AJ43=""),"",IF(OR(Tabla1[[#This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EVALUACIÓN",IF(AND(O43="",R43=""),"",IF(AND(OR(O43&gt;0,R43&gt;0),NG43&gt;=0,NG43&lt;2),"SIN RIESGO",IF(AND(OR(O43&gt;0,R43&gt;0),NG43&gt;=2),"CON RIESGO","ASD")))))</f>
        <v>SIN RIESGO</v>
      </c>
      <c r="AL43" s="23" t="s">
        <v>864</v>
      </c>
      <c r="AM43" s="26" t="s">
        <v>864</v>
      </c>
      <c r="AN43" s="26" t="s">
        <v>864</v>
      </c>
      <c r="AO43" s="26" t="s">
        <v>864</v>
      </c>
      <c r="AP43" s="26" t="s">
        <v>864</v>
      </c>
      <c r="AQ43" s="26" t="s">
        <v>864</v>
      </c>
      <c r="AR43" s="26" t="s">
        <v>864</v>
      </c>
      <c r="AS43" s="21">
        <v>0</v>
      </c>
      <c r="AT43" s="21">
        <v>0</v>
      </c>
      <c r="AU43" s="21">
        <v>0</v>
      </c>
      <c r="AV43" s="26" t="s">
        <v>864</v>
      </c>
      <c r="AW43" s="21">
        <v>0</v>
      </c>
      <c r="AX43" s="26" t="s">
        <v>864</v>
      </c>
      <c r="AY43" s="26" t="s">
        <v>864</v>
      </c>
      <c r="AZ43" s="26" t="s">
        <v>864</v>
      </c>
      <c r="BA43" s="26" t="s">
        <v>864</v>
      </c>
      <c r="BB43" s="26" t="s">
        <v>864</v>
      </c>
      <c r="BC43" s="26" t="s">
        <v>864</v>
      </c>
      <c r="BD43" s="26" t="s">
        <v>864</v>
      </c>
      <c r="BE43" s="26" t="s">
        <v>864</v>
      </c>
      <c r="BF43" s="26" t="s">
        <v>864</v>
      </c>
      <c r="BG43" s="26" t="s">
        <v>864</v>
      </c>
      <c r="BH43" s="26" t="s">
        <v>864</v>
      </c>
      <c r="BI43" s="26" t="s">
        <v>864</v>
      </c>
      <c r="BJ43" s="26"/>
      <c r="BK43" s="26"/>
      <c r="BL43" s="26" t="s">
        <v>864</v>
      </c>
      <c r="BM43" s="26" t="s">
        <v>864</v>
      </c>
      <c r="BN43" s="22"/>
      <c r="BO43" s="22">
        <v>44751</v>
      </c>
      <c r="BP43" s="21" t="s">
        <v>864</v>
      </c>
      <c r="BQ43" s="222">
        <f t="shared" si="2"/>
        <v>0</v>
      </c>
      <c r="BR43" s="223" t="str">
        <f t="shared" si="3"/>
        <v/>
      </c>
      <c r="BS43" s="224">
        <f t="shared" si="4"/>
        <v>16.571428571428573</v>
      </c>
      <c r="BT43" s="216" t="str">
        <f t="shared" si="5"/>
        <v>DEFINIR CON ECO</v>
      </c>
      <c r="BU43" s="214" t="str">
        <f t="shared" ca="1" si="6"/>
        <v/>
      </c>
      <c r="BV43" s="25"/>
      <c r="BW43" s="22"/>
      <c r="BX43" s="28"/>
      <c r="BY43" s="28"/>
      <c r="BZ43" s="22"/>
      <c r="CA43" s="21"/>
      <c r="CB43" s="26"/>
      <c r="CC43" s="26"/>
      <c r="CD43" s="26"/>
      <c r="CE43" s="26"/>
      <c r="CF43" s="22" t="s">
        <v>1517</v>
      </c>
      <c r="CG43" s="21">
        <v>1.56</v>
      </c>
      <c r="CH43" s="21">
        <v>57.6</v>
      </c>
      <c r="CI43" s="214">
        <f t="shared" si="7"/>
        <v>23.668639053254438</v>
      </c>
      <c r="CJ43" s="225" t="e">
        <f>IF(AND(CI43&lt;10,CH43="SD"),"SIN DATO PESO PREGESTACION O I TRIM",IF(AND(OR(R43&gt;0,O43&gt;0),CI43="X"),"INGRESAR DATO DE PESO",IF(CI43="SD","INGRESAR DATO DE TALLA Y PESO",IF(AND(OR(Tabla1[[#This Row],[MOMENTO EN QUE SE REALIZA EL PESO AL INGRESO A CPN]]="PREGESTACIÓN",NZ43="Menor"),CI43&lt;18.5),"BAJO PESO",IF(AND(OR(Tabla1[[#This Row],[MOMENTO EN QUE SE REALIZA EL PESO AL INGRESO A CPN]]="PREGESTACIÓN",NZ43="Menor"),CI43&lt;25),"NORMAL",IF(AND(OR(Tabla1[[#This Row],[MOMENTO EN QUE SE REALIZA EL PESO AL INGRESO A CPN]]="PREGESTACIÓN",NZ43="Menor"),CI43&lt;30),"SOBREPESO",IF(AND(OR(Tabla1[[#This Row],[MOMENTO EN QUE SE REALIZA EL PESO AL INGRESO A CPN]]="PREGESTACIÓN",NZ43="Menor"),CI43&gt;=30,CI43&lt;50),"OBESIDAD",IF(AND(BS43&gt;0,Tabla1[[#This Row],[MOMENTO EN QUE SE REALIZA EL PESO AL INGRESO A CPN]]="GESTACIÓN"),HLOOKUP(NZ43,$OA$2:PH43,NY43),""))))))))</f>
        <v>#REF!</v>
      </c>
      <c r="CK43" s="212">
        <f t="shared" si="8"/>
        <v>44908</v>
      </c>
      <c r="CL43" s="21"/>
      <c r="CM43" s="214">
        <f t="shared" si="9"/>
        <v>0</v>
      </c>
      <c r="CN43" s="216">
        <f t="shared" si="10"/>
        <v>22</v>
      </c>
      <c r="CO43" s="216" t="e">
        <f>IF(PI43="","",IF(PI43&gt;0,HLOOKUP(PI43,$PJ$2:QQ43,NY43),""))</f>
        <v>#REF!</v>
      </c>
      <c r="CP43" s="21"/>
      <c r="CQ43" s="216" t="e">
        <f>IF(QR43="Menor","NO APLICA-MENOR 13 SEM",IF(AND(CC43="SI",CN43&gt;23),"NO APLICA- GEMELAR",IF(QR43="","",IF(QR43&gt;0,HLOOKUP(QR43,$QS$2:RU43,NY43),""))))</f>
        <v>#REF!</v>
      </c>
      <c r="CR43" s="21"/>
      <c r="CS43" s="21"/>
      <c r="CT43" s="217" t="str">
        <f>IF(R43="","",IF(AND(BS43&gt;1,BS43&lt;12,Tabla1[[#This Row],[T.A. SISTOLICA - ANTES DE SEMANA 12]]="",Tabla1[[#This Row],[T.A. DIASTOLICA - ANTES DE SEMANA 12]]=""),"REGISTRE DATO TA ANTES SEMANA 12",IF(AND(BS43&gt;11,BS43&lt;43,Tabla1[[#This Row],[T.A. SISTOLICA - ANTES DE SEMANA 12]]="",Tabla1[[#This Row],[T.A. DIASTOLICA - ANTES DE SEMANA 12]]=""),"NO APLICA REGISTRO TA-INGRESO TARDIO",IF(AND(OR(O43&gt;0,R43&gt;0),OR(CR43&gt;=140,CS43&gt;=90)),"DEFINIR ESTADIO HTA",IF(AND(OR(O43&gt;0,R43&gt;0),AND(CR43&gt;120,CR43&lt;=139)),"PRE HTA SEGUIMIENTO",IF(AND(OR(O43&gt;0,R43&gt;0),AND(CS43&gt;80,CS43&lt;=89)),"PRE HTA SEGUIMIENTO",IF(AND(OR(O43&gt;0,R43&gt;0),AND(CR43&gt;=80,CR43&lt;=120)),"APARENTEMENTE NORMAL",IF(AND(OR(O43&gt;0,R43&gt;0),AND(CS43&gt;=50,CS43&lt;=80)),"APARENTEMENTE NORMAL",IF(AND(OR(O43&gt;0,R43&gt;0),AND(CR43&gt;1,CR43&lt;=70),AND(CS43&gt;1,CS43&lt;=40)),"HIPOTENSIÓN","")))))))))</f>
        <v>NO APLICA REGISTRO TA-INGRESO TARDIO</v>
      </c>
      <c r="CU43" s="21"/>
      <c r="CV43" s="21"/>
      <c r="CW43" s="217" t="str">
        <f>IF(R43="","",IF(AND(CN43&gt;19,CN43&lt;27,Tabla1[[#This Row],[T.A. SISTOLICA (Entre semana 20 y 26)]]="",Tabla1[[#This Row],[T.A. DIATOLICA (Entre semana 20 y 26)]]=""),"ACUDE A CONTROL SEM 20 A 26 REGISTRE TA AHORA",IF(AND(BS43&gt;1,BS43&lt;27,BU43&gt;19,Tabla1[[#This Row],[T.A. SISTOLICA (Entre semana 20 y 26)]]="",Tabla1[[#This Row],[T.A. DIATOLICA (Entre semana 20 y 26)]]=""),"COMPLETE REGISTRO TA CONTROL SEM 20 A26 ",IF(AND(BS43&gt;26,BS43&lt;43,Tabla1[[#This Row],[T.A. SISTOLICA (Entre semana 20 y 26)]]="",Tabla1[[#This Row],[T.A. DIATOLICA (Entre semana 20 y 26)]]=""),"NO APLICA REGISTRO TA-INGRESO TARDIO",IF(AND(OR(O43&gt;0,R43&gt;0),OR(CU43&gt;=140,CV43&gt;=90)),"ALTO RIESGO PREECLAMPSIA,DEFINIR ESTADIO HTA",IF(AND(OR(O43&gt;0,R43&gt;0),AND(CU43&gt;120,CU43&lt;=139)),"PRE HTA SEGUIMIENTO,RIESGO HIPERTENSION INDUCIDA POR EL EMBARAZO",IF(AND(OR(O43&gt;0,R43&gt;0),AND(CV43&gt;80,CV43&lt;=89)),"PRE HTA SEGUIMIENTO, RIESGO HIPERTENSION INDUCIDA POR EL EMBARAZO",IF(AND(OR(O43&lt;&gt;"",R43&lt;&gt;""),CS43&lt;&gt;"",CV43&lt;&gt;"",CS43&lt;=CV43),"VIGILAR CIFRAS PRESION ARTERIAL",IF(AND(OR(O43&gt;0,R43&gt;0),AND(CU43&gt;120,CU43&lt;=139)),"PRE HTA SEGUIMIENTO",IF(AND(OR(O43&gt;0,R43&gt;0),AND(CU43&gt;1,CU43&lt;=70),AND(CV43&gt;1,CV43&lt;=40)),"HIPOTENSIÓN",IF(AND(OR(O43&lt;&gt;"",R43&lt;&gt;""),CS43&lt;&gt;"",CV43&lt;&gt;"",CS43&gt;CV43),"APARENTEMENTE NORMAL",IF(AND(OR(O43&gt;0,R43&gt;0),AND(CU43&gt;=80,CU43&lt;=120)),"APARENTEMENTE NORMAL",IF(AND(OR(O43&gt;0,R43&gt;0),AND(CV43&gt;=50,CV43&lt;=80)),"APARENTEMENTE NORMAL","")))))))))))))</f>
        <v>ACUDE A CONTROL SEM 20 A 26 REGISTRE TA AHORA</v>
      </c>
      <c r="CX43" s="21"/>
      <c r="CY43" s="21"/>
      <c r="CZ43" s="216" t="str">
        <f t="shared" si="195"/>
        <v/>
      </c>
      <c r="DA43" s="21"/>
      <c r="DB43" s="21"/>
      <c r="DC43" s="217" t="str">
        <f t="shared" si="12"/>
        <v>REGISTRE DATO PRESIÓN ARTERIAL MENSUAL</v>
      </c>
      <c r="DD43" s="22">
        <v>44867</v>
      </c>
      <c r="DE43" s="22">
        <v>44867</v>
      </c>
      <c r="DF43" s="22">
        <v>44908</v>
      </c>
      <c r="DG43" s="22"/>
      <c r="DH43" s="22"/>
      <c r="DI43" s="22"/>
      <c r="DJ43" s="22"/>
      <c r="DK43" s="22"/>
      <c r="DL43" s="22"/>
      <c r="DM43" s="22"/>
      <c r="DN43" s="22"/>
      <c r="DO43" s="22"/>
      <c r="DP43" s="22"/>
      <c r="DQ43" s="22"/>
      <c r="DR43" s="28">
        <v>2</v>
      </c>
      <c r="DS43" s="22"/>
      <c r="DT43" s="22"/>
      <c r="DU43" s="216" t="str">
        <f t="shared" ca="1" si="196"/>
        <v>SALE SIN PLAN DE PARTO</v>
      </c>
      <c r="DV43" s="226" t="str">
        <f t="shared" si="197"/>
        <v>SALIO PROGRAMA</v>
      </c>
      <c r="DW43"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43" s="216" t="str">
        <f t="shared" ca="1" si="15"/>
        <v/>
      </c>
      <c r="DY43" s="212">
        <f>IF(R43="","",IF(R43&gt;0,MAX(Tabla1[[#This Row],[FECHA C2]:[FECHA C13]],Tabla1[[#This Row],[FECHA CONSULTA PRIMERA VEZ PROGRAMA CPN ]])))</f>
        <v>44908</v>
      </c>
      <c r="DZ43" s="216">
        <f t="shared" si="16"/>
        <v>22</v>
      </c>
      <c r="EA43" s="222">
        <f>IF(R43&gt;0,SUM(COUNTA(DF43:DQ43)+COUNTA(Tabla1[[#This Row],[FECHA CONSULTA PRIMERA VEZ PROGRAMA CPN ]])),"")</f>
        <v>2</v>
      </c>
      <c r="EB43" s="222" t="str">
        <f t="shared" si="17"/>
        <v>NO</v>
      </c>
      <c r="EC43" s="214">
        <f t="shared" si="18"/>
        <v>7</v>
      </c>
      <c r="ED43" s="227">
        <f t="shared" si="19"/>
        <v>0.2857142857142857</v>
      </c>
      <c r="EE43" s="22">
        <v>44867</v>
      </c>
      <c r="EF43" s="22"/>
      <c r="EG43" s="22">
        <v>44867</v>
      </c>
      <c r="EH43" s="22"/>
      <c r="EI43" s="22">
        <v>44867</v>
      </c>
      <c r="EJ43" s="22"/>
      <c r="EK43" s="22"/>
      <c r="EL43" s="21"/>
      <c r="EM43" s="21">
        <v>13.1</v>
      </c>
      <c r="EN43" s="22" t="s">
        <v>1096</v>
      </c>
      <c r="EO43" s="222" t="e">
        <f t="shared" si="20"/>
        <v>#VALUE!</v>
      </c>
      <c r="EP43" s="214" t="str">
        <f t="shared" si="21"/>
        <v>NORMAL- SUMINISTRAR SULFATO FERROSO</v>
      </c>
      <c r="EQ43" s="216" t="e">
        <f t="shared" si="22"/>
        <v>#VALUE!</v>
      </c>
      <c r="ER43" s="24">
        <v>13</v>
      </c>
      <c r="ES43" s="22">
        <v>44867</v>
      </c>
      <c r="ET43" s="29">
        <f t="shared" ca="1" si="198"/>
        <v>16.571428571428573</v>
      </c>
      <c r="EU43" s="25" t="str">
        <f t="shared" si="24"/>
        <v>NORMAL- SUMINISTRAR SULFATO FERROSO</v>
      </c>
      <c r="EV43" s="24" t="s">
        <v>866</v>
      </c>
      <c r="EW43" s="24">
        <v>44867</v>
      </c>
      <c r="EX43" s="22"/>
      <c r="EY43" s="29">
        <f t="shared" si="199"/>
        <v>16.571428571428573</v>
      </c>
      <c r="EZ43" s="25" t="str">
        <f t="shared" ca="1" si="200"/>
        <v/>
      </c>
      <c r="FA43" s="21">
        <v>79</v>
      </c>
      <c r="FB43" s="22">
        <v>44867</v>
      </c>
      <c r="FC43" s="29">
        <f t="shared" si="27"/>
        <v>16.571428571428573</v>
      </c>
      <c r="FD43" s="29"/>
      <c r="FE43" s="29"/>
      <c r="FF43" s="29"/>
      <c r="FG43" s="21" t="str">
        <f t="shared" ca="1" si="28"/>
        <v/>
      </c>
      <c r="FH43" s="31"/>
      <c r="FI43" s="29" t="str">
        <f t="shared" si="29"/>
        <v>TOMAR EXAMEN</v>
      </c>
      <c r="FJ43" s="22"/>
      <c r="FK43" s="22"/>
      <c r="FL43" s="29" t="str">
        <f t="shared" ca="1" si="30"/>
        <v>NO APLICA-INGRESO TARDIO</v>
      </c>
      <c r="FM43" s="22" t="s">
        <v>867</v>
      </c>
      <c r="FN43" s="32">
        <v>44867</v>
      </c>
      <c r="FO43" s="29">
        <f t="shared" ca="1" si="201"/>
        <v>16.571428571428573</v>
      </c>
      <c r="FP43" s="22"/>
      <c r="FQ43" s="32"/>
      <c r="FR43" s="29" t="str">
        <f t="shared" ca="1" si="202"/>
        <v>PIERDE TOMA DE TAMIZAJE</v>
      </c>
      <c r="FS43" s="22"/>
      <c r="FT43" s="32"/>
      <c r="FU43" s="29" t="str">
        <f>IF(AND(FJ43="",FM43="",FP43="",FS43=""),"",IF(OR(OR(Tabla1[[#This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43" s="28"/>
      <c r="FW43" s="22"/>
      <c r="FX43" s="29" t="str">
        <f t="shared" si="33"/>
        <v>TOMAR EXAMEN</v>
      </c>
      <c r="FY43" s="22">
        <v>44867</v>
      </c>
      <c r="FZ43" s="22">
        <v>44867</v>
      </c>
      <c r="GA43" s="29" t="str">
        <f t="shared" si="203"/>
        <v>REGISTRAR EN II TRIMESTRE</v>
      </c>
      <c r="GB43" s="22" t="s">
        <v>868</v>
      </c>
      <c r="GC43" s="22"/>
      <c r="GD43" s="29" t="str">
        <f t="shared" ca="1" si="204"/>
        <v>PIERDE TOMA DE TAMIZAJE</v>
      </c>
      <c r="GE43" s="22"/>
      <c r="GF43" s="22"/>
      <c r="GG43" s="29" t="str">
        <f t="shared" ca="1" si="205"/>
        <v>PIERDE TOMA DE TAMIZAJE</v>
      </c>
      <c r="GH43" s="22"/>
      <c r="GI43" s="29"/>
      <c r="GJ43" s="22"/>
      <c r="GK43" s="22"/>
      <c r="GL43" s="22" t="s">
        <v>879</v>
      </c>
      <c r="GM43" s="22"/>
      <c r="GN43" s="28" t="s">
        <v>869</v>
      </c>
      <c r="GO43" s="22">
        <v>44867</v>
      </c>
      <c r="GP43" s="29">
        <f t="shared" si="37"/>
        <v>16.571428571428573</v>
      </c>
      <c r="GQ43" s="28" t="s">
        <v>869</v>
      </c>
      <c r="GR43" s="28" t="s">
        <v>869</v>
      </c>
      <c r="GS43" s="22" t="str">
        <f t="shared" si="206"/>
        <v>CONTROL Igm</v>
      </c>
      <c r="GT43" s="22">
        <v>44867</v>
      </c>
      <c r="GU43" s="29">
        <f t="shared" si="39"/>
        <v>16.571428571428573</v>
      </c>
      <c r="GV43" s="21" t="str">
        <f t="shared" si="40"/>
        <v>II TRIM</v>
      </c>
      <c r="GW43" s="28" t="s">
        <v>869</v>
      </c>
      <c r="GX43" s="30"/>
      <c r="GY43" s="21"/>
      <c r="GZ43" s="21"/>
      <c r="HA43" s="21"/>
      <c r="HB43" s="21"/>
      <c r="HC43" s="21"/>
      <c r="HD43" s="21"/>
      <c r="HE43" s="21"/>
      <c r="HF43" s="22"/>
      <c r="HG43" s="22" t="str">
        <f>IF(OR(O43&gt;0,R43&gt;0),CONCATENATE(IF(Tabla1[[#This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43" s="22" t="e">
        <f t="shared" si="41"/>
        <v>#REF!</v>
      </c>
      <c r="HI43" s="22" t="e">
        <f t="shared" ca="1" si="42"/>
        <v>#REF!</v>
      </c>
      <c r="HJ43" s="21" t="str">
        <f t="shared" ca="1" si="43"/>
        <v>**********************MULTIPARIDAD*****************</v>
      </c>
      <c r="HK43" s="21" t="str">
        <f t="shared" si="44"/>
        <v>SIN ANTECEDENTES DE RIESGO</v>
      </c>
      <c r="HL43" s="24" t="str">
        <f t="shared" si="45"/>
        <v>REGISTRE DATO PRESIÓN ARTERIAL MENSUAL</v>
      </c>
      <c r="HM43" s="21" t="str">
        <f t="shared" ca="1" si="46"/>
        <v/>
      </c>
      <c r="HN43" s="30" t="str">
        <f t="shared" si="207"/>
        <v>SALIO PROGRAMA</v>
      </c>
      <c r="HO43" s="21"/>
      <c r="HP43" s="21"/>
      <c r="HQ43" s="21">
        <v>44867</v>
      </c>
      <c r="HR43" s="21" t="str">
        <f>IF(R43="","",IF(Tabla1[[#This Row],[ALARMA FACTORES DE RIESGO COMPLICACIONES HIPERTENSIVAS3]]="SIN ANTECEDENTES DE RIESGO","No Aplica para suministro de ASA",IF(AND(Tabla1[[#This Row],[FECHA INICIO DE SUMINISTRO DE ASA]]&gt;0,RV43&lt;12),"Inicia ASA ANTES de Sem 12",IF(AND(RV43&gt;11,RV43&lt;17,OR(HK43="RIESGO ALTO DE COMPLICACIONES HIPERTENSIVAS VER MANEJO GUIA SUMINISTRO ASA Y CALCIO",HK43="RIESGO MODERADO (2 O MAS CRITERIOS) VER MANEJO GUIA SUMINISTRO ASA Y CALCIO")),"Inicio oportuno de ASA",IF(AND(RV43&gt;12,OR(HK43="RIESGO ALTO DE COMPLICACIONES HIPERTENSIVAS VER MANEJO GUIA SUMINISTRO ASA Y CALCIO",HK43="RIESGO MODERADO (2 O MAS CRITERIOS) VER MANEJO GUIA SUMINISTRO ASA Y CALCIO")),"Inicio no oportuno mayor a 16 semanas",IF(AND(BU43&lt;12,OR(HK43="RIESGO ALTO DE COMPLICACIONES HIPERTENSIVAS VER MANEJO GUIA SUMINISTRO ASA Y CALCIO",HK43="RIESGO MODERADO (2 O MAS CRITERIOS) VER MANEJO GUIA SUMINISTRO ASA Y CALCIO")),"Pendiente Inicio de ASA a la semana 12",IF(AND(BU43&gt;11,BU43&lt;17,OR(HK43="RIESGO ALTO DE COMPLICACIONES HIPERTENSIVAS VER MANEJO GUIA SUMINISTRO ASA Y CALCIO",HK43="RIESGO MODERADO (2 O MAS CRITERIOS) VER MANEJO GUIA SUMINISTRO ASA Y CALCIO")),"Iniciar de inmediato ASA",IF(AND(BU43&gt;16,OR(HK43="RIESGO ALTO DE COMPLICACIONES HIPERTENSIVAS VER MANEJO GUIA SUMINISTRO ASA Y CALCIO",HK43="RIESGO MODERADO (2 O MAS CRITERIOS) VER MANEJO GUIA SUMINISTRO ASA Y CALCIO")),"Pierde Oportunidad, Inicio tardío de ASA","XXXXX"))))))))</f>
        <v>No Aplica para suministro de ASA</v>
      </c>
      <c r="HS43" s="22">
        <v>44867</v>
      </c>
      <c r="HT43" s="22" t="s">
        <v>870</v>
      </c>
      <c r="HU43" s="22"/>
      <c r="HV43" s="22"/>
      <c r="HW43" s="22">
        <v>44867</v>
      </c>
      <c r="HX43" s="22" t="s">
        <v>870</v>
      </c>
      <c r="HY43" s="22">
        <v>44867</v>
      </c>
      <c r="HZ43" s="28">
        <f t="shared" si="48"/>
        <v>16.571428571428573</v>
      </c>
      <c r="IA43" s="26" t="s">
        <v>864</v>
      </c>
      <c r="IB43" s="26"/>
      <c r="IC43" s="111"/>
      <c r="ID43" s="22"/>
      <c r="IE43" s="22" t="str">
        <f t="shared" ca="1" si="49"/>
        <v>SALE SIN VACUNA</v>
      </c>
      <c r="IF43" s="22"/>
      <c r="IG43" s="22">
        <f t="shared" si="50"/>
        <v>45031</v>
      </c>
      <c r="IH43" s="29">
        <f t="shared" ca="1" si="51"/>
        <v>-201</v>
      </c>
      <c r="II43" s="22" t="str">
        <f t="shared" ca="1" si="52"/>
        <v>POSIBLEMENTE NACIO</v>
      </c>
      <c r="IJ43" s="22"/>
      <c r="IK43" s="21" t="s">
        <v>898</v>
      </c>
      <c r="IL43" s="21"/>
      <c r="IM43" s="34"/>
      <c r="IN43" s="349">
        <v>45022</v>
      </c>
      <c r="IO43" s="21" t="s">
        <v>1640</v>
      </c>
      <c r="IP43" s="29">
        <f t="shared" si="208"/>
        <v>38.714285714285715</v>
      </c>
      <c r="IQ43" s="110"/>
      <c r="IR43" s="21" t="s">
        <v>879</v>
      </c>
      <c r="IS43" s="21" t="s">
        <v>1641</v>
      </c>
      <c r="IT43" s="21" t="s">
        <v>1642</v>
      </c>
      <c r="IU43" s="21"/>
      <c r="IV43" s="21"/>
      <c r="IW43" s="21"/>
      <c r="IX43" s="21"/>
      <c r="IY43" s="21"/>
      <c r="IZ43" s="21"/>
      <c r="JA43" s="21"/>
      <c r="JB43" s="30">
        <v>1</v>
      </c>
      <c r="JC43" s="21" t="s">
        <v>1647</v>
      </c>
      <c r="JD43" s="36">
        <v>3500</v>
      </c>
      <c r="JE43" s="21" t="str">
        <f t="shared" si="209"/>
        <v>PESO ADECUADO EDAD GESTACIONAL</v>
      </c>
      <c r="JF43" s="30"/>
      <c r="JG43" s="21"/>
      <c r="JH43" s="21"/>
      <c r="JI43" s="21"/>
      <c r="JJ43" s="30"/>
      <c r="JK43" s="22"/>
      <c r="JL43" s="22"/>
      <c r="JM43" s="21"/>
      <c r="JN43" s="36"/>
      <c r="JO43" s="21" t="str">
        <f t="shared" si="210"/>
        <v/>
      </c>
      <c r="JP43" s="22"/>
      <c r="JQ43" s="21"/>
      <c r="JR43" s="21"/>
      <c r="JS43" s="21"/>
      <c r="JT43" s="30"/>
      <c r="JU43" s="22"/>
      <c r="JV43" s="22"/>
      <c r="JW43" s="33"/>
      <c r="JX43" s="28" t="str">
        <f t="shared" si="211"/>
        <v>INASISTENTE</v>
      </c>
      <c r="JY43" s="33"/>
      <c r="JZ43" s="28" t="str">
        <f t="shared" si="212"/>
        <v>INASISTENTE</v>
      </c>
      <c r="KA43" s="21"/>
      <c r="KB43" s="21"/>
      <c r="KC43" s="21"/>
      <c r="KD43" s="37"/>
      <c r="KE43" s="28"/>
      <c r="KF43" s="28"/>
      <c r="KG43" s="28"/>
      <c r="KH43" s="39"/>
      <c r="KI43" s="39"/>
      <c r="KJ43" s="66"/>
      <c r="KK43" s="39"/>
      <c r="KL43" s="39"/>
      <c r="KM43" s="66"/>
      <c r="KN43" s="39"/>
      <c r="KO43" s="39"/>
      <c r="KP43" s="39"/>
      <c r="KQ43" s="39"/>
      <c r="KR43" s="39"/>
      <c r="KS43" s="39"/>
      <c r="KT43" s="39"/>
      <c r="KU43" s="38"/>
      <c r="KV43" s="38"/>
      <c r="KW43" s="38"/>
      <c r="KX43" s="38"/>
      <c r="KY43" s="38"/>
      <c r="KZ43" s="38"/>
      <c r="LA43" s="38"/>
      <c r="LB43" s="38"/>
      <c r="LC43" s="38"/>
      <c r="LD43" s="38"/>
      <c r="LE43" s="38"/>
      <c r="LF43" s="38"/>
      <c r="LG43" s="38"/>
      <c r="LH43" s="38"/>
      <c r="LI43" s="38"/>
      <c r="LJ43" s="38"/>
      <c r="LK43" s="38"/>
      <c r="LL43" s="38"/>
      <c r="LM43" s="38"/>
      <c r="LN43" s="38"/>
      <c r="LO43" s="38"/>
      <c r="LP43" s="38"/>
      <c r="LQ43" s="38"/>
      <c r="LR43" s="38"/>
      <c r="LS43" s="38"/>
      <c r="LT43" s="38"/>
      <c r="LU43" s="38"/>
      <c r="LV43" s="38"/>
      <c r="LW43" s="38"/>
      <c r="LX43" s="38"/>
      <c r="LY43" s="38"/>
      <c r="LZ43" s="38"/>
      <c r="MA43" s="38"/>
      <c r="MB43" s="38"/>
      <c r="MC43" s="38"/>
      <c r="MD43" s="38"/>
      <c r="ME43" s="38"/>
      <c r="MF43" s="38"/>
      <c r="MG43" s="38"/>
      <c r="MH43" s="43">
        <f t="shared" si="213"/>
        <v>0</v>
      </c>
      <c r="MI43" s="43" t="str">
        <f t="shared" si="214"/>
        <v/>
      </c>
      <c r="MJ43" s="43" t="str">
        <f t="shared" si="215"/>
        <v/>
      </c>
      <c r="MK43" s="43">
        <f t="shared" si="216"/>
        <v>0</v>
      </c>
      <c r="ML4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43" s="43">
        <f t="shared" si="217"/>
        <v>16.571428571428573</v>
      </c>
      <c r="MN43" s="43">
        <f t="shared" si="218"/>
        <v>11</v>
      </c>
      <c r="MO43" s="43">
        <f t="shared" si="219"/>
        <v>2022</v>
      </c>
      <c r="MP43" s="43" t="str">
        <f t="shared" si="220"/>
        <v>IV TRIMESTRE AÑO</v>
      </c>
      <c r="MQ43" s="43">
        <f t="shared" si="221"/>
        <v>17.471528690319754</v>
      </c>
      <c r="MR43" s="43">
        <f t="shared" si="222"/>
        <v>0</v>
      </c>
      <c r="MS43" s="43" t="str">
        <f t="shared" si="223"/>
        <v>DE 14 A 19AÑOS</v>
      </c>
      <c r="MT43" s="43">
        <f t="shared" si="224"/>
        <v>0</v>
      </c>
      <c r="MU43" s="43">
        <f t="shared" si="225"/>
        <v>1</v>
      </c>
      <c r="MV43" s="43">
        <f t="shared" si="226"/>
        <v>0</v>
      </c>
      <c r="MW43" s="43">
        <f t="shared" si="227"/>
        <v>0</v>
      </c>
      <c r="MX43" s="43" t="str">
        <f t="shared" si="228"/>
        <v/>
      </c>
      <c r="MY43" s="43" t="str">
        <f t="shared" ca="1" si="229"/>
        <v/>
      </c>
      <c r="MZ43" s="43" t="str">
        <f t="shared" si="230"/>
        <v/>
      </c>
      <c r="NA43" s="43" t="str">
        <f t="shared" si="231"/>
        <v/>
      </c>
      <c r="NB43" s="43" t="str">
        <f t="shared" si="232"/>
        <v/>
      </c>
      <c r="NC43" s="43" t="str">
        <f t="shared" si="233"/>
        <v/>
      </c>
      <c r="ND43" s="43">
        <f t="shared" ca="1" si="234"/>
        <v>1</v>
      </c>
      <c r="NE43" s="43">
        <f>IF(OR(O43&gt;0,R43&gt;0),SUM(COUNTIF(Tabla1[[#This Row],[AÑOS AL INICIO5 CPN]],"&gt;=40"),COUNTIF(AS43,"0"),COUNTIF(AR43,"SI"),COUNTIF(CC43,"SI"),COUNTIF(BQ43,"&gt;119"),COUNTIF(CI43,"&gt;=35")),"")</f>
        <v>1</v>
      </c>
      <c r="NF43" s="43" t="str">
        <f t="shared" si="235"/>
        <v/>
      </c>
      <c r="NG43" s="43">
        <f t="shared" si="236"/>
        <v>0</v>
      </c>
      <c r="NH43" s="43" t="str">
        <f t="shared" si="237"/>
        <v/>
      </c>
      <c r="NI43"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CPN",P43="NO"),"Z",IF(AND(Tabla1[[#This Row],[CITA PROXIMO CONTROL]]="CITA MANUAL",Tabla1[[#This Row],[GESTANTES ACTUALES]]="ACTIVA INGRESO A CPN"),"W",IF(AND(Tabla1[[#This Row],[GESTANTES ACTUALES]]="SALIO PROGRAMA",IN43=""),"S",IF(AND(Tabla1[[#This Row],[CITA PROXIMO CONTROL]]&gt;0,IN43=""),(Tabla1[[#This Row],[CITA PROXIMO CONTROL]]-TODAY()),"SD"))))))))</f>
        <v>SD</v>
      </c>
      <c r="NJ43" s="43">
        <f>MONTH(Tabla1[[#This Row],[FECHA DE SALIDA  DEL PROGRAMA]])</f>
        <v>4</v>
      </c>
      <c r="NK43" s="43">
        <f>YEAR(Tabla1[[#This Row],[FECHA DE SALIDA  DEL PROGRAMA]])</f>
        <v>2023</v>
      </c>
      <c r="NL43" s="43" t="str">
        <f t="shared" si="238"/>
        <v>X</v>
      </c>
      <c r="NM43" s="43" t="str">
        <f t="shared" si="239"/>
        <v>NO</v>
      </c>
      <c r="NN43" s="43" t="str">
        <f ca="1">IF(AND(O43&gt;0,R43=""),"NO CPN",IF(AND(O43="",R43=""),"",IF(AND(R43&gt;0,Tabla1[[#This Row],[SEMANAS DE GESTACION ACTUALIZADAS]]&lt;=12),"NO APLICA",IF(AND(FH43&lt;&gt;"",FN43&lt;&gt;""),"SI","NO"))))</f>
        <v>NO</v>
      </c>
      <c r="NO43" s="43" t="str">
        <f ca="1">IF(AND(O43&gt;0,R43=""),"NO CPN",IF(AND(O43="",R43=""),"",IF(AND(R43&gt;0,Tabla1[[#This Row],[SEMANAS DE GESTACION ACTUALIZADAS]]&lt;=27),"NO APLICA",IF(AND(ES43&lt;&gt;"",FQ43&lt;&gt;"",GF43&lt;&gt;""),"SI","NO"))))</f>
        <v>NO</v>
      </c>
      <c r="NP43" s="204" t="str">
        <f t="shared" si="240"/>
        <v>DEFINIR CON ECO</v>
      </c>
      <c r="NQ43" s="21">
        <f t="shared" si="241"/>
        <v>3</v>
      </c>
      <c r="NR43" s="21">
        <f t="shared" si="242"/>
        <v>2</v>
      </c>
      <c r="NS43" s="205">
        <f t="shared" ca="1" si="243"/>
        <v>1</v>
      </c>
      <c r="NT43" s="21">
        <f t="shared" ca="1" si="244"/>
        <v>0</v>
      </c>
      <c r="NU43" s="21" t="str">
        <f t="shared" ca="1" si="245"/>
        <v>INCOMPLETO</v>
      </c>
      <c r="NV43" s="21" t="str">
        <f t="shared" ca="1" si="246"/>
        <v>INCOMPLETO</v>
      </c>
      <c r="NW43" s="206" t="str">
        <f>IF(AND(O43="",R43=""),"",IF(OR(AND(Tabla1[[#This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43" s="207" t="str">
        <f t="shared" ca="1" si="247"/>
        <v>SIN VACUNAR</v>
      </c>
      <c r="NY43" s="43">
        <f>ROW(Tabla1[[#This Row],['# DE TAMIZAJES SIFILIS TOMADOS ]])</f>
        <v>43</v>
      </c>
      <c r="NZ43" s="43">
        <f t="shared" si="93"/>
        <v>16</v>
      </c>
      <c r="OA43" s="43" t="str">
        <f t="shared" si="94"/>
        <v/>
      </c>
      <c r="OB43" s="43" t="str">
        <f t="shared" si="95"/>
        <v/>
      </c>
      <c r="OC43" s="43" t="str">
        <f t="shared" si="96"/>
        <v/>
      </c>
      <c r="OD43" s="43" t="str">
        <f t="shared" si="97"/>
        <v/>
      </c>
      <c r="OE43" s="43" t="str">
        <f t="shared" si="98"/>
        <v/>
      </c>
      <c r="OF43" s="43" t="str">
        <f t="shared" si="99"/>
        <v/>
      </c>
      <c r="OG43" s="43" t="str">
        <f t="shared" si="100"/>
        <v/>
      </c>
      <c r="OH43" s="43" t="str">
        <f t="shared" si="101"/>
        <v>NORMAL</v>
      </c>
      <c r="OI43" s="43" t="str">
        <f t="shared" si="102"/>
        <v/>
      </c>
      <c r="OJ43" s="43" t="str">
        <f t="shared" si="103"/>
        <v/>
      </c>
      <c r="OK43" s="43" t="str">
        <f t="shared" si="104"/>
        <v/>
      </c>
      <c r="OL43" s="43" t="str">
        <f t="shared" si="105"/>
        <v/>
      </c>
      <c r="OM43" s="43" t="str">
        <f t="shared" si="106"/>
        <v/>
      </c>
      <c r="ON43" s="43" t="str">
        <f t="shared" si="107"/>
        <v/>
      </c>
      <c r="OO43" s="43" t="str">
        <f t="shared" si="108"/>
        <v/>
      </c>
      <c r="OP43" s="43" t="str">
        <f t="shared" si="109"/>
        <v/>
      </c>
      <c r="OQ43" s="43" t="str">
        <f t="shared" si="110"/>
        <v/>
      </c>
      <c r="OR43" s="43" t="str">
        <f t="shared" si="111"/>
        <v/>
      </c>
      <c r="OS43" s="43" t="str">
        <f t="shared" si="112"/>
        <v/>
      </c>
      <c r="OT43" s="43" t="str">
        <f t="shared" si="113"/>
        <v/>
      </c>
      <c r="OU43" s="43" t="str">
        <f t="shared" si="114"/>
        <v/>
      </c>
      <c r="OV43" s="110" t="str">
        <f t="shared" si="115"/>
        <v/>
      </c>
      <c r="OW43" s="43" t="str">
        <f t="shared" si="116"/>
        <v/>
      </c>
      <c r="OX43" s="43" t="str">
        <f t="shared" si="117"/>
        <v/>
      </c>
      <c r="OY43" s="43" t="str">
        <f t="shared" si="118"/>
        <v/>
      </c>
      <c r="OZ43" s="43" t="str">
        <f t="shared" si="119"/>
        <v/>
      </c>
      <c r="PA43" s="43" t="str">
        <f t="shared" si="120"/>
        <v/>
      </c>
      <c r="PB43" s="43" t="str">
        <f t="shared" si="121"/>
        <v/>
      </c>
      <c r="PC43" s="43" t="str">
        <f t="shared" si="122"/>
        <v/>
      </c>
      <c r="PD43" s="43" t="str">
        <f t="shared" si="123"/>
        <v/>
      </c>
      <c r="PE43" s="43" t="str">
        <f t="shared" si="124"/>
        <v/>
      </c>
      <c r="PF43" s="43" t="str">
        <f t="shared" si="125"/>
        <v/>
      </c>
      <c r="PG43" s="43" t="str">
        <f t="shared" si="126"/>
        <v/>
      </c>
      <c r="PH43" s="43" t="str">
        <f t="shared" si="127"/>
        <v/>
      </c>
      <c r="PI43" s="43">
        <f t="shared" si="128"/>
        <v>22</v>
      </c>
      <c r="PJ43" s="43" t="str">
        <f t="shared" si="129"/>
        <v/>
      </c>
      <c r="PK43" s="43" t="str">
        <f t="shared" si="130"/>
        <v/>
      </c>
      <c r="PL43" s="43" t="str">
        <f t="shared" si="131"/>
        <v/>
      </c>
      <c r="PM43" s="43" t="str">
        <f t="shared" si="132"/>
        <v/>
      </c>
      <c r="PN43" s="43" t="str">
        <f t="shared" si="133"/>
        <v/>
      </c>
      <c r="PO43" s="43" t="str">
        <f t="shared" si="134"/>
        <v/>
      </c>
      <c r="PP43" s="43" t="str">
        <f t="shared" si="135"/>
        <v/>
      </c>
      <c r="PQ43" s="43" t="str">
        <f t="shared" si="136"/>
        <v/>
      </c>
      <c r="PR43" s="43" t="str">
        <f t="shared" si="137"/>
        <v/>
      </c>
      <c r="PS43" s="43" t="str">
        <f t="shared" si="138"/>
        <v/>
      </c>
      <c r="PT43" s="43" t="str">
        <f t="shared" si="139"/>
        <v/>
      </c>
      <c r="PU43" s="43" t="str">
        <f t="shared" si="140"/>
        <v/>
      </c>
      <c r="PV43" s="43" t="str">
        <f t="shared" si="141"/>
        <v/>
      </c>
      <c r="PW43" s="43" t="str">
        <f t="shared" si="142"/>
        <v/>
      </c>
      <c r="PX43" s="43" t="str">
        <f t="shared" si="143"/>
        <v/>
      </c>
      <c r="PY43" s="43" t="str">
        <f t="shared" si="144"/>
        <v/>
      </c>
      <c r="PZ43" s="43" t="str">
        <f t="shared" si="145"/>
        <v/>
      </c>
      <c r="QA43" s="43" t="str">
        <f t="shared" si="146"/>
        <v/>
      </c>
      <c r="QB43" s="43" t="str">
        <f t="shared" si="147"/>
        <v/>
      </c>
      <c r="QC43" s="43" t="str">
        <f t="shared" si="148"/>
        <v/>
      </c>
      <c r="QD43" s="43" t="str">
        <f t="shared" si="149"/>
        <v/>
      </c>
      <c r="QE43" s="43" t="str">
        <f t="shared" si="150"/>
        <v/>
      </c>
      <c r="QF43" s="43" t="str">
        <f t="shared" si="151"/>
        <v/>
      </c>
      <c r="QG43" s="43" t="str">
        <f t="shared" si="152"/>
        <v/>
      </c>
      <c r="QH43" s="43" t="str">
        <f t="shared" si="153"/>
        <v/>
      </c>
      <c r="QI43" s="43" t="str">
        <f t="shared" si="154"/>
        <v/>
      </c>
      <c r="QJ43" s="43" t="str">
        <f t="shared" si="155"/>
        <v/>
      </c>
      <c r="QK43" s="43" t="str">
        <f t="shared" si="156"/>
        <v/>
      </c>
      <c r="QL43" s="43" t="str">
        <f t="shared" si="157"/>
        <v/>
      </c>
      <c r="QM43" s="43" t="str">
        <f t="shared" si="158"/>
        <v/>
      </c>
      <c r="QN43" s="43" t="str">
        <f t="shared" si="159"/>
        <v/>
      </c>
      <c r="QO43" s="43" t="str">
        <f t="shared" si="160"/>
        <v/>
      </c>
      <c r="QP43" s="43" t="str">
        <f t="shared" si="161"/>
        <v/>
      </c>
      <c r="QQ43" s="43" t="str">
        <f t="shared" si="162"/>
        <v/>
      </c>
      <c r="QR43" s="43">
        <f t="shared" si="192"/>
        <v>22</v>
      </c>
      <c r="QS43" s="43"/>
      <c r="QT43" s="21" t="str">
        <f t="shared" si="163"/>
        <v/>
      </c>
      <c r="QU43" s="21" t="str">
        <f t="shared" si="164"/>
        <v/>
      </c>
      <c r="QV43" s="21" t="str">
        <f t="shared" si="165"/>
        <v/>
      </c>
      <c r="QW43" s="21" t="str">
        <f t="shared" si="166"/>
        <v/>
      </c>
      <c r="QX43" s="21" t="str">
        <f t="shared" si="167"/>
        <v/>
      </c>
      <c r="QY43" s="21" t="str">
        <f t="shared" si="168"/>
        <v/>
      </c>
      <c r="QZ43" s="21" t="str">
        <f t="shared" si="169"/>
        <v/>
      </c>
      <c r="RA43" s="21" t="str">
        <f t="shared" si="170"/>
        <v/>
      </c>
      <c r="RB43" s="21" t="str">
        <f t="shared" si="171"/>
        <v/>
      </c>
      <c r="RC43" s="21" t="str">
        <f t="shared" si="172"/>
        <v/>
      </c>
      <c r="RD43" s="21" t="str">
        <f t="shared" si="173"/>
        <v/>
      </c>
      <c r="RE43" s="21" t="str">
        <f t="shared" si="174"/>
        <v/>
      </c>
      <c r="RF43" s="21" t="str">
        <f t="shared" si="175"/>
        <v/>
      </c>
      <c r="RG43" s="21" t="str">
        <f t="shared" si="176"/>
        <v/>
      </c>
      <c r="RH43" s="21" t="str">
        <f t="shared" si="177"/>
        <v/>
      </c>
      <c r="RI43" s="21" t="str">
        <f t="shared" si="178"/>
        <v/>
      </c>
      <c r="RJ43" s="21" t="str">
        <f t="shared" si="179"/>
        <v/>
      </c>
      <c r="RK43" s="21" t="str">
        <f t="shared" si="180"/>
        <v/>
      </c>
      <c r="RL43" s="21" t="str">
        <f t="shared" si="181"/>
        <v/>
      </c>
      <c r="RM43" s="21" t="str">
        <f t="shared" si="182"/>
        <v/>
      </c>
      <c r="RN43" s="21" t="str">
        <f t="shared" si="183"/>
        <v/>
      </c>
      <c r="RO43" s="21" t="str">
        <f t="shared" si="184"/>
        <v/>
      </c>
      <c r="RP43" s="21" t="str">
        <f t="shared" si="185"/>
        <v/>
      </c>
      <c r="RQ43" s="21" t="str">
        <f t="shared" si="186"/>
        <v/>
      </c>
      <c r="RR43" s="21" t="str">
        <f t="shared" si="187"/>
        <v/>
      </c>
      <c r="RS43" s="21" t="str">
        <f t="shared" si="188"/>
        <v/>
      </c>
      <c r="RT43" s="21" t="str">
        <f t="shared" si="189"/>
        <v/>
      </c>
      <c r="RU43" s="21" t="str">
        <f t="shared" si="190"/>
        <v/>
      </c>
      <c r="RV43" s="21">
        <f t="shared" si="191"/>
        <v>16.571428571428573</v>
      </c>
      <c r="RW43" s="284">
        <f>IF(OR(Tabla1[[#This Row],[FUM FORMULA CONFIABLE]]="",Tabla1[[#This Row],[FUM FORMULA CONFIABLE]]="SD"),"",IF(Tabla1[[#This Row],[FUM FORMULA CONFIABLE]]="CORREGIDA",Tabla1[[#This Row],[FUM X ECO 1]],Tabla1[[#This Row],[FUM x AMENORREA]]))</f>
        <v>44751</v>
      </c>
      <c r="RX43" s="21" t="str">
        <f>IF(AND(Tabla1[[#This Row],[FUM X ECO 1]]="",Tabla1[[#This Row],[FUM x AMENORREA]]=""),"",IF(AND(Tabla1[[#This Row],[FUM X ECO 1]]="",Tabla1[[#This Row],[FUM x AMENORREA]]&lt;&gt;""),"X",SUM(Tabla1[[#This Row],[FUM X ECO 1]]-Tabla1[[#This Row],[FUM x AMENORREA]])))</f>
        <v>X</v>
      </c>
      <c r="RY43" s="21" t="str">
        <f t="shared" si="193"/>
        <v>x</v>
      </c>
    </row>
    <row r="44" spans="1:493" ht="45" customHeight="1" x14ac:dyDescent="0.25">
      <c r="A44" s="109" t="s">
        <v>1097</v>
      </c>
      <c r="B44" s="43" t="s">
        <v>1051</v>
      </c>
      <c r="C44" s="43" t="s">
        <v>845</v>
      </c>
      <c r="D44" s="124" t="s">
        <v>846</v>
      </c>
      <c r="E44" s="43" t="s">
        <v>1098</v>
      </c>
      <c r="F44" s="43" t="s">
        <v>914</v>
      </c>
      <c r="G44" s="43" t="s">
        <v>1099</v>
      </c>
      <c r="H44" s="43" t="s">
        <v>1100</v>
      </c>
      <c r="I44" s="109" t="s">
        <v>1094</v>
      </c>
      <c r="J44" s="110">
        <v>1002919465</v>
      </c>
      <c r="K44" s="43" t="s">
        <v>852</v>
      </c>
      <c r="L44" s="175" t="s">
        <v>853</v>
      </c>
      <c r="M44" s="22">
        <v>35120</v>
      </c>
      <c r="N44" s="213">
        <f t="shared" ca="1" si="0"/>
        <v>27.704109589041096</v>
      </c>
      <c r="O44" s="22">
        <v>44874</v>
      </c>
      <c r="P44" s="214" t="str">
        <f t="shared" si="194"/>
        <v>SI</v>
      </c>
      <c r="Q44" s="26" t="s">
        <v>855</v>
      </c>
      <c r="R44" s="22">
        <v>44874</v>
      </c>
      <c r="S44" s="21" t="s">
        <v>856</v>
      </c>
      <c r="T44" s="24" t="s">
        <v>690</v>
      </c>
      <c r="U44" s="21" t="s">
        <v>857</v>
      </c>
      <c r="V44" s="21" t="s">
        <v>858</v>
      </c>
      <c r="W44" s="21" t="s">
        <v>1101</v>
      </c>
      <c r="X44" s="21" t="s">
        <v>1101</v>
      </c>
      <c r="Y44" s="21" t="s">
        <v>859</v>
      </c>
      <c r="Z44" s="21">
        <v>3138684634</v>
      </c>
      <c r="AA44" s="21" t="s">
        <v>860</v>
      </c>
      <c r="AB44" s="27" t="s">
        <v>861</v>
      </c>
      <c r="AC44" s="26" t="s">
        <v>862</v>
      </c>
      <c r="AD44" s="38" t="s">
        <v>846</v>
      </c>
      <c r="AE44" s="26" t="s">
        <v>854</v>
      </c>
      <c r="AF44" s="26" t="s">
        <v>854</v>
      </c>
      <c r="AG44" s="23" t="s">
        <v>864</v>
      </c>
      <c r="AH44" s="23" t="s">
        <v>864</v>
      </c>
      <c r="AI44" s="24" t="s">
        <v>863</v>
      </c>
      <c r="AJ44" s="23" t="s">
        <v>864</v>
      </c>
      <c r="AK44" s="220" t="str">
        <f>IF(AND(AD44="",AE44="",AF44="",AG44="",AH44="",AI44="",AJ44=""),"",IF(OR(Tabla1[[#This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EVALUACIÓN",IF(AND(O44="",R44=""),"",IF(AND(OR(O44&gt;0,R44&gt;0),NG44&gt;=0,NG44&lt;2),"SIN RIESGO",IF(AND(OR(O44&gt;0,R44&gt;0),NG44&gt;=2),"CON RIESGO","ASD")))))</f>
        <v>SIN RIESGO</v>
      </c>
      <c r="AL44" s="23" t="s">
        <v>864</v>
      </c>
      <c r="AM44" s="26" t="s">
        <v>864</v>
      </c>
      <c r="AN44" s="26" t="s">
        <v>864</v>
      </c>
      <c r="AO44" s="26" t="s">
        <v>864</v>
      </c>
      <c r="AP44" s="26" t="s">
        <v>864</v>
      </c>
      <c r="AQ44" s="26" t="s">
        <v>864</v>
      </c>
      <c r="AR44" s="26" t="s">
        <v>864</v>
      </c>
      <c r="AS44" s="21">
        <v>2</v>
      </c>
      <c r="AT44" s="21">
        <v>2</v>
      </c>
      <c r="AU44" s="21">
        <v>0</v>
      </c>
      <c r="AV44" s="26" t="s">
        <v>864</v>
      </c>
      <c r="AW44" s="21">
        <v>0</v>
      </c>
      <c r="AX44" s="26" t="s">
        <v>864</v>
      </c>
      <c r="AY44" s="26" t="s">
        <v>864</v>
      </c>
      <c r="AZ44" s="26" t="s">
        <v>864</v>
      </c>
      <c r="BA44" s="26" t="s">
        <v>864</v>
      </c>
      <c r="BB44" s="26" t="s">
        <v>864</v>
      </c>
      <c r="BC44" s="26" t="s">
        <v>864</v>
      </c>
      <c r="BD44" s="26" t="s">
        <v>864</v>
      </c>
      <c r="BE44" s="26" t="s">
        <v>864</v>
      </c>
      <c r="BF44" s="26" t="s">
        <v>864</v>
      </c>
      <c r="BG44" s="26" t="s">
        <v>864</v>
      </c>
      <c r="BH44" s="26" t="s">
        <v>864</v>
      </c>
      <c r="BI44" s="26" t="s">
        <v>864</v>
      </c>
      <c r="BJ44" s="26"/>
      <c r="BK44" s="26"/>
      <c r="BL44" s="26" t="s">
        <v>864</v>
      </c>
      <c r="BM44" s="26" t="s">
        <v>864</v>
      </c>
      <c r="BN44" s="22"/>
      <c r="BO44" s="22">
        <v>44817</v>
      </c>
      <c r="BP44" s="21" t="s">
        <v>854</v>
      </c>
      <c r="BQ44" s="222">
        <f t="shared" si="2"/>
        <v>0</v>
      </c>
      <c r="BR44" s="223">
        <f t="shared" si="3"/>
        <v>44817</v>
      </c>
      <c r="BS44" s="224">
        <f t="shared" si="4"/>
        <v>8.1428571428571423</v>
      </c>
      <c r="BT44" s="216" t="str">
        <f t="shared" si="5"/>
        <v>I TRIM</v>
      </c>
      <c r="BU44" s="214" t="str">
        <f t="shared" ca="1" si="6"/>
        <v/>
      </c>
      <c r="BV44" s="25"/>
      <c r="BW44" s="22">
        <v>44915</v>
      </c>
      <c r="BX44" s="28">
        <v>14</v>
      </c>
      <c r="BY44" s="28"/>
      <c r="BZ44" s="22">
        <v>44936</v>
      </c>
      <c r="CA44" s="21">
        <v>16.600000000000001</v>
      </c>
      <c r="CB44" s="26" t="s">
        <v>864</v>
      </c>
      <c r="CC44" s="26" t="s">
        <v>864</v>
      </c>
      <c r="CD44" s="26" t="s">
        <v>878</v>
      </c>
      <c r="CE44" s="26" t="s">
        <v>864</v>
      </c>
      <c r="CF44" s="22" t="s">
        <v>1517</v>
      </c>
      <c r="CG44" s="21">
        <v>1.52</v>
      </c>
      <c r="CH44" s="21">
        <v>68</v>
      </c>
      <c r="CI44" s="214">
        <f t="shared" si="7"/>
        <v>29.43213296398892</v>
      </c>
      <c r="CJ44" s="225" t="str">
        <f>IF(AND(CI44&lt;10,CH44="SD"),"SIN DATO PESO PREGESTACION O I TRIM",IF(AND(OR(R44&gt;0,O44&gt;0),CI44="X"),"INGRESAR DATO DE PESO",IF(CI44="SD","INGRESAR DATO DE TALLA Y PESO",IF(AND(OR(Tabla1[[#This Row],[MOMENTO EN QUE SE REALIZA EL PESO AL INGRESO A CPN]]="PREGESTACIÓN",NZ44="Menor"),CI44&lt;18.5),"BAJO PESO",IF(AND(OR(Tabla1[[#This Row],[MOMENTO EN QUE SE REALIZA EL PESO AL INGRESO A CPN]]="PREGESTACIÓN",NZ44="Menor"),CI44&lt;25),"NORMAL",IF(AND(OR(Tabla1[[#This Row],[MOMENTO EN QUE SE REALIZA EL PESO AL INGRESO A CPN]]="PREGESTACIÓN",NZ44="Menor"),CI44&lt;30),"SOBREPESO",IF(AND(OR(Tabla1[[#This Row],[MOMENTO EN QUE SE REALIZA EL PESO AL INGRESO A CPN]]="PREGESTACIÓN",NZ44="Menor"),CI44&gt;=30,CI44&lt;50),"OBESIDAD",IF(AND(BS44&gt;0,Tabla1[[#This Row],[MOMENTO EN QUE SE REALIZA EL PESO AL INGRESO A CPN]]="GESTACIÓN"),HLOOKUP(NZ44,$OA$2:PH44,NY44),""))))))))</f>
        <v>SOBREPESO</v>
      </c>
      <c r="CK44" s="212">
        <f t="shared" si="8"/>
        <v>45038</v>
      </c>
      <c r="CL44" s="21"/>
      <c r="CM44" s="214">
        <f t="shared" si="9"/>
        <v>0</v>
      </c>
      <c r="CN44" s="216">
        <f t="shared" si="10"/>
        <v>31</v>
      </c>
      <c r="CO44" s="216" t="e">
        <f>IF(PI44="","",IF(PI44&gt;0,HLOOKUP(PI44,$PJ$2:QQ44,NY44),""))</f>
        <v>#REF!</v>
      </c>
      <c r="CP44" s="21"/>
      <c r="CQ44" s="216" t="e">
        <f>IF(QR44="Menor","NO APLICA-MENOR 13 SEM",IF(AND(CC44="SI",CN44&gt;23),"NO APLICA- GEMELAR",IF(QR44="","",IF(QR44&gt;0,HLOOKUP(QR44,$QS$2:RU44,NY44),""))))</f>
        <v>#REF!</v>
      </c>
      <c r="CR44" s="21">
        <v>90</v>
      </c>
      <c r="CS44" s="21">
        <v>60</v>
      </c>
      <c r="CT44" s="217" t="str">
        <f>IF(R44="","",IF(AND(BS44&gt;1,BS44&lt;12,Tabla1[[#This Row],[T.A. SISTOLICA - ANTES DE SEMANA 12]]="",Tabla1[[#This Row],[T.A. DIASTOLICA - ANTES DE SEMANA 12]]=""),"REGISTRE DATO TA ANTES SEMANA 12",IF(AND(BS44&gt;11,BS44&lt;43,Tabla1[[#This Row],[T.A. SISTOLICA - ANTES DE SEMANA 12]]="",Tabla1[[#This Row],[T.A. DIASTOLICA - ANTES DE SEMANA 12]]=""),"NO APLICA REGISTRO TA-INGRESO TARDIO",IF(AND(OR(O44&gt;0,R44&gt;0),OR(CR44&gt;=140,CS44&gt;=90)),"DEFINIR ESTADIO HTA",IF(AND(OR(O44&gt;0,R44&gt;0),AND(CR44&gt;120,CR44&lt;=139)),"PRE HTA SEGUIMIENTO",IF(AND(OR(O44&gt;0,R44&gt;0),AND(CS44&gt;80,CS44&lt;=89)),"PRE HTA SEGUIMIENTO",IF(AND(OR(O44&gt;0,R44&gt;0),AND(CR44&gt;=80,CR44&lt;=120)),"APARENTEMENTE NORMAL",IF(AND(OR(O44&gt;0,R44&gt;0),AND(CS44&gt;=50,CS44&lt;=80)),"APARENTEMENTE NORMAL",IF(AND(OR(O44&gt;0,R44&gt;0),AND(CR44&gt;1,CR44&lt;=70),AND(CS44&gt;1,CS44&lt;=40)),"HIPOTENSIÓN","")))))))))</f>
        <v>APARENTEMENTE NORMAL</v>
      </c>
      <c r="CU44" s="21">
        <v>90</v>
      </c>
      <c r="CV44" s="21">
        <v>60</v>
      </c>
      <c r="CW44" s="217" t="str">
        <f ca="1">IF(R44="","",IF(AND(CN44&gt;19,CN44&lt;27,Tabla1[[#This Row],[T.A. SISTOLICA (Entre semana 20 y 26)]]="",Tabla1[[#This Row],[T.A. DIATOLICA (Entre semana 20 y 26)]]=""),"ACUDE A CONTROL SEM 20 A 26 REGISTRE TA AHORA",IF(AND(BS44&gt;1,BS44&lt;27,BU44&gt;19,Tabla1[[#This Row],[T.A. SISTOLICA (Entre semana 20 y 26)]]="",Tabla1[[#This Row],[T.A. DIATOLICA (Entre semana 20 y 26)]]=""),"COMPLETE REGISTRO TA CONTROL SEM 20 A26 ",IF(AND(BS44&gt;26,BS44&lt;43,Tabla1[[#This Row],[T.A. SISTOLICA (Entre semana 20 y 26)]]="",Tabla1[[#This Row],[T.A. DIATOLICA (Entre semana 20 y 26)]]=""),"NO APLICA REGISTRO TA-INGRESO TARDIO",IF(AND(OR(O44&gt;0,R44&gt;0),OR(CU44&gt;=140,CV44&gt;=90)),"ALTO RIESGO PREECLAMPSIA,DEFINIR ESTADIO HTA",IF(AND(OR(O44&gt;0,R44&gt;0),AND(CU44&gt;120,CU44&lt;=139)),"PRE HTA SEGUIMIENTO,RIESGO HIPERTENSION INDUCIDA POR EL EMBARAZO",IF(AND(OR(O44&gt;0,R44&gt;0),AND(CV44&gt;80,CV44&lt;=89)),"PRE HTA SEGUIMIENTO, RIESGO HIPERTENSION INDUCIDA POR EL EMBARAZO",IF(AND(OR(O44&lt;&gt;"",R44&lt;&gt;""),CS44&lt;&gt;"",CV44&lt;&gt;"",CS44&lt;=CV44),"VIGILAR CIFRAS PRESION ARTERIAL",IF(AND(OR(O44&gt;0,R44&gt;0),AND(CU44&gt;120,CU44&lt;=139)),"PRE HTA SEGUIMIENTO",IF(AND(OR(O44&gt;0,R44&gt;0),AND(CU44&gt;1,CU44&lt;=70),AND(CV44&gt;1,CV44&lt;=40)),"HIPOTENSIÓN",IF(AND(OR(O44&lt;&gt;"",R44&lt;&gt;""),CS44&lt;&gt;"",CV44&lt;&gt;"",CS44&gt;CV44),"APARENTEMENTE NORMAL",IF(AND(OR(O44&gt;0,R44&gt;0),AND(CU44&gt;=80,CU44&lt;=120)),"APARENTEMENTE NORMAL",IF(AND(OR(O44&gt;0,R44&gt;0),AND(CV44&gt;=50,CV44&lt;=80)),"APARENTEMENTE NORMAL","")))))))))))))</f>
        <v>VIGILAR CIFRAS PRESION ARTERIAL</v>
      </c>
      <c r="CX44" s="21">
        <v>100</v>
      </c>
      <c r="CY44" s="21">
        <v>60</v>
      </c>
      <c r="CZ44" s="216" t="str">
        <f t="shared" si="195"/>
        <v>APARENTEMENTE NORMAL</v>
      </c>
      <c r="DA44" s="21"/>
      <c r="DB44" s="21"/>
      <c r="DC44" s="217" t="str">
        <f t="shared" si="12"/>
        <v>REGISTRE DATO PRESIÓN ARTERIAL MENSUAL</v>
      </c>
      <c r="DD44" s="22">
        <v>44874</v>
      </c>
      <c r="DE44" s="22">
        <v>44874</v>
      </c>
      <c r="DF44" s="22">
        <v>44937</v>
      </c>
      <c r="DG44" s="22">
        <v>44981</v>
      </c>
      <c r="DH44" s="22">
        <v>45002</v>
      </c>
      <c r="DI44" s="22">
        <v>45038</v>
      </c>
      <c r="DJ44" s="22"/>
      <c r="DK44" s="22"/>
      <c r="DL44" s="22"/>
      <c r="DM44" s="22"/>
      <c r="DN44" s="22"/>
      <c r="DO44" s="22"/>
      <c r="DP44" s="22"/>
      <c r="DQ44" s="22"/>
      <c r="DR44" s="28">
        <v>2</v>
      </c>
      <c r="DS44" s="22"/>
      <c r="DT44" s="22"/>
      <c r="DU44" s="216" t="str">
        <f t="shared" ca="1" si="196"/>
        <v>SALE SIN PLAN DE PARTO</v>
      </c>
      <c r="DV44" s="226" t="str">
        <f t="shared" si="197"/>
        <v>SALIO PROGRAMA</v>
      </c>
      <c r="DW44"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44" s="216" t="str">
        <f t="shared" ca="1" si="15"/>
        <v/>
      </c>
      <c r="DY44" s="212">
        <f>IF(R44="","",IF(R44&gt;0,MAX(Tabla1[[#This Row],[FECHA C2]:[FECHA C13]],Tabla1[[#This Row],[FECHA CONSULTA PRIMERA VEZ PROGRAMA CPN ]])))</f>
        <v>45038</v>
      </c>
      <c r="DZ44" s="216">
        <f t="shared" si="16"/>
        <v>31</v>
      </c>
      <c r="EA44" s="222">
        <f>IF(R44&gt;0,SUM(COUNTA(DF44:DQ44)+COUNTA(Tabla1[[#This Row],[FECHA CONSULTA PRIMERA VEZ PROGRAMA CPN ]])),"")</f>
        <v>5</v>
      </c>
      <c r="EB44" s="222" t="str">
        <f t="shared" si="17"/>
        <v>SI</v>
      </c>
      <c r="EC44" s="214">
        <f t="shared" si="18"/>
        <v>9</v>
      </c>
      <c r="ED44" s="227">
        <f t="shared" si="19"/>
        <v>0.55555555555555558</v>
      </c>
      <c r="EE44" s="22">
        <v>44874</v>
      </c>
      <c r="EF44" s="22"/>
      <c r="EG44" s="22">
        <v>44874</v>
      </c>
      <c r="EH44" s="22">
        <v>44917</v>
      </c>
      <c r="EI44" s="22">
        <v>44874</v>
      </c>
      <c r="EJ44" s="22">
        <v>44936</v>
      </c>
      <c r="EK44" s="22">
        <v>44980</v>
      </c>
      <c r="EL44" s="21">
        <v>1</v>
      </c>
      <c r="EM44" s="21">
        <v>13.3</v>
      </c>
      <c r="EN44" s="22">
        <v>44875</v>
      </c>
      <c r="EO44" s="222">
        <f t="shared" si="20"/>
        <v>8.2857142857142865</v>
      </c>
      <c r="EP44" s="214" t="str">
        <f t="shared" si="21"/>
        <v>NORMAL- SUMINISTRAR SULFATO FERROSO</v>
      </c>
      <c r="EQ44" s="216" t="str">
        <f t="shared" si="22"/>
        <v>I TRIM</v>
      </c>
      <c r="ER44" s="24"/>
      <c r="ES44" s="22"/>
      <c r="ET44" s="29" t="str">
        <f t="shared" ca="1" si="198"/>
        <v>SALE SIN TAMIZAJE HEMOGLOBINA SEM 28</v>
      </c>
      <c r="EU44" s="25" t="str">
        <f t="shared" si="24"/>
        <v/>
      </c>
      <c r="EV44" s="24" t="s">
        <v>866</v>
      </c>
      <c r="EW44" s="24">
        <v>44875</v>
      </c>
      <c r="EX44" s="22"/>
      <c r="EY44" s="29">
        <f t="shared" si="199"/>
        <v>8.2857142857142865</v>
      </c>
      <c r="EZ44" s="25" t="str">
        <f t="shared" ca="1" si="200"/>
        <v/>
      </c>
      <c r="FA44" s="21">
        <v>82</v>
      </c>
      <c r="FB44" s="22">
        <v>44875</v>
      </c>
      <c r="FC44" s="29">
        <f t="shared" si="27"/>
        <v>8.2857142857142865</v>
      </c>
      <c r="FD44" s="29">
        <v>60</v>
      </c>
      <c r="FE44" s="29">
        <v>94</v>
      </c>
      <c r="FF44" s="29">
        <v>104</v>
      </c>
      <c r="FG44" s="21" t="str">
        <f t="shared" ca="1" si="28"/>
        <v>NORMAL</v>
      </c>
      <c r="FH44" s="31">
        <v>45003</v>
      </c>
      <c r="FI44" s="29">
        <f t="shared" si="29"/>
        <v>26.571428571428573</v>
      </c>
      <c r="FJ44" s="22" t="s">
        <v>867</v>
      </c>
      <c r="FK44" s="22">
        <v>44875</v>
      </c>
      <c r="FL44" s="29">
        <f t="shared" ca="1" si="30"/>
        <v>8.2857142857142865</v>
      </c>
      <c r="FM44" s="22"/>
      <c r="FN44" s="32"/>
      <c r="FO44" s="29" t="str">
        <f t="shared" ca="1" si="201"/>
        <v>PIERDE TOMA DE TAMIZAJE</v>
      </c>
      <c r="FP44" s="22" t="s">
        <v>867</v>
      </c>
      <c r="FQ44" s="32">
        <v>45038</v>
      </c>
      <c r="FR44" s="29">
        <f t="shared" ca="1" si="202"/>
        <v>31.571428571428573</v>
      </c>
      <c r="FS44" s="22"/>
      <c r="FT44" s="32"/>
      <c r="FU44" s="29" t="str">
        <f>IF(AND(FJ44="",FM44="",FP44="",FS44=""),"",IF(OR(OR(Tabla1[[#This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44" s="28"/>
      <c r="FW44" s="22"/>
      <c r="FX44" s="29" t="str">
        <f t="shared" si="33"/>
        <v>TOMAR EXAMEN</v>
      </c>
      <c r="FY44" s="22">
        <v>44875</v>
      </c>
      <c r="FZ44" s="22">
        <v>44875</v>
      </c>
      <c r="GA44" s="29">
        <f t="shared" ca="1" si="203"/>
        <v>8.2857142857142865</v>
      </c>
      <c r="GB44" s="22"/>
      <c r="GC44" s="22"/>
      <c r="GD44" s="29" t="str">
        <f t="shared" ca="1" si="204"/>
        <v>PIERDE TOMA DE TAMIZAJE</v>
      </c>
      <c r="GE44" s="22" t="s">
        <v>868</v>
      </c>
      <c r="GF44" s="22">
        <v>45038</v>
      </c>
      <c r="GG44" s="29">
        <f t="shared" ca="1" si="205"/>
        <v>31.571428571428573</v>
      </c>
      <c r="GH44" s="22"/>
      <c r="GI44" s="29"/>
      <c r="GJ44" s="22"/>
      <c r="GK44" s="22"/>
      <c r="GL44" s="22" t="s">
        <v>879</v>
      </c>
      <c r="GM44" s="22"/>
      <c r="GN44" s="28" t="s">
        <v>869</v>
      </c>
      <c r="GO44" s="22">
        <v>44875</v>
      </c>
      <c r="GP44" s="29">
        <f t="shared" si="37"/>
        <v>8.2857142857142865</v>
      </c>
      <c r="GQ44" s="28" t="s">
        <v>869</v>
      </c>
      <c r="GR44" s="28" t="s">
        <v>869</v>
      </c>
      <c r="GS44" s="22" t="str">
        <f t="shared" si="206"/>
        <v>CONTROL Igm</v>
      </c>
      <c r="GT44" s="22">
        <v>44875</v>
      </c>
      <c r="GU44" s="29">
        <f t="shared" si="39"/>
        <v>8.2857142857142865</v>
      </c>
      <c r="GV44" s="21" t="str">
        <f t="shared" si="40"/>
        <v>I TRIM</v>
      </c>
      <c r="GW44" s="28" t="s">
        <v>869</v>
      </c>
      <c r="GX44" s="30"/>
      <c r="GY44" s="21"/>
      <c r="GZ44" s="21"/>
      <c r="HA44" s="21"/>
      <c r="HB44" s="21"/>
      <c r="HC44" s="21"/>
      <c r="HD44" s="21"/>
      <c r="HE44" s="21"/>
      <c r="HF44" s="22"/>
      <c r="HG44" s="22" t="str">
        <f>IF(OR(O44&gt;0,R44&gt;0),CONCATENATE(IF(Tabla1[[#This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44" s="22" t="e">
        <f t="shared" si="41"/>
        <v>#REF!</v>
      </c>
      <c r="HI44" s="22" t="e">
        <f t="shared" ca="1" si="42"/>
        <v>#REF!</v>
      </c>
      <c r="HJ44" s="21" t="str">
        <f t="shared" ca="1" si="43"/>
        <v>***************************************</v>
      </c>
      <c r="HK44" s="21" t="str">
        <f t="shared" si="44"/>
        <v>SIN ANTECEDENTES DE RIESGO</v>
      </c>
      <c r="HL44" s="24" t="str">
        <f t="shared" si="45"/>
        <v>REGISTRE DATO PRESIÓN ARTERIAL MENSUAL</v>
      </c>
      <c r="HM44" s="21" t="str">
        <f t="shared" ca="1" si="46"/>
        <v/>
      </c>
      <c r="HN44" s="30" t="str">
        <f t="shared" si="207"/>
        <v>SALIO PROGRAMA</v>
      </c>
      <c r="HO44" s="21"/>
      <c r="HP44" s="21"/>
      <c r="HQ44" s="21">
        <v>44981</v>
      </c>
      <c r="HR44" s="21" t="str">
        <f>IF(R44="","",IF(Tabla1[[#This Row],[ALARMA FACTORES DE RIESGO COMPLICACIONES HIPERTENSIVAS3]]="SIN ANTECEDENTES DE RIESGO","No Aplica para suministro de ASA",IF(AND(Tabla1[[#This Row],[FECHA INICIO DE SUMINISTRO DE ASA]]&gt;0,RV44&lt;12),"Inicia ASA ANTES de Sem 12",IF(AND(RV44&gt;11,RV44&lt;17,OR(HK44="RIESGO ALTO DE COMPLICACIONES HIPERTENSIVAS VER MANEJO GUIA SUMINISTRO ASA Y CALCIO",HK44="RIESGO MODERADO (2 O MAS CRITERIOS) VER MANEJO GUIA SUMINISTRO ASA Y CALCIO")),"Inicio oportuno de ASA",IF(AND(RV44&gt;12,OR(HK44="RIESGO ALTO DE COMPLICACIONES HIPERTENSIVAS VER MANEJO GUIA SUMINISTRO ASA Y CALCIO",HK44="RIESGO MODERADO (2 O MAS CRITERIOS) VER MANEJO GUIA SUMINISTRO ASA Y CALCIO")),"Inicio no oportuno mayor a 16 semanas",IF(AND(BU44&lt;12,OR(HK44="RIESGO ALTO DE COMPLICACIONES HIPERTENSIVAS VER MANEJO GUIA SUMINISTRO ASA Y CALCIO",HK44="RIESGO MODERADO (2 O MAS CRITERIOS) VER MANEJO GUIA SUMINISTRO ASA Y CALCIO")),"Pendiente Inicio de ASA a la semana 12",IF(AND(BU44&gt;11,BU44&lt;17,OR(HK44="RIESGO ALTO DE COMPLICACIONES HIPERTENSIVAS VER MANEJO GUIA SUMINISTRO ASA Y CALCIO",HK44="RIESGO MODERADO (2 O MAS CRITERIOS) VER MANEJO GUIA SUMINISTRO ASA Y CALCIO")),"Iniciar de inmediato ASA",IF(AND(BU44&gt;16,OR(HK44="RIESGO ALTO DE COMPLICACIONES HIPERTENSIVAS VER MANEJO GUIA SUMINISTRO ASA Y CALCIO",HK44="RIESGO MODERADO (2 O MAS CRITERIOS) VER MANEJO GUIA SUMINISTRO ASA Y CALCIO")),"Pierde Oportunidad, Inicio tardío de ASA","XXXXX"))))))))</f>
        <v>No Aplica para suministro de ASA</v>
      </c>
      <c r="HS44" s="22">
        <v>44981</v>
      </c>
      <c r="HT44" s="22" t="s">
        <v>870</v>
      </c>
      <c r="HU44" s="22">
        <v>44874</v>
      </c>
      <c r="HV44" s="22" t="s">
        <v>870</v>
      </c>
      <c r="HW44" s="22">
        <v>44981</v>
      </c>
      <c r="HX44" s="22" t="s">
        <v>870</v>
      </c>
      <c r="HY44" s="22">
        <v>44874</v>
      </c>
      <c r="HZ44" s="28">
        <f t="shared" si="48"/>
        <v>8.1428571428571423</v>
      </c>
      <c r="IA44" s="26" t="s">
        <v>864</v>
      </c>
      <c r="IB44" s="26"/>
      <c r="IC44" s="111"/>
      <c r="ID44" s="22">
        <v>45002</v>
      </c>
      <c r="IE44" s="22" t="str">
        <f t="shared" ca="1" si="49"/>
        <v>VACUNA APLICADA ENTRE SEMANA 20 Y SEMANA 26</v>
      </c>
      <c r="IF44" s="22"/>
      <c r="IG44" s="22">
        <f t="shared" si="50"/>
        <v>45097</v>
      </c>
      <c r="IH44" s="29">
        <f t="shared" ca="1" si="51"/>
        <v>-135</v>
      </c>
      <c r="II44" s="22" t="str">
        <f t="shared" ca="1" si="52"/>
        <v>POSIBLEMENTE NACIO</v>
      </c>
      <c r="IJ44" s="22"/>
      <c r="IK44" s="21" t="s">
        <v>898</v>
      </c>
      <c r="IL44" s="21"/>
      <c r="IM44" s="34"/>
      <c r="IN44" s="349">
        <v>45089</v>
      </c>
      <c r="IO44" s="21" t="s">
        <v>1186</v>
      </c>
      <c r="IP44" s="29">
        <f t="shared" si="208"/>
        <v>38.857142857142854</v>
      </c>
      <c r="IQ44" s="35" t="s">
        <v>1650</v>
      </c>
      <c r="IR44" s="21" t="s">
        <v>1651</v>
      </c>
      <c r="IS44" s="21" t="s">
        <v>1646</v>
      </c>
      <c r="IT44" s="21" t="s">
        <v>1642</v>
      </c>
      <c r="IU44" s="21"/>
      <c r="IV44" s="21"/>
      <c r="IW44" s="21"/>
      <c r="IX44" s="21"/>
      <c r="IY44" s="21"/>
      <c r="IZ44" s="21"/>
      <c r="JA44" s="21"/>
      <c r="JB44" s="30">
        <v>1</v>
      </c>
      <c r="JC44" s="21" t="s">
        <v>1647</v>
      </c>
      <c r="JD44" s="36">
        <v>3640</v>
      </c>
      <c r="JE44" s="21" t="str">
        <f t="shared" si="209"/>
        <v>PESO ADECUADO EDAD GESTACIONAL</v>
      </c>
      <c r="JF44" s="30"/>
      <c r="JG44" s="21"/>
      <c r="JH44" s="21"/>
      <c r="JI44" s="21" t="s">
        <v>854</v>
      </c>
      <c r="JJ44" s="30" t="s">
        <v>866</v>
      </c>
      <c r="JK44" s="22"/>
      <c r="JL44" s="22"/>
      <c r="JM44" s="21"/>
      <c r="JN44" s="36"/>
      <c r="JO44" s="21" t="str">
        <f t="shared" si="210"/>
        <v/>
      </c>
      <c r="JP44" s="22"/>
      <c r="JQ44" s="21"/>
      <c r="JR44" s="21"/>
      <c r="JS44" s="21"/>
      <c r="JT44" s="30"/>
      <c r="JU44" s="22"/>
      <c r="JV44" s="22"/>
      <c r="JW44" s="33"/>
      <c r="JX44" s="28" t="str">
        <f t="shared" si="211"/>
        <v>INASISTENTE</v>
      </c>
      <c r="JY44" s="33"/>
      <c r="JZ44" s="28" t="str">
        <f t="shared" si="212"/>
        <v>INASISTENTE</v>
      </c>
      <c r="KA44" s="21"/>
      <c r="KB44" s="21"/>
      <c r="KC44" s="21"/>
      <c r="KD44" s="37"/>
      <c r="KE44" s="28"/>
      <c r="KF44" s="28"/>
      <c r="KG44" s="28"/>
      <c r="KH44" s="39"/>
      <c r="KI44" s="39"/>
      <c r="KJ44" s="66"/>
      <c r="KK44" s="39"/>
      <c r="KL44" s="39"/>
      <c r="KM44" s="66"/>
      <c r="KN44" s="39"/>
      <c r="KO44" s="39"/>
      <c r="KP44" s="39"/>
      <c r="KQ44" s="39"/>
      <c r="KR44" s="39"/>
      <c r="KS44" s="39"/>
      <c r="KT44" s="39"/>
      <c r="KU44" s="38"/>
      <c r="KV44" s="38"/>
      <c r="KW44" s="38"/>
      <c r="KX44" s="38"/>
      <c r="KY44" s="38"/>
      <c r="KZ44" s="38"/>
      <c r="LA44" s="38"/>
      <c r="LB44" s="38"/>
      <c r="LC44" s="38"/>
      <c r="LD44" s="38"/>
      <c r="LE44" s="38"/>
      <c r="LF44" s="38"/>
      <c r="LG44" s="38"/>
      <c r="LH44" s="38"/>
      <c r="LI44" s="38"/>
      <c r="LJ44" s="38"/>
      <c r="LK44" s="38"/>
      <c r="LL44" s="38"/>
      <c r="LM44" s="38"/>
      <c r="LN44" s="38"/>
      <c r="LO44" s="38"/>
      <c r="LP44" s="38"/>
      <c r="LQ44" s="38"/>
      <c r="LR44" s="38"/>
      <c r="LS44" s="38"/>
      <c r="LT44" s="38"/>
      <c r="LU44" s="38"/>
      <c r="LV44" s="38"/>
      <c r="LW44" s="38"/>
      <c r="LX44" s="38"/>
      <c r="LY44" s="38"/>
      <c r="LZ44" s="38"/>
      <c r="MA44" s="38"/>
      <c r="MB44" s="38"/>
      <c r="MC44" s="38"/>
      <c r="MD44" s="38"/>
      <c r="ME44" s="38"/>
      <c r="MF44" s="38"/>
      <c r="MG44" s="38"/>
      <c r="MH44" s="43">
        <f t="shared" si="213"/>
        <v>0</v>
      </c>
      <c r="MI44" s="43" t="str">
        <f t="shared" si="214"/>
        <v/>
      </c>
      <c r="MJ44" s="43" t="str">
        <f t="shared" si="215"/>
        <v/>
      </c>
      <c r="MK44" s="43">
        <f t="shared" si="216"/>
        <v>0</v>
      </c>
      <c r="ML4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44" s="43">
        <f t="shared" si="217"/>
        <v>8.1428571428571423</v>
      </c>
      <c r="MN44" s="43">
        <f t="shared" si="218"/>
        <v>11</v>
      </c>
      <c r="MO44" s="43">
        <f t="shared" si="219"/>
        <v>2022</v>
      </c>
      <c r="MP44" s="43" t="str">
        <f t="shared" si="220"/>
        <v>IV TRIMESTRE AÑO</v>
      </c>
      <c r="MQ44" s="43">
        <f t="shared" si="221"/>
        <v>26.319535698642138</v>
      </c>
      <c r="MR44" s="43">
        <f t="shared" si="222"/>
        <v>0</v>
      </c>
      <c r="MS44" s="43" t="str">
        <f t="shared" si="223"/>
        <v xml:space="preserve"> DE 25 A 29 AÑOS</v>
      </c>
      <c r="MT44" s="43">
        <f t="shared" si="224"/>
        <v>0</v>
      </c>
      <c r="MU44" s="43">
        <f t="shared" si="225"/>
        <v>0</v>
      </c>
      <c r="MV44" s="43">
        <f t="shared" si="226"/>
        <v>0</v>
      </c>
      <c r="MW44" s="43">
        <f t="shared" si="227"/>
        <v>0</v>
      </c>
      <c r="MX44" s="43" t="str">
        <f t="shared" si="228"/>
        <v/>
      </c>
      <c r="MY44" s="43" t="str">
        <f t="shared" ca="1" si="229"/>
        <v/>
      </c>
      <c r="MZ44" s="43" t="str">
        <f t="shared" si="230"/>
        <v/>
      </c>
      <c r="NA44" s="43">
        <f t="shared" si="231"/>
        <v>0</v>
      </c>
      <c r="NB44" s="43" t="str">
        <f t="shared" si="232"/>
        <v/>
      </c>
      <c r="NC44" s="43" t="str">
        <f t="shared" si="233"/>
        <v/>
      </c>
      <c r="ND44" s="43">
        <f t="shared" ca="1" si="234"/>
        <v>0</v>
      </c>
      <c r="NE44" s="43">
        <f>IF(OR(O44&gt;0,R44&gt;0),SUM(COUNTIF(Tabla1[[#This Row],[AÑOS AL INICIO5 CPN]],"&gt;=40"),COUNTIF(AS44,"0"),COUNTIF(AR44,"SI"),COUNTIF(CC44,"SI"),COUNTIF(BQ44,"&gt;119"),COUNTIF(CI44,"&gt;=35")),"")</f>
        <v>0</v>
      </c>
      <c r="NF44" s="43">
        <f t="shared" si="235"/>
        <v>26.428571428571427</v>
      </c>
      <c r="NG44" s="43">
        <f t="shared" si="236"/>
        <v>0</v>
      </c>
      <c r="NH44" s="43">
        <f t="shared" si="237"/>
        <v>98</v>
      </c>
      <c r="NI44"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CPN",P44="NO"),"Z",IF(AND(Tabla1[[#This Row],[CITA PROXIMO CONTROL]]="CITA MANUAL",Tabla1[[#This Row],[GESTANTES ACTUALES]]="ACTIVA INGRESO A CPN"),"W",IF(AND(Tabla1[[#This Row],[GESTANTES ACTUALES]]="SALIO PROGRAMA",IN44=""),"S",IF(AND(Tabla1[[#This Row],[CITA PROXIMO CONTROL]]&gt;0,IN44=""),(Tabla1[[#This Row],[CITA PROXIMO CONTROL]]-TODAY()),"SD"))))))))</f>
        <v>SD</v>
      </c>
      <c r="NJ44" s="43">
        <f>MONTH(Tabla1[[#This Row],[FECHA DE SALIDA  DEL PROGRAMA]])</f>
        <v>6</v>
      </c>
      <c r="NK44" s="43">
        <f>YEAR(Tabla1[[#This Row],[FECHA DE SALIDA  DEL PROGRAMA]])</f>
        <v>2023</v>
      </c>
      <c r="NL44" s="43">
        <f t="shared" si="238"/>
        <v>62</v>
      </c>
      <c r="NM44" s="43" t="str">
        <f t="shared" si="239"/>
        <v>NO</v>
      </c>
      <c r="NN44" s="43" t="str">
        <f ca="1">IF(AND(O44&gt;0,R44=""),"NO CPN",IF(AND(O44="",R44=""),"",IF(AND(R44&gt;0,Tabla1[[#This Row],[SEMANAS DE GESTACION ACTUALIZADAS]]&lt;=12),"NO APLICA",IF(AND(FH44&lt;&gt;"",FN44&lt;&gt;""),"SI","NO"))))</f>
        <v>NO</v>
      </c>
      <c r="NO44" s="43" t="str">
        <f ca="1">IF(AND(O44&gt;0,R44=""),"NO CPN",IF(AND(O44="",R44=""),"",IF(AND(R44&gt;0,Tabla1[[#This Row],[SEMANAS DE GESTACION ACTUALIZADAS]]&lt;=27),"NO APLICA",IF(AND(ES44&lt;&gt;"",FQ44&lt;&gt;"",GF44&lt;&gt;""),"SI","NO"))))</f>
        <v>NO</v>
      </c>
      <c r="NP44" s="204" t="str">
        <f t="shared" si="240"/>
        <v>I TRIM</v>
      </c>
      <c r="NQ44" s="21" t="str">
        <f t="shared" si="241"/>
        <v/>
      </c>
      <c r="NR44" s="21">
        <f t="shared" si="242"/>
        <v>3</v>
      </c>
      <c r="NS44" s="205">
        <f t="shared" ca="1" si="243"/>
        <v>2</v>
      </c>
      <c r="NT44" s="21">
        <f t="shared" ca="1" si="244"/>
        <v>2</v>
      </c>
      <c r="NU44" s="21" t="str">
        <f t="shared" ca="1" si="245"/>
        <v>INCOMPLETO</v>
      </c>
      <c r="NV44" s="21" t="str">
        <f t="shared" ca="1" si="246"/>
        <v>INCOMPLETO</v>
      </c>
      <c r="NW44" s="206" t="str">
        <f>IF(AND(O44="",R44=""),"",IF(OR(AND(Tabla1[[#This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44" s="207" t="str">
        <f t="shared" ca="1" si="247"/>
        <v>VACUNADA</v>
      </c>
      <c r="NY44" s="43">
        <f>ROW(Tabla1[[#This Row],['# DE TAMIZAJES SIFILIS TOMADOS ]])</f>
        <v>44</v>
      </c>
      <c r="NZ44" s="43" t="str">
        <f t="shared" si="93"/>
        <v>Menor</v>
      </c>
      <c r="OA44" s="43" t="str">
        <f t="shared" si="94"/>
        <v>SOBREPESO</v>
      </c>
      <c r="OB44" s="43" t="str">
        <f t="shared" si="95"/>
        <v/>
      </c>
      <c r="OC44" s="43" t="str">
        <f t="shared" si="96"/>
        <v/>
      </c>
      <c r="OD44" s="43" t="str">
        <f t="shared" si="97"/>
        <v/>
      </c>
      <c r="OE44" s="43" t="str">
        <f t="shared" si="98"/>
        <v/>
      </c>
      <c r="OF44" s="43" t="str">
        <f t="shared" si="99"/>
        <v/>
      </c>
      <c r="OG44" s="43" t="str">
        <f t="shared" si="100"/>
        <v/>
      </c>
      <c r="OH44" s="43" t="str">
        <f t="shared" si="101"/>
        <v/>
      </c>
      <c r="OI44" s="43" t="str">
        <f t="shared" si="102"/>
        <v/>
      </c>
      <c r="OJ44" s="43" t="str">
        <f t="shared" si="103"/>
        <v/>
      </c>
      <c r="OK44" s="43" t="str">
        <f t="shared" si="104"/>
        <v/>
      </c>
      <c r="OL44" s="43" t="str">
        <f t="shared" si="105"/>
        <v/>
      </c>
      <c r="OM44" s="43" t="str">
        <f t="shared" si="106"/>
        <v/>
      </c>
      <c r="ON44" s="43" t="str">
        <f t="shared" si="107"/>
        <v/>
      </c>
      <c r="OO44" s="43" t="str">
        <f t="shared" si="108"/>
        <v/>
      </c>
      <c r="OP44" s="43" t="str">
        <f t="shared" si="109"/>
        <v/>
      </c>
      <c r="OQ44" s="43" t="str">
        <f t="shared" si="110"/>
        <v/>
      </c>
      <c r="OR44" s="43" t="str">
        <f t="shared" si="111"/>
        <v/>
      </c>
      <c r="OS44" s="43" t="str">
        <f t="shared" si="112"/>
        <v/>
      </c>
      <c r="OT44" s="43" t="str">
        <f t="shared" si="113"/>
        <v/>
      </c>
      <c r="OU44" s="43" t="str">
        <f t="shared" si="114"/>
        <v/>
      </c>
      <c r="OV44" s="110" t="str">
        <f t="shared" si="115"/>
        <v/>
      </c>
      <c r="OW44" s="43" t="str">
        <f t="shared" si="116"/>
        <v/>
      </c>
      <c r="OX44" s="43" t="str">
        <f t="shared" si="117"/>
        <v/>
      </c>
      <c r="OY44" s="43" t="str">
        <f t="shared" si="118"/>
        <v/>
      </c>
      <c r="OZ44" s="43" t="str">
        <f t="shared" si="119"/>
        <v/>
      </c>
      <c r="PA44" s="43" t="str">
        <f t="shared" si="120"/>
        <v/>
      </c>
      <c r="PB44" s="43" t="str">
        <f t="shared" si="121"/>
        <v/>
      </c>
      <c r="PC44" s="43" t="str">
        <f t="shared" si="122"/>
        <v/>
      </c>
      <c r="PD44" s="43" t="str">
        <f t="shared" si="123"/>
        <v/>
      </c>
      <c r="PE44" s="43" t="str">
        <f t="shared" si="124"/>
        <v/>
      </c>
      <c r="PF44" s="43" t="str">
        <f t="shared" si="125"/>
        <v/>
      </c>
      <c r="PG44" s="43" t="str">
        <f t="shared" si="126"/>
        <v/>
      </c>
      <c r="PH44" s="43" t="str">
        <f t="shared" si="127"/>
        <v/>
      </c>
      <c r="PI44" s="43">
        <f t="shared" si="128"/>
        <v>31</v>
      </c>
      <c r="PJ44" s="43" t="str">
        <f t="shared" si="129"/>
        <v/>
      </c>
      <c r="PK44" s="43" t="str">
        <f t="shared" si="130"/>
        <v/>
      </c>
      <c r="PL44" s="43" t="str">
        <f t="shared" si="131"/>
        <v/>
      </c>
      <c r="PM44" s="43" t="str">
        <f t="shared" si="132"/>
        <v/>
      </c>
      <c r="PN44" s="43" t="str">
        <f t="shared" si="133"/>
        <v/>
      </c>
      <c r="PO44" s="43" t="str">
        <f t="shared" si="134"/>
        <v/>
      </c>
      <c r="PP44" s="43" t="str">
        <f t="shared" si="135"/>
        <v/>
      </c>
      <c r="PQ44" s="43" t="str">
        <f t="shared" si="136"/>
        <v/>
      </c>
      <c r="PR44" s="43" t="str">
        <f t="shared" si="137"/>
        <v/>
      </c>
      <c r="PS44" s="43" t="str">
        <f t="shared" si="138"/>
        <v/>
      </c>
      <c r="PT44" s="43" t="str">
        <f t="shared" si="139"/>
        <v/>
      </c>
      <c r="PU44" s="43" t="str">
        <f t="shared" si="140"/>
        <v/>
      </c>
      <c r="PV44" s="43" t="str">
        <f t="shared" si="141"/>
        <v/>
      </c>
      <c r="PW44" s="43" t="str">
        <f t="shared" si="142"/>
        <v/>
      </c>
      <c r="PX44" s="43" t="str">
        <f t="shared" si="143"/>
        <v/>
      </c>
      <c r="PY44" s="43" t="str">
        <f t="shared" si="144"/>
        <v/>
      </c>
      <c r="PZ44" s="43" t="str">
        <f t="shared" si="145"/>
        <v/>
      </c>
      <c r="QA44" s="43" t="str">
        <f t="shared" si="146"/>
        <v/>
      </c>
      <c r="QB44" s="43" t="str">
        <f t="shared" si="147"/>
        <v/>
      </c>
      <c r="QC44" s="43" t="str">
        <f t="shared" si="148"/>
        <v/>
      </c>
      <c r="QD44" s="43" t="str">
        <f t="shared" si="149"/>
        <v/>
      </c>
      <c r="QE44" s="43" t="str">
        <f t="shared" si="150"/>
        <v/>
      </c>
      <c r="QF44" s="43" t="str">
        <f t="shared" si="151"/>
        <v/>
      </c>
      <c r="QG44" s="43" t="str">
        <f t="shared" si="152"/>
        <v/>
      </c>
      <c r="QH44" s="43" t="str">
        <f t="shared" si="153"/>
        <v/>
      </c>
      <c r="QI44" s="43" t="str">
        <f t="shared" si="154"/>
        <v/>
      </c>
      <c r="QJ44" s="43" t="str">
        <f t="shared" si="155"/>
        <v/>
      </c>
      <c r="QK44" s="43" t="str">
        <f t="shared" si="156"/>
        <v/>
      </c>
      <c r="QL44" s="43" t="str">
        <f t="shared" si="157"/>
        <v/>
      </c>
      <c r="QM44" s="43" t="str">
        <f t="shared" si="158"/>
        <v/>
      </c>
      <c r="QN44" s="43" t="str">
        <f t="shared" si="159"/>
        <v/>
      </c>
      <c r="QO44" s="43" t="str">
        <f t="shared" si="160"/>
        <v/>
      </c>
      <c r="QP44" s="43" t="str">
        <f t="shared" si="161"/>
        <v/>
      </c>
      <c r="QQ44" s="43" t="str">
        <f t="shared" si="162"/>
        <v/>
      </c>
      <c r="QR44" s="43">
        <f t="shared" si="192"/>
        <v>31</v>
      </c>
      <c r="QS44" s="43"/>
      <c r="QT44" s="21" t="str">
        <f t="shared" si="163"/>
        <v/>
      </c>
      <c r="QU44" s="21" t="str">
        <f t="shared" si="164"/>
        <v/>
      </c>
      <c r="QV44" s="21" t="str">
        <f t="shared" si="165"/>
        <v/>
      </c>
      <c r="QW44" s="21" t="str">
        <f t="shared" si="166"/>
        <v/>
      </c>
      <c r="QX44" s="21" t="str">
        <f t="shared" si="167"/>
        <v/>
      </c>
      <c r="QY44" s="21" t="str">
        <f t="shared" si="168"/>
        <v/>
      </c>
      <c r="QZ44" s="21" t="str">
        <f t="shared" si="169"/>
        <v/>
      </c>
      <c r="RA44" s="21" t="str">
        <f t="shared" si="170"/>
        <v/>
      </c>
      <c r="RB44" s="21" t="str">
        <f t="shared" si="171"/>
        <v/>
      </c>
      <c r="RC44" s="21" t="str">
        <f t="shared" si="172"/>
        <v/>
      </c>
      <c r="RD44" s="21" t="str">
        <f t="shared" si="173"/>
        <v/>
      </c>
      <c r="RE44" s="21" t="str">
        <f t="shared" si="174"/>
        <v/>
      </c>
      <c r="RF44" s="21" t="str">
        <f t="shared" si="175"/>
        <v/>
      </c>
      <c r="RG44" s="21" t="str">
        <f t="shared" si="176"/>
        <v/>
      </c>
      <c r="RH44" s="21" t="str">
        <f t="shared" si="177"/>
        <v/>
      </c>
      <c r="RI44" s="21" t="str">
        <f t="shared" si="178"/>
        <v/>
      </c>
      <c r="RJ44" s="21" t="str">
        <f t="shared" si="179"/>
        <v/>
      </c>
      <c r="RK44" s="21" t="str">
        <f t="shared" si="180"/>
        <v/>
      </c>
      <c r="RL44" s="21" t="str">
        <f t="shared" si="181"/>
        <v/>
      </c>
      <c r="RM44" s="21" t="str">
        <f t="shared" si="182"/>
        <v/>
      </c>
      <c r="RN44" s="21" t="str">
        <f t="shared" si="183"/>
        <v/>
      </c>
      <c r="RO44" s="21" t="str">
        <f t="shared" si="184"/>
        <v/>
      </c>
      <c r="RP44" s="21" t="str">
        <f t="shared" si="185"/>
        <v/>
      </c>
      <c r="RQ44" s="21" t="str">
        <f t="shared" si="186"/>
        <v/>
      </c>
      <c r="RR44" s="21" t="str">
        <f t="shared" si="187"/>
        <v/>
      </c>
      <c r="RS44" s="21" t="str">
        <f t="shared" si="188"/>
        <v/>
      </c>
      <c r="RT44" s="21" t="str">
        <f t="shared" si="189"/>
        <v/>
      </c>
      <c r="RU44" s="21" t="str">
        <f t="shared" si="190"/>
        <v/>
      </c>
      <c r="RV44" s="21">
        <f t="shared" si="191"/>
        <v>23.428571428571427</v>
      </c>
      <c r="RW44" s="284">
        <f>IF(OR(Tabla1[[#This Row],[FUM FORMULA CONFIABLE]]="",Tabla1[[#This Row],[FUM FORMULA CONFIABLE]]="SD"),"",IF(Tabla1[[#This Row],[FUM FORMULA CONFIABLE]]="CORREGIDA",Tabla1[[#This Row],[FUM X ECO 1]],Tabla1[[#This Row],[FUM x AMENORREA]]))</f>
        <v>44817</v>
      </c>
      <c r="RX44" s="21">
        <f>IF(AND(Tabla1[[#This Row],[FUM X ECO 1]]="",Tabla1[[#This Row],[FUM x AMENORREA]]=""),"",IF(AND(Tabla1[[#This Row],[FUM X ECO 1]]="",Tabla1[[#This Row],[FUM x AMENORREA]]&lt;&gt;""),"X",SUM(Tabla1[[#This Row],[FUM X ECO 1]]-Tabla1[[#This Row],[FUM x AMENORREA]])))</f>
        <v>0</v>
      </c>
      <c r="RY44" s="21">
        <f t="shared" si="193"/>
        <v>0</v>
      </c>
    </row>
    <row r="45" spans="1:493" ht="45" customHeight="1" x14ac:dyDescent="0.25">
      <c r="A45" s="109" t="s">
        <v>1102</v>
      </c>
      <c r="B45" s="43" t="s">
        <v>927</v>
      </c>
      <c r="C45" s="43" t="s">
        <v>845</v>
      </c>
      <c r="D45" s="124" t="s">
        <v>846</v>
      </c>
      <c r="E45" s="43" t="s">
        <v>1103</v>
      </c>
      <c r="F45" s="43" t="s">
        <v>1104</v>
      </c>
      <c r="G45" s="43" t="s">
        <v>1105</v>
      </c>
      <c r="H45" s="43"/>
      <c r="I45" s="109" t="s">
        <v>851</v>
      </c>
      <c r="J45" s="110">
        <v>1144068238</v>
      </c>
      <c r="K45" s="43" t="s">
        <v>852</v>
      </c>
      <c r="L45" s="175" t="s">
        <v>853</v>
      </c>
      <c r="M45" s="22">
        <v>34294</v>
      </c>
      <c r="N45" s="213">
        <f t="shared" ca="1" si="0"/>
        <v>29.967123287671232</v>
      </c>
      <c r="O45" s="22">
        <v>44875</v>
      </c>
      <c r="P45" s="214" t="str">
        <f t="shared" si="194"/>
        <v>SI</v>
      </c>
      <c r="Q45" s="26" t="s">
        <v>855</v>
      </c>
      <c r="R45" s="22">
        <v>44875</v>
      </c>
      <c r="S45" s="21" t="s">
        <v>856</v>
      </c>
      <c r="T45" s="24" t="s">
        <v>690</v>
      </c>
      <c r="U45" s="21" t="s">
        <v>857</v>
      </c>
      <c r="V45" s="21" t="s">
        <v>858</v>
      </c>
      <c r="W45" s="21" t="s">
        <v>1106</v>
      </c>
      <c r="X45" s="21" t="s">
        <v>1106</v>
      </c>
      <c r="Y45" s="21" t="s">
        <v>859</v>
      </c>
      <c r="Z45" s="21">
        <v>3153424821</v>
      </c>
      <c r="AA45" s="21" t="s">
        <v>860</v>
      </c>
      <c r="AB45" s="27" t="s">
        <v>861</v>
      </c>
      <c r="AC45" s="26" t="s">
        <v>1107</v>
      </c>
      <c r="AD45" s="38" t="s">
        <v>846</v>
      </c>
      <c r="AE45" s="26" t="s">
        <v>854</v>
      </c>
      <c r="AF45" s="26" t="s">
        <v>854</v>
      </c>
      <c r="AG45" s="23" t="s">
        <v>864</v>
      </c>
      <c r="AH45" s="23" t="s">
        <v>864</v>
      </c>
      <c r="AI45" s="24" t="s">
        <v>863</v>
      </c>
      <c r="AJ45" s="23" t="s">
        <v>864</v>
      </c>
      <c r="AK45" s="220" t="str">
        <f>IF(AND(AD45="",AE45="",AF45="",AG45="",AH45="",AI45="",AJ45=""),"",IF(OR(Tabla1[[#This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EVALUACIÓN",IF(AND(O45="",R45=""),"",IF(AND(OR(O45&gt;0,R45&gt;0),NG45&gt;=0,NG45&lt;2),"SIN RIESGO",IF(AND(OR(O45&gt;0,R45&gt;0),NG45&gt;=2),"CON RIESGO","ASD")))))</f>
        <v>SIN RIESGO</v>
      </c>
      <c r="AL45" s="23" t="s">
        <v>864</v>
      </c>
      <c r="AM45" s="26" t="s">
        <v>864</v>
      </c>
      <c r="AN45" s="26" t="s">
        <v>864</v>
      </c>
      <c r="AO45" s="26" t="s">
        <v>864</v>
      </c>
      <c r="AP45" s="26" t="s">
        <v>864</v>
      </c>
      <c r="AQ45" s="26" t="s">
        <v>864</v>
      </c>
      <c r="AR45" s="26" t="s">
        <v>864</v>
      </c>
      <c r="AS45" s="21">
        <v>1</v>
      </c>
      <c r="AT45" s="21">
        <v>1</v>
      </c>
      <c r="AU45" s="21">
        <v>0</v>
      </c>
      <c r="AV45" s="26" t="s">
        <v>864</v>
      </c>
      <c r="AW45" s="21">
        <v>0</v>
      </c>
      <c r="AX45" s="26" t="s">
        <v>864</v>
      </c>
      <c r="AY45" s="26" t="s">
        <v>864</v>
      </c>
      <c r="AZ45" s="26" t="s">
        <v>864</v>
      </c>
      <c r="BA45" s="26" t="s">
        <v>864</v>
      </c>
      <c r="BB45" s="26" t="s">
        <v>864</v>
      </c>
      <c r="BC45" s="26" t="s">
        <v>864</v>
      </c>
      <c r="BD45" s="26" t="s">
        <v>864</v>
      </c>
      <c r="BE45" s="26" t="s">
        <v>864</v>
      </c>
      <c r="BF45" s="26" t="s">
        <v>864</v>
      </c>
      <c r="BG45" s="26" t="s">
        <v>864</v>
      </c>
      <c r="BH45" s="26" t="s">
        <v>864</v>
      </c>
      <c r="BI45" s="26" t="s">
        <v>864</v>
      </c>
      <c r="BJ45" s="26"/>
      <c r="BK45" s="26"/>
      <c r="BL45" s="26" t="s">
        <v>864</v>
      </c>
      <c r="BM45" s="26" t="s">
        <v>864</v>
      </c>
      <c r="BN45" s="22">
        <v>41868</v>
      </c>
      <c r="BO45" s="22">
        <v>44831</v>
      </c>
      <c r="BP45" s="21" t="s">
        <v>854</v>
      </c>
      <c r="BQ45" s="222">
        <f t="shared" si="2"/>
        <v>98.766666666666666</v>
      </c>
      <c r="BR45" s="223">
        <f t="shared" si="3"/>
        <v>44831.5</v>
      </c>
      <c r="BS45" s="224">
        <f t="shared" si="4"/>
        <v>6.2857142857142856</v>
      </c>
      <c r="BT45" s="216" t="str">
        <f t="shared" si="5"/>
        <v>I TRIM</v>
      </c>
      <c r="BU45" s="214" t="str">
        <f t="shared" ca="1" si="6"/>
        <v/>
      </c>
      <c r="BV45" s="25"/>
      <c r="BW45" s="22">
        <v>44898</v>
      </c>
      <c r="BX45" s="28">
        <v>9.5</v>
      </c>
      <c r="BY45" s="28"/>
      <c r="BZ45" s="22">
        <v>44960</v>
      </c>
      <c r="CA45" s="21">
        <v>19</v>
      </c>
      <c r="CB45" s="26" t="s">
        <v>864</v>
      </c>
      <c r="CC45" s="26" t="s">
        <v>864</v>
      </c>
      <c r="CD45" s="26" t="s">
        <v>865</v>
      </c>
      <c r="CE45" s="26" t="s">
        <v>864</v>
      </c>
      <c r="CF45" s="22" t="s">
        <v>1517</v>
      </c>
      <c r="CG45" s="21">
        <v>1.52</v>
      </c>
      <c r="CH45" s="21">
        <v>64</v>
      </c>
      <c r="CI45" s="214">
        <f t="shared" si="7"/>
        <v>27.700831024930746</v>
      </c>
      <c r="CJ45" s="225" t="str">
        <f>IF(AND(CI45&lt;10,CH45="SD"),"SIN DATO PESO PREGESTACION O I TRIM",IF(AND(OR(R45&gt;0,O45&gt;0),CI45="X"),"INGRESAR DATO DE PESO",IF(CI45="SD","INGRESAR DATO DE TALLA Y PESO",IF(AND(OR(Tabla1[[#This Row],[MOMENTO EN QUE SE REALIZA EL PESO AL INGRESO A CPN]]="PREGESTACIÓN",NZ45="Menor"),CI45&lt;18.5),"BAJO PESO",IF(AND(OR(Tabla1[[#This Row],[MOMENTO EN QUE SE REALIZA EL PESO AL INGRESO A CPN]]="PREGESTACIÓN",NZ45="Menor"),CI45&lt;25),"NORMAL",IF(AND(OR(Tabla1[[#This Row],[MOMENTO EN QUE SE REALIZA EL PESO AL INGRESO A CPN]]="PREGESTACIÓN",NZ45="Menor"),CI45&lt;30),"SOBREPESO",IF(AND(OR(Tabla1[[#This Row],[MOMENTO EN QUE SE REALIZA EL PESO AL INGRESO A CPN]]="PREGESTACIÓN",NZ45="Menor"),CI45&gt;=30,CI45&lt;50),"OBESIDAD",IF(AND(BS45&gt;0,Tabla1[[#This Row],[MOMENTO EN QUE SE REALIZA EL PESO AL INGRESO A CPN]]="GESTACIÓN"),HLOOKUP(NZ45,$OA$2:PH45,NY45),""))))))))</f>
        <v>SOBREPESO</v>
      </c>
      <c r="CK45" s="212">
        <f t="shared" si="8"/>
        <v>44988</v>
      </c>
      <c r="CL45" s="21"/>
      <c r="CM45" s="214">
        <f t="shared" si="9"/>
        <v>0</v>
      </c>
      <c r="CN45" s="216">
        <f t="shared" si="10"/>
        <v>22</v>
      </c>
      <c r="CO45" s="216" t="e">
        <f>IF(PI45="","",IF(PI45&gt;0,HLOOKUP(PI45,$PJ$2:QQ45,NY45),""))</f>
        <v>#REF!</v>
      </c>
      <c r="CP45" s="21"/>
      <c r="CQ45" s="216" t="e">
        <f>IF(QR45="Menor","NO APLICA-MENOR 13 SEM",IF(AND(CC45="SI",CN45&gt;23),"NO APLICA- GEMELAR",IF(QR45="","",IF(QR45&gt;0,HLOOKUP(QR45,$QS$2:RU45,NY45),""))))</f>
        <v>#REF!</v>
      </c>
      <c r="CR45" s="21">
        <v>90</v>
      </c>
      <c r="CS45" s="21">
        <v>60</v>
      </c>
      <c r="CT45" s="217" t="str">
        <f>IF(R45="","",IF(AND(BS45&gt;1,BS45&lt;12,Tabla1[[#This Row],[T.A. SISTOLICA - ANTES DE SEMANA 12]]="",Tabla1[[#This Row],[T.A. DIASTOLICA - ANTES DE SEMANA 12]]=""),"REGISTRE DATO TA ANTES SEMANA 12",IF(AND(BS45&gt;11,BS45&lt;43,Tabla1[[#This Row],[T.A. SISTOLICA - ANTES DE SEMANA 12]]="",Tabla1[[#This Row],[T.A. DIASTOLICA - ANTES DE SEMANA 12]]=""),"NO APLICA REGISTRO TA-INGRESO TARDIO",IF(AND(OR(O45&gt;0,R45&gt;0),OR(CR45&gt;=140,CS45&gt;=90)),"DEFINIR ESTADIO HTA",IF(AND(OR(O45&gt;0,R45&gt;0),AND(CR45&gt;120,CR45&lt;=139)),"PRE HTA SEGUIMIENTO",IF(AND(OR(O45&gt;0,R45&gt;0),AND(CS45&gt;80,CS45&lt;=89)),"PRE HTA SEGUIMIENTO",IF(AND(OR(O45&gt;0,R45&gt;0),AND(CR45&gt;=80,CR45&lt;=120)),"APARENTEMENTE NORMAL",IF(AND(OR(O45&gt;0,R45&gt;0),AND(CS45&gt;=50,CS45&lt;=80)),"APARENTEMENTE NORMAL",IF(AND(OR(O45&gt;0,R45&gt;0),AND(CR45&gt;1,CR45&lt;=70),AND(CS45&gt;1,CS45&lt;=40)),"HIPOTENSIÓN","")))))))))</f>
        <v>APARENTEMENTE NORMAL</v>
      </c>
      <c r="CU45" s="21">
        <v>100</v>
      </c>
      <c r="CV45" s="21">
        <v>60</v>
      </c>
      <c r="CW45" s="217" t="str">
        <f ca="1">IF(R45="","",IF(AND(CN45&gt;19,CN45&lt;27,Tabla1[[#This Row],[T.A. SISTOLICA (Entre semana 20 y 26)]]="",Tabla1[[#This Row],[T.A. DIATOLICA (Entre semana 20 y 26)]]=""),"ACUDE A CONTROL SEM 20 A 26 REGISTRE TA AHORA",IF(AND(BS45&gt;1,BS45&lt;27,BU45&gt;19,Tabla1[[#This Row],[T.A. SISTOLICA (Entre semana 20 y 26)]]="",Tabla1[[#This Row],[T.A. DIATOLICA (Entre semana 20 y 26)]]=""),"COMPLETE REGISTRO TA CONTROL SEM 20 A26 ",IF(AND(BS45&gt;26,BS45&lt;43,Tabla1[[#This Row],[T.A. SISTOLICA (Entre semana 20 y 26)]]="",Tabla1[[#This Row],[T.A. DIATOLICA (Entre semana 20 y 26)]]=""),"NO APLICA REGISTRO TA-INGRESO TARDIO",IF(AND(OR(O45&gt;0,R45&gt;0),OR(CU45&gt;=140,CV45&gt;=90)),"ALTO RIESGO PREECLAMPSIA,DEFINIR ESTADIO HTA",IF(AND(OR(O45&gt;0,R45&gt;0),AND(CU45&gt;120,CU45&lt;=139)),"PRE HTA SEGUIMIENTO,RIESGO HIPERTENSION INDUCIDA POR EL EMBARAZO",IF(AND(OR(O45&gt;0,R45&gt;0),AND(CV45&gt;80,CV45&lt;=89)),"PRE HTA SEGUIMIENTO, RIESGO HIPERTENSION INDUCIDA POR EL EMBARAZO",IF(AND(OR(O45&lt;&gt;"",R45&lt;&gt;""),CS45&lt;&gt;"",CV45&lt;&gt;"",CS45&lt;=CV45),"VIGILAR CIFRAS PRESION ARTERIAL",IF(AND(OR(O45&gt;0,R45&gt;0),AND(CU45&gt;120,CU45&lt;=139)),"PRE HTA SEGUIMIENTO",IF(AND(OR(O45&gt;0,R45&gt;0),AND(CU45&gt;1,CU45&lt;=70),AND(CV45&gt;1,CV45&lt;=40)),"HIPOTENSIÓN",IF(AND(OR(O45&lt;&gt;"",R45&lt;&gt;""),CS45&lt;&gt;"",CV45&lt;&gt;"",CS45&gt;CV45),"APARENTEMENTE NORMAL",IF(AND(OR(O45&gt;0,R45&gt;0),AND(CU45&gt;=80,CU45&lt;=120)),"APARENTEMENTE NORMAL",IF(AND(OR(O45&gt;0,R45&gt;0),AND(CV45&gt;=50,CV45&lt;=80)),"APARENTEMENTE NORMAL","")))))))))))))</f>
        <v>VIGILAR CIFRAS PRESION ARTERIAL</v>
      </c>
      <c r="CX45" s="21"/>
      <c r="CY45" s="21"/>
      <c r="CZ45" s="216" t="str">
        <f t="shared" si="195"/>
        <v/>
      </c>
      <c r="DA45" s="21"/>
      <c r="DB45" s="21"/>
      <c r="DC45" s="217" t="str">
        <f t="shared" si="12"/>
        <v>REGISTRE DATO PRESIÓN ARTERIAL MENSUAL</v>
      </c>
      <c r="DD45" s="22">
        <v>44875</v>
      </c>
      <c r="DE45" s="22">
        <v>44875</v>
      </c>
      <c r="DF45" s="22">
        <v>44930</v>
      </c>
      <c r="DG45" s="22">
        <v>44960</v>
      </c>
      <c r="DH45" s="22">
        <v>44988</v>
      </c>
      <c r="DI45" s="22"/>
      <c r="DJ45" s="22"/>
      <c r="DK45" s="22"/>
      <c r="DL45" s="22"/>
      <c r="DM45" s="22"/>
      <c r="DN45" s="22"/>
      <c r="DO45" s="22"/>
      <c r="DP45" s="22"/>
      <c r="DQ45" s="22"/>
      <c r="DR45" s="28">
        <v>1</v>
      </c>
      <c r="DS45" s="22"/>
      <c r="DT45" s="22"/>
      <c r="DU45" s="216" t="str">
        <f t="shared" ca="1" si="196"/>
        <v>SALE SIN PLAN DE PARTO</v>
      </c>
      <c r="DV45" s="226" t="str">
        <f t="shared" si="197"/>
        <v>SALIO PROGRAMA</v>
      </c>
      <c r="DW45"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45" s="216" t="str">
        <f t="shared" ca="1" si="15"/>
        <v/>
      </c>
      <c r="DY45" s="212">
        <f>IF(R45="","",IF(R45&gt;0,MAX(Tabla1[[#This Row],[FECHA C2]:[FECHA C13]],Tabla1[[#This Row],[FECHA CONSULTA PRIMERA VEZ PROGRAMA CPN ]])))</f>
        <v>44988</v>
      </c>
      <c r="DZ45" s="216">
        <f t="shared" si="16"/>
        <v>22</v>
      </c>
      <c r="EA45" s="222">
        <f>IF(R45&gt;0,SUM(COUNTA(DF45:DQ45)+COUNTA(Tabla1[[#This Row],[FECHA CONSULTA PRIMERA VEZ PROGRAMA CPN ]])),"")</f>
        <v>4</v>
      </c>
      <c r="EB45" s="222" t="str">
        <f t="shared" si="17"/>
        <v>SI</v>
      </c>
      <c r="EC45" s="214">
        <f t="shared" si="18"/>
        <v>10</v>
      </c>
      <c r="ED45" s="227">
        <f t="shared" si="19"/>
        <v>0.4</v>
      </c>
      <c r="EE45" s="22">
        <v>44875</v>
      </c>
      <c r="EF45" s="22">
        <v>44875</v>
      </c>
      <c r="EG45" s="22">
        <v>44875</v>
      </c>
      <c r="EH45" s="22"/>
      <c r="EI45" s="22">
        <v>44875</v>
      </c>
      <c r="EJ45" s="22"/>
      <c r="EK45" s="22"/>
      <c r="EL45" s="21"/>
      <c r="EM45" s="21">
        <v>13.5</v>
      </c>
      <c r="EN45" s="22">
        <v>44883</v>
      </c>
      <c r="EO45" s="222">
        <f t="shared" si="20"/>
        <v>7.4285714285714288</v>
      </c>
      <c r="EP45" s="214" t="str">
        <f t="shared" si="21"/>
        <v>NORMAL- SUMINISTRAR SULFATO FERROSO</v>
      </c>
      <c r="EQ45" s="216" t="str">
        <f t="shared" si="22"/>
        <v>I TRIM</v>
      </c>
      <c r="ER45" s="24"/>
      <c r="ES45" s="22"/>
      <c r="ET45" s="29" t="str">
        <f t="shared" ca="1" si="198"/>
        <v>SALE SIN TAMIZAJE HEMOGLOBINA SEM 28</v>
      </c>
      <c r="EU45" s="25" t="str">
        <f t="shared" si="24"/>
        <v/>
      </c>
      <c r="EV45" s="24" t="s">
        <v>866</v>
      </c>
      <c r="EW45" s="24">
        <v>44883</v>
      </c>
      <c r="EX45" s="22"/>
      <c r="EY45" s="29">
        <f t="shared" si="199"/>
        <v>7.4285714285714288</v>
      </c>
      <c r="EZ45" s="25" t="str">
        <f t="shared" ca="1" si="200"/>
        <v/>
      </c>
      <c r="FA45" s="21">
        <v>77</v>
      </c>
      <c r="FB45" s="22">
        <v>44883</v>
      </c>
      <c r="FC45" s="29">
        <f t="shared" si="27"/>
        <v>7.4285714285714288</v>
      </c>
      <c r="FD45" s="29"/>
      <c r="FE45" s="29"/>
      <c r="FF45" s="29"/>
      <c r="FG45" s="21" t="str">
        <f t="shared" ca="1" si="28"/>
        <v/>
      </c>
      <c r="FH45" s="31"/>
      <c r="FI45" s="29" t="str">
        <f t="shared" si="29"/>
        <v>TOMAR EXAMEN</v>
      </c>
      <c r="FJ45" s="22" t="s">
        <v>867</v>
      </c>
      <c r="FK45" s="22">
        <v>44883</v>
      </c>
      <c r="FL45" s="29">
        <f t="shared" ca="1" si="30"/>
        <v>7.4285714285714288</v>
      </c>
      <c r="FM45" s="22"/>
      <c r="FN45" s="32"/>
      <c r="FO45" s="29" t="str">
        <f t="shared" ca="1" si="201"/>
        <v>PIERDE TOMA DE TAMIZAJE</v>
      </c>
      <c r="FP45" s="22"/>
      <c r="FQ45" s="32"/>
      <c r="FR45" s="29" t="str">
        <f t="shared" ca="1" si="202"/>
        <v>PIERDE TOMA DE TAMIZAJE</v>
      </c>
      <c r="FS45" s="22"/>
      <c r="FT45" s="32"/>
      <c r="FU45" s="29" t="str">
        <f>IF(AND(FJ45="",FM45="",FP45="",FS45=""),"",IF(OR(OR(Tabla1[[#This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45" s="28"/>
      <c r="FW45" s="22"/>
      <c r="FX45" s="29" t="str">
        <f t="shared" si="33"/>
        <v>TOMAR EXAMEN</v>
      </c>
      <c r="FY45" s="22">
        <v>44883</v>
      </c>
      <c r="FZ45" s="22">
        <v>44883</v>
      </c>
      <c r="GA45" s="29">
        <f t="shared" ca="1" si="203"/>
        <v>7.4285714285714288</v>
      </c>
      <c r="GB45" s="22"/>
      <c r="GC45" s="22"/>
      <c r="GD45" s="29" t="str">
        <f t="shared" ca="1" si="204"/>
        <v>PIERDE TOMA DE TAMIZAJE</v>
      </c>
      <c r="GE45" s="22"/>
      <c r="GF45" s="22"/>
      <c r="GG45" s="29" t="str">
        <f t="shared" ca="1" si="205"/>
        <v>PIERDE TOMA DE TAMIZAJE</v>
      </c>
      <c r="GH45" s="22"/>
      <c r="GI45" s="29"/>
      <c r="GJ45" s="22"/>
      <c r="GK45" s="22"/>
      <c r="GL45" s="22" t="s">
        <v>879</v>
      </c>
      <c r="GM45" s="22"/>
      <c r="GN45" s="28" t="s">
        <v>869</v>
      </c>
      <c r="GO45" s="22">
        <v>44883</v>
      </c>
      <c r="GP45" s="29">
        <f t="shared" si="37"/>
        <v>7.4285714285714288</v>
      </c>
      <c r="GQ45" s="28" t="s">
        <v>869</v>
      </c>
      <c r="GR45" s="28" t="s">
        <v>846</v>
      </c>
      <c r="GS45" s="22" t="str">
        <f t="shared" si="206"/>
        <v>CONTROL Igm</v>
      </c>
      <c r="GT45" s="22">
        <v>44883</v>
      </c>
      <c r="GU45" s="29">
        <f t="shared" si="39"/>
        <v>7.4285714285714288</v>
      </c>
      <c r="GV45" s="21" t="str">
        <f t="shared" si="40"/>
        <v>I TRIM</v>
      </c>
      <c r="GW45" s="28" t="s">
        <v>846</v>
      </c>
      <c r="GX45" s="30"/>
      <c r="GY45" s="21" t="s">
        <v>906</v>
      </c>
      <c r="GZ45" s="21"/>
      <c r="HA45" s="21"/>
      <c r="HB45" s="21"/>
      <c r="HC45" s="21"/>
      <c r="HD45" s="21"/>
      <c r="HE45" s="21"/>
      <c r="HF45" s="22"/>
      <c r="HG45" s="22" t="str">
        <f>IF(OR(O45&gt;0,R45&gt;0),CONCATENATE(IF(Tabla1[[#This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45" s="22" t="e">
        <f t="shared" si="41"/>
        <v>#REF!</v>
      </c>
      <c r="HI45" s="22" t="e">
        <f t="shared" ca="1" si="42"/>
        <v>#REF!</v>
      </c>
      <c r="HJ45" s="21" t="str">
        <f t="shared" ca="1" si="43"/>
        <v>***************************************</v>
      </c>
      <c r="HK45" s="21" t="str">
        <f t="shared" si="44"/>
        <v>SIN ANTECEDENTES DE RIESGO</v>
      </c>
      <c r="HL45" s="24" t="str">
        <f t="shared" si="45"/>
        <v>REGISTRE DATO PRESIÓN ARTERIAL MENSUAL</v>
      </c>
      <c r="HM45" s="21" t="str">
        <f t="shared" ca="1" si="46"/>
        <v/>
      </c>
      <c r="HN45" s="30" t="str">
        <f t="shared" si="207"/>
        <v>SALIO PROGRAMA</v>
      </c>
      <c r="HO45" s="21"/>
      <c r="HP45" s="21"/>
      <c r="HQ45" s="21">
        <v>44875</v>
      </c>
      <c r="HR45" s="21" t="str">
        <f>IF(R45="","",IF(Tabla1[[#This Row],[ALARMA FACTORES DE RIESGO COMPLICACIONES HIPERTENSIVAS3]]="SIN ANTECEDENTES DE RIESGO","No Aplica para suministro de ASA",IF(AND(Tabla1[[#This Row],[FECHA INICIO DE SUMINISTRO DE ASA]]&gt;0,RV45&lt;12),"Inicia ASA ANTES de Sem 12",IF(AND(RV45&gt;11,RV45&lt;17,OR(HK45="RIESGO ALTO DE COMPLICACIONES HIPERTENSIVAS VER MANEJO GUIA SUMINISTRO ASA Y CALCIO",HK45="RIESGO MODERADO (2 O MAS CRITERIOS) VER MANEJO GUIA SUMINISTRO ASA Y CALCIO")),"Inicio oportuno de ASA",IF(AND(RV45&gt;12,OR(HK45="RIESGO ALTO DE COMPLICACIONES HIPERTENSIVAS VER MANEJO GUIA SUMINISTRO ASA Y CALCIO",HK45="RIESGO MODERADO (2 O MAS CRITERIOS) VER MANEJO GUIA SUMINISTRO ASA Y CALCIO")),"Inicio no oportuno mayor a 16 semanas",IF(AND(BU45&lt;12,OR(HK45="RIESGO ALTO DE COMPLICACIONES HIPERTENSIVAS VER MANEJO GUIA SUMINISTRO ASA Y CALCIO",HK45="RIESGO MODERADO (2 O MAS CRITERIOS) VER MANEJO GUIA SUMINISTRO ASA Y CALCIO")),"Pendiente Inicio de ASA a la semana 12",IF(AND(BU45&gt;11,BU45&lt;17,OR(HK45="RIESGO ALTO DE COMPLICACIONES HIPERTENSIVAS VER MANEJO GUIA SUMINISTRO ASA Y CALCIO",HK45="RIESGO MODERADO (2 O MAS CRITERIOS) VER MANEJO GUIA SUMINISTRO ASA Y CALCIO")),"Iniciar de inmediato ASA",IF(AND(BU45&gt;16,OR(HK45="RIESGO ALTO DE COMPLICACIONES HIPERTENSIVAS VER MANEJO GUIA SUMINISTRO ASA Y CALCIO",HK45="RIESGO MODERADO (2 O MAS CRITERIOS) VER MANEJO GUIA SUMINISTRO ASA Y CALCIO")),"Pierde Oportunidad, Inicio tardío de ASA","XXXXX"))))))))</f>
        <v>No Aplica para suministro de ASA</v>
      </c>
      <c r="HS45" s="22">
        <v>44875</v>
      </c>
      <c r="HT45" s="22" t="s">
        <v>870</v>
      </c>
      <c r="HU45" s="22">
        <v>44875</v>
      </c>
      <c r="HV45" s="22" t="s">
        <v>870</v>
      </c>
      <c r="HW45" s="22">
        <v>44875</v>
      </c>
      <c r="HX45" s="22" t="s">
        <v>870</v>
      </c>
      <c r="HY45" s="22">
        <v>44875</v>
      </c>
      <c r="HZ45" s="28">
        <f t="shared" si="48"/>
        <v>6.2857142857142856</v>
      </c>
      <c r="IA45" s="26" t="s">
        <v>864</v>
      </c>
      <c r="IB45" s="26"/>
      <c r="IC45" s="111"/>
      <c r="ID45" s="22"/>
      <c r="IE45" s="22" t="str">
        <f t="shared" ca="1" si="49"/>
        <v>SALE SIN VACUNA</v>
      </c>
      <c r="IF45" s="22"/>
      <c r="IG45" s="22">
        <f t="shared" si="50"/>
        <v>45111</v>
      </c>
      <c r="IH45" s="29">
        <f t="shared" ca="1" si="51"/>
        <v>-121</v>
      </c>
      <c r="II45" s="22" t="str">
        <f t="shared" ca="1" si="52"/>
        <v>POSIBLEMENTE NACIO</v>
      </c>
      <c r="IJ45" s="22"/>
      <c r="IK45" s="21" t="s">
        <v>898</v>
      </c>
      <c r="IL45" s="21"/>
      <c r="IM45" s="34"/>
      <c r="IN45" s="349">
        <v>45093</v>
      </c>
      <c r="IO45" s="21" t="s">
        <v>1186</v>
      </c>
      <c r="IP45" s="29">
        <f t="shared" si="208"/>
        <v>37.428571428571431</v>
      </c>
      <c r="IQ45" s="110" t="s">
        <v>1654</v>
      </c>
      <c r="IR45" s="21" t="s">
        <v>1651</v>
      </c>
      <c r="IS45" s="21" t="s">
        <v>1646</v>
      </c>
      <c r="IT45" s="21" t="s">
        <v>1642</v>
      </c>
      <c r="IU45" s="21"/>
      <c r="IV45" s="21"/>
      <c r="IW45" s="21"/>
      <c r="IX45" s="21"/>
      <c r="IY45" s="21"/>
      <c r="IZ45" s="21"/>
      <c r="JA45" s="21"/>
      <c r="JB45" s="30">
        <v>1</v>
      </c>
      <c r="JC45" s="21" t="s">
        <v>1643</v>
      </c>
      <c r="JD45" s="36">
        <v>2910</v>
      </c>
      <c r="JE45" s="21" t="str">
        <f t="shared" si="209"/>
        <v>PESO ADECUADO EDAD GESTACIONAL</v>
      </c>
      <c r="JF45" s="30"/>
      <c r="JG45" s="21"/>
      <c r="JH45" s="21"/>
      <c r="JI45" s="21" t="s">
        <v>854</v>
      </c>
      <c r="JJ45" s="30" t="s">
        <v>866</v>
      </c>
      <c r="JK45" s="22"/>
      <c r="JL45" s="22"/>
      <c r="JM45" s="21"/>
      <c r="JN45" s="36"/>
      <c r="JO45" s="21" t="str">
        <f t="shared" si="210"/>
        <v/>
      </c>
      <c r="JP45" s="22"/>
      <c r="JQ45" s="21"/>
      <c r="JR45" s="21"/>
      <c r="JS45" s="21"/>
      <c r="JT45" s="30"/>
      <c r="JU45" s="22"/>
      <c r="JV45" s="22"/>
      <c r="JW45" s="33"/>
      <c r="JX45" s="28" t="str">
        <f t="shared" si="211"/>
        <v>INASISTENTE</v>
      </c>
      <c r="JY45" s="33"/>
      <c r="JZ45" s="28" t="str">
        <f t="shared" si="212"/>
        <v>INASISTENTE</v>
      </c>
      <c r="KA45" s="21"/>
      <c r="KB45" s="21"/>
      <c r="KC45" s="21"/>
      <c r="KD45" s="37"/>
      <c r="KE45" s="28"/>
      <c r="KF45" s="28"/>
      <c r="KG45" s="28"/>
      <c r="KH45" s="39"/>
      <c r="KI45" s="39"/>
      <c r="KJ45" s="66"/>
      <c r="KK45" s="39"/>
      <c r="KL45" s="39"/>
      <c r="KM45" s="66"/>
      <c r="KN45" s="39"/>
      <c r="KO45" s="39"/>
      <c r="KP45" s="39"/>
      <c r="KQ45" s="39"/>
      <c r="KR45" s="39"/>
      <c r="KS45" s="39"/>
      <c r="KT45" s="39"/>
      <c r="KU45" s="38"/>
      <c r="KV45" s="38"/>
      <c r="KW45" s="38"/>
      <c r="KX45" s="38"/>
      <c r="KY45" s="38"/>
      <c r="KZ45" s="38"/>
      <c r="LA45" s="38"/>
      <c r="LB45" s="38"/>
      <c r="LC45" s="38"/>
      <c r="LD45" s="38"/>
      <c r="LE45" s="38"/>
      <c r="LF45" s="38"/>
      <c r="LG45" s="38"/>
      <c r="LH45" s="38"/>
      <c r="LI45" s="38"/>
      <c r="LJ45" s="38"/>
      <c r="LK45" s="38"/>
      <c r="LL45" s="38"/>
      <c r="LM45" s="38"/>
      <c r="LN45" s="38"/>
      <c r="LO45" s="38"/>
      <c r="LP45" s="38"/>
      <c r="LQ45" s="38"/>
      <c r="LR45" s="38"/>
      <c r="LS45" s="38"/>
      <c r="LT45" s="38"/>
      <c r="LU45" s="38"/>
      <c r="LV45" s="38"/>
      <c r="LW45" s="38"/>
      <c r="LX45" s="38"/>
      <c r="LY45" s="38"/>
      <c r="LZ45" s="38"/>
      <c r="MA45" s="38"/>
      <c r="MB45" s="38"/>
      <c r="MC45" s="38"/>
      <c r="MD45" s="38"/>
      <c r="ME45" s="38"/>
      <c r="MF45" s="38"/>
      <c r="MG45" s="38"/>
      <c r="MH45" s="43">
        <f t="shared" si="213"/>
        <v>0</v>
      </c>
      <c r="MI45" s="43" t="str">
        <f t="shared" si="214"/>
        <v/>
      </c>
      <c r="MJ45" s="43" t="str">
        <f t="shared" si="215"/>
        <v/>
      </c>
      <c r="MK45" s="43">
        <f t="shared" si="216"/>
        <v>0</v>
      </c>
      <c r="ML4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45" s="43">
        <f t="shared" si="217"/>
        <v>6.2857142857142856</v>
      </c>
      <c r="MN45" s="43">
        <f t="shared" si="218"/>
        <v>11</v>
      </c>
      <c r="MO45" s="43">
        <f t="shared" si="219"/>
        <v>2022</v>
      </c>
      <c r="MP45" s="43" t="str">
        <f t="shared" si="220"/>
        <v>IV TRIMESTRE AÑO</v>
      </c>
      <c r="MQ45" s="43">
        <f t="shared" si="221"/>
        <v>28.550700832238281</v>
      </c>
      <c r="MR45" s="43">
        <f t="shared" si="222"/>
        <v>0</v>
      </c>
      <c r="MS45" s="43" t="str">
        <f t="shared" si="223"/>
        <v xml:space="preserve"> DE 25 A 29 AÑOS</v>
      </c>
      <c r="MT45" s="43">
        <f t="shared" si="224"/>
        <v>0</v>
      </c>
      <c r="MU45" s="43">
        <f t="shared" si="225"/>
        <v>0</v>
      </c>
      <c r="MV45" s="43">
        <f t="shared" si="226"/>
        <v>0</v>
      </c>
      <c r="MW45" s="43">
        <f t="shared" si="227"/>
        <v>0</v>
      </c>
      <c r="MX45" s="43" t="str">
        <f t="shared" si="228"/>
        <v/>
      </c>
      <c r="MY45" s="43" t="str">
        <f t="shared" ca="1" si="229"/>
        <v/>
      </c>
      <c r="MZ45" s="43" t="str">
        <f t="shared" si="230"/>
        <v/>
      </c>
      <c r="NA45" s="43">
        <f t="shared" si="231"/>
        <v>0</v>
      </c>
      <c r="NB45" s="43" t="str">
        <f t="shared" si="232"/>
        <v/>
      </c>
      <c r="NC45" s="43" t="str">
        <f t="shared" si="233"/>
        <v/>
      </c>
      <c r="ND45" s="43">
        <f t="shared" ca="1" si="234"/>
        <v>0</v>
      </c>
      <c r="NE45" s="43">
        <f>IF(OR(O45&gt;0,R45&gt;0),SUM(COUNTIF(Tabla1[[#This Row],[AÑOS AL INICIO5 CPN]],"&gt;=40"),COUNTIF(AS45,"0"),COUNTIF(AR45,"SI"),COUNTIF(CC45,"SI"),COUNTIF(BQ45,"&gt;119"),COUNTIF(CI45,"&gt;=35")),"")</f>
        <v>0</v>
      </c>
      <c r="NF45" s="43" t="str">
        <f t="shared" si="235"/>
        <v/>
      </c>
      <c r="NG45" s="43">
        <f t="shared" si="236"/>
        <v>0</v>
      </c>
      <c r="NH45" s="43">
        <f t="shared" si="237"/>
        <v>66.5</v>
      </c>
      <c r="NI45"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CPN",P45="NO"),"Z",IF(AND(Tabla1[[#This Row],[CITA PROXIMO CONTROL]]="CITA MANUAL",Tabla1[[#This Row],[GESTANTES ACTUALES]]="ACTIVA INGRESO A CPN"),"W",IF(AND(Tabla1[[#This Row],[GESTANTES ACTUALES]]="SALIO PROGRAMA",IN45=""),"S",IF(AND(Tabla1[[#This Row],[CITA PROXIMO CONTROL]]&gt;0,IN45=""),(Tabla1[[#This Row],[CITA PROXIMO CONTROL]]-TODAY()),"SD"))))))))</f>
        <v>SD</v>
      </c>
      <c r="NJ45" s="43">
        <f>MONTH(Tabla1[[#This Row],[FECHA DE SALIDA  DEL PROGRAMA]])</f>
        <v>6</v>
      </c>
      <c r="NK45" s="43">
        <f>YEAR(Tabla1[[#This Row],[FECHA DE SALIDA  DEL PROGRAMA]])</f>
        <v>2023</v>
      </c>
      <c r="NL45" s="43" t="str">
        <f t="shared" si="238"/>
        <v>X</v>
      </c>
      <c r="NM45" s="43" t="str">
        <f t="shared" si="239"/>
        <v>NO</v>
      </c>
      <c r="NN45" s="43" t="str">
        <f ca="1">IF(AND(O45&gt;0,R45=""),"NO CPN",IF(AND(O45="",R45=""),"",IF(AND(R45&gt;0,Tabla1[[#This Row],[SEMANAS DE GESTACION ACTUALIZADAS]]&lt;=12),"NO APLICA",IF(AND(FH45&lt;&gt;"",FN45&lt;&gt;""),"SI","NO"))))</f>
        <v>NO</v>
      </c>
      <c r="NO45" s="43" t="str">
        <f ca="1">IF(AND(O45&gt;0,R45=""),"NO CPN",IF(AND(O45="",R45=""),"",IF(AND(R45&gt;0,Tabla1[[#This Row],[SEMANAS DE GESTACION ACTUALIZADAS]]&lt;=27),"NO APLICA",IF(AND(ES45&lt;&gt;"",FQ45&lt;&gt;"",GF45&lt;&gt;""),"SI","NO"))))</f>
        <v>NO</v>
      </c>
      <c r="NP45" s="204" t="str">
        <f t="shared" si="240"/>
        <v>I TRIM</v>
      </c>
      <c r="NQ45" s="21" t="str">
        <f t="shared" si="241"/>
        <v/>
      </c>
      <c r="NR45" s="21">
        <f t="shared" si="242"/>
        <v>3</v>
      </c>
      <c r="NS45" s="205">
        <f t="shared" ca="1" si="243"/>
        <v>1</v>
      </c>
      <c r="NT45" s="21">
        <f t="shared" ca="1" si="244"/>
        <v>1</v>
      </c>
      <c r="NU45" s="21" t="str">
        <f t="shared" ca="1" si="245"/>
        <v>INCOMPLETO</v>
      </c>
      <c r="NV45" s="21" t="str">
        <f t="shared" ca="1" si="246"/>
        <v>INCOMPLETO</v>
      </c>
      <c r="NW45" s="206" t="str">
        <f>IF(AND(O45="",R45=""),"",IF(OR(AND(Tabla1[[#This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45" s="207" t="str">
        <f t="shared" ca="1" si="247"/>
        <v>SIN VACUNAR</v>
      </c>
      <c r="NY45" s="43">
        <f>ROW(Tabla1[[#This Row],['# DE TAMIZAJES SIFILIS TOMADOS ]])</f>
        <v>45</v>
      </c>
      <c r="NZ45" s="43" t="str">
        <f t="shared" si="93"/>
        <v>Menor</v>
      </c>
      <c r="OA45" s="43" t="str">
        <f t="shared" si="94"/>
        <v>SOBREPESO</v>
      </c>
      <c r="OB45" s="43" t="str">
        <f t="shared" si="95"/>
        <v/>
      </c>
      <c r="OC45" s="43" t="str">
        <f t="shared" si="96"/>
        <v/>
      </c>
      <c r="OD45" s="43" t="str">
        <f t="shared" si="97"/>
        <v/>
      </c>
      <c r="OE45" s="43" t="str">
        <f t="shared" si="98"/>
        <v/>
      </c>
      <c r="OF45" s="43" t="str">
        <f t="shared" si="99"/>
        <v/>
      </c>
      <c r="OG45" s="43" t="str">
        <f t="shared" si="100"/>
        <v/>
      </c>
      <c r="OH45" s="43" t="str">
        <f t="shared" si="101"/>
        <v/>
      </c>
      <c r="OI45" s="43" t="str">
        <f t="shared" si="102"/>
        <v/>
      </c>
      <c r="OJ45" s="43" t="str">
        <f t="shared" si="103"/>
        <v/>
      </c>
      <c r="OK45" s="43" t="str">
        <f t="shared" si="104"/>
        <v/>
      </c>
      <c r="OL45" s="43" t="str">
        <f t="shared" si="105"/>
        <v/>
      </c>
      <c r="OM45" s="43" t="str">
        <f t="shared" si="106"/>
        <v/>
      </c>
      <c r="ON45" s="43" t="str">
        <f t="shared" si="107"/>
        <v/>
      </c>
      <c r="OO45" s="43" t="str">
        <f t="shared" si="108"/>
        <v/>
      </c>
      <c r="OP45" s="43" t="str">
        <f t="shared" si="109"/>
        <v/>
      </c>
      <c r="OQ45" s="43" t="str">
        <f t="shared" si="110"/>
        <v/>
      </c>
      <c r="OR45" s="43" t="str">
        <f t="shared" si="111"/>
        <v/>
      </c>
      <c r="OS45" s="43" t="str">
        <f t="shared" si="112"/>
        <v/>
      </c>
      <c r="OT45" s="43" t="str">
        <f t="shared" si="113"/>
        <v/>
      </c>
      <c r="OU45" s="43" t="str">
        <f t="shared" si="114"/>
        <v/>
      </c>
      <c r="OV45" s="110" t="str">
        <f t="shared" si="115"/>
        <v/>
      </c>
      <c r="OW45" s="43" t="str">
        <f t="shared" si="116"/>
        <v/>
      </c>
      <c r="OX45" s="43" t="str">
        <f t="shared" si="117"/>
        <v/>
      </c>
      <c r="OY45" s="43" t="str">
        <f t="shared" si="118"/>
        <v/>
      </c>
      <c r="OZ45" s="43" t="str">
        <f t="shared" si="119"/>
        <v/>
      </c>
      <c r="PA45" s="43" t="str">
        <f t="shared" si="120"/>
        <v/>
      </c>
      <c r="PB45" s="43" t="str">
        <f t="shared" si="121"/>
        <v/>
      </c>
      <c r="PC45" s="43" t="str">
        <f t="shared" si="122"/>
        <v/>
      </c>
      <c r="PD45" s="43" t="str">
        <f t="shared" si="123"/>
        <v/>
      </c>
      <c r="PE45" s="43" t="str">
        <f t="shared" si="124"/>
        <v/>
      </c>
      <c r="PF45" s="43" t="str">
        <f t="shared" si="125"/>
        <v/>
      </c>
      <c r="PG45" s="43" t="str">
        <f t="shared" si="126"/>
        <v/>
      </c>
      <c r="PH45" s="43" t="str">
        <f t="shared" si="127"/>
        <v/>
      </c>
      <c r="PI45" s="43">
        <f t="shared" si="128"/>
        <v>22</v>
      </c>
      <c r="PJ45" s="43" t="str">
        <f t="shared" si="129"/>
        <v/>
      </c>
      <c r="PK45" s="43" t="str">
        <f t="shared" si="130"/>
        <v/>
      </c>
      <c r="PL45" s="43" t="str">
        <f t="shared" si="131"/>
        <v/>
      </c>
      <c r="PM45" s="43" t="str">
        <f t="shared" si="132"/>
        <v/>
      </c>
      <c r="PN45" s="43" t="str">
        <f t="shared" si="133"/>
        <v/>
      </c>
      <c r="PO45" s="43" t="str">
        <f t="shared" si="134"/>
        <v/>
      </c>
      <c r="PP45" s="43" t="str">
        <f t="shared" si="135"/>
        <v/>
      </c>
      <c r="PQ45" s="43" t="str">
        <f t="shared" si="136"/>
        <v/>
      </c>
      <c r="PR45" s="43" t="str">
        <f t="shared" si="137"/>
        <v/>
      </c>
      <c r="PS45" s="43" t="str">
        <f t="shared" si="138"/>
        <v/>
      </c>
      <c r="PT45" s="43" t="str">
        <f t="shared" si="139"/>
        <v/>
      </c>
      <c r="PU45" s="43" t="str">
        <f t="shared" si="140"/>
        <v/>
      </c>
      <c r="PV45" s="43" t="str">
        <f t="shared" si="141"/>
        <v/>
      </c>
      <c r="PW45" s="43" t="str">
        <f t="shared" si="142"/>
        <v/>
      </c>
      <c r="PX45" s="43" t="str">
        <f t="shared" si="143"/>
        <v/>
      </c>
      <c r="PY45" s="43" t="str">
        <f t="shared" si="144"/>
        <v/>
      </c>
      <c r="PZ45" s="43" t="str">
        <f t="shared" si="145"/>
        <v/>
      </c>
      <c r="QA45" s="43" t="str">
        <f t="shared" si="146"/>
        <v/>
      </c>
      <c r="QB45" s="43" t="str">
        <f t="shared" si="147"/>
        <v/>
      </c>
      <c r="QC45" s="43" t="str">
        <f t="shared" si="148"/>
        <v/>
      </c>
      <c r="QD45" s="43" t="str">
        <f t="shared" si="149"/>
        <v/>
      </c>
      <c r="QE45" s="43" t="str">
        <f t="shared" si="150"/>
        <v/>
      </c>
      <c r="QF45" s="43" t="str">
        <f t="shared" si="151"/>
        <v/>
      </c>
      <c r="QG45" s="43" t="str">
        <f t="shared" si="152"/>
        <v/>
      </c>
      <c r="QH45" s="43" t="str">
        <f t="shared" si="153"/>
        <v/>
      </c>
      <c r="QI45" s="43" t="str">
        <f t="shared" si="154"/>
        <v/>
      </c>
      <c r="QJ45" s="43" t="str">
        <f t="shared" si="155"/>
        <v/>
      </c>
      <c r="QK45" s="43" t="str">
        <f t="shared" si="156"/>
        <v/>
      </c>
      <c r="QL45" s="43" t="str">
        <f t="shared" si="157"/>
        <v/>
      </c>
      <c r="QM45" s="43" t="str">
        <f t="shared" si="158"/>
        <v/>
      </c>
      <c r="QN45" s="43" t="str">
        <f t="shared" si="159"/>
        <v/>
      </c>
      <c r="QO45" s="43" t="str">
        <f t="shared" si="160"/>
        <v/>
      </c>
      <c r="QP45" s="43" t="str">
        <f t="shared" si="161"/>
        <v/>
      </c>
      <c r="QQ45" s="43" t="str">
        <f t="shared" si="162"/>
        <v/>
      </c>
      <c r="QR45" s="43">
        <f t="shared" si="192"/>
        <v>22</v>
      </c>
      <c r="QS45" s="43"/>
      <c r="QT45" s="21" t="str">
        <f t="shared" si="163"/>
        <v/>
      </c>
      <c r="QU45" s="21" t="str">
        <f t="shared" si="164"/>
        <v/>
      </c>
      <c r="QV45" s="21" t="str">
        <f t="shared" si="165"/>
        <v/>
      </c>
      <c r="QW45" s="21" t="str">
        <f t="shared" si="166"/>
        <v/>
      </c>
      <c r="QX45" s="21" t="str">
        <f t="shared" si="167"/>
        <v/>
      </c>
      <c r="QY45" s="21" t="str">
        <f t="shared" si="168"/>
        <v/>
      </c>
      <c r="QZ45" s="21" t="str">
        <f t="shared" si="169"/>
        <v/>
      </c>
      <c r="RA45" s="21" t="str">
        <f t="shared" si="170"/>
        <v/>
      </c>
      <c r="RB45" s="21" t="str">
        <f t="shared" si="171"/>
        <v/>
      </c>
      <c r="RC45" s="21" t="str">
        <f t="shared" si="172"/>
        <v/>
      </c>
      <c r="RD45" s="21" t="str">
        <f t="shared" si="173"/>
        <v/>
      </c>
      <c r="RE45" s="21" t="str">
        <f t="shared" si="174"/>
        <v/>
      </c>
      <c r="RF45" s="21" t="str">
        <f t="shared" si="175"/>
        <v/>
      </c>
      <c r="RG45" s="21" t="str">
        <f t="shared" si="176"/>
        <v/>
      </c>
      <c r="RH45" s="21" t="str">
        <f t="shared" si="177"/>
        <v/>
      </c>
      <c r="RI45" s="21" t="str">
        <f t="shared" si="178"/>
        <v/>
      </c>
      <c r="RJ45" s="21" t="str">
        <f t="shared" si="179"/>
        <v/>
      </c>
      <c r="RK45" s="21" t="str">
        <f t="shared" si="180"/>
        <v/>
      </c>
      <c r="RL45" s="21" t="str">
        <f t="shared" si="181"/>
        <v/>
      </c>
      <c r="RM45" s="21" t="str">
        <f t="shared" si="182"/>
        <v/>
      </c>
      <c r="RN45" s="21" t="str">
        <f t="shared" si="183"/>
        <v/>
      </c>
      <c r="RO45" s="21" t="str">
        <f t="shared" si="184"/>
        <v/>
      </c>
      <c r="RP45" s="21" t="str">
        <f t="shared" si="185"/>
        <v/>
      </c>
      <c r="RQ45" s="21" t="str">
        <f t="shared" si="186"/>
        <v/>
      </c>
      <c r="RR45" s="21" t="str">
        <f t="shared" si="187"/>
        <v/>
      </c>
      <c r="RS45" s="21" t="str">
        <f t="shared" si="188"/>
        <v/>
      </c>
      <c r="RT45" s="21" t="str">
        <f t="shared" si="189"/>
        <v/>
      </c>
      <c r="RU45" s="21" t="str">
        <f t="shared" si="190"/>
        <v/>
      </c>
      <c r="RV45" s="21">
        <f t="shared" si="191"/>
        <v>6.2857142857142856</v>
      </c>
      <c r="RW45" s="284">
        <f>IF(OR(Tabla1[[#This Row],[FUM FORMULA CONFIABLE]]="",Tabla1[[#This Row],[FUM FORMULA CONFIABLE]]="SD"),"",IF(Tabla1[[#This Row],[FUM FORMULA CONFIABLE]]="CORREGIDA",Tabla1[[#This Row],[FUM X ECO 1]],Tabla1[[#This Row],[FUM x AMENORREA]]))</f>
        <v>44831</v>
      </c>
      <c r="RX45" s="21">
        <f>IF(AND(Tabla1[[#This Row],[FUM X ECO 1]]="",Tabla1[[#This Row],[FUM x AMENORREA]]=""),"",IF(AND(Tabla1[[#This Row],[FUM X ECO 1]]="",Tabla1[[#This Row],[FUM x AMENORREA]]&lt;&gt;""),"X",SUM(Tabla1[[#This Row],[FUM X ECO 1]]-Tabla1[[#This Row],[FUM x AMENORREA]])))</f>
        <v>0.5</v>
      </c>
      <c r="RY45" s="21">
        <f t="shared" si="193"/>
        <v>0</v>
      </c>
    </row>
    <row r="46" spans="1:493" ht="45" customHeight="1" x14ac:dyDescent="0.25">
      <c r="A46" s="109" t="s">
        <v>1108</v>
      </c>
      <c r="B46" s="43"/>
      <c r="C46" s="43" t="s">
        <v>845</v>
      </c>
      <c r="D46" s="124" t="s">
        <v>846</v>
      </c>
      <c r="E46" s="43" t="s">
        <v>1109</v>
      </c>
      <c r="F46" s="43" t="s">
        <v>1110</v>
      </c>
      <c r="G46" s="43" t="s">
        <v>1111</v>
      </c>
      <c r="H46" s="43" t="s">
        <v>1112</v>
      </c>
      <c r="I46" s="109" t="s">
        <v>851</v>
      </c>
      <c r="J46" s="110">
        <v>1002847924</v>
      </c>
      <c r="K46" s="43" t="s">
        <v>852</v>
      </c>
      <c r="L46" s="175" t="s">
        <v>853</v>
      </c>
      <c r="M46" s="22">
        <v>37609</v>
      </c>
      <c r="N46" s="213">
        <f t="shared" ca="1" si="0"/>
        <v>20.884931506849316</v>
      </c>
      <c r="O46" s="22">
        <v>44876</v>
      </c>
      <c r="P46" s="214" t="str">
        <f t="shared" si="194"/>
        <v>SI</v>
      </c>
      <c r="Q46" s="26" t="s">
        <v>855</v>
      </c>
      <c r="R46" s="22">
        <v>44876</v>
      </c>
      <c r="S46" s="21" t="s">
        <v>856</v>
      </c>
      <c r="T46" s="24" t="s">
        <v>690</v>
      </c>
      <c r="U46" s="21" t="s">
        <v>857</v>
      </c>
      <c r="V46" s="21" t="s">
        <v>858</v>
      </c>
      <c r="W46" s="21" t="s">
        <v>964</v>
      </c>
      <c r="X46" s="21" t="s">
        <v>964</v>
      </c>
      <c r="Y46" s="21" t="s">
        <v>859</v>
      </c>
      <c r="Z46" s="21">
        <v>3136157325</v>
      </c>
      <c r="AA46" s="21" t="s">
        <v>860</v>
      </c>
      <c r="AB46" s="27" t="s">
        <v>861</v>
      </c>
      <c r="AC46" s="26" t="s">
        <v>862</v>
      </c>
      <c r="AD46" s="38" t="s">
        <v>846</v>
      </c>
      <c r="AE46" s="26" t="s">
        <v>854</v>
      </c>
      <c r="AF46" s="26" t="s">
        <v>854</v>
      </c>
      <c r="AG46" s="23" t="s">
        <v>864</v>
      </c>
      <c r="AH46" s="23" t="s">
        <v>864</v>
      </c>
      <c r="AI46" s="24" t="s">
        <v>863</v>
      </c>
      <c r="AJ46" s="23" t="s">
        <v>864</v>
      </c>
      <c r="AK46" s="220" t="str">
        <f>IF(AND(AD46="",AE46="",AF46="",AG46="",AH46="",AI46="",AJ46=""),"",IF(OR(Tabla1[[#This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EVALUACIÓN",IF(AND(O46="",R46=""),"",IF(AND(OR(O46&gt;0,R46&gt;0),NG46&gt;=0,NG46&lt;2),"SIN RIESGO",IF(AND(OR(O46&gt;0,R46&gt;0),NG46&gt;=2),"CON RIESGO","ASD")))))</f>
        <v>SIN RIESGO</v>
      </c>
      <c r="AL46" s="23" t="s">
        <v>864</v>
      </c>
      <c r="AM46" s="26" t="s">
        <v>864</v>
      </c>
      <c r="AN46" s="26" t="s">
        <v>864</v>
      </c>
      <c r="AO46" s="26" t="s">
        <v>864</v>
      </c>
      <c r="AP46" s="26" t="s">
        <v>864</v>
      </c>
      <c r="AQ46" s="26" t="s">
        <v>864</v>
      </c>
      <c r="AR46" s="26" t="s">
        <v>864</v>
      </c>
      <c r="AS46" s="21">
        <v>0</v>
      </c>
      <c r="AT46" s="21">
        <v>0</v>
      </c>
      <c r="AU46" s="21">
        <v>0</v>
      </c>
      <c r="AV46" s="26" t="s">
        <v>864</v>
      </c>
      <c r="AW46" s="21">
        <v>0</v>
      </c>
      <c r="AX46" s="26" t="s">
        <v>864</v>
      </c>
      <c r="AY46" s="26" t="s">
        <v>864</v>
      </c>
      <c r="AZ46" s="26" t="s">
        <v>864</v>
      </c>
      <c r="BA46" s="26" t="s">
        <v>864</v>
      </c>
      <c r="BB46" s="26" t="s">
        <v>864</v>
      </c>
      <c r="BC46" s="26" t="s">
        <v>864</v>
      </c>
      <c r="BD46" s="26" t="s">
        <v>864</v>
      </c>
      <c r="BE46" s="26" t="s">
        <v>864</v>
      </c>
      <c r="BF46" s="26" t="s">
        <v>864</v>
      </c>
      <c r="BG46" s="26" t="s">
        <v>864</v>
      </c>
      <c r="BH46" s="26" t="s">
        <v>864</v>
      </c>
      <c r="BI46" s="26" t="s">
        <v>864</v>
      </c>
      <c r="BJ46" s="26"/>
      <c r="BK46" s="26"/>
      <c r="BL46" s="26" t="s">
        <v>864</v>
      </c>
      <c r="BM46" s="26" t="s">
        <v>864</v>
      </c>
      <c r="BN46" s="22"/>
      <c r="BO46" s="22">
        <v>44828</v>
      </c>
      <c r="BP46" s="21" t="s">
        <v>864</v>
      </c>
      <c r="BQ46" s="222">
        <f t="shared" si="2"/>
        <v>0</v>
      </c>
      <c r="BR46" s="223">
        <f t="shared" si="3"/>
        <v>44822.8</v>
      </c>
      <c r="BS46" s="224">
        <f t="shared" si="4"/>
        <v>6.8571428571428568</v>
      </c>
      <c r="BT46" s="216" t="str">
        <f t="shared" si="5"/>
        <v>DEFINIR CON ECO</v>
      </c>
      <c r="BU46" s="214" t="str">
        <f t="shared" ca="1" si="6"/>
        <v/>
      </c>
      <c r="BV46" s="25"/>
      <c r="BW46" s="22">
        <v>44960</v>
      </c>
      <c r="BX46" s="28">
        <v>19.600000000000001</v>
      </c>
      <c r="BY46" s="28"/>
      <c r="BZ46" s="22"/>
      <c r="CA46" s="21"/>
      <c r="CB46" s="26" t="s">
        <v>864</v>
      </c>
      <c r="CC46" s="26" t="s">
        <v>864</v>
      </c>
      <c r="CD46" s="26" t="s">
        <v>878</v>
      </c>
      <c r="CE46" s="26" t="s">
        <v>864</v>
      </c>
      <c r="CF46" s="22" t="s">
        <v>1517</v>
      </c>
      <c r="CG46" s="21">
        <v>1.54</v>
      </c>
      <c r="CH46" s="21">
        <v>55.5</v>
      </c>
      <c r="CI46" s="214">
        <f t="shared" si="7"/>
        <v>23.401922752572105</v>
      </c>
      <c r="CJ46" s="225" t="str">
        <f>IF(AND(CI46&lt;10,CH46="SD"),"SIN DATO PESO PREGESTACION O I TRIM",IF(AND(OR(R46&gt;0,O46&gt;0),CI46="X"),"INGRESAR DATO DE PESO",IF(CI46="SD","INGRESAR DATO DE TALLA Y PESO",IF(AND(OR(Tabla1[[#This Row],[MOMENTO EN QUE SE REALIZA EL PESO AL INGRESO A CPN]]="PREGESTACIÓN",NZ46="Menor"),CI46&lt;18.5),"BAJO PESO",IF(AND(OR(Tabla1[[#This Row],[MOMENTO EN QUE SE REALIZA EL PESO AL INGRESO A CPN]]="PREGESTACIÓN",NZ46="Menor"),CI46&lt;25),"NORMAL",IF(AND(OR(Tabla1[[#This Row],[MOMENTO EN QUE SE REALIZA EL PESO AL INGRESO A CPN]]="PREGESTACIÓN",NZ46="Menor"),CI46&lt;30),"SOBREPESO",IF(AND(OR(Tabla1[[#This Row],[MOMENTO EN QUE SE REALIZA EL PESO AL INGRESO A CPN]]="PREGESTACIÓN",NZ46="Menor"),CI46&gt;=30,CI46&lt;50),"OBESIDAD",IF(AND(BS46&gt;0,Tabla1[[#This Row],[MOMENTO EN QUE SE REALIZA EL PESO AL INGRESO A CPN]]="GESTACIÓN"),HLOOKUP(NZ46,$OA$2:PH46,NY46),""))))))))</f>
        <v>NORMAL</v>
      </c>
      <c r="CK46" s="212">
        <f t="shared" si="8"/>
        <v>45029</v>
      </c>
      <c r="CL46" s="21"/>
      <c r="CM46" s="214">
        <f t="shared" si="9"/>
        <v>0</v>
      </c>
      <c r="CN46" s="216">
        <f t="shared" si="10"/>
        <v>28</v>
      </c>
      <c r="CO46" s="216" t="e">
        <f>IF(PI46="","",IF(PI46&gt;0,HLOOKUP(PI46,$PJ$2:QQ46,NY46),""))</f>
        <v>#REF!</v>
      </c>
      <c r="CP46" s="21"/>
      <c r="CQ46" s="216" t="e">
        <f>IF(QR46="Menor","NO APLICA-MENOR 13 SEM",IF(AND(CC46="SI",CN46&gt;23),"NO APLICA- GEMELAR",IF(QR46="","",IF(QR46&gt;0,HLOOKUP(QR46,$QS$2:RU46,NY46),""))))</f>
        <v>#REF!</v>
      </c>
      <c r="CR46" s="21">
        <v>100</v>
      </c>
      <c r="CS46" s="21">
        <v>60</v>
      </c>
      <c r="CT46" s="217" t="str">
        <f>IF(R46="","",IF(AND(BS46&gt;1,BS46&lt;12,Tabla1[[#This Row],[T.A. SISTOLICA - ANTES DE SEMANA 12]]="",Tabla1[[#This Row],[T.A. DIASTOLICA - ANTES DE SEMANA 12]]=""),"REGISTRE DATO TA ANTES SEMANA 12",IF(AND(BS46&gt;11,BS46&lt;43,Tabla1[[#This Row],[T.A. SISTOLICA - ANTES DE SEMANA 12]]="",Tabla1[[#This Row],[T.A. DIASTOLICA - ANTES DE SEMANA 12]]=""),"NO APLICA REGISTRO TA-INGRESO TARDIO",IF(AND(OR(O46&gt;0,R46&gt;0),OR(CR46&gt;=140,CS46&gt;=90)),"DEFINIR ESTADIO HTA",IF(AND(OR(O46&gt;0,R46&gt;0),AND(CR46&gt;120,CR46&lt;=139)),"PRE HTA SEGUIMIENTO",IF(AND(OR(O46&gt;0,R46&gt;0),AND(CS46&gt;80,CS46&lt;=89)),"PRE HTA SEGUIMIENTO",IF(AND(OR(O46&gt;0,R46&gt;0),AND(CR46&gt;=80,CR46&lt;=120)),"APARENTEMENTE NORMAL",IF(AND(OR(O46&gt;0,R46&gt;0),AND(CS46&gt;=50,CS46&lt;=80)),"APARENTEMENTE NORMAL",IF(AND(OR(O46&gt;0,R46&gt;0),AND(CR46&gt;1,CR46&lt;=70),AND(CS46&gt;1,CS46&lt;=40)),"HIPOTENSIÓN","")))))))))</f>
        <v>APARENTEMENTE NORMAL</v>
      </c>
      <c r="CU46" s="21"/>
      <c r="CV46" s="21"/>
      <c r="CW46" s="217" t="str">
        <f ca="1">IF(R46="","",IF(AND(CN46&gt;19,CN46&lt;27,Tabla1[[#This Row],[T.A. SISTOLICA (Entre semana 20 y 26)]]="",Tabla1[[#This Row],[T.A. DIATOLICA (Entre semana 20 y 26)]]=""),"ACUDE A CONTROL SEM 20 A 26 REGISTRE TA AHORA",IF(AND(BS46&gt;1,BS46&lt;27,BU46&gt;19,Tabla1[[#This Row],[T.A. SISTOLICA (Entre semana 20 y 26)]]="",Tabla1[[#This Row],[T.A. DIATOLICA (Entre semana 20 y 26)]]=""),"COMPLETE REGISTRO TA CONTROL SEM 20 A26 ",IF(AND(BS46&gt;26,BS46&lt;43,Tabla1[[#This Row],[T.A. SISTOLICA (Entre semana 20 y 26)]]="",Tabla1[[#This Row],[T.A. DIATOLICA (Entre semana 20 y 26)]]=""),"NO APLICA REGISTRO TA-INGRESO TARDIO",IF(AND(OR(O46&gt;0,R46&gt;0),OR(CU46&gt;=140,CV46&gt;=90)),"ALTO RIESGO PREECLAMPSIA,DEFINIR ESTADIO HTA",IF(AND(OR(O46&gt;0,R46&gt;0),AND(CU46&gt;120,CU46&lt;=139)),"PRE HTA SEGUIMIENTO,RIESGO HIPERTENSION INDUCIDA POR EL EMBARAZO",IF(AND(OR(O46&gt;0,R46&gt;0),AND(CV46&gt;80,CV46&lt;=89)),"PRE HTA SEGUIMIENTO, RIESGO HIPERTENSION INDUCIDA POR EL EMBARAZO",IF(AND(OR(O46&lt;&gt;"",R46&lt;&gt;""),CS46&lt;&gt;"",CV46&lt;&gt;"",CS46&lt;=CV46),"VIGILAR CIFRAS PRESION ARTERIAL",IF(AND(OR(O46&gt;0,R46&gt;0),AND(CU46&gt;120,CU46&lt;=139)),"PRE HTA SEGUIMIENTO",IF(AND(OR(O46&gt;0,R46&gt;0),AND(CU46&gt;1,CU46&lt;=70),AND(CV46&gt;1,CV46&lt;=40)),"HIPOTENSIÓN",IF(AND(OR(O46&lt;&gt;"",R46&lt;&gt;""),CS46&lt;&gt;"",CV46&lt;&gt;"",CS46&gt;CV46),"APARENTEMENTE NORMAL",IF(AND(OR(O46&gt;0,R46&gt;0),AND(CU46&gt;=80,CU46&lt;=120)),"APARENTEMENTE NORMAL",IF(AND(OR(O46&gt;0,R46&gt;0),AND(CV46&gt;=50,CV46&lt;=80)),"APARENTEMENTE NORMAL","")))))))))))))</f>
        <v xml:space="preserve">COMPLETE REGISTRO TA CONTROL SEM 20 A26 </v>
      </c>
      <c r="CX46" s="21"/>
      <c r="CY46" s="21"/>
      <c r="CZ46" s="216" t="str">
        <f t="shared" si="195"/>
        <v/>
      </c>
      <c r="DA46" s="21"/>
      <c r="DB46" s="21"/>
      <c r="DC46" s="217" t="str">
        <f t="shared" si="12"/>
        <v>REGISTRE DATO PRESIÓN ARTERIAL MENSUAL</v>
      </c>
      <c r="DD46" s="22">
        <v>44876</v>
      </c>
      <c r="DE46" s="22">
        <v>44876</v>
      </c>
      <c r="DF46" s="22">
        <v>44908</v>
      </c>
      <c r="DG46" s="22">
        <v>44939</v>
      </c>
      <c r="DH46" s="22">
        <v>44971</v>
      </c>
      <c r="DI46" s="22">
        <v>45029</v>
      </c>
      <c r="DJ46" s="22"/>
      <c r="DK46" s="22"/>
      <c r="DL46" s="22"/>
      <c r="DM46" s="22"/>
      <c r="DN46" s="22"/>
      <c r="DO46" s="22"/>
      <c r="DP46" s="22"/>
      <c r="DQ46" s="22"/>
      <c r="DR46" s="28">
        <v>2</v>
      </c>
      <c r="DS46" s="22"/>
      <c r="DT46" s="22"/>
      <c r="DU46" s="216" t="str">
        <f t="shared" ca="1" si="196"/>
        <v>CONCERTAR PLAN DE PARTO INMEDIATO</v>
      </c>
      <c r="DV46" s="226" t="str">
        <f t="shared" si="197"/>
        <v>ACTIVA INGRESO A CPN</v>
      </c>
      <c r="DW4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46" s="216" t="e">
        <f t="shared" ca="1" si="15"/>
        <v>#REF!</v>
      </c>
      <c r="DY46" s="212">
        <f>IF(R46="","",IF(R46&gt;0,MAX(Tabla1[[#This Row],[FECHA C2]:[FECHA C13]],Tabla1[[#This Row],[FECHA CONSULTA PRIMERA VEZ PROGRAMA CPN ]])))</f>
        <v>45029</v>
      </c>
      <c r="DZ46" s="216">
        <f t="shared" si="16"/>
        <v>28</v>
      </c>
      <c r="EA46" s="222">
        <f>IF(R46&gt;0,SUM(COUNTA(DF46:DQ46)+COUNTA(Tabla1[[#This Row],[FECHA CONSULTA PRIMERA VEZ PROGRAMA CPN ]])),"")</f>
        <v>5</v>
      </c>
      <c r="EB46" s="222" t="str">
        <f t="shared" si="17"/>
        <v>SI</v>
      </c>
      <c r="EC46" s="214">
        <f t="shared" si="18"/>
        <v>10</v>
      </c>
      <c r="ED46" s="227">
        <f t="shared" si="19"/>
        <v>0.5</v>
      </c>
      <c r="EE46" s="22">
        <v>44876</v>
      </c>
      <c r="EF46" s="22"/>
      <c r="EG46" s="22">
        <v>44876</v>
      </c>
      <c r="EH46" s="22">
        <v>44907</v>
      </c>
      <c r="EI46" s="22">
        <v>44876</v>
      </c>
      <c r="EJ46" s="22">
        <v>44907</v>
      </c>
      <c r="EK46" s="22">
        <v>44907</v>
      </c>
      <c r="EL46" s="21">
        <v>1</v>
      </c>
      <c r="EM46" s="21">
        <v>13.3</v>
      </c>
      <c r="EN46" s="22">
        <v>44877</v>
      </c>
      <c r="EO46" s="222">
        <f t="shared" si="20"/>
        <v>7</v>
      </c>
      <c r="EP46" s="214" t="str">
        <f t="shared" si="21"/>
        <v>NORMAL- SUMINISTRAR SULFATO FERROSO</v>
      </c>
      <c r="EQ46" s="216" t="str">
        <f t="shared" si="22"/>
        <v>I TRIM</v>
      </c>
      <c r="ER46" s="24"/>
      <c r="ES46" s="22"/>
      <c r="ET46" s="29" t="str">
        <f t="shared" ca="1" si="198"/>
        <v>TOMA DE HEMOGLOBINA TARDÍA</v>
      </c>
      <c r="EU46" s="25" t="str">
        <f t="shared" si="24"/>
        <v/>
      </c>
      <c r="EV46" s="24" t="s">
        <v>866</v>
      </c>
      <c r="EW46" s="24">
        <v>44877</v>
      </c>
      <c r="EX46" s="22"/>
      <c r="EY46" s="29">
        <f t="shared" si="199"/>
        <v>7</v>
      </c>
      <c r="EZ46" s="25" t="str">
        <f t="shared" ca="1" si="200"/>
        <v/>
      </c>
      <c r="FA46" s="21">
        <v>86</v>
      </c>
      <c r="FB46" s="22">
        <v>44877</v>
      </c>
      <c r="FC46" s="29">
        <f t="shared" si="27"/>
        <v>7</v>
      </c>
      <c r="FD46" s="29"/>
      <c r="FE46" s="29"/>
      <c r="FF46" s="29"/>
      <c r="FG46" s="21" t="str">
        <f t="shared" ca="1" si="28"/>
        <v/>
      </c>
      <c r="FH46" s="31"/>
      <c r="FI46" s="29" t="str">
        <f t="shared" si="29"/>
        <v>TOMAR EXAMEN</v>
      </c>
      <c r="FJ46" s="22" t="s">
        <v>1113</v>
      </c>
      <c r="FK46" s="22">
        <v>44877</v>
      </c>
      <c r="FL46" s="29">
        <f t="shared" ca="1" si="30"/>
        <v>7</v>
      </c>
      <c r="FM46" s="22" t="s">
        <v>1113</v>
      </c>
      <c r="FN46" s="32">
        <v>44960</v>
      </c>
      <c r="FO46" s="29">
        <f t="shared" ca="1" si="201"/>
        <v>18.857142857142858</v>
      </c>
      <c r="FP46" s="22"/>
      <c r="FQ46" s="32"/>
      <c r="FR46" s="29" t="str">
        <f t="shared" ca="1" si="202"/>
        <v>TOMA INMEDIATA DE TAMIZAJE</v>
      </c>
      <c r="FS46" s="22"/>
      <c r="FT46" s="32"/>
      <c r="FU46" s="29" t="str">
        <f>IF(AND(FJ46="",FM46="",FP46="",FS46=""),"",IF(OR(OR(Tabla1[[#This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SIFILIS GESTACIONAL</v>
      </c>
      <c r="FV46" s="28"/>
      <c r="FW46" s="22"/>
      <c r="FX46" s="29" t="str">
        <f t="shared" si="33"/>
        <v>TOMAR EXAMEN</v>
      </c>
      <c r="FY46" s="22">
        <v>44876</v>
      </c>
      <c r="FZ46" s="22">
        <v>44876</v>
      </c>
      <c r="GA46" s="29">
        <f t="shared" ca="1" si="203"/>
        <v>6.8571428571428568</v>
      </c>
      <c r="GB46" s="22" t="s">
        <v>868</v>
      </c>
      <c r="GC46" s="22">
        <v>44987</v>
      </c>
      <c r="GD46" s="29">
        <f t="shared" ca="1" si="204"/>
        <v>22.714285714285715</v>
      </c>
      <c r="GE46" s="22"/>
      <c r="GF46" s="22"/>
      <c r="GG46" s="29" t="str">
        <f t="shared" ca="1" si="205"/>
        <v>TOMA INMEDIATA DE TAMIZAJE</v>
      </c>
      <c r="GH46" s="22"/>
      <c r="GI46" s="29"/>
      <c r="GJ46" s="22"/>
      <c r="GK46" s="22"/>
      <c r="GL46" s="22" t="s">
        <v>879</v>
      </c>
      <c r="GM46" s="22"/>
      <c r="GN46" s="28" t="s">
        <v>869</v>
      </c>
      <c r="GO46" s="22">
        <v>44877</v>
      </c>
      <c r="GP46" s="29">
        <f t="shared" si="37"/>
        <v>7</v>
      </c>
      <c r="GQ46" s="28" t="s">
        <v>869</v>
      </c>
      <c r="GR46" s="28" t="s">
        <v>869</v>
      </c>
      <c r="GS46" s="22" t="str">
        <f t="shared" si="206"/>
        <v>CONTROL Igm</v>
      </c>
      <c r="GT46" s="22">
        <v>44877</v>
      </c>
      <c r="GU46" s="29">
        <f t="shared" si="39"/>
        <v>7</v>
      </c>
      <c r="GV46" s="21" t="str">
        <f t="shared" si="40"/>
        <v>I TRIM</v>
      </c>
      <c r="GW46" s="28" t="s">
        <v>869</v>
      </c>
      <c r="GX46" s="30"/>
      <c r="GY46" s="21"/>
      <c r="GZ46" s="21"/>
      <c r="HA46" s="21"/>
      <c r="HB46" s="21"/>
      <c r="HC46" s="21"/>
      <c r="HD46" s="21"/>
      <c r="HE46" s="21"/>
      <c r="HF46" s="22"/>
      <c r="HG46" s="22" t="str">
        <f>IF(OR(O46&gt;0,R46&gt;0),CONCATENATE(IF(Tabla1[[#This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46" s="22" t="e">
        <f t="shared" si="41"/>
        <v>#REF!</v>
      </c>
      <c r="HI46" s="22" t="e">
        <f t="shared" ca="1" si="42"/>
        <v>#REF!</v>
      </c>
      <c r="HJ46" s="21" t="str">
        <f t="shared" ca="1" si="43"/>
        <v>******************SEGUIMIENTO PARA SIFILIS GESTACIONAL****MULTIPARIDAD*****************</v>
      </c>
      <c r="HK46" s="21" t="str">
        <f t="shared" si="44"/>
        <v>SIN ANTECEDENTES DE RIESGO</v>
      </c>
      <c r="HL46" s="24" t="str">
        <f t="shared" si="45"/>
        <v>REGISTRE DATO PRESIÓN ARTERIAL MENSUAL</v>
      </c>
      <c r="HM46" s="21" t="e">
        <f t="shared" ca="1" si="46"/>
        <v>#REF!</v>
      </c>
      <c r="HN46" s="30" t="str">
        <f t="shared" si="207"/>
        <v>ACTIVA INGRESO A CPN</v>
      </c>
      <c r="HO46" s="21"/>
      <c r="HP46" s="21"/>
      <c r="HQ46" s="21"/>
      <c r="HR46" s="21" t="str">
        <f>IF(R46="","",IF(Tabla1[[#This Row],[ALARMA FACTORES DE RIESGO COMPLICACIONES HIPERTENSIVAS3]]="SIN ANTECEDENTES DE RIESGO","No Aplica para suministro de ASA",IF(AND(Tabla1[[#This Row],[FECHA INICIO DE SUMINISTRO DE ASA]]&gt;0,RV46&lt;12),"Inicia ASA ANTES de Sem 12",IF(AND(RV46&gt;11,RV46&lt;17,OR(HK46="RIESGO ALTO DE COMPLICACIONES HIPERTENSIVAS VER MANEJO GUIA SUMINISTRO ASA Y CALCIO",HK46="RIESGO MODERADO (2 O MAS CRITERIOS) VER MANEJO GUIA SUMINISTRO ASA Y CALCIO")),"Inicio oportuno de ASA",IF(AND(RV46&gt;12,OR(HK46="RIESGO ALTO DE COMPLICACIONES HIPERTENSIVAS VER MANEJO GUIA SUMINISTRO ASA Y CALCIO",HK46="RIESGO MODERADO (2 O MAS CRITERIOS) VER MANEJO GUIA SUMINISTRO ASA Y CALCIO")),"Inicio no oportuno mayor a 16 semanas",IF(AND(BU46&lt;12,OR(HK46="RIESGO ALTO DE COMPLICACIONES HIPERTENSIVAS VER MANEJO GUIA SUMINISTRO ASA Y CALCIO",HK46="RIESGO MODERADO (2 O MAS CRITERIOS) VER MANEJO GUIA SUMINISTRO ASA Y CALCIO")),"Pendiente Inicio de ASA a la semana 12",IF(AND(BU46&gt;11,BU46&lt;17,OR(HK46="RIESGO ALTO DE COMPLICACIONES HIPERTENSIVAS VER MANEJO GUIA SUMINISTRO ASA Y CALCIO",HK46="RIESGO MODERADO (2 O MAS CRITERIOS) VER MANEJO GUIA SUMINISTRO ASA Y CALCIO")),"Iniciar de inmediato ASA",IF(AND(BU46&gt;16,OR(HK46="RIESGO ALTO DE COMPLICACIONES HIPERTENSIVAS VER MANEJO GUIA SUMINISTRO ASA Y CALCIO",HK46="RIESGO MODERADO (2 O MAS CRITERIOS) VER MANEJO GUIA SUMINISTRO ASA Y CALCIO")),"Pierde Oportunidad, Inicio tardío de ASA","XXXXX"))))))))</f>
        <v>No Aplica para suministro de ASA</v>
      </c>
      <c r="HS46" s="22"/>
      <c r="HT46" s="22"/>
      <c r="HU46" s="22">
        <v>44876</v>
      </c>
      <c r="HV46" s="22" t="s">
        <v>870</v>
      </c>
      <c r="HW46" s="22">
        <v>45029</v>
      </c>
      <c r="HX46" s="22" t="s">
        <v>870</v>
      </c>
      <c r="HY46" s="22">
        <v>44876</v>
      </c>
      <c r="HZ46" s="28">
        <f t="shared" si="48"/>
        <v>6.8571428571428568</v>
      </c>
      <c r="IA46" s="26" t="s">
        <v>864</v>
      </c>
      <c r="IB46" s="26"/>
      <c r="IC46" s="111"/>
      <c r="ID46" s="22"/>
      <c r="IE46" s="22" t="str">
        <f t="shared" ca="1" si="49"/>
        <v/>
      </c>
      <c r="IF46" s="22"/>
      <c r="IG46" s="22">
        <f t="shared" si="50"/>
        <v>45108</v>
      </c>
      <c r="IH46" s="29">
        <f t="shared" ca="1" si="51"/>
        <v>-124</v>
      </c>
      <c r="II46" s="22" t="str">
        <f t="shared" ca="1" si="52"/>
        <v>POSIBLEMENTE NACIO</v>
      </c>
      <c r="IJ46" s="22"/>
      <c r="IK46" s="21"/>
      <c r="IL46" s="21"/>
      <c r="IM46" s="34"/>
      <c r="IN46" s="349"/>
      <c r="IO46" s="21"/>
      <c r="IP46" s="29" t="str">
        <f t="shared" si="208"/>
        <v/>
      </c>
      <c r="IQ46" s="110"/>
      <c r="IR46" s="21"/>
      <c r="IS46" s="21"/>
      <c r="IT46" s="21"/>
      <c r="IU46" s="21"/>
      <c r="IV46" s="21"/>
      <c r="IW46" s="21"/>
      <c r="IX46" s="21"/>
      <c r="IY46" s="21"/>
      <c r="IZ46" s="21"/>
      <c r="JA46" s="21"/>
      <c r="JB46" s="30"/>
      <c r="JC46" s="21"/>
      <c r="JD46" s="36"/>
      <c r="JE46" s="21" t="str">
        <f t="shared" si="209"/>
        <v/>
      </c>
      <c r="JF46" s="30"/>
      <c r="JG46" s="21"/>
      <c r="JH46" s="21"/>
      <c r="JI46" s="21"/>
      <c r="JJ46" s="30"/>
      <c r="JK46" s="22"/>
      <c r="JL46" s="22"/>
      <c r="JM46" s="21"/>
      <c r="JN46" s="36"/>
      <c r="JO46" s="21" t="str">
        <f t="shared" si="210"/>
        <v/>
      </c>
      <c r="JP46" s="22"/>
      <c r="JQ46" s="21"/>
      <c r="JR46" s="21"/>
      <c r="JS46" s="21"/>
      <c r="JT46" s="30"/>
      <c r="JU46" s="22"/>
      <c r="JV46" s="22"/>
      <c r="JW46" s="33"/>
      <c r="JX46" s="28" t="str">
        <f t="shared" si="211"/>
        <v/>
      </c>
      <c r="JY46" s="33"/>
      <c r="JZ46" s="28" t="str">
        <f t="shared" si="212"/>
        <v/>
      </c>
      <c r="KA46" s="21"/>
      <c r="KB46" s="21"/>
      <c r="KC46" s="21"/>
      <c r="KD46" s="37"/>
      <c r="KE46" s="28"/>
      <c r="KF46" s="28"/>
      <c r="KG46" s="28"/>
      <c r="KH46" s="39"/>
      <c r="KI46" s="39"/>
      <c r="KJ46" s="66"/>
      <c r="KK46" s="39"/>
      <c r="KL46" s="39"/>
      <c r="KM46" s="66"/>
      <c r="KN46" s="39"/>
      <c r="KO46" s="39"/>
      <c r="KP46" s="39"/>
      <c r="KQ46" s="39"/>
      <c r="KR46" s="39"/>
      <c r="KS46" s="39"/>
      <c r="KT46" s="39"/>
      <c r="KU46" s="38"/>
      <c r="KV46" s="38"/>
      <c r="KW46" s="38"/>
      <c r="KX46" s="38"/>
      <c r="KY46" s="38"/>
      <c r="KZ46" s="38"/>
      <c r="LA46" s="38"/>
      <c r="LB46" s="38"/>
      <c r="LC46" s="38"/>
      <c r="LD46" s="38"/>
      <c r="LE46" s="38"/>
      <c r="LF46" s="38"/>
      <c r="LG46" s="38"/>
      <c r="LH46" s="38"/>
      <c r="LI46" s="38"/>
      <c r="LJ46" s="38"/>
      <c r="LK46" s="38"/>
      <c r="LL46" s="38"/>
      <c r="LM46" s="38"/>
      <c r="LN46" s="38"/>
      <c r="LO46" s="38"/>
      <c r="LP46" s="38"/>
      <c r="LQ46" s="38"/>
      <c r="LR46" s="38"/>
      <c r="LS46" s="38"/>
      <c r="LT46" s="38"/>
      <c r="LU46" s="38"/>
      <c r="LV46" s="38"/>
      <c r="LW46" s="38"/>
      <c r="LX46" s="38"/>
      <c r="LY46" s="38"/>
      <c r="LZ46" s="38"/>
      <c r="MA46" s="38"/>
      <c r="MB46" s="38"/>
      <c r="MC46" s="38"/>
      <c r="MD46" s="38"/>
      <c r="ME46" s="38"/>
      <c r="MF46" s="38"/>
      <c r="MG46" s="38"/>
      <c r="MH46" s="43">
        <f t="shared" si="213"/>
        <v>0</v>
      </c>
      <c r="MI46" s="43" t="str">
        <f t="shared" si="214"/>
        <v/>
      </c>
      <c r="MJ46" s="43" t="str">
        <f t="shared" si="215"/>
        <v/>
      </c>
      <c r="MK46" s="43">
        <f t="shared" si="216"/>
        <v>0</v>
      </c>
      <c r="ML4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46" s="43">
        <f t="shared" si="217"/>
        <v>6.8571428571428568</v>
      </c>
      <c r="MN46" s="43">
        <f t="shared" si="218"/>
        <v>11</v>
      </c>
      <c r="MO46" s="43">
        <f t="shared" si="219"/>
        <v>2022</v>
      </c>
      <c r="MP46" s="43" t="str">
        <f t="shared" si="220"/>
        <v>IV TRIMESTRE AÑO</v>
      </c>
      <c r="MQ46" s="43">
        <f t="shared" si="221"/>
        <v>19.606876916338152</v>
      </c>
      <c r="MR46" s="43">
        <f t="shared" si="222"/>
        <v>0</v>
      </c>
      <c r="MS46" s="43" t="str">
        <f t="shared" si="223"/>
        <v>DE 14 A 19AÑOS</v>
      </c>
      <c r="MT46" s="43">
        <f t="shared" si="224"/>
        <v>0</v>
      </c>
      <c r="MU46" s="43">
        <f t="shared" si="225"/>
        <v>1</v>
      </c>
      <c r="MV46" s="43">
        <f t="shared" si="226"/>
        <v>0</v>
      </c>
      <c r="MW46" s="43">
        <f t="shared" si="227"/>
        <v>0</v>
      </c>
      <c r="MX46" s="43" t="str">
        <f t="shared" si="228"/>
        <v/>
      </c>
      <c r="MY46" s="43" t="str">
        <f t="shared" ca="1" si="229"/>
        <v/>
      </c>
      <c r="MZ46" s="43" t="str">
        <f t="shared" si="230"/>
        <v/>
      </c>
      <c r="NA46" s="43">
        <f t="shared" si="231"/>
        <v>0</v>
      </c>
      <c r="NB46" s="43" t="str">
        <f t="shared" si="232"/>
        <v/>
      </c>
      <c r="NC46" s="43" t="str">
        <f t="shared" si="233"/>
        <v/>
      </c>
      <c r="ND46" s="43">
        <f t="shared" ca="1" si="234"/>
        <v>4</v>
      </c>
      <c r="NE46" s="43">
        <f>IF(OR(O46&gt;0,R46&gt;0),SUM(COUNTIF(Tabla1[[#This Row],[AÑOS AL INICIO5 CPN]],"&gt;=40"),COUNTIF(AS46,"0"),COUNTIF(AR46,"SI"),COUNTIF(CC46,"SI"),COUNTIF(BQ46,"&gt;119"),COUNTIF(CI46,"&gt;=35")),"")</f>
        <v>1</v>
      </c>
      <c r="NF46" s="43" t="str">
        <f t="shared" si="235"/>
        <v/>
      </c>
      <c r="NG46" s="43">
        <f t="shared" si="236"/>
        <v>0</v>
      </c>
      <c r="NH46" s="43">
        <f t="shared" si="237"/>
        <v>137.20000000000002</v>
      </c>
      <c r="NI4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CPN",P46="NO"),"Z",IF(AND(Tabla1[[#This Row],[CITA PROXIMO CONTROL]]="CITA MANUAL",Tabla1[[#This Row],[GESTANTES ACTUALES]]="ACTIVA INGRESO A CPN"),"W",IF(AND(Tabla1[[#This Row],[GESTANTES ACTUALES]]="SALIO PROGRAMA",IN46=""),"S",IF(AND(Tabla1[[#This Row],[CITA PROXIMO CONTROL]]&gt;0,IN46=""),(Tabla1[[#This Row],[CITA PROXIMO CONTROL]]-TODAY()),"SD"))))))))</f>
        <v>#REF!</v>
      </c>
      <c r="NJ46" s="43">
        <f>MONTH(Tabla1[[#This Row],[FECHA DE SALIDA  DEL PROGRAMA]])</f>
        <v>1</v>
      </c>
      <c r="NK46" s="43">
        <f>YEAR(Tabla1[[#This Row],[FECHA DE SALIDA  DEL PROGRAMA]])</f>
        <v>1900</v>
      </c>
      <c r="NL46" s="43">
        <f t="shared" si="238"/>
        <v>31</v>
      </c>
      <c r="NM46" s="43" t="str">
        <f t="shared" si="239"/>
        <v>NO</v>
      </c>
      <c r="NN46" s="43" t="str">
        <f ca="1">IF(AND(O46&gt;0,R46=""),"NO CPN",IF(AND(O46="",R46=""),"",IF(AND(R46&gt;0,Tabla1[[#This Row],[SEMANAS DE GESTACION ACTUALIZADAS]]&lt;=12),"NO APLICA",IF(AND(FH46&lt;&gt;"",FN46&lt;&gt;""),"SI","NO"))))</f>
        <v>NO</v>
      </c>
      <c r="NO46" s="43" t="str">
        <f ca="1">IF(AND(O46&gt;0,R46=""),"NO CPN",IF(AND(O46="",R46=""),"",IF(AND(R46&gt;0,Tabla1[[#This Row],[SEMANAS DE GESTACION ACTUALIZADAS]]&lt;=27),"NO APLICA",IF(AND(ES46&lt;&gt;"",FQ46&lt;&gt;"",GF46&lt;&gt;""),"SI","NO"))))</f>
        <v>NO</v>
      </c>
      <c r="NP46" s="21" t="str">
        <f t="shared" si="240"/>
        <v>DEFINIR CON ECO</v>
      </c>
      <c r="NQ46" s="21">
        <f t="shared" si="241"/>
        <v>9</v>
      </c>
      <c r="NR46" s="21" t="str">
        <f t="shared" ca="1" si="242"/>
        <v>REVISAR FUM O FECHA SALIDA PROGRAMA</v>
      </c>
      <c r="NS46" s="205">
        <f t="shared" ca="1" si="243"/>
        <v>2</v>
      </c>
      <c r="NT46" s="21">
        <f t="shared" ca="1" si="244"/>
        <v>2</v>
      </c>
      <c r="NU46" s="21" t="str">
        <f t="shared" ca="1" si="245"/>
        <v>POR DEFINIR</v>
      </c>
      <c r="NV46" s="21" t="str">
        <f t="shared" ca="1" si="246"/>
        <v>POR DEFINIR</v>
      </c>
      <c r="NW46" s="206" t="str">
        <f>IF(AND(O46="",R46=""),"",IF(OR(AND(Tabla1[[#This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46" s="207" t="str">
        <f t="shared" ca="1" si="247"/>
        <v>SIN VACUNAR</v>
      </c>
      <c r="NY46" s="43">
        <f>ROW(Tabla1[[#This Row],['# DE TAMIZAJES SIFILIS TOMADOS ]])</f>
        <v>46</v>
      </c>
      <c r="NZ46" s="43" t="str">
        <f t="shared" si="93"/>
        <v>Menor</v>
      </c>
      <c r="OA46" s="43" t="str">
        <f t="shared" si="94"/>
        <v>NORMAL</v>
      </c>
      <c r="OB46" s="43" t="str">
        <f t="shared" si="95"/>
        <v/>
      </c>
      <c r="OC46" s="43" t="str">
        <f t="shared" si="96"/>
        <v/>
      </c>
      <c r="OD46" s="43" t="str">
        <f t="shared" si="97"/>
        <v/>
      </c>
      <c r="OE46" s="43" t="str">
        <f t="shared" si="98"/>
        <v/>
      </c>
      <c r="OF46" s="43" t="str">
        <f t="shared" si="99"/>
        <v/>
      </c>
      <c r="OG46" s="43" t="str">
        <f t="shared" si="100"/>
        <v/>
      </c>
      <c r="OH46" s="43" t="str">
        <f t="shared" si="101"/>
        <v/>
      </c>
      <c r="OI46" s="43" t="str">
        <f t="shared" si="102"/>
        <v/>
      </c>
      <c r="OJ46" s="43" t="str">
        <f t="shared" si="103"/>
        <v/>
      </c>
      <c r="OK46" s="43" t="str">
        <f t="shared" si="104"/>
        <v/>
      </c>
      <c r="OL46" s="43" t="str">
        <f t="shared" si="105"/>
        <v/>
      </c>
      <c r="OM46" s="43" t="str">
        <f t="shared" si="106"/>
        <v/>
      </c>
      <c r="ON46" s="43" t="str">
        <f t="shared" si="107"/>
        <v/>
      </c>
      <c r="OO46" s="43" t="str">
        <f t="shared" si="108"/>
        <v/>
      </c>
      <c r="OP46" s="43" t="str">
        <f t="shared" si="109"/>
        <v/>
      </c>
      <c r="OQ46" s="43" t="str">
        <f t="shared" si="110"/>
        <v/>
      </c>
      <c r="OR46" s="43" t="str">
        <f t="shared" si="111"/>
        <v/>
      </c>
      <c r="OS46" s="43" t="str">
        <f t="shared" si="112"/>
        <v/>
      </c>
      <c r="OT46" s="43" t="str">
        <f t="shared" si="113"/>
        <v/>
      </c>
      <c r="OU46" s="43" t="str">
        <f t="shared" si="114"/>
        <v/>
      </c>
      <c r="OV46" s="110" t="str">
        <f t="shared" si="115"/>
        <v/>
      </c>
      <c r="OW46" s="43" t="str">
        <f t="shared" si="116"/>
        <v/>
      </c>
      <c r="OX46" s="43" t="str">
        <f t="shared" si="117"/>
        <v/>
      </c>
      <c r="OY46" s="43" t="str">
        <f t="shared" si="118"/>
        <v/>
      </c>
      <c r="OZ46" s="43" t="str">
        <f t="shared" si="119"/>
        <v/>
      </c>
      <c r="PA46" s="43" t="str">
        <f t="shared" si="120"/>
        <v/>
      </c>
      <c r="PB46" s="43" t="str">
        <f t="shared" si="121"/>
        <v/>
      </c>
      <c r="PC46" s="43" t="str">
        <f t="shared" si="122"/>
        <v/>
      </c>
      <c r="PD46" s="43" t="str">
        <f t="shared" si="123"/>
        <v/>
      </c>
      <c r="PE46" s="43" t="str">
        <f t="shared" si="124"/>
        <v/>
      </c>
      <c r="PF46" s="43" t="str">
        <f t="shared" si="125"/>
        <v/>
      </c>
      <c r="PG46" s="43" t="str">
        <f t="shared" si="126"/>
        <v/>
      </c>
      <c r="PH46" s="43" t="str">
        <f t="shared" si="127"/>
        <v/>
      </c>
      <c r="PI46" s="43">
        <f t="shared" si="128"/>
        <v>28</v>
      </c>
      <c r="PJ46" s="43" t="str">
        <f t="shared" si="129"/>
        <v/>
      </c>
      <c r="PK46" s="43" t="str">
        <f t="shared" si="130"/>
        <v/>
      </c>
      <c r="PL46" s="43" t="str">
        <f t="shared" si="131"/>
        <v/>
      </c>
      <c r="PM46" s="43" t="str">
        <f t="shared" si="132"/>
        <v/>
      </c>
      <c r="PN46" s="43" t="str">
        <f t="shared" si="133"/>
        <v/>
      </c>
      <c r="PO46" s="43" t="str">
        <f t="shared" si="134"/>
        <v/>
      </c>
      <c r="PP46" s="43" t="str">
        <f t="shared" si="135"/>
        <v/>
      </c>
      <c r="PQ46" s="43" t="str">
        <f t="shared" si="136"/>
        <v/>
      </c>
      <c r="PR46" s="43" t="str">
        <f t="shared" si="137"/>
        <v/>
      </c>
      <c r="PS46" s="43" t="str">
        <f t="shared" si="138"/>
        <v/>
      </c>
      <c r="PT46" s="43" t="str">
        <f t="shared" si="139"/>
        <v/>
      </c>
      <c r="PU46" s="43" t="str">
        <f t="shared" si="140"/>
        <v/>
      </c>
      <c r="PV46" s="43" t="str">
        <f t="shared" si="141"/>
        <v/>
      </c>
      <c r="PW46" s="43" t="str">
        <f t="shared" si="142"/>
        <v/>
      </c>
      <c r="PX46" s="43" t="str">
        <f t="shared" si="143"/>
        <v/>
      </c>
      <c r="PY46" s="43" t="str">
        <f t="shared" si="144"/>
        <v/>
      </c>
      <c r="PZ46" s="43" t="str">
        <f t="shared" si="145"/>
        <v/>
      </c>
      <c r="QA46" s="43" t="str">
        <f t="shared" si="146"/>
        <v/>
      </c>
      <c r="QB46" s="43" t="str">
        <f t="shared" si="147"/>
        <v/>
      </c>
      <c r="QC46" s="43" t="str">
        <f t="shared" si="148"/>
        <v/>
      </c>
      <c r="QD46" s="43" t="str">
        <f t="shared" si="149"/>
        <v/>
      </c>
      <c r="QE46" s="43" t="str">
        <f t="shared" si="150"/>
        <v/>
      </c>
      <c r="QF46" s="43" t="str">
        <f t="shared" si="151"/>
        <v/>
      </c>
      <c r="QG46" s="43" t="str">
        <f t="shared" si="152"/>
        <v/>
      </c>
      <c r="QH46" s="43" t="str">
        <f t="shared" si="153"/>
        <v/>
      </c>
      <c r="QI46" s="43" t="str">
        <f t="shared" si="154"/>
        <v/>
      </c>
      <c r="QJ46" s="43" t="str">
        <f t="shared" si="155"/>
        <v/>
      </c>
      <c r="QK46" s="43" t="str">
        <f t="shared" si="156"/>
        <v/>
      </c>
      <c r="QL46" s="43" t="str">
        <f t="shared" si="157"/>
        <v/>
      </c>
      <c r="QM46" s="43" t="str">
        <f t="shared" si="158"/>
        <v/>
      </c>
      <c r="QN46" s="43" t="str">
        <f t="shared" si="159"/>
        <v/>
      </c>
      <c r="QO46" s="43" t="str">
        <f t="shared" si="160"/>
        <v/>
      </c>
      <c r="QP46" s="43" t="str">
        <f t="shared" si="161"/>
        <v/>
      </c>
      <c r="QQ46" s="43" t="str">
        <f t="shared" si="162"/>
        <v/>
      </c>
      <c r="QR46" s="43">
        <f t="shared" si="192"/>
        <v>28</v>
      </c>
      <c r="QS46" s="43"/>
      <c r="QT46" s="21" t="str">
        <f t="shared" si="163"/>
        <v/>
      </c>
      <c r="QU46" s="21" t="str">
        <f t="shared" si="164"/>
        <v/>
      </c>
      <c r="QV46" s="21" t="str">
        <f t="shared" si="165"/>
        <v/>
      </c>
      <c r="QW46" s="21" t="str">
        <f t="shared" si="166"/>
        <v/>
      </c>
      <c r="QX46" s="21" t="str">
        <f t="shared" si="167"/>
        <v/>
      </c>
      <c r="QY46" s="21" t="str">
        <f t="shared" si="168"/>
        <v/>
      </c>
      <c r="QZ46" s="21" t="str">
        <f t="shared" si="169"/>
        <v/>
      </c>
      <c r="RA46" s="21" t="str">
        <f t="shared" si="170"/>
        <v/>
      </c>
      <c r="RB46" s="21" t="str">
        <f t="shared" si="171"/>
        <v/>
      </c>
      <c r="RC46" s="21" t="str">
        <f t="shared" si="172"/>
        <v/>
      </c>
      <c r="RD46" s="21" t="str">
        <f t="shared" si="173"/>
        <v/>
      </c>
      <c r="RE46" s="21" t="str">
        <f t="shared" si="174"/>
        <v/>
      </c>
      <c r="RF46" s="21" t="str">
        <f t="shared" si="175"/>
        <v/>
      </c>
      <c r="RG46" s="21" t="str">
        <f t="shared" si="176"/>
        <v/>
      </c>
      <c r="RH46" s="21" t="str">
        <f t="shared" si="177"/>
        <v/>
      </c>
      <c r="RI46" s="21" t="str">
        <f t="shared" si="178"/>
        <v/>
      </c>
      <c r="RJ46" s="21" t="str">
        <f t="shared" si="179"/>
        <v/>
      </c>
      <c r="RK46" s="21" t="str">
        <f t="shared" si="180"/>
        <v/>
      </c>
      <c r="RL46" s="21" t="str">
        <f t="shared" si="181"/>
        <v/>
      </c>
      <c r="RM46" s="21" t="str">
        <f t="shared" si="182"/>
        <v/>
      </c>
      <c r="RN46" s="21" t="str">
        <f t="shared" si="183"/>
        <v/>
      </c>
      <c r="RO46" s="21" t="str">
        <f t="shared" si="184"/>
        <v/>
      </c>
      <c r="RP46" s="21" t="str">
        <f t="shared" si="185"/>
        <v/>
      </c>
      <c r="RQ46" s="21" t="str">
        <f t="shared" si="186"/>
        <v/>
      </c>
      <c r="RR46" s="21" t="str">
        <f t="shared" si="187"/>
        <v/>
      </c>
      <c r="RS46" s="21" t="str">
        <f t="shared" si="188"/>
        <v/>
      </c>
      <c r="RT46" s="21" t="str">
        <f t="shared" si="189"/>
        <v/>
      </c>
      <c r="RU46" s="21" t="str">
        <f t="shared" si="190"/>
        <v/>
      </c>
      <c r="RV46" s="21">
        <f t="shared" si="191"/>
        <v>-1</v>
      </c>
      <c r="RW46" s="284">
        <f>IF(OR(Tabla1[[#This Row],[FUM FORMULA CONFIABLE]]="",Tabla1[[#This Row],[FUM FORMULA CONFIABLE]]="SD"),"",IF(Tabla1[[#This Row],[FUM FORMULA CONFIABLE]]="CORREGIDA",Tabla1[[#This Row],[FUM X ECO 1]],Tabla1[[#This Row],[FUM x AMENORREA]]))</f>
        <v>44828</v>
      </c>
      <c r="RX46" s="21">
        <f>IF(AND(Tabla1[[#This Row],[FUM X ECO 1]]="",Tabla1[[#This Row],[FUM x AMENORREA]]=""),"",IF(AND(Tabla1[[#This Row],[FUM X ECO 1]]="",Tabla1[[#This Row],[FUM x AMENORREA]]&lt;&gt;""),"X",SUM(Tabla1[[#This Row],[FUM X ECO 1]]-Tabla1[[#This Row],[FUM x AMENORREA]])))</f>
        <v>-5.1999999999970896</v>
      </c>
      <c r="RY46" s="21">
        <f t="shared" si="193"/>
        <v>0</v>
      </c>
    </row>
    <row r="47" spans="1:493" ht="45" customHeight="1" x14ac:dyDescent="0.25">
      <c r="A47" s="109" t="s">
        <v>1114</v>
      </c>
      <c r="B47" s="43"/>
      <c r="C47" s="43" t="s">
        <v>845</v>
      </c>
      <c r="D47" s="124" t="s">
        <v>846</v>
      </c>
      <c r="E47" s="43" t="s">
        <v>1115</v>
      </c>
      <c r="F47" s="43" t="s">
        <v>1116</v>
      </c>
      <c r="G47" s="43" t="s">
        <v>1117</v>
      </c>
      <c r="H47" s="43" t="s">
        <v>1118</v>
      </c>
      <c r="I47" s="109" t="s">
        <v>851</v>
      </c>
      <c r="J47" s="110">
        <v>1059597252</v>
      </c>
      <c r="K47" s="43" t="s">
        <v>852</v>
      </c>
      <c r="L47" s="175" t="s">
        <v>853</v>
      </c>
      <c r="M47" s="22">
        <v>32470</v>
      </c>
      <c r="N47" s="213">
        <f t="shared" ca="1" si="0"/>
        <v>34.964383561643835</v>
      </c>
      <c r="O47" s="22">
        <v>44877</v>
      </c>
      <c r="P47" s="214" t="str">
        <f t="shared" si="194"/>
        <v>SI</v>
      </c>
      <c r="Q47" s="26" t="s">
        <v>855</v>
      </c>
      <c r="R47" s="22">
        <v>44877</v>
      </c>
      <c r="S47" s="21" t="s">
        <v>856</v>
      </c>
      <c r="T47" s="24" t="s">
        <v>690</v>
      </c>
      <c r="U47" s="21" t="s">
        <v>857</v>
      </c>
      <c r="V47" s="21" t="s">
        <v>858</v>
      </c>
      <c r="W47" s="21" t="s">
        <v>1119</v>
      </c>
      <c r="X47" s="21" t="s">
        <v>1119</v>
      </c>
      <c r="Y47" s="21" t="s">
        <v>859</v>
      </c>
      <c r="Z47" s="21">
        <v>3144933072</v>
      </c>
      <c r="AA47" s="21" t="s">
        <v>860</v>
      </c>
      <c r="AB47" s="27" t="s">
        <v>861</v>
      </c>
      <c r="AC47" s="26" t="s">
        <v>862</v>
      </c>
      <c r="AD47" s="38" t="s">
        <v>846</v>
      </c>
      <c r="AE47" s="26" t="s">
        <v>854</v>
      </c>
      <c r="AF47" s="26" t="s">
        <v>854</v>
      </c>
      <c r="AG47" s="23" t="s">
        <v>864</v>
      </c>
      <c r="AH47" s="23" t="s">
        <v>864</v>
      </c>
      <c r="AI47" s="24" t="s">
        <v>863</v>
      </c>
      <c r="AJ47" s="23" t="s">
        <v>864</v>
      </c>
      <c r="AK47" s="220" t="str">
        <f>IF(AND(AD47="",AE47="",AF47="",AG47="",AH47="",AI47="",AJ47=""),"",IF(OR(Tabla1[[#This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EVALUACIÓN",IF(AND(O47="",R47=""),"",IF(AND(OR(O47&gt;0,R47&gt;0),NG47&gt;=0,NG47&lt;2),"SIN RIESGO",IF(AND(OR(O47&gt;0,R47&gt;0),NG47&gt;=2),"CON RIESGO","ASD")))))</f>
        <v>SIN RIESGO</v>
      </c>
      <c r="AL47" s="23" t="s">
        <v>864</v>
      </c>
      <c r="AM47" s="26" t="s">
        <v>864</v>
      </c>
      <c r="AN47" s="26" t="s">
        <v>864</v>
      </c>
      <c r="AO47" s="26" t="s">
        <v>864</v>
      </c>
      <c r="AP47" s="26" t="s">
        <v>864</v>
      </c>
      <c r="AQ47" s="26" t="s">
        <v>864</v>
      </c>
      <c r="AR47" s="26" t="s">
        <v>864</v>
      </c>
      <c r="AS47" s="21">
        <v>1</v>
      </c>
      <c r="AT47" s="21">
        <v>1</v>
      </c>
      <c r="AU47" s="21">
        <v>0</v>
      </c>
      <c r="AV47" s="26" t="s">
        <v>864</v>
      </c>
      <c r="AW47" s="21">
        <v>0</v>
      </c>
      <c r="AX47" s="26" t="s">
        <v>864</v>
      </c>
      <c r="AY47" s="26" t="s">
        <v>864</v>
      </c>
      <c r="AZ47" s="26" t="s">
        <v>864</v>
      </c>
      <c r="BA47" s="26" t="s">
        <v>864</v>
      </c>
      <c r="BB47" s="26" t="s">
        <v>864</v>
      </c>
      <c r="BC47" s="26" t="s">
        <v>864</v>
      </c>
      <c r="BD47" s="26" t="s">
        <v>864</v>
      </c>
      <c r="BE47" s="26" t="s">
        <v>864</v>
      </c>
      <c r="BF47" s="26" t="s">
        <v>864</v>
      </c>
      <c r="BG47" s="26" t="s">
        <v>864</v>
      </c>
      <c r="BH47" s="26" t="s">
        <v>864</v>
      </c>
      <c r="BI47" s="26" t="s">
        <v>864</v>
      </c>
      <c r="BJ47" s="26"/>
      <c r="BK47" s="26"/>
      <c r="BL47" s="26" t="s">
        <v>864</v>
      </c>
      <c r="BM47" s="26" t="s">
        <v>864</v>
      </c>
      <c r="BN47" s="22"/>
      <c r="BO47" s="22">
        <v>44735</v>
      </c>
      <c r="BP47" s="21" t="s">
        <v>854</v>
      </c>
      <c r="BQ47" s="222">
        <f t="shared" si="2"/>
        <v>0</v>
      </c>
      <c r="BR47" s="223">
        <f t="shared" si="3"/>
        <v>44735</v>
      </c>
      <c r="BS47" s="224">
        <f t="shared" si="4"/>
        <v>20.285714285714285</v>
      </c>
      <c r="BT47" s="216" t="str">
        <f t="shared" si="5"/>
        <v>II TRIM</v>
      </c>
      <c r="BU47" s="214" t="str">
        <f t="shared" ca="1" si="6"/>
        <v/>
      </c>
      <c r="BV47" s="25"/>
      <c r="BW47" s="22">
        <v>44910</v>
      </c>
      <c r="BX47" s="28">
        <v>25</v>
      </c>
      <c r="BY47" s="28"/>
      <c r="BZ47" s="22"/>
      <c r="CA47" s="21"/>
      <c r="CB47" s="26" t="s">
        <v>864</v>
      </c>
      <c r="CC47" s="26" t="s">
        <v>864</v>
      </c>
      <c r="CD47" s="26" t="s">
        <v>972</v>
      </c>
      <c r="CE47" s="26" t="s">
        <v>864</v>
      </c>
      <c r="CF47" s="22" t="s">
        <v>1517</v>
      </c>
      <c r="CG47" s="21">
        <v>1.57</v>
      </c>
      <c r="CH47" s="21">
        <v>75</v>
      </c>
      <c r="CI47" s="214">
        <f t="shared" si="7"/>
        <v>30.427197857925268</v>
      </c>
      <c r="CJ47" s="225" t="e">
        <f>IF(AND(CI47&lt;10,CH47="SD"),"SIN DATO PESO PREGESTACION O I TRIM",IF(AND(OR(R47&gt;0,O47&gt;0),CI47="X"),"INGRESAR DATO DE PESO",IF(CI47="SD","INGRESAR DATO DE TALLA Y PESO",IF(AND(OR(Tabla1[[#This Row],[MOMENTO EN QUE SE REALIZA EL PESO AL INGRESO A CPN]]="PREGESTACIÓN",NZ47="Menor"),CI47&lt;18.5),"BAJO PESO",IF(AND(OR(Tabla1[[#This Row],[MOMENTO EN QUE SE REALIZA EL PESO AL INGRESO A CPN]]="PREGESTACIÓN",NZ47="Menor"),CI47&lt;25),"NORMAL",IF(AND(OR(Tabla1[[#This Row],[MOMENTO EN QUE SE REALIZA EL PESO AL INGRESO A CPN]]="PREGESTACIÓN",NZ47="Menor"),CI47&lt;30),"SOBREPESO",IF(AND(OR(Tabla1[[#This Row],[MOMENTO EN QUE SE REALIZA EL PESO AL INGRESO A CPN]]="PREGESTACIÓN",NZ47="Menor"),CI47&gt;=30,CI47&lt;50),"OBESIDAD",IF(AND(BS47&gt;0,Tabla1[[#This Row],[MOMENTO EN QUE SE REALIZA EL PESO AL INGRESO A CPN]]="GESTACIÓN"),HLOOKUP(NZ47,$OA$2:PH47,NY47),""))))))))</f>
        <v>#REF!</v>
      </c>
      <c r="CK47" s="212">
        <f t="shared" si="8"/>
        <v>44996</v>
      </c>
      <c r="CL47" s="21"/>
      <c r="CM47" s="214">
        <f t="shared" si="9"/>
        <v>0</v>
      </c>
      <c r="CN47" s="216">
        <f t="shared" si="10"/>
        <v>37</v>
      </c>
      <c r="CO47" s="216" t="e">
        <f>IF(PI47="","",IF(PI47&gt;0,HLOOKUP(PI47,$PJ$2:QQ47,NY47),""))</f>
        <v>#REF!</v>
      </c>
      <c r="CP47" s="21"/>
      <c r="CQ47" s="216" t="e">
        <f>IF(QR47="Menor","NO APLICA-MENOR 13 SEM",IF(AND(CC47="SI",CN47&gt;23),"NO APLICA- GEMELAR",IF(QR47="","",IF(QR47&gt;0,HLOOKUP(QR47,$QS$2:RU47,NY47),""))))</f>
        <v>#REF!</v>
      </c>
      <c r="CR47" s="21">
        <v>100</v>
      </c>
      <c r="CS47" s="21">
        <v>70</v>
      </c>
      <c r="CT47" s="217" t="str">
        <f>IF(R47="","",IF(AND(BS47&gt;1,BS47&lt;12,Tabla1[[#This Row],[T.A. SISTOLICA - ANTES DE SEMANA 12]]="",Tabla1[[#This Row],[T.A. DIASTOLICA - ANTES DE SEMANA 12]]=""),"REGISTRE DATO TA ANTES SEMANA 12",IF(AND(BS47&gt;11,BS47&lt;43,Tabla1[[#This Row],[T.A. SISTOLICA - ANTES DE SEMANA 12]]="",Tabla1[[#This Row],[T.A. DIASTOLICA - ANTES DE SEMANA 12]]=""),"NO APLICA REGISTRO TA-INGRESO TARDIO",IF(AND(OR(O47&gt;0,R47&gt;0),OR(CR47&gt;=140,CS47&gt;=90)),"DEFINIR ESTADIO HTA",IF(AND(OR(O47&gt;0,R47&gt;0),AND(CR47&gt;120,CR47&lt;=139)),"PRE HTA SEGUIMIENTO",IF(AND(OR(O47&gt;0,R47&gt;0),AND(CS47&gt;80,CS47&lt;=89)),"PRE HTA SEGUIMIENTO",IF(AND(OR(O47&gt;0,R47&gt;0),AND(CR47&gt;=80,CR47&lt;=120)),"APARENTEMENTE NORMAL",IF(AND(OR(O47&gt;0,R47&gt;0),AND(CS47&gt;=50,CS47&lt;=80)),"APARENTEMENTE NORMAL",IF(AND(OR(O47&gt;0,R47&gt;0),AND(CR47&gt;1,CR47&lt;=70),AND(CS47&gt;1,CS47&lt;=40)),"HIPOTENSIÓN","")))))))))</f>
        <v>APARENTEMENTE NORMAL</v>
      </c>
      <c r="CU47" s="21"/>
      <c r="CV47" s="21"/>
      <c r="CW47" s="217" t="str">
        <f ca="1">IF(R47="","",IF(AND(CN47&gt;19,CN47&lt;27,Tabla1[[#This Row],[T.A. SISTOLICA (Entre semana 20 y 26)]]="",Tabla1[[#This Row],[T.A. DIATOLICA (Entre semana 20 y 26)]]=""),"ACUDE A CONTROL SEM 20 A 26 REGISTRE TA AHORA",IF(AND(BS47&gt;1,BS47&lt;27,BU47&gt;19,Tabla1[[#This Row],[T.A. SISTOLICA (Entre semana 20 y 26)]]="",Tabla1[[#This Row],[T.A. DIATOLICA (Entre semana 20 y 26)]]=""),"COMPLETE REGISTRO TA CONTROL SEM 20 A26 ",IF(AND(BS47&gt;26,BS47&lt;43,Tabla1[[#This Row],[T.A. SISTOLICA (Entre semana 20 y 26)]]="",Tabla1[[#This Row],[T.A. DIATOLICA (Entre semana 20 y 26)]]=""),"NO APLICA REGISTRO TA-INGRESO TARDIO",IF(AND(OR(O47&gt;0,R47&gt;0),OR(CU47&gt;=140,CV47&gt;=90)),"ALTO RIESGO PREECLAMPSIA,DEFINIR ESTADIO HTA",IF(AND(OR(O47&gt;0,R47&gt;0),AND(CU47&gt;120,CU47&lt;=139)),"PRE HTA SEGUIMIENTO,RIESGO HIPERTENSION INDUCIDA POR EL EMBARAZO",IF(AND(OR(O47&gt;0,R47&gt;0),AND(CV47&gt;80,CV47&lt;=89)),"PRE HTA SEGUIMIENTO, RIESGO HIPERTENSION INDUCIDA POR EL EMBARAZO",IF(AND(OR(O47&lt;&gt;"",R47&lt;&gt;""),CS47&lt;&gt;"",CV47&lt;&gt;"",CS47&lt;=CV47),"VIGILAR CIFRAS PRESION ARTERIAL",IF(AND(OR(O47&gt;0,R47&gt;0),AND(CU47&gt;120,CU47&lt;=139)),"PRE HTA SEGUIMIENTO",IF(AND(OR(O47&gt;0,R47&gt;0),AND(CU47&gt;1,CU47&lt;=70),AND(CV47&gt;1,CV47&lt;=40)),"HIPOTENSIÓN",IF(AND(OR(O47&lt;&gt;"",R47&lt;&gt;""),CS47&lt;&gt;"",CV47&lt;&gt;"",CS47&gt;CV47),"APARENTEMENTE NORMAL",IF(AND(OR(O47&gt;0,R47&gt;0),AND(CU47&gt;=80,CU47&lt;=120)),"APARENTEMENTE NORMAL",IF(AND(OR(O47&gt;0,R47&gt;0),AND(CV47&gt;=50,CV47&lt;=80)),"APARENTEMENTE NORMAL","")))))))))))))</f>
        <v xml:space="preserve">COMPLETE REGISTRO TA CONTROL SEM 20 A26 </v>
      </c>
      <c r="CX47" s="21">
        <v>100</v>
      </c>
      <c r="CY47" s="21">
        <v>80</v>
      </c>
      <c r="CZ47" s="216" t="str">
        <f t="shared" si="195"/>
        <v>VIGILAR CIFRAS PRESION ARTERIAL</v>
      </c>
      <c r="DA47" s="21"/>
      <c r="DB47" s="21"/>
      <c r="DC47" s="217" t="str">
        <f t="shared" si="12"/>
        <v>REGISTRE DATO PRESIÓN ARTERIAL MENSUAL</v>
      </c>
      <c r="DD47" s="22">
        <v>44877</v>
      </c>
      <c r="DE47" s="22">
        <v>44877</v>
      </c>
      <c r="DF47" s="22">
        <v>44922</v>
      </c>
      <c r="DG47" s="22">
        <v>44960</v>
      </c>
      <c r="DH47" s="22">
        <v>44996</v>
      </c>
      <c r="DI47" s="22"/>
      <c r="DJ47" s="22"/>
      <c r="DK47" s="22"/>
      <c r="DL47" s="22"/>
      <c r="DM47" s="22"/>
      <c r="DN47" s="22"/>
      <c r="DO47" s="22"/>
      <c r="DP47" s="22"/>
      <c r="DQ47" s="22"/>
      <c r="DR47" s="28">
        <v>1</v>
      </c>
      <c r="DS47" s="22"/>
      <c r="DT47" s="22"/>
      <c r="DU47" s="216" t="str">
        <f t="shared" ca="1" si="196"/>
        <v>CONCERTAR PLAN DE PARTO INMEDIATO</v>
      </c>
      <c r="DV47" s="226" t="str">
        <f t="shared" si="197"/>
        <v>ACTIVA INGRESO A CPN</v>
      </c>
      <c r="DW4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47" s="216" t="e">
        <f t="shared" ca="1" si="15"/>
        <v>#REF!</v>
      </c>
      <c r="DY47" s="212">
        <f>IF(R47="","",IF(R47&gt;0,MAX(Tabla1[[#This Row],[FECHA C2]:[FECHA C13]],Tabla1[[#This Row],[FECHA CONSULTA PRIMERA VEZ PROGRAMA CPN ]])))</f>
        <v>44996</v>
      </c>
      <c r="DZ47" s="216">
        <f t="shared" si="16"/>
        <v>37</v>
      </c>
      <c r="EA47" s="222">
        <f>IF(R47&gt;0,SUM(COUNTA(DF47:DQ47)+COUNTA(Tabla1[[#This Row],[FECHA CONSULTA PRIMERA VEZ PROGRAMA CPN ]])),"")</f>
        <v>4</v>
      </c>
      <c r="EB47" s="222" t="str">
        <f t="shared" si="17"/>
        <v>SI</v>
      </c>
      <c r="EC47" s="214">
        <f t="shared" si="18"/>
        <v>6</v>
      </c>
      <c r="ED47" s="227">
        <f t="shared" si="19"/>
        <v>0.66666666666666663</v>
      </c>
      <c r="EE47" s="22">
        <v>44877</v>
      </c>
      <c r="EF47" s="22">
        <v>44877</v>
      </c>
      <c r="EG47" s="22">
        <v>44877</v>
      </c>
      <c r="EH47" s="22"/>
      <c r="EI47" s="22">
        <v>44877</v>
      </c>
      <c r="EJ47" s="22">
        <v>44911</v>
      </c>
      <c r="EK47" s="22">
        <v>44911</v>
      </c>
      <c r="EL47" s="21">
        <v>1</v>
      </c>
      <c r="EM47" s="21">
        <v>14.2</v>
      </c>
      <c r="EN47" s="22">
        <v>44877</v>
      </c>
      <c r="EO47" s="222">
        <f t="shared" si="20"/>
        <v>20.285714285714285</v>
      </c>
      <c r="EP47" s="214" t="str">
        <f t="shared" si="21"/>
        <v>NO DAR SULFATO FERROSO</v>
      </c>
      <c r="EQ47" s="216" t="str">
        <f t="shared" si="22"/>
        <v>II TRIM</v>
      </c>
      <c r="ER47" s="24"/>
      <c r="ES47" s="22"/>
      <c r="ET47" s="29" t="str">
        <f t="shared" ca="1" si="198"/>
        <v>TOMA DE HEMOGLOBINA TARDÍA</v>
      </c>
      <c r="EU47" s="25" t="str">
        <f t="shared" si="24"/>
        <v/>
      </c>
      <c r="EV47" s="24" t="s">
        <v>866</v>
      </c>
      <c r="EW47" s="24">
        <v>44877</v>
      </c>
      <c r="EX47" s="22"/>
      <c r="EY47" s="29">
        <f t="shared" si="199"/>
        <v>20.285714285714285</v>
      </c>
      <c r="EZ47" s="25" t="str">
        <f t="shared" ca="1" si="200"/>
        <v/>
      </c>
      <c r="FA47" s="21">
        <v>91</v>
      </c>
      <c r="FB47" s="22">
        <v>44877</v>
      </c>
      <c r="FC47" s="29">
        <f t="shared" si="27"/>
        <v>20.285714285714285</v>
      </c>
      <c r="FD47" s="29"/>
      <c r="FE47" s="29"/>
      <c r="FF47" s="29"/>
      <c r="FG47" s="21" t="str">
        <f t="shared" ca="1" si="28"/>
        <v/>
      </c>
      <c r="FH47" s="31"/>
      <c r="FI47" s="29" t="str">
        <f t="shared" si="29"/>
        <v>TOMAR EXAMEN</v>
      </c>
      <c r="FJ47" s="22"/>
      <c r="FK47" s="22"/>
      <c r="FL47" s="29" t="str">
        <f t="shared" ca="1" si="30"/>
        <v>NO APLICA-INGRESO TARDIO</v>
      </c>
      <c r="FM47" s="22" t="s">
        <v>867</v>
      </c>
      <c r="FN47" s="32">
        <v>44877</v>
      </c>
      <c r="FO47" s="29">
        <f t="shared" ca="1" si="201"/>
        <v>20.285714285714285</v>
      </c>
      <c r="FP47" s="22" t="s">
        <v>867</v>
      </c>
      <c r="FQ47" s="32">
        <v>44960</v>
      </c>
      <c r="FR47" s="29">
        <f t="shared" ca="1" si="202"/>
        <v>32.142857142857146</v>
      </c>
      <c r="FS47" s="22"/>
      <c r="FT47" s="32"/>
      <c r="FU47" s="29" t="str">
        <f>IF(AND(FJ47="",FM47="",FP47="",FS47=""),"",IF(OR(OR(Tabla1[[#This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47" s="28"/>
      <c r="FW47" s="22"/>
      <c r="FX47" s="29" t="str">
        <f t="shared" si="33"/>
        <v>TOMAR EXAMEN</v>
      </c>
      <c r="FY47" s="22">
        <v>44877</v>
      </c>
      <c r="FZ47" s="22">
        <v>44877</v>
      </c>
      <c r="GA47" s="29" t="str">
        <f t="shared" si="203"/>
        <v>REGISTRAR EN II TRIMESTRE</v>
      </c>
      <c r="GB47" s="22" t="s">
        <v>868</v>
      </c>
      <c r="GC47" s="22">
        <v>44877</v>
      </c>
      <c r="GD47" s="29">
        <f t="shared" ca="1" si="204"/>
        <v>20.285714285714285</v>
      </c>
      <c r="GE47" s="22" t="s">
        <v>868</v>
      </c>
      <c r="GF47" s="22">
        <v>44960</v>
      </c>
      <c r="GG47" s="29">
        <f t="shared" ca="1" si="205"/>
        <v>32.142857142857146</v>
      </c>
      <c r="GH47" s="22"/>
      <c r="GI47" s="29"/>
      <c r="GJ47" s="22"/>
      <c r="GK47" s="22"/>
      <c r="GL47" s="22" t="s">
        <v>879</v>
      </c>
      <c r="GM47" s="22"/>
      <c r="GN47" s="28" t="s">
        <v>869</v>
      </c>
      <c r="GO47" s="22">
        <v>44877</v>
      </c>
      <c r="GP47" s="29">
        <f t="shared" si="37"/>
        <v>20.285714285714285</v>
      </c>
      <c r="GQ47" s="28" t="s">
        <v>869</v>
      </c>
      <c r="GR47" s="28" t="s">
        <v>869</v>
      </c>
      <c r="GS47" s="22" t="str">
        <f t="shared" si="206"/>
        <v>CONTROL Igm</v>
      </c>
      <c r="GT47" s="22">
        <v>44877</v>
      </c>
      <c r="GU47" s="29">
        <f t="shared" si="39"/>
        <v>20.285714285714285</v>
      </c>
      <c r="GV47" s="21" t="str">
        <f t="shared" si="40"/>
        <v>II TRIM</v>
      </c>
      <c r="GW47" s="28" t="s">
        <v>869</v>
      </c>
      <c r="GX47" s="30"/>
      <c r="GY47" s="21"/>
      <c r="GZ47" s="21"/>
      <c r="HA47" s="21"/>
      <c r="HB47" s="21"/>
      <c r="HC47" s="21"/>
      <c r="HD47" s="21"/>
      <c r="HE47" s="21"/>
      <c r="HF47" s="22"/>
      <c r="HG47" s="22" t="str">
        <f>IF(OR(O47&gt;0,R47&gt;0),CONCATENATE(IF(Tabla1[[#This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47" s="22" t="e">
        <f t="shared" si="41"/>
        <v>#REF!</v>
      </c>
      <c r="HI47" s="22" t="e">
        <f t="shared" ca="1" si="42"/>
        <v>#REF!</v>
      </c>
      <c r="HJ47" s="21" t="str">
        <f t="shared" ca="1" si="43"/>
        <v>***************************************</v>
      </c>
      <c r="HK47" s="21" t="str">
        <f t="shared" si="44"/>
        <v>SIN ANTECEDENTES DE RIESGO</v>
      </c>
      <c r="HL47" s="24" t="str">
        <f t="shared" si="45"/>
        <v>REGISTRE DATO PRESIÓN ARTERIAL MENSUAL</v>
      </c>
      <c r="HM47" s="21" t="e">
        <f t="shared" ca="1" si="46"/>
        <v>#REF!</v>
      </c>
      <c r="HN47" s="30" t="str">
        <f t="shared" si="207"/>
        <v>ACTIVA INGRESO A CPN</v>
      </c>
      <c r="HO47" s="21"/>
      <c r="HP47" s="21"/>
      <c r="HQ47" s="21">
        <v>44877</v>
      </c>
      <c r="HR47" s="21" t="str">
        <f>IF(R47="","",IF(Tabla1[[#This Row],[ALARMA FACTORES DE RIESGO COMPLICACIONES HIPERTENSIVAS3]]="SIN ANTECEDENTES DE RIESGO","No Aplica para suministro de ASA",IF(AND(Tabla1[[#This Row],[FECHA INICIO DE SUMINISTRO DE ASA]]&gt;0,RV47&lt;12),"Inicia ASA ANTES de Sem 12",IF(AND(RV47&gt;11,RV47&lt;17,OR(HK47="RIESGO ALTO DE COMPLICACIONES HIPERTENSIVAS VER MANEJO GUIA SUMINISTRO ASA Y CALCIO",HK47="RIESGO MODERADO (2 O MAS CRITERIOS) VER MANEJO GUIA SUMINISTRO ASA Y CALCIO")),"Inicio oportuno de ASA",IF(AND(RV47&gt;12,OR(HK47="RIESGO ALTO DE COMPLICACIONES HIPERTENSIVAS VER MANEJO GUIA SUMINISTRO ASA Y CALCIO",HK47="RIESGO MODERADO (2 O MAS CRITERIOS) VER MANEJO GUIA SUMINISTRO ASA Y CALCIO")),"Inicio no oportuno mayor a 16 semanas",IF(AND(BU47&lt;12,OR(HK47="RIESGO ALTO DE COMPLICACIONES HIPERTENSIVAS VER MANEJO GUIA SUMINISTRO ASA Y CALCIO",HK47="RIESGO MODERADO (2 O MAS CRITERIOS) VER MANEJO GUIA SUMINISTRO ASA Y CALCIO")),"Pendiente Inicio de ASA a la semana 12",IF(AND(BU47&gt;11,BU47&lt;17,OR(HK47="RIESGO ALTO DE COMPLICACIONES HIPERTENSIVAS VER MANEJO GUIA SUMINISTRO ASA Y CALCIO",HK47="RIESGO MODERADO (2 O MAS CRITERIOS) VER MANEJO GUIA SUMINISTRO ASA Y CALCIO")),"Iniciar de inmediato ASA",IF(AND(BU47&gt;16,OR(HK47="RIESGO ALTO DE COMPLICACIONES HIPERTENSIVAS VER MANEJO GUIA SUMINISTRO ASA Y CALCIO",HK47="RIESGO MODERADO (2 O MAS CRITERIOS) VER MANEJO GUIA SUMINISTRO ASA Y CALCIO")),"Pierde Oportunidad, Inicio tardío de ASA","XXXXX"))))))))</f>
        <v>No Aplica para suministro de ASA</v>
      </c>
      <c r="HS47" s="22">
        <v>44877</v>
      </c>
      <c r="HT47" s="22" t="s">
        <v>870</v>
      </c>
      <c r="HU47" s="22">
        <v>44877</v>
      </c>
      <c r="HV47" s="22" t="s">
        <v>870</v>
      </c>
      <c r="HW47" s="22"/>
      <c r="HX47" s="22"/>
      <c r="HY47" s="22">
        <v>44922</v>
      </c>
      <c r="HZ47" s="28">
        <f t="shared" si="48"/>
        <v>26.714285714285715</v>
      </c>
      <c r="IA47" s="26" t="s">
        <v>864</v>
      </c>
      <c r="IB47" s="26"/>
      <c r="IC47" s="111"/>
      <c r="ID47" s="22"/>
      <c r="IE47" s="22" t="str">
        <f t="shared" ca="1" si="49"/>
        <v/>
      </c>
      <c r="IF47" s="22"/>
      <c r="IG47" s="22">
        <f t="shared" si="50"/>
        <v>45015</v>
      </c>
      <c r="IH47" s="29">
        <f t="shared" ca="1" si="51"/>
        <v>-217</v>
      </c>
      <c r="II47" s="22" t="str">
        <f t="shared" ca="1" si="52"/>
        <v>POSIBLEMENTE NACIO</v>
      </c>
      <c r="IJ47" s="22"/>
      <c r="IK47" s="21"/>
      <c r="IL47" s="21"/>
      <c r="IM47" s="34"/>
      <c r="IN47" s="349"/>
      <c r="IO47" s="21"/>
      <c r="IP47" s="29" t="str">
        <f t="shared" si="208"/>
        <v/>
      </c>
      <c r="IQ47" s="110"/>
      <c r="IR47" s="21"/>
      <c r="IS47" s="21"/>
      <c r="IT47" s="21"/>
      <c r="IU47" s="21"/>
      <c r="IV47" s="21"/>
      <c r="IW47" s="21"/>
      <c r="IX47" s="21"/>
      <c r="IY47" s="21"/>
      <c r="IZ47" s="21"/>
      <c r="JA47" s="21"/>
      <c r="JB47" s="30"/>
      <c r="JC47" s="21"/>
      <c r="JD47" s="36"/>
      <c r="JE47" s="21" t="str">
        <f t="shared" si="209"/>
        <v/>
      </c>
      <c r="JF47" s="30"/>
      <c r="JG47" s="21"/>
      <c r="JH47" s="21"/>
      <c r="JI47" s="21"/>
      <c r="JJ47" s="30"/>
      <c r="JK47" s="22"/>
      <c r="JL47" s="22"/>
      <c r="JM47" s="21"/>
      <c r="JN47" s="36"/>
      <c r="JO47" s="21" t="str">
        <f t="shared" si="210"/>
        <v/>
      </c>
      <c r="JP47" s="22"/>
      <c r="JQ47" s="21"/>
      <c r="JR47" s="21"/>
      <c r="JS47" s="21"/>
      <c r="JT47" s="30"/>
      <c r="JU47" s="22"/>
      <c r="JV47" s="22"/>
      <c r="JW47" s="33"/>
      <c r="JX47" s="28" t="str">
        <f t="shared" si="211"/>
        <v/>
      </c>
      <c r="JY47" s="33"/>
      <c r="JZ47" s="28" t="str">
        <f t="shared" si="212"/>
        <v/>
      </c>
      <c r="KA47" s="21"/>
      <c r="KB47" s="21"/>
      <c r="KC47" s="21"/>
      <c r="KD47" s="37"/>
      <c r="KE47" s="28"/>
      <c r="KF47" s="28"/>
      <c r="KG47" s="28"/>
      <c r="KH47" s="39"/>
      <c r="KI47" s="39"/>
      <c r="KJ47" s="66"/>
      <c r="KK47" s="39"/>
      <c r="KL47" s="39"/>
      <c r="KM47" s="66"/>
      <c r="KN47" s="39"/>
      <c r="KO47" s="39"/>
      <c r="KP47" s="39"/>
      <c r="KQ47" s="39"/>
      <c r="KR47" s="39"/>
      <c r="KS47" s="39"/>
      <c r="KT47" s="39"/>
      <c r="KU47" s="38"/>
      <c r="KV47" s="38"/>
      <c r="KW47" s="38"/>
      <c r="KX47" s="38"/>
      <c r="KY47" s="38"/>
      <c r="KZ47" s="38"/>
      <c r="LA47" s="38"/>
      <c r="LB47" s="38"/>
      <c r="LC47" s="38"/>
      <c r="LD47" s="38"/>
      <c r="LE47" s="38"/>
      <c r="LF47" s="38"/>
      <c r="LG47" s="38"/>
      <c r="LH47" s="38"/>
      <c r="LI47" s="38"/>
      <c r="LJ47" s="38"/>
      <c r="LK47" s="38"/>
      <c r="LL47" s="38"/>
      <c r="LM47" s="38"/>
      <c r="LN47" s="38"/>
      <c r="LO47" s="38"/>
      <c r="LP47" s="38"/>
      <c r="LQ47" s="38"/>
      <c r="LR47" s="38"/>
      <c r="LS47" s="38"/>
      <c r="LT47" s="38"/>
      <c r="LU47" s="38"/>
      <c r="LV47" s="38"/>
      <c r="LW47" s="38"/>
      <c r="LX47" s="38"/>
      <c r="LY47" s="38"/>
      <c r="LZ47" s="38"/>
      <c r="MA47" s="38"/>
      <c r="MB47" s="38"/>
      <c r="MC47" s="38"/>
      <c r="MD47" s="38"/>
      <c r="ME47" s="38"/>
      <c r="MF47" s="38"/>
      <c r="MG47" s="38"/>
      <c r="MH47" s="43">
        <f t="shared" si="213"/>
        <v>0</v>
      </c>
      <c r="MI47" s="43" t="str">
        <f t="shared" si="214"/>
        <v/>
      </c>
      <c r="MJ47" s="43" t="str">
        <f t="shared" si="215"/>
        <v/>
      </c>
      <c r="MK47" s="43">
        <f t="shared" si="216"/>
        <v>0</v>
      </c>
      <c r="ML4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47" s="43">
        <f t="shared" si="217"/>
        <v>20.285714285714285</v>
      </c>
      <c r="MN47" s="43">
        <f t="shared" si="218"/>
        <v>11</v>
      </c>
      <c r="MO47" s="43">
        <f t="shared" si="219"/>
        <v>2022</v>
      </c>
      <c r="MP47" s="43" t="str">
        <f t="shared" si="220"/>
        <v>IV TRIMESTRE AÑO</v>
      </c>
      <c r="MQ47" s="43">
        <f t="shared" si="221"/>
        <v>33.478427507665351</v>
      </c>
      <c r="MR47" s="43">
        <f t="shared" si="222"/>
        <v>0</v>
      </c>
      <c r="MS47" s="43" t="str">
        <f t="shared" si="223"/>
        <v xml:space="preserve"> DE 30 A 34 AÑOS</v>
      </c>
      <c r="MT47" s="43">
        <f t="shared" si="224"/>
        <v>0</v>
      </c>
      <c r="MU47" s="43">
        <f t="shared" si="225"/>
        <v>0</v>
      </c>
      <c r="MV47" s="43">
        <f t="shared" si="226"/>
        <v>0</v>
      </c>
      <c r="MW47" s="43">
        <f t="shared" si="227"/>
        <v>0</v>
      </c>
      <c r="MX47" s="43" t="str">
        <f t="shared" si="228"/>
        <v/>
      </c>
      <c r="MY47" s="43" t="str">
        <f t="shared" ca="1" si="229"/>
        <v/>
      </c>
      <c r="MZ47" s="43" t="str">
        <f t="shared" si="230"/>
        <v/>
      </c>
      <c r="NA47" s="43" t="str">
        <f t="shared" si="231"/>
        <v/>
      </c>
      <c r="NB47" s="43" t="str">
        <f t="shared" si="232"/>
        <v/>
      </c>
      <c r="NC47" s="43" t="str">
        <f t="shared" si="233"/>
        <v/>
      </c>
      <c r="ND47" s="43">
        <f t="shared" ca="1" si="234"/>
        <v>0</v>
      </c>
      <c r="NE47" s="43">
        <f>IF(OR(O47&gt;0,R47&gt;0),SUM(COUNTIF(Tabla1[[#This Row],[AÑOS AL INICIO5 CPN]],"&gt;=40"),COUNTIF(AS47,"0"),COUNTIF(AR47,"SI"),COUNTIF(CC47,"SI"),COUNTIF(BQ47,"&gt;119"),COUNTIF(CI47,"&gt;=35")),"")</f>
        <v>0</v>
      </c>
      <c r="NF47" s="43" t="str">
        <f t="shared" si="235"/>
        <v/>
      </c>
      <c r="NG47" s="43">
        <f t="shared" si="236"/>
        <v>0</v>
      </c>
      <c r="NH47" s="43">
        <f t="shared" si="237"/>
        <v>175</v>
      </c>
      <c r="NI4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CPN",P47="NO"),"Z",IF(AND(Tabla1[[#This Row],[CITA PROXIMO CONTROL]]="CITA MANUAL",Tabla1[[#This Row],[GESTANTES ACTUALES]]="ACTIVA INGRESO A CPN"),"W",IF(AND(Tabla1[[#This Row],[GESTANTES ACTUALES]]="SALIO PROGRAMA",IN47=""),"S",IF(AND(Tabla1[[#This Row],[CITA PROXIMO CONTROL]]&gt;0,IN47=""),(Tabla1[[#This Row],[CITA PROXIMO CONTROL]]-TODAY()),"SD"))))))))</f>
        <v>#REF!</v>
      </c>
      <c r="NJ47" s="43">
        <f>MONTH(Tabla1[[#This Row],[FECHA DE SALIDA  DEL PROGRAMA]])</f>
        <v>1</v>
      </c>
      <c r="NK47" s="43">
        <f>YEAR(Tabla1[[#This Row],[FECHA DE SALIDA  DEL PROGRAMA]])</f>
        <v>1900</v>
      </c>
      <c r="NL47" s="43">
        <f t="shared" si="238"/>
        <v>34</v>
      </c>
      <c r="NM47" s="43" t="str">
        <f t="shared" si="239"/>
        <v>NO</v>
      </c>
      <c r="NN47" s="43" t="str">
        <f ca="1">IF(AND(O47&gt;0,R47=""),"NO CPN",IF(AND(O47="",R47=""),"",IF(AND(R47&gt;0,Tabla1[[#This Row],[SEMANAS DE GESTACION ACTUALIZADAS]]&lt;=12),"NO APLICA",IF(AND(FH47&lt;&gt;"",FN47&lt;&gt;""),"SI","NO"))))</f>
        <v>NO</v>
      </c>
      <c r="NO47" s="43" t="str">
        <f ca="1">IF(AND(O47&gt;0,R47=""),"NO CPN",IF(AND(O47="",R47=""),"",IF(AND(R47&gt;0,Tabla1[[#This Row],[SEMANAS DE GESTACION ACTUALIZADAS]]&lt;=27),"NO APLICA",IF(AND(ES47&lt;&gt;"",FQ47&lt;&gt;"",GF47&lt;&gt;""),"SI","NO"))))</f>
        <v>NO</v>
      </c>
      <c r="NP47" s="21" t="str">
        <f t="shared" si="240"/>
        <v>II TRIM</v>
      </c>
      <c r="NQ47" s="21">
        <f t="shared" si="241"/>
        <v>1</v>
      </c>
      <c r="NR47" s="21" t="str">
        <f t="shared" ca="1" si="242"/>
        <v>REVISAR FUM O FECHA SALIDA PROGRAMA</v>
      </c>
      <c r="NS47" s="205">
        <f t="shared" ca="1" si="243"/>
        <v>2</v>
      </c>
      <c r="NT47" s="21">
        <f t="shared" ca="1" si="244"/>
        <v>2</v>
      </c>
      <c r="NU47" s="21" t="str">
        <f t="shared" ca="1" si="245"/>
        <v>POR DEFINIR</v>
      </c>
      <c r="NV47" s="21" t="str">
        <f t="shared" ca="1" si="246"/>
        <v>POR DEFINIR</v>
      </c>
      <c r="NW47" s="206" t="str">
        <f>IF(AND(O47="",R47=""),"",IF(OR(AND(Tabla1[[#This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47" s="207" t="str">
        <f t="shared" ca="1" si="247"/>
        <v>SIN VACUNAR</v>
      </c>
      <c r="NY47" s="43">
        <f>ROW(Tabla1[[#This Row],['# DE TAMIZAJES SIFILIS TOMADOS ]])</f>
        <v>47</v>
      </c>
      <c r="NZ47" s="43">
        <f t="shared" si="93"/>
        <v>20</v>
      </c>
      <c r="OA47" s="43" t="str">
        <f t="shared" si="94"/>
        <v/>
      </c>
      <c r="OB47" s="43" t="str">
        <f t="shared" si="95"/>
        <v/>
      </c>
      <c r="OC47" s="43" t="str">
        <f t="shared" si="96"/>
        <v/>
      </c>
      <c r="OD47" s="43" t="str">
        <f t="shared" si="97"/>
        <v/>
      </c>
      <c r="OE47" s="43" t="str">
        <f t="shared" si="98"/>
        <v/>
      </c>
      <c r="OF47" s="43" t="str">
        <f t="shared" si="99"/>
        <v/>
      </c>
      <c r="OG47" s="43" t="str">
        <f t="shared" si="100"/>
        <v/>
      </c>
      <c r="OH47" s="43" t="str">
        <f t="shared" si="101"/>
        <v/>
      </c>
      <c r="OI47" s="43" t="str">
        <f t="shared" si="102"/>
        <v/>
      </c>
      <c r="OJ47" s="43" t="str">
        <f t="shared" si="103"/>
        <v/>
      </c>
      <c r="OK47" s="43" t="str">
        <f t="shared" si="104"/>
        <v/>
      </c>
      <c r="OL47" s="43" t="str">
        <f t="shared" si="105"/>
        <v>SOBREPESO</v>
      </c>
      <c r="OM47" s="43" t="str">
        <f t="shared" si="106"/>
        <v/>
      </c>
      <c r="ON47" s="43" t="str">
        <f t="shared" si="107"/>
        <v/>
      </c>
      <c r="OO47" s="43" t="str">
        <f t="shared" si="108"/>
        <v/>
      </c>
      <c r="OP47" s="43" t="str">
        <f t="shared" si="109"/>
        <v/>
      </c>
      <c r="OQ47" s="43" t="str">
        <f t="shared" si="110"/>
        <v/>
      </c>
      <c r="OR47" s="43" t="str">
        <f t="shared" si="111"/>
        <v/>
      </c>
      <c r="OS47" s="43" t="str">
        <f t="shared" si="112"/>
        <v/>
      </c>
      <c r="OT47" s="43" t="str">
        <f t="shared" si="113"/>
        <v/>
      </c>
      <c r="OU47" s="43" t="str">
        <f t="shared" si="114"/>
        <v/>
      </c>
      <c r="OV47" s="110" t="str">
        <f t="shared" si="115"/>
        <v/>
      </c>
      <c r="OW47" s="43" t="str">
        <f t="shared" si="116"/>
        <v/>
      </c>
      <c r="OX47" s="43" t="str">
        <f t="shared" si="117"/>
        <v/>
      </c>
      <c r="OY47" s="43" t="str">
        <f t="shared" si="118"/>
        <v/>
      </c>
      <c r="OZ47" s="43" t="str">
        <f t="shared" si="119"/>
        <v/>
      </c>
      <c r="PA47" s="43" t="str">
        <f t="shared" si="120"/>
        <v/>
      </c>
      <c r="PB47" s="43" t="str">
        <f t="shared" si="121"/>
        <v/>
      </c>
      <c r="PC47" s="43" t="str">
        <f t="shared" si="122"/>
        <v/>
      </c>
      <c r="PD47" s="43" t="str">
        <f t="shared" si="123"/>
        <v/>
      </c>
      <c r="PE47" s="43" t="str">
        <f t="shared" si="124"/>
        <v/>
      </c>
      <c r="PF47" s="43" t="str">
        <f t="shared" si="125"/>
        <v/>
      </c>
      <c r="PG47" s="43" t="str">
        <f t="shared" si="126"/>
        <v/>
      </c>
      <c r="PH47" s="43" t="str">
        <f t="shared" si="127"/>
        <v/>
      </c>
      <c r="PI47" s="43">
        <f t="shared" si="128"/>
        <v>37</v>
      </c>
      <c r="PJ47" s="43" t="str">
        <f t="shared" si="129"/>
        <v/>
      </c>
      <c r="PK47" s="43" t="str">
        <f t="shared" si="130"/>
        <v/>
      </c>
      <c r="PL47" s="43" t="str">
        <f t="shared" si="131"/>
        <v/>
      </c>
      <c r="PM47" s="43" t="str">
        <f t="shared" si="132"/>
        <v/>
      </c>
      <c r="PN47" s="43" t="str">
        <f t="shared" si="133"/>
        <v/>
      </c>
      <c r="PO47" s="43" t="str">
        <f t="shared" si="134"/>
        <v/>
      </c>
      <c r="PP47" s="43" t="str">
        <f t="shared" si="135"/>
        <v/>
      </c>
      <c r="PQ47" s="43" t="str">
        <f t="shared" si="136"/>
        <v/>
      </c>
      <c r="PR47" s="43" t="str">
        <f t="shared" si="137"/>
        <v/>
      </c>
      <c r="PS47" s="43" t="str">
        <f t="shared" si="138"/>
        <v/>
      </c>
      <c r="PT47" s="43" t="str">
        <f t="shared" si="139"/>
        <v/>
      </c>
      <c r="PU47" s="43" t="str">
        <f t="shared" si="140"/>
        <v/>
      </c>
      <c r="PV47" s="43" t="str">
        <f t="shared" si="141"/>
        <v/>
      </c>
      <c r="PW47" s="43" t="str">
        <f t="shared" si="142"/>
        <v/>
      </c>
      <c r="PX47" s="43" t="str">
        <f t="shared" si="143"/>
        <v/>
      </c>
      <c r="PY47" s="43" t="str">
        <f t="shared" si="144"/>
        <v/>
      </c>
      <c r="PZ47" s="43" t="str">
        <f t="shared" si="145"/>
        <v/>
      </c>
      <c r="QA47" s="43" t="str">
        <f t="shared" si="146"/>
        <v/>
      </c>
      <c r="QB47" s="43" t="str">
        <f t="shared" si="147"/>
        <v/>
      </c>
      <c r="QC47" s="43" t="str">
        <f t="shared" si="148"/>
        <v/>
      </c>
      <c r="QD47" s="43" t="str">
        <f t="shared" si="149"/>
        <v/>
      </c>
      <c r="QE47" s="43" t="str">
        <f t="shared" si="150"/>
        <v/>
      </c>
      <c r="QF47" s="43" t="str">
        <f t="shared" si="151"/>
        <v/>
      </c>
      <c r="QG47" s="43" t="str">
        <f t="shared" si="152"/>
        <v/>
      </c>
      <c r="QH47" s="43" t="str">
        <f t="shared" si="153"/>
        <v/>
      </c>
      <c r="QI47" s="43" t="str">
        <f t="shared" si="154"/>
        <v/>
      </c>
      <c r="QJ47" s="43" t="str">
        <f t="shared" si="155"/>
        <v/>
      </c>
      <c r="QK47" s="43" t="str">
        <f t="shared" si="156"/>
        <v/>
      </c>
      <c r="QL47" s="43" t="str">
        <f t="shared" si="157"/>
        <v/>
      </c>
      <c r="QM47" s="43" t="str">
        <f t="shared" si="158"/>
        <v/>
      </c>
      <c r="QN47" s="43" t="str">
        <f t="shared" si="159"/>
        <v/>
      </c>
      <c r="QO47" s="43" t="str">
        <f t="shared" si="160"/>
        <v/>
      </c>
      <c r="QP47" s="43" t="str">
        <f t="shared" si="161"/>
        <v/>
      </c>
      <c r="QQ47" s="43" t="str">
        <f t="shared" si="162"/>
        <v/>
      </c>
      <c r="QR47" s="43">
        <f t="shared" si="192"/>
        <v>37</v>
      </c>
      <c r="QS47" s="43"/>
      <c r="QT47" s="21" t="str">
        <f t="shared" si="163"/>
        <v/>
      </c>
      <c r="QU47" s="21" t="str">
        <f t="shared" si="164"/>
        <v/>
      </c>
      <c r="QV47" s="21" t="str">
        <f t="shared" si="165"/>
        <v/>
      </c>
      <c r="QW47" s="21" t="str">
        <f t="shared" si="166"/>
        <v/>
      </c>
      <c r="QX47" s="21" t="str">
        <f t="shared" si="167"/>
        <v/>
      </c>
      <c r="QY47" s="21" t="str">
        <f t="shared" si="168"/>
        <v/>
      </c>
      <c r="QZ47" s="21" t="str">
        <f t="shared" si="169"/>
        <v/>
      </c>
      <c r="RA47" s="21" t="str">
        <f t="shared" si="170"/>
        <v/>
      </c>
      <c r="RB47" s="21" t="str">
        <f t="shared" si="171"/>
        <v/>
      </c>
      <c r="RC47" s="21" t="str">
        <f t="shared" si="172"/>
        <v/>
      </c>
      <c r="RD47" s="21" t="str">
        <f t="shared" si="173"/>
        <v/>
      </c>
      <c r="RE47" s="21" t="str">
        <f t="shared" si="174"/>
        <v/>
      </c>
      <c r="RF47" s="21" t="str">
        <f t="shared" si="175"/>
        <v/>
      </c>
      <c r="RG47" s="21" t="str">
        <f t="shared" si="176"/>
        <v/>
      </c>
      <c r="RH47" s="21" t="str">
        <f t="shared" si="177"/>
        <v/>
      </c>
      <c r="RI47" s="21" t="str">
        <f t="shared" si="178"/>
        <v/>
      </c>
      <c r="RJ47" s="21" t="str">
        <f t="shared" si="179"/>
        <v/>
      </c>
      <c r="RK47" s="21" t="str">
        <f t="shared" si="180"/>
        <v/>
      </c>
      <c r="RL47" s="21" t="str">
        <f t="shared" si="181"/>
        <v/>
      </c>
      <c r="RM47" s="21" t="str">
        <f t="shared" si="182"/>
        <v/>
      </c>
      <c r="RN47" s="21" t="str">
        <f t="shared" si="183"/>
        <v/>
      </c>
      <c r="RO47" s="21" t="str">
        <f t="shared" si="184"/>
        <v/>
      </c>
      <c r="RP47" s="21" t="str">
        <f t="shared" si="185"/>
        <v/>
      </c>
      <c r="RQ47" s="21" t="str">
        <f t="shared" si="186"/>
        <v/>
      </c>
      <c r="RR47" s="21" t="str">
        <f t="shared" si="187"/>
        <v/>
      </c>
      <c r="RS47" s="21" t="str">
        <f t="shared" si="188"/>
        <v/>
      </c>
      <c r="RT47" s="21" t="str">
        <f t="shared" si="189"/>
        <v/>
      </c>
      <c r="RU47" s="21" t="str">
        <f t="shared" si="190"/>
        <v/>
      </c>
      <c r="RV47" s="21">
        <f t="shared" si="191"/>
        <v>20.285714285714285</v>
      </c>
      <c r="RW47" s="284">
        <f>IF(OR(Tabla1[[#This Row],[FUM FORMULA CONFIABLE]]="",Tabla1[[#This Row],[FUM FORMULA CONFIABLE]]="SD"),"",IF(Tabla1[[#This Row],[FUM FORMULA CONFIABLE]]="CORREGIDA",Tabla1[[#This Row],[FUM X ECO 1]],Tabla1[[#This Row],[FUM x AMENORREA]]))</f>
        <v>44735</v>
      </c>
      <c r="RX47" s="21">
        <f>IF(AND(Tabla1[[#This Row],[FUM X ECO 1]]="",Tabla1[[#This Row],[FUM x AMENORREA]]=""),"",IF(AND(Tabla1[[#This Row],[FUM X ECO 1]]="",Tabla1[[#This Row],[FUM x AMENORREA]]&lt;&gt;""),"X",SUM(Tabla1[[#This Row],[FUM X ECO 1]]-Tabla1[[#This Row],[FUM x AMENORREA]])))</f>
        <v>0</v>
      </c>
      <c r="RY47" s="21">
        <f t="shared" si="193"/>
        <v>0</v>
      </c>
    </row>
    <row r="48" spans="1:493" ht="45" customHeight="1" x14ac:dyDescent="0.25">
      <c r="A48" s="109" t="s">
        <v>1120</v>
      </c>
      <c r="B48" s="43" t="s">
        <v>1121</v>
      </c>
      <c r="C48" s="43" t="s">
        <v>845</v>
      </c>
      <c r="D48" s="124" t="s">
        <v>846</v>
      </c>
      <c r="E48" s="43" t="s">
        <v>1122</v>
      </c>
      <c r="F48" s="43" t="s">
        <v>1123</v>
      </c>
      <c r="G48" s="43" t="s">
        <v>1124</v>
      </c>
      <c r="H48" s="43"/>
      <c r="I48" s="109" t="s">
        <v>851</v>
      </c>
      <c r="J48" s="110">
        <v>1059607246</v>
      </c>
      <c r="K48" s="43" t="s">
        <v>852</v>
      </c>
      <c r="L48" s="175" t="s">
        <v>853</v>
      </c>
      <c r="M48" s="22">
        <v>36423</v>
      </c>
      <c r="N48" s="213">
        <f t="shared" ca="1" si="0"/>
        <v>24.134246575342466</v>
      </c>
      <c r="O48" s="22">
        <v>44880</v>
      </c>
      <c r="P48" s="214" t="str">
        <f t="shared" si="194"/>
        <v>SI</v>
      </c>
      <c r="Q48" s="26" t="s">
        <v>855</v>
      </c>
      <c r="R48" s="22">
        <v>44880</v>
      </c>
      <c r="S48" s="21" t="s">
        <v>856</v>
      </c>
      <c r="T48" s="24" t="s">
        <v>690</v>
      </c>
      <c r="U48" s="21" t="s">
        <v>857</v>
      </c>
      <c r="V48" s="21" t="s">
        <v>858</v>
      </c>
      <c r="W48" s="21" t="s">
        <v>1125</v>
      </c>
      <c r="X48" s="21" t="s">
        <v>1125</v>
      </c>
      <c r="Y48" s="21" t="s">
        <v>859</v>
      </c>
      <c r="Z48" s="21">
        <v>3206323014</v>
      </c>
      <c r="AA48" s="21" t="s">
        <v>860</v>
      </c>
      <c r="AB48" s="27" t="s">
        <v>861</v>
      </c>
      <c r="AC48" s="26" t="s">
        <v>862</v>
      </c>
      <c r="AD48" s="38" t="s">
        <v>846</v>
      </c>
      <c r="AE48" s="26" t="s">
        <v>854</v>
      </c>
      <c r="AF48" s="26" t="s">
        <v>854</v>
      </c>
      <c r="AG48" s="23" t="s">
        <v>864</v>
      </c>
      <c r="AH48" s="23" t="s">
        <v>864</v>
      </c>
      <c r="AI48" s="24" t="s">
        <v>863</v>
      </c>
      <c r="AJ48" s="23" t="s">
        <v>864</v>
      </c>
      <c r="AK48" s="220" t="str">
        <f>IF(AND(AD48="",AE48="",AF48="",AG48="",AH48="",AI48="",AJ48=""),"",IF(OR(Tabla1[[#This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EVALUACIÓN",IF(AND(O48="",R48=""),"",IF(AND(OR(O48&gt;0,R48&gt;0),NG48&gt;=0,NG48&lt;2),"SIN RIESGO",IF(AND(OR(O48&gt;0,R48&gt;0),NG48&gt;=2),"CON RIESGO","ASD")))))</f>
        <v>SIN RIESGO</v>
      </c>
      <c r="AL48" s="23" t="s">
        <v>864</v>
      </c>
      <c r="AM48" s="26" t="s">
        <v>864</v>
      </c>
      <c r="AN48" s="26" t="s">
        <v>864</v>
      </c>
      <c r="AO48" s="26" t="s">
        <v>864</v>
      </c>
      <c r="AP48" s="26" t="s">
        <v>864</v>
      </c>
      <c r="AQ48" s="26" t="s">
        <v>864</v>
      </c>
      <c r="AR48" s="26" t="s">
        <v>864</v>
      </c>
      <c r="AS48" s="21">
        <v>0</v>
      </c>
      <c r="AT48" s="21">
        <v>0</v>
      </c>
      <c r="AU48" s="21">
        <v>0</v>
      </c>
      <c r="AV48" s="26" t="s">
        <v>864</v>
      </c>
      <c r="AW48" s="21">
        <v>0</v>
      </c>
      <c r="AX48" s="26" t="s">
        <v>864</v>
      </c>
      <c r="AY48" s="26" t="s">
        <v>864</v>
      </c>
      <c r="AZ48" s="26" t="s">
        <v>864</v>
      </c>
      <c r="BA48" s="26" t="s">
        <v>864</v>
      </c>
      <c r="BB48" s="26" t="s">
        <v>864</v>
      </c>
      <c r="BC48" s="26" t="s">
        <v>864</v>
      </c>
      <c r="BD48" s="26" t="s">
        <v>864</v>
      </c>
      <c r="BE48" s="26" t="s">
        <v>864</v>
      </c>
      <c r="BF48" s="26" t="s">
        <v>864</v>
      </c>
      <c r="BG48" s="26" t="s">
        <v>864</v>
      </c>
      <c r="BH48" s="26" t="s">
        <v>864</v>
      </c>
      <c r="BI48" s="26" t="s">
        <v>864</v>
      </c>
      <c r="BJ48" s="26"/>
      <c r="BK48" s="26"/>
      <c r="BL48" s="26" t="s">
        <v>864</v>
      </c>
      <c r="BM48" s="26" t="s">
        <v>864</v>
      </c>
      <c r="BN48" s="22">
        <v>44245</v>
      </c>
      <c r="BO48" s="22">
        <v>44776</v>
      </c>
      <c r="BP48" s="21" t="s">
        <v>854</v>
      </c>
      <c r="BQ48" s="222">
        <f t="shared" si="2"/>
        <v>17.7</v>
      </c>
      <c r="BR48" s="223">
        <f t="shared" si="3"/>
        <v>44776</v>
      </c>
      <c r="BS48" s="224">
        <f t="shared" si="4"/>
        <v>14.857142857142858</v>
      </c>
      <c r="BT48" s="216" t="str">
        <f t="shared" si="5"/>
        <v>II TRIM</v>
      </c>
      <c r="BU48" s="214" t="str">
        <f t="shared" ca="1" si="6"/>
        <v/>
      </c>
      <c r="BV48" s="25"/>
      <c r="BW48" s="22">
        <v>44902</v>
      </c>
      <c r="BX48" s="28">
        <v>18</v>
      </c>
      <c r="BY48" s="28"/>
      <c r="BZ48" s="22"/>
      <c r="CA48" s="21"/>
      <c r="CB48" s="26" t="s">
        <v>864</v>
      </c>
      <c r="CC48" s="26" t="s">
        <v>864</v>
      </c>
      <c r="CD48" s="26" t="s">
        <v>878</v>
      </c>
      <c r="CE48" s="26" t="s">
        <v>864</v>
      </c>
      <c r="CF48" s="22" t="s">
        <v>1517</v>
      </c>
      <c r="CG48" s="21">
        <v>1.64</v>
      </c>
      <c r="CH48" s="21">
        <v>68</v>
      </c>
      <c r="CI48" s="214">
        <f t="shared" si="7"/>
        <v>25.282569898869724</v>
      </c>
      <c r="CJ48" s="225" t="e">
        <f>IF(AND(CI48&lt;10,CH48="SD"),"SIN DATO PESO PREGESTACION O I TRIM",IF(AND(OR(R48&gt;0,O48&gt;0),CI48="X"),"INGRESAR DATO DE PESO",IF(CI48="SD","INGRESAR DATO DE TALLA Y PESO",IF(AND(OR(Tabla1[[#This Row],[MOMENTO EN QUE SE REALIZA EL PESO AL INGRESO A CPN]]="PREGESTACIÓN",NZ48="Menor"),CI48&lt;18.5),"BAJO PESO",IF(AND(OR(Tabla1[[#This Row],[MOMENTO EN QUE SE REALIZA EL PESO AL INGRESO A CPN]]="PREGESTACIÓN",NZ48="Menor"),CI48&lt;25),"NORMAL",IF(AND(OR(Tabla1[[#This Row],[MOMENTO EN QUE SE REALIZA EL PESO AL INGRESO A CPN]]="PREGESTACIÓN",NZ48="Menor"),CI48&lt;30),"SOBREPESO",IF(AND(OR(Tabla1[[#This Row],[MOMENTO EN QUE SE REALIZA EL PESO AL INGRESO A CPN]]="PREGESTACIÓN",NZ48="Menor"),CI48&gt;=30,CI48&lt;50),"OBESIDAD",IF(AND(BS48&gt;0,Tabla1[[#This Row],[MOMENTO EN QUE SE REALIZA EL PESO AL INGRESO A CPN]]="GESTACIÓN"),HLOOKUP(NZ48,$OA$2:PH48,NY48),""))))))))</f>
        <v>#REF!</v>
      </c>
      <c r="CK48" s="212">
        <f t="shared" si="8"/>
        <v>45045</v>
      </c>
      <c r="CL48" s="21"/>
      <c r="CM48" s="214">
        <f t="shared" si="9"/>
        <v>0</v>
      </c>
      <c r="CN48" s="216">
        <f t="shared" si="10"/>
        <v>38</v>
      </c>
      <c r="CO48" s="216" t="e">
        <f>IF(PI48="","",IF(PI48&gt;0,HLOOKUP(PI48,$PJ$2:QQ48,NY48),""))</f>
        <v>#REF!</v>
      </c>
      <c r="CP48" s="21"/>
      <c r="CQ48" s="216" t="e">
        <f>IF(QR48="Menor","NO APLICA-MENOR 13 SEM",IF(AND(CC48="SI",CN48&gt;23),"NO APLICA- GEMELAR",IF(QR48="","",IF(QR48&gt;0,HLOOKUP(QR48,$QS$2:RU48,NY48),""))))</f>
        <v>#REF!</v>
      </c>
      <c r="CR48" s="21">
        <v>100</v>
      </c>
      <c r="CS48" s="21">
        <v>70</v>
      </c>
      <c r="CT48" s="217" t="str">
        <f>IF(R48="","",IF(AND(BS48&gt;1,BS48&lt;12,Tabla1[[#This Row],[T.A. SISTOLICA - ANTES DE SEMANA 12]]="",Tabla1[[#This Row],[T.A. DIASTOLICA - ANTES DE SEMANA 12]]=""),"REGISTRE DATO TA ANTES SEMANA 12",IF(AND(BS48&gt;11,BS48&lt;43,Tabla1[[#This Row],[T.A. SISTOLICA - ANTES DE SEMANA 12]]="",Tabla1[[#This Row],[T.A. DIASTOLICA - ANTES DE SEMANA 12]]=""),"NO APLICA REGISTRO TA-INGRESO TARDIO",IF(AND(OR(O48&gt;0,R48&gt;0),OR(CR48&gt;=140,CS48&gt;=90)),"DEFINIR ESTADIO HTA",IF(AND(OR(O48&gt;0,R48&gt;0),AND(CR48&gt;120,CR48&lt;=139)),"PRE HTA SEGUIMIENTO",IF(AND(OR(O48&gt;0,R48&gt;0),AND(CS48&gt;80,CS48&lt;=89)),"PRE HTA SEGUIMIENTO",IF(AND(OR(O48&gt;0,R48&gt;0),AND(CR48&gt;=80,CR48&lt;=120)),"APARENTEMENTE NORMAL",IF(AND(OR(O48&gt;0,R48&gt;0),AND(CS48&gt;=50,CS48&lt;=80)),"APARENTEMENTE NORMAL",IF(AND(OR(O48&gt;0,R48&gt;0),AND(CR48&gt;1,CR48&lt;=70),AND(CS48&gt;1,CS48&lt;=40)),"HIPOTENSIÓN","")))))))))</f>
        <v>APARENTEMENTE NORMAL</v>
      </c>
      <c r="CU48" s="21">
        <v>100</v>
      </c>
      <c r="CV48" s="21">
        <v>60</v>
      </c>
      <c r="CW48" s="217" t="str">
        <f ca="1">IF(R48="","",IF(AND(CN48&gt;19,CN48&lt;27,Tabla1[[#This Row],[T.A. SISTOLICA (Entre semana 20 y 26)]]="",Tabla1[[#This Row],[T.A. DIATOLICA (Entre semana 20 y 26)]]=""),"ACUDE A CONTROL SEM 20 A 26 REGISTRE TA AHORA",IF(AND(BS48&gt;1,BS48&lt;27,BU48&gt;19,Tabla1[[#This Row],[T.A. SISTOLICA (Entre semana 20 y 26)]]="",Tabla1[[#This Row],[T.A. DIATOLICA (Entre semana 20 y 26)]]=""),"COMPLETE REGISTRO TA CONTROL SEM 20 A26 ",IF(AND(BS48&gt;26,BS48&lt;43,Tabla1[[#This Row],[T.A. SISTOLICA (Entre semana 20 y 26)]]="",Tabla1[[#This Row],[T.A. DIATOLICA (Entre semana 20 y 26)]]=""),"NO APLICA REGISTRO TA-INGRESO TARDIO",IF(AND(OR(O48&gt;0,R48&gt;0),OR(CU48&gt;=140,CV48&gt;=90)),"ALTO RIESGO PREECLAMPSIA,DEFINIR ESTADIO HTA",IF(AND(OR(O48&gt;0,R48&gt;0),AND(CU48&gt;120,CU48&lt;=139)),"PRE HTA SEGUIMIENTO,RIESGO HIPERTENSION INDUCIDA POR EL EMBARAZO",IF(AND(OR(O48&gt;0,R48&gt;0),AND(CV48&gt;80,CV48&lt;=89)),"PRE HTA SEGUIMIENTO, RIESGO HIPERTENSION INDUCIDA POR EL EMBARAZO",IF(AND(OR(O48&lt;&gt;"",R48&lt;&gt;""),CS48&lt;&gt;"",CV48&lt;&gt;"",CS48&lt;=CV48),"VIGILAR CIFRAS PRESION ARTERIAL",IF(AND(OR(O48&gt;0,R48&gt;0),AND(CU48&gt;120,CU48&lt;=139)),"PRE HTA SEGUIMIENTO",IF(AND(OR(O48&gt;0,R48&gt;0),AND(CU48&gt;1,CU48&lt;=70),AND(CV48&gt;1,CV48&lt;=40)),"HIPOTENSIÓN",IF(AND(OR(O48&lt;&gt;"",R48&lt;&gt;""),CS48&lt;&gt;"",CV48&lt;&gt;"",CS48&gt;CV48),"APARENTEMENTE NORMAL",IF(AND(OR(O48&gt;0,R48&gt;0),AND(CU48&gt;=80,CU48&lt;=120)),"APARENTEMENTE NORMAL",IF(AND(OR(O48&gt;0,R48&gt;0),AND(CV48&gt;=50,CV48&lt;=80)),"APARENTEMENTE NORMAL","")))))))))))))</f>
        <v>APARENTEMENTE NORMAL</v>
      </c>
      <c r="CX48" s="21"/>
      <c r="CY48" s="21"/>
      <c r="CZ48" s="216" t="str">
        <f t="shared" si="195"/>
        <v/>
      </c>
      <c r="DA48" s="21"/>
      <c r="DB48" s="21"/>
      <c r="DC48" s="217" t="str">
        <f t="shared" si="12"/>
        <v>REGISTRE DATO PRESIÓN ARTERIAL MENSUAL</v>
      </c>
      <c r="DD48" s="22">
        <v>44880</v>
      </c>
      <c r="DE48" s="22">
        <v>44880</v>
      </c>
      <c r="DF48" s="22">
        <v>44911</v>
      </c>
      <c r="DG48" s="22">
        <v>44951</v>
      </c>
      <c r="DH48" s="22">
        <v>44982</v>
      </c>
      <c r="DI48" s="22">
        <v>45014</v>
      </c>
      <c r="DJ48" s="22">
        <v>45045</v>
      </c>
      <c r="DK48" s="22"/>
      <c r="DL48" s="22"/>
      <c r="DM48" s="22"/>
      <c r="DN48" s="22"/>
      <c r="DO48" s="22"/>
      <c r="DP48" s="22"/>
      <c r="DQ48" s="22"/>
      <c r="DR48" s="28">
        <v>2</v>
      </c>
      <c r="DS48" s="22"/>
      <c r="DT48" s="22"/>
      <c r="DU48" s="216" t="str">
        <f t="shared" ca="1" si="196"/>
        <v>SALE SIN PLAN DE PARTO</v>
      </c>
      <c r="DV48" s="226" t="str">
        <f t="shared" si="197"/>
        <v>SALIO PROGRAMA</v>
      </c>
      <c r="DW48"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48" s="216" t="str">
        <f t="shared" ca="1" si="15"/>
        <v/>
      </c>
      <c r="DY48" s="212">
        <f>IF(R48="","",IF(R48&gt;0,MAX(Tabla1[[#This Row],[FECHA C2]:[FECHA C13]],Tabla1[[#This Row],[FECHA CONSULTA PRIMERA VEZ PROGRAMA CPN ]])))</f>
        <v>45045</v>
      </c>
      <c r="DZ48" s="216">
        <f t="shared" si="16"/>
        <v>38</v>
      </c>
      <c r="EA48" s="222">
        <f>IF(R48&gt;0,SUM(COUNTA(DF48:DQ48)+COUNTA(Tabla1[[#This Row],[FECHA CONSULTA PRIMERA VEZ PROGRAMA CPN ]])),"")</f>
        <v>6</v>
      </c>
      <c r="EB48" s="222" t="str">
        <f t="shared" si="17"/>
        <v>SI</v>
      </c>
      <c r="EC48" s="214">
        <f t="shared" si="18"/>
        <v>8</v>
      </c>
      <c r="ED48" s="227">
        <f t="shared" si="19"/>
        <v>0.75</v>
      </c>
      <c r="EE48" s="22">
        <v>44880</v>
      </c>
      <c r="EF48" s="22">
        <v>44880</v>
      </c>
      <c r="EG48" s="22">
        <v>44880</v>
      </c>
      <c r="EH48" s="22"/>
      <c r="EI48" s="22">
        <v>44880</v>
      </c>
      <c r="EJ48" s="22">
        <v>44902</v>
      </c>
      <c r="EK48" s="22">
        <v>45044</v>
      </c>
      <c r="EL48" s="21">
        <v>1</v>
      </c>
      <c r="EM48" s="21">
        <v>13.4</v>
      </c>
      <c r="EN48" s="22">
        <v>44880</v>
      </c>
      <c r="EO48" s="222">
        <f t="shared" si="20"/>
        <v>14.857142857142858</v>
      </c>
      <c r="EP48" s="214" t="str">
        <f t="shared" si="21"/>
        <v>NORMAL- SUMINISTRAR SULFATO FERROSO</v>
      </c>
      <c r="EQ48" s="216" t="str">
        <f t="shared" si="22"/>
        <v>II TRIM</v>
      </c>
      <c r="ER48" s="24"/>
      <c r="ES48" s="22"/>
      <c r="ET48" s="29" t="str">
        <f t="shared" ca="1" si="198"/>
        <v>SALE SIN TAMIZAJE HEMOGLOBINA SEM 28</v>
      </c>
      <c r="EU48" s="25" t="str">
        <f t="shared" si="24"/>
        <v/>
      </c>
      <c r="EV48" s="24" t="s">
        <v>866</v>
      </c>
      <c r="EW48" s="24">
        <v>44880</v>
      </c>
      <c r="EX48" s="22"/>
      <c r="EY48" s="29">
        <f t="shared" si="199"/>
        <v>14.857142857142858</v>
      </c>
      <c r="EZ48" s="25" t="str">
        <f t="shared" ca="1" si="200"/>
        <v/>
      </c>
      <c r="FA48" s="21">
        <v>84</v>
      </c>
      <c r="FB48" s="22">
        <v>44880</v>
      </c>
      <c r="FC48" s="29">
        <f t="shared" si="27"/>
        <v>14.857142857142858</v>
      </c>
      <c r="FD48" s="29">
        <v>60</v>
      </c>
      <c r="FE48" s="29">
        <v>112</v>
      </c>
      <c r="FF48" s="29">
        <v>55</v>
      </c>
      <c r="FG48" s="21" t="str">
        <f t="shared" ca="1" si="28"/>
        <v>NORMAL</v>
      </c>
      <c r="FH48" s="31">
        <v>44981</v>
      </c>
      <c r="FI48" s="29">
        <f t="shared" si="29"/>
        <v>29.285714285714285</v>
      </c>
      <c r="FJ48" s="22"/>
      <c r="FK48" s="22"/>
      <c r="FL48" s="29" t="str">
        <f t="shared" ca="1" si="30"/>
        <v>NO APLICA-INGRESO TARDIO</v>
      </c>
      <c r="FM48" s="22" t="s">
        <v>867</v>
      </c>
      <c r="FN48" s="32">
        <v>44880</v>
      </c>
      <c r="FO48" s="29">
        <f t="shared" ca="1" si="201"/>
        <v>14.857142857142858</v>
      </c>
      <c r="FP48" s="22"/>
      <c r="FQ48" s="32"/>
      <c r="FR48" s="29" t="str">
        <f t="shared" ca="1" si="202"/>
        <v>PIERDE TOMA DE TAMIZAJE</v>
      </c>
      <c r="FS48" s="22"/>
      <c r="FT48" s="32"/>
      <c r="FU48" s="29" t="str">
        <f>IF(AND(FJ48="",FM48="",FP48="",FS48=""),"",IF(OR(OR(Tabla1[[#This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48" s="28"/>
      <c r="FW48" s="22"/>
      <c r="FX48" s="29" t="str">
        <f t="shared" si="33"/>
        <v>TOMAR EXAMEN</v>
      </c>
      <c r="FY48" s="22">
        <v>44880</v>
      </c>
      <c r="FZ48" s="22">
        <v>44880</v>
      </c>
      <c r="GA48" s="29" t="str">
        <f t="shared" si="203"/>
        <v>REGISTRAR EN II TRIMESTRE</v>
      </c>
      <c r="GB48" s="22" t="s">
        <v>868</v>
      </c>
      <c r="GC48" s="22">
        <v>44880</v>
      </c>
      <c r="GD48" s="29">
        <f t="shared" ca="1" si="204"/>
        <v>14.857142857142858</v>
      </c>
      <c r="GE48" s="22"/>
      <c r="GF48" s="22"/>
      <c r="GG48" s="29" t="str">
        <f t="shared" ca="1" si="205"/>
        <v>PIERDE TOMA DE TAMIZAJE</v>
      </c>
      <c r="GH48" s="22"/>
      <c r="GI48" s="29"/>
      <c r="GJ48" s="22"/>
      <c r="GK48" s="22"/>
      <c r="GL48" s="22" t="s">
        <v>879</v>
      </c>
      <c r="GM48" s="22"/>
      <c r="GN48" s="28" t="s">
        <v>869</v>
      </c>
      <c r="GO48" s="22">
        <v>44880</v>
      </c>
      <c r="GP48" s="29">
        <f t="shared" si="37"/>
        <v>14.857142857142858</v>
      </c>
      <c r="GQ48" s="28" t="s">
        <v>869</v>
      </c>
      <c r="GR48" s="28" t="s">
        <v>869</v>
      </c>
      <c r="GS48" s="22" t="str">
        <f t="shared" si="206"/>
        <v>CONTROL Igm</v>
      </c>
      <c r="GT48" s="22">
        <v>44880</v>
      </c>
      <c r="GU48" s="29">
        <f t="shared" si="39"/>
        <v>14.857142857142858</v>
      </c>
      <c r="GV48" s="21" t="str">
        <f t="shared" si="40"/>
        <v>II TRIM</v>
      </c>
      <c r="GW48" s="28" t="s">
        <v>869</v>
      </c>
      <c r="GX48" s="30"/>
      <c r="GY48" s="21"/>
      <c r="GZ48" s="21"/>
      <c r="HA48" s="21"/>
      <c r="HB48" s="21"/>
      <c r="HC48" s="21"/>
      <c r="HD48" s="21"/>
      <c r="HE48" s="21"/>
      <c r="HF48" s="22"/>
      <c r="HG48" s="22" t="str">
        <f>IF(OR(O48&gt;0,R48&gt;0),CONCATENATE(IF(Tabla1[[#This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48" s="22" t="e">
        <f t="shared" si="41"/>
        <v>#REF!</v>
      </c>
      <c r="HI48" s="22" t="e">
        <f t="shared" ca="1" si="42"/>
        <v>#REF!</v>
      </c>
      <c r="HJ48" s="21" t="str">
        <f t="shared" ca="1" si="43"/>
        <v>**********************MULTIPARIDAD*****************</v>
      </c>
      <c r="HK48" s="21" t="str">
        <f t="shared" si="44"/>
        <v>SIN ANTECEDENTES DE RIESGO</v>
      </c>
      <c r="HL48" s="24" t="str">
        <f t="shared" si="45"/>
        <v>REGISTRE DATO PRESIÓN ARTERIAL MENSUAL</v>
      </c>
      <c r="HM48" s="21" t="str">
        <f t="shared" ca="1" si="46"/>
        <v/>
      </c>
      <c r="HN48" s="30" t="str">
        <f t="shared" si="207"/>
        <v>SALIO PROGRAMA</v>
      </c>
      <c r="HO48" s="21"/>
      <c r="HP48" s="21"/>
      <c r="HQ48" s="21"/>
      <c r="HR48" s="21" t="str">
        <f>IF(R48="","",IF(Tabla1[[#This Row],[ALARMA FACTORES DE RIESGO COMPLICACIONES HIPERTENSIVAS3]]="SIN ANTECEDENTES DE RIESGO","No Aplica para suministro de ASA",IF(AND(Tabla1[[#This Row],[FECHA INICIO DE SUMINISTRO DE ASA]]&gt;0,RV48&lt;12),"Inicia ASA ANTES de Sem 12",IF(AND(RV48&gt;11,RV48&lt;17,OR(HK48="RIESGO ALTO DE COMPLICACIONES HIPERTENSIVAS VER MANEJO GUIA SUMINISTRO ASA Y CALCIO",HK48="RIESGO MODERADO (2 O MAS CRITERIOS) VER MANEJO GUIA SUMINISTRO ASA Y CALCIO")),"Inicio oportuno de ASA",IF(AND(RV48&gt;12,OR(HK48="RIESGO ALTO DE COMPLICACIONES HIPERTENSIVAS VER MANEJO GUIA SUMINISTRO ASA Y CALCIO",HK48="RIESGO MODERADO (2 O MAS CRITERIOS) VER MANEJO GUIA SUMINISTRO ASA Y CALCIO")),"Inicio no oportuno mayor a 16 semanas",IF(AND(BU48&lt;12,OR(HK48="RIESGO ALTO DE COMPLICACIONES HIPERTENSIVAS VER MANEJO GUIA SUMINISTRO ASA Y CALCIO",HK48="RIESGO MODERADO (2 O MAS CRITERIOS) VER MANEJO GUIA SUMINISTRO ASA Y CALCIO")),"Pendiente Inicio de ASA a la semana 12",IF(AND(BU48&gt;11,BU48&lt;17,OR(HK48="RIESGO ALTO DE COMPLICACIONES HIPERTENSIVAS VER MANEJO GUIA SUMINISTRO ASA Y CALCIO",HK48="RIESGO MODERADO (2 O MAS CRITERIOS) VER MANEJO GUIA SUMINISTRO ASA Y CALCIO")),"Iniciar de inmediato ASA",IF(AND(BU48&gt;16,OR(HK48="RIESGO ALTO DE COMPLICACIONES HIPERTENSIVAS VER MANEJO GUIA SUMINISTRO ASA Y CALCIO",HK48="RIESGO MODERADO (2 O MAS CRITERIOS) VER MANEJO GUIA SUMINISTRO ASA Y CALCIO")),"Pierde Oportunidad, Inicio tardío de ASA","XXXXX"))))))))</f>
        <v>No Aplica para suministro de ASA</v>
      </c>
      <c r="HS48" s="22"/>
      <c r="HT48" s="22" t="s">
        <v>870</v>
      </c>
      <c r="HU48" s="22">
        <v>44880</v>
      </c>
      <c r="HV48" s="22" t="s">
        <v>870</v>
      </c>
      <c r="HW48" s="22">
        <v>44880</v>
      </c>
      <c r="HX48" s="22" t="s">
        <v>870</v>
      </c>
      <c r="HY48" s="22">
        <v>44880</v>
      </c>
      <c r="HZ48" s="28">
        <f t="shared" si="48"/>
        <v>14.857142857142858</v>
      </c>
      <c r="IA48" s="26" t="s">
        <v>864</v>
      </c>
      <c r="IB48" s="26"/>
      <c r="IC48" s="111"/>
      <c r="ID48" s="22"/>
      <c r="IE48" s="22" t="str">
        <f t="shared" ca="1" si="49"/>
        <v>SALE SIN VACUNA</v>
      </c>
      <c r="IF48" s="22"/>
      <c r="IG48" s="22">
        <f t="shared" si="50"/>
        <v>45056</v>
      </c>
      <c r="IH48" s="29">
        <f t="shared" ca="1" si="51"/>
        <v>-176</v>
      </c>
      <c r="II48" s="22" t="str">
        <f t="shared" ca="1" si="52"/>
        <v>POSIBLEMENTE NACIO</v>
      </c>
      <c r="IJ48" s="22"/>
      <c r="IK48" s="21" t="s">
        <v>898</v>
      </c>
      <c r="IL48" s="21"/>
      <c r="IM48" s="34"/>
      <c r="IN48" s="349">
        <v>45064</v>
      </c>
      <c r="IO48" s="21" t="s">
        <v>1186</v>
      </c>
      <c r="IP48" s="29">
        <f t="shared" si="208"/>
        <v>41.142857142857146</v>
      </c>
      <c r="IQ48" s="35" t="s">
        <v>1650</v>
      </c>
      <c r="IR48" s="21" t="s">
        <v>1651</v>
      </c>
      <c r="IS48" s="21" t="s">
        <v>1646</v>
      </c>
      <c r="IT48" s="21" t="s">
        <v>1642</v>
      </c>
      <c r="IU48" s="21"/>
      <c r="IV48" s="21"/>
      <c r="IW48" s="21"/>
      <c r="IX48" s="21"/>
      <c r="IY48" s="21"/>
      <c r="IZ48" s="21"/>
      <c r="JA48" s="21"/>
      <c r="JB48" s="30">
        <v>1</v>
      </c>
      <c r="JC48" s="21" t="s">
        <v>1643</v>
      </c>
      <c r="JD48" s="36">
        <v>3650</v>
      </c>
      <c r="JE48" s="21" t="str">
        <f t="shared" si="209"/>
        <v>PESO ADECUADO EDAD GESTACIONAL</v>
      </c>
      <c r="JF48" s="30"/>
      <c r="JG48" s="21"/>
      <c r="JH48" s="21"/>
      <c r="JI48" s="21" t="s">
        <v>854</v>
      </c>
      <c r="JJ48" s="30" t="s">
        <v>866</v>
      </c>
      <c r="JK48" s="22"/>
      <c r="JL48" s="22"/>
      <c r="JM48" s="21"/>
      <c r="JN48" s="36"/>
      <c r="JO48" s="21" t="str">
        <f t="shared" si="210"/>
        <v/>
      </c>
      <c r="JP48" s="22"/>
      <c r="JQ48" s="21"/>
      <c r="JR48" s="21"/>
      <c r="JS48" s="21"/>
      <c r="JT48" s="30"/>
      <c r="JU48" s="22"/>
      <c r="JV48" s="22"/>
      <c r="JW48" s="33"/>
      <c r="JX48" s="28" t="str">
        <f t="shared" si="211"/>
        <v>INASISTENTE</v>
      </c>
      <c r="JY48" s="33"/>
      <c r="JZ48" s="28" t="str">
        <f t="shared" si="212"/>
        <v>INASISTENTE</v>
      </c>
      <c r="KA48" s="21"/>
      <c r="KB48" s="21"/>
      <c r="KC48" s="21"/>
      <c r="KD48" s="37"/>
      <c r="KE48" s="28"/>
      <c r="KF48" s="28"/>
      <c r="KG48" s="28"/>
      <c r="KH48" s="39"/>
      <c r="KI48" s="39"/>
      <c r="KJ48" s="66"/>
      <c r="KK48" s="39"/>
      <c r="KL48" s="39"/>
      <c r="KM48" s="66"/>
      <c r="KN48" s="39"/>
      <c r="KO48" s="39"/>
      <c r="KP48" s="39"/>
      <c r="KQ48" s="39"/>
      <c r="KR48" s="39"/>
      <c r="KS48" s="39"/>
      <c r="KT48" s="39"/>
      <c r="KU48" s="38"/>
      <c r="KV48" s="38"/>
      <c r="KW48" s="38"/>
      <c r="KX48" s="38"/>
      <c r="KY48" s="38"/>
      <c r="KZ48" s="38"/>
      <c r="LA48" s="38"/>
      <c r="LB48" s="38"/>
      <c r="LC48" s="38"/>
      <c r="LD48" s="38"/>
      <c r="LE48" s="38"/>
      <c r="LF48" s="38"/>
      <c r="LG48" s="38"/>
      <c r="LH48" s="38"/>
      <c r="LI48" s="38"/>
      <c r="LJ48" s="38"/>
      <c r="LK48" s="38"/>
      <c r="LL48" s="38"/>
      <c r="LM48" s="38"/>
      <c r="LN48" s="38"/>
      <c r="LO48" s="38"/>
      <c r="LP48" s="38"/>
      <c r="LQ48" s="38"/>
      <c r="LR48" s="38"/>
      <c r="LS48" s="38"/>
      <c r="LT48" s="38"/>
      <c r="LU48" s="38"/>
      <c r="LV48" s="38"/>
      <c r="LW48" s="38"/>
      <c r="LX48" s="38"/>
      <c r="LY48" s="38"/>
      <c r="LZ48" s="38"/>
      <c r="MA48" s="38"/>
      <c r="MB48" s="38"/>
      <c r="MC48" s="38"/>
      <c r="MD48" s="38"/>
      <c r="ME48" s="38"/>
      <c r="MF48" s="38"/>
      <c r="MG48" s="38"/>
      <c r="MH48" s="43">
        <f t="shared" si="213"/>
        <v>0</v>
      </c>
      <c r="MI48" s="43" t="str">
        <f t="shared" si="214"/>
        <v/>
      </c>
      <c r="MJ48" s="43" t="str">
        <f t="shared" si="215"/>
        <v/>
      </c>
      <c r="MK48" s="43">
        <f t="shared" si="216"/>
        <v>0</v>
      </c>
      <c r="ML4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48" s="43">
        <f t="shared" si="217"/>
        <v>14.857142857142858</v>
      </c>
      <c r="MN48" s="43">
        <f t="shared" si="218"/>
        <v>11</v>
      </c>
      <c r="MO48" s="43">
        <f t="shared" si="219"/>
        <v>2022</v>
      </c>
      <c r="MP48" s="43" t="str">
        <f t="shared" si="220"/>
        <v>IV TRIMESTRE AÑO</v>
      </c>
      <c r="MQ48" s="43">
        <f t="shared" si="221"/>
        <v>22.818112133158124</v>
      </c>
      <c r="MR48" s="43">
        <f t="shared" si="222"/>
        <v>0</v>
      </c>
      <c r="MS48" s="43" t="str">
        <f t="shared" si="223"/>
        <v xml:space="preserve"> DE 20 A 24 AÑOS</v>
      </c>
      <c r="MT48" s="43">
        <f t="shared" si="224"/>
        <v>0</v>
      </c>
      <c r="MU48" s="43">
        <f t="shared" si="225"/>
        <v>1</v>
      </c>
      <c r="MV48" s="43">
        <f t="shared" si="226"/>
        <v>0</v>
      </c>
      <c r="MW48" s="43">
        <f t="shared" si="227"/>
        <v>0</v>
      </c>
      <c r="MX48" s="43" t="str">
        <f t="shared" si="228"/>
        <v/>
      </c>
      <c r="MY48" s="43" t="str">
        <f t="shared" ca="1" si="229"/>
        <v/>
      </c>
      <c r="MZ48" s="43" t="str">
        <f t="shared" si="230"/>
        <v/>
      </c>
      <c r="NA48" s="43">
        <f t="shared" si="231"/>
        <v>0</v>
      </c>
      <c r="NB48" s="43" t="str">
        <f t="shared" si="232"/>
        <v/>
      </c>
      <c r="NC48" s="43" t="str">
        <f t="shared" si="233"/>
        <v/>
      </c>
      <c r="ND48" s="43">
        <f t="shared" ca="1" si="234"/>
        <v>1</v>
      </c>
      <c r="NE48" s="43">
        <f>IF(OR(O48&gt;0,R48&gt;0),SUM(COUNTIF(Tabla1[[#This Row],[AÑOS AL INICIO5 CPN]],"&gt;=40"),COUNTIF(AS48,"0"),COUNTIF(AR48,"SI"),COUNTIF(CC48,"SI"),COUNTIF(BQ48,"&gt;119"),COUNTIF(CI48,"&gt;=35")),"")</f>
        <v>1</v>
      </c>
      <c r="NF48" s="43" t="str">
        <f t="shared" si="235"/>
        <v/>
      </c>
      <c r="NG48" s="43">
        <f t="shared" si="236"/>
        <v>0</v>
      </c>
      <c r="NH48" s="43">
        <f t="shared" si="237"/>
        <v>126</v>
      </c>
      <c r="NI48"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CPN",P48="NO"),"Z",IF(AND(Tabla1[[#This Row],[CITA PROXIMO CONTROL]]="CITA MANUAL",Tabla1[[#This Row],[GESTANTES ACTUALES]]="ACTIVA INGRESO A CPN"),"W",IF(AND(Tabla1[[#This Row],[GESTANTES ACTUALES]]="SALIO PROGRAMA",IN48=""),"S",IF(AND(Tabla1[[#This Row],[CITA PROXIMO CONTROL]]&gt;0,IN48=""),(Tabla1[[#This Row],[CITA PROXIMO CONTROL]]-TODAY()),"SD"))))))))</f>
        <v>SD</v>
      </c>
      <c r="NJ48" s="43">
        <f>MONTH(Tabla1[[#This Row],[FECHA DE SALIDA  DEL PROGRAMA]])</f>
        <v>5</v>
      </c>
      <c r="NK48" s="43">
        <f>YEAR(Tabla1[[#This Row],[FECHA DE SALIDA  DEL PROGRAMA]])</f>
        <v>2023</v>
      </c>
      <c r="NL48" s="43">
        <f t="shared" si="238"/>
        <v>22</v>
      </c>
      <c r="NM48" s="43" t="str">
        <f t="shared" si="239"/>
        <v>NO</v>
      </c>
      <c r="NN48" s="43" t="str">
        <f ca="1">IF(AND(O48&gt;0,R48=""),"NO CPN",IF(AND(O48="",R48=""),"",IF(AND(R48&gt;0,Tabla1[[#This Row],[SEMANAS DE GESTACION ACTUALIZADAS]]&lt;=12),"NO APLICA",IF(AND(FH48&lt;&gt;"",FN48&lt;&gt;""),"SI","NO"))))</f>
        <v>SI</v>
      </c>
      <c r="NO48" s="43" t="str">
        <f ca="1">IF(AND(O48&gt;0,R48=""),"NO CPN",IF(AND(O48="",R48=""),"",IF(AND(R48&gt;0,Tabla1[[#This Row],[SEMANAS DE GESTACION ACTUALIZADAS]]&lt;=27),"NO APLICA",IF(AND(ES48&lt;&gt;"",FQ48&lt;&gt;"",GF48&lt;&gt;""),"SI","NO"))))</f>
        <v>NO</v>
      </c>
      <c r="NP48" s="204" t="str">
        <f t="shared" si="240"/>
        <v>II TRIM</v>
      </c>
      <c r="NQ48" s="21">
        <f t="shared" si="241"/>
        <v>1</v>
      </c>
      <c r="NR48" s="21">
        <f t="shared" si="242"/>
        <v>2</v>
      </c>
      <c r="NS48" s="205">
        <f t="shared" ca="1" si="243"/>
        <v>1</v>
      </c>
      <c r="NT48" s="21">
        <f t="shared" ca="1" si="244"/>
        <v>1</v>
      </c>
      <c r="NU48" s="21" t="str">
        <f t="shared" ca="1" si="245"/>
        <v>INCOMPLETO</v>
      </c>
      <c r="NV48" s="21" t="str">
        <f t="shared" ca="1" si="246"/>
        <v>INCOMPLETO</v>
      </c>
      <c r="NW48" s="206" t="str">
        <f>IF(AND(O48="",R48=""),"",IF(OR(AND(Tabla1[[#This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48" s="207" t="str">
        <f t="shared" ca="1" si="247"/>
        <v>SIN VACUNAR</v>
      </c>
      <c r="NY48" s="43">
        <f>ROW(Tabla1[[#This Row],['# DE TAMIZAJES SIFILIS TOMADOS ]])</f>
        <v>48</v>
      </c>
      <c r="NZ48" s="43">
        <f t="shared" si="93"/>
        <v>14</v>
      </c>
      <c r="OA48" s="43" t="str">
        <f t="shared" si="94"/>
        <v/>
      </c>
      <c r="OB48" s="43" t="str">
        <f t="shared" si="95"/>
        <v/>
      </c>
      <c r="OC48" s="43" t="str">
        <f t="shared" si="96"/>
        <v/>
      </c>
      <c r="OD48" s="43" t="str">
        <f t="shared" si="97"/>
        <v/>
      </c>
      <c r="OE48" s="43" t="str">
        <f t="shared" si="98"/>
        <v/>
      </c>
      <c r="OF48" s="43" t="str">
        <f t="shared" si="99"/>
        <v>NORMAL</v>
      </c>
      <c r="OG48" s="43" t="str">
        <f t="shared" si="100"/>
        <v/>
      </c>
      <c r="OH48" s="43" t="str">
        <f t="shared" si="101"/>
        <v/>
      </c>
      <c r="OI48" s="43" t="str">
        <f t="shared" si="102"/>
        <v/>
      </c>
      <c r="OJ48" s="43" t="str">
        <f t="shared" si="103"/>
        <v/>
      </c>
      <c r="OK48" s="43" t="str">
        <f t="shared" si="104"/>
        <v/>
      </c>
      <c r="OL48" s="43" t="str">
        <f t="shared" si="105"/>
        <v/>
      </c>
      <c r="OM48" s="43" t="str">
        <f t="shared" si="106"/>
        <v/>
      </c>
      <c r="ON48" s="43" t="str">
        <f t="shared" si="107"/>
        <v/>
      </c>
      <c r="OO48" s="43" t="str">
        <f t="shared" si="108"/>
        <v/>
      </c>
      <c r="OP48" s="43" t="str">
        <f t="shared" si="109"/>
        <v/>
      </c>
      <c r="OQ48" s="43" t="str">
        <f t="shared" si="110"/>
        <v/>
      </c>
      <c r="OR48" s="43" t="str">
        <f t="shared" si="111"/>
        <v/>
      </c>
      <c r="OS48" s="43" t="str">
        <f t="shared" si="112"/>
        <v/>
      </c>
      <c r="OT48" s="43" t="str">
        <f t="shared" si="113"/>
        <v/>
      </c>
      <c r="OU48" s="43" t="str">
        <f t="shared" si="114"/>
        <v/>
      </c>
      <c r="OV48" s="110" t="str">
        <f t="shared" si="115"/>
        <v/>
      </c>
      <c r="OW48" s="43" t="str">
        <f t="shared" si="116"/>
        <v/>
      </c>
      <c r="OX48" s="43" t="str">
        <f t="shared" si="117"/>
        <v/>
      </c>
      <c r="OY48" s="43" t="str">
        <f t="shared" si="118"/>
        <v/>
      </c>
      <c r="OZ48" s="43" t="str">
        <f t="shared" si="119"/>
        <v/>
      </c>
      <c r="PA48" s="43" t="str">
        <f t="shared" si="120"/>
        <v/>
      </c>
      <c r="PB48" s="43" t="str">
        <f t="shared" si="121"/>
        <v/>
      </c>
      <c r="PC48" s="43" t="str">
        <f t="shared" si="122"/>
        <v/>
      </c>
      <c r="PD48" s="43" t="str">
        <f t="shared" si="123"/>
        <v/>
      </c>
      <c r="PE48" s="43" t="str">
        <f t="shared" si="124"/>
        <v/>
      </c>
      <c r="PF48" s="43" t="str">
        <f t="shared" si="125"/>
        <v/>
      </c>
      <c r="PG48" s="43" t="str">
        <f t="shared" si="126"/>
        <v/>
      </c>
      <c r="PH48" s="43" t="str">
        <f t="shared" si="127"/>
        <v/>
      </c>
      <c r="PI48" s="43">
        <f t="shared" si="128"/>
        <v>38</v>
      </c>
      <c r="PJ48" s="43" t="str">
        <f t="shared" si="129"/>
        <v/>
      </c>
      <c r="PK48" s="43" t="str">
        <f t="shared" si="130"/>
        <v/>
      </c>
      <c r="PL48" s="43" t="str">
        <f t="shared" si="131"/>
        <v/>
      </c>
      <c r="PM48" s="43" t="str">
        <f t="shared" si="132"/>
        <v/>
      </c>
      <c r="PN48" s="43" t="str">
        <f t="shared" si="133"/>
        <v/>
      </c>
      <c r="PO48" s="43" t="str">
        <f t="shared" si="134"/>
        <v/>
      </c>
      <c r="PP48" s="43" t="str">
        <f t="shared" si="135"/>
        <v/>
      </c>
      <c r="PQ48" s="43" t="str">
        <f t="shared" si="136"/>
        <v/>
      </c>
      <c r="PR48" s="43" t="str">
        <f t="shared" si="137"/>
        <v/>
      </c>
      <c r="PS48" s="43" t="str">
        <f t="shared" si="138"/>
        <v/>
      </c>
      <c r="PT48" s="43" t="str">
        <f t="shared" si="139"/>
        <v/>
      </c>
      <c r="PU48" s="43" t="str">
        <f t="shared" si="140"/>
        <v/>
      </c>
      <c r="PV48" s="43" t="str">
        <f t="shared" si="141"/>
        <v/>
      </c>
      <c r="PW48" s="43" t="str">
        <f t="shared" si="142"/>
        <v/>
      </c>
      <c r="PX48" s="43" t="str">
        <f t="shared" si="143"/>
        <v/>
      </c>
      <c r="PY48" s="43" t="str">
        <f t="shared" si="144"/>
        <v/>
      </c>
      <c r="PZ48" s="43" t="str">
        <f t="shared" si="145"/>
        <v/>
      </c>
      <c r="QA48" s="43" t="str">
        <f t="shared" si="146"/>
        <v/>
      </c>
      <c r="QB48" s="43" t="str">
        <f t="shared" si="147"/>
        <v/>
      </c>
      <c r="QC48" s="43" t="str">
        <f t="shared" si="148"/>
        <v/>
      </c>
      <c r="QD48" s="43" t="str">
        <f t="shared" si="149"/>
        <v/>
      </c>
      <c r="QE48" s="43" t="str">
        <f t="shared" si="150"/>
        <v/>
      </c>
      <c r="QF48" s="43" t="str">
        <f t="shared" si="151"/>
        <v/>
      </c>
      <c r="QG48" s="43" t="str">
        <f t="shared" si="152"/>
        <v/>
      </c>
      <c r="QH48" s="43" t="str">
        <f t="shared" si="153"/>
        <v/>
      </c>
      <c r="QI48" s="43" t="str">
        <f t="shared" si="154"/>
        <v/>
      </c>
      <c r="QJ48" s="43" t="str">
        <f t="shared" si="155"/>
        <v/>
      </c>
      <c r="QK48" s="43" t="str">
        <f t="shared" si="156"/>
        <v/>
      </c>
      <c r="QL48" s="43" t="str">
        <f t="shared" si="157"/>
        <v/>
      </c>
      <c r="QM48" s="43" t="str">
        <f t="shared" si="158"/>
        <v/>
      </c>
      <c r="QN48" s="43" t="str">
        <f t="shared" si="159"/>
        <v/>
      </c>
      <c r="QO48" s="43" t="str">
        <f t="shared" si="160"/>
        <v/>
      </c>
      <c r="QP48" s="43" t="str">
        <f t="shared" si="161"/>
        <v/>
      </c>
      <c r="QQ48" s="43" t="str">
        <f t="shared" si="162"/>
        <v/>
      </c>
      <c r="QR48" s="43">
        <f t="shared" si="192"/>
        <v>38</v>
      </c>
      <c r="QS48" s="43"/>
      <c r="QT48" s="21" t="str">
        <f t="shared" si="163"/>
        <v/>
      </c>
      <c r="QU48" s="21" t="str">
        <f t="shared" si="164"/>
        <v/>
      </c>
      <c r="QV48" s="21" t="str">
        <f t="shared" si="165"/>
        <v/>
      </c>
      <c r="QW48" s="21" t="str">
        <f t="shared" si="166"/>
        <v/>
      </c>
      <c r="QX48" s="21" t="str">
        <f t="shared" si="167"/>
        <v/>
      </c>
      <c r="QY48" s="21" t="str">
        <f t="shared" si="168"/>
        <v/>
      </c>
      <c r="QZ48" s="21" t="str">
        <f t="shared" si="169"/>
        <v/>
      </c>
      <c r="RA48" s="21" t="str">
        <f t="shared" si="170"/>
        <v/>
      </c>
      <c r="RB48" s="21" t="str">
        <f t="shared" si="171"/>
        <v/>
      </c>
      <c r="RC48" s="21" t="str">
        <f t="shared" si="172"/>
        <v/>
      </c>
      <c r="RD48" s="21" t="str">
        <f t="shared" si="173"/>
        <v/>
      </c>
      <c r="RE48" s="21" t="str">
        <f t="shared" si="174"/>
        <v/>
      </c>
      <c r="RF48" s="21" t="str">
        <f t="shared" si="175"/>
        <v/>
      </c>
      <c r="RG48" s="21" t="str">
        <f t="shared" si="176"/>
        <v/>
      </c>
      <c r="RH48" s="21" t="str">
        <f t="shared" si="177"/>
        <v/>
      </c>
      <c r="RI48" s="21" t="str">
        <f t="shared" si="178"/>
        <v/>
      </c>
      <c r="RJ48" s="21" t="str">
        <f t="shared" si="179"/>
        <v/>
      </c>
      <c r="RK48" s="21" t="str">
        <f t="shared" si="180"/>
        <v/>
      </c>
      <c r="RL48" s="21" t="str">
        <f t="shared" si="181"/>
        <v/>
      </c>
      <c r="RM48" s="21" t="str">
        <f t="shared" si="182"/>
        <v/>
      </c>
      <c r="RN48" s="21" t="str">
        <f t="shared" si="183"/>
        <v/>
      </c>
      <c r="RO48" s="21" t="str">
        <f t="shared" si="184"/>
        <v/>
      </c>
      <c r="RP48" s="21" t="str">
        <f t="shared" si="185"/>
        <v/>
      </c>
      <c r="RQ48" s="21" t="str">
        <f t="shared" si="186"/>
        <v/>
      </c>
      <c r="RR48" s="21" t="str">
        <f t="shared" si="187"/>
        <v/>
      </c>
      <c r="RS48" s="21" t="str">
        <f t="shared" si="188"/>
        <v/>
      </c>
      <c r="RT48" s="21" t="str">
        <f t="shared" si="189"/>
        <v/>
      </c>
      <c r="RU48" s="21" t="str">
        <f t="shared" si="190"/>
        <v/>
      </c>
      <c r="RV48" s="21">
        <f t="shared" si="191"/>
        <v>-1</v>
      </c>
      <c r="RW48" s="284">
        <f>IF(OR(Tabla1[[#This Row],[FUM FORMULA CONFIABLE]]="",Tabla1[[#This Row],[FUM FORMULA CONFIABLE]]="SD"),"",IF(Tabla1[[#This Row],[FUM FORMULA CONFIABLE]]="CORREGIDA",Tabla1[[#This Row],[FUM X ECO 1]],Tabla1[[#This Row],[FUM x AMENORREA]]))</f>
        <v>44776</v>
      </c>
      <c r="RX48" s="21">
        <f>IF(AND(Tabla1[[#This Row],[FUM X ECO 1]]="",Tabla1[[#This Row],[FUM x AMENORREA]]=""),"",IF(AND(Tabla1[[#This Row],[FUM X ECO 1]]="",Tabla1[[#This Row],[FUM x AMENORREA]]&lt;&gt;""),"X",SUM(Tabla1[[#This Row],[FUM X ECO 1]]-Tabla1[[#This Row],[FUM x AMENORREA]])))</f>
        <v>0</v>
      </c>
      <c r="RY48" s="21">
        <f t="shared" si="193"/>
        <v>0</v>
      </c>
    </row>
    <row r="49" spans="1:493" ht="45" customHeight="1" x14ac:dyDescent="0.25">
      <c r="A49" s="109"/>
      <c r="B49" s="43" t="s">
        <v>890</v>
      </c>
      <c r="C49" s="43" t="s">
        <v>845</v>
      </c>
      <c r="D49" s="124" t="s">
        <v>846</v>
      </c>
      <c r="E49" s="43" t="s">
        <v>1126</v>
      </c>
      <c r="F49" s="43" t="s">
        <v>1127</v>
      </c>
      <c r="G49" s="43" t="s">
        <v>1128</v>
      </c>
      <c r="H49" s="43" t="s">
        <v>1129</v>
      </c>
      <c r="I49" s="109" t="s">
        <v>851</v>
      </c>
      <c r="J49" s="110">
        <v>1059594848</v>
      </c>
      <c r="K49" s="43" t="s">
        <v>852</v>
      </c>
      <c r="L49" s="175" t="s">
        <v>853</v>
      </c>
      <c r="M49" s="22">
        <v>38278</v>
      </c>
      <c r="N49" s="213">
        <f t="shared" ca="1" si="0"/>
        <v>19.052054794520547</v>
      </c>
      <c r="O49" s="22">
        <v>44849</v>
      </c>
      <c r="P49" s="214" t="str">
        <f t="shared" si="194"/>
        <v>SI</v>
      </c>
      <c r="Q49" s="26" t="s">
        <v>855</v>
      </c>
      <c r="R49" s="22">
        <v>44849</v>
      </c>
      <c r="S49" s="21" t="s">
        <v>856</v>
      </c>
      <c r="T49" s="24" t="s">
        <v>690</v>
      </c>
      <c r="U49" s="21" t="s">
        <v>857</v>
      </c>
      <c r="V49" s="21" t="s">
        <v>858</v>
      </c>
      <c r="W49" s="21" t="s">
        <v>893</v>
      </c>
      <c r="X49" s="21" t="s">
        <v>893</v>
      </c>
      <c r="Y49" s="21" t="s">
        <v>859</v>
      </c>
      <c r="Z49" s="21">
        <v>3145713832</v>
      </c>
      <c r="AA49" s="21" t="s">
        <v>860</v>
      </c>
      <c r="AB49" s="27" t="s">
        <v>861</v>
      </c>
      <c r="AC49" s="26" t="s">
        <v>862</v>
      </c>
      <c r="AD49" s="38" t="s">
        <v>1130</v>
      </c>
      <c r="AE49" s="26" t="s">
        <v>1131</v>
      </c>
      <c r="AF49" s="26" t="s">
        <v>854</v>
      </c>
      <c r="AG49" s="23" t="s">
        <v>864</v>
      </c>
      <c r="AH49" s="23" t="s">
        <v>864</v>
      </c>
      <c r="AI49" s="24" t="s">
        <v>863</v>
      </c>
      <c r="AJ49" s="23" t="s">
        <v>864</v>
      </c>
      <c r="AK49" s="220" t="str">
        <f>IF(AND(AD49="",AE49="",AF49="",AG49="",AH49="",AI49="",AJ49=""),"",IF(OR(Tabla1[[#This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EVALUACIÓN",IF(AND(O49="",R49=""),"",IF(AND(OR(O49&gt;0,R49&gt;0),NG49&gt;=0,NG49&lt;2),"SIN RIESGO",IF(AND(OR(O49&gt;0,R49&gt;0),NG49&gt;=2),"CON RIESGO","ASD")))))</f>
        <v>SIN RIESGO</v>
      </c>
      <c r="AL49" s="23" t="s">
        <v>864</v>
      </c>
      <c r="AM49" s="26" t="s">
        <v>864</v>
      </c>
      <c r="AN49" s="26" t="s">
        <v>864</v>
      </c>
      <c r="AO49" s="26" t="s">
        <v>864</v>
      </c>
      <c r="AP49" s="26" t="s">
        <v>864</v>
      </c>
      <c r="AQ49" s="26" t="s">
        <v>864</v>
      </c>
      <c r="AR49" s="26" t="s">
        <v>864</v>
      </c>
      <c r="AS49" s="21">
        <v>0</v>
      </c>
      <c r="AT49" s="21">
        <v>0</v>
      </c>
      <c r="AU49" s="21">
        <v>0</v>
      </c>
      <c r="AV49" s="26" t="s">
        <v>864</v>
      </c>
      <c r="AW49" s="21">
        <v>0</v>
      </c>
      <c r="AX49" s="26" t="s">
        <v>864</v>
      </c>
      <c r="AY49" s="26" t="s">
        <v>864</v>
      </c>
      <c r="AZ49" s="26" t="s">
        <v>864</v>
      </c>
      <c r="BA49" s="26" t="s">
        <v>864</v>
      </c>
      <c r="BB49" s="26" t="s">
        <v>864</v>
      </c>
      <c r="BC49" s="26" t="s">
        <v>864</v>
      </c>
      <c r="BD49" s="26" t="s">
        <v>864</v>
      </c>
      <c r="BE49" s="26" t="s">
        <v>864</v>
      </c>
      <c r="BF49" s="26" t="s">
        <v>864</v>
      </c>
      <c r="BG49" s="26" t="s">
        <v>864</v>
      </c>
      <c r="BH49" s="26" t="s">
        <v>864</v>
      </c>
      <c r="BI49" s="26" t="s">
        <v>864</v>
      </c>
      <c r="BJ49" s="26"/>
      <c r="BK49" s="26"/>
      <c r="BL49" s="26" t="s">
        <v>864</v>
      </c>
      <c r="BM49" s="26" t="s">
        <v>864</v>
      </c>
      <c r="BN49" s="22"/>
      <c r="BO49" s="22">
        <v>44756</v>
      </c>
      <c r="BP49" s="21" t="s">
        <v>854</v>
      </c>
      <c r="BQ49" s="222">
        <f t="shared" si="2"/>
        <v>0</v>
      </c>
      <c r="BR49" s="223">
        <f t="shared" si="3"/>
        <v>44756.3</v>
      </c>
      <c r="BS49" s="224">
        <f t="shared" si="4"/>
        <v>13.285714285714286</v>
      </c>
      <c r="BT49" s="216" t="str">
        <f t="shared" si="5"/>
        <v>II TRIM</v>
      </c>
      <c r="BU49" s="214" t="str">
        <f t="shared" ca="1" si="6"/>
        <v/>
      </c>
      <c r="BV49" s="25"/>
      <c r="BW49" s="22">
        <v>44918</v>
      </c>
      <c r="BX49" s="28">
        <v>23.1</v>
      </c>
      <c r="BY49" s="28"/>
      <c r="BZ49" s="22">
        <v>44995</v>
      </c>
      <c r="CA49" s="21">
        <v>33</v>
      </c>
      <c r="CB49" s="26" t="s">
        <v>864</v>
      </c>
      <c r="CC49" s="26" t="s">
        <v>864</v>
      </c>
      <c r="CD49" s="26" t="s">
        <v>878</v>
      </c>
      <c r="CE49" s="26" t="s">
        <v>864</v>
      </c>
      <c r="CF49" s="22" t="s">
        <v>1517</v>
      </c>
      <c r="CG49" s="21">
        <v>1.58</v>
      </c>
      <c r="CH49" s="21">
        <v>62</v>
      </c>
      <c r="CI49" s="214">
        <f t="shared" si="7"/>
        <v>24.835763499439189</v>
      </c>
      <c r="CJ49" s="225" t="e">
        <f>IF(AND(CI49&lt;10,CH49="SD"),"SIN DATO PESO PREGESTACION O I TRIM",IF(AND(OR(R49&gt;0,O49&gt;0),CI49="X"),"INGRESAR DATO DE PESO",IF(CI49="SD","INGRESAR DATO DE TALLA Y PESO",IF(AND(OR(Tabla1[[#This Row],[MOMENTO EN QUE SE REALIZA EL PESO AL INGRESO A CPN]]="PREGESTACIÓN",NZ49="Menor"),CI49&lt;18.5),"BAJO PESO",IF(AND(OR(Tabla1[[#This Row],[MOMENTO EN QUE SE REALIZA EL PESO AL INGRESO A CPN]]="PREGESTACIÓN",NZ49="Menor"),CI49&lt;25),"NORMAL",IF(AND(OR(Tabla1[[#This Row],[MOMENTO EN QUE SE REALIZA EL PESO AL INGRESO A CPN]]="PREGESTACIÓN",NZ49="Menor"),CI49&lt;30),"SOBREPESO",IF(AND(OR(Tabla1[[#This Row],[MOMENTO EN QUE SE REALIZA EL PESO AL INGRESO A CPN]]="PREGESTACIÓN",NZ49="Menor"),CI49&gt;=30,CI49&lt;50),"OBESIDAD",IF(AND(BS49&gt;0,Tabla1[[#This Row],[MOMENTO EN QUE SE REALIZA EL PESO AL INGRESO A CPN]]="GESTACIÓN"),HLOOKUP(NZ49,$OA$2:PH49,NY49),""))))))))</f>
        <v>#REF!</v>
      </c>
      <c r="CK49" s="212">
        <f t="shared" si="8"/>
        <v>45016</v>
      </c>
      <c r="CL49" s="21"/>
      <c r="CM49" s="214">
        <f t="shared" si="9"/>
        <v>0</v>
      </c>
      <c r="CN49" s="216">
        <f t="shared" si="10"/>
        <v>37</v>
      </c>
      <c r="CO49" s="216" t="e">
        <f>IF(PI49="","",IF(PI49&gt;0,HLOOKUP(PI49,$PJ$2:QQ49,NY49),""))</f>
        <v>#REF!</v>
      </c>
      <c r="CP49" s="21"/>
      <c r="CQ49" s="216" t="e">
        <f>IF(QR49="Menor","NO APLICA-MENOR 13 SEM",IF(AND(CC49="SI",CN49&gt;23),"NO APLICA- GEMELAR",IF(QR49="","",IF(QR49&gt;0,HLOOKUP(QR49,$QS$2:RU49,NY49),""))))</f>
        <v>#REF!</v>
      </c>
      <c r="CR49" s="21">
        <v>100</v>
      </c>
      <c r="CS49" s="21">
        <v>60</v>
      </c>
      <c r="CT49" s="217" t="str">
        <f>IF(R49="","",IF(AND(BS49&gt;1,BS49&lt;12,Tabla1[[#This Row],[T.A. SISTOLICA - ANTES DE SEMANA 12]]="",Tabla1[[#This Row],[T.A. DIASTOLICA - ANTES DE SEMANA 12]]=""),"REGISTRE DATO TA ANTES SEMANA 12",IF(AND(BS49&gt;11,BS49&lt;43,Tabla1[[#This Row],[T.A. SISTOLICA - ANTES DE SEMANA 12]]="",Tabla1[[#This Row],[T.A. DIASTOLICA - ANTES DE SEMANA 12]]=""),"NO APLICA REGISTRO TA-INGRESO TARDIO",IF(AND(OR(O49&gt;0,R49&gt;0),OR(CR49&gt;=140,CS49&gt;=90)),"DEFINIR ESTADIO HTA",IF(AND(OR(O49&gt;0,R49&gt;0),AND(CR49&gt;120,CR49&lt;=139)),"PRE HTA SEGUIMIENTO",IF(AND(OR(O49&gt;0,R49&gt;0),AND(CS49&gt;80,CS49&lt;=89)),"PRE HTA SEGUIMIENTO",IF(AND(OR(O49&gt;0,R49&gt;0),AND(CR49&gt;=80,CR49&lt;=120)),"APARENTEMENTE NORMAL",IF(AND(OR(O49&gt;0,R49&gt;0),AND(CS49&gt;=50,CS49&lt;=80)),"APARENTEMENTE NORMAL",IF(AND(OR(O49&gt;0,R49&gt;0),AND(CR49&gt;1,CR49&lt;=70),AND(CS49&gt;1,CS49&lt;=40)),"HIPOTENSIÓN","")))))))))</f>
        <v>APARENTEMENTE NORMAL</v>
      </c>
      <c r="CU49" s="21"/>
      <c r="CV49" s="21"/>
      <c r="CW49" s="217" t="str">
        <f ca="1">IF(R49="","",IF(AND(CN49&gt;19,CN49&lt;27,Tabla1[[#This Row],[T.A. SISTOLICA (Entre semana 20 y 26)]]="",Tabla1[[#This Row],[T.A. DIATOLICA (Entre semana 20 y 26)]]=""),"ACUDE A CONTROL SEM 20 A 26 REGISTRE TA AHORA",IF(AND(BS49&gt;1,BS49&lt;27,BU49&gt;19,Tabla1[[#This Row],[T.A. SISTOLICA (Entre semana 20 y 26)]]="",Tabla1[[#This Row],[T.A. DIATOLICA (Entre semana 20 y 26)]]=""),"COMPLETE REGISTRO TA CONTROL SEM 20 A26 ",IF(AND(BS49&gt;26,BS49&lt;43,Tabla1[[#This Row],[T.A. SISTOLICA (Entre semana 20 y 26)]]="",Tabla1[[#This Row],[T.A. DIATOLICA (Entre semana 20 y 26)]]=""),"NO APLICA REGISTRO TA-INGRESO TARDIO",IF(AND(OR(O49&gt;0,R49&gt;0),OR(CU49&gt;=140,CV49&gt;=90)),"ALTO RIESGO PREECLAMPSIA,DEFINIR ESTADIO HTA",IF(AND(OR(O49&gt;0,R49&gt;0),AND(CU49&gt;120,CU49&lt;=139)),"PRE HTA SEGUIMIENTO,RIESGO HIPERTENSION INDUCIDA POR EL EMBARAZO",IF(AND(OR(O49&gt;0,R49&gt;0),AND(CV49&gt;80,CV49&lt;=89)),"PRE HTA SEGUIMIENTO, RIESGO HIPERTENSION INDUCIDA POR EL EMBARAZO",IF(AND(OR(O49&lt;&gt;"",R49&lt;&gt;""),CS49&lt;&gt;"",CV49&lt;&gt;"",CS49&lt;=CV49),"VIGILAR CIFRAS PRESION ARTERIAL",IF(AND(OR(O49&gt;0,R49&gt;0),AND(CU49&gt;120,CU49&lt;=139)),"PRE HTA SEGUIMIENTO",IF(AND(OR(O49&gt;0,R49&gt;0),AND(CU49&gt;1,CU49&lt;=70),AND(CV49&gt;1,CV49&lt;=40)),"HIPOTENSIÓN",IF(AND(OR(O49&lt;&gt;"",R49&lt;&gt;""),CS49&lt;&gt;"",CV49&lt;&gt;"",CS49&gt;CV49),"APARENTEMENTE NORMAL",IF(AND(OR(O49&gt;0,R49&gt;0),AND(CU49&gt;=80,CU49&lt;=120)),"APARENTEMENTE NORMAL",IF(AND(OR(O49&gt;0,R49&gt;0),AND(CV49&gt;=50,CV49&lt;=80)),"APARENTEMENTE NORMAL","")))))))))))))</f>
        <v xml:space="preserve">COMPLETE REGISTRO TA CONTROL SEM 20 A26 </v>
      </c>
      <c r="CX49" s="21"/>
      <c r="CY49" s="21"/>
      <c r="CZ49" s="216" t="str">
        <f t="shared" si="195"/>
        <v/>
      </c>
      <c r="DA49" s="21"/>
      <c r="DB49" s="21"/>
      <c r="DC49" s="217" t="str">
        <f t="shared" si="12"/>
        <v>REGISTRE DATO PRESIÓN ARTERIAL MENSUAL</v>
      </c>
      <c r="DD49" s="22">
        <v>44849</v>
      </c>
      <c r="DE49" s="22">
        <v>44849</v>
      </c>
      <c r="DF49" s="22">
        <v>44880</v>
      </c>
      <c r="DG49" s="22">
        <v>44918</v>
      </c>
      <c r="DH49" s="22">
        <v>44981</v>
      </c>
      <c r="DI49" s="22">
        <v>45016</v>
      </c>
      <c r="DJ49" s="22"/>
      <c r="DK49" s="22"/>
      <c r="DL49" s="22"/>
      <c r="DM49" s="22"/>
      <c r="DN49" s="22"/>
      <c r="DO49" s="22"/>
      <c r="DP49" s="22"/>
      <c r="DQ49" s="22"/>
      <c r="DR49" s="28">
        <v>2</v>
      </c>
      <c r="DS49" s="22"/>
      <c r="DT49" s="22"/>
      <c r="DU49" s="216" t="str">
        <f t="shared" ca="1" si="196"/>
        <v>SALE SIN PLAN DE PARTO</v>
      </c>
      <c r="DV49" s="226" t="str">
        <f t="shared" si="197"/>
        <v>SALIO PROGRAMA</v>
      </c>
      <c r="DW49"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49" s="216" t="str">
        <f t="shared" ca="1" si="15"/>
        <v/>
      </c>
      <c r="DY49" s="212">
        <f>IF(R49="","",IF(R49&gt;0,MAX(Tabla1[[#This Row],[FECHA C2]:[FECHA C13]],Tabla1[[#This Row],[FECHA CONSULTA PRIMERA VEZ PROGRAMA CPN ]])))</f>
        <v>45016</v>
      </c>
      <c r="DZ49" s="216">
        <f t="shared" si="16"/>
        <v>37</v>
      </c>
      <c r="EA49" s="222">
        <f>IF(R49&gt;0,SUM(COUNTA(DF49:DQ49)+COUNTA(Tabla1[[#This Row],[FECHA CONSULTA PRIMERA VEZ PROGRAMA CPN ]])),"")</f>
        <v>5</v>
      </c>
      <c r="EB49" s="222" t="str">
        <f t="shared" si="17"/>
        <v>SI</v>
      </c>
      <c r="EC49" s="214">
        <f t="shared" si="18"/>
        <v>8</v>
      </c>
      <c r="ED49" s="227">
        <f t="shared" si="19"/>
        <v>0.625</v>
      </c>
      <c r="EE49" s="22">
        <v>44849</v>
      </c>
      <c r="EF49" s="22">
        <v>44849</v>
      </c>
      <c r="EG49" s="22">
        <v>44849</v>
      </c>
      <c r="EH49" s="22"/>
      <c r="EI49" s="22">
        <v>44849</v>
      </c>
      <c r="EJ49" s="22"/>
      <c r="EK49" s="22"/>
      <c r="EL49" s="21"/>
      <c r="EM49" s="21">
        <v>13.8</v>
      </c>
      <c r="EN49" s="22">
        <v>44849</v>
      </c>
      <c r="EO49" s="222">
        <f t="shared" si="20"/>
        <v>13.285714285714286</v>
      </c>
      <c r="EP49" s="214" t="str">
        <f t="shared" si="21"/>
        <v>NORMAL- SUMINISTRAR SULFATO FERROSO</v>
      </c>
      <c r="EQ49" s="216" t="str">
        <f t="shared" si="22"/>
        <v>II TRIM</v>
      </c>
      <c r="ER49" s="24"/>
      <c r="ES49" s="22"/>
      <c r="ET49" s="29" t="str">
        <f t="shared" ca="1" si="198"/>
        <v>SALE SIN TAMIZAJE HEMOGLOBINA SEM 28</v>
      </c>
      <c r="EU49" s="25" t="str">
        <f t="shared" si="24"/>
        <v/>
      </c>
      <c r="EV49" s="24" t="s">
        <v>866</v>
      </c>
      <c r="EW49" s="24">
        <v>44849</v>
      </c>
      <c r="EX49" s="22"/>
      <c r="EY49" s="29">
        <f t="shared" si="199"/>
        <v>13.285714285714286</v>
      </c>
      <c r="EZ49" s="25" t="str">
        <f t="shared" ca="1" si="200"/>
        <v/>
      </c>
      <c r="FA49" s="21">
        <v>70</v>
      </c>
      <c r="FB49" s="22">
        <v>44849</v>
      </c>
      <c r="FC49" s="29">
        <f t="shared" si="27"/>
        <v>13.285714285714286</v>
      </c>
      <c r="FD49" s="29">
        <v>60</v>
      </c>
      <c r="FE49" s="29">
        <v>131</v>
      </c>
      <c r="FF49" s="29">
        <v>115</v>
      </c>
      <c r="FG49" s="21" t="str">
        <f t="shared" ca="1" si="28"/>
        <v>NORMAL</v>
      </c>
      <c r="FH49" s="31">
        <v>44995</v>
      </c>
      <c r="FI49" s="29">
        <f t="shared" si="29"/>
        <v>34.142857142857146</v>
      </c>
      <c r="FJ49" s="22" t="s">
        <v>867</v>
      </c>
      <c r="FK49" s="22"/>
      <c r="FL49" s="29" t="str">
        <f t="shared" ca="1" si="30"/>
        <v>NO APLICA-INGRESO TARDIO</v>
      </c>
      <c r="FM49" s="22" t="s">
        <v>867</v>
      </c>
      <c r="FN49" s="32">
        <v>44849</v>
      </c>
      <c r="FO49" s="29">
        <f t="shared" ca="1" si="201"/>
        <v>13.285714285714286</v>
      </c>
      <c r="FP49" s="22" t="s">
        <v>867</v>
      </c>
      <c r="FQ49" s="32">
        <v>44995</v>
      </c>
      <c r="FR49" s="29">
        <f t="shared" ca="1" si="202"/>
        <v>34.142857142857146</v>
      </c>
      <c r="FS49" s="22"/>
      <c r="FT49" s="32"/>
      <c r="FU49" s="29" t="str">
        <f>IF(AND(FJ49="",FM49="",FP49="",FS49=""),"",IF(OR(OR(Tabla1[[#This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49" s="28"/>
      <c r="FW49" s="22"/>
      <c r="FX49" s="29" t="str">
        <f t="shared" si="33"/>
        <v>TOMAR EXAMEN</v>
      </c>
      <c r="FY49" s="22">
        <v>44849</v>
      </c>
      <c r="FZ49" s="22">
        <v>44849</v>
      </c>
      <c r="GA49" s="29" t="str">
        <f t="shared" si="203"/>
        <v>REGISTRAR EN II TRIMESTRE</v>
      </c>
      <c r="GB49" s="22" t="s">
        <v>868</v>
      </c>
      <c r="GC49" s="22">
        <v>44849</v>
      </c>
      <c r="GD49" s="29">
        <f t="shared" ca="1" si="204"/>
        <v>13.285714285714286</v>
      </c>
      <c r="GE49" s="22" t="s">
        <v>868</v>
      </c>
      <c r="GF49" s="22">
        <v>44995</v>
      </c>
      <c r="GG49" s="29">
        <f t="shared" ca="1" si="205"/>
        <v>34.142857142857146</v>
      </c>
      <c r="GH49" s="22"/>
      <c r="GI49" s="29"/>
      <c r="GJ49" s="22"/>
      <c r="GK49" s="22"/>
      <c r="GL49" s="22" t="s">
        <v>879</v>
      </c>
      <c r="GM49" s="22"/>
      <c r="GN49" s="28" t="s">
        <v>869</v>
      </c>
      <c r="GO49" s="22">
        <v>44849</v>
      </c>
      <c r="GP49" s="29">
        <f t="shared" si="37"/>
        <v>13.285714285714286</v>
      </c>
      <c r="GQ49" s="28" t="s">
        <v>869</v>
      </c>
      <c r="GR49" s="28" t="s">
        <v>869</v>
      </c>
      <c r="GS49" s="22" t="str">
        <f t="shared" si="206"/>
        <v>CONTROL Igm</v>
      </c>
      <c r="GT49" s="22">
        <v>44849</v>
      </c>
      <c r="GU49" s="29">
        <f t="shared" si="39"/>
        <v>13.285714285714286</v>
      </c>
      <c r="GV49" s="21" t="str">
        <f t="shared" si="40"/>
        <v>II TRIM</v>
      </c>
      <c r="GW49" s="28" t="s">
        <v>869</v>
      </c>
      <c r="GX49" s="30"/>
      <c r="GY49" s="21"/>
      <c r="GZ49" s="21"/>
      <c r="HA49" s="21"/>
      <c r="HB49" s="21"/>
      <c r="HC49" s="21"/>
      <c r="HD49" s="21"/>
      <c r="HE49" s="21"/>
      <c r="HF49" s="22"/>
      <c r="HG49" s="22" t="str">
        <f>IF(OR(O49&gt;0,R49&gt;0),CONCATENATE(IF(Tabla1[[#This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49" s="22" t="e">
        <f t="shared" si="41"/>
        <v>#REF!</v>
      </c>
      <c r="HI49" s="22" t="e">
        <f t="shared" ca="1" si="42"/>
        <v>#REF!</v>
      </c>
      <c r="HJ49" s="21" t="str">
        <f t="shared" ca="1" si="43"/>
        <v>**********************MULTIPARIDAD*****************</v>
      </c>
      <c r="HK49" s="21" t="str">
        <f t="shared" si="44"/>
        <v>SIN ANTECEDENTES DE RIESGO</v>
      </c>
      <c r="HL49" s="24" t="str">
        <f t="shared" si="45"/>
        <v>REGISTRE DATO PRESIÓN ARTERIAL MENSUAL</v>
      </c>
      <c r="HM49" s="21" t="str">
        <f t="shared" ca="1" si="46"/>
        <v/>
      </c>
      <c r="HN49" s="30" t="str">
        <f t="shared" si="207"/>
        <v>SALIO PROGRAMA</v>
      </c>
      <c r="HO49" s="21"/>
      <c r="HP49" s="21"/>
      <c r="HQ49" s="21">
        <v>44849</v>
      </c>
      <c r="HR49" s="21" t="str">
        <f>IF(R49="","",IF(Tabla1[[#This Row],[ALARMA FACTORES DE RIESGO COMPLICACIONES HIPERTENSIVAS3]]="SIN ANTECEDENTES DE RIESGO","No Aplica para suministro de ASA",IF(AND(Tabla1[[#This Row],[FECHA INICIO DE SUMINISTRO DE ASA]]&gt;0,RV49&lt;12),"Inicia ASA ANTES de Sem 12",IF(AND(RV49&gt;11,RV49&lt;17,OR(HK49="RIESGO ALTO DE COMPLICACIONES HIPERTENSIVAS VER MANEJO GUIA SUMINISTRO ASA Y CALCIO",HK49="RIESGO MODERADO (2 O MAS CRITERIOS) VER MANEJO GUIA SUMINISTRO ASA Y CALCIO")),"Inicio oportuno de ASA",IF(AND(RV49&gt;12,OR(HK49="RIESGO ALTO DE COMPLICACIONES HIPERTENSIVAS VER MANEJO GUIA SUMINISTRO ASA Y CALCIO",HK49="RIESGO MODERADO (2 O MAS CRITERIOS) VER MANEJO GUIA SUMINISTRO ASA Y CALCIO")),"Inicio no oportuno mayor a 16 semanas",IF(AND(BU49&lt;12,OR(HK49="RIESGO ALTO DE COMPLICACIONES HIPERTENSIVAS VER MANEJO GUIA SUMINISTRO ASA Y CALCIO",HK49="RIESGO MODERADO (2 O MAS CRITERIOS) VER MANEJO GUIA SUMINISTRO ASA Y CALCIO")),"Pendiente Inicio de ASA a la semana 12",IF(AND(BU49&gt;11,BU49&lt;17,OR(HK49="RIESGO ALTO DE COMPLICACIONES HIPERTENSIVAS VER MANEJO GUIA SUMINISTRO ASA Y CALCIO",HK49="RIESGO MODERADO (2 O MAS CRITERIOS) VER MANEJO GUIA SUMINISTRO ASA Y CALCIO")),"Iniciar de inmediato ASA",IF(AND(BU49&gt;16,OR(HK49="RIESGO ALTO DE COMPLICACIONES HIPERTENSIVAS VER MANEJO GUIA SUMINISTRO ASA Y CALCIO",HK49="RIESGO MODERADO (2 O MAS CRITERIOS) VER MANEJO GUIA SUMINISTRO ASA Y CALCIO")),"Pierde Oportunidad, Inicio tardío de ASA","XXXXX"))))))))</f>
        <v>No Aplica para suministro de ASA</v>
      </c>
      <c r="HS49" s="22">
        <v>44849</v>
      </c>
      <c r="HT49" s="22" t="s">
        <v>870</v>
      </c>
      <c r="HU49" s="22">
        <v>44849</v>
      </c>
      <c r="HV49" s="22" t="s">
        <v>870</v>
      </c>
      <c r="HW49" s="22">
        <v>44849</v>
      </c>
      <c r="HX49" s="22" t="s">
        <v>935</v>
      </c>
      <c r="HY49" s="22">
        <v>44864</v>
      </c>
      <c r="HZ49" s="28">
        <f t="shared" si="48"/>
        <v>15.428571428571429</v>
      </c>
      <c r="IA49" s="26" t="s">
        <v>864</v>
      </c>
      <c r="IB49" s="26"/>
      <c r="IC49" s="111"/>
      <c r="ID49" s="22">
        <v>44995</v>
      </c>
      <c r="IE49" s="22" t="str">
        <f t="shared" ca="1" si="49"/>
        <v>VACUNA APLICADA ENTRE SEMANA 27 Y EL PARTO</v>
      </c>
      <c r="IF49" s="22"/>
      <c r="IG49" s="22">
        <f t="shared" si="50"/>
        <v>45036</v>
      </c>
      <c r="IH49" s="29">
        <f t="shared" ca="1" si="51"/>
        <v>-196</v>
      </c>
      <c r="II49" s="22" t="str">
        <f t="shared" ca="1" si="52"/>
        <v>POSIBLEMENTE NACIO</v>
      </c>
      <c r="IJ49" s="22"/>
      <c r="IK49" s="21" t="s">
        <v>898</v>
      </c>
      <c r="IL49" s="21"/>
      <c r="IM49" s="34"/>
      <c r="IN49" s="349">
        <v>45032</v>
      </c>
      <c r="IO49" s="21" t="s">
        <v>1640</v>
      </c>
      <c r="IP49" s="29">
        <f t="shared" si="208"/>
        <v>39.428571428571431</v>
      </c>
      <c r="IQ49" s="110"/>
      <c r="IR49" s="21" t="s">
        <v>879</v>
      </c>
      <c r="IS49" s="21" t="s">
        <v>1641</v>
      </c>
      <c r="IT49" s="21" t="s">
        <v>1642</v>
      </c>
      <c r="IU49" s="21"/>
      <c r="IV49" s="21"/>
      <c r="IW49" s="21"/>
      <c r="IX49" s="21"/>
      <c r="IY49" s="21"/>
      <c r="IZ49" s="21"/>
      <c r="JA49" s="21"/>
      <c r="JB49" s="30">
        <v>1</v>
      </c>
      <c r="JC49" s="21" t="s">
        <v>1647</v>
      </c>
      <c r="JD49" s="36">
        <v>3000</v>
      </c>
      <c r="JE49" s="21" t="str">
        <f t="shared" si="209"/>
        <v>PESO ADECUADO EDAD GESTACIONAL</v>
      </c>
      <c r="JF49" s="30"/>
      <c r="JG49" s="21"/>
      <c r="JH49" s="21"/>
      <c r="JI49" s="21"/>
      <c r="JJ49" s="30"/>
      <c r="JK49" s="22"/>
      <c r="JL49" s="22"/>
      <c r="JM49" s="21"/>
      <c r="JN49" s="36"/>
      <c r="JO49" s="21" t="str">
        <f t="shared" si="210"/>
        <v/>
      </c>
      <c r="JP49" s="22"/>
      <c r="JQ49" s="21"/>
      <c r="JR49" s="21"/>
      <c r="JS49" s="21"/>
      <c r="JT49" s="30"/>
      <c r="JU49" s="22"/>
      <c r="JV49" s="22"/>
      <c r="JW49" s="33"/>
      <c r="JX49" s="28" t="str">
        <f t="shared" si="211"/>
        <v>INASISTENTE</v>
      </c>
      <c r="JY49" s="33"/>
      <c r="JZ49" s="28" t="str">
        <f t="shared" si="212"/>
        <v>INASISTENTE</v>
      </c>
      <c r="KA49" s="21"/>
      <c r="KB49" s="21"/>
      <c r="KC49" s="21"/>
      <c r="KD49" s="37"/>
      <c r="KE49" s="28"/>
      <c r="KF49" s="28"/>
      <c r="KG49" s="28"/>
      <c r="KH49" s="39"/>
      <c r="KI49" s="39"/>
      <c r="KJ49" s="66"/>
      <c r="KK49" s="39"/>
      <c r="KL49" s="39"/>
      <c r="KM49" s="66"/>
      <c r="KN49" s="39"/>
      <c r="KO49" s="39"/>
      <c r="KP49" s="39"/>
      <c r="KQ49" s="39"/>
      <c r="KR49" s="39"/>
      <c r="KS49" s="39"/>
      <c r="KT49" s="39"/>
      <c r="KU49" s="38"/>
      <c r="KV49" s="38"/>
      <c r="KW49" s="38"/>
      <c r="KX49" s="38"/>
      <c r="KY49" s="38"/>
      <c r="KZ49" s="38"/>
      <c r="LA49" s="38"/>
      <c r="LB49" s="38"/>
      <c r="LC49" s="38"/>
      <c r="LD49" s="38"/>
      <c r="LE49" s="38"/>
      <c r="LF49" s="38"/>
      <c r="LG49" s="38"/>
      <c r="LH49" s="38"/>
      <c r="LI49" s="38"/>
      <c r="LJ49" s="38"/>
      <c r="LK49" s="38"/>
      <c r="LL49" s="38"/>
      <c r="LM49" s="38"/>
      <c r="LN49" s="38"/>
      <c r="LO49" s="38"/>
      <c r="LP49" s="38"/>
      <c r="LQ49" s="38"/>
      <c r="LR49" s="38"/>
      <c r="LS49" s="38"/>
      <c r="LT49" s="38"/>
      <c r="LU49" s="38"/>
      <c r="LV49" s="38"/>
      <c r="LW49" s="38"/>
      <c r="LX49" s="38"/>
      <c r="LY49" s="38"/>
      <c r="LZ49" s="38"/>
      <c r="MA49" s="38"/>
      <c r="MB49" s="38"/>
      <c r="MC49" s="38"/>
      <c r="MD49" s="38"/>
      <c r="ME49" s="38"/>
      <c r="MF49" s="38"/>
      <c r="MG49" s="38"/>
      <c r="MH49" s="43">
        <f t="shared" si="213"/>
        <v>0</v>
      </c>
      <c r="MI49" s="43" t="str">
        <f t="shared" si="214"/>
        <v/>
      </c>
      <c r="MJ49" s="43" t="str">
        <f t="shared" si="215"/>
        <v/>
      </c>
      <c r="MK49" s="43">
        <f t="shared" si="216"/>
        <v>0</v>
      </c>
      <c r="ML4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49" s="43">
        <f t="shared" si="217"/>
        <v>13.285714285714286</v>
      </c>
      <c r="MN49" s="43">
        <f t="shared" si="218"/>
        <v>10</v>
      </c>
      <c r="MO49" s="43">
        <f t="shared" si="219"/>
        <v>2022</v>
      </c>
      <c r="MP49" s="43" t="str">
        <f t="shared" si="220"/>
        <v>IV TRIMESTRE AÑO</v>
      </c>
      <c r="MQ49" s="43">
        <f t="shared" si="221"/>
        <v>17.731603153745073</v>
      </c>
      <c r="MR49" s="43">
        <f t="shared" si="222"/>
        <v>0</v>
      </c>
      <c r="MS49" s="43" t="str">
        <f t="shared" si="223"/>
        <v>DE 14 A 19AÑOS</v>
      </c>
      <c r="MT49" s="43">
        <f t="shared" si="224"/>
        <v>0</v>
      </c>
      <c r="MU49" s="43">
        <f t="shared" si="225"/>
        <v>1</v>
      </c>
      <c r="MV49" s="43">
        <f t="shared" si="226"/>
        <v>0</v>
      </c>
      <c r="MW49" s="43">
        <f t="shared" si="227"/>
        <v>0</v>
      </c>
      <c r="MX49" s="43" t="str">
        <f t="shared" si="228"/>
        <v/>
      </c>
      <c r="MY49" s="43" t="str">
        <f t="shared" ca="1" si="229"/>
        <v/>
      </c>
      <c r="MZ49" s="43" t="str">
        <f t="shared" si="230"/>
        <v/>
      </c>
      <c r="NA49" s="43">
        <f t="shared" si="231"/>
        <v>0</v>
      </c>
      <c r="NB49" s="43" t="str">
        <f t="shared" si="232"/>
        <v/>
      </c>
      <c r="NC49" s="43" t="str">
        <f t="shared" si="233"/>
        <v/>
      </c>
      <c r="ND49" s="43">
        <f t="shared" ca="1" si="234"/>
        <v>1</v>
      </c>
      <c r="NE49" s="43">
        <f>IF(OR(O49&gt;0,R49&gt;0),SUM(COUNTIF(Tabla1[[#This Row],[AÑOS AL INICIO5 CPN]],"&gt;=40"),COUNTIF(AS49,"0"),COUNTIF(AR49,"SI"),COUNTIF(CC49,"SI"),COUNTIF(BQ49,"&gt;119"),COUNTIF(CI49,"&gt;=35")),"")</f>
        <v>1</v>
      </c>
      <c r="NF49" s="43">
        <f t="shared" si="235"/>
        <v>34.142857142857146</v>
      </c>
      <c r="NG49" s="43">
        <f t="shared" si="236"/>
        <v>0</v>
      </c>
      <c r="NH49" s="43">
        <f t="shared" si="237"/>
        <v>161.70000000000002</v>
      </c>
      <c r="NI49"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CPN",P49="NO"),"Z",IF(AND(Tabla1[[#This Row],[CITA PROXIMO CONTROL]]="CITA MANUAL",Tabla1[[#This Row],[GESTANTES ACTUALES]]="ACTIVA INGRESO A CPN"),"W",IF(AND(Tabla1[[#This Row],[GESTANTES ACTUALES]]="SALIO PROGRAMA",IN49=""),"S",IF(AND(Tabla1[[#This Row],[CITA PROXIMO CONTROL]]&gt;0,IN49=""),(Tabla1[[#This Row],[CITA PROXIMO CONTROL]]-TODAY()),"SD"))))))))</f>
        <v>SD</v>
      </c>
      <c r="NJ49" s="43">
        <f>MONTH(Tabla1[[#This Row],[FECHA DE SALIDA  DEL PROGRAMA]])</f>
        <v>4</v>
      </c>
      <c r="NK49" s="43">
        <f>YEAR(Tabla1[[#This Row],[FECHA DE SALIDA  DEL PROGRAMA]])</f>
        <v>2023</v>
      </c>
      <c r="NL49" s="43" t="str">
        <f t="shared" si="238"/>
        <v>X</v>
      </c>
      <c r="NM49" s="43" t="str">
        <f t="shared" si="239"/>
        <v>NO</v>
      </c>
      <c r="NN49" s="43" t="str">
        <f ca="1">IF(AND(O49&gt;0,R49=""),"NO CPN",IF(AND(O49="",R49=""),"",IF(AND(R49&gt;0,Tabla1[[#This Row],[SEMANAS DE GESTACION ACTUALIZADAS]]&lt;=12),"NO APLICA",IF(AND(FH49&lt;&gt;"",FN49&lt;&gt;""),"SI","NO"))))</f>
        <v>SI</v>
      </c>
      <c r="NO49" s="43" t="str">
        <f ca="1">IF(AND(O49&gt;0,R49=""),"NO CPN",IF(AND(O49="",R49=""),"",IF(AND(R49&gt;0,Tabla1[[#This Row],[SEMANAS DE GESTACION ACTUALIZADAS]]&lt;=27),"NO APLICA",IF(AND(ES49&lt;&gt;"",FQ49&lt;&gt;"",GF49&lt;&gt;""),"SI","NO"))))</f>
        <v>NO</v>
      </c>
      <c r="NP49" s="204" t="str">
        <f t="shared" si="240"/>
        <v>II TRIM</v>
      </c>
      <c r="NQ49" s="21" t="str">
        <f t="shared" si="241"/>
        <v/>
      </c>
      <c r="NR49" s="21">
        <f t="shared" si="242"/>
        <v>2</v>
      </c>
      <c r="NS49" s="205">
        <f t="shared" ca="1" si="243"/>
        <v>2</v>
      </c>
      <c r="NT49" s="21">
        <f t="shared" ca="1" si="244"/>
        <v>2</v>
      </c>
      <c r="NU49" s="21" t="str">
        <f t="shared" ca="1" si="245"/>
        <v>COMPLETO</v>
      </c>
      <c r="NV49" s="21" t="str">
        <f t="shared" ca="1" si="246"/>
        <v>COMPLETO</v>
      </c>
      <c r="NW49" s="206" t="str">
        <f>IF(AND(O49="",R49=""),"",IF(OR(AND(Tabla1[[#This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49" s="207" t="str">
        <f t="shared" ca="1" si="247"/>
        <v>VACUNADA</v>
      </c>
      <c r="NY49" s="43">
        <f>ROW(Tabla1[[#This Row],['# DE TAMIZAJES SIFILIS TOMADOS ]])</f>
        <v>49</v>
      </c>
      <c r="NZ49" s="43">
        <f t="shared" si="93"/>
        <v>13</v>
      </c>
      <c r="OA49" s="43" t="str">
        <f t="shared" si="94"/>
        <v/>
      </c>
      <c r="OB49" s="43" t="str">
        <f t="shared" si="95"/>
        <v/>
      </c>
      <c r="OC49" s="43" t="str">
        <f t="shared" si="96"/>
        <v/>
      </c>
      <c r="OD49" s="43" t="str">
        <f t="shared" si="97"/>
        <v/>
      </c>
      <c r="OE49" s="43" t="str">
        <f t="shared" si="98"/>
        <v>NORMAL</v>
      </c>
      <c r="OF49" s="43" t="str">
        <f t="shared" si="99"/>
        <v/>
      </c>
      <c r="OG49" s="43" t="str">
        <f t="shared" si="100"/>
        <v/>
      </c>
      <c r="OH49" s="43" t="str">
        <f t="shared" si="101"/>
        <v/>
      </c>
      <c r="OI49" s="43" t="str">
        <f t="shared" si="102"/>
        <v/>
      </c>
      <c r="OJ49" s="43" t="str">
        <f t="shared" si="103"/>
        <v/>
      </c>
      <c r="OK49" s="43" t="str">
        <f t="shared" si="104"/>
        <v/>
      </c>
      <c r="OL49" s="43" t="str">
        <f t="shared" si="105"/>
        <v/>
      </c>
      <c r="OM49" s="43" t="str">
        <f t="shared" si="106"/>
        <v/>
      </c>
      <c r="ON49" s="43" t="str">
        <f t="shared" si="107"/>
        <v/>
      </c>
      <c r="OO49" s="43" t="str">
        <f t="shared" si="108"/>
        <v/>
      </c>
      <c r="OP49" s="43" t="str">
        <f t="shared" si="109"/>
        <v/>
      </c>
      <c r="OQ49" s="43" t="str">
        <f t="shared" si="110"/>
        <v/>
      </c>
      <c r="OR49" s="43" t="str">
        <f t="shared" si="111"/>
        <v/>
      </c>
      <c r="OS49" s="43" t="str">
        <f t="shared" si="112"/>
        <v/>
      </c>
      <c r="OT49" s="43" t="str">
        <f t="shared" si="113"/>
        <v/>
      </c>
      <c r="OU49" s="43" t="str">
        <f t="shared" si="114"/>
        <v/>
      </c>
      <c r="OV49" s="110" t="str">
        <f t="shared" si="115"/>
        <v/>
      </c>
      <c r="OW49" s="43" t="str">
        <f t="shared" si="116"/>
        <v/>
      </c>
      <c r="OX49" s="43" t="str">
        <f t="shared" si="117"/>
        <v/>
      </c>
      <c r="OY49" s="43" t="str">
        <f t="shared" si="118"/>
        <v/>
      </c>
      <c r="OZ49" s="43" t="str">
        <f t="shared" si="119"/>
        <v/>
      </c>
      <c r="PA49" s="43" t="str">
        <f t="shared" si="120"/>
        <v/>
      </c>
      <c r="PB49" s="43" t="str">
        <f t="shared" si="121"/>
        <v/>
      </c>
      <c r="PC49" s="43" t="str">
        <f t="shared" si="122"/>
        <v/>
      </c>
      <c r="PD49" s="43" t="str">
        <f t="shared" si="123"/>
        <v/>
      </c>
      <c r="PE49" s="43" t="str">
        <f t="shared" si="124"/>
        <v/>
      </c>
      <c r="PF49" s="43" t="str">
        <f t="shared" si="125"/>
        <v/>
      </c>
      <c r="PG49" s="43" t="str">
        <f t="shared" si="126"/>
        <v/>
      </c>
      <c r="PH49" s="43" t="str">
        <f t="shared" si="127"/>
        <v/>
      </c>
      <c r="PI49" s="43">
        <f t="shared" si="128"/>
        <v>37</v>
      </c>
      <c r="PJ49" s="43" t="str">
        <f t="shared" si="129"/>
        <v/>
      </c>
      <c r="PK49" s="43" t="str">
        <f t="shared" si="130"/>
        <v/>
      </c>
      <c r="PL49" s="43" t="str">
        <f t="shared" si="131"/>
        <v/>
      </c>
      <c r="PM49" s="43" t="str">
        <f t="shared" si="132"/>
        <v/>
      </c>
      <c r="PN49" s="43" t="str">
        <f t="shared" si="133"/>
        <v/>
      </c>
      <c r="PO49" s="43" t="str">
        <f t="shared" si="134"/>
        <v/>
      </c>
      <c r="PP49" s="43" t="str">
        <f t="shared" si="135"/>
        <v/>
      </c>
      <c r="PQ49" s="43" t="str">
        <f t="shared" si="136"/>
        <v/>
      </c>
      <c r="PR49" s="43" t="str">
        <f t="shared" si="137"/>
        <v/>
      </c>
      <c r="PS49" s="43" t="str">
        <f t="shared" si="138"/>
        <v/>
      </c>
      <c r="PT49" s="43" t="str">
        <f t="shared" si="139"/>
        <v/>
      </c>
      <c r="PU49" s="43" t="str">
        <f t="shared" si="140"/>
        <v/>
      </c>
      <c r="PV49" s="43" t="str">
        <f t="shared" si="141"/>
        <v/>
      </c>
      <c r="PW49" s="43" t="str">
        <f t="shared" si="142"/>
        <v/>
      </c>
      <c r="PX49" s="43" t="str">
        <f t="shared" si="143"/>
        <v/>
      </c>
      <c r="PY49" s="43" t="str">
        <f t="shared" si="144"/>
        <v/>
      </c>
      <c r="PZ49" s="43" t="str">
        <f t="shared" si="145"/>
        <v/>
      </c>
      <c r="QA49" s="43" t="str">
        <f t="shared" si="146"/>
        <v/>
      </c>
      <c r="QB49" s="43" t="str">
        <f t="shared" si="147"/>
        <v/>
      </c>
      <c r="QC49" s="43" t="str">
        <f t="shared" si="148"/>
        <v/>
      </c>
      <c r="QD49" s="43" t="str">
        <f t="shared" si="149"/>
        <v/>
      </c>
      <c r="QE49" s="43" t="str">
        <f t="shared" si="150"/>
        <v/>
      </c>
      <c r="QF49" s="43" t="str">
        <f t="shared" si="151"/>
        <v/>
      </c>
      <c r="QG49" s="43" t="str">
        <f t="shared" si="152"/>
        <v/>
      </c>
      <c r="QH49" s="43" t="str">
        <f t="shared" si="153"/>
        <v/>
      </c>
      <c r="QI49" s="43" t="str">
        <f t="shared" si="154"/>
        <v/>
      </c>
      <c r="QJ49" s="43" t="str">
        <f t="shared" si="155"/>
        <v/>
      </c>
      <c r="QK49" s="43" t="str">
        <f t="shared" si="156"/>
        <v/>
      </c>
      <c r="QL49" s="43" t="str">
        <f t="shared" si="157"/>
        <v/>
      </c>
      <c r="QM49" s="43" t="str">
        <f t="shared" si="158"/>
        <v/>
      </c>
      <c r="QN49" s="43" t="str">
        <f t="shared" si="159"/>
        <v/>
      </c>
      <c r="QO49" s="43" t="str">
        <f t="shared" si="160"/>
        <v/>
      </c>
      <c r="QP49" s="43" t="str">
        <f t="shared" si="161"/>
        <v/>
      </c>
      <c r="QQ49" s="43" t="str">
        <f t="shared" si="162"/>
        <v/>
      </c>
      <c r="QR49" s="43">
        <f t="shared" si="192"/>
        <v>37</v>
      </c>
      <c r="QS49" s="43"/>
      <c r="QT49" s="21" t="str">
        <f t="shared" si="163"/>
        <v/>
      </c>
      <c r="QU49" s="21" t="str">
        <f t="shared" si="164"/>
        <v/>
      </c>
      <c r="QV49" s="21" t="str">
        <f t="shared" si="165"/>
        <v/>
      </c>
      <c r="QW49" s="21" t="str">
        <f t="shared" si="166"/>
        <v/>
      </c>
      <c r="QX49" s="21" t="str">
        <f t="shared" si="167"/>
        <v/>
      </c>
      <c r="QY49" s="21" t="str">
        <f t="shared" si="168"/>
        <v/>
      </c>
      <c r="QZ49" s="21" t="str">
        <f t="shared" si="169"/>
        <v/>
      </c>
      <c r="RA49" s="21" t="str">
        <f t="shared" si="170"/>
        <v/>
      </c>
      <c r="RB49" s="21" t="str">
        <f t="shared" si="171"/>
        <v/>
      </c>
      <c r="RC49" s="21" t="str">
        <f t="shared" si="172"/>
        <v/>
      </c>
      <c r="RD49" s="21" t="str">
        <f t="shared" si="173"/>
        <v/>
      </c>
      <c r="RE49" s="21" t="str">
        <f t="shared" si="174"/>
        <v/>
      </c>
      <c r="RF49" s="21" t="str">
        <f t="shared" si="175"/>
        <v/>
      </c>
      <c r="RG49" s="21" t="str">
        <f t="shared" si="176"/>
        <v/>
      </c>
      <c r="RH49" s="21" t="str">
        <f t="shared" si="177"/>
        <v/>
      </c>
      <c r="RI49" s="21" t="str">
        <f t="shared" si="178"/>
        <v/>
      </c>
      <c r="RJ49" s="21" t="str">
        <f t="shared" si="179"/>
        <v/>
      </c>
      <c r="RK49" s="21" t="str">
        <f t="shared" si="180"/>
        <v/>
      </c>
      <c r="RL49" s="21" t="str">
        <f t="shared" si="181"/>
        <v/>
      </c>
      <c r="RM49" s="21" t="str">
        <f t="shared" si="182"/>
        <v/>
      </c>
      <c r="RN49" s="21" t="str">
        <f t="shared" si="183"/>
        <v/>
      </c>
      <c r="RO49" s="21" t="str">
        <f t="shared" si="184"/>
        <v/>
      </c>
      <c r="RP49" s="21" t="str">
        <f t="shared" si="185"/>
        <v/>
      </c>
      <c r="RQ49" s="21" t="str">
        <f t="shared" si="186"/>
        <v/>
      </c>
      <c r="RR49" s="21" t="str">
        <f t="shared" si="187"/>
        <v/>
      </c>
      <c r="RS49" s="21" t="str">
        <f t="shared" si="188"/>
        <v/>
      </c>
      <c r="RT49" s="21" t="str">
        <f t="shared" si="189"/>
        <v/>
      </c>
      <c r="RU49" s="21" t="str">
        <f t="shared" si="190"/>
        <v/>
      </c>
      <c r="RV49" s="21">
        <f t="shared" si="191"/>
        <v>13.285714285714286</v>
      </c>
      <c r="RW49" s="284">
        <f>IF(OR(Tabla1[[#This Row],[FUM FORMULA CONFIABLE]]="",Tabla1[[#This Row],[FUM FORMULA CONFIABLE]]="SD"),"",IF(Tabla1[[#This Row],[FUM FORMULA CONFIABLE]]="CORREGIDA",Tabla1[[#This Row],[FUM X ECO 1]],Tabla1[[#This Row],[FUM x AMENORREA]]))</f>
        <v>44756</v>
      </c>
      <c r="RX49" s="21">
        <f>IF(AND(Tabla1[[#This Row],[FUM X ECO 1]]="",Tabla1[[#This Row],[FUM x AMENORREA]]=""),"",IF(AND(Tabla1[[#This Row],[FUM X ECO 1]]="",Tabla1[[#This Row],[FUM x AMENORREA]]&lt;&gt;""),"X",SUM(Tabla1[[#This Row],[FUM X ECO 1]]-Tabla1[[#This Row],[FUM x AMENORREA]])))</f>
        <v>0.30000000000291038</v>
      </c>
      <c r="RY49" s="21">
        <f t="shared" si="193"/>
        <v>0</v>
      </c>
    </row>
    <row r="50" spans="1:493" ht="45" customHeight="1" x14ac:dyDescent="0.25">
      <c r="A50" s="109" t="s">
        <v>1132</v>
      </c>
      <c r="B50" s="43" t="s">
        <v>1133</v>
      </c>
      <c r="C50" s="43" t="s">
        <v>845</v>
      </c>
      <c r="D50" s="124" t="s">
        <v>846</v>
      </c>
      <c r="E50" s="43" t="s">
        <v>1134</v>
      </c>
      <c r="F50" s="43" t="s">
        <v>1135</v>
      </c>
      <c r="G50" s="43" t="s">
        <v>1136</v>
      </c>
      <c r="H50" s="43" t="s">
        <v>1129</v>
      </c>
      <c r="I50" s="109" t="s">
        <v>1094</v>
      </c>
      <c r="J50" s="110">
        <v>1059595020</v>
      </c>
      <c r="K50" s="43" t="s">
        <v>852</v>
      </c>
      <c r="L50" s="175" t="s">
        <v>853</v>
      </c>
      <c r="M50" s="22">
        <v>38365</v>
      </c>
      <c r="N50" s="213">
        <f t="shared" ca="1" si="0"/>
        <v>18.813698630136987</v>
      </c>
      <c r="O50" s="22">
        <v>44882</v>
      </c>
      <c r="P50" s="214" t="str">
        <f t="shared" si="194"/>
        <v>SI</v>
      </c>
      <c r="Q50" s="26" t="s">
        <v>855</v>
      </c>
      <c r="R50" s="22">
        <v>44882</v>
      </c>
      <c r="S50" s="21" t="s">
        <v>856</v>
      </c>
      <c r="T50" s="24" t="s">
        <v>690</v>
      </c>
      <c r="U50" s="21" t="s">
        <v>857</v>
      </c>
      <c r="V50" s="21" t="s">
        <v>858</v>
      </c>
      <c r="W50" s="21" t="s">
        <v>1137</v>
      </c>
      <c r="X50" s="21" t="s">
        <v>1137</v>
      </c>
      <c r="Y50" s="21" t="s">
        <v>859</v>
      </c>
      <c r="Z50" s="21" t="s">
        <v>865</v>
      </c>
      <c r="AA50" s="21" t="s">
        <v>860</v>
      </c>
      <c r="AB50" s="27" t="s">
        <v>861</v>
      </c>
      <c r="AC50" s="26" t="s">
        <v>862</v>
      </c>
      <c r="AD50" s="38" t="s">
        <v>1130</v>
      </c>
      <c r="AE50" s="26" t="s">
        <v>1131</v>
      </c>
      <c r="AF50" s="26" t="s">
        <v>854</v>
      </c>
      <c r="AG50" s="23" t="s">
        <v>864</v>
      </c>
      <c r="AH50" s="23" t="s">
        <v>864</v>
      </c>
      <c r="AI50" s="24" t="s">
        <v>863</v>
      </c>
      <c r="AJ50" s="23" t="s">
        <v>864</v>
      </c>
      <c r="AK50" s="220" t="str">
        <f>IF(AND(AD50="",AE50="",AF50="",AG50="",AH50="",AI50="",AJ50=""),"",IF(OR(Tabla1[[#This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EVALUACIÓN",IF(AND(O50="",R50=""),"",IF(AND(OR(O50&gt;0,R50&gt;0),NG50&gt;=0,NG50&lt;2),"SIN RIESGO",IF(AND(OR(O50&gt;0,R50&gt;0),NG50&gt;=2),"CON RIESGO","ASD")))))</f>
        <v>SIN RIESGO</v>
      </c>
      <c r="AL50" s="23" t="s">
        <v>864</v>
      </c>
      <c r="AM50" s="26" t="s">
        <v>864</v>
      </c>
      <c r="AN50" s="26" t="s">
        <v>864</v>
      </c>
      <c r="AO50" s="26" t="s">
        <v>864</v>
      </c>
      <c r="AP50" s="26" t="s">
        <v>864</v>
      </c>
      <c r="AQ50" s="26" t="s">
        <v>864</v>
      </c>
      <c r="AR50" s="26" t="s">
        <v>864</v>
      </c>
      <c r="AS50" s="21">
        <v>0</v>
      </c>
      <c r="AT50" s="21">
        <v>0</v>
      </c>
      <c r="AU50" s="21">
        <v>0</v>
      </c>
      <c r="AV50" s="26" t="s">
        <v>864</v>
      </c>
      <c r="AW50" s="21">
        <v>0</v>
      </c>
      <c r="AX50" s="26" t="s">
        <v>864</v>
      </c>
      <c r="AY50" s="26" t="s">
        <v>864</v>
      </c>
      <c r="AZ50" s="26" t="s">
        <v>864</v>
      </c>
      <c r="BA50" s="26" t="s">
        <v>864</v>
      </c>
      <c r="BB50" s="26" t="s">
        <v>864</v>
      </c>
      <c r="BC50" s="26" t="s">
        <v>864</v>
      </c>
      <c r="BD50" s="26" t="s">
        <v>864</v>
      </c>
      <c r="BE50" s="26" t="s">
        <v>864</v>
      </c>
      <c r="BF50" s="26" t="s">
        <v>864</v>
      </c>
      <c r="BG50" s="26" t="s">
        <v>864</v>
      </c>
      <c r="BH50" s="26" t="s">
        <v>864</v>
      </c>
      <c r="BI50" s="26" t="s">
        <v>864</v>
      </c>
      <c r="BJ50" s="26"/>
      <c r="BK50" s="26"/>
      <c r="BL50" s="26" t="s">
        <v>864</v>
      </c>
      <c r="BM50" s="26" t="s">
        <v>864</v>
      </c>
      <c r="BN50" s="22"/>
      <c r="BO50" s="22">
        <v>44801</v>
      </c>
      <c r="BP50" s="21" t="s">
        <v>864</v>
      </c>
      <c r="BQ50" s="222">
        <f t="shared" si="2"/>
        <v>0</v>
      </c>
      <c r="BR50" s="223">
        <f t="shared" si="3"/>
        <v>44798.3</v>
      </c>
      <c r="BS50" s="224">
        <f t="shared" si="4"/>
        <v>11.571428571428571</v>
      </c>
      <c r="BT50" s="216" t="str">
        <f t="shared" si="5"/>
        <v>DEFINIR CON ECO</v>
      </c>
      <c r="BU50" s="214" t="str">
        <f t="shared" ca="1" si="6"/>
        <v/>
      </c>
      <c r="BV50" s="25"/>
      <c r="BW50" s="22">
        <v>44960</v>
      </c>
      <c r="BX50" s="28">
        <v>23.1</v>
      </c>
      <c r="BY50" s="28"/>
      <c r="BZ50" s="22"/>
      <c r="CA50" s="21"/>
      <c r="CB50" s="26" t="s">
        <v>864</v>
      </c>
      <c r="CC50" s="26" t="s">
        <v>864</v>
      </c>
      <c r="CD50" s="26"/>
      <c r="CE50" s="26" t="s">
        <v>864</v>
      </c>
      <c r="CF50" s="22" t="s">
        <v>1517</v>
      </c>
      <c r="CG50" s="21">
        <v>1.47</v>
      </c>
      <c r="CH50" s="21">
        <v>43</v>
      </c>
      <c r="CI50" s="214">
        <f t="shared" si="7"/>
        <v>19.899116109028647</v>
      </c>
      <c r="CJ50" s="225" t="e">
        <f>IF(AND(CI50&lt;10,CH50="SD"),"SIN DATO PESO PREGESTACION O I TRIM",IF(AND(OR(R50&gt;0,O50&gt;0),CI50="X"),"INGRESAR DATO DE PESO",IF(CI50="SD","INGRESAR DATO DE TALLA Y PESO",IF(AND(OR(Tabla1[[#This Row],[MOMENTO EN QUE SE REALIZA EL PESO AL INGRESO A CPN]]="PREGESTACIÓN",NZ50="Menor"),CI50&lt;18.5),"BAJO PESO",IF(AND(OR(Tabla1[[#This Row],[MOMENTO EN QUE SE REALIZA EL PESO AL INGRESO A CPN]]="PREGESTACIÓN",NZ50="Menor"),CI50&lt;25),"NORMAL",IF(AND(OR(Tabla1[[#This Row],[MOMENTO EN QUE SE REALIZA EL PESO AL INGRESO A CPN]]="PREGESTACIÓN",NZ50="Menor"),CI50&lt;30),"SOBREPESO",IF(AND(OR(Tabla1[[#This Row],[MOMENTO EN QUE SE REALIZA EL PESO AL INGRESO A CPN]]="PREGESTACIÓN",NZ50="Menor"),CI50&gt;=30,CI50&lt;50),"OBESIDAD",IF(AND(BS50&gt;0,Tabla1[[#This Row],[MOMENTO EN QUE SE REALIZA EL PESO AL INGRESO A CPN]]="GESTACIÓN"),HLOOKUP(NZ50,$OA$2:PH50,NY50),""))))))))</f>
        <v>#REF!</v>
      </c>
      <c r="CK50" s="212">
        <f t="shared" si="8"/>
        <v>414325</v>
      </c>
      <c r="CL50" s="21">
        <v>50.1</v>
      </c>
      <c r="CM50" s="214">
        <f t="shared" si="9"/>
        <v>23.184784117728725</v>
      </c>
      <c r="CN50" s="216">
        <f t="shared" si="10"/>
        <v>52789</v>
      </c>
      <c r="CO50" s="216" t="e">
        <f>IF(PI50="","",IF(PI50&gt;0,HLOOKUP(PI50,$PJ$2:QQ50,NY50),""))</f>
        <v>#REF!</v>
      </c>
      <c r="CP50" s="21"/>
      <c r="CQ50" s="216" t="e">
        <f>IF(QR50="Menor","NO APLICA-MENOR 13 SEM",IF(AND(CC50="SI",CN50&gt;23),"NO APLICA- GEMELAR",IF(QR50="","",IF(QR50&gt;0,HLOOKUP(QR50,$QS$2:RU50,NY50),""))))</f>
        <v>#REF!</v>
      </c>
      <c r="CR50" s="21">
        <v>100</v>
      </c>
      <c r="CS50" s="21">
        <v>60</v>
      </c>
      <c r="CT50" s="217" t="str">
        <f>IF(R50="","",IF(AND(BS50&gt;1,BS50&lt;12,Tabla1[[#This Row],[T.A. SISTOLICA - ANTES DE SEMANA 12]]="",Tabla1[[#This Row],[T.A. DIASTOLICA - ANTES DE SEMANA 12]]=""),"REGISTRE DATO TA ANTES SEMANA 12",IF(AND(BS50&gt;11,BS50&lt;43,Tabla1[[#This Row],[T.A. SISTOLICA - ANTES DE SEMANA 12]]="",Tabla1[[#This Row],[T.A. DIASTOLICA - ANTES DE SEMANA 12]]=""),"NO APLICA REGISTRO TA-INGRESO TARDIO",IF(AND(OR(O50&gt;0,R50&gt;0),OR(CR50&gt;=140,CS50&gt;=90)),"DEFINIR ESTADIO HTA",IF(AND(OR(O50&gt;0,R50&gt;0),AND(CR50&gt;120,CR50&lt;=139)),"PRE HTA SEGUIMIENTO",IF(AND(OR(O50&gt;0,R50&gt;0),AND(CS50&gt;80,CS50&lt;=89)),"PRE HTA SEGUIMIENTO",IF(AND(OR(O50&gt;0,R50&gt;0),AND(CR50&gt;=80,CR50&lt;=120)),"APARENTEMENTE NORMAL",IF(AND(OR(O50&gt;0,R50&gt;0),AND(CS50&gt;=50,CS50&lt;=80)),"APARENTEMENTE NORMAL",IF(AND(OR(O50&gt;0,R50&gt;0),AND(CR50&gt;1,CR50&lt;=70),AND(CS50&gt;1,CS50&lt;=40)),"HIPOTENSIÓN","")))))))))</f>
        <v>APARENTEMENTE NORMAL</v>
      </c>
      <c r="CU50" s="21">
        <v>90</v>
      </c>
      <c r="CV50" s="21">
        <v>60</v>
      </c>
      <c r="CW50" s="217" t="str">
        <f ca="1">IF(R50="","",IF(AND(CN50&gt;19,CN50&lt;27,Tabla1[[#This Row],[T.A. SISTOLICA (Entre semana 20 y 26)]]="",Tabla1[[#This Row],[T.A. DIATOLICA (Entre semana 20 y 26)]]=""),"ACUDE A CONTROL SEM 20 A 26 REGISTRE TA AHORA",IF(AND(BS50&gt;1,BS50&lt;27,BU50&gt;19,Tabla1[[#This Row],[T.A. SISTOLICA (Entre semana 20 y 26)]]="",Tabla1[[#This Row],[T.A. DIATOLICA (Entre semana 20 y 26)]]=""),"COMPLETE REGISTRO TA CONTROL SEM 20 A26 ",IF(AND(BS50&gt;26,BS50&lt;43,Tabla1[[#This Row],[T.A. SISTOLICA (Entre semana 20 y 26)]]="",Tabla1[[#This Row],[T.A. DIATOLICA (Entre semana 20 y 26)]]=""),"NO APLICA REGISTRO TA-INGRESO TARDIO",IF(AND(OR(O50&gt;0,R50&gt;0),OR(CU50&gt;=140,CV50&gt;=90)),"ALTO RIESGO PREECLAMPSIA,DEFINIR ESTADIO HTA",IF(AND(OR(O50&gt;0,R50&gt;0),AND(CU50&gt;120,CU50&lt;=139)),"PRE HTA SEGUIMIENTO,RIESGO HIPERTENSION INDUCIDA POR EL EMBARAZO",IF(AND(OR(O50&gt;0,R50&gt;0),AND(CV50&gt;80,CV50&lt;=89)),"PRE HTA SEGUIMIENTO, RIESGO HIPERTENSION INDUCIDA POR EL EMBARAZO",IF(AND(OR(O50&lt;&gt;"",R50&lt;&gt;""),CS50&lt;&gt;"",CV50&lt;&gt;"",CS50&lt;=CV50),"VIGILAR CIFRAS PRESION ARTERIAL",IF(AND(OR(O50&gt;0,R50&gt;0),AND(CU50&gt;120,CU50&lt;=139)),"PRE HTA SEGUIMIENTO",IF(AND(OR(O50&gt;0,R50&gt;0),AND(CU50&gt;1,CU50&lt;=70),AND(CV50&gt;1,CV50&lt;=40)),"HIPOTENSIÓN",IF(AND(OR(O50&lt;&gt;"",R50&lt;&gt;""),CS50&lt;&gt;"",CV50&lt;&gt;"",CS50&gt;CV50),"APARENTEMENTE NORMAL",IF(AND(OR(O50&gt;0,R50&gt;0),AND(CU50&gt;=80,CU50&lt;=120)),"APARENTEMENTE NORMAL",IF(AND(OR(O50&gt;0,R50&gt;0),AND(CV50&gt;=50,CV50&lt;=80)),"APARENTEMENTE NORMAL","")))))))))))))</f>
        <v>VIGILAR CIFRAS PRESION ARTERIAL</v>
      </c>
      <c r="CX50" s="21"/>
      <c r="CY50" s="21"/>
      <c r="CZ50" s="216" t="str">
        <f t="shared" si="195"/>
        <v/>
      </c>
      <c r="DA50" s="21">
        <v>90</v>
      </c>
      <c r="DB50" s="21">
        <v>60</v>
      </c>
      <c r="DC50" s="217" t="str">
        <f t="shared" si="12"/>
        <v>APARENTEMENTE NORMAL</v>
      </c>
      <c r="DD50" s="22">
        <v>44882</v>
      </c>
      <c r="DE50" s="22">
        <v>44882</v>
      </c>
      <c r="DF50" s="22">
        <v>44960</v>
      </c>
      <c r="DG50" s="22">
        <v>44989</v>
      </c>
      <c r="DH50" s="22">
        <v>45020</v>
      </c>
      <c r="DI50" s="22">
        <v>45050</v>
      </c>
      <c r="DJ50" s="22">
        <v>414325</v>
      </c>
      <c r="DK50" s="22"/>
      <c r="DL50" s="22"/>
      <c r="DM50" s="22"/>
      <c r="DN50" s="22"/>
      <c r="DO50" s="22"/>
      <c r="DP50" s="22"/>
      <c r="DQ50" s="22"/>
      <c r="DR50" s="28">
        <v>1</v>
      </c>
      <c r="DS50" s="22"/>
      <c r="DT50" s="22"/>
      <c r="DU50" s="216" t="str">
        <f t="shared" ca="1" si="196"/>
        <v>SALE SIN PLAN DE PARTO</v>
      </c>
      <c r="DV50" s="226" t="str">
        <f t="shared" si="197"/>
        <v>SALIO PROGRAMA</v>
      </c>
      <c r="DW50"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50" s="216" t="str">
        <f t="shared" ca="1" si="15"/>
        <v/>
      </c>
      <c r="DY50" s="212">
        <f>IF(R50="","",IF(R50&gt;0,MAX(Tabla1[[#This Row],[FECHA C2]:[FECHA C13]],Tabla1[[#This Row],[FECHA CONSULTA PRIMERA VEZ PROGRAMA CPN ]])))</f>
        <v>414325</v>
      </c>
      <c r="DZ50" s="216">
        <f t="shared" si="16"/>
        <v>52789</v>
      </c>
      <c r="EA50" s="222">
        <f>IF(R50&gt;0,SUM(COUNTA(DF50:DQ50)+COUNTA(Tabla1[[#This Row],[FECHA CONSULTA PRIMERA VEZ PROGRAMA CPN ]])),"")</f>
        <v>6</v>
      </c>
      <c r="EB50" s="222" t="str">
        <f t="shared" si="17"/>
        <v>SI</v>
      </c>
      <c r="EC50" s="214">
        <f t="shared" si="18"/>
        <v>9</v>
      </c>
      <c r="ED50" s="227">
        <f t="shared" si="19"/>
        <v>0.66666666666666663</v>
      </c>
      <c r="EE50" s="22">
        <v>44882</v>
      </c>
      <c r="EF50" s="22">
        <v>44883</v>
      </c>
      <c r="EG50" s="22">
        <v>44882</v>
      </c>
      <c r="EH50" s="22">
        <v>45040</v>
      </c>
      <c r="EI50" s="22">
        <v>44882</v>
      </c>
      <c r="EJ50" s="22"/>
      <c r="EK50" s="344">
        <v>45040</v>
      </c>
      <c r="EL50" s="21"/>
      <c r="EM50" s="21">
        <v>13.2</v>
      </c>
      <c r="EN50" s="22">
        <v>44882</v>
      </c>
      <c r="EO50" s="222">
        <f t="shared" si="20"/>
        <v>11.571428571428571</v>
      </c>
      <c r="EP50" s="214" t="str">
        <f t="shared" si="21"/>
        <v>NORMAL- SUMINISTRAR SULFATO FERROSO</v>
      </c>
      <c r="EQ50" s="216" t="str">
        <f t="shared" si="22"/>
        <v>I TRIM</v>
      </c>
      <c r="ER50" s="24"/>
      <c r="ES50" s="22"/>
      <c r="ET50" s="29" t="str">
        <f t="shared" ca="1" si="198"/>
        <v>SALE SIN TAMIZAJE HEMOGLOBINA SEM 28</v>
      </c>
      <c r="EU50" s="25" t="str">
        <f t="shared" si="24"/>
        <v/>
      </c>
      <c r="EV50" s="24" t="s">
        <v>1510</v>
      </c>
      <c r="EW50" s="24">
        <v>44882</v>
      </c>
      <c r="EX50" s="22"/>
      <c r="EY50" s="29">
        <f t="shared" si="199"/>
        <v>11.571428571428571</v>
      </c>
      <c r="EZ50" s="25" t="str">
        <f t="shared" si="200"/>
        <v>SIN RIESGO DE ISOINMUNIZACIÓN</v>
      </c>
      <c r="FA50" s="21">
        <v>83</v>
      </c>
      <c r="FB50" s="22">
        <v>44882</v>
      </c>
      <c r="FC50" s="29">
        <f t="shared" si="27"/>
        <v>11.571428571428571</v>
      </c>
      <c r="FD50" s="29">
        <v>76</v>
      </c>
      <c r="FE50" s="29">
        <v>108</v>
      </c>
      <c r="FF50" s="29">
        <v>186</v>
      </c>
      <c r="FG50" s="21" t="str">
        <f t="shared" ca="1" si="28"/>
        <v>DIABETES, REMITIR</v>
      </c>
      <c r="FH50" s="31">
        <v>44988</v>
      </c>
      <c r="FI50" s="29">
        <f t="shared" si="29"/>
        <v>26.714285714285715</v>
      </c>
      <c r="FJ50" s="22" t="s">
        <v>867</v>
      </c>
      <c r="FK50" s="22">
        <v>44882</v>
      </c>
      <c r="FL50" s="29">
        <f t="shared" ca="1" si="30"/>
        <v>11.571428571428571</v>
      </c>
      <c r="FM50" s="22"/>
      <c r="FN50" s="32"/>
      <c r="FO50" s="29" t="str">
        <f t="shared" ca="1" si="201"/>
        <v>PIERDE TOMA DE TAMIZAJE</v>
      </c>
      <c r="FP50" s="22" t="s">
        <v>867</v>
      </c>
      <c r="FQ50" s="32">
        <v>45051</v>
      </c>
      <c r="FR50" s="29">
        <f t="shared" ca="1" si="202"/>
        <v>35.714285714285715</v>
      </c>
      <c r="FS50" s="22"/>
      <c r="FT50" s="32"/>
      <c r="FU50" s="29" t="str">
        <f>IF(AND(FJ50="",FM50="",FP50="",FS50=""),"",IF(OR(OR(Tabla1[[#This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50" s="28"/>
      <c r="FW50" s="22"/>
      <c r="FX50" s="29" t="str">
        <f t="shared" si="33"/>
        <v>TOMAR EXAMEN</v>
      </c>
      <c r="FY50" s="22">
        <v>44882</v>
      </c>
      <c r="FZ50" s="22">
        <v>44882</v>
      </c>
      <c r="GA50" s="29">
        <f t="shared" ca="1" si="203"/>
        <v>11.571428571428571</v>
      </c>
      <c r="GB50" s="22"/>
      <c r="GC50" s="22"/>
      <c r="GD50" s="29" t="str">
        <f t="shared" ca="1" si="204"/>
        <v>PIERDE TOMA DE TAMIZAJE</v>
      </c>
      <c r="GE50" s="22"/>
      <c r="GF50" s="22"/>
      <c r="GG50" s="29" t="str">
        <f t="shared" ca="1" si="205"/>
        <v>PIERDE TOMA DE TAMIZAJE</v>
      </c>
      <c r="GH50" s="22"/>
      <c r="GI50" s="29"/>
      <c r="GJ50" s="22"/>
      <c r="GK50" s="22"/>
      <c r="GL50" s="22"/>
      <c r="GM50" s="22"/>
      <c r="GN50" s="28" t="s">
        <v>869</v>
      </c>
      <c r="GO50" s="22">
        <v>44882</v>
      </c>
      <c r="GP50" s="29">
        <f t="shared" si="37"/>
        <v>11.571428571428571</v>
      </c>
      <c r="GQ50" s="28" t="s">
        <v>880</v>
      </c>
      <c r="GR50" s="28" t="s">
        <v>869</v>
      </c>
      <c r="GS50" s="22" t="str">
        <f t="shared" si="206"/>
        <v>SE EXCLUYE INFECCION</v>
      </c>
      <c r="GT50" s="22">
        <v>44882</v>
      </c>
      <c r="GU50" s="29">
        <f t="shared" si="39"/>
        <v>11.571428571428571</v>
      </c>
      <c r="GV50" s="21" t="str">
        <f t="shared" si="40"/>
        <v>I TRIM</v>
      </c>
      <c r="GW50" s="28" t="s">
        <v>869</v>
      </c>
      <c r="GX50" s="30"/>
      <c r="GY50" s="21"/>
      <c r="GZ50" s="21"/>
      <c r="HA50" s="21"/>
      <c r="HB50" s="21"/>
      <c r="HC50" s="21"/>
      <c r="HD50" s="21"/>
      <c r="HE50" s="21"/>
      <c r="HF50" s="22"/>
      <c r="HG50" s="22" t="str">
        <f>IF(OR(O50&gt;0,R50&gt;0),CONCATENATE(IF(Tabla1[[#This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50" s="22" t="e">
        <f t="shared" si="41"/>
        <v>#REF!</v>
      </c>
      <c r="HI50" s="22" t="e">
        <f t="shared" ca="1" si="42"/>
        <v>#REF!</v>
      </c>
      <c r="HJ50" s="21" t="str">
        <f t="shared" ca="1" si="43"/>
        <v>*****************DIABETES GESTACIONAL*****MULTIPARIDAD*****************</v>
      </c>
      <c r="HK50" s="21" t="str">
        <f t="shared" si="44"/>
        <v>SIN ANTECEDENTES DE RIESGO</v>
      </c>
      <c r="HL50" s="24" t="str">
        <f t="shared" si="45"/>
        <v>APARENTEMENTE NORMAL</v>
      </c>
      <c r="HM50" s="21" t="str">
        <f t="shared" ca="1" si="46"/>
        <v/>
      </c>
      <c r="HN50" s="30" t="str">
        <f t="shared" si="207"/>
        <v>SALIO PROGRAMA</v>
      </c>
      <c r="HO50" s="21"/>
      <c r="HP50" s="21"/>
      <c r="HQ50" s="21">
        <v>44882</v>
      </c>
      <c r="HR50" s="21" t="str">
        <f>IF(R50="","",IF(Tabla1[[#This Row],[ALARMA FACTORES DE RIESGO COMPLICACIONES HIPERTENSIVAS3]]="SIN ANTECEDENTES DE RIESGO","No Aplica para suministro de ASA",IF(AND(Tabla1[[#This Row],[FECHA INICIO DE SUMINISTRO DE ASA]]&gt;0,RV50&lt;12),"Inicia ASA ANTES de Sem 12",IF(AND(RV50&gt;11,RV50&lt;17,OR(HK50="RIESGO ALTO DE COMPLICACIONES HIPERTENSIVAS VER MANEJO GUIA SUMINISTRO ASA Y CALCIO",HK50="RIESGO MODERADO (2 O MAS CRITERIOS) VER MANEJO GUIA SUMINISTRO ASA Y CALCIO")),"Inicio oportuno de ASA",IF(AND(RV50&gt;12,OR(HK50="RIESGO ALTO DE COMPLICACIONES HIPERTENSIVAS VER MANEJO GUIA SUMINISTRO ASA Y CALCIO",HK50="RIESGO MODERADO (2 O MAS CRITERIOS) VER MANEJO GUIA SUMINISTRO ASA Y CALCIO")),"Inicio no oportuno mayor a 16 semanas",IF(AND(BU50&lt;12,OR(HK50="RIESGO ALTO DE COMPLICACIONES HIPERTENSIVAS VER MANEJO GUIA SUMINISTRO ASA Y CALCIO",HK50="RIESGO MODERADO (2 O MAS CRITERIOS) VER MANEJO GUIA SUMINISTRO ASA Y CALCIO")),"Pendiente Inicio de ASA a la semana 12",IF(AND(BU50&gt;11,BU50&lt;17,OR(HK50="RIESGO ALTO DE COMPLICACIONES HIPERTENSIVAS VER MANEJO GUIA SUMINISTRO ASA Y CALCIO",HK50="RIESGO MODERADO (2 O MAS CRITERIOS) VER MANEJO GUIA SUMINISTRO ASA Y CALCIO")),"Iniciar de inmediato ASA",IF(AND(BU50&gt;16,OR(HK50="RIESGO ALTO DE COMPLICACIONES HIPERTENSIVAS VER MANEJO GUIA SUMINISTRO ASA Y CALCIO",HK50="RIESGO MODERADO (2 O MAS CRITERIOS) VER MANEJO GUIA SUMINISTRO ASA Y CALCIO")),"Pierde Oportunidad, Inicio tardío de ASA","XXXXX"))))))))</f>
        <v>No Aplica para suministro de ASA</v>
      </c>
      <c r="HS50" s="22">
        <v>44882</v>
      </c>
      <c r="HT50" s="22" t="s">
        <v>935</v>
      </c>
      <c r="HU50" s="22">
        <v>44882</v>
      </c>
      <c r="HV50" s="22" t="s">
        <v>870</v>
      </c>
      <c r="HW50" s="22">
        <v>44882</v>
      </c>
      <c r="HX50" s="22" t="s">
        <v>870</v>
      </c>
      <c r="HY50" s="22">
        <v>44887</v>
      </c>
      <c r="HZ50" s="28">
        <f t="shared" si="48"/>
        <v>12.285714285714286</v>
      </c>
      <c r="IA50" s="26" t="s">
        <v>864</v>
      </c>
      <c r="IB50" s="26"/>
      <c r="IC50" s="111">
        <v>44960</v>
      </c>
      <c r="ID50" s="22">
        <v>44960</v>
      </c>
      <c r="IE50" s="22" t="str">
        <f t="shared" ca="1" si="49"/>
        <v>VACUNA APLICADA ENTRE SEMANA 20 Y SEMANA 26</v>
      </c>
      <c r="IF50" s="22"/>
      <c r="IG50" s="22">
        <f t="shared" si="50"/>
        <v>45081</v>
      </c>
      <c r="IH50" s="29">
        <f t="shared" ca="1" si="51"/>
        <v>-151</v>
      </c>
      <c r="II50" s="22" t="str">
        <f t="shared" ca="1" si="52"/>
        <v>POSIBLEMENTE NACIO</v>
      </c>
      <c r="IJ50" s="22"/>
      <c r="IK50" s="21" t="s">
        <v>898</v>
      </c>
      <c r="IL50" s="21"/>
      <c r="IM50" s="34"/>
      <c r="IN50" s="349">
        <v>45069</v>
      </c>
      <c r="IO50" s="21" t="s">
        <v>1186</v>
      </c>
      <c r="IP50" s="29">
        <f t="shared" si="208"/>
        <v>38.285714285714285</v>
      </c>
      <c r="IQ50" s="110" t="s">
        <v>1644</v>
      </c>
      <c r="IR50" s="21" t="s">
        <v>1645</v>
      </c>
      <c r="IS50" s="21" t="s">
        <v>1646</v>
      </c>
      <c r="IT50" s="21" t="s">
        <v>1642</v>
      </c>
      <c r="IU50" s="21"/>
      <c r="IV50" s="21"/>
      <c r="IW50" s="21"/>
      <c r="IX50" s="21"/>
      <c r="IY50" s="21"/>
      <c r="IZ50" s="21"/>
      <c r="JA50" s="21"/>
      <c r="JB50" s="30">
        <v>1</v>
      </c>
      <c r="JC50" s="21" t="s">
        <v>1643</v>
      </c>
      <c r="JD50" s="36">
        <v>3040</v>
      </c>
      <c r="JE50" s="21" t="str">
        <f t="shared" si="209"/>
        <v>PESO ADECUADO EDAD GESTACIONAL</v>
      </c>
      <c r="JF50" s="30"/>
      <c r="JG50" s="21"/>
      <c r="JH50" s="21"/>
      <c r="JI50" s="21" t="s">
        <v>854</v>
      </c>
      <c r="JJ50" s="30" t="s">
        <v>866</v>
      </c>
      <c r="JK50" s="22"/>
      <c r="JL50" s="22"/>
      <c r="JM50" s="21"/>
      <c r="JN50" s="36"/>
      <c r="JO50" s="21" t="str">
        <f t="shared" si="210"/>
        <v/>
      </c>
      <c r="JP50" s="22"/>
      <c r="JQ50" s="21"/>
      <c r="JR50" s="21"/>
      <c r="JS50" s="21"/>
      <c r="JT50" s="30"/>
      <c r="JU50" s="22"/>
      <c r="JV50" s="22"/>
      <c r="JW50" s="33"/>
      <c r="JX50" s="28" t="str">
        <f t="shared" si="211"/>
        <v>INASISTENTE</v>
      </c>
      <c r="JY50" s="33"/>
      <c r="JZ50" s="28" t="str">
        <f t="shared" si="212"/>
        <v>INASISTENTE</v>
      </c>
      <c r="KA50" s="21"/>
      <c r="KB50" s="21"/>
      <c r="KC50" s="21"/>
      <c r="KD50" s="37"/>
      <c r="KE50" s="28"/>
      <c r="KF50" s="28"/>
      <c r="KG50" s="28"/>
      <c r="KH50" s="39"/>
      <c r="KI50" s="39"/>
      <c r="KJ50" s="66"/>
      <c r="KK50" s="39"/>
      <c r="KL50" s="39"/>
      <c r="KM50" s="66"/>
      <c r="KN50" s="39"/>
      <c r="KO50" s="39"/>
      <c r="KP50" s="39"/>
      <c r="KQ50" s="39"/>
      <c r="KR50" s="39"/>
      <c r="KS50" s="39"/>
      <c r="KT50" s="39"/>
      <c r="KU50" s="38"/>
      <c r="KV50" s="38"/>
      <c r="KW50" s="38"/>
      <c r="KX50" s="38"/>
      <c r="KY50" s="38"/>
      <c r="KZ50" s="38"/>
      <c r="LA50" s="38"/>
      <c r="LB50" s="38"/>
      <c r="LC50" s="38"/>
      <c r="LD50" s="38"/>
      <c r="LE50" s="38"/>
      <c r="LF50" s="38"/>
      <c r="LG50" s="38"/>
      <c r="LH50" s="38"/>
      <c r="LI50" s="38"/>
      <c r="LJ50" s="38"/>
      <c r="LK50" s="38"/>
      <c r="LL50" s="38"/>
      <c r="LM50" s="38"/>
      <c r="LN50" s="38"/>
      <c r="LO50" s="38"/>
      <c r="LP50" s="38"/>
      <c r="LQ50" s="38"/>
      <c r="LR50" s="38"/>
      <c r="LS50" s="38"/>
      <c r="LT50" s="38"/>
      <c r="LU50" s="38"/>
      <c r="LV50" s="38"/>
      <c r="LW50" s="38"/>
      <c r="LX50" s="38"/>
      <c r="LY50" s="38"/>
      <c r="LZ50" s="38"/>
      <c r="MA50" s="38"/>
      <c r="MB50" s="38"/>
      <c r="MC50" s="38"/>
      <c r="MD50" s="38"/>
      <c r="ME50" s="38"/>
      <c r="MF50" s="38"/>
      <c r="MG50" s="38"/>
      <c r="MH50" s="43">
        <f t="shared" si="213"/>
        <v>0</v>
      </c>
      <c r="MI50" s="43" t="str">
        <f t="shared" si="214"/>
        <v/>
      </c>
      <c r="MJ50" s="43" t="str">
        <f t="shared" si="215"/>
        <v/>
      </c>
      <c r="MK50" s="43">
        <f t="shared" si="216"/>
        <v>0</v>
      </c>
      <c r="ML5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50" s="43">
        <f t="shared" si="217"/>
        <v>11.571428571428571</v>
      </c>
      <c r="MN50" s="43">
        <f t="shared" si="218"/>
        <v>11</v>
      </c>
      <c r="MO50" s="43">
        <f t="shared" si="219"/>
        <v>2022</v>
      </c>
      <c r="MP50" s="43" t="str">
        <f t="shared" si="220"/>
        <v>IV TRIMESTRE AÑO</v>
      </c>
      <c r="MQ50" s="43">
        <f t="shared" si="221"/>
        <v>17.58650897941305</v>
      </c>
      <c r="MR50" s="43">
        <f t="shared" si="222"/>
        <v>0</v>
      </c>
      <c r="MS50" s="43" t="str">
        <f t="shared" si="223"/>
        <v>DE 14 A 19AÑOS</v>
      </c>
      <c r="MT50" s="43">
        <f t="shared" si="224"/>
        <v>0</v>
      </c>
      <c r="MU50" s="43">
        <f t="shared" si="225"/>
        <v>1</v>
      </c>
      <c r="MV50" s="43">
        <f t="shared" si="226"/>
        <v>0</v>
      </c>
      <c r="MW50" s="43">
        <f t="shared" si="227"/>
        <v>0</v>
      </c>
      <c r="MX50" s="43" t="str">
        <f t="shared" si="228"/>
        <v/>
      </c>
      <c r="MY50" s="43" t="str">
        <f t="shared" ca="1" si="229"/>
        <v/>
      </c>
      <c r="MZ50" s="43" t="str">
        <f t="shared" si="230"/>
        <v/>
      </c>
      <c r="NA50" s="43" t="str">
        <f t="shared" si="231"/>
        <v/>
      </c>
      <c r="NB50" s="43" t="str">
        <f t="shared" si="232"/>
        <v/>
      </c>
      <c r="NC50" s="43" t="str">
        <f t="shared" si="233"/>
        <v/>
      </c>
      <c r="ND50" s="43">
        <f t="shared" ca="1" si="234"/>
        <v>3</v>
      </c>
      <c r="NE50" s="43">
        <f>IF(OR(O50&gt;0,R50&gt;0),SUM(COUNTIF(Tabla1[[#This Row],[AÑOS AL INICIO5 CPN]],"&gt;=40"),COUNTIF(AS50,"0"),COUNTIF(AR50,"SI"),COUNTIF(CC50,"SI"),COUNTIF(BQ50,"&gt;119"),COUNTIF(CI50,"&gt;=35")),"")</f>
        <v>1</v>
      </c>
      <c r="NF50" s="43">
        <f t="shared" si="235"/>
        <v>22.714285714285715</v>
      </c>
      <c r="NG50" s="43">
        <f t="shared" si="236"/>
        <v>0</v>
      </c>
      <c r="NH50" s="43">
        <f t="shared" si="237"/>
        <v>161.70000000000002</v>
      </c>
      <c r="NI50"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CPN",P50="NO"),"Z",IF(AND(Tabla1[[#This Row],[CITA PROXIMO CONTROL]]="CITA MANUAL",Tabla1[[#This Row],[GESTANTES ACTUALES]]="ACTIVA INGRESO A CPN"),"W",IF(AND(Tabla1[[#This Row],[GESTANTES ACTUALES]]="SALIO PROGRAMA",IN50=""),"S",IF(AND(Tabla1[[#This Row],[CITA PROXIMO CONTROL]]&gt;0,IN50=""),(Tabla1[[#This Row],[CITA PROXIMO CONTROL]]-TODAY()),"SD"))))))))</f>
        <v>SD</v>
      </c>
      <c r="NJ50" s="43">
        <f>MONTH(Tabla1[[#This Row],[FECHA DE SALIDA  DEL PROGRAMA]])</f>
        <v>5</v>
      </c>
      <c r="NK50" s="43">
        <f>YEAR(Tabla1[[#This Row],[FECHA DE SALIDA  DEL PROGRAMA]])</f>
        <v>2023</v>
      </c>
      <c r="NL50" s="43" t="str">
        <f t="shared" si="238"/>
        <v>X</v>
      </c>
      <c r="NM50" s="43" t="str">
        <f t="shared" si="239"/>
        <v>NO</v>
      </c>
      <c r="NN50" s="43" t="str">
        <f ca="1">IF(AND(O50&gt;0,R50=""),"NO CPN",IF(AND(O50="",R50=""),"",IF(AND(R50&gt;0,Tabla1[[#This Row],[SEMANAS DE GESTACION ACTUALIZADAS]]&lt;=12),"NO APLICA",IF(AND(FH50&lt;&gt;"",FN50&lt;&gt;""),"SI","NO"))))</f>
        <v>NO</v>
      </c>
      <c r="NO50" s="43" t="str">
        <f ca="1">IF(AND(O50&gt;0,R50=""),"NO CPN",IF(AND(O50="",R50=""),"",IF(AND(R50&gt;0,Tabla1[[#This Row],[SEMANAS DE GESTACION ACTUALIZADAS]]&lt;=27),"NO APLICA",IF(AND(ES50&lt;&gt;"",FQ50&lt;&gt;"",GF50&lt;&gt;""),"SI","NO"))))</f>
        <v>NO</v>
      </c>
      <c r="NP50" s="204" t="str">
        <f t="shared" si="240"/>
        <v>DEFINIR CON ECO</v>
      </c>
      <c r="NQ50" s="21">
        <f t="shared" si="241"/>
        <v>3</v>
      </c>
      <c r="NR50" s="21">
        <f t="shared" si="242"/>
        <v>3</v>
      </c>
      <c r="NS50" s="205">
        <f t="shared" ca="1" si="243"/>
        <v>2</v>
      </c>
      <c r="NT50" s="21">
        <f t="shared" ca="1" si="244"/>
        <v>1</v>
      </c>
      <c r="NU50" s="21" t="str">
        <f t="shared" ca="1" si="245"/>
        <v>INCOMPLETO</v>
      </c>
      <c r="NV50" s="21" t="str">
        <f t="shared" ca="1" si="246"/>
        <v>INCOMPLETO</v>
      </c>
      <c r="NW50" s="206" t="str">
        <f>IF(AND(O50="",R50=""),"",IF(OR(AND(Tabla1[[#This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50" s="207" t="str">
        <f t="shared" ca="1" si="247"/>
        <v>VACUNADA</v>
      </c>
      <c r="NY50" s="43">
        <f>ROW(Tabla1[[#This Row],['# DE TAMIZAJES SIFILIS TOMADOS ]])</f>
        <v>50</v>
      </c>
      <c r="NZ50" s="43">
        <f t="shared" si="93"/>
        <v>11</v>
      </c>
      <c r="OA50" s="43" t="str">
        <f t="shared" si="94"/>
        <v/>
      </c>
      <c r="OB50" s="43" t="str">
        <f t="shared" si="95"/>
        <v/>
      </c>
      <c r="OC50" s="43" t="str">
        <f t="shared" si="96"/>
        <v>BAJO PESO</v>
      </c>
      <c r="OD50" s="43" t="str">
        <f t="shared" si="97"/>
        <v/>
      </c>
      <c r="OE50" s="43" t="str">
        <f t="shared" si="98"/>
        <v/>
      </c>
      <c r="OF50" s="43" t="str">
        <f t="shared" si="99"/>
        <v/>
      </c>
      <c r="OG50" s="43" t="str">
        <f t="shared" si="100"/>
        <v/>
      </c>
      <c r="OH50" s="43" t="str">
        <f t="shared" si="101"/>
        <v/>
      </c>
      <c r="OI50" s="43" t="str">
        <f t="shared" si="102"/>
        <v/>
      </c>
      <c r="OJ50" s="43" t="str">
        <f t="shared" si="103"/>
        <v/>
      </c>
      <c r="OK50" s="43" t="str">
        <f t="shared" si="104"/>
        <v/>
      </c>
      <c r="OL50" s="43" t="str">
        <f t="shared" si="105"/>
        <v/>
      </c>
      <c r="OM50" s="43" t="str">
        <f t="shared" si="106"/>
        <v/>
      </c>
      <c r="ON50" s="43" t="str">
        <f t="shared" si="107"/>
        <v/>
      </c>
      <c r="OO50" s="43" t="str">
        <f t="shared" si="108"/>
        <v/>
      </c>
      <c r="OP50" s="43" t="str">
        <f t="shared" si="109"/>
        <v/>
      </c>
      <c r="OQ50" s="43" t="str">
        <f t="shared" si="110"/>
        <v/>
      </c>
      <c r="OR50" s="43" t="str">
        <f t="shared" si="111"/>
        <v/>
      </c>
      <c r="OS50" s="43" t="str">
        <f t="shared" si="112"/>
        <v/>
      </c>
      <c r="OT50" s="43" t="str">
        <f t="shared" si="113"/>
        <v/>
      </c>
      <c r="OU50" s="43" t="str">
        <f t="shared" si="114"/>
        <v/>
      </c>
      <c r="OV50" s="110" t="str">
        <f t="shared" si="115"/>
        <v/>
      </c>
      <c r="OW50" s="43" t="str">
        <f t="shared" si="116"/>
        <v/>
      </c>
      <c r="OX50" s="43" t="str">
        <f t="shared" si="117"/>
        <v/>
      </c>
      <c r="OY50" s="43" t="str">
        <f t="shared" si="118"/>
        <v/>
      </c>
      <c r="OZ50" s="43" t="str">
        <f t="shared" si="119"/>
        <v/>
      </c>
      <c r="PA50" s="43" t="str">
        <f t="shared" si="120"/>
        <v/>
      </c>
      <c r="PB50" s="43" t="str">
        <f t="shared" si="121"/>
        <v/>
      </c>
      <c r="PC50" s="43" t="str">
        <f t="shared" si="122"/>
        <v/>
      </c>
      <c r="PD50" s="43" t="str">
        <f t="shared" si="123"/>
        <v/>
      </c>
      <c r="PE50" s="43" t="str">
        <f t="shared" si="124"/>
        <v/>
      </c>
      <c r="PF50" s="43" t="str">
        <f t="shared" si="125"/>
        <v/>
      </c>
      <c r="PG50" s="43" t="str">
        <f t="shared" si="126"/>
        <v/>
      </c>
      <c r="PH50" s="43" t="str">
        <f t="shared" si="127"/>
        <v/>
      </c>
      <c r="PI50" s="43">
        <f t="shared" si="128"/>
        <v>52789</v>
      </c>
      <c r="PJ50" s="43" t="str">
        <f t="shared" si="129"/>
        <v/>
      </c>
      <c r="PK50" s="43" t="str">
        <f t="shared" si="130"/>
        <v/>
      </c>
      <c r="PL50" s="43" t="str">
        <f t="shared" si="131"/>
        <v/>
      </c>
      <c r="PM50" s="43" t="str">
        <f t="shared" si="132"/>
        <v/>
      </c>
      <c r="PN50" s="43" t="str">
        <f t="shared" si="133"/>
        <v/>
      </c>
      <c r="PO50" s="43" t="str">
        <f t="shared" si="134"/>
        <v/>
      </c>
      <c r="PP50" s="43" t="str">
        <f t="shared" si="135"/>
        <v/>
      </c>
      <c r="PQ50" s="43" t="str">
        <f t="shared" si="136"/>
        <v/>
      </c>
      <c r="PR50" s="43" t="str">
        <f t="shared" si="137"/>
        <v/>
      </c>
      <c r="PS50" s="43" t="str">
        <f t="shared" si="138"/>
        <v/>
      </c>
      <c r="PT50" s="43" t="str">
        <f t="shared" si="139"/>
        <v/>
      </c>
      <c r="PU50" s="43" t="str">
        <f t="shared" si="140"/>
        <v/>
      </c>
      <c r="PV50" s="43" t="str">
        <f t="shared" si="141"/>
        <v/>
      </c>
      <c r="PW50" s="43" t="str">
        <f t="shared" si="142"/>
        <v/>
      </c>
      <c r="PX50" s="43" t="str">
        <f t="shared" si="143"/>
        <v/>
      </c>
      <c r="PY50" s="43" t="str">
        <f t="shared" si="144"/>
        <v/>
      </c>
      <c r="PZ50" s="43" t="str">
        <f t="shared" si="145"/>
        <v/>
      </c>
      <c r="QA50" s="43" t="str">
        <f t="shared" si="146"/>
        <v/>
      </c>
      <c r="QB50" s="43" t="str">
        <f t="shared" si="147"/>
        <v/>
      </c>
      <c r="QC50" s="43" t="str">
        <f t="shared" si="148"/>
        <v/>
      </c>
      <c r="QD50" s="43" t="str">
        <f t="shared" si="149"/>
        <v/>
      </c>
      <c r="QE50" s="43" t="str">
        <f t="shared" si="150"/>
        <v/>
      </c>
      <c r="QF50" s="43" t="str">
        <f t="shared" si="151"/>
        <v/>
      </c>
      <c r="QG50" s="43" t="str">
        <f t="shared" si="152"/>
        <v/>
      </c>
      <c r="QH50" s="43" t="str">
        <f t="shared" si="153"/>
        <v/>
      </c>
      <c r="QI50" s="43" t="str">
        <f t="shared" si="154"/>
        <v/>
      </c>
      <c r="QJ50" s="43" t="str">
        <f t="shared" si="155"/>
        <v/>
      </c>
      <c r="QK50" s="43" t="str">
        <f t="shared" si="156"/>
        <v/>
      </c>
      <c r="QL50" s="43" t="str">
        <f t="shared" si="157"/>
        <v/>
      </c>
      <c r="QM50" s="43" t="str">
        <f t="shared" si="158"/>
        <v/>
      </c>
      <c r="QN50" s="43" t="str">
        <f t="shared" si="159"/>
        <v/>
      </c>
      <c r="QO50" s="43" t="str">
        <f t="shared" si="160"/>
        <v/>
      </c>
      <c r="QP50" s="43" t="str">
        <f t="shared" si="161"/>
        <v/>
      </c>
      <c r="QQ50" s="43" t="str">
        <f t="shared" si="162"/>
        <v/>
      </c>
      <c r="QR50" s="43" t="str">
        <f t="shared" si="192"/>
        <v>Mayor</v>
      </c>
      <c r="QS50" s="43"/>
      <c r="QT50" s="21" t="str">
        <f t="shared" si="163"/>
        <v/>
      </c>
      <c r="QU50" s="21" t="str">
        <f t="shared" si="164"/>
        <v/>
      </c>
      <c r="QV50" s="21" t="str">
        <f t="shared" si="165"/>
        <v/>
      </c>
      <c r="QW50" s="21" t="str">
        <f t="shared" si="166"/>
        <v/>
      </c>
      <c r="QX50" s="21" t="str">
        <f t="shared" si="167"/>
        <v/>
      </c>
      <c r="QY50" s="21" t="str">
        <f t="shared" si="168"/>
        <v/>
      </c>
      <c r="QZ50" s="21" t="str">
        <f t="shared" si="169"/>
        <v/>
      </c>
      <c r="RA50" s="21" t="str">
        <f t="shared" si="170"/>
        <v/>
      </c>
      <c r="RB50" s="21" t="str">
        <f t="shared" si="171"/>
        <v/>
      </c>
      <c r="RC50" s="21" t="str">
        <f t="shared" si="172"/>
        <v/>
      </c>
      <c r="RD50" s="21" t="str">
        <f t="shared" si="173"/>
        <v/>
      </c>
      <c r="RE50" s="21" t="str">
        <f t="shared" si="174"/>
        <v/>
      </c>
      <c r="RF50" s="21" t="str">
        <f t="shared" si="175"/>
        <v/>
      </c>
      <c r="RG50" s="21" t="str">
        <f t="shared" si="176"/>
        <v/>
      </c>
      <c r="RH50" s="21" t="str">
        <f t="shared" si="177"/>
        <v/>
      </c>
      <c r="RI50" s="21" t="str">
        <f t="shared" si="178"/>
        <v/>
      </c>
      <c r="RJ50" s="21" t="str">
        <f t="shared" si="179"/>
        <v/>
      </c>
      <c r="RK50" s="21" t="str">
        <f t="shared" si="180"/>
        <v/>
      </c>
      <c r="RL50" s="21" t="str">
        <f t="shared" si="181"/>
        <v/>
      </c>
      <c r="RM50" s="21" t="str">
        <f t="shared" si="182"/>
        <v/>
      </c>
      <c r="RN50" s="21" t="str">
        <f t="shared" si="183"/>
        <v/>
      </c>
      <c r="RO50" s="21" t="str">
        <f t="shared" si="184"/>
        <v/>
      </c>
      <c r="RP50" s="21" t="str">
        <f t="shared" si="185"/>
        <v/>
      </c>
      <c r="RQ50" s="21" t="str">
        <f t="shared" si="186"/>
        <v/>
      </c>
      <c r="RR50" s="21" t="str">
        <f t="shared" si="187"/>
        <v/>
      </c>
      <c r="RS50" s="21" t="str">
        <f t="shared" si="188"/>
        <v/>
      </c>
      <c r="RT50" s="21" t="str">
        <f t="shared" si="189"/>
        <v/>
      </c>
      <c r="RU50" s="21" t="str">
        <f t="shared" si="190"/>
        <v/>
      </c>
      <c r="RV50" s="21">
        <f t="shared" si="191"/>
        <v>11.571428571428571</v>
      </c>
      <c r="RW50" s="284">
        <f>IF(OR(Tabla1[[#This Row],[FUM FORMULA CONFIABLE]]="",Tabla1[[#This Row],[FUM FORMULA CONFIABLE]]="SD"),"",IF(Tabla1[[#This Row],[FUM FORMULA CONFIABLE]]="CORREGIDA",Tabla1[[#This Row],[FUM X ECO 1]],Tabla1[[#This Row],[FUM x AMENORREA]]))</f>
        <v>44801</v>
      </c>
      <c r="RX50" s="21">
        <f>IF(AND(Tabla1[[#This Row],[FUM X ECO 1]]="",Tabla1[[#This Row],[FUM x AMENORREA]]=""),"",IF(AND(Tabla1[[#This Row],[FUM X ECO 1]]="",Tabla1[[#This Row],[FUM x AMENORREA]]&lt;&gt;""),"X",SUM(Tabla1[[#This Row],[FUM X ECO 1]]-Tabla1[[#This Row],[FUM x AMENORREA]])))</f>
        <v>-2.6999999999970896</v>
      </c>
      <c r="RY50" s="21">
        <f t="shared" si="193"/>
        <v>0</v>
      </c>
    </row>
    <row r="51" spans="1:493" ht="45" customHeight="1" x14ac:dyDescent="0.25">
      <c r="A51" s="109"/>
      <c r="B51" s="43" t="s">
        <v>1057</v>
      </c>
      <c r="C51" s="43" t="s">
        <v>845</v>
      </c>
      <c r="D51" s="124" t="s">
        <v>846</v>
      </c>
      <c r="E51" s="43" t="s">
        <v>884</v>
      </c>
      <c r="F51" s="43" t="s">
        <v>1034</v>
      </c>
      <c r="G51" s="43" t="s">
        <v>1138</v>
      </c>
      <c r="H51" s="43"/>
      <c r="I51" s="109" t="s">
        <v>851</v>
      </c>
      <c r="J51" s="110">
        <v>1002848775</v>
      </c>
      <c r="K51" s="43" t="s">
        <v>852</v>
      </c>
      <c r="L51" s="175" t="s">
        <v>853</v>
      </c>
      <c r="M51" s="22">
        <v>37102</v>
      </c>
      <c r="N51" s="213">
        <f t="shared" ca="1" si="0"/>
        <v>22.273972602739725</v>
      </c>
      <c r="O51" s="22">
        <v>44882</v>
      </c>
      <c r="P51" s="214" t="str">
        <f t="shared" si="194"/>
        <v>SI</v>
      </c>
      <c r="Q51" s="26" t="s">
        <v>855</v>
      </c>
      <c r="R51" s="22">
        <v>44882</v>
      </c>
      <c r="S51" s="21" t="s">
        <v>856</v>
      </c>
      <c r="T51" s="24" t="s">
        <v>690</v>
      </c>
      <c r="U51" s="21" t="s">
        <v>857</v>
      </c>
      <c r="V51" s="21" t="s">
        <v>858</v>
      </c>
      <c r="W51" s="21" t="s">
        <v>1139</v>
      </c>
      <c r="X51" s="21" t="s">
        <v>1139</v>
      </c>
      <c r="Y51" s="21" t="s">
        <v>859</v>
      </c>
      <c r="Z51" s="21">
        <v>3216404248</v>
      </c>
      <c r="AA51" s="21" t="s">
        <v>860</v>
      </c>
      <c r="AB51" s="27" t="s">
        <v>861</v>
      </c>
      <c r="AC51" s="26" t="s">
        <v>862</v>
      </c>
      <c r="AD51" s="38" t="s">
        <v>1130</v>
      </c>
      <c r="AE51" s="26" t="s">
        <v>1131</v>
      </c>
      <c r="AF51" s="26" t="s">
        <v>854</v>
      </c>
      <c r="AG51" s="23" t="s">
        <v>864</v>
      </c>
      <c r="AH51" s="23" t="s">
        <v>864</v>
      </c>
      <c r="AI51" s="24" t="s">
        <v>863</v>
      </c>
      <c r="AJ51" s="23" t="s">
        <v>864</v>
      </c>
      <c r="AK51" s="220" t="str">
        <f>IF(AND(AD51="",AE51="",AF51="",AG51="",AH51="",AI51="",AJ51=""),"",IF(OR(Tabla1[[#This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EVALUACIÓN",IF(AND(O51="",R51=""),"",IF(AND(OR(O51&gt;0,R51&gt;0),NG51&gt;=0,NG51&lt;2),"SIN RIESGO",IF(AND(OR(O51&gt;0,R51&gt;0),NG51&gt;=2),"CON RIESGO","ASD")))))</f>
        <v>SIN RIESGO</v>
      </c>
      <c r="AL51" s="23" t="s">
        <v>864</v>
      </c>
      <c r="AM51" s="26" t="s">
        <v>864</v>
      </c>
      <c r="AN51" s="26" t="s">
        <v>864</v>
      </c>
      <c r="AO51" s="26" t="s">
        <v>864</v>
      </c>
      <c r="AP51" s="26" t="s">
        <v>864</v>
      </c>
      <c r="AQ51" s="26" t="s">
        <v>864</v>
      </c>
      <c r="AR51" s="26" t="s">
        <v>864</v>
      </c>
      <c r="AS51" s="21">
        <v>1</v>
      </c>
      <c r="AT51" s="21">
        <v>1</v>
      </c>
      <c r="AU51" s="21">
        <v>0</v>
      </c>
      <c r="AV51" s="26" t="s">
        <v>864</v>
      </c>
      <c r="AW51" s="21">
        <v>0</v>
      </c>
      <c r="AX51" s="26" t="s">
        <v>864</v>
      </c>
      <c r="AY51" s="26" t="s">
        <v>864</v>
      </c>
      <c r="AZ51" s="26" t="s">
        <v>864</v>
      </c>
      <c r="BA51" s="26" t="s">
        <v>864</v>
      </c>
      <c r="BB51" s="26" t="s">
        <v>864</v>
      </c>
      <c r="BC51" s="26" t="s">
        <v>864</v>
      </c>
      <c r="BD51" s="26" t="s">
        <v>864</v>
      </c>
      <c r="BE51" s="26" t="s">
        <v>864</v>
      </c>
      <c r="BF51" s="26" t="s">
        <v>864</v>
      </c>
      <c r="BG51" s="26" t="s">
        <v>864</v>
      </c>
      <c r="BH51" s="26" t="s">
        <v>864</v>
      </c>
      <c r="BI51" s="26" t="s">
        <v>864</v>
      </c>
      <c r="BJ51" s="26"/>
      <c r="BK51" s="26"/>
      <c r="BL51" s="26" t="s">
        <v>864</v>
      </c>
      <c r="BM51" s="26" t="s">
        <v>864</v>
      </c>
      <c r="BN51" s="22">
        <v>43318</v>
      </c>
      <c r="BO51" s="22">
        <v>44807</v>
      </c>
      <c r="BP51" s="21" t="s">
        <v>854</v>
      </c>
      <c r="BQ51" s="222">
        <f t="shared" si="2"/>
        <v>49.633333333333333</v>
      </c>
      <c r="BR51" s="223">
        <f t="shared" si="3"/>
        <v>44807</v>
      </c>
      <c r="BS51" s="224">
        <f t="shared" si="4"/>
        <v>10.714285714285714</v>
      </c>
      <c r="BT51" s="216" t="str">
        <f t="shared" si="5"/>
        <v>II TRIM</v>
      </c>
      <c r="BU51" s="214" t="str">
        <f t="shared" ca="1" si="6"/>
        <v/>
      </c>
      <c r="BV51" s="25" t="s">
        <v>988</v>
      </c>
      <c r="BW51" s="22">
        <v>44898</v>
      </c>
      <c r="BX51" s="28">
        <v>13</v>
      </c>
      <c r="BY51" s="28" t="s">
        <v>988</v>
      </c>
      <c r="BZ51" s="22">
        <v>45051</v>
      </c>
      <c r="CA51" s="21">
        <v>35</v>
      </c>
      <c r="CB51" s="26" t="s">
        <v>864</v>
      </c>
      <c r="CC51" s="26" t="s">
        <v>864</v>
      </c>
      <c r="CD51" s="26" t="s">
        <v>878</v>
      </c>
      <c r="CE51" s="26" t="s">
        <v>864</v>
      </c>
      <c r="CF51" s="22" t="s">
        <v>1517</v>
      </c>
      <c r="CG51" s="21">
        <v>1.56</v>
      </c>
      <c r="CH51" s="21">
        <v>68</v>
      </c>
      <c r="CI51" s="214">
        <f t="shared" si="7"/>
        <v>27.94214332675871</v>
      </c>
      <c r="CJ51" s="225" t="e">
        <f>IF(AND(CI51&lt;10,CH51="SD"),"SIN DATO PESO PREGESTACION O I TRIM",IF(AND(OR(R51&gt;0,O51&gt;0),CI51="X"),"INGRESAR DATO DE PESO",IF(CI51="SD","INGRESAR DATO DE TALLA Y PESO",IF(AND(OR(Tabla1[[#This Row],[MOMENTO EN QUE SE REALIZA EL PESO AL INGRESO A CPN]]="PREGESTACIÓN",NZ51="Menor"),CI51&lt;18.5),"BAJO PESO",IF(AND(OR(Tabla1[[#This Row],[MOMENTO EN QUE SE REALIZA EL PESO AL INGRESO A CPN]]="PREGESTACIÓN",NZ51="Menor"),CI51&lt;25),"NORMAL",IF(AND(OR(Tabla1[[#This Row],[MOMENTO EN QUE SE REALIZA EL PESO AL INGRESO A CPN]]="PREGESTACIÓN",NZ51="Menor"),CI51&lt;30),"SOBREPESO",IF(AND(OR(Tabla1[[#This Row],[MOMENTO EN QUE SE REALIZA EL PESO AL INGRESO A CPN]]="PREGESTACIÓN",NZ51="Menor"),CI51&gt;=30,CI51&lt;50),"OBESIDAD",IF(AND(BS51&gt;0,Tabla1[[#This Row],[MOMENTO EN QUE SE REALIZA EL PESO AL INGRESO A CPN]]="GESTACIÓN"),HLOOKUP(NZ51,$OA$2:PH51,NY51),""))))))))</f>
        <v>#REF!</v>
      </c>
      <c r="CK51" s="212">
        <f t="shared" si="8"/>
        <v>45051</v>
      </c>
      <c r="CL51" s="21">
        <v>72.5</v>
      </c>
      <c r="CM51" s="214">
        <f t="shared" si="9"/>
        <v>29.791255752794211</v>
      </c>
      <c r="CN51" s="216">
        <f t="shared" si="10"/>
        <v>34</v>
      </c>
      <c r="CO51" s="216" t="e">
        <f>IF(PI51="","",IF(PI51&gt;0,HLOOKUP(PI51,$PJ$2:QQ51,NY51),""))</f>
        <v>#REF!</v>
      </c>
      <c r="CP51" s="21">
        <v>31</v>
      </c>
      <c r="CQ51" s="216" t="e">
        <f>IF(QR51="Menor","NO APLICA-MENOR 13 SEM",IF(AND(CC51="SI",CN51&gt;23),"NO APLICA- GEMELAR",IF(QR51="","",IF(QR51&gt;0,HLOOKUP(QR51,$QS$2:RU51,NY51),""))))</f>
        <v>#REF!</v>
      </c>
      <c r="CR51" s="21">
        <v>90</v>
      </c>
      <c r="CS51" s="21">
        <v>60</v>
      </c>
      <c r="CT51" s="217" t="str">
        <f>IF(R51="","",IF(AND(BS51&gt;1,BS51&lt;12,Tabla1[[#This Row],[T.A. SISTOLICA - ANTES DE SEMANA 12]]="",Tabla1[[#This Row],[T.A. DIASTOLICA - ANTES DE SEMANA 12]]=""),"REGISTRE DATO TA ANTES SEMANA 12",IF(AND(BS51&gt;11,BS51&lt;43,Tabla1[[#This Row],[T.A. SISTOLICA - ANTES DE SEMANA 12]]="",Tabla1[[#This Row],[T.A. DIASTOLICA - ANTES DE SEMANA 12]]=""),"NO APLICA REGISTRO TA-INGRESO TARDIO",IF(AND(OR(O51&gt;0,R51&gt;0),OR(CR51&gt;=140,CS51&gt;=90)),"DEFINIR ESTADIO HTA",IF(AND(OR(O51&gt;0,R51&gt;0),AND(CR51&gt;120,CR51&lt;=139)),"PRE HTA SEGUIMIENTO",IF(AND(OR(O51&gt;0,R51&gt;0),AND(CS51&gt;80,CS51&lt;=89)),"PRE HTA SEGUIMIENTO",IF(AND(OR(O51&gt;0,R51&gt;0),AND(CR51&gt;=80,CR51&lt;=120)),"APARENTEMENTE NORMAL",IF(AND(OR(O51&gt;0,R51&gt;0),AND(CS51&gt;=50,CS51&lt;=80)),"APARENTEMENTE NORMAL",IF(AND(OR(O51&gt;0,R51&gt;0),AND(CR51&gt;1,CR51&lt;=70),AND(CS51&gt;1,CS51&lt;=40)),"HIPOTENSIÓN","")))))))))</f>
        <v>APARENTEMENTE NORMAL</v>
      </c>
      <c r="CU51" s="21">
        <v>90</v>
      </c>
      <c r="CV51" s="21">
        <v>60</v>
      </c>
      <c r="CW51" s="217" t="str">
        <f ca="1">IF(R51="","",IF(AND(CN51&gt;19,CN51&lt;27,Tabla1[[#This Row],[T.A. SISTOLICA (Entre semana 20 y 26)]]="",Tabla1[[#This Row],[T.A. DIATOLICA (Entre semana 20 y 26)]]=""),"ACUDE A CONTROL SEM 20 A 26 REGISTRE TA AHORA",IF(AND(BS51&gt;1,BS51&lt;27,BU51&gt;19,Tabla1[[#This Row],[T.A. SISTOLICA (Entre semana 20 y 26)]]="",Tabla1[[#This Row],[T.A. DIATOLICA (Entre semana 20 y 26)]]=""),"COMPLETE REGISTRO TA CONTROL SEM 20 A26 ",IF(AND(BS51&gt;26,BS51&lt;43,Tabla1[[#This Row],[T.A. SISTOLICA (Entre semana 20 y 26)]]="",Tabla1[[#This Row],[T.A. DIATOLICA (Entre semana 20 y 26)]]=""),"NO APLICA REGISTRO TA-INGRESO TARDIO",IF(AND(OR(O51&gt;0,R51&gt;0),OR(CU51&gt;=140,CV51&gt;=90)),"ALTO RIESGO PREECLAMPSIA,DEFINIR ESTADIO HTA",IF(AND(OR(O51&gt;0,R51&gt;0),AND(CU51&gt;120,CU51&lt;=139)),"PRE HTA SEGUIMIENTO,RIESGO HIPERTENSION INDUCIDA POR EL EMBARAZO",IF(AND(OR(O51&gt;0,R51&gt;0),AND(CV51&gt;80,CV51&lt;=89)),"PRE HTA SEGUIMIENTO, RIESGO HIPERTENSION INDUCIDA POR EL EMBARAZO",IF(AND(OR(O51&lt;&gt;"",R51&lt;&gt;""),CS51&lt;&gt;"",CV51&lt;&gt;"",CS51&lt;=CV51),"VIGILAR CIFRAS PRESION ARTERIAL",IF(AND(OR(O51&gt;0,R51&gt;0),AND(CU51&gt;120,CU51&lt;=139)),"PRE HTA SEGUIMIENTO",IF(AND(OR(O51&gt;0,R51&gt;0),AND(CU51&gt;1,CU51&lt;=70),AND(CV51&gt;1,CV51&lt;=40)),"HIPOTENSIÓN",IF(AND(OR(O51&lt;&gt;"",R51&lt;&gt;""),CS51&lt;&gt;"",CV51&lt;&gt;"",CS51&gt;CV51),"APARENTEMENTE NORMAL",IF(AND(OR(O51&gt;0,R51&gt;0),AND(CU51&gt;=80,CU51&lt;=120)),"APARENTEMENTE NORMAL",IF(AND(OR(O51&gt;0,R51&gt;0),AND(CV51&gt;=50,CV51&lt;=80)),"APARENTEMENTE NORMAL","")))))))))))))</f>
        <v>VIGILAR CIFRAS PRESION ARTERIAL</v>
      </c>
      <c r="CX51" s="21">
        <v>110</v>
      </c>
      <c r="CY51" s="21">
        <v>80</v>
      </c>
      <c r="CZ51" s="216" t="str">
        <f t="shared" si="195"/>
        <v>VIGILAR CIFRAS PRESION ARTERIAL</v>
      </c>
      <c r="DA51" s="21">
        <v>100</v>
      </c>
      <c r="DB51" s="21">
        <v>60</v>
      </c>
      <c r="DC51" s="217" t="str">
        <f t="shared" si="12"/>
        <v>APARENTEMENTE NORMAL</v>
      </c>
      <c r="DD51" s="22">
        <v>44882</v>
      </c>
      <c r="DE51" s="22">
        <v>44882</v>
      </c>
      <c r="DF51" s="22">
        <v>44965</v>
      </c>
      <c r="DG51" s="22">
        <v>45012</v>
      </c>
      <c r="DH51" s="22">
        <v>45051</v>
      </c>
      <c r="DI51" s="22"/>
      <c r="DJ51" s="22"/>
      <c r="DK51" s="22"/>
      <c r="DL51" s="22"/>
      <c r="DM51" s="22"/>
      <c r="DN51" s="22"/>
      <c r="DO51" s="22"/>
      <c r="DP51" s="22"/>
      <c r="DQ51" s="22"/>
      <c r="DR51" s="28">
        <v>2</v>
      </c>
      <c r="DS51" s="22"/>
      <c r="DT51" s="22"/>
      <c r="DU51" s="216" t="str">
        <f t="shared" ca="1" si="196"/>
        <v>SALE SIN PLAN DE PARTO</v>
      </c>
      <c r="DV51" s="226" t="str">
        <f t="shared" si="197"/>
        <v>SALIO PROGRAMA</v>
      </c>
      <c r="DW51"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51" s="216" t="str">
        <f t="shared" ca="1" si="15"/>
        <v/>
      </c>
      <c r="DY51" s="212">
        <f>IF(R51="","",IF(R51&gt;0,MAX(Tabla1[[#This Row],[FECHA C2]:[FECHA C13]],Tabla1[[#This Row],[FECHA CONSULTA PRIMERA VEZ PROGRAMA CPN ]])))</f>
        <v>45051</v>
      </c>
      <c r="DZ51" s="216">
        <f t="shared" si="16"/>
        <v>34</v>
      </c>
      <c r="EA51" s="222">
        <f>IF(R51&gt;0,SUM(COUNTA(DF51:DQ51)+COUNTA(Tabla1[[#This Row],[FECHA CONSULTA PRIMERA VEZ PROGRAMA CPN ]])),"")</f>
        <v>4</v>
      </c>
      <c r="EB51" s="222" t="str">
        <f t="shared" si="17"/>
        <v>SI</v>
      </c>
      <c r="EC51" s="214">
        <f t="shared" si="18"/>
        <v>9</v>
      </c>
      <c r="ED51" s="227">
        <f t="shared" si="19"/>
        <v>0.44444444444444442</v>
      </c>
      <c r="EE51" s="22">
        <v>44882</v>
      </c>
      <c r="EF51" s="22">
        <v>44897</v>
      </c>
      <c r="EG51" s="22">
        <v>44882</v>
      </c>
      <c r="EH51" s="22">
        <v>44964</v>
      </c>
      <c r="EI51" s="22">
        <v>44882</v>
      </c>
      <c r="EJ51" s="22">
        <v>44964</v>
      </c>
      <c r="EK51" s="22">
        <v>44964</v>
      </c>
      <c r="EL51" s="21">
        <v>1</v>
      </c>
      <c r="EM51" s="21">
        <v>12.4</v>
      </c>
      <c r="EN51" s="22">
        <v>44885</v>
      </c>
      <c r="EO51" s="222">
        <f t="shared" si="20"/>
        <v>11.142857142857142</v>
      </c>
      <c r="EP51" s="214" t="str">
        <f t="shared" si="21"/>
        <v>NORMAL- SUMINISTRAR SULFATO FERROSO</v>
      </c>
      <c r="EQ51" s="216" t="str">
        <f t="shared" si="22"/>
        <v>I TRIM</v>
      </c>
      <c r="ER51" s="24"/>
      <c r="ES51" s="22"/>
      <c r="ET51" s="29" t="str">
        <f t="shared" ca="1" si="198"/>
        <v>SALE SIN TAMIZAJE HEMOGLOBINA SEM 28</v>
      </c>
      <c r="EU51" s="25" t="str">
        <f t="shared" si="24"/>
        <v/>
      </c>
      <c r="EV51" s="24" t="s">
        <v>866</v>
      </c>
      <c r="EW51" s="24">
        <v>44885</v>
      </c>
      <c r="EX51" s="22"/>
      <c r="EY51" s="29">
        <f t="shared" si="199"/>
        <v>11.142857142857142</v>
      </c>
      <c r="EZ51" s="25" t="str">
        <f t="shared" ca="1" si="200"/>
        <v/>
      </c>
      <c r="FA51" s="21">
        <v>76</v>
      </c>
      <c r="FB51" s="22">
        <v>44885</v>
      </c>
      <c r="FC51" s="29">
        <f t="shared" si="27"/>
        <v>11.142857142857142</v>
      </c>
      <c r="FD51" s="29"/>
      <c r="FE51" s="29"/>
      <c r="FF51" s="29"/>
      <c r="FG51" s="21" t="str">
        <f t="shared" ca="1" si="28"/>
        <v/>
      </c>
      <c r="FH51" s="31"/>
      <c r="FI51" s="29" t="str">
        <f t="shared" si="29"/>
        <v>TOMAR EXAMEN</v>
      </c>
      <c r="FJ51" s="22" t="s">
        <v>867</v>
      </c>
      <c r="FK51" s="22">
        <v>44885</v>
      </c>
      <c r="FL51" s="29">
        <f t="shared" ca="1" si="30"/>
        <v>11.142857142857142</v>
      </c>
      <c r="FM51" s="22"/>
      <c r="FN51" s="32"/>
      <c r="FO51" s="29" t="str">
        <f t="shared" ca="1" si="201"/>
        <v>PIERDE TOMA DE TAMIZAJE</v>
      </c>
      <c r="FP51" s="22" t="s">
        <v>867</v>
      </c>
      <c r="FQ51" s="32">
        <v>45051</v>
      </c>
      <c r="FR51" s="29">
        <f t="shared" ca="1" si="202"/>
        <v>34.857142857142854</v>
      </c>
      <c r="FS51" s="22"/>
      <c r="FT51" s="32"/>
      <c r="FU51" s="29" t="str">
        <f>IF(AND(FJ51="",FM51="",FP51="",FS51=""),"",IF(OR(OR(Tabla1[[#This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51" s="28"/>
      <c r="FW51" s="22"/>
      <c r="FX51" s="29" t="str">
        <f t="shared" si="33"/>
        <v>TOMAR EXAMEN</v>
      </c>
      <c r="FY51" s="22">
        <v>44885</v>
      </c>
      <c r="FZ51" s="22">
        <v>44885</v>
      </c>
      <c r="GA51" s="29">
        <f t="shared" ca="1" si="203"/>
        <v>11.142857142857142</v>
      </c>
      <c r="GB51" s="22"/>
      <c r="GC51" s="22"/>
      <c r="GD51" s="29" t="str">
        <f t="shared" ca="1" si="204"/>
        <v>PIERDE TOMA DE TAMIZAJE</v>
      </c>
      <c r="GE51" s="22" t="s">
        <v>868</v>
      </c>
      <c r="GF51" s="22">
        <v>45051</v>
      </c>
      <c r="GG51" s="29">
        <f t="shared" ca="1" si="205"/>
        <v>34.857142857142854</v>
      </c>
      <c r="GH51" s="22"/>
      <c r="GI51" s="29"/>
      <c r="GJ51" s="22"/>
      <c r="GK51" s="22"/>
      <c r="GL51" s="22"/>
      <c r="GM51" s="22"/>
      <c r="GN51" s="28" t="s">
        <v>869</v>
      </c>
      <c r="GO51" s="22">
        <v>44885</v>
      </c>
      <c r="GP51" s="29">
        <f t="shared" si="37"/>
        <v>11.142857142857142</v>
      </c>
      <c r="GQ51" s="28" t="s">
        <v>869</v>
      </c>
      <c r="GR51" s="28" t="s">
        <v>869</v>
      </c>
      <c r="GS51" s="22" t="str">
        <f t="shared" si="206"/>
        <v>CONTROL Igm</v>
      </c>
      <c r="GT51" s="22">
        <v>44885</v>
      </c>
      <c r="GU51" s="29">
        <f t="shared" si="39"/>
        <v>11.142857142857142</v>
      </c>
      <c r="GV51" s="21" t="str">
        <f t="shared" si="40"/>
        <v>I TRIM</v>
      </c>
      <c r="GW51" s="28" t="s">
        <v>869</v>
      </c>
      <c r="GX51" s="30"/>
      <c r="GY51" s="21"/>
      <c r="GZ51" s="21"/>
      <c r="HA51" s="21"/>
      <c r="HB51" s="21"/>
      <c r="HC51" s="21"/>
      <c r="HD51" s="21"/>
      <c r="HE51" s="21"/>
      <c r="HF51" s="22"/>
      <c r="HG51" s="22" t="str">
        <f>IF(OR(O51&gt;0,R51&gt;0),CONCATENATE(IF(Tabla1[[#This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51" s="22" t="e">
        <f t="shared" si="41"/>
        <v>#REF!</v>
      </c>
      <c r="HI51" s="22" t="e">
        <f t="shared" ca="1" si="42"/>
        <v>#REF!</v>
      </c>
      <c r="HJ51" s="21" t="str">
        <f t="shared" ca="1" si="43"/>
        <v>***************************************</v>
      </c>
      <c r="HK51" s="21" t="str">
        <f t="shared" si="44"/>
        <v>SIN ANTECEDENTES DE RIESGO</v>
      </c>
      <c r="HL51" s="24" t="str">
        <f t="shared" si="45"/>
        <v>APARENTEMENTE NORMAL</v>
      </c>
      <c r="HM51" s="21" t="str">
        <f t="shared" ca="1" si="46"/>
        <v/>
      </c>
      <c r="HN51" s="30" t="str">
        <f t="shared" si="207"/>
        <v>SALIO PROGRAMA</v>
      </c>
      <c r="HO51" s="21"/>
      <c r="HP51" s="21"/>
      <c r="HQ51" s="21">
        <v>45051</v>
      </c>
      <c r="HR51" s="21" t="str">
        <f>IF(R51="","",IF(Tabla1[[#This Row],[ALARMA FACTORES DE RIESGO COMPLICACIONES HIPERTENSIVAS3]]="SIN ANTECEDENTES DE RIESGO","No Aplica para suministro de ASA",IF(AND(Tabla1[[#This Row],[FECHA INICIO DE SUMINISTRO DE ASA]]&gt;0,RV51&lt;12),"Inicia ASA ANTES de Sem 12",IF(AND(RV51&gt;11,RV51&lt;17,OR(HK51="RIESGO ALTO DE COMPLICACIONES HIPERTENSIVAS VER MANEJO GUIA SUMINISTRO ASA Y CALCIO",HK51="RIESGO MODERADO (2 O MAS CRITERIOS) VER MANEJO GUIA SUMINISTRO ASA Y CALCIO")),"Inicio oportuno de ASA",IF(AND(RV51&gt;12,OR(HK51="RIESGO ALTO DE COMPLICACIONES HIPERTENSIVAS VER MANEJO GUIA SUMINISTRO ASA Y CALCIO",HK51="RIESGO MODERADO (2 O MAS CRITERIOS) VER MANEJO GUIA SUMINISTRO ASA Y CALCIO")),"Inicio no oportuno mayor a 16 semanas",IF(AND(BU51&lt;12,OR(HK51="RIESGO ALTO DE COMPLICACIONES HIPERTENSIVAS VER MANEJO GUIA SUMINISTRO ASA Y CALCIO",HK51="RIESGO MODERADO (2 O MAS CRITERIOS) VER MANEJO GUIA SUMINISTRO ASA Y CALCIO")),"Pendiente Inicio de ASA a la semana 12",IF(AND(BU51&gt;11,BU51&lt;17,OR(HK51="RIESGO ALTO DE COMPLICACIONES HIPERTENSIVAS VER MANEJO GUIA SUMINISTRO ASA Y CALCIO",HK51="RIESGO MODERADO (2 O MAS CRITERIOS) VER MANEJO GUIA SUMINISTRO ASA Y CALCIO")),"Iniciar de inmediato ASA",IF(AND(BU51&gt;16,OR(HK51="RIESGO ALTO DE COMPLICACIONES HIPERTENSIVAS VER MANEJO GUIA SUMINISTRO ASA Y CALCIO",HK51="RIESGO MODERADO (2 O MAS CRITERIOS) VER MANEJO GUIA SUMINISTRO ASA Y CALCIO")),"Pierde Oportunidad, Inicio tardío de ASA","XXXXX"))))))))</f>
        <v>No Aplica para suministro de ASA</v>
      </c>
      <c r="HS51" s="22">
        <v>45051</v>
      </c>
      <c r="HT51" s="22" t="s">
        <v>870</v>
      </c>
      <c r="HU51" s="22"/>
      <c r="HV51" s="22"/>
      <c r="HW51" s="22">
        <v>45051</v>
      </c>
      <c r="HX51" s="22" t="s">
        <v>870</v>
      </c>
      <c r="HY51" s="22"/>
      <c r="HZ51" s="28" t="str">
        <f t="shared" si="48"/>
        <v>PENDIENTE CONSULTA</v>
      </c>
      <c r="IA51" s="26" t="s">
        <v>864</v>
      </c>
      <c r="IB51" s="26"/>
      <c r="IC51" s="111"/>
      <c r="ID51" s="22"/>
      <c r="IE51" s="22" t="str">
        <f t="shared" ca="1" si="49"/>
        <v>SALE SIN VACUNA</v>
      </c>
      <c r="IF51" s="22"/>
      <c r="IG51" s="22">
        <f t="shared" si="50"/>
        <v>45087</v>
      </c>
      <c r="IH51" s="29">
        <f t="shared" ca="1" si="51"/>
        <v>-145</v>
      </c>
      <c r="II51" s="22" t="str">
        <f t="shared" ca="1" si="52"/>
        <v>POSIBLEMENTE NACIO</v>
      </c>
      <c r="IJ51" s="22"/>
      <c r="IK51" s="21" t="s">
        <v>898</v>
      </c>
      <c r="IL51" s="21"/>
      <c r="IM51" s="34"/>
      <c r="IN51" s="349">
        <v>45076</v>
      </c>
      <c r="IO51" s="21" t="s">
        <v>1186</v>
      </c>
      <c r="IP51" s="29">
        <f t="shared" si="208"/>
        <v>38.428571428571431</v>
      </c>
      <c r="IQ51" s="110" t="s">
        <v>1644</v>
      </c>
      <c r="IR51" s="21" t="s">
        <v>1645</v>
      </c>
      <c r="IS51" s="21" t="s">
        <v>1646</v>
      </c>
      <c r="IT51" s="21" t="s">
        <v>1642</v>
      </c>
      <c r="IU51" s="21"/>
      <c r="IV51" s="21"/>
      <c r="IW51" s="21"/>
      <c r="IX51" s="21"/>
      <c r="IY51" s="21"/>
      <c r="IZ51" s="21"/>
      <c r="JA51" s="21"/>
      <c r="JB51" s="30">
        <v>1</v>
      </c>
      <c r="JC51" s="21" t="s">
        <v>1647</v>
      </c>
      <c r="JD51" s="36">
        <v>3080</v>
      </c>
      <c r="JE51" s="21" t="str">
        <f t="shared" si="209"/>
        <v>PESO ADECUADO EDAD GESTACIONAL</v>
      </c>
      <c r="JF51" s="30"/>
      <c r="JG51" s="21"/>
      <c r="JH51" s="21"/>
      <c r="JI51" s="21" t="s">
        <v>854</v>
      </c>
      <c r="JJ51" s="30" t="s">
        <v>866</v>
      </c>
      <c r="JK51" s="22"/>
      <c r="JL51" s="22"/>
      <c r="JM51" s="21"/>
      <c r="JN51" s="36"/>
      <c r="JO51" s="21" t="str">
        <f t="shared" si="210"/>
        <v/>
      </c>
      <c r="JP51" s="22"/>
      <c r="JQ51" s="21"/>
      <c r="JR51" s="21"/>
      <c r="JS51" s="21"/>
      <c r="JT51" s="30"/>
      <c r="JU51" s="22"/>
      <c r="JV51" s="22"/>
      <c r="JW51" s="33"/>
      <c r="JX51" s="28" t="str">
        <f t="shared" si="211"/>
        <v>INASISTENTE</v>
      </c>
      <c r="JY51" s="33"/>
      <c r="JZ51" s="28" t="str">
        <f t="shared" si="212"/>
        <v>INASISTENTE</v>
      </c>
      <c r="KA51" s="21"/>
      <c r="KB51" s="21"/>
      <c r="KC51" s="21"/>
      <c r="KD51" s="37"/>
      <c r="KE51" s="28"/>
      <c r="KF51" s="28"/>
      <c r="KG51" s="28"/>
      <c r="KH51" s="39"/>
      <c r="KI51" s="39"/>
      <c r="KJ51" s="66"/>
      <c r="KK51" s="39"/>
      <c r="KL51" s="39"/>
      <c r="KM51" s="66"/>
      <c r="KN51" s="39"/>
      <c r="KO51" s="39"/>
      <c r="KP51" s="39"/>
      <c r="KQ51" s="39"/>
      <c r="KR51" s="39"/>
      <c r="KS51" s="39"/>
      <c r="KT51" s="39"/>
      <c r="KU51" s="38"/>
      <c r="KV51" s="38"/>
      <c r="KW51" s="38"/>
      <c r="KX51" s="38"/>
      <c r="KY51" s="38"/>
      <c r="KZ51" s="38"/>
      <c r="LA51" s="38"/>
      <c r="LB51" s="38"/>
      <c r="LC51" s="38"/>
      <c r="LD51" s="38"/>
      <c r="LE51" s="38"/>
      <c r="LF51" s="38"/>
      <c r="LG51" s="38"/>
      <c r="LH51" s="38"/>
      <c r="LI51" s="38"/>
      <c r="LJ51" s="38"/>
      <c r="LK51" s="38"/>
      <c r="LL51" s="38"/>
      <c r="LM51" s="38"/>
      <c r="LN51" s="38"/>
      <c r="LO51" s="38"/>
      <c r="LP51" s="38"/>
      <c r="LQ51" s="38"/>
      <c r="LR51" s="38"/>
      <c r="LS51" s="38"/>
      <c r="LT51" s="38"/>
      <c r="LU51" s="38"/>
      <c r="LV51" s="38"/>
      <c r="LW51" s="38"/>
      <c r="LX51" s="38"/>
      <c r="LY51" s="38"/>
      <c r="LZ51" s="38"/>
      <c r="MA51" s="38"/>
      <c r="MB51" s="38"/>
      <c r="MC51" s="38"/>
      <c r="MD51" s="38"/>
      <c r="ME51" s="38"/>
      <c r="MF51" s="38"/>
      <c r="MG51" s="38"/>
      <c r="MH51" s="43">
        <f t="shared" si="213"/>
        <v>0</v>
      </c>
      <c r="MI51" s="43" t="str">
        <f t="shared" si="214"/>
        <v/>
      </c>
      <c r="MJ51" s="43" t="str">
        <f t="shared" si="215"/>
        <v/>
      </c>
      <c r="MK51" s="43">
        <f t="shared" si="216"/>
        <v>0</v>
      </c>
      <c r="ML5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51" s="43">
        <f t="shared" si="217"/>
        <v>10.714285714285714</v>
      </c>
      <c r="MN51" s="43">
        <f t="shared" si="218"/>
        <v>11</v>
      </c>
      <c r="MO51" s="43">
        <f t="shared" si="219"/>
        <v>2022</v>
      </c>
      <c r="MP51" s="43" t="str">
        <f t="shared" si="220"/>
        <v>IV TRIMESTRE AÑO</v>
      </c>
      <c r="MQ51" s="43">
        <f t="shared" si="221"/>
        <v>20.989378011388521</v>
      </c>
      <c r="MR51" s="43">
        <f t="shared" si="222"/>
        <v>0</v>
      </c>
      <c r="MS51" s="43" t="str">
        <f t="shared" si="223"/>
        <v xml:space="preserve"> DE 20 A 24 AÑOS</v>
      </c>
      <c r="MT51" s="43">
        <f t="shared" si="224"/>
        <v>0</v>
      </c>
      <c r="MU51" s="43">
        <f t="shared" si="225"/>
        <v>0</v>
      </c>
      <c r="MV51" s="43">
        <f t="shared" si="226"/>
        <v>0</v>
      </c>
      <c r="MW51" s="43">
        <f t="shared" si="227"/>
        <v>0</v>
      </c>
      <c r="MX51" s="43" t="str">
        <f t="shared" si="228"/>
        <v/>
      </c>
      <c r="MY51" s="43" t="str">
        <f t="shared" ca="1" si="229"/>
        <v/>
      </c>
      <c r="MZ51" s="43" t="str">
        <f t="shared" si="230"/>
        <v/>
      </c>
      <c r="NA51" s="43">
        <f t="shared" si="231"/>
        <v>0</v>
      </c>
      <c r="NB51" s="43" t="str">
        <f t="shared" si="232"/>
        <v/>
      </c>
      <c r="NC51" s="43" t="str">
        <f t="shared" si="233"/>
        <v/>
      </c>
      <c r="ND51" s="43">
        <f t="shared" ca="1" si="234"/>
        <v>0</v>
      </c>
      <c r="NE51" s="43">
        <f>IF(OR(O51&gt;0,R51&gt;0),SUM(COUNTIF(Tabla1[[#This Row],[AÑOS AL INICIO5 CPN]],"&gt;=40"),COUNTIF(AS51,"0"),COUNTIF(AR51,"SI"),COUNTIF(CC51,"SI"),COUNTIF(BQ51,"&gt;119"),COUNTIF(CI51,"&gt;=35")),"")</f>
        <v>0</v>
      </c>
      <c r="NF51" s="43" t="str">
        <f t="shared" si="235"/>
        <v/>
      </c>
      <c r="NG51" s="43">
        <f t="shared" si="236"/>
        <v>0</v>
      </c>
      <c r="NH51" s="43">
        <f t="shared" si="237"/>
        <v>91</v>
      </c>
      <c r="NI51"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CPN",P51="NO"),"Z",IF(AND(Tabla1[[#This Row],[CITA PROXIMO CONTROL]]="CITA MANUAL",Tabla1[[#This Row],[GESTANTES ACTUALES]]="ACTIVA INGRESO A CPN"),"W",IF(AND(Tabla1[[#This Row],[GESTANTES ACTUALES]]="SALIO PROGRAMA",IN51=""),"S",IF(AND(Tabla1[[#This Row],[CITA PROXIMO CONTROL]]&gt;0,IN51=""),(Tabla1[[#This Row],[CITA PROXIMO CONTROL]]-TODAY()),"SD"))))))))</f>
        <v>SD</v>
      </c>
      <c r="NJ51" s="43">
        <f>MONTH(Tabla1[[#This Row],[FECHA DE SALIDA  DEL PROGRAMA]])</f>
        <v>5</v>
      </c>
      <c r="NK51" s="43">
        <f>YEAR(Tabla1[[#This Row],[FECHA DE SALIDA  DEL PROGRAMA]])</f>
        <v>2023</v>
      </c>
      <c r="NL51" s="43">
        <f t="shared" si="238"/>
        <v>82</v>
      </c>
      <c r="NM51" s="43" t="str">
        <f t="shared" si="239"/>
        <v>NO</v>
      </c>
      <c r="NN51" s="43" t="str">
        <f ca="1">IF(AND(O51&gt;0,R51=""),"NO CPN",IF(AND(O51="",R51=""),"",IF(AND(R51&gt;0,Tabla1[[#This Row],[SEMANAS DE GESTACION ACTUALIZADAS]]&lt;=12),"NO APLICA",IF(AND(FH51&lt;&gt;"",FN51&lt;&gt;""),"SI","NO"))))</f>
        <v>NO</v>
      </c>
      <c r="NO51" s="43" t="str">
        <f ca="1">IF(AND(O51&gt;0,R51=""),"NO CPN",IF(AND(O51="",R51=""),"",IF(AND(R51&gt;0,Tabla1[[#This Row],[SEMANAS DE GESTACION ACTUALIZADAS]]&lt;=27),"NO APLICA",IF(AND(ES51&lt;&gt;"",FQ51&lt;&gt;"",GF51&lt;&gt;""),"SI","NO"))))</f>
        <v>NO</v>
      </c>
      <c r="NP51" s="204" t="str">
        <f t="shared" si="240"/>
        <v>I TRIM</v>
      </c>
      <c r="NQ51" s="21">
        <f t="shared" si="241"/>
        <v>3</v>
      </c>
      <c r="NR51" s="21">
        <f t="shared" si="242"/>
        <v>3</v>
      </c>
      <c r="NS51" s="205">
        <f t="shared" ca="1" si="243"/>
        <v>2</v>
      </c>
      <c r="NT51" s="21">
        <f t="shared" ca="1" si="244"/>
        <v>2</v>
      </c>
      <c r="NU51" s="21" t="str">
        <f t="shared" ca="1" si="245"/>
        <v>INCOMPLETO</v>
      </c>
      <c r="NV51" s="21" t="str">
        <f t="shared" ca="1" si="246"/>
        <v>INCOMPLETO</v>
      </c>
      <c r="NW51" s="206" t="str">
        <f>IF(AND(O51="",R51=""),"",IF(OR(AND(Tabla1[[#This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51" s="207" t="str">
        <f t="shared" ca="1" si="247"/>
        <v>SIN VACUNAR</v>
      </c>
      <c r="NY51" s="43">
        <f>ROW(Tabla1[[#This Row],['# DE TAMIZAJES SIFILIS TOMADOS ]])</f>
        <v>51</v>
      </c>
      <c r="NZ51" s="43">
        <f t="shared" si="93"/>
        <v>10</v>
      </c>
      <c r="OA51" s="43" t="str">
        <f t="shared" si="94"/>
        <v/>
      </c>
      <c r="OB51" s="43" t="str">
        <f t="shared" si="95"/>
        <v>SOBREPESO</v>
      </c>
      <c r="OC51" s="43" t="str">
        <f t="shared" si="96"/>
        <v/>
      </c>
      <c r="OD51" s="43" t="str">
        <f t="shared" si="97"/>
        <v/>
      </c>
      <c r="OE51" s="43" t="str">
        <f t="shared" si="98"/>
        <v/>
      </c>
      <c r="OF51" s="43" t="str">
        <f t="shared" si="99"/>
        <v/>
      </c>
      <c r="OG51" s="43" t="str">
        <f t="shared" si="100"/>
        <v/>
      </c>
      <c r="OH51" s="43" t="str">
        <f t="shared" si="101"/>
        <v/>
      </c>
      <c r="OI51" s="43" t="str">
        <f t="shared" si="102"/>
        <v/>
      </c>
      <c r="OJ51" s="43" t="str">
        <f t="shared" si="103"/>
        <v/>
      </c>
      <c r="OK51" s="43" t="str">
        <f t="shared" si="104"/>
        <v/>
      </c>
      <c r="OL51" s="43" t="str">
        <f t="shared" si="105"/>
        <v/>
      </c>
      <c r="OM51" s="43" t="str">
        <f t="shared" si="106"/>
        <v/>
      </c>
      <c r="ON51" s="43" t="str">
        <f t="shared" si="107"/>
        <v/>
      </c>
      <c r="OO51" s="43" t="str">
        <f t="shared" si="108"/>
        <v/>
      </c>
      <c r="OP51" s="43" t="str">
        <f t="shared" si="109"/>
        <v/>
      </c>
      <c r="OQ51" s="43" t="str">
        <f t="shared" si="110"/>
        <v/>
      </c>
      <c r="OR51" s="43" t="str">
        <f t="shared" si="111"/>
        <v/>
      </c>
      <c r="OS51" s="43" t="str">
        <f t="shared" si="112"/>
        <v/>
      </c>
      <c r="OT51" s="43" t="str">
        <f t="shared" si="113"/>
        <v/>
      </c>
      <c r="OU51" s="43" t="str">
        <f t="shared" si="114"/>
        <v/>
      </c>
      <c r="OV51" s="110" t="str">
        <f t="shared" si="115"/>
        <v/>
      </c>
      <c r="OW51" s="43" t="str">
        <f t="shared" si="116"/>
        <v/>
      </c>
      <c r="OX51" s="43" t="str">
        <f t="shared" si="117"/>
        <v/>
      </c>
      <c r="OY51" s="43" t="str">
        <f t="shared" si="118"/>
        <v/>
      </c>
      <c r="OZ51" s="43" t="str">
        <f t="shared" si="119"/>
        <v/>
      </c>
      <c r="PA51" s="43" t="str">
        <f t="shared" si="120"/>
        <v/>
      </c>
      <c r="PB51" s="43" t="str">
        <f t="shared" si="121"/>
        <v/>
      </c>
      <c r="PC51" s="43" t="str">
        <f t="shared" si="122"/>
        <v/>
      </c>
      <c r="PD51" s="43" t="str">
        <f t="shared" si="123"/>
        <v/>
      </c>
      <c r="PE51" s="43" t="str">
        <f t="shared" si="124"/>
        <v/>
      </c>
      <c r="PF51" s="43" t="str">
        <f t="shared" si="125"/>
        <v/>
      </c>
      <c r="PG51" s="43" t="str">
        <f t="shared" si="126"/>
        <v/>
      </c>
      <c r="PH51" s="43" t="str">
        <f t="shared" si="127"/>
        <v/>
      </c>
      <c r="PI51" s="43">
        <f t="shared" si="128"/>
        <v>34</v>
      </c>
      <c r="PJ51" s="43" t="str">
        <f t="shared" si="129"/>
        <v/>
      </c>
      <c r="PK51" s="43" t="str">
        <f t="shared" si="130"/>
        <v/>
      </c>
      <c r="PL51" s="43" t="str">
        <f t="shared" si="131"/>
        <v/>
      </c>
      <c r="PM51" s="43" t="str">
        <f t="shared" si="132"/>
        <v/>
      </c>
      <c r="PN51" s="43" t="str">
        <f t="shared" si="133"/>
        <v/>
      </c>
      <c r="PO51" s="43" t="str">
        <f t="shared" si="134"/>
        <v/>
      </c>
      <c r="PP51" s="43" t="str">
        <f t="shared" si="135"/>
        <v/>
      </c>
      <c r="PQ51" s="43" t="str">
        <f t="shared" si="136"/>
        <v/>
      </c>
      <c r="PR51" s="43" t="str">
        <f t="shared" si="137"/>
        <v/>
      </c>
      <c r="PS51" s="43" t="str">
        <f t="shared" si="138"/>
        <v/>
      </c>
      <c r="PT51" s="43" t="str">
        <f t="shared" si="139"/>
        <v/>
      </c>
      <c r="PU51" s="43" t="str">
        <f t="shared" si="140"/>
        <v/>
      </c>
      <c r="PV51" s="43" t="str">
        <f t="shared" si="141"/>
        <v/>
      </c>
      <c r="PW51" s="43" t="str">
        <f t="shared" si="142"/>
        <v/>
      </c>
      <c r="PX51" s="43" t="str">
        <f t="shared" si="143"/>
        <v/>
      </c>
      <c r="PY51" s="43" t="str">
        <f t="shared" si="144"/>
        <v/>
      </c>
      <c r="PZ51" s="43" t="str">
        <f t="shared" si="145"/>
        <v/>
      </c>
      <c r="QA51" s="43" t="str">
        <f t="shared" si="146"/>
        <v/>
      </c>
      <c r="QB51" s="43" t="str">
        <f t="shared" si="147"/>
        <v/>
      </c>
      <c r="QC51" s="43" t="str">
        <f t="shared" si="148"/>
        <v/>
      </c>
      <c r="QD51" s="43" t="str">
        <f t="shared" si="149"/>
        <v/>
      </c>
      <c r="QE51" s="43" t="str">
        <f t="shared" si="150"/>
        <v/>
      </c>
      <c r="QF51" s="43" t="str">
        <f t="shared" si="151"/>
        <v/>
      </c>
      <c r="QG51" s="43" t="str">
        <f t="shared" si="152"/>
        <v/>
      </c>
      <c r="QH51" s="43" t="str">
        <f t="shared" si="153"/>
        <v/>
      </c>
      <c r="QI51" s="43" t="str">
        <f t="shared" si="154"/>
        <v>SOBREPESO</v>
      </c>
      <c r="QJ51" s="43" t="str">
        <f t="shared" si="155"/>
        <v/>
      </c>
      <c r="QK51" s="43" t="str">
        <f t="shared" si="156"/>
        <v/>
      </c>
      <c r="QL51" s="43" t="str">
        <f t="shared" si="157"/>
        <v/>
      </c>
      <c r="QM51" s="43" t="str">
        <f t="shared" si="158"/>
        <v/>
      </c>
      <c r="QN51" s="43" t="str">
        <f t="shared" si="159"/>
        <v/>
      </c>
      <c r="QO51" s="43" t="str">
        <f t="shared" si="160"/>
        <v/>
      </c>
      <c r="QP51" s="43" t="str">
        <f t="shared" si="161"/>
        <v/>
      </c>
      <c r="QQ51" s="43" t="str">
        <f t="shared" si="162"/>
        <v/>
      </c>
      <c r="QR51" s="43">
        <f t="shared" si="192"/>
        <v>34</v>
      </c>
      <c r="QS51" s="43"/>
      <c r="QT51" s="21" t="str">
        <f t="shared" si="163"/>
        <v/>
      </c>
      <c r="QU51" s="21" t="str">
        <f t="shared" si="164"/>
        <v/>
      </c>
      <c r="QV51" s="21" t="str">
        <f t="shared" si="165"/>
        <v/>
      </c>
      <c r="QW51" s="21" t="str">
        <f t="shared" si="166"/>
        <v/>
      </c>
      <c r="QX51" s="21" t="str">
        <f t="shared" si="167"/>
        <v/>
      </c>
      <c r="QY51" s="21" t="str">
        <f t="shared" si="168"/>
        <v/>
      </c>
      <c r="QZ51" s="21" t="str">
        <f t="shared" si="169"/>
        <v/>
      </c>
      <c r="RA51" s="21" t="str">
        <f t="shared" si="170"/>
        <v/>
      </c>
      <c r="RB51" s="21" t="str">
        <f t="shared" si="171"/>
        <v/>
      </c>
      <c r="RC51" s="21" t="str">
        <f t="shared" si="172"/>
        <v/>
      </c>
      <c r="RD51" s="21" t="str">
        <f t="shared" si="173"/>
        <v/>
      </c>
      <c r="RE51" s="21" t="str">
        <f t="shared" si="174"/>
        <v/>
      </c>
      <c r="RF51" s="21" t="str">
        <f t="shared" si="175"/>
        <v/>
      </c>
      <c r="RG51" s="21" t="str">
        <f t="shared" si="176"/>
        <v/>
      </c>
      <c r="RH51" s="21" t="str">
        <f t="shared" si="177"/>
        <v/>
      </c>
      <c r="RI51" s="21" t="str">
        <f t="shared" si="178"/>
        <v/>
      </c>
      <c r="RJ51" s="21" t="str">
        <f t="shared" si="179"/>
        <v/>
      </c>
      <c r="RK51" s="21" t="str">
        <f t="shared" si="180"/>
        <v/>
      </c>
      <c r="RL51" s="21" t="str">
        <f t="shared" si="181"/>
        <v/>
      </c>
      <c r="RM51" s="21" t="str">
        <f t="shared" si="182"/>
        <v/>
      </c>
      <c r="RN51" s="21" t="str">
        <f t="shared" si="183"/>
        <v/>
      </c>
      <c r="RO51" s="21" t="str">
        <f t="shared" si="184"/>
        <v>ADECUADO PARA EDAD GESTACIONAL</v>
      </c>
      <c r="RP51" s="21" t="str">
        <f t="shared" si="185"/>
        <v/>
      </c>
      <c r="RQ51" s="21" t="str">
        <f t="shared" si="186"/>
        <v/>
      </c>
      <c r="RR51" s="21" t="str">
        <f t="shared" si="187"/>
        <v/>
      </c>
      <c r="RS51" s="21" t="str">
        <f t="shared" si="188"/>
        <v/>
      </c>
      <c r="RT51" s="21" t="str">
        <f t="shared" si="189"/>
        <v/>
      </c>
      <c r="RU51" s="21" t="str">
        <f t="shared" si="190"/>
        <v/>
      </c>
      <c r="RV51" s="21">
        <f t="shared" si="191"/>
        <v>34.857142857142854</v>
      </c>
      <c r="RW51" s="284">
        <f>IF(OR(Tabla1[[#This Row],[FUM FORMULA CONFIABLE]]="",Tabla1[[#This Row],[FUM FORMULA CONFIABLE]]="SD"),"",IF(Tabla1[[#This Row],[FUM FORMULA CONFIABLE]]="CORREGIDA",Tabla1[[#This Row],[FUM X ECO 1]],Tabla1[[#This Row],[FUM x AMENORREA]]))</f>
        <v>44807</v>
      </c>
      <c r="RX51" s="21">
        <f>IF(AND(Tabla1[[#This Row],[FUM X ECO 1]]="",Tabla1[[#This Row],[FUM x AMENORREA]]=""),"",IF(AND(Tabla1[[#This Row],[FUM X ECO 1]]="",Tabla1[[#This Row],[FUM x AMENORREA]]&lt;&gt;""),"X",SUM(Tabla1[[#This Row],[FUM X ECO 1]]-Tabla1[[#This Row],[FUM x AMENORREA]])))</f>
        <v>0</v>
      </c>
      <c r="RY51" s="21">
        <f t="shared" si="193"/>
        <v>0</v>
      </c>
    </row>
    <row r="52" spans="1:493" ht="45" customHeight="1" x14ac:dyDescent="0.25">
      <c r="A52" s="109"/>
      <c r="B52" s="43" t="s">
        <v>1121</v>
      </c>
      <c r="C52" s="43" t="s">
        <v>845</v>
      </c>
      <c r="D52" s="124" t="s">
        <v>846</v>
      </c>
      <c r="E52" s="43" t="s">
        <v>1140</v>
      </c>
      <c r="F52" s="43" t="s">
        <v>1141</v>
      </c>
      <c r="G52" s="43" t="s">
        <v>1142</v>
      </c>
      <c r="H52" s="43"/>
      <c r="I52" s="109" t="s">
        <v>851</v>
      </c>
      <c r="J52" s="110">
        <v>1002846304</v>
      </c>
      <c r="K52" s="43" t="s">
        <v>852</v>
      </c>
      <c r="L52" s="175" t="s">
        <v>853</v>
      </c>
      <c r="M52" s="22">
        <v>35143</v>
      </c>
      <c r="N52" s="213">
        <f t="shared" ca="1" si="0"/>
        <v>27.641095890410959</v>
      </c>
      <c r="O52" s="22">
        <v>44890</v>
      </c>
      <c r="P52" s="214" t="str">
        <f t="shared" si="194"/>
        <v>SI</v>
      </c>
      <c r="Q52" s="26" t="s">
        <v>855</v>
      </c>
      <c r="R52" s="22">
        <v>44890</v>
      </c>
      <c r="S52" s="21" t="s">
        <v>856</v>
      </c>
      <c r="T52" s="24" t="s">
        <v>690</v>
      </c>
      <c r="U52" s="21" t="s">
        <v>857</v>
      </c>
      <c r="V52" s="21" t="s">
        <v>858</v>
      </c>
      <c r="W52" s="21" t="s">
        <v>920</v>
      </c>
      <c r="X52" s="21" t="s">
        <v>920</v>
      </c>
      <c r="Y52" s="21" t="s">
        <v>859</v>
      </c>
      <c r="Z52" s="21">
        <v>3117933827</v>
      </c>
      <c r="AA52" s="21" t="s">
        <v>860</v>
      </c>
      <c r="AB52" s="27" t="s">
        <v>861</v>
      </c>
      <c r="AC52" s="26" t="s">
        <v>862</v>
      </c>
      <c r="AD52" s="38" t="s">
        <v>1130</v>
      </c>
      <c r="AE52" s="26" t="s">
        <v>1131</v>
      </c>
      <c r="AF52" s="26" t="s">
        <v>854</v>
      </c>
      <c r="AG52" s="23" t="s">
        <v>864</v>
      </c>
      <c r="AH52" s="23" t="s">
        <v>864</v>
      </c>
      <c r="AI52" s="24" t="s">
        <v>863</v>
      </c>
      <c r="AJ52" s="23" t="s">
        <v>864</v>
      </c>
      <c r="AK52" s="220" t="str">
        <f>IF(AND(AD52="",AE52="",AF52="",AG52="",AH52="",AI52="",AJ52=""),"",IF(OR(Tabla1[[#This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EVALUACIÓN",IF(AND(O52="",R52=""),"",IF(AND(OR(O52&gt;0,R52&gt;0),NG52&gt;=0,NG52&lt;2),"SIN RIESGO",IF(AND(OR(O52&gt;0,R52&gt;0),NG52&gt;=2),"CON RIESGO","ASD")))))</f>
        <v>SIN RIESGO</v>
      </c>
      <c r="AL52" s="23" t="s">
        <v>864</v>
      </c>
      <c r="AM52" s="26" t="s">
        <v>864</v>
      </c>
      <c r="AN52" s="26" t="s">
        <v>864</v>
      </c>
      <c r="AO52" s="26" t="s">
        <v>864</v>
      </c>
      <c r="AP52" s="26" t="s">
        <v>864</v>
      </c>
      <c r="AQ52" s="26" t="s">
        <v>864</v>
      </c>
      <c r="AR52" s="26" t="s">
        <v>864</v>
      </c>
      <c r="AS52" s="21">
        <v>1</v>
      </c>
      <c r="AT52" s="21">
        <v>1</v>
      </c>
      <c r="AU52" s="21">
        <v>0</v>
      </c>
      <c r="AV52" s="26" t="s">
        <v>864</v>
      </c>
      <c r="AW52" s="21">
        <v>0</v>
      </c>
      <c r="AX52" s="26" t="s">
        <v>864</v>
      </c>
      <c r="AY52" s="26" t="s">
        <v>864</v>
      </c>
      <c r="AZ52" s="26" t="s">
        <v>864</v>
      </c>
      <c r="BA52" s="26" t="s">
        <v>864</v>
      </c>
      <c r="BB52" s="26" t="s">
        <v>864</v>
      </c>
      <c r="BC52" s="26" t="s">
        <v>864</v>
      </c>
      <c r="BD52" s="26" t="s">
        <v>864</v>
      </c>
      <c r="BE52" s="26" t="s">
        <v>864</v>
      </c>
      <c r="BF52" s="26" t="s">
        <v>864</v>
      </c>
      <c r="BG52" s="26" t="s">
        <v>864</v>
      </c>
      <c r="BH52" s="26" t="s">
        <v>864</v>
      </c>
      <c r="BI52" s="26"/>
      <c r="BJ52" s="26"/>
      <c r="BK52" s="26"/>
      <c r="BL52" s="26" t="s">
        <v>864</v>
      </c>
      <c r="BM52" s="26"/>
      <c r="BN52" s="22"/>
      <c r="BO52" s="22">
        <v>44744</v>
      </c>
      <c r="BP52" s="21" t="s">
        <v>854</v>
      </c>
      <c r="BQ52" s="222">
        <f t="shared" si="2"/>
        <v>0</v>
      </c>
      <c r="BR52" s="223">
        <f t="shared" si="3"/>
        <v>44744</v>
      </c>
      <c r="BS52" s="224">
        <f t="shared" si="4"/>
        <v>20.857142857142858</v>
      </c>
      <c r="BT52" s="216" t="str">
        <f t="shared" si="5"/>
        <v>II TRIM</v>
      </c>
      <c r="BU52" s="214" t="str">
        <f t="shared" ca="1" si="6"/>
        <v/>
      </c>
      <c r="BV52" s="25"/>
      <c r="BW52" s="22">
        <v>44898</v>
      </c>
      <c r="BX52" s="28">
        <v>22</v>
      </c>
      <c r="BY52" s="28"/>
      <c r="BZ52" s="22">
        <v>44995</v>
      </c>
      <c r="CA52" s="21">
        <v>36</v>
      </c>
      <c r="CB52" s="26" t="s">
        <v>864</v>
      </c>
      <c r="CC52" s="26" t="s">
        <v>864</v>
      </c>
      <c r="CD52" s="26" t="s">
        <v>878</v>
      </c>
      <c r="CE52" s="26" t="s">
        <v>864</v>
      </c>
      <c r="CF52" s="22" t="s">
        <v>1517</v>
      </c>
      <c r="CG52" s="21">
        <v>1.53</v>
      </c>
      <c r="CH52" s="21">
        <v>75</v>
      </c>
      <c r="CI52" s="214">
        <f t="shared" si="7"/>
        <v>32.038959374599514</v>
      </c>
      <c r="CJ52" s="225" t="e">
        <f>IF(AND(CI52&lt;10,CH52="SD"),"SIN DATO PESO PREGESTACION O I TRIM",IF(AND(OR(R52&gt;0,O52&gt;0),CI52="X"),"INGRESAR DATO DE PESO",IF(CI52="SD","INGRESAR DATO DE TALLA Y PESO",IF(AND(OR(Tabla1[[#This Row],[MOMENTO EN QUE SE REALIZA EL PESO AL INGRESO A CPN]]="PREGESTACIÓN",NZ52="Menor"),CI52&lt;18.5),"BAJO PESO",IF(AND(OR(Tabla1[[#This Row],[MOMENTO EN QUE SE REALIZA EL PESO AL INGRESO A CPN]]="PREGESTACIÓN",NZ52="Menor"),CI52&lt;25),"NORMAL",IF(AND(OR(Tabla1[[#This Row],[MOMENTO EN QUE SE REALIZA EL PESO AL INGRESO A CPN]]="PREGESTACIÓN",NZ52="Menor"),CI52&lt;30),"SOBREPESO",IF(AND(OR(Tabla1[[#This Row],[MOMENTO EN QUE SE REALIZA EL PESO AL INGRESO A CPN]]="PREGESTACIÓN",NZ52="Menor"),CI52&gt;=30,CI52&lt;50),"OBESIDAD",IF(AND(BS52&gt;0,Tabla1[[#This Row],[MOMENTO EN QUE SE REALIZA EL PESO AL INGRESO A CPN]]="GESTACIÓN"),HLOOKUP(NZ52,$OA$2:PH52,NY52),""))))))))</f>
        <v>#REF!</v>
      </c>
      <c r="CK52" s="212">
        <f t="shared" si="8"/>
        <v>44992</v>
      </c>
      <c r="CL52" s="21"/>
      <c r="CM52" s="214">
        <f t="shared" si="9"/>
        <v>0</v>
      </c>
      <c r="CN52" s="216">
        <f t="shared" si="10"/>
        <v>35</v>
      </c>
      <c r="CO52" s="216" t="e">
        <f>IF(PI52="","",IF(PI52&gt;0,HLOOKUP(PI52,$PJ$2:QQ52,NY52),""))</f>
        <v>#REF!</v>
      </c>
      <c r="CP52" s="21"/>
      <c r="CQ52" s="216" t="e">
        <f>IF(QR52="Menor","NO APLICA-MENOR 13 SEM",IF(AND(CC52="SI",CN52&gt;23),"NO APLICA- GEMELAR",IF(QR52="","",IF(QR52&gt;0,HLOOKUP(QR52,$QS$2:RU52,NY52),""))))</f>
        <v>#REF!</v>
      </c>
      <c r="CR52" s="21">
        <v>100</v>
      </c>
      <c r="CS52" s="21">
        <v>70</v>
      </c>
      <c r="CT52" s="217" t="str">
        <f>IF(R52="","",IF(AND(BS52&gt;1,BS52&lt;12,Tabla1[[#This Row],[T.A. SISTOLICA - ANTES DE SEMANA 12]]="",Tabla1[[#This Row],[T.A. DIASTOLICA - ANTES DE SEMANA 12]]=""),"REGISTRE DATO TA ANTES SEMANA 12",IF(AND(BS52&gt;11,BS52&lt;43,Tabla1[[#This Row],[T.A. SISTOLICA - ANTES DE SEMANA 12]]="",Tabla1[[#This Row],[T.A. DIASTOLICA - ANTES DE SEMANA 12]]=""),"NO APLICA REGISTRO TA-INGRESO TARDIO",IF(AND(OR(O52&gt;0,R52&gt;0),OR(CR52&gt;=140,CS52&gt;=90)),"DEFINIR ESTADIO HTA",IF(AND(OR(O52&gt;0,R52&gt;0),AND(CR52&gt;120,CR52&lt;=139)),"PRE HTA SEGUIMIENTO",IF(AND(OR(O52&gt;0,R52&gt;0),AND(CS52&gt;80,CS52&lt;=89)),"PRE HTA SEGUIMIENTO",IF(AND(OR(O52&gt;0,R52&gt;0),AND(CR52&gt;=80,CR52&lt;=120)),"APARENTEMENTE NORMAL",IF(AND(OR(O52&gt;0,R52&gt;0),AND(CS52&gt;=50,CS52&lt;=80)),"APARENTEMENTE NORMAL",IF(AND(OR(O52&gt;0,R52&gt;0),AND(CR52&gt;1,CR52&lt;=70),AND(CS52&gt;1,CS52&lt;=40)),"HIPOTENSIÓN","")))))))))</f>
        <v>APARENTEMENTE NORMAL</v>
      </c>
      <c r="CU52" s="21"/>
      <c r="CV52" s="21"/>
      <c r="CW52" s="217" t="str">
        <f ca="1">IF(R52="","",IF(AND(CN52&gt;19,CN52&lt;27,Tabla1[[#This Row],[T.A. SISTOLICA (Entre semana 20 y 26)]]="",Tabla1[[#This Row],[T.A. DIATOLICA (Entre semana 20 y 26)]]=""),"ACUDE A CONTROL SEM 20 A 26 REGISTRE TA AHORA",IF(AND(BS52&gt;1,BS52&lt;27,BU52&gt;19,Tabla1[[#This Row],[T.A. SISTOLICA (Entre semana 20 y 26)]]="",Tabla1[[#This Row],[T.A. DIATOLICA (Entre semana 20 y 26)]]=""),"COMPLETE REGISTRO TA CONTROL SEM 20 A26 ",IF(AND(BS52&gt;26,BS52&lt;43,Tabla1[[#This Row],[T.A. SISTOLICA (Entre semana 20 y 26)]]="",Tabla1[[#This Row],[T.A. DIATOLICA (Entre semana 20 y 26)]]=""),"NO APLICA REGISTRO TA-INGRESO TARDIO",IF(AND(OR(O52&gt;0,R52&gt;0),OR(CU52&gt;=140,CV52&gt;=90)),"ALTO RIESGO PREECLAMPSIA,DEFINIR ESTADIO HTA",IF(AND(OR(O52&gt;0,R52&gt;0),AND(CU52&gt;120,CU52&lt;=139)),"PRE HTA SEGUIMIENTO,RIESGO HIPERTENSION INDUCIDA POR EL EMBARAZO",IF(AND(OR(O52&gt;0,R52&gt;0),AND(CV52&gt;80,CV52&lt;=89)),"PRE HTA SEGUIMIENTO, RIESGO HIPERTENSION INDUCIDA POR EL EMBARAZO",IF(AND(OR(O52&lt;&gt;"",R52&lt;&gt;""),CS52&lt;&gt;"",CV52&lt;&gt;"",CS52&lt;=CV52),"VIGILAR CIFRAS PRESION ARTERIAL",IF(AND(OR(O52&gt;0,R52&gt;0),AND(CU52&gt;120,CU52&lt;=139)),"PRE HTA SEGUIMIENTO",IF(AND(OR(O52&gt;0,R52&gt;0),AND(CU52&gt;1,CU52&lt;=70),AND(CV52&gt;1,CV52&lt;=40)),"HIPOTENSIÓN",IF(AND(OR(O52&lt;&gt;"",R52&lt;&gt;""),CS52&lt;&gt;"",CV52&lt;&gt;"",CS52&gt;CV52),"APARENTEMENTE NORMAL",IF(AND(OR(O52&gt;0,R52&gt;0),AND(CU52&gt;=80,CU52&lt;=120)),"APARENTEMENTE NORMAL",IF(AND(OR(O52&gt;0,R52&gt;0),AND(CV52&gt;=50,CV52&lt;=80)),"APARENTEMENTE NORMAL","")))))))))))))</f>
        <v xml:space="preserve">COMPLETE REGISTRO TA CONTROL SEM 20 A26 </v>
      </c>
      <c r="CX52" s="21">
        <v>110</v>
      </c>
      <c r="CY52" s="21">
        <v>70</v>
      </c>
      <c r="CZ52" s="216" t="str">
        <f t="shared" si="195"/>
        <v>APARENTEMENTE NORMAL</v>
      </c>
      <c r="DA52" s="21"/>
      <c r="DB52" s="21"/>
      <c r="DC52" s="217" t="str">
        <f t="shared" si="12"/>
        <v>REGISTRE DATO PRESIÓN ARTERIAL MENSUAL</v>
      </c>
      <c r="DD52" s="22">
        <v>44890</v>
      </c>
      <c r="DE52" s="22">
        <v>44890</v>
      </c>
      <c r="DF52" s="22">
        <v>44951</v>
      </c>
      <c r="DG52" s="22">
        <v>44992</v>
      </c>
      <c r="DH52" s="22"/>
      <c r="DI52" s="22"/>
      <c r="DJ52" s="22"/>
      <c r="DK52" s="22"/>
      <c r="DL52" s="22"/>
      <c r="DM52" s="22"/>
      <c r="DN52" s="22"/>
      <c r="DO52" s="22"/>
      <c r="DP52" s="22"/>
      <c r="DQ52" s="22"/>
      <c r="DR52" s="28">
        <v>1</v>
      </c>
      <c r="DS52" s="22"/>
      <c r="DT52" s="22"/>
      <c r="DU52" s="216" t="str">
        <f t="shared" ca="1" si="196"/>
        <v>SALE SIN PLAN DE PARTO</v>
      </c>
      <c r="DV52" s="226" t="str">
        <f t="shared" si="197"/>
        <v>SALIO PROGRAMA</v>
      </c>
      <c r="DW52"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52" s="216" t="str">
        <f t="shared" ca="1" si="15"/>
        <v/>
      </c>
      <c r="DY52" s="212">
        <f>IF(R52="","",IF(R52&gt;0,MAX(Tabla1[[#This Row],[FECHA C2]:[FECHA C13]],Tabla1[[#This Row],[FECHA CONSULTA PRIMERA VEZ PROGRAMA CPN ]])))</f>
        <v>44992</v>
      </c>
      <c r="DZ52" s="216">
        <f t="shared" si="16"/>
        <v>35</v>
      </c>
      <c r="EA52" s="222">
        <f>IF(R52&gt;0,SUM(COUNTA(DF52:DQ52)+COUNTA(Tabla1[[#This Row],[FECHA CONSULTA PRIMERA VEZ PROGRAMA CPN ]])),"")</f>
        <v>3</v>
      </c>
      <c r="EB52" s="222" t="str">
        <f t="shared" si="17"/>
        <v>NO</v>
      </c>
      <c r="EC52" s="214">
        <f t="shared" si="18"/>
        <v>6</v>
      </c>
      <c r="ED52" s="227">
        <f t="shared" si="19"/>
        <v>0.5</v>
      </c>
      <c r="EE52" s="22">
        <v>44890</v>
      </c>
      <c r="EF52" s="22">
        <v>44890</v>
      </c>
      <c r="EG52" s="22">
        <v>44890</v>
      </c>
      <c r="EH52" s="22"/>
      <c r="EI52" s="22">
        <v>44890</v>
      </c>
      <c r="EJ52" s="22"/>
      <c r="EK52" s="22"/>
      <c r="EL52" s="21"/>
      <c r="EM52" s="21">
        <v>13.7</v>
      </c>
      <c r="EN52" s="22">
        <v>44890</v>
      </c>
      <c r="EO52" s="222">
        <f t="shared" si="20"/>
        <v>20.857142857142858</v>
      </c>
      <c r="EP52" s="214" t="str">
        <f t="shared" si="21"/>
        <v>NORMAL- SUMINISTRAR SULFATO FERROSO</v>
      </c>
      <c r="EQ52" s="216" t="str">
        <f t="shared" si="22"/>
        <v>II TRIM</v>
      </c>
      <c r="ER52" s="24"/>
      <c r="ES52" s="22"/>
      <c r="ET52" s="29" t="str">
        <f t="shared" ca="1" si="198"/>
        <v>SALE SIN TAMIZAJE HEMOGLOBINA SEM 28</v>
      </c>
      <c r="EU52" s="25" t="str">
        <f t="shared" si="24"/>
        <v/>
      </c>
      <c r="EV52" s="24" t="s">
        <v>866</v>
      </c>
      <c r="EW52" s="24">
        <v>44890</v>
      </c>
      <c r="EX52" s="22"/>
      <c r="EY52" s="29">
        <f t="shared" si="199"/>
        <v>20.857142857142858</v>
      </c>
      <c r="EZ52" s="25" t="str">
        <f t="shared" ca="1" si="200"/>
        <v/>
      </c>
      <c r="FA52" s="21">
        <v>91</v>
      </c>
      <c r="FB52" s="22">
        <v>44890</v>
      </c>
      <c r="FC52" s="29">
        <f t="shared" si="27"/>
        <v>20.857142857142858</v>
      </c>
      <c r="FD52" s="29">
        <v>82</v>
      </c>
      <c r="FE52" s="29">
        <v>162</v>
      </c>
      <c r="FF52" s="29">
        <v>178</v>
      </c>
      <c r="FG52" s="21" t="str">
        <f t="shared" ca="1" si="28"/>
        <v>DIABETES, REMITIR</v>
      </c>
      <c r="FH52" s="31">
        <v>44951</v>
      </c>
      <c r="FI52" s="29">
        <f t="shared" si="29"/>
        <v>29.571428571428573</v>
      </c>
      <c r="FJ52" s="22"/>
      <c r="FK52" s="22"/>
      <c r="FL52" s="29" t="str">
        <f t="shared" ca="1" si="30"/>
        <v>NO APLICA-INGRESO TARDIO</v>
      </c>
      <c r="FM52" s="22" t="s">
        <v>867</v>
      </c>
      <c r="FN52" s="32">
        <v>44890</v>
      </c>
      <c r="FO52" s="29">
        <f t="shared" ca="1" si="201"/>
        <v>20.857142857142858</v>
      </c>
      <c r="FP52" s="22" t="s">
        <v>867</v>
      </c>
      <c r="FQ52" s="32">
        <v>44951</v>
      </c>
      <c r="FR52" s="29">
        <f t="shared" ca="1" si="202"/>
        <v>29.571428571428573</v>
      </c>
      <c r="FS52" s="22"/>
      <c r="FT52" s="32"/>
      <c r="FU52" s="29" t="str">
        <f>IF(AND(FJ52="",FM52="",FP52="",FS52=""),"",IF(OR(OR(Tabla1[[#This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52" s="28"/>
      <c r="FW52" s="22"/>
      <c r="FX52" s="29" t="str">
        <f t="shared" si="33"/>
        <v>TOMAR EXAMEN</v>
      </c>
      <c r="FY52" s="22">
        <v>44920</v>
      </c>
      <c r="FZ52" s="22">
        <v>44920</v>
      </c>
      <c r="GA52" s="29" t="str">
        <f t="shared" si="203"/>
        <v>REGISTRAR EN II TRIMESTRE</v>
      </c>
      <c r="GB52" s="22" t="s">
        <v>868</v>
      </c>
      <c r="GC52" s="22">
        <v>44920</v>
      </c>
      <c r="GD52" s="29">
        <f t="shared" ca="1" si="204"/>
        <v>25.142857142857142</v>
      </c>
      <c r="GE52" s="22"/>
      <c r="GF52" s="22"/>
      <c r="GG52" s="29" t="str">
        <f t="shared" ca="1" si="205"/>
        <v>PIERDE TOMA DE TAMIZAJE</v>
      </c>
      <c r="GH52" s="22"/>
      <c r="GI52" s="29"/>
      <c r="GJ52" s="22"/>
      <c r="GK52" s="22"/>
      <c r="GL52" s="22"/>
      <c r="GM52" s="22"/>
      <c r="GN52" s="28" t="s">
        <v>869</v>
      </c>
      <c r="GO52" s="22">
        <v>44920</v>
      </c>
      <c r="GP52" s="29">
        <f t="shared" si="37"/>
        <v>25.142857142857142</v>
      </c>
      <c r="GQ52" s="28" t="s">
        <v>880</v>
      </c>
      <c r="GR52" s="28" t="s">
        <v>869</v>
      </c>
      <c r="GS52" s="22" t="str">
        <f t="shared" si="206"/>
        <v>SE EXCLUYE INFECCION</v>
      </c>
      <c r="GT52" s="22">
        <v>44920</v>
      </c>
      <c r="GU52" s="29">
        <f t="shared" si="39"/>
        <v>25.142857142857142</v>
      </c>
      <c r="GV52" s="21" t="str">
        <f t="shared" si="40"/>
        <v>II TRIM</v>
      </c>
      <c r="GW52" s="28" t="s">
        <v>869</v>
      </c>
      <c r="GX52" s="30"/>
      <c r="GY52" s="21"/>
      <c r="GZ52" s="21"/>
      <c r="HA52" s="21"/>
      <c r="HB52" s="21"/>
      <c r="HC52" s="21"/>
      <c r="HD52" s="21"/>
      <c r="HE52" s="21"/>
      <c r="HF52" s="22"/>
      <c r="HG52" s="22" t="str">
        <f>IF(OR(O52&gt;0,R52&gt;0),CONCATENATE(IF(Tabla1[[#This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52" s="22" t="e">
        <f t="shared" si="41"/>
        <v>#REF!</v>
      </c>
      <c r="HI52" s="22" t="e">
        <f t="shared" ca="1" si="42"/>
        <v>#REF!</v>
      </c>
      <c r="HJ52" s="21" t="str">
        <f t="shared" ca="1" si="43"/>
        <v>*****************DIABETES GESTACIONAL**********************</v>
      </c>
      <c r="HK52" s="21" t="str">
        <f t="shared" si="44"/>
        <v>SIN ANTECEDENTES DE RIESGO</v>
      </c>
      <c r="HL52" s="24" t="str">
        <f t="shared" si="45"/>
        <v>REGISTRE DATO PRESIÓN ARTERIAL MENSUAL</v>
      </c>
      <c r="HM52" s="21" t="str">
        <f t="shared" ca="1" si="46"/>
        <v/>
      </c>
      <c r="HN52" s="30" t="str">
        <f t="shared" si="207"/>
        <v>SALIO PROGRAMA</v>
      </c>
      <c r="HO52" s="21"/>
      <c r="HP52" s="21"/>
      <c r="HQ52" s="21">
        <v>44890</v>
      </c>
      <c r="HR52" s="21" t="str">
        <f>IF(R52="","",IF(Tabla1[[#This Row],[ALARMA FACTORES DE RIESGO COMPLICACIONES HIPERTENSIVAS3]]="SIN ANTECEDENTES DE RIESGO","No Aplica para suministro de ASA",IF(AND(Tabla1[[#This Row],[FECHA INICIO DE SUMINISTRO DE ASA]]&gt;0,RV52&lt;12),"Inicia ASA ANTES de Sem 12",IF(AND(RV52&gt;11,RV52&lt;17,OR(HK52="RIESGO ALTO DE COMPLICACIONES HIPERTENSIVAS VER MANEJO GUIA SUMINISTRO ASA Y CALCIO",HK52="RIESGO MODERADO (2 O MAS CRITERIOS) VER MANEJO GUIA SUMINISTRO ASA Y CALCIO")),"Inicio oportuno de ASA",IF(AND(RV52&gt;12,OR(HK52="RIESGO ALTO DE COMPLICACIONES HIPERTENSIVAS VER MANEJO GUIA SUMINISTRO ASA Y CALCIO",HK52="RIESGO MODERADO (2 O MAS CRITERIOS) VER MANEJO GUIA SUMINISTRO ASA Y CALCIO")),"Inicio no oportuno mayor a 16 semanas",IF(AND(BU52&lt;12,OR(HK52="RIESGO ALTO DE COMPLICACIONES HIPERTENSIVAS VER MANEJO GUIA SUMINISTRO ASA Y CALCIO",HK52="RIESGO MODERADO (2 O MAS CRITERIOS) VER MANEJO GUIA SUMINISTRO ASA Y CALCIO")),"Pendiente Inicio de ASA a la semana 12",IF(AND(BU52&gt;11,BU52&lt;17,OR(HK52="RIESGO ALTO DE COMPLICACIONES HIPERTENSIVAS VER MANEJO GUIA SUMINISTRO ASA Y CALCIO",HK52="RIESGO MODERADO (2 O MAS CRITERIOS) VER MANEJO GUIA SUMINISTRO ASA Y CALCIO")),"Iniciar de inmediato ASA",IF(AND(BU52&gt;16,OR(HK52="RIESGO ALTO DE COMPLICACIONES HIPERTENSIVAS VER MANEJO GUIA SUMINISTRO ASA Y CALCIO",HK52="RIESGO MODERADO (2 O MAS CRITERIOS) VER MANEJO GUIA SUMINISTRO ASA Y CALCIO")),"Pierde Oportunidad, Inicio tardío de ASA","XXXXX"))))))))</f>
        <v>No Aplica para suministro de ASA</v>
      </c>
      <c r="HS52" s="22">
        <v>44890</v>
      </c>
      <c r="HT52" s="22" t="s">
        <v>870</v>
      </c>
      <c r="HU52" s="22"/>
      <c r="HV52" s="22"/>
      <c r="HW52" s="22">
        <v>44890</v>
      </c>
      <c r="HX52" s="22" t="s">
        <v>870</v>
      </c>
      <c r="HY52" s="22">
        <v>44920</v>
      </c>
      <c r="HZ52" s="28">
        <f t="shared" si="48"/>
        <v>25.142857142857142</v>
      </c>
      <c r="IA52" s="26" t="s">
        <v>864</v>
      </c>
      <c r="IB52" s="26"/>
      <c r="IC52" s="111">
        <v>44898</v>
      </c>
      <c r="ID52" s="22">
        <v>44975</v>
      </c>
      <c r="IE52" s="22" t="str">
        <f t="shared" ca="1" si="49"/>
        <v>VACUNA APLICADA ENTRE SEMANA 27 Y EL PARTO</v>
      </c>
      <c r="IF52" s="22"/>
      <c r="IG52" s="22">
        <f t="shared" si="50"/>
        <v>45024</v>
      </c>
      <c r="IH52" s="29">
        <f t="shared" ca="1" si="51"/>
        <v>-208</v>
      </c>
      <c r="II52" s="22" t="str">
        <f t="shared" ca="1" si="52"/>
        <v>POSIBLEMENTE NACIO</v>
      </c>
      <c r="IJ52" s="22"/>
      <c r="IK52" s="21" t="s">
        <v>898</v>
      </c>
      <c r="IL52" s="21"/>
      <c r="IM52" s="34"/>
      <c r="IN52" s="349">
        <v>45018</v>
      </c>
      <c r="IO52" s="21" t="s">
        <v>1186</v>
      </c>
      <c r="IP52" s="29">
        <f t="shared" si="208"/>
        <v>39.142857142857146</v>
      </c>
      <c r="IQ52" s="110" t="s">
        <v>1654</v>
      </c>
      <c r="IR52" s="21" t="s">
        <v>1651</v>
      </c>
      <c r="IS52" s="21" t="s">
        <v>1646</v>
      </c>
      <c r="IT52" s="21" t="s">
        <v>1642</v>
      </c>
      <c r="IU52" s="21"/>
      <c r="IV52" s="21"/>
      <c r="IW52" s="21"/>
      <c r="IX52" s="21"/>
      <c r="IY52" s="21"/>
      <c r="IZ52" s="21"/>
      <c r="JA52" s="21"/>
      <c r="JB52" s="30">
        <v>1</v>
      </c>
      <c r="JC52" s="21" t="s">
        <v>1643</v>
      </c>
      <c r="JD52" s="36">
        <v>3415</v>
      </c>
      <c r="JE52" s="21" t="str">
        <f t="shared" si="209"/>
        <v>PESO ADECUADO EDAD GESTACIONAL</v>
      </c>
      <c r="JF52" s="30"/>
      <c r="JG52" s="21"/>
      <c r="JH52" s="21"/>
      <c r="JI52" s="21" t="s">
        <v>854</v>
      </c>
      <c r="JJ52" s="30" t="s">
        <v>866</v>
      </c>
      <c r="JK52" s="22"/>
      <c r="JL52" s="22"/>
      <c r="JM52" s="21"/>
      <c r="JN52" s="36"/>
      <c r="JO52" s="21" t="str">
        <f t="shared" si="210"/>
        <v/>
      </c>
      <c r="JP52" s="22"/>
      <c r="JQ52" s="21"/>
      <c r="JR52" s="21"/>
      <c r="JS52" s="21"/>
      <c r="JT52" s="30"/>
      <c r="JU52" s="22"/>
      <c r="JV52" s="22"/>
      <c r="JW52" s="33"/>
      <c r="JX52" s="28" t="str">
        <f t="shared" si="211"/>
        <v>INASISTENTE</v>
      </c>
      <c r="JY52" s="33"/>
      <c r="JZ52" s="28" t="str">
        <f t="shared" si="212"/>
        <v>INASISTENTE</v>
      </c>
      <c r="KA52" s="21"/>
      <c r="KB52" s="21"/>
      <c r="KC52" s="21"/>
      <c r="KD52" s="37"/>
      <c r="KE52" s="28"/>
      <c r="KF52" s="28"/>
      <c r="KG52" s="28"/>
      <c r="KH52" s="39"/>
      <c r="KI52" s="39"/>
      <c r="KJ52" s="66"/>
      <c r="KK52" s="39"/>
      <c r="KL52" s="39"/>
      <c r="KM52" s="66"/>
      <c r="KN52" s="39"/>
      <c r="KO52" s="39"/>
      <c r="KP52" s="39"/>
      <c r="KQ52" s="39"/>
      <c r="KR52" s="39"/>
      <c r="KS52" s="39"/>
      <c r="KT52" s="39"/>
      <c r="KU52" s="38"/>
      <c r="KV52" s="38"/>
      <c r="KW52" s="38"/>
      <c r="KX52" s="38"/>
      <c r="KY52" s="38"/>
      <c r="KZ52" s="38"/>
      <c r="LA52" s="38"/>
      <c r="LB52" s="38"/>
      <c r="LC52" s="38"/>
      <c r="LD52" s="38"/>
      <c r="LE52" s="38"/>
      <c r="LF52" s="38"/>
      <c r="LG52" s="38"/>
      <c r="LH52" s="38"/>
      <c r="LI52" s="38"/>
      <c r="LJ52" s="38"/>
      <c r="LK52" s="38"/>
      <c r="LL52" s="38"/>
      <c r="LM52" s="38"/>
      <c r="LN52" s="38"/>
      <c r="LO52" s="38"/>
      <c r="LP52" s="38"/>
      <c r="LQ52" s="38"/>
      <c r="LR52" s="38"/>
      <c r="LS52" s="38"/>
      <c r="LT52" s="38"/>
      <c r="LU52" s="38"/>
      <c r="LV52" s="38"/>
      <c r="LW52" s="38"/>
      <c r="LX52" s="38"/>
      <c r="LY52" s="38"/>
      <c r="LZ52" s="38"/>
      <c r="MA52" s="38"/>
      <c r="MB52" s="38"/>
      <c r="MC52" s="38"/>
      <c r="MD52" s="38"/>
      <c r="ME52" s="38"/>
      <c r="MF52" s="38"/>
      <c r="MG52" s="38"/>
      <c r="MH52" s="43">
        <f t="shared" si="213"/>
        <v>0</v>
      </c>
      <c r="MI52" s="43" t="str">
        <f t="shared" si="214"/>
        <v/>
      </c>
      <c r="MJ52" s="43" t="str">
        <f t="shared" si="215"/>
        <v/>
      </c>
      <c r="MK52" s="43">
        <f t="shared" si="216"/>
        <v>0</v>
      </c>
      <c r="ML5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52" s="43">
        <f t="shared" si="217"/>
        <v>20.857142857142858</v>
      </c>
      <c r="MN52" s="43">
        <f t="shared" si="218"/>
        <v>11</v>
      </c>
      <c r="MO52" s="43">
        <f t="shared" si="219"/>
        <v>2022</v>
      </c>
      <c r="MP52" s="43" t="str">
        <f t="shared" si="220"/>
        <v>IV TRIMESTRE AÑO</v>
      </c>
      <c r="MQ52" s="43">
        <f t="shared" si="221"/>
        <v>26.297634691195796</v>
      </c>
      <c r="MR52" s="43">
        <f t="shared" si="222"/>
        <v>0</v>
      </c>
      <c r="MS52" s="43" t="str">
        <f t="shared" si="223"/>
        <v xml:space="preserve"> DE 25 A 29 AÑOS</v>
      </c>
      <c r="MT52" s="43">
        <f t="shared" si="224"/>
        <v>0</v>
      </c>
      <c r="MU52" s="43">
        <f t="shared" si="225"/>
        <v>0</v>
      </c>
      <c r="MV52" s="43">
        <f t="shared" si="226"/>
        <v>0</v>
      </c>
      <c r="MW52" s="43">
        <f t="shared" si="227"/>
        <v>0</v>
      </c>
      <c r="MX52" s="43" t="str">
        <f t="shared" si="228"/>
        <v/>
      </c>
      <c r="MY52" s="43" t="str">
        <f t="shared" ca="1" si="229"/>
        <v/>
      </c>
      <c r="MZ52" s="43" t="str">
        <f t="shared" si="230"/>
        <v/>
      </c>
      <c r="NA52" s="43">
        <f t="shared" si="231"/>
        <v>0</v>
      </c>
      <c r="NB52" s="43" t="str">
        <f t="shared" si="232"/>
        <v/>
      </c>
      <c r="NC52" s="43" t="str">
        <f t="shared" si="233"/>
        <v/>
      </c>
      <c r="ND52" s="43">
        <f t="shared" ca="1" si="234"/>
        <v>2</v>
      </c>
      <c r="NE52" s="43">
        <f>IF(OR(O52&gt;0,R52&gt;0),SUM(COUNTIF(Tabla1[[#This Row],[AÑOS AL INICIO5 CPN]],"&gt;=40"),COUNTIF(AS52,"0"),COUNTIF(AR52,"SI"),COUNTIF(CC52,"SI"),COUNTIF(BQ52,"&gt;119"),COUNTIF(CI52,"&gt;=35")),"")</f>
        <v>0</v>
      </c>
      <c r="NF52" s="43">
        <f t="shared" si="235"/>
        <v>33</v>
      </c>
      <c r="NG52" s="43">
        <f t="shared" si="236"/>
        <v>0</v>
      </c>
      <c r="NH52" s="43">
        <f t="shared" si="237"/>
        <v>154</v>
      </c>
      <c r="NI52"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CPN",P52="NO"),"Z",IF(AND(Tabla1[[#This Row],[CITA PROXIMO CONTROL]]="CITA MANUAL",Tabla1[[#This Row],[GESTANTES ACTUALES]]="ACTIVA INGRESO A CPN"),"W",IF(AND(Tabla1[[#This Row],[GESTANTES ACTUALES]]="SALIO PROGRAMA",IN52=""),"S",IF(AND(Tabla1[[#This Row],[CITA PROXIMO CONTROL]]&gt;0,IN52=""),(Tabla1[[#This Row],[CITA PROXIMO CONTROL]]-TODAY()),"SD"))))))))</f>
        <v>SD</v>
      </c>
      <c r="NJ52" s="43">
        <f>MONTH(Tabla1[[#This Row],[FECHA DE SALIDA  DEL PROGRAMA]])</f>
        <v>4</v>
      </c>
      <c r="NK52" s="43">
        <f>YEAR(Tabla1[[#This Row],[FECHA DE SALIDA  DEL PROGRAMA]])</f>
        <v>2023</v>
      </c>
      <c r="NL52" s="43" t="str">
        <f t="shared" si="238"/>
        <v>X</v>
      </c>
      <c r="NM52" s="43" t="str">
        <f t="shared" si="239"/>
        <v>NO</v>
      </c>
      <c r="NN52" s="43" t="str">
        <f ca="1">IF(AND(O52&gt;0,R52=""),"NO CPN",IF(AND(O52="",R52=""),"",IF(AND(R52&gt;0,Tabla1[[#This Row],[SEMANAS DE GESTACION ACTUALIZADAS]]&lt;=12),"NO APLICA",IF(AND(FH52&lt;&gt;"",FN52&lt;&gt;""),"SI","NO"))))</f>
        <v>SI</v>
      </c>
      <c r="NO52" s="43" t="str">
        <f ca="1">IF(AND(O52&gt;0,R52=""),"NO CPN",IF(AND(O52="",R52=""),"",IF(AND(R52&gt;0,Tabla1[[#This Row],[SEMANAS DE GESTACION ACTUALIZADAS]]&lt;=27),"NO APLICA",IF(AND(ES52&lt;&gt;"",FQ52&lt;&gt;"",GF52&lt;&gt;""),"SI","NO"))))</f>
        <v>NO</v>
      </c>
      <c r="NP52" s="204" t="str">
        <f t="shared" si="240"/>
        <v>II TRIM</v>
      </c>
      <c r="NQ52" s="21">
        <f t="shared" si="241"/>
        <v>1</v>
      </c>
      <c r="NR52" s="21">
        <f t="shared" si="242"/>
        <v>2</v>
      </c>
      <c r="NS52" s="205">
        <f t="shared" ca="1" si="243"/>
        <v>2</v>
      </c>
      <c r="NT52" s="21">
        <f t="shared" ca="1" si="244"/>
        <v>1</v>
      </c>
      <c r="NU52" s="21" t="str">
        <f t="shared" ca="1" si="245"/>
        <v>COMPLETO</v>
      </c>
      <c r="NV52" s="21" t="str">
        <f t="shared" ca="1" si="246"/>
        <v>INCOMPLETO</v>
      </c>
      <c r="NW52" s="206" t="str">
        <f>IF(AND(O52="",R52=""),"",IF(OR(AND(Tabla1[[#This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52" s="207" t="str">
        <f t="shared" ca="1" si="247"/>
        <v>VACUNADA</v>
      </c>
      <c r="NY52" s="43">
        <f>ROW(Tabla1[[#This Row],['# DE TAMIZAJES SIFILIS TOMADOS ]])</f>
        <v>52</v>
      </c>
      <c r="NZ52" s="43">
        <f t="shared" si="93"/>
        <v>20</v>
      </c>
      <c r="OA52" s="43" t="str">
        <f t="shared" si="94"/>
        <v/>
      </c>
      <c r="OB52" s="43" t="str">
        <f t="shared" si="95"/>
        <v/>
      </c>
      <c r="OC52" s="43" t="str">
        <f t="shared" si="96"/>
        <v/>
      </c>
      <c r="OD52" s="43" t="str">
        <f t="shared" si="97"/>
        <v/>
      </c>
      <c r="OE52" s="43" t="str">
        <f t="shared" si="98"/>
        <v/>
      </c>
      <c r="OF52" s="43" t="str">
        <f t="shared" si="99"/>
        <v/>
      </c>
      <c r="OG52" s="43" t="str">
        <f t="shared" si="100"/>
        <v/>
      </c>
      <c r="OH52" s="43" t="str">
        <f t="shared" si="101"/>
        <v/>
      </c>
      <c r="OI52" s="43" t="str">
        <f t="shared" si="102"/>
        <v/>
      </c>
      <c r="OJ52" s="43" t="str">
        <f t="shared" si="103"/>
        <v/>
      </c>
      <c r="OK52" s="43" t="str">
        <f t="shared" si="104"/>
        <v/>
      </c>
      <c r="OL52" s="43" t="str">
        <f t="shared" si="105"/>
        <v>OBESIDAD</v>
      </c>
      <c r="OM52" s="43" t="str">
        <f t="shared" si="106"/>
        <v/>
      </c>
      <c r="ON52" s="43" t="str">
        <f t="shared" si="107"/>
        <v/>
      </c>
      <c r="OO52" s="43" t="str">
        <f t="shared" si="108"/>
        <v/>
      </c>
      <c r="OP52" s="43" t="str">
        <f t="shared" si="109"/>
        <v/>
      </c>
      <c r="OQ52" s="43" t="str">
        <f t="shared" si="110"/>
        <v/>
      </c>
      <c r="OR52" s="43" t="str">
        <f t="shared" si="111"/>
        <v/>
      </c>
      <c r="OS52" s="43" t="str">
        <f t="shared" si="112"/>
        <v/>
      </c>
      <c r="OT52" s="43" t="str">
        <f t="shared" si="113"/>
        <v/>
      </c>
      <c r="OU52" s="43" t="str">
        <f t="shared" si="114"/>
        <v/>
      </c>
      <c r="OV52" s="110" t="str">
        <f t="shared" si="115"/>
        <v/>
      </c>
      <c r="OW52" s="43" t="str">
        <f t="shared" si="116"/>
        <v/>
      </c>
      <c r="OX52" s="43" t="str">
        <f t="shared" si="117"/>
        <v/>
      </c>
      <c r="OY52" s="43" t="str">
        <f t="shared" si="118"/>
        <v/>
      </c>
      <c r="OZ52" s="43" t="str">
        <f t="shared" si="119"/>
        <v/>
      </c>
      <c r="PA52" s="43" t="str">
        <f t="shared" si="120"/>
        <v/>
      </c>
      <c r="PB52" s="43" t="str">
        <f t="shared" si="121"/>
        <v/>
      </c>
      <c r="PC52" s="43" t="str">
        <f t="shared" si="122"/>
        <v/>
      </c>
      <c r="PD52" s="43" t="str">
        <f t="shared" si="123"/>
        <v/>
      </c>
      <c r="PE52" s="43" t="str">
        <f t="shared" si="124"/>
        <v/>
      </c>
      <c r="PF52" s="43" t="str">
        <f t="shared" si="125"/>
        <v/>
      </c>
      <c r="PG52" s="43" t="str">
        <f t="shared" si="126"/>
        <v/>
      </c>
      <c r="PH52" s="43" t="str">
        <f t="shared" si="127"/>
        <v/>
      </c>
      <c r="PI52" s="43">
        <f t="shared" si="128"/>
        <v>35</v>
      </c>
      <c r="PJ52" s="43" t="str">
        <f t="shared" si="129"/>
        <v/>
      </c>
      <c r="PK52" s="43" t="str">
        <f t="shared" si="130"/>
        <v/>
      </c>
      <c r="PL52" s="43" t="str">
        <f t="shared" si="131"/>
        <v/>
      </c>
      <c r="PM52" s="43" t="str">
        <f t="shared" si="132"/>
        <v/>
      </c>
      <c r="PN52" s="43" t="str">
        <f t="shared" si="133"/>
        <v/>
      </c>
      <c r="PO52" s="43" t="str">
        <f t="shared" si="134"/>
        <v/>
      </c>
      <c r="PP52" s="43" t="str">
        <f t="shared" si="135"/>
        <v/>
      </c>
      <c r="PQ52" s="43" t="str">
        <f t="shared" si="136"/>
        <v/>
      </c>
      <c r="PR52" s="43" t="str">
        <f t="shared" si="137"/>
        <v/>
      </c>
      <c r="PS52" s="43" t="str">
        <f t="shared" si="138"/>
        <v/>
      </c>
      <c r="PT52" s="43" t="str">
        <f t="shared" si="139"/>
        <v/>
      </c>
      <c r="PU52" s="43" t="str">
        <f t="shared" si="140"/>
        <v/>
      </c>
      <c r="PV52" s="43" t="str">
        <f t="shared" si="141"/>
        <v/>
      </c>
      <c r="PW52" s="43" t="str">
        <f t="shared" si="142"/>
        <v/>
      </c>
      <c r="PX52" s="43" t="str">
        <f t="shared" si="143"/>
        <v/>
      </c>
      <c r="PY52" s="43" t="str">
        <f t="shared" si="144"/>
        <v/>
      </c>
      <c r="PZ52" s="43" t="str">
        <f t="shared" si="145"/>
        <v/>
      </c>
      <c r="QA52" s="43" t="str">
        <f t="shared" si="146"/>
        <v/>
      </c>
      <c r="QB52" s="43" t="str">
        <f t="shared" si="147"/>
        <v/>
      </c>
      <c r="QC52" s="43" t="str">
        <f t="shared" si="148"/>
        <v/>
      </c>
      <c r="QD52" s="43" t="str">
        <f t="shared" si="149"/>
        <v/>
      </c>
      <c r="QE52" s="43" t="str">
        <f t="shared" si="150"/>
        <v/>
      </c>
      <c r="QF52" s="43" t="str">
        <f t="shared" si="151"/>
        <v/>
      </c>
      <c r="QG52" s="43" t="str">
        <f t="shared" si="152"/>
        <v/>
      </c>
      <c r="QH52" s="43" t="str">
        <f t="shared" si="153"/>
        <v/>
      </c>
      <c r="QI52" s="43" t="str">
        <f t="shared" si="154"/>
        <v/>
      </c>
      <c r="QJ52" s="43" t="str">
        <f t="shared" si="155"/>
        <v/>
      </c>
      <c r="QK52" s="43" t="str">
        <f t="shared" si="156"/>
        <v/>
      </c>
      <c r="QL52" s="43" t="str">
        <f t="shared" si="157"/>
        <v/>
      </c>
      <c r="QM52" s="43" t="str">
        <f t="shared" si="158"/>
        <v/>
      </c>
      <c r="QN52" s="43" t="str">
        <f t="shared" si="159"/>
        <v/>
      </c>
      <c r="QO52" s="43" t="str">
        <f t="shared" si="160"/>
        <v/>
      </c>
      <c r="QP52" s="43" t="str">
        <f t="shared" si="161"/>
        <v/>
      </c>
      <c r="QQ52" s="43" t="str">
        <f t="shared" si="162"/>
        <v/>
      </c>
      <c r="QR52" s="43">
        <f t="shared" si="192"/>
        <v>35</v>
      </c>
      <c r="QS52" s="43"/>
      <c r="QT52" s="21" t="str">
        <f t="shared" si="163"/>
        <v/>
      </c>
      <c r="QU52" s="21" t="str">
        <f t="shared" si="164"/>
        <v/>
      </c>
      <c r="QV52" s="21" t="str">
        <f t="shared" si="165"/>
        <v/>
      </c>
      <c r="QW52" s="21" t="str">
        <f t="shared" si="166"/>
        <v/>
      </c>
      <c r="QX52" s="21" t="str">
        <f t="shared" si="167"/>
        <v/>
      </c>
      <c r="QY52" s="21" t="str">
        <f t="shared" si="168"/>
        <v/>
      </c>
      <c r="QZ52" s="21" t="str">
        <f t="shared" si="169"/>
        <v/>
      </c>
      <c r="RA52" s="21" t="str">
        <f t="shared" si="170"/>
        <v/>
      </c>
      <c r="RB52" s="21" t="str">
        <f t="shared" si="171"/>
        <v/>
      </c>
      <c r="RC52" s="21" t="str">
        <f t="shared" si="172"/>
        <v/>
      </c>
      <c r="RD52" s="21" t="str">
        <f t="shared" si="173"/>
        <v/>
      </c>
      <c r="RE52" s="21" t="str">
        <f t="shared" si="174"/>
        <v/>
      </c>
      <c r="RF52" s="21" t="str">
        <f t="shared" si="175"/>
        <v/>
      </c>
      <c r="RG52" s="21" t="str">
        <f t="shared" si="176"/>
        <v/>
      </c>
      <c r="RH52" s="21" t="str">
        <f t="shared" si="177"/>
        <v/>
      </c>
      <c r="RI52" s="21" t="str">
        <f t="shared" si="178"/>
        <v/>
      </c>
      <c r="RJ52" s="21" t="str">
        <f t="shared" si="179"/>
        <v/>
      </c>
      <c r="RK52" s="21" t="str">
        <f t="shared" si="180"/>
        <v/>
      </c>
      <c r="RL52" s="21" t="str">
        <f t="shared" si="181"/>
        <v/>
      </c>
      <c r="RM52" s="21" t="str">
        <f t="shared" si="182"/>
        <v/>
      </c>
      <c r="RN52" s="21" t="str">
        <f t="shared" si="183"/>
        <v/>
      </c>
      <c r="RO52" s="21" t="str">
        <f t="shared" si="184"/>
        <v/>
      </c>
      <c r="RP52" s="21" t="str">
        <f t="shared" si="185"/>
        <v/>
      </c>
      <c r="RQ52" s="21" t="str">
        <f t="shared" si="186"/>
        <v/>
      </c>
      <c r="RR52" s="21" t="str">
        <f t="shared" si="187"/>
        <v/>
      </c>
      <c r="RS52" s="21" t="str">
        <f t="shared" si="188"/>
        <v/>
      </c>
      <c r="RT52" s="21" t="str">
        <f t="shared" si="189"/>
        <v/>
      </c>
      <c r="RU52" s="21" t="str">
        <f t="shared" si="190"/>
        <v/>
      </c>
      <c r="RV52" s="21">
        <f t="shared" si="191"/>
        <v>20.857142857142858</v>
      </c>
      <c r="RW52" s="284">
        <f>IF(OR(Tabla1[[#This Row],[FUM FORMULA CONFIABLE]]="",Tabla1[[#This Row],[FUM FORMULA CONFIABLE]]="SD"),"",IF(Tabla1[[#This Row],[FUM FORMULA CONFIABLE]]="CORREGIDA",Tabla1[[#This Row],[FUM X ECO 1]],Tabla1[[#This Row],[FUM x AMENORREA]]))</f>
        <v>44744</v>
      </c>
      <c r="RX52" s="21">
        <f>IF(AND(Tabla1[[#This Row],[FUM X ECO 1]]="",Tabla1[[#This Row],[FUM x AMENORREA]]=""),"",IF(AND(Tabla1[[#This Row],[FUM X ECO 1]]="",Tabla1[[#This Row],[FUM x AMENORREA]]&lt;&gt;""),"X",SUM(Tabla1[[#This Row],[FUM X ECO 1]]-Tabla1[[#This Row],[FUM x AMENORREA]])))</f>
        <v>0</v>
      </c>
      <c r="RY52" s="21">
        <f t="shared" si="193"/>
        <v>0</v>
      </c>
    </row>
    <row r="53" spans="1:493" ht="45" customHeight="1" x14ac:dyDescent="0.25">
      <c r="A53" s="109" t="s">
        <v>1143</v>
      </c>
      <c r="B53" s="43" t="s">
        <v>1143</v>
      </c>
      <c r="C53" s="43" t="s">
        <v>845</v>
      </c>
      <c r="D53" s="124" t="s">
        <v>846</v>
      </c>
      <c r="E53" s="43" t="s">
        <v>1144</v>
      </c>
      <c r="F53" s="43" t="s">
        <v>943</v>
      </c>
      <c r="G53" s="43" t="s">
        <v>1059</v>
      </c>
      <c r="H53" s="43" t="s">
        <v>1145</v>
      </c>
      <c r="I53" s="109" t="s">
        <v>1094</v>
      </c>
      <c r="J53" s="110">
        <v>1059597691</v>
      </c>
      <c r="K53" s="43" t="s">
        <v>852</v>
      </c>
      <c r="L53" s="175" t="s">
        <v>853</v>
      </c>
      <c r="M53" s="22">
        <v>39091</v>
      </c>
      <c r="N53" s="213">
        <f t="shared" ca="1" si="0"/>
        <v>16.824657534246576</v>
      </c>
      <c r="O53" s="22">
        <v>44897</v>
      </c>
      <c r="P53" s="214" t="str">
        <f t="shared" si="194"/>
        <v>SI</v>
      </c>
      <c r="Q53" s="26" t="s">
        <v>855</v>
      </c>
      <c r="R53" s="22">
        <v>44897</v>
      </c>
      <c r="S53" s="21" t="s">
        <v>856</v>
      </c>
      <c r="T53" s="24" t="s">
        <v>690</v>
      </c>
      <c r="U53" s="21" t="s">
        <v>857</v>
      </c>
      <c r="V53" s="21" t="s">
        <v>858</v>
      </c>
      <c r="W53" s="21" t="s">
        <v>999</v>
      </c>
      <c r="X53" s="21" t="s">
        <v>999</v>
      </c>
      <c r="Y53" s="21" t="s">
        <v>859</v>
      </c>
      <c r="Z53" s="21">
        <v>3107067646</v>
      </c>
      <c r="AA53" s="21" t="s">
        <v>860</v>
      </c>
      <c r="AB53" s="27" t="s">
        <v>861</v>
      </c>
      <c r="AC53" s="26" t="s">
        <v>897</v>
      </c>
      <c r="AD53" s="38" t="s">
        <v>1130</v>
      </c>
      <c r="AE53" s="26" t="s">
        <v>1131</v>
      </c>
      <c r="AF53" s="26" t="s">
        <v>854</v>
      </c>
      <c r="AG53" s="23" t="s">
        <v>864</v>
      </c>
      <c r="AH53" s="23" t="s">
        <v>864</v>
      </c>
      <c r="AI53" s="24" t="s">
        <v>863</v>
      </c>
      <c r="AJ53" s="23" t="s">
        <v>864</v>
      </c>
      <c r="AK53" s="220" t="str">
        <f>IF(AND(AD53="",AE53="",AF53="",AG53="",AH53="",AI53="",AJ53=""),"",IF(OR(Tabla1[[#This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EVALUACIÓN",IF(AND(O53="",R53=""),"",IF(AND(OR(O53&gt;0,R53&gt;0),NG53&gt;=0,NG53&lt;2),"SIN RIESGO",IF(AND(OR(O53&gt;0,R53&gt;0),NG53&gt;=2),"CON RIESGO","ASD")))))</f>
        <v>SIN RIESGO</v>
      </c>
      <c r="AL53" s="23" t="s">
        <v>864</v>
      </c>
      <c r="AM53" s="26" t="s">
        <v>864</v>
      </c>
      <c r="AN53" s="26" t="s">
        <v>864</v>
      </c>
      <c r="AO53" s="26" t="s">
        <v>864</v>
      </c>
      <c r="AP53" s="26" t="s">
        <v>864</v>
      </c>
      <c r="AQ53" s="26" t="s">
        <v>864</v>
      </c>
      <c r="AR53" s="26" t="s">
        <v>864</v>
      </c>
      <c r="AS53" s="21">
        <v>1</v>
      </c>
      <c r="AT53" s="21">
        <v>0</v>
      </c>
      <c r="AU53" s="21">
        <v>0</v>
      </c>
      <c r="AV53" s="26" t="s">
        <v>864</v>
      </c>
      <c r="AW53" s="21">
        <v>0</v>
      </c>
      <c r="AX53" s="26" t="s">
        <v>864</v>
      </c>
      <c r="AY53" s="26" t="s">
        <v>864</v>
      </c>
      <c r="AZ53" s="26" t="s">
        <v>864</v>
      </c>
      <c r="BA53" s="26" t="s">
        <v>864</v>
      </c>
      <c r="BB53" s="26" t="s">
        <v>864</v>
      </c>
      <c r="BC53" s="26" t="s">
        <v>864</v>
      </c>
      <c r="BD53" s="26" t="s">
        <v>864</v>
      </c>
      <c r="BE53" s="26" t="s">
        <v>864</v>
      </c>
      <c r="BF53" s="26" t="s">
        <v>864</v>
      </c>
      <c r="BG53" s="26" t="s">
        <v>864</v>
      </c>
      <c r="BH53" s="26" t="s">
        <v>864</v>
      </c>
      <c r="BI53" s="26"/>
      <c r="BJ53" s="26"/>
      <c r="BK53" s="26"/>
      <c r="BL53" s="26" t="s">
        <v>864</v>
      </c>
      <c r="BM53" s="26"/>
      <c r="BN53" s="22">
        <v>44713</v>
      </c>
      <c r="BO53" s="22">
        <v>44821</v>
      </c>
      <c r="BP53" s="21" t="s">
        <v>854</v>
      </c>
      <c r="BQ53" s="222">
        <f t="shared" si="2"/>
        <v>3.6</v>
      </c>
      <c r="BR53" s="223">
        <f t="shared" si="3"/>
        <v>44821</v>
      </c>
      <c r="BS53" s="224">
        <f t="shared" si="4"/>
        <v>10.857142857142858</v>
      </c>
      <c r="BT53" s="216" t="str">
        <f t="shared" si="5"/>
        <v>II TRIM</v>
      </c>
      <c r="BU53" s="214" t="str">
        <f t="shared" ca="1" si="6"/>
        <v/>
      </c>
      <c r="BV53" s="25"/>
      <c r="BW53" s="22">
        <v>44898</v>
      </c>
      <c r="BX53" s="28">
        <v>11</v>
      </c>
      <c r="BY53" s="28"/>
      <c r="BZ53" s="22">
        <v>44995</v>
      </c>
      <c r="CA53" s="21">
        <v>24.6</v>
      </c>
      <c r="CB53" s="26" t="s">
        <v>864</v>
      </c>
      <c r="CC53" s="26" t="s">
        <v>864</v>
      </c>
      <c r="CD53" s="26" t="s">
        <v>878</v>
      </c>
      <c r="CE53" s="26" t="s">
        <v>864</v>
      </c>
      <c r="CF53" s="22" t="s">
        <v>1517</v>
      </c>
      <c r="CG53" s="21">
        <v>1.45</v>
      </c>
      <c r="CH53" s="21">
        <v>52</v>
      </c>
      <c r="CI53" s="214">
        <f t="shared" si="7"/>
        <v>24.732461355529132</v>
      </c>
      <c r="CJ53" s="225" t="e">
        <f>IF(AND(CI53&lt;10,CH53="SD"),"SIN DATO PESO PREGESTACION O I TRIM",IF(AND(OR(R53&gt;0,O53&gt;0),CI53="X"),"INGRESAR DATO DE PESO",IF(CI53="SD","INGRESAR DATO DE TALLA Y PESO",IF(AND(OR(Tabla1[[#This Row],[MOMENTO EN QUE SE REALIZA EL PESO AL INGRESO A CPN]]="PREGESTACIÓN",NZ53="Menor"),CI53&lt;18.5),"BAJO PESO",IF(AND(OR(Tabla1[[#This Row],[MOMENTO EN QUE SE REALIZA EL PESO AL INGRESO A CPN]]="PREGESTACIÓN",NZ53="Menor"),CI53&lt;25),"NORMAL",IF(AND(OR(Tabla1[[#This Row],[MOMENTO EN QUE SE REALIZA EL PESO AL INGRESO A CPN]]="PREGESTACIÓN",NZ53="Menor"),CI53&lt;30),"SOBREPESO",IF(AND(OR(Tabla1[[#This Row],[MOMENTO EN QUE SE REALIZA EL PESO AL INGRESO A CPN]]="PREGESTACIÓN",NZ53="Menor"),CI53&gt;=30,CI53&lt;50),"OBESIDAD",IF(AND(BS53&gt;0,Tabla1[[#This Row],[MOMENTO EN QUE SE REALIZA EL PESO AL INGRESO A CPN]]="GESTACIÓN"),HLOOKUP(NZ53,$OA$2:PH53,NY53),""))))))))</f>
        <v>#REF!</v>
      </c>
      <c r="CK53" s="212">
        <f t="shared" si="8"/>
        <v>45026</v>
      </c>
      <c r="CL53" s="21"/>
      <c r="CM53" s="214">
        <f t="shared" si="9"/>
        <v>0</v>
      </c>
      <c r="CN53" s="216">
        <f t="shared" si="10"/>
        <v>29</v>
      </c>
      <c r="CO53" s="216" t="e">
        <f>IF(PI53="","",IF(PI53&gt;0,HLOOKUP(PI53,$PJ$2:QQ53,NY53),""))</f>
        <v>#REF!</v>
      </c>
      <c r="CP53" s="21"/>
      <c r="CQ53" s="216" t="e">
        <f>IF(QR53="Menor","NO APLICA-MENOR 13 SEM",IF(AND(CC53="SI",CN53&gt;23),"NO APLICA- GEMELAR",IF(QR53="","",IF(QR53&gt;0,HLOOKUP(QR53,$QS$2:RU53,NY53),""))))</f>
        <v>#REF!</v>
      </c>
      <c r="CR53" s="21">
        <v>100</v>
      </c>
      <c r="CS53" s="21">
        <v>70</v>
      </c>
      <c r="CT53" s="217" t="str">
        <f>IF(R53="","",IF(AND(BS53&gt;1,BS53&lt;12,Tabla1[[#This Row],[T.A. SISTOLICA - ANTES DE SEMANA 12]]="",Tabla1[[#This Row],[T.A. DIASTOLICA - ANTES DE SEMANA 12]]=""),"REGISTRE DATO TA ANTES SEMANA 12",IF(AND(BS53&gt;11,BS53&lt;43,Tabla1[[#This Row],[T.A. SISTOLICA - ANTES DE SEMANA 12]]="",Tabla1[[#This Row],[T.A. DIASTOLICA - ANTES DE SEMANA 12]]=""),"NO APLICA REGISTRO TA-INGRESO TARDIO",IF(AND(OR(O53&gt;0,R53&gt;0),OR(CR53&gt;=140,CS53&gt;=90)),"DEFINIR ESTADIO HTA",IF(AND(OR(O53&gt;0,R53&gt;0),AND(CR53&gt;120,CR53&lt;=139)),"PRE HTA SEGUIMIENTO",IF(AND(OR(O53&gt;0,R53&gt;0),AND(CS53&gt;80,CS53&lt;=89)),"PRE HTA SEGUIMIENTO",IF(AND(OR(O53&gt;0,R53&gt;0),AND(CR53&gt;=80,CR53&lt;=120)),"APARENTEMENTE NORMAL",IF(AND(OR(O53&gt;0,R53&gt;0),AND(CS53&gt;=50,CS53&lt;=80)),"APARENTEMENTE NORMAL",IF(AND(OR(O53&gt;0,R53&gt;0),AND(CR53&gt;1,CR53&lt;=70),AND(CS53&gt;1,CS53&lt;=40)),"HIPOTENSIÓN","")))))))))</f>
        <v>APARENTEMENTE NORMAL</v>
      </c>
      <c r="CU53" s="21"/>
      <c r="CV53" s="21"/>
      <c r="CW53" s="217" t="str">
        <f ca="1">IF(R53="","",IF(AND(CN53&gt;19,CN53&lt;27,Tabla1[[#This Row],[T.A. SISTOLICA (Entre semana 20 y 26)]]="",Tabla1[[#This Row],[T.A. DIATOLICA (Entre semana 20 y 26)]]=""),"ACUDE A CONTROL SEM 20 A 26 REGISTRE TA AHORA",IF(AND(BS53&gt;1,BS53&lt;27,BU53&gt;19,Tabla1[[#This Row],[T.A. SISTOLICA (Entre semana 20 y 26)]]="",Tabla1[[#This Row],[T.A. DIATOLICA (Entre semana 20 y 26)]]=""),"COMPLETE REGISTRO TA CONTROL SEM 20 A26 ",IF(AND(BS53&gt;26,BS53&lt;43,Tabla1[[#This Row],[T.A. SISTOLICA (Entre semana 20 y 26)]]="",Tabla1[[#This Row],[T.A. DIATOLICA (Entre semana 20 y 26)]]=""),"NO APLICA REGISTRO TA-INGRESO TARDIO",IF(AND(OR(O53&gt;0,R53&gt;0),OR(CU53&gt;=140,CV53&gt;=90)),"ALTO RIESGO PREECLAMPSIA,DEFINIR ESTADIO HTA",IF(AND(OR(O53&gt;0,R53&gt;0),AND(CU53&gt;120,CU53&lt;=139)),"PRE HTA SEGUIMIENTO,RIESGO HIPERTENSION INDUCIDA POR EL EMBARAZO",IF(AND(OR(O53&gt;0,R53&gt;0),AND(CV53&gt;80,CV53&lt;=89)),"PRE HTA SEGUIMIENTO, RIESGO HIPERTENSION INDUCIDA POR EL EMBARAZO",IF(AND(OR(O53&lt;&gt;"",R53&lt;&gt;""),CS53&lt;&gt;"",CV53&lt;&gt;"",CS53&lt;=CV53),"VIGILAR CIFRAS PRESION ARTERIAL",IF(AND(OR(O53&gt;0,R53&gt;0),AND(CU53&gt;120,CU53&lt;=139)),"PRE HTA SEGUIMIENTO",IF(AND(OR(O53&gt;0,R53&gt;0),AND(CU53&gt;1,CU53&lt;=70),AND(CV53&gt;1,CV53&lt;=40)),"HIPOTENSIÓN",IF(AND(OR(O53&lt;&gt;"",R53&lt;&gt;""),CS53&lt;&gt;"",CV53&lt;&gt;"",CS53&gt;CV53),"APARENTEMENTE NORMAL",IF(AND(OR(O53&gt;0,R53&gt;0),AND(CU53&gt;=80,CU53&lt;=120)),"APARENTEMENTE NORMAL",IF(AND(OR(O53&gt;0,R53&gt;0),AND(CV53&gt;=50,CV53&lt;=80)),"APARENTEMENTE NORMAL","")))))))))))))</f>
        <v xml:space="preserve">COMPLETE REGISTRO TA CONTROL SEM 20 A26 </v>
      </c>
      <c r="CX53" s="21"/>
      <c r="CY53" s="21"/>
      <c r="CZ53" s="216" t="str">
        <f t="shared" si="195"/>
        <v/>
      </c>
      <c r="DA53" s="21"/>
      <c r="DB53" s="21"/>
      <c r="DC53" s="217" t="str">
        <f t="shared" si="12"/>
        <v>REGISTRE DATO PRESIÓN ARTERIAL MENSUAL</v>
      </c>
      <c r="DD53" s="22">
        <v>44897</v>
      </c>
      <c r="DE53" s="22">
        <v>44897</v>
      </c>
      <c r="DF53" s="22">
        <v>44958</v>
      </c>
      <c r="DG53" s="22">
        <v>44995</v>
      </c>
      <c r="DH53" s="22">
        <v>45026</v>
      </c>
      <c r="DI53" s="22"/>
      <c r="DJ53" s="22"/>
      <c r="DK53" s="22"/>
      <c r="DL53" s="22"/>
      <c r="DM53" s="22"/>
      <c r="DN53" s="22"/>
      <c r="DO53" s="22"/>
      <c r="DP53" s="22"/>
      <c r="DQ53" s="22"/>
      <c r="DR53" s="28">
        <v>1</v>
      </c>
      <c r="DS53" s="22"/>
      <c r="DT53" s="22"/>
      <c r="DU53" s="216" t="str">
        <f t="shared" ca="1" si="196"/>
        <v>SALE SIN PLAN DE PARTO</v>
      </c>
      <c r="DV53" s="226" t="str">
        <f t="shared" si="197"/>
        <v>SALIO PROGRAMA</v>
      </c>
      <c r="DW53"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53" s="216" t="str">
        <f t="shared" ca="1" si="15"/>
        <v/>
      </c>
      <c r="DY53" s="212">
        <f>IF(R53="","",IF(R53&gt;0,MAX(Tabla1[[#This Row],[FECHA C2]:[FECHA C13]],Tabla1[[#This Row],[FECHA CONSULTA PRIMERA VEZ PROGRAMA CPN ]])))</f>
        <v>45026</v>
      </c>
      <c r="DZ53" s="216">
        <f t="shared" si="16"/>
        <v>29</v>
      </c>
      <c r="EA53" s="222">
        <f>IF(R53&gt;0,SUM(COUNTA(DF53:DQ53)+COUNTA(Tabla1[[#This Row],[FECHA CONSULTA PRIMERA VEZ PROGRAMA CPN ]])),"")</f>
        <v>4</v>
      </c>
      <c r="EB53" s="222" t="str">
        <f t="shared" si="17"/>
        <v>SI</v>
      </c>
      <c r="EC53" s="214">
        <f t="shared" si="18"/>
        <v>9</v>
      </c>
      <c r="ED53" s="227">
        <f t="shared" si="19"/>
        <v>0.44444444444444442</v>
      </c>
      <c r="EE53" s="22">
        <v>44897</v>
      </c>
      <c r="EF53" s="22">
        <v>44897</v>
      </c>
      <c r="EG53" s="22">
        <v>44897</v>
      </c>
      <c r="EH53" s="22"/>
      <c r="EI53" s="22">
        <v>44897</v>
      </c>
      <c r="EJ53" s="22"/>
      <c r="EK53" s="22"/>
      <c r="EL53" s="21"/>
      <c r="EM53" s="21">
        <v>13.6</v>
      </c>
      <c r="EN53" s="22">
        <v>44898</v>
      </c>
      <c r="EO53" s="222">
        <f t="shared" si="20"/>
        <v>11</v>
      </c>
      <c r="EP53" s="214" t="str">
        <f t="shared" si="21"/>
        <v>NORMAL- SUMINISTRAR SULFATO FERROSO</v>
      </c>
      <c r="EQ53" s="216" t="str">
        <f t="shared" si="22"/>
        <v>I TRIM</v>
      </c>
      <c r="ER53" s="24"/>
      <c r="ES53" s="22"/>
      <c r="ET53" s="29" t="str">
        <f t="shared" ca="1" si="198"/>
        <v>SALE SIN TAMIZAJE HEMOGLOBINA SEM 28</v>
      </c>
      <c r="EU53" s="25" t="str">
        <f t="shared" si="24"/>
        <v/>
      </c>
      <c r="EV53" s="24" t="s">
        <v>866</v>
      </c>
      <c r="EW53" s="24">
        <v>44898</v>
      </c>
      <c r="EX53" s="22"/>
      <c r="EY53" s="29">
        <f t="shared" si="199"/>
        <v>11</v>
      </c>
      <c r="EZ53" s="25" t="str">
        <f t="shared" ca="1" si="200"/>
        <v/>
      </c>
      <c r="FA53" s="21">
        <v>76</v>
      </c>
      <c r="FB53" s="22">
        <v>44898</v>
      </c>
      <c r="FC53" s="29">
        <f t="shared" si="27"/>
        <v>11</v>
      </c>
      <c r="FD53" s="29"/>
      <c r="FE53" s="29"/>
      <c r="FF53" s="29"/>
      <c r="FG53" s="21" t="str">
        <f t="shared" ca="1" si="28"/>
        <v/>
      </c>
      <c r="FH53" s="31"/>
      <c r="FI53" s="29" t="str">
        <f t="shared" si="29"/>
        <v>TOMAR EXAMEN</v>
      </c>
      <c r="FJ53" s="22" t="s">
        <v>867</v>
      </c>
      <c r="FK53" s="22">
        <v>44898</v>
      </c>
      <c r="FL53" s="29">
        <f t="shared" ca="1" si="30"/>
        <v>11</v>
      </c>
      <c r="FM53" s="22"/>
      <c r="FN53" s="32"/>
      <c r="FO53" s="29" t="str">
        <f t="shared" ca="1" si="201"/>
        <v>PIERDE TOMA DE TAMIZAJE</v>
      </c>
      <c r="FP53" s="22"/>
      <c r="FQ53" s="32"/>
      <c r="FR53" s="29" t="str">
        <f t="shared" ca="1" si="202"/>
        <v>PIERDE TOMA DE TAMIZAJE</v>
      </c>
      <c r="FS53" s="22"/>
      <c r="FT53" s="32"/>
      <c r="FU53" s="29" t="str">
        <f>IF(AND(FJ53="",FM53="",FP53="",FS53=""),"",IF(OR(OR(Tabla1[[#This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53" s="28"/>
      <c r="FW53" s="22"/>
      <c r="FX53" s="29" t="str">
        <f t="shared" si="33"/>
        <v>TOMAR EXAMEN</v>
      </c>
      <c r="FY53" s="22">
        <v>44898</v>
      </c>
      <c r="FZ53" s="22">
        <v>44898</v>
      </c>
      <c r="GA53" s="29">
        <f t="shared" ca="1" si="203"/>
        <v>11</v>
      </c>
      <c r="GB53" s="22"/>
      <c r="GC53" s="22"/>
      <c r="GD53" s="29" t="str">
        <f t="shared" ca="1" si="204"/>
        <v>PIERDE TOMA DE TAMIZAJE</v>
      </c>
      <c r="GE53" s="22"/>
      <c r="GF53" s="22"/>
      <c r="GG53" s="29" t="str">
        <f t="shared" ca="1" si="205"/>
        <v>PIERDE TOMA DE TAMIZAJE</v>
      </c>
      <c r="GH53" s="22"/>
      <c r="GI53" s="29"/>
      <c r="GJ53" s="22"/>
      <c r="GK53" s="22"/>
      <c r="GL53" s="22"/>
      <c r="GM53" s="22"/>
      <c r="GN53" s="28" t="s">
        <v>869</v>
      </c>
      <c r="GO53" s="22">
        <v>44898</v>
      </c>
      <c r="GP53" s="29">
        <f t="shared" si="37"/>
        <v>11</v>
      </c>
      <c r="GQ53" s="28" t="s">
        <v>869</v>
      </c>
      <c r="GR53" s="28" t="s">
        <v>869</v>
      </c>
      <c r="GS53" s="22" t="str">
        <f t="shared" si="206"/>
        <v>CONTROL Igm</v>
      </c>
      <c r="GT53" s="22">
        <v>44898</v>
      </c>
      <c r="GU53" s="29">
        <f t="shared" si="39"/>
        <v>11</v>
      </c>
      <c r="GV53" s="21" t="str">
        <f t="shared" si="40"/>
        <v>I TRIM</v>
      </c>
      <c r="GW53" s="28" t="s">
        <v>869</v>
      </c>
      <c r="GX53" s="30"/>
      <c r="GY53" s="21"/>
      <c r="GZ53" s="21"/>
      <c r="HA53" s="21"/>
      <c r="HB53" s="21"/>
      <c r="HC53" s="21"/>
      <c r="HD53" s="21"/>
      <c r="HE53" s="21"/>
      <c r="HF53" s="22"/>
      <c r="HG53" s="22" t="str">
        <f>IF(OR(O53&gt;0,R53&gt;0),CONCATENATE(IF(Tabla1[[#This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53" s="22" t="e">
        <f t="shared" si="41"/>
        <v>#REF!</v>
      </c>
      <c r="HI53" s="22" t="e">
        <f t="shared" ca="1" si="42"/>
        <v>#REF!</v>
      </c>
      <c r="HJ53" s="21" t="str">
        <f t="shared" ca="1" si="43"/>
        <v>**********************MULTIPARIDAD**RIESGO POR EDAD***************</v>
      </c>
      <c r="HK53" s="21" t="str">
        <f t="shared" si="44"/>
        <v>SIN ANTECEDENTES DE RIESGO</v>
      </c>
      <c r="HL53" s="24" t="str">
        <f t="shared" si="45"/>
        <v>REGISTRE DATO PRESIÓN ARTERIAL MENSUAL</v>
      </c>
      <c r="HM53" s="21" t="str">
        <f t="shared" ca="1" si="46"/>
        <v/>
      </c>
      <c r="HN53" s="30" t="str">
        <f t="shared" si="207"/>
        <v>SALIO PROGRAMA</v>
      </c>
      <c r="HO53" s="21"/>
      <c r="HP53" s="21"/>
      <c r="HQ53" s="21">
        <v>44898</v>
      </c>
      <c r="HR53" s="21" t="str">
        <f>IF(R53="","",IF(Tabla1[[#This Row],[ALARMA FACTORES DE RIESGO COMPLICACIONES HIPERTENSIVAS3]]="SIN ANTECEDENTES DE RIESGO","No Aplica para suministro de ASA",IF(AND(Tabla1[[#This Row],[FECHA INICIO DE SUMINISTRO DE ASA]]&gt;0,RV53&lt;12),"Inicia ASA ANTES de Sem 12",IF(AND(RV53&gt;11,RV53&lt;17,OR(HK53="RIESGO ALTO DE COMPLICACIONES HIPERTENSIVAS VER MANEJO GUIA SUMINISTRO ASA Y CALCIO",HK53="RIESGO MODERADO (2 O MAS CRITERIOS) VER MANEJO GUIA SUMINISTRO ASA Y CALCIO")),"Inicio oportuno de ASA",IF(AND(RV53&gt;12,OR(HK53="RIESGO ALTO DE COMPLICACIONES HIPERTENSIVAS VER MANEJO GUIA SUMINISTRO ASA Y CALCIO",HK53="RIESGO MODERADO (2 O MAS CRITERIOS) VER MANEJO GUIA SUMINISTRO ASA Y CALCIO")),"Inicio no oportuno mayor a 16 semanas",IF(AND(BU53&lt;12,OR(HK53="RIESGO ALTO DE COMPLICACIONES HIPERTENSIVAS VER MANEJO GUIA SUMINISTRO ASA Y CALCIO",HK53="RIESGO MODERADO (2 O MAS CRITERIOS) VER MANEJO GUIA SUMINISTRO ASA Y CALCIO")),"Pendiente Inicio de ASA a la semana 12",IF(AND(BU53&gt;11,BU53&lt;17,OR(HK53="RIESGO ALTO DE COMPLICACIONES HIPERTENSIVAS VER MANEJO GUIA SUMINISTRO ASA Y CALCIO",HK53="RIESGO MODERADO (2 O MAS CRITERIOS) VER MANEJO GUIA SUMINISTRO ASA Y CALCIO")),"Iniciar de inmediato ASA",IF(AND(BU53&gt;16,OR(HK53="RIESGO ALTO DE COMPLICACIONES HIPERTENSIVAS VER MANEJO GUIA SUMINISTRO ASA Y CALCIO",HK53="RIESGO MODERADO (2 O MAS CRITERIOS) VER MANEJO GUIA SUMINISTRO ASA Y CALCIO")),"Pierde Oportunidad, Inicio tardío de ASA","XXXXX"))))))))</f>
        <v>No Aplica para suministro de ASA</v>
      </c>
      <c r="HS53" s="22">
        <v>44898</v>
      </c>
      <c r="HT53" s="22" t="s">
        <v>870</v>
      </c>
      <c r="HU53" s="22">
        <v>44898</v>
      </c>
      <c r="HV53" s="22" t="s">
        <v>870</v>
      </c>
      <c r="HW53" s="22">
        <v>44898</v>
      </c>
      <c r="HX53" s="22" t="s">
        <v>935</v>
      </c>
      <c r="HY53" s="22">
        <v>44897</v>
      </c>
      <c r="HZ53" s="28">
        <f t="shared" si="48"/>
        <v>10.857142857142858</v>
      </c>
      <c r="IA53" s="26" t="s">
        <v>864</v>
      </c>
      <c r="IB53" s="26"/>
      <c r="IC53" s="111"/>
      <c r="ID53" s="22"/>
      <c r="IE53" s="22" t="str">
        <f t="shared" ca="1" si="49"/>
        <v>SALE SIN VACUNA</v>
      </c>
      <c r="IF53" s="22"/>
      <c r="IG53" s="22">
        <f t="shared" si="50"/>
        <v>45101</v>
      </c>
      <c r="IH53" s="29">
        <f t="shared" ca="1" si="51"/>
        <v>-131</v>
      </c>
      <c r="II53" s="22" t="str">
        <f t="shared" ca="1" si="52"/>
        <v>POSIBLEMENTE NACIO</v>
      </c>
      <c r="IJ53" s="22"/>
      <c r="IK53" s="21" t="s">
        <v>898</v>
      </c>
      <c r="IL53" s="21"/>
      <c r="IM53" s="34"/>
      <c r="IN53" s="349">
        <v>45093</v>
      </c>
      <c r="IO53" s="21" t="s">
        <v>1640</v>
      </c>
      <c r="IP53" s="29">
        <f t="shared" si="208"/>
        <v>38.857142857142854</v>
      </c>
      <c r="IQ53" s="110"/>
      <c r="IR53" s="21" t="s">
        <v>879</v>
      </c>
      <c r="IS53" s="21" t="s">
        <v>1641</v>
      </c>
      <c r="IT53" s="21" t="s">
        <v>1642</v>
      </c>
      <c r="IU53" s="21"/>
      <c r="IV53" s="21"/>
      <c r="IW53" s="21"/>
      <c r="IX53" s="21"/>
      <c r="IY53" s="21"/>
      <c r="IZ53" s="21"/>
      <c r="JA53" s="21"/>
      <c r="JB53" s="30">
        <v>1</v>
      </c>
      <c r="JC53" s="21" t="s">
        <v>1643</v>
      </c>
      <c r="JD53" s="36">
        <v>3112</v>
      </c>
      <c r="JE53" s="21" t="str">
        <f t="shared" si="209"/>
        <v>PESO ADECUADO EDAD GESTACIONAL</v>
      </c>
      <c r="JF53" s="30"/>
      <c r="JG53" s="21"/>
      <c r="JH53" s="21"/>
      <c r="JI53" s="21"/>
      <c r="JJ53" s="30"/>
      <c r="JK53" s="22"/>
      <c r="JL53" s="22"/>
      <c r="JM53" s="21"/>
      <c r="JN53" s="36"/>
      <c r="JO53" s="21" t="str">
        <f t="shared" si="210"/>
        <v/>
      </c>
      <c r="JP53" s="22"/>
      <c r="JQ53" s="21"/>
      <c r="JR53" s="21"/>
      <c r="JS53" s="21"/>
      <c r="JT53" s="30"/>
      <c r="JU53" s="22"/>
      <c r="JV53" s="22"/>
      <c r="JW53" s="33"/>
      <c r="JX53" s="28" t="str">
        <f t="shared" si="211"/>
        <v>INASISTENTE</v>
      </c>
      <c r="JY53" s="33"/>
      <c r="JZ53" s="28" t="str">
        <f t="shared" si="212"/>
        <v>INASISTENTE</v>
      </c>
      <c r="KA53" s="21"/>
      <c r="KB53" s="21"/>
      <c r="KC53" s="21"/>
      <c r="KD53" s="37"/>
      <c r="KE53" s="28"/>
      <c r="KF53" s="28"/>
      <c r="KG53" s="28"/>
      <c r="KH53" s="39"/>
      <c r="KI53" s="39"/>
      <c r="KJ53" s="66"/>
      <c r="KK53" s="39"/>
      <c r="KL53" s="39"/>
      <c r="KM53" s="66"/>
      <c r="KN53" s="39"/>
      <c r="KO53" s="39"/>
      <c r="KP53" s="39"/>
      <c r="KQ53" s="39"/>
      <c r="KR53" s="39"/>
      <c r="KS53" s="39"/>
      <c r="KT53" s="39"/>
      <c r="KU53" s="38"/>
      <c r="KV53" s="38"/>
      <c r="KW53" s="38"/>
      <c r="KX53" s="38"/>
      <c r="KY53" s="38"/>
      <c r="KZ53" s="38"/>
      <c r="LA53" s="38"/>
      <c r="LB53" s="38"/>
      <c r="LC53" s="38"/>
      <c r="LD53" s="38"/>
      <c r="LE53" s="38"/>
      <c r="LF53" s="38"/>
      <c r="LG53" s="38"/>
      <c r="LH53" s="38"/>
      <c r="LI53" s="38"/>
      <c r="LJ53" s="38"/>
      <c r="LK53" s="38"/>
      <c r="LL53" s="38"/>
      <c r="LM53" s="38"/>
      <c r="LN53" s="38"/>
      <c r="LO53" s="38"/>
      <c r="LP53" s="38"/>
      <c r="LQ53" s="38"/>
      <c r="LR53" s="38"/>
      <c r="LS53" s="38"/>
      <c r="LT53" s="38"/>
      <c r="LU53" s="38"/>
      <c r="LV53" s="38"/>
      <c r="LW53" s="38"/>
      <c r="LX53" s="38"/>
      <c r="LY53" s="38"/>
      <c r="LZ53" s="38"/>
      <c r="MA53" s="38"/>
      <c r="MB53" s="38"/>
      <c r="MC53" s="38"/>
      <c r="MD53" s="38"/>
      <c r="ME53" s="38"/>
      <c r="MF53" s="38"/>
      <c r="MG53" s="38"/>
      <c r="MH53" s="43">
        <f t="shared" si="213"/>
        <v>0</v>
      </c>
      <c r="MI53" s="43" t="str">
        <f t="shared" si="214"/>
        <v/>
      </c>
      <c r="MJ53" s="43" t="str">
        <f t="shared" si="215"/>
        <v/>
      </c>
      <c r="MK53" s="43">
        <f t="shared" si="216"/>
        <v>0</v>
      </c>
      <c r="ML5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53" s="43">
        <f t="shared" si="217"/>
        <v>10.857142857142858</v>
      </c>
      <c r="MN53" s="43">
        <f t="shared" si="218"/>
        <v>12</v>
      </c>
      <c r="MO53" s="43">
        <f t="shared" si="219"/>
        <v>2022</v>
      </c>
      <c r="MP53" s="43" t="str">
        <f t="shared" si="220"/>
        <v>IV TRIMESTRE AÑO</v>
      </c>
      <c r="MQ53" s="43">
        <f t="shared" si="221"/>
        <v>15.667433201927288</v>
      </c>
      <c r="MR53" s="43">
        <f t="shared" si="222"/>
        <v>1</v>
      </c>
      <c r="MS53" s="43" t="str">
        <f t="shared" si="223"/>
        <v>DE 14 A 19AÑOS</v>
      </c>
      <c r="MT53" s="43">
        <f t="shared" si="224"/>
        <v>0</v>
      </c>
      <c r="MU53" s="43">
        <f t="shared" si="225"/>
        <v>1</v>
      </c>
      <c r="MV53" s="43">
        <f t="shared" si="226"/>
        <v>0</v>
      </c>
      <c r="MW53" s="43">
        <f t="shared" si="227"/>
        <v>0</v>
      </c>
      <c r="MX53" s="43" t="str">
        <f t="shared" si="228"/>
        <v/>
      </c>
      <c r="MY53" s="43" t="str">
        <f t="shared" ca="1" si="229"/>
        <v/>
      </c>
      <c r="MZ53" s="43" t="str">
        <f t="shared" si="230"/>
        <v/>
      </c>
      <c r="NA53" s="43">
        <f t="shared" si="231"/>
        <v>0</v>
      </c>
      <c r="NB53" s="43" t="str">
        <f t="shared" si="232"/>
        <v/>
      </c>
      <c r="NC53" s="43" t="str">
        <f t="shared" si="233"/>
        <v/>
      </c>
      <c r="ND53" s="43">
        <f t="shared" ca="1" si="234"/>
        <v>2</v>
      </c>
      <c r="NE53" s="43">
        <f>IF(OR(O53&gt;0,R53&gt;0),SUM(COUNTIF(Tabla1[[#This Row],[AÑOS AL INICIO5 CPN]],"&gt;=40"),COUNTIF(AS53,"0"),COUNTIF(AR53,"SI"),COUNTIF(CC53,"SI"),COUNTIF(BQ53,"&gt;119"),COUNTIF(CI53,"&gt;=35")),"")</f>
        <v>0</v>
      </c>
      <c r="NF53" s="43" t="str">
        <f t="shared" si="235"/>
        <v/>
      </c>
      <c r="NG53" s="43">
        <f t="shared" si="236"/>
        <v>0</v>
      </c>
      <c r="NH53" s="43">
        <f t="shared" si="237"/>
        <v>77</v>
      </c>
      <c r="NI53"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CPN",P53="NO"),"Z",IF(AND(Tabla1[[#This Row],[CITA PROXIMO CONTROL]]="CITA MANUAL",Tabla1[[#This Row],[GESTANTES ACTUALES]]="ACTIVA INGRESO A CPN"),"W",IF(AND(Tabla1[[#This Row],[GESTANTES ACTUALES]]="SALIO PROGRAMA",IN53=""),"S",IF(AND(Tabla1[[#This Row],[CITA PROXIMO CONTROL]]&gt;0,IN53=""),(Tabla1[[#This Row],[CITA PROXIMO CONTROL]]-TODAY()),"SD"))))))))</f>
        <v>SD</v>
      </c>
      <c r="NJ53" s="43">
        <f>MONTH(Tabla1[[#This Row],[FECHA DE SALIDA  DEL PROGRAMA]])</f>
        <v>6</v>
      </c>
      <c r="NK53" s="43">
        <f>YEAR(Tabla1[[#This Row],[FECHA DE SALIDA  DEL PROGRAMA]])</f>
        <v>2023</v>
      </c>
      <c r="NL53" s="43" t="str">
        <f t="shared" si="238"/>
        <v>X</v>
      </c>
      <c r="NM53" s="43" t="str">
        <f t="shared" si="239"/>
        <v>NO</v>
      </c>
      <c r="NN53" s="43" t="str">
        <f ca="1">IF(AND(O53&gt;0,R53=""),"NO CPN",IF(AND(O53="",R53=""),"",IF(AND(R53&gt;0,Tabla1[[#This Row],[SEMANAS DE GESTACION ACTUALIZADAS]]&lt;=12),"NO APLICA",IF(AND(FH53&lt;&gt;"",FN53&lt;&gt;""),"SI","NO"))))</f>
        <v>NO</v>
      </c>
      <c r="NO53" s="43" t="str">
        <f ca="1">IF(AND(O53&gt;0,R53=""),"NO CPN",IF(AND(O53="",R53=""),"",IF(AND(R53&gt;0,Tabla1[[#This Row],[SEMANAS DE GESTACION ACTUALIZADAS]]&lt;=27),"NO APLICA",IF(AND(ES53&lt;&gt;"",FQ53&lt;&gt;"",GF53&lt;&gt;""),"SI","NO"))))</f>
        <v>NO</v>
      </c>
      <c r="NP53" s="204" t="str">
        <f t="shared" si="240"/>
        <v>I TRIM</v>
      </c>
      <c r="NQ53" s="21">
        <f t="shared" si="241"/>
        <v>1</v>
      </c>
      <c r="NR53" s="21">
        <f t="shared" si="242"/>
        <v>3</v>
      </c>
      <c r="NS53" s="205">
        <f t="shared" ca="1" si="243"/>
        <v>1</v>
      </c>
      <c r="NT53" s="21">
        <f t="shared" ca="1" si="244"/>
        <v>1</v>
      </c>
      <c r="NU53" s="21" t="str">
        <f t="shared" ca="1" si="245"/>
        <v>INCOMPLETO</v>
      </c>
      <c r="NV53" s="21" t="str">
        <f t="shared" ca="1" si="246"/>
        <v>INCOMPLETO</v>
      </c>
      <c r="NW53" s="206" t="str">
        <f>IF(AND(O53="",R53=""),"",IF(OR(AND(Tabla1[[#This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53" s="207" t="str">
        <f t="shared" ca="1" si="247"/>
        <v>SIN VACUNAR</v>
      </c>
      <c r="NY53" s="43">
        <f>ROW(Tabla1[[#This Row],['# DE TAMIZAJES SIFILIS TOMADOS ]])</f>
        <v>53</v>
      </c>
      <c r="NZ53" s="43">
        <f t="shared" si="93"/>
        <v>10</v>
      </c>
      <c r="OA53" s="43" t="str">
        <f t="shared" si="94"/>
        <v/>
      </c>
      <c r="OB53" s="43" t="str">
        <f t="shared" si="95"/>
        <v>NORMAL</v>
      </c>
      <c r="OC53" s="43" t="str">
        <f t="shared" si="96"/>
        <v/>
      </c>
      <c r="OD53" s="43" t="str">
        <f t="shared" si="97"/>
        <v/>
      </c>
      <c r="OE53" s="43" t="str">
        <f t="shared" si="98"/>
        <v/>
      </c>
      <c r="OF53" s="43" t="str">
        <f t="shared" si="99"/>
        <v/>
      </c>
      <c r="OG53" s="43" t="str">
        <f t="shared" si="100"/>
        <v/>
      </c>
      <c r="OH53" s="43" t="str">
        <f t="shared" si="101"/>
        <v/>
      </c>
      <c r="OI53" s="43" t="str">
        <f t="shared" si="102"/>
        <v/>
      </c>
      <c r="OJ53" s="43" t="str">
        <f t="shared" si="103"/>
        <v/>
      </c>
      <c r="OK53" s="43" t="str">
        <f t="shared" si="104"/>
        <v/>
      </c>
      <c r="OL53" s="43" t="str">
        <f t="shared" si="105"/>
        <v/>
      </c>
      <c r="OM53" s="43" t="str">
        <f t="shared" si="106"/>
        <v/>
      </c>
      <c r="ON53" s="43" t="str">
        <f t="shared" si="107"/>
        <v/>
      </c>
      <c r="OO53" s="43" t="str">
        <f t="shared" si="108"/>
        <v/>
      </c>
      <c r="OP53" s="43" t="str">
        <f t="shared" si="109"/>
        <v/>
      </c>
      <c r="OQ53" s="43" t="str">
        <f t="shared" si="110"/>
        <v/>
      </c>
      <c r="OR53" s="43" t="str">
        <f t="shared" si="111"/>
        <v/>
      </c>
      <c r="OS53" s="43" t="str">
        <f t="shared" si="112"/>
        <v/>
      </c>
      <c r="OT53" s="43" t="str">
        <f t="shared" si="113"/>
        <v/>
      </c>
      <c r="OU53" s="43" t="str">
        <f t="shared" si="114"/>
        <v/>
      </c>
      <c r="OV53" s="110" t="str">
        <f t="shared" si="115"/>
        <v/>
      </c>
      <c r="OW53" s="43" t="str">
        <f t="shared" si="116"/>
        <v/>
      </c>
      <c r="OX53" s="43" t="str">
        <f t="shared" si="117"/>
        <v/>
      </c>
      <c r="OY53" s="43" t="str">
        <f t="shared" si="118"/>
        <v/>
      </c>
      <c r="OZ53" s="43" t="str">
        <f t="shared" si="119"/>
        <v/>
      </c>
      <c r="PA53" s="43" t="str">
        <f t="shared" si="120"/>
        <v/>
      </c>
      <c r="PB53" s="43" t="str">
        <f t="shared" si="121"/>
        <v/>
      </c>
      <c r="PC53" s="43" t="str">
        <f t="shared" si="122"/>
        <v/>
      </c>
      <c r="PD53" s="43" t="str">
        <f t="shared" si="123"/>
        <v/>
      </c>
      <c r="PE53" s="43" t="str">
        <f t="shared" si="124"/>
        <v/>
      </c>
      <c r="PF53" s="43" t="str">
        <f t="shared" si="125"/>
        <v/>
      </c>
      <c r="PG53" s="43" t="str">
        <f t="shared" si="126"/>
        <v/>
      </c>
      <c r="PH53" s="43" t="str">
        <f t="shared" si="127"/>
        <v/>
      </c>
      <c r="PI53" s="43">
        <f t="shared" si="128"/>
        <v>29</v>
      </c>
      <c r="PJ53" s="43" t="str">
        <f t="shared" si="129"/>
        <v/>
      </c>
      <c r="PK53" s="43" t="str">
        <f t="shared" si="130"/>
        <v/>
      </c>
      <c r="PL53" s="43" t="str">
        <f t="shared" si="131"/>
        <v/>
      </c>
      <c r="PM53" s="43" t="str">
        <f t="shared" si="132"/>
        <v/>
      </c>
      <c r="PN53" s="43" t="str">
        <f t="shared" si="133"/>
        <v/>
      </c>
      <c r="PO53" s="43" t="str">
        <f t="shared" si="134"/>
        <v/>
      </c>
      <c r="PP53" s="43" t="str">
        <f t="shared" si="135"/>
        <v/>
      </c>
      <c r="PQ53" s="43" t="str">
        <f t="shared" si="136"/>
        <v/>
      </c>
      <c r="PR53" s="43" t="str">
        <f t="shared" si="137"/>
        <v/>
      </c>
      <c r="PS53" s="43" t="str">
        <f t="shared" si="138"/>
        <v/>
      </c>
      <c r="PT53" s="43" t="str">
        <f t="shared" si="139"/>
        <v/>
      </c>
      <c r="PU53" s="43" t="str">
        <f t="shared" si="140"/>
        <v/>
      </c>
      <c r="PV53" s="43" t="str">
        <f t="shared" si="141"/>
        <v/>
      </c>
      <c r="PW53" s="43" t="str">
        <f t="shared" si="142"/>
        <v/>
      </c>
      <c r="PX53" s="43" t="str">
        <f t="shared" si="143"/>
        <v/>
      </c>
      <c r="PY53" s="43" t="str">
        <f t="shared" si="144"/>
        <v/>
      </c>
      <c r="PZ53" s="43" t="str">
        <f t="shared" si="145"/>
        <v/>
      </c>
      <c r="QA53" s="43" t="str">
        <f t="shared" si="146"/>
        <v/>
      </c>
      <c r="QB53" s="43" t="str">
        <f t="shared" si="147"/>
        <v/>
      </c>
      <c r="QC53" s="43" t="str">
        <f t="shared" si="148"/>
        <v/>
      </c>
      <c r="QD53" s="43" t="str">
        <f t="shared" si="149"/>
        <v/>
      </c>
      <c r="QE53" s="43" t="str">
        <f t="shared" si="150"/>
        <v/>
      </c>
      <c r="QF53" s="43" t="str">
        <f t="shared" si="151"/>
        <v/>
      </c>
      <c r="QG53" s="43" t="str">
        <f t="shared" si="152"/>
        <v/>
      </c>
      <c r="QH53" s="43" t="str">
        <f t="shared" si="153"/>
        <v/>
      </c>
      <c r="QI53" s="43" t="str">
        <f t="shared" si="154"/>
        <v/>
      </c>
      <c r="QJ53" s="43" t="str">
        <f t="shared" si="155"/>
        <v/>
      </c>
      <c r="QK53" s="43" t="str">
        <f t="shared" si="156"/>
        <v/>
      </c>
      <c r="QL53" s="43" t="str">
        <f t="shared" si="157"/>
        <v/>
      </c>
      <c r="QM53" s="43" t="str">
        <f t="shared" si="158"/>
        <v/>
      </c>
      <c r="QN53" s="43" t="str">
        <f t="shared" si="159"/>
        <v/>
      </c>
      <c r="QO53" s="43" t="str">
        <f t="shared" si="160"/>
        <v/>
      </c>
      <c r="QP53" s="43" t="str">
        <f t="shared" si="161"/>
        <v/>
      </c>
      <c r="QQ53" s="43" t="str">
        <f t="shared" si="162"/>
        <v/>
      </c>
      <c r="QR53" s="43">
        <f t="shared" si="192"/>
        <v>29</v>
      </c>
      <c r="QS53" s="43"/>
      <c r="QT53" s="21" t="str">
        <f t="shared" si="163"/>
        <v/>
      </c>
      <c r="QU53" s="21" t="str">
        <f t="shared" si="164"/>
        <v/>
      </c>
      <c r="QV53" s="21" t="str">
        <f t="shared" si="165"/>
        <v/>
      </c>
      <c r="QW53" s="21" t="str">
        <f t="shared" si="166"/>
        <v/>
      </c>
      <c r="QX53" s="21" t="str">
        <f t="shared" si="167"/>
        <v/>
      </c>
      <c r="QY53" s="21" t="str">
        <f t="shared" si="168"/>
        <v/>
      </c>
      <c r="QZ53" s="21" t="str">
        <f t="shared" si="169"/>
        <v/>
      </c>
      <c r="RA53" s="21" t="str">
        <f t="shared" si="170"/>
        <v/>
      </c>
      <c r="RB53" s="21" t="str">
        <f t="shared" si="171"/>
        <v/>
      </c>
      <c r="RC53" s="21" t="str">
        <f t="shared" si="172"/>
        <v/>
      </c>
      <c r="RD53" s="21" t="str">
        <f t="shared" si="173"/>
        <v/>
      </c>
      <c r="RE53" s="21" t="str">
        <f t="shared" si="174"/>
        <v/>
      </c>
      <c r="RF53" s="21" t="str">
        <f t="shared" si="175"/>
        <v/>
      </c>
      <c r="RG53" s="21" t="str">
        <f t="shared" si="176"/>
        <v/>
      </c>
      <c r="RH53" s="21" t="str">
        <f t="shared" si="177"/>
        <v/>
      </c>
      <c r="RI53" s="21" t="str">
        <f t="shared" si="178"/>
        <v/>
      </c>
      <c r="RJ53" s="21" t="str">
        <f t="shared" si="179"/>
        <v/>
      </c>
      <c r="RK53" s="21" t="str">
        <f t="shared" si="180"/>
        <v/>
      </c>
      <c r="RL53" s="21" t="str">
        <f t="shared" si="181"/>
        <v/>
      </c>
      <c r="RM53" s="21" t="str">
        <f t="shared" si="182"/>
        <v/>
      </c>
      <c r="RN53" s="21" t="str">
        <f t="shared" si="183"/>
        <v/>
      </c>
      <c r="RO53" s="21" t="str">
        <f t="shared" si="184"/>
        <v/>
      </c>
      <c r="RP53" s="21" t="str">
        <f t="shared" si="185"/>
        <v/>
      </c>
      <c r="RQ53" s="21" t="str">
        <f t="shared" si="186"/>
        <v/>
      </c>
      <c r="RR53" s="21" t="str">
        <f t="shared" si="187"/>
        <v/>
      </c>
      <c r="RS53" s="21" t="str">
        <f t="shared" si="188"/>
        <v/>
      </c>
      <c r="RT53" s="21" t="str">
        <f t="shared" si="189"/>
        <v/>
      </c>
      <c r="RU53" s="21" t="str">
        <f t="shared" si="190"/>
        <v/>
      </c>
      <c r="RV53" s="21">
        <f t="shared" si="191"/>
        <v>11</v>
      </c>
      <c r="RW53" s="284">
        <f>IF(OR(Tabla1[[#This Row],[FUM FORMULA CONFIABLE]]="",Tabla1[[#This Row],[FUM FORMULA CONFIABLE]]="SD"),"",IF(Tabla1[[#This Row],[FUM FORMULA CONFIABLE]]="CORREGIDA",Tabla1[[#This Row],[FUM X ECO 1]],Tabla1[[#This Row],[FUM x AMENORREA]]))</f>
        <v>44821</v>
      </c>
      <c r="RX53" s="21">
        <f>IF(AND(Tabla1[[#This Row],[FUM X ECO 1]]="",Tabla1[[#This Row],[FUM x AMENORREA]]=""),"",IF(AND(Tabla1[[#This Row],[FUM X ECO 1]]="",Tabla1[[#This Row],[FUM x AMENORREA]]&lt;&gt;""),"X",SUM(Tabla1[[#This Row],[FUM X ECO 1]]-Tabla1[[#This Row],[FUM x AMENORREA]])))</f>
        <v>0</v>
      </c>
      <c r="RY53" s="21">
        <f t="shared" si="193"/>
        <v>0</v>
      </c>
    </row>
    <row r="54" spans="1:493" ht="45" customHeight="1" x14ac:dyDescent="0.25">
      <c r="A54" s="109" t="s">
        <v>1146</v>
      </c>
      <c r="B54" s="43"/>
      <c r="C54" s="43" t="s">
        <v>845</v>
      </c>
      <c r="D54" s="124" t="s">
        <v>846</v>
      </c>
      <c r="E54" s="43" t="s">
        <v>884</v>
      </c>
      <c r="F54" s="43" t="s">
        <v>1147</v>
      </c>
      <c r="G54" s="43" t="s">
        <v>938</v>
      </c>
      <c r="H54" s="43" t="s">
        <v>1148</v>
      </c>
      <c r="I54" s="109" t="s">
        <v>851</v>
      </c>
      <c r="J54" s="110">
        <v>1059605233</v>
      </c>
      <c r="K54" s="43" t="s">
        <v>904</v>
      </c>
      <c r="L54" s="175" t="s">
        <v>886</v>
      </c>
      <c r="M54" s="22">
        <v>35601</v>
      </c>
      <c r="N54" s="213">
        <f t="shared" ca="1" si="0"/>
        <v>26.386301369863013</v>
      </c>
      <c r="O54" s="22">
        <v>44894</v>
      </c>
      <c r="P54" s="214" t="str">
        <f t="shared" si="194"/>
        <v>SI</v>
      </c>
      <c r="Q54" s="26" t="s">
        <v>855</v>
      </c>
      <c r="R54" s="22">
        <v>44894</v>
      </c>
      <c r="S54" s="21" t="s">
        <v>856</v>
      </c>
      <c r="T54" s="24" t="s">
        <v>690</v>
      </c>
      <c r="U54" s="21" t="s">
        <v>857</v>
      </c>
      <c r="V54" s="21" t="s">
        <v>1009</v>
      </c>
      <c r="W54" s="21" t="s">
        <v>1149</v>
      </c>
      <c r="X54" s="21" t="s">
        <v>1149</v>
      </c>
      <c r="Y54" s="21" t="s">
        <v>859</v>
      </c>
      <c r="Z54" s="21">
        <v>3124386733</v>
      </c>
      <c r="AA54" s="21" t="s">
        <v>860</v>
      </c>
      <c r="AB54" s="27" t="s">
        <v>861</v>
      </c>
      <c r="AC54" s="26" t="s">
        <v>1107</v>
      </c>
      <c r="AD54" s="38" t="s">
        <v>1130</v>
      </c>
      <c r="AE54" s="26" t="s">
        <v>854</v>
      </c>
      <c r="AF54" s="26" t="s">
        <v>854</v>
      </c>
      <c r="AG54" s="23" t="s">
        <v>864</v>
      </c>
      <c r="AH54" s="23" t="s">
        <v>864</v>
      </c>
      <c r="AI54" s="24" t="s">
        <v>863</v>
      </c>
      <c r="AJ54" s="23" t="s">
        <v>864</v>
      </c>
      <c r="AK54" s="220" t="str">
        <f>IF(AND(AD54="",AE54="",AF54="",AG54="",AH54="",AI54="",AJ54=""),"",IF(OR(Tabla1[[#This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EVALUACIÓN",IF(AND(O54="",R54=""),"",IF(AND(OR(O54&gt;0,R54&gt;0),NG54&gt;=0,NG54&lt;2),"SIN RIESGO",IF(AND(OR(O54&gt;0,R54&gt;0),NG54&gt;=2),"CON RIESGO","ASD")))))</f>
        <v>SIN RIESGO</v>
      </c>
      <c r="AL54" s="23" t="s">
        <v>864</v>
      </c>
      <c r="AM54" s="26" t="s">
        <v>864</v>
      </c>
      <c r="AN54" s="26" t="s">
        <v>864</v>
      </c>
      <c r="AO54" s="26" t="s">
        <v>864</v>
      </c>
      <c r="AP54" s="26" t="s">
        <v>864</v>
      </c>
      <c r="AQ54" s="26" t="s">
        <v>864</v>
      </c>
      <c r="AR54" s="26" t="s">
        <v>864</v>
      </c>
      <c r="AS54" s="21">
        <v>1</v>
      </c>
      <c r="AT54" s="21">
        <v>0</v>
      </c>
      <c r="AU54" s="21">
        <v>0</v>
      </c>
      <c r="AV54" s="26" t="s">
        <v>864</v>
      </c>
      <c r="AW54" s="21">
        <v>0</v>
      </c>
      <c r="AX54" s="26" t="s">
        <v>864</v>
      </c>
      <c r="AY54" s="26" t="s">
        <v>864</v>
      </c>
      <c r="AZ54" s="26" t="s">
        <v>864</v>
      </c>
      <c r="BA54" s="26" t="s">
        <v>864</v>
      </c>
      <c r="BB54" s="26" t="s">
        <v>864</v>
      </c>
      <c r="BC54" s="26" t="s">
        <v>864</v>
      </c>
      <c r="BD54" s="26" t="s">
        <v>864</v>
      </c>
      <c r="BE54" s="26" t="s">
        <v>864</v>
      </c>
      <c r="BF54" s="26" t="s">
        <v>864</v>
      </c>
      <c r="BG54" s="26" t="s">
        <v>864</v>
      </c>
      <c r="BH54" s="26" t="s">
        <v>864</v>
      </c>
      <c r="BI54" s="26"/>
      <c r="BJ54" s="26"/>
      <c r="BK54" s="26"/>
      <c r="BL54" s="26" t="s">
        <v>864</v>
      </c>
      <c r="BM54" s="26"/>
      <c r="BN54" s="22"/>
      <c r="BO54" s="22">
        <v>44828</v>
      </c>
      <c r="BP54" s="21" t="s">
        <v>854</v>
      </c>
      <c r="BQ54" s="222">
        <f t="shared" si="2"/>
        <v>0</v>
      </c>
      <c r="BR54" s="223">
        <f t="shared" si="3"/>
        <v>44828</v>
      </c>
      <c r="BS54" s="224">
        <f t="shared" si="4"/>
        <v>9.4285714285714288</v>
      </c>
      <c r="BT54" s="216" t="str">
        <f t="shared" si="5"/>
        <v>I TRIM</v>
      </c>
      <c r="BU54" s="214" t="str">
        <f t="shared" ca="1" si="6"/>
        <v/>
      </c>
      <c r="BV54" s="25"/>
      <c r="BW54" s="22">
        <v>44898</v>
      </c>
      <c r="BX54" s="28">
        <v>10</v>
      </c>
      <c r="BY54" s="28"/>
      <c r="BZ54" s="22">
        <v>44960</v>
      </c>
      <c r="CA54" s="21">
        <v>20.2</v>
      </c>
      <c r="CB54" s="26" t="s">
        <v>864</v>
      </c>
      <c r="CC54" s="26" t="s">
        <v>864</v>
      </c>
      <c r="CD54" s="26" t="s">
        <v>878</v>
      </c>
      <c r="CE54" s="26" t="s">
        <v>864</v>
      </c>
      <c r="CF54" s="22" t="s">
        <v>1517</v>
      </c>
      <c r="CG54" s="21">
        <v>1.57</v>
      </c>
      <c r="CH54" s="21">
        <v>70</v>
      </c>
      <c r="CI54" s="214">
        <f t="shared" si="7"/>
        <v>28.398718000730252</v>
      </c>
      <c r="CJ54" s="225" t="str">
        <f>IF(AND(CI54&lt;10,CH54="SD"),"SIN DATO PESO PREGESTACION O I TRIM",IF(AND(OR(R54&gt;0,O54&gt;0),CI54="X"),"INGRESAR DATO DE PESO",IF(CI54="SD","INGRESAR DATO DE TALLA Y PESO",IF(AND(OR(Tabla1[[#This Row],[MOMENTO EN QUE SE REALIZA EL PESO AL INGRESO A CPN]]="PREGESTACIÓN",NZ54="Menor"),CI54&lt;18.5),"BAJO PESO",IF(AND(OR(Tabla1[[#This Row],[MOMENTO EN QUE SE REALIZA EL PESO AL INGRESO A CPN]]="PREGESTACIÓN",NZ54="Menor"),CI54&lt;25),"NORMAL",IF(AND(OR(Tabla1[[#This Row],[MOMENTO EN QUE SE REALIZA EL PESO AL INGRESO A CPN]]="PREGESTACIÓN",NZ54="Menor"),CI54&lt;30),"SOBREPESO",IF(AND(OR(Tabla1[[#This Row],[MOMENTO EN QUE SE REALIZA EL PESO AL INGRESO A CPN]]="PREGESTACIÓN",NZ54="Menor"),CI54&gt;=30,CI54&lt;50),"OBESIDAD",IF(AND(BS54&gt;0,Tabla1[[#This Row],[MOMENTO EN QUE SE REALIZA EL PESO AL INGRESO A CPN]]="GESTACIÓN"),HLOOKUP(NZ54,$OA$2:PH54,NY54),""))))))))</f>
        <v>SOBREPESO</v>
      </c>
      <c r="CK54" s="212">
        <f t="shared" si="8"/>
        <v>45090</v>
      </c>
      <c r="CL54" s="21">
        <v>81.900000000000006</v>
      </c>
      <c r="CM54" s="214">
        <f t="shared" si="9"/>
        <v>33.226500060854399</v>
      </c>
      <c r="CN54" s="216">
        <f t="shared" si="10"/>
        <v>37</v>
      </c>
      <c r="CO54" s="216" t="e">
        <f>IF(PI54="","",IF(PI54&gt;0,HLOOKUP(PI54,$PJ$2:QQ54,NY54),""))</f>
        <v>#REF!</v>
      </c>
      <c r="CP54" s="21"/>
      <c r="CQ54" s="216" t="e">
        <f>IF(QR54="Menor","NO APLICA-MENOR 13 SEM",IF(AND(CC54="SI",CN54&gt;23),"NO APLICA- GEMELAR",IF(QR54="","",IF(QR54&gt;0,HLOOKUP(QR54,$QS$2:RU54,NY54),""))))</f>
        <v>#REF!</v>
      </c>
      <c r="CR54" s="21">
        <v>100</v>
      </c>
      <c r="CS54" s="21">
        <v>70</v>
      </c>
      <c r="CT54" s="217" t="str">
        <f>IF(R54="","",IF(AND(BS54&gt;1,BS54&lt;12,Tabla1[[#This Row],[T.A. SISTOLICA - ANTES DE SEMANA 12]]="",Tabla1[[#This Row],[T.A. DIASTOLICA - ANTES DE SEMANA 12]]=""),"REGISTRE DATO TA ANTES SEMANA 12",IF(AND(BS54&gt;11,BS54&lt;43,Tabla1[[#This Row],[T.A. SISTOLICA - ANTES DE SEMANA 12]]="",Tabla1[[#This Row],[T.A. DIASTOLICA - ANTES DE SEMANA 12]]=""),"NO APLICA REGISTRO TA-INGRESO TARDIO",IF(AND(OR(O54&gt;0,R54&gt;0),OR(CR54&gt;=140,CS54&gt;=90)),"DEFINIR ESTADIO HTA",IF(AND(OR(O54&gt;0,R54&gt;0),AND(CR54&gt;120,CR54&lt;=139)),"PRE HTA SEGUIMIENTO",IF(AND(OR(O54&gt;0,R54&gt;0),AND(CS54&gt;80,CS54&lt;=89)),"PRE HTA SEGUIMIENTO",IF(AND(OR(O54&gt;0,R54&gt;0),AND(CR54&gt;=80,CR54&lt;=120)),"APARENTEMENTE NORMAL",IF(AND(OR(O54&gt;0,R54&gt;0),AND(CS54&gt;=50,CS54&lt;=80)),"APARENTEMENTE NORMAL",IF(AND(OR(O54&gt;0,R54&gt;0),AND(CR54&gt;1,CR54&lt;=70),AND(CS54&gt;1,CS54&lt;=40)),"HIPOTENSIÓN","")))))))))</f>
        <v>APARENTEMENTE NORMAL</v>
      </c>
      <c r="CU54" s="21">
        <v>100</v>
      </c>
      <c r="CV54" s="21">
        <v>60</v>
      </c>
      <c r="CW54" s="217" t="str">
        <f ca="1">IF(R54="","",IF(AND(CN54&gt;19,CN54&lt;27,Tabla1[[#This Row],[T.A. SISTOLICA (Entre semana 20 y 26)]]="",Tabla1[[#This Row],[T.A. DIATOLICA (Entre semana 20 y 26)]]=""),"ACUDE A CONTROL SEM 20 A 26 REGISTRE TA AHORA",IF(AND(BS54&gt;1,BS54&lt;27,BU54&gt;19,Tabla1[[#This Row],[T.A. SISTOLICA (Entre semana 20 y 26)]]="",Tabla1[[#This Row],[T.A. DIATOLICA (Entre semana 20 y 26)]]=""),"COMPLETE REGISTRO TA CONTROL SEM 20 A26 ",IF(AND(BS54&gt;26,BS54&lt;43,Tabla1[[#This Row],[T.A. SISTOLICA (Entre semana 20 y 26)]]="",Tabla1[[#This Row],[T.A. DIATOLICA (Entre semana 20 y 26)]]=""),"NO APLICA REGISTRO TA-INGRESO TARDIO",IF(AND(OR(O54&gt;0,R54&gt;0),OR(CU54&gt;=140,CV54&gt;=90)),"ALTO RIESGO PREECLAMPSIA,DEFINIR ESTADIO HTA",IF(AND(OR(O54&gt;0,R54&gt;0),AND(CU54&gt;120,CU54&lt;=139)),"PRE HTA SEGUIMIENTO,RIESGO HIPERTENSION INDUCIDA POR EL EMBARAZO",IF(AND(OR(O54&gt;0,R54&gt;0),AND(CV54&gt;80,CV54&lt;=89)),"PRE HTA SEGUIMIENTO, RIESGO HIPERTENSION INDUCIDA POR EL EMBARAZO",IF(AND(OR(O54&lt;&gt;"",R54&lt;&gt;""),CS54&lt;&gt;"",CV54&lt;&gt;"",CS54&lt;=CV54),"VIGILAR CIFRAS PRESION ARTERIAL",IF(AND(OR(O54&gt;0,R54&gt;0),AND(CU54&gt;120,CU54&lt;=139)),"PRE HTA SEGUIMIENTO",IF(AND(OR(O54&gt;0,R54&gt;0),AND(CU54&gt;1,CU54&lt;=70),AND(CV54&gt;1,CV54&lt;=40)),"HIPOTENSIÓN",IF(AND(OR(O54&lt;&gt;"",R54&lt;&gt;""),CS54&lt;&gt;"",CV54&lt;&gt;"",CS54&gt;CV54),"APARENTEMENTE NORMAL",IF(AND(OR(O54&gt;0,R54&gt;0),AND(CU54&gt;=80,CU54&lt;=120)),"APARENTEMENTE NORMAL",IF(AND(OR(O54&gt;0,R54&gt;0),AND(CV54&gt;=50,CV54&lt;=80)),"APARENTEMENTE NORMAL","")))))))))))))</f>
        <v>APARENTEMENTE NORMAL</v>
      </c>
      <c r="CX54" s="21">
        <v>100</v>
      </c>
      <c r="CY54" s="21">
        <v>70</v>
      </c>
      <c r="CZ54" s="216" t="str">
        <f t="shared" si="195"/>
        <v>APARENTEMENTE NORMAL</v>
      </c>
      <c r="DA54" s="21">
        <v>160</v>
      </c>
      <c r="DB54" s="21">
        <v>110</v>
      </c>
      <c r="DC54" s="217" t="str">
        <f t="shared" si="12"/>
        <v>ESTUDIO INMEDIATO HTA PARA DESCARTAR PREECLAMSIA</v>
      </c>
      <c r="DD54" s="22">
        <v>44894</v>
      </c>
      <c r="DE54" s="22">
        <v>44894</v>
      </c>
      <c r="DF54" s="22">
        <v>44923</v>
      </c>
      <c r="DG54" s="22">
        <v>44959</v>
      </c>
      <c r="DH54" s="22">
        <v>44987</v>
      </c>
      <c r="DI54" s="22">
        <v>45000</v>
      </c>
      <c r="DJ54" s="22">
        <v>45031</v>
      </c>
      <c r="DK54" s="22">
        <v>45090</v>
      </c>
      <c r="DL54" s="22"/>
      <c r="DM54" s="22"/>
      <c r="DN54" s="22"/>
      <c r="DO54" s="22"/>
      <c r="DP54" s="22"/>
      <c r="DQ54" s="22"/>
      <c r="DR54" s="28">
        <v>2</v>
      </c>
      <c r="DS54" s="22"/>
      <c r="DT54" s="22"/>
      <c r="DU54" s="216" t="str">
        <f t="shared" ca="1" si="196"/>
        <v>SALE SIN PLAN DE PARTO</v>
      </c>
      <c r="DV54" s="226" t="str">
        <f t="shared" si="197"/>
        <v>SALIO PROGRAMA</v>
      </c>
      <c r="DW54"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54" s="216" t="str">
        <f t="shared" ca="1" si="15"/>
        <v/>
      </c>
      <c r="DY54" s="212">
        <f>IF(R54="","",IF(R54&gt;0,MAX(Tabla1[[#This Row],[FECHA C2]:[FECHA C13]],Tabla1[[#This Row],[FECHA CONSULTA PRIMERA VEZ PROGRAMA CPN ]])))</f>
        <v>45090</v>
      </c>
      <c r="DZ54" s="216">
        <f t="shared" si="16"/>
        <v>37</v>
      </c>
      <c r="EA54" s="222">
        <f>IF(R54&gt;0,SUM(COUNTA(DF54:DQ54)+COUNTA(Tabla1[[#This Row],[FECHA CONSULTA PRIMERA VEZ PROGRAMA CPN ]])),"")</f>
        <v>7</v>
      </c>
      <c r="EB54" s="222" t="str">
        <f t="shared" si="17"/>
        <v>SI</v>
      </c>
      <c r="EC54" s="214">
        <f t="shared" si="18"/>
        <v>9</v>
      </c>
      <c r="ED54" s="227">
        <f t="shared" si="19"/>
        <v>0.77777777777777779</v>
      </c>
      <c r="EE54" s="22">
        <v>44894</v>
      </c>
      <c r="EF54" s="22">
        <v>44981</v>
      </c>
      <c r="EG54" s="22">
        <v>44894</v>
      </c>
      <c r="EH54" s="22">
        <v>44942</v>
      </c>
      <c r="EI54" s="22">
        <v>44894</v>
      </c>
      <c r="EJ54" s="22">
        <v>44942</v>
      </c>
      <c r="EK54" s="22">
        <v>45037</v>
      </c>
      <c r="EL54" s="21">
        <v>1</v>
      </c>
      <c r="EM54" s="21">
        <v>14</v>
      </c>
      <c r="EN54" s="22">
        <v>44901</v>
      </c>
      <c r="EO54" s="222">
        <f t="shared" si="20"/>
        <v>10.428571428571429</v>
      </c>
      <c r="EP54" s="214" t="str">
        <f t="shared" si="21"/>
        <v>NORMAL- SUMINISTRAR SULFATO FERROSO</v>
      </c>
      <c r="EQ54" s="216" t="str">
        <f t="shared" si="22"/>
        <v>I TRIM</v>
      </c>
      <c r="ER54" s="24"/>
      <c r="ES54" s="22"/>
      <c r="ET54" s="29" t="str">
        <f t="shared" ca="1" si="198"/>
        <v>SALE SIN TAMIZAJE HEMOGLOBINA SEM 28</v>
      </c>
      <c r="EU54" s="25" t="str">
        <f t="shared" si="24"/>
        <v/>
      </c>
      <c r="EV54" s="24" t="s">
        <v>866</v>
      </c>
      <c r="EW54" s="24">
        <v>44901</v>
      </c>
      <c r="EX54" s="22"/>
      <c r="EY54" s="29">
        <f t="shared" si="199"/>
        <v>10.428571428571429</v>
      </c>
      <c r="EZ54" s="25" t="str">
        <f t="shared" ca="1" si="200"/>
        <v/>
      </c>
      <c r="FA54" s="21">
        <v>75</v>
      </c>
      <c r="FB54" s="22">
        <v>44901</v>
      </c>
      <c r="FC54" s="29">
        <f t="shared" si="27"/>
        <v>10.428571428571429</v>
      </c>
      <c r="FD54" s="29">
        <v>62</v>
      </c>
      <c r="FE54" s="29">
        <v>98</v>
      </c>
      <c r="FF54" s="29">
        <v>101</v>
      </c>
      <c r="FG54" s="21" t="str">
        <f t="shared" ca="1" si="28"/>
        <v>NORMAL</v>
      </c>
      <c r="FH54" s="31">
        <v>45013</v>
      </c>
      <c r="FI54" s="29">
        <f t="shared" si="29"/>
        <v>26.428571428571427</v>
      </c>
      <c r="FJ54" s="22" t="s">
        <v>867</v>
      </c>
      <c r="FK54" s="22">
        <v>44901</v>
      </c>
      <c r="FL54" s="29">
        <f t="shared" ca="1" si="30"/>
        <v>10.428571428571429</v>
      </c>
      <c r="FM54" s="22" t="s">
        <v>867</v>
      </c>
      <c r="FN54" s="32">
        <v>45013</v>
      </c>
      <c r="FO54" s="29">
        <f t="shared" ca="1" si="201"/>
        <v>26.428571428571427</v>
      </c>
      <c r="FP54" s="22" t="s">
        <v>867</v>
      </c>
      <c r="FQ54" s="32">
        <v>45066</v>
      </c>
      <c r="FR54" s="29">
        <f t="shared" ca="1" si="202"/>
        <v>34</v>
      </c>
      <c r="FS54" s="22"/>
      <c r="FT54" s="32"/>
      <c r="FU54" s="29" t="str">
        <f>IF(AND(FJ54="",FM54="",FP54="",FS54=""),"",IF(OR(OR(Tabla1[[#This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54" s="28"/>
      <c r="FW54" s="22"/>
      <c r="FX54" s="29" t="str">
        <f t="shared" si="33"/>
        <v>TOMAR EXAMEN</v>
      </c>
      <c r="FY54" s="22">
        <v>44901</v>
      </c>
      <c r="FZ54" s="22">
        <v>44901</v>
      </c>
      <c r="GA54" s="29">
        <f t="shared" ca="1" si="203"/>
        <v>10.428571428571429</v>
      </c>
      <c r="GB54" s="22"/>
      <c r="GC54" s="22"/>
      <c r="GD54" s="29" t="str">
        <f t="shared" ca="1" si="204"/>
        <v>PIERDE TOMA DE TAMIZAJE</v>
      </c>
      <c r="GE54" s="22" t="s">
        <v>868</v>
      </c>
      <c r="GF54" s="22">
        <v>45066</v>
      </c>
      <c r="GG54" s="29">
        <f t="shared" ca="1" si="205"/>
        <v>34</v>
      </c>
      <c r="GH54" s="22"/>
      <c r="GI54" s="29"/>
      <c r="GJ54" s="22"/>
      <c r="GK54" s="22"/>
      <c r="GL54" s="22"/>
      <c r="GM54" s="22"/>
      <c r="GN54" s="28" t="s">
        <v>869</v>
      </c>
      <c r="GO54" s="22">
        <v>44901</v>
      </c>
      <c r="GP54" s="29">
        <f t="shared" si="37"/>
        <v>10.428571428571429</v>
      </c>
      <c r="GQ54" s="28" t="s">
        <v>869</v>
      </c>
      <c r="GR54" s="28" t="s">
        <v>869</v>
      </c>
      <c r="GS54" s="22" t="str">
        <f t="shared" si="206"/>
        <v>CONTROL Igm</v>
      </c>
      <c r="GT54" s="22">
        <v>44901</v>
      </c>
      <c r="GU54" s="29">
        <f t="shared" si="39"/>
        <v>10.428571428571429</v>
      </c>
      <c r="GV54" s="21" t="str">
        <f t="shared" si="40"/>
        <v>I TRIM</v>
      </c>
      <c r="GW54" s="28" t="s">
        <v>869</v>
      </c>
      <c r="GX54" s="30"/>
      <c r="GY54" s="21"/>
      <c r="GZ54" s="21"/>
      <c r="HA54" s="21"/>
      <c r="HB54" s="21"/>
      <c r="HC54" s="21"/>
      <c r="HD54" s="21"/>
      <c r="HE54" s="21"/>
      <c r="HF54" s="22"/>
      <c r="HG54" s="22" t="str">
        <f>IF(OR(O54&gt;0,R54&gt;0),CONCATENATE(IF(Tabla1[[#This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54" s="22" t="e">
        <f t="shared" si="41"/>
        <v>#REF!</v>
      </c>
      <c r="HI54" s="22" t="e">
        <f t="shared" ca="1" si="42"/>
        <v>#REF!</v>
      </c>
      <c r="HJ54" s="21" t="str">
        <f t="shared" ca="1" si="43"/>
        <v>**********************MULTIPARIDAD*****************</v>
      </c>
      <c r="HK54" s="21" t="str">
        <f t="shared" si="44"/>
        <v>SIN ANTECEDENTES DE RIESGO</v>
      </c>
      <c r="HL54" s="24" t="str">
        <f t="shared" si="45"/>
        <v>ESTUDIO INMEDIATO HTA PARA DESCARTAR PREECLAMSIA</v>
      </c>
      <c r="HM54" s="21" t="str">
        <f t="shared" ca="1" si="46"/>
        <v/>
      </c>
      <c r="HN54" s="30" t="str">
        <f t="shared" si="207"/>
        <v>SALIO PROGRAMA</v>
      </c>
      <c r="HO54" s="21"/>
      <c r="HP54" s="21"/>
      <c r="HQ54" s="21">
        <v>44894</v>
      </c>
      <c r="HR54" s="21" t="str">
        <f>IF(R54="","",IF(Tabla1[[#This Row],[ALARMA FACTORES DE RIESGO COMPLICACIONES HIPERTENSIVAS3]]="SIN ANTECEDENTES DE RIESGO","No Aplica para suministro de ASA",IF(AND(Tabla1[[#This Row],[FECHA INICIO DE SUMINISTRO DE ASA]]&gt;0,RV54&lt;12),"Inicia ASA ANTES de Sem 12",IF(AND(RV54&gt;11,RV54&lt;17,OR(HK54="RIESGO ALTO DE COMPLICACIONES HIPERTENSIVAS VER MANEJO GUIA SUMINISTRO ASA Y CALCIO",HK54="RIESGO MODERADO (2 O MAS CRITERIOS) VER MANEJO GUIA SUMINISTRO ASA Y CALCIO")),"Inicio oportuno de ASA",IF(AND(RV54&gt;12,OR(HK54="RIESGO ALTO DE COMPLICACIONES HIPERTENSIVAS VER MANEJO GUIA SUMINISTRO ASA Y CALCIO",HK54="RIESGO MODERADO (2 O MAS CRITERIOS) VER MANEJO GUIA SUMINISTRO ASA Y CALCIO")),"Inicio no oportuno mayor a 16 semanas",IF(AND(BU54&lt;12,OR(HK54="RIESGO ALTO DE COMPLICACIONES HIPERTENSIVAS VER MANEJO GUIA SUMINISTRO ASA Y CALCIO",HK54="RIESGO MODERADO (2 O MAS CRITERIOS) VER MANEJO GUIA SUMINISTRO ASA Y CALCIO")),"Pendiente Inicio de ASA a la semana 12",IF(AND(BU54&gt;11,BU54&lt;17,OR(HK54="RIESGO ALTO DE COMPLICACIONES HIPERTENSIVAS VER MANEJO GUIA SUMINISTRO ASA Y CALCIO",HK54="RIESGO MODERADO (2 O MAS CRITERIOS) VER MANEJO GUIA SUMINISTRO ASA Y CALCIO")),"Iniciar de inmediato ASA",IF(AND(BU54&gt;16,OR(HK54="RIESGO ALTO DE COMPLICACIONES HIPERTENSIVAS VER MANEJO GUIA SUMINISTRO ASA Y CALCIO",HK54="RIESGO MODERADO (2 O MAS CRITERIOS) VER MANEJO GUIA SUMINISTRO ASA Y CALCIO")),"Pierde Oportunidad, Inicio tardío de ASA","XXXXX"))))))))</f>
        <v>No Aplica para suministro de ASA</v>
      </c>
      <c r="HS54" s="22">
        <v>44894</v>
      </c>
      <c r="HT54" s="22" t="s">
        <v>870</v>
      </c>
      <c r="HU54" s="22">
        <v>44894</v>
      </c>
      <c r="HV54" s="22" t="s">
        <v>870</v>
      </c>
      <c r="HW54" s="22">
        <v>44894</v>
      </c>
      <c r="HX54" s="22" t="s">
        <v>870</v>
      </c>
      <c r="HY54" s="22">
        <v>44894</v>
      </c>
      <c r="HZ54" s="28">
        <f t="shared" si="48"/>
        <v>9.4285714285714288</v>
      </c>
      <c r="IA54" s="26" t="s">
        <v>864</v>
      </c>
      <c r="IB54" s="26"/>
      <c r="IC54" s="111">
        <v>44964</v>
      </c>
      <c r="ID54" s="22">
        <v>44964</v>
      </c>
      <c r="IE54" s="22" t="str">
        <f t="shared" ca="1" si="49"/>
        <v>VACUNA APLICADA ENTRE SEMANA 20 Y SEMANA 26</v>
      </c>
      <c r="IF54" s="22"/>
      <c r="IG54" s="22">
        <f t="shared" si="50"/>
        <v>45108</v>
      </c>
      <c r="IH54" s="29">
        <f t="shared" ca="1" si="51"/>
        <v>-124</v>
      </c>
      <c r="II54" s="22" t="str">
        <f t="shared" ca="1" si="52"/>
        <v>POSIBLEMENTE NACIO</v>
      </c>
      <c r="IJ54" s="22"/>
      <c r="IK54" s="21" t="s">
        <v>1652</v>
      </c>
      <c r="IL54" s="21"/>
      <c r="IM54" s="34"/>
      <c r="IN54" s="349">
        <v>45092</v>
      </c>
      <c r="IO54" s="21" t="s">
        <v>1186</v>
      </c>
      <c r="IP54" s="29">
        <f t="shared" si="208"/>
        <v>37.714285714285715</v>
      </c>
      <c r="IQ54" s="35" t="s">
        <v>1650</v>
      </c>
      <c r="IR54" s="21" t="s">
        <v>1651</v>
      </c>
      <c r="IS54" s="21" t="s">
        <v>1646</v>
      </c>
      <c r="IT54" s="21" t="s">
        <v>1642</v>
      </c>
      <c r="IU54" s="21"/>
      <c r="IV54" s="21"/>
      <c r="IW54" s="21"/>
      <c r="IX54" s="21"/>
      <c r="IY54" s="21"/>
      <c r="IZ54" s="21"/>
      <c r="JA54" s="21"/>
      <c r="JB54" s="30">
        <v>1</v>
      </c>
      <c r="JC54" s="21" t="s">
        <v>1647</v>
      </c>
      <c r="JD54" s="36">
        <v>3320</v>
      </c>
      <c r="JE54" s="21" t="str">
        <f t="shared" si="209"/>
        <v>PESO ADECUADO EDAD GESTACIONAL</v>
      </c>
      <c r="JF54" s="30"/>
      <c r="JG54" s="21"/>
      <c r="JH54" s="21"/>
      <c r="JI54" s="21" t="s">
        <v>854</v>
      </c>
      <c r="JJ54" s="30" t="s">
        <v>866</v>
      </c>
      <c r="JK54" s="22"/>
      <c r="JL54" s="22"/>
      <c r="JM54" s="21"/>
      <c r="JN54" s="36"/>
      <c r="JO54" s="21" t="str">
        <f t="shared" si="210"/>
        <v/>
      </c>
      <c r="JP54" s="22"/>
      <c r="JQ54" s="21"/>
      <c r="JR54" s="21"/>
      <c r="JS54" s="21"/>
      <c r="JT54" s="30"/>
      <c r="JU54" s="22"/>
      <c r="JV54" s="22"/>
      <c r="JW54" s="33"/>
      <c r="JX54" s="28" t="str">
        <f t="shared" si="211"/>
        <v>INASISTENTE</v>
      </c>
      <c r="JY54" s="33"/>
      <c r="JZ54" s="28" t="str">
        <f t="shared" si="212"/>
        <v>INASISTENTE</v>
      </c>
      <c r="KA54" s="21"/>
      <c r="KB54" s="21"/>
      <c r="KC54" s="21"/>
      <c r="KD54" s="37"/>
      <c r="KE54" s="28"/>
      <c r="KF54" s="28"/>
      <c r="KG54" s="28"/>
      <c r="KH54" s="39"/>
      <c r="KI54" s="39"/>
      <c r="KJ54" s="66"/>
      <c r="KK54" s="39"/>
      <c r="KL54" s="39"/>
      <c r="KM54" s="66"/>
      <c r="KN54" s="39"/>
      <c r="KO54" s="39"/>
      <c r="KP54" s="39"/>
      <c r="KQ54" s="39"/>
      <c r="KR54" s="39"/>
      <c r="KS54" s="39"/>
      <c r="KT54" s="39"/>
      <c r="KU54" s="38"/>
      <c r="KV54" s="38"/>
      <c r="KW54" s="38"/>
      <c r="KX54" s="38"/>
      <c r="KY54" s="38"/>
      <c r="KZ54" s="38"/>
      <c r="LA54" s="38"/>
      <c r="LB54" s="38"/>
      <c r="LC54" s="38"/>
      <c r="LD54" s="38"/>
      <c r="LE54" s="38"/>
      <c r="LF54" s="38"/>
      <c r="LG54" s="38"/>
      <c r="LH54" s="38"/>
      <c r="LI54" s="38"/>
      <c r="LJ54" s="38"/>
      <c r="LK54" s="38"/>
      <c r="LL54" s="38"/>
      <c r="LM54" s="38"/>
      <c r="LN54" s="38"/>
      <c r="LO54" s="38"/>
      <c r="LP54" s="38"/>
      <c r="LQ54" s="38"/>
      <c r="LR54" s="38"/>
      <c r="LS54" s="38"/>
      <c r="LT54" s="38"/>
      <c r="LU54" s="38"/>
      <c r="LV54" s="38"/>
      <c r="LW54" s="38"/>
      <c r="LX54" s="38"/>
      <c r="LY54" s="38"/>
      <c r="LZ54" s="38"/>
      <c r="MA54" s="38"/>
      <c r="MB54" s="38"/>
      <c r="MC54" s="38"/>
      <c r="MD54" s="38"/>
      <c r="ME54" s="38"/>
      <c r="MF54" s="38"/>
      <c r="MG54" s="38"/>
      <c r="MH54" s="43">
        <f t="shared" si="213"/>
        <v>0</v>
      </c>
      <c r="MI54" s="43" t="str">
        <f t="shared" si="214"/>
        <v/>
      </c>
      <c r="MJ54" s="43" t="str">
        <f t="shared" si="215"/>
        <v/>
      </c>
      <c r="MK54" s="43">
        <f t="shared" si="216"/>
        <v>0</v>
      </c>
      <c r="ML5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54" s="43">
        <f t="shared" si="217"/>
        <v>9.4285714285714288</v>
      </c>
      <c r="MN54" s="43">
        <f t="shared" si="218"/>
        <v>11</v>
      </c>
      <c r="MO54" s="43">
        <f t="shared" si="219"/>
        <v>2022</v>
      </c>
      <c r="MP54" s="43" t="str">
        <f t="shared" si="220"/>
        <v>IV TRIMESTRE AÑO</v>
      </c>
      <c r="MQ54" s="43">
        <f t="shared" si="221"/>
        <v>25.073915900131407</v>
      </c>
      <c r="MR54" s="43">
        <f t="shared" si="222"/>
        <v>0</v>
      </c>
      <c r="MS54" s="43" t="str">
        <f t="shared" si="223"/>
        <v xml:space="preserve"> DE 25 A 29 AÑOS</v>
      </c>
      <c r="MT54" s="43">
        <f t="shared" si="224"/>
        <v>0</v>
      </c>
      <c r="MU54" s="43">
        <f t="shared" si="225"/>
        <v>1</v>
      </c>
      <c r="MV54" s="43">
        <f t="shared" si="226"/>
        <v>0</v>
      </c>
      <c r="MW54" s="43">
        <f t="shared" si="227"/>
        <v>0</v>
      </c>
      <c r="MX54" s="43" t="str">
        <f t="shared" si="228"/>
        <v/>
      </c>
      <c r="MY54" s="43" t="str">
        <f t="shared" ca="1" si="229"/>
        <v/>
      </c>
      <c r="MZ54" s="43" t="str">
        <f t="shared" si="230"/>
        <v/>
      </c>
      <c r="NA54" s="43">
        <f t="shared" si="231"/>
        <v>0</v>
      </c>
      <c r="NB54" s="43" t="str">
        <f t="shared" si="232"/>
        <v/>
      </c>
      <c r="NC54" s="43" t="str">
        <f t="shared" si="233"/>
        <v/>
      </c>
      <c r="ND54" s="43">
        <f t="shared" ca="1" si="234"/>
        <v>1</v>
      </c>
      <c r="NE54" s="43">
        <f>IF(OR(O54&gt;0,R54&gt;0),SUM(COUNTIF(Tabla1[[#This Row],[AÑOS AL INICIO5 CPN]],"&gt;=40"),COUNTIF(AS54,"0"),COUNTIF(AR54,"SI"),COUNTIF(CC54,"SI"),COUNTIF(BQ54,"&gt;119"),COUNTIF(CI54,"&gt;=35")),"")</f>
        <v>0</v>
      </c>
      <c r="NF54" s="43">
        <f t="shared" si="235"/>
        <v>19.428571428571427</v>
      </c>
      <c r="NG54" s="43">
        <f t="shared" si="236"/>
        <v>0</v>
      </c>
      <c r="NH54" s="43">
        <f t="shared" si="237"/>
        <v>70</v>
      </c>
      <c r="NI54"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CPN",P54="NO"),"Z",IF(AND(Tabla1[[#This Row],[CITA PROXIMO CONTROL]]="CITA MANUAL",Tabla1[[#This Row],[GESTANTES ACTUALES]]="ACTIVA INGRESO A CPN"),"W",IF(AND(Tabla1[[#This Row],[GESTANTES ACTUALES]]="SALIO PROGRAMA",IN54=""),"S",IF(AND(Tabla1[[#This Row],[CITA PROXIMO CONTROL]]&gt;0,IN54=""),(Tabla1[[#This Row],[CITA PROXIMO CONTROL]]-TODAY()),"SD"))))))))</f>
        <v>SD</v>
      </c>
      <c r="NJ54" s="43">
        <f>MONTH(Tabla1[[#This Row],[FECHA DE SALIDA  DEL PROGRAMA]])</f>
        <v>6</v>
      </c>
      <c r="NK54" s="43">
        <f>YEAR(Tabla1[[#This Row],[FECHA DE SALIDA  DEL PROGRAMA]])</f>
        <v>2023</v>
      </c>
      <c r="NL54" s="43">
        <f t="shared" si="238"/>
        <v>48</v>
      </c>
      <c r="NM54" s="43" t="str">
        <f t="shared" si="239"/>
        <v>NO</v>
      </c>
      <c r="NN54" s="43" t="str">
        <f ca="1">IF(AND(O54&gt;0,R54=""),"NO CPN",IF(AND(O54="",R54=""),"",IF(AND(R54&gt;0,Tabla1[[#This Row],[SEMANAS DE GESTACION ACTUALIZADAS]]&lt;=12),"NO APLICA",IF(AND(FH54&lt;&gt;"",FN54&lt;&gt;""),"SI","NO"))))</f>
        <v>SI</v>
      </c>
      <c r="NO54" s="43" t="str">
        <f ca="1">IF(AND(O54&gt;0,R54=""),"NO CPN",IF(AND(O54="",R54=""),"",IF(AND(R54&gt;0,Tabla1[[#This Row],[SEMANAS DE GESTACION ACTUALIZADAS]]&lt;=27),"NO APLICA",IF(AND(ES54&lt;&gt;"",FQ54&lt;&gt;"",GF54&lt;&gt;""),"SI","NO"))))</f>
        <v>NO</v>
      </c>
      <c r="NP54" s="204" t="str">
        <f t="shared" si="240"/>
        <v>I TRIM</v>
      </c>
      <c r="NQ54" s="21">
        <f t="shared" si="241"/>
        <v>3</v>
      </c>
      <c r="NR54" s="21">
        <f t="shared" si="242"/>
        <v>3</v>
      </c>
      <c r="NS54" s="205">
        <f t="shared" ca="1" si="243"/>
        <v>3</v>
      </c>
      <c r="NT54" s="21">
        <f t="shared" ca="1" si="244"/>
        <v>2</v>
      </c>
      <c r="NU54" s="21" t="str">
        <f t="shared" ca="1" si="245"/>
        <v>COMPLETO</v>
      </c>
      <c r="NV54" s="21" t="str">
        <f t="shared" ca="1" si="246"/>
        <v>INCOMPLETO</v>
      </c>
      <c r="NW54" s="206" t="str">
        <f>IF(AND(O54="",R54=""),"",IF(OR(AND(Tabla1[[#This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54" s="207" t="str">
        <f t="shared" ca="1" si="247"/>
        <v>VACUNADA</v>
      </c>
      <c r="NY54" s="43">
        <f>ROW(Tabla1[[#This Row],['# DE TAMIZAJES SIFILIS TOMADOS ]])</f>
        <v>54</v>
      </c>
      <c r="NZ54" s="43" t="str">
        <f t="shared" si="93"/>
        <v>Menor</v>
      </c>
      <c r="OA54" s="43" t="str">
        <f t="shared" si="94"/>
        <v>SOBREPESO</v>
      </c>
      <c r="OB54" s="43" t="str">
        <f t="shared" si="95"/>
        <v/>
      </c>
      <c r="OC54" s="43" t="str">
        <f t="shared" si="96"/>
        <v/>
      </c>
      <c r="OD54" s="43" t="str">
        <f t="shared" si="97"/>
        <v/>
      </c>
      <c r="OE54" s="43" t="str">
        <f t="shared" si="98"/>
        <v/>
      </c>
      <c r="OF54" s="43" t="str">
        <f t="shared" si="99"/>
        <v/>
      </c>
      <c r="OG54" s="43" t="str">
        <f t="shared" si="100"/>
        <v/>
      </c>
      <c r="OH54" s="43" t="str">
        <f t="shared" si="101"/>
        <v/>
      </c>
      <c r="OI54" s="43" t="str">
        <f t="shared" si="102"/>
        <v/>
      </c>
      <c r="OJ54" s="43" t="str">
        <f t="shared" si="103"/>
        <v/>
      </c>
      <c r="OK54" s="43" t="str">
        <f t="shared" si="104"/>
        <v/>
      </c>
      <c r="OL54" s="43" t="str">
        <f t="shared" si="105"/>
        <v/>
      </c>
      <c r="OM54" s="43" t="str">
        <f t="shared" si="106"/>
        <v/>
      </c>
      <c r="ON54" s="43" t="str">
        <f t="shared" si="107"/>
        <v/>
      </c>
      <c r="OO54" s="43" t="str">
        <f t="shared" si="108"/>
        <v/>
      </c>
      <c r="OP54" s="43" t="str">
        <f t="shared" si="109"/>
        <v/>
      </c>
      <c r="OQ54" s="43" t="str">
        <f t="shared" si="110"/>
        <v/>
      </c>
      <c r="OR54" s="43" t="str">
        <f t="shared" si="111"/>
        <v/>
      </c>
      <c r="OS54" s="43" t="str">
        <f t="shared" si="112"/>
        <v/>
      </c>
      <c r="OT54" s="43" t="str">
        <f t="shared" si="113"/>
        <v/>
      </c>
      <c r="OU54" s="43" t="str">
        <f t="shared" si="114"/>
        <v/>
      </c>
      <c r="OV54" s="110" t="str">
        <f t="shared" si="115"/>
        <v/>
      </c>
      <c r="OW54" s="43" t="str">
        <f t="shared" si="116"/>
        <v/>
      </c>
      <c r="OX54" s="43" t="str">
        <f t="shared" si="117"/>
        <v/>
      </c>
      <c r="OY54" s="43" t="str">
        <f t="shared" si="118"/>
        <v/>
      </c>
      <c r="OZ54" s="43" t="str">
        <f t="shared" si="119"/>
        <v/>
      </c>
      <c r="PA54" s="43" t="str">
        <f t="shared" si="120"/>
        <v/>
      </c>
      <c r="PB54" s="43" t="str">
        <f t="shared" si="121"/>
        <v/>
      </c>
      <c r="PC54" s="43" t="str">
        <f t="shared" si="122"/>
        <v/>
      </c>
      <c r="PD54" s="43" t="str">
        <f t="shared" si="123"/>
        <v/>
      </c>
      <c r="PE54" s="43" t="str">
        <f t="shared" si="124"/>
        <v/>
      </c>
      <c r="PF54" s="43" t="str">
        <f t="shared" si="125"/>
        <v/>
      </c>
      <c r="PG54" s="43" t="str">
        <f t="shared" si="126"/>
        <v/>
      </c>
      <c r="PH54" s="43" t="str">
        <f t="shared" si="127"/>
        <v/>
      </c>
      <c r="PI54" s="43">
        <f t="shared" si="128"/>
        <v>37</v>
      </c>
      <c r="PJ54" s="43" t="str">
        <f t="shared" si="129"/>
        <v/>
      </c>
      <c r="PK54" s="43" t="str">
        <f t="shared" si="130"/>
        <v/>
      </c>
      <c r="PL54" s="43" t="str">
        <f t="shared" si="131"/>
        <v/>
      </c>
      <c r="PM54" s="43" t="str">
        <f t="shared" si="132"/>
        <v/>
      </c>
      <c r="PN54" s="43" t="str">
        <f t="shared" si="133"/>
        <v/>
      </c>
      <c r="PO54" s="43" t="str">
        <f t="shared" si="134"/>
        <v/>
      </c>
      <c r="PP54" s="43" t="str">
        <f t="shared" si="135"/>
        <v/>
      </c>
      <c r="PQ54" s="43" t="str">
        <f t="shared" si="136"/>
        <v/>
      </c>
      <c r="PR54" s="43" t="str">
        <f t="shared" si="137"/>
        <v/>
      </c>
      <c r="PS54" s="43" t="str">
        <f t="shared" si="138"/>
        <v/>
      </c>
      <c r="PT54" s="43" t="str">
        <f t="shared" si="139"/>
        <v/>
      </c>
      <c r="PU54" s="43" t="str">
        <f t="shared" si="140"/>
        <v/>
      </c>
      <c r="PV54" s="43" t="str">
        <f t="shared" si="141"/>
        <v/>
      </c>
      <c r="PW54" s="43" t="str">
        <f t="shared" si="142"/>
        <v/>
      </c>
      <c r="PX54" s="43" t="str">
        <f t="shared" si="143"/>
        <v/>
      </c>
      <c r="PY54" s="43" t="str">
        <f t="shared" si="144"/>
        <v/>
      </c>
      <c r="PZ54" s="43" t="str">
        <f t="shared" si="145"/>
        <v/>
      </c>
      <c r="QA54" s="43" t="str">
        <f t="shared" si="146"/>
        <v/>
      </c>
      <c r="QB54" s="43" t="str">
        <f t="shared" si="147"/>
        <v/>
      </c>
      <c r="QC54" s="43" t="str">
        <f t="shared" si="148"/>
        <v/>
      </c>
      <c r="QD54" s="43" t="str">
        <f t="shared" si="149"/>
        <v/>
      </c>
      <c r="QE54" s="43" t="str">
        <f t="shared" si="150"/>
        <v/>
      </c>
      <c r="QF54" s="43" t="str">
        <f t="shared" si="151"/>
        <v/>
      </c>
      <c r="QG54" s="43" t="str">
        <f t="shared" si="152"/>
        <v/>
      </c>
      <c r="QH54" s="43" t="str">
        <f t="shared" si="153"/>
        <v/>
      </c>
      <c r="QI54" s="43" t="str">
        <f t="shared" si="154"/>
        <v/>
      </c>
      <c r="QJ54" s="43" t="str">
        <f t="shared" si="155"/>
        <v/>
      </c>
      <c r="QK54" s="43" t="str">
        <f t="shared" si="156"/>
        <v/>
      </c>
      <c r="QL54" s="43" t="str">
        <f t="shared" si="157"/>
        <v>OBESIDAD</v>
      </c>
      <c r="QM54" s="43" t="str">
        <f t="shared" si="158"/>
        <v/>
      </c>
      <c r="QN54" s="43" t="str">
        <f t="shared" si="159"/>
        <v/>
      </c>
      <c r="QO54" s="43" t="str">
        <f t="shared" si="160"/>
        <v/>
      </c>
      <c r="QP54" s="43" t="str">
        <f t="shared" si="161"/>
        <v/>
      </c>
      <c r="QQ54" s="43" t="str">
        <f t="shared" si="162"/>
        <v/>
      </c>
      <c r="QR54" s="43">
        <f t="shared" si="192"/>
        <v>37</v>
      </c>
      <c r="QS54" s="43"/>
      <c r="QT54" s="21" t="str">
        <f t="shared" si="163"/>
        <v/>
      </c>
      <c r="QU54" s="21" t="str">
        <f t="shared" si="164"/>
        <v/>
      </c>
      <c r="QV54" s="21" t="str">
        <f t="shared" si="165"/>
        <v/>
      </c>
      <c r="QW54" s="21" t="str">
        <f t="shared" si="166"/>
        <v/>
      </c>
      <c r="QX54" s="21" t="str">
        <f t="shared" si="167"/>
        <v/>
      </c>
      <c r="QY54" s="21" t="str">
        <f t="shared" si="168"/>
        <v/>
      </c>
      <c r="QZ54" s="21" t="str">
        <f t="shared" si="169"/>
        <v/>
      </c>
      <c r="RA54" s="21" t="str">
        <f t="shared" si="170"/>
        <v/>
      </c>
      <c r="RB54" s="21" t="str">
        <f t="shared" si="171"/>
        <v/>
      </c>
      <c r="RC54" s="21" t="str">
        <f t="shared" si="172"/>
        <v/>
      </c>
      <c r="RD54" s="21" t="str">
        <f t="shared" si="173"/>
        <v/>
      </c>
      <c r="RE54" s="21" t="str">
        <f t="shared" si="174"/>
        <v/>
      </c>
      <c r="RF54" s="21" t="str">
        <f t="shared" si="175"/>
        <v/>
      </c>
      <c r="RG54" s="21" t="str">
        <f t="shared" si="176"/>
        <v/>
      </c>
      <c r="RH54" s="21" t="str">
        <f t="shared" si="177"/>
        <v/>
      </c>
      <c r="RI54" s="21" t="str">
        <f t="shared" si="178"/>
        <v/>
      </c>
      <c r="RJ54" s="21" t="str">
        <f t="shared" si="179"/>
        <v/>
      </c>
      <c r="RK54" s="21" t="str">
        <f t="shared" si="180"/>
        <v/>
      </c>
      <c r="RL54" s="21" t="str">
        <f t="shared" si="181"/>
        <v/>
      </c>
      <c r="RM54" s="21" t="str">
        <f t="shared" si="182"/>
        <v/>
      </c>
      <c r="RN54" s="21" t="str">
        <f t="shared" si="183"/>
        <v/>
      </c>
      <c r="RO54" s="21" t="str">
        <f t="shared" si="184"/>
        <v/>
      </c>
      <c r="RP54" s="21" t="str">
        <f t="shared" si="185"/>
        <v/>
      </c>
      <c r="RQ54" s="21" t="str">
        <f t="shared" si="186"/>
        <v/>
      </c>
      <c r="RR54" s="21" t="str">
        <f t="shared" si="187"/>
        <v/>
      </c>
      <c r="RS54" s="21" t="str">
        <f t="shared" si="188"/>
        <v/>
      </c>
      <c r="RT54" s="21" t="str">
        <f t="shared" si="189"/>
        <v/>
      </c>
      <c r="RU54" s="21" t="str">
        <f t="shared" si="190"/>
        <v/>
      </c>
      <c r="RV54" s="21">
        <f t="shared" si="191"/>
        <v>9.4285714285714288</v>
      </c>
      <c r="RW54" s="284">
        <f>IF(OR(Tabla1[[#This Row],[FUM FORMULA CONFIABLE]]="",Tabla1[[#This Row],[FUM FORMULA CONFIABLE]]="SD"),"",IF(Tabla1[[#This Row],[FUM FORMULA CONFIABLE]]="CORREGIDA",Tabla1[[#This Row],[FUM X ECO 1]],Tabla1[[#This Row],[FUM x AMENORREA]]))</f>
        <v>44828</v>
      </c>
      <c r="RX54" s="21">
        <f>IF(AND(Tabla1[[#This Row],[FUM X ECO 1]]="",Tabla1[[#This Row],[FUM x AMENORREA]]=""),"",IF(AND(Tabla1[[#This Row],[FUM X ECO 1]]="",Tabla1[[#This Row],[FUM x AMENORREA]]&lt;&gt;""),"X",SUM(Tabla1[[#This Row],[FUM X ECO 1]]-Tabla1[[#This Row],[FUM x AMENORREA]])))</f>
        <v>0</v>
      </c>
      <c r="RY54" s="21">
        <f t="shared" si="193"/>
        <v>0</v>
      </c>
    </row>
    <row r="55" spans="1:493" ht="45" customHeight="1" x14ac:dyDescent="0.25">
      <c r="A55" s="109" t="s">
        <v>1150</v>
      </c>
      <c r="B55" s="43"/>
      <c r="C55" s="43" t="s">
        <v>845</v>
      </c>
      <c r="D55" s="124" t="s">
        <v>846</v>
      </c>
      <c r="E55" s="43" t="s">
        <v>1122</v>
      </c>
      <c r="F55" s="43" t="s">
        <v>1151</v>
      </c>
      <c r="G55" s="43" t="s">
        <v>1152</v>
      </c>
      <c r="H55" s="43"/>
      <c r="I55" s="109" t="s">
        <v>851</v>
      </c>
      <c r="J55" s="110">
        <v>1059605958</v>
      </c>
      <c r="K55" s="43" t="s">
        <v>852</v>
      </c>
      <c r="L55" s="175" t="s">
        <v>853</v>
      </c>
      <c r="M55" s="22">
        <v>35324</v>
      </c>
      <c r="N55" s="213">
        <f t="shared" ca="1" si="0"/>
        <v>27.145205479452056</v>
      </c>
      <c r="O55" s="22">
        <v>44883</v>
      </c>
      <c r="P55" s="214" t="str">
        <f t="shared" si="194"/>
        <v>SI</v>
      </c>
      <c r="Q55" s="26" t="s">
        <v>855</v>
      </c>
      <c r="R55" s="22">
        <v>44883</v>
      </c>
      <c r="S55" s="21" t="s">
        <v>856</v>
      </c>
      <c r="T55" s="24" t="s">
        <v>690</v>
      </c>
      <c r="U55" s="21" t="s">
        <v>857</v>
      </c>
      <c r="V55" s="21" t="s">
        <v>858</v>
      </c>
      <c r="W55" s="21" t="s">
        <v>1082</v>
      </c>
      <c r="X55" s="21" t="s">
        <v>1082</v>
      </c>
      <c r="Y55" s="21" t="s">
        <v>859</v>
      </c>
      <c r="Z55" s="21">
        <v>3218998859</v>
      </c>
      <c r="AA55" s="21" t="s">
        <v>860</v>
      </c>
      <c r="AB55" s="27" t="s">
        <v>861</v>
      </c>
      <c r="AC55" s="26" t="s">
        <v>862</v>
      </c>
      <c r="AD55" s="38" t="s">
        <v>1130</v>
      </c>
      <c r="AE55" s="26" t="s">
        <v>854</v>
      </c>
      <c r="AF55" s="26" t="s">
        <v>854</v>
      </c>
      <c r="AG55" s="23" t="s">
        <v>864</v>
      </c>
      <c r="AH55" s="23" t="s">
        <v>864</v>
      </c>
      <c r="AI55" s="24" t="s">
        <v>863</v>
      </c>
      <c r="AJ55" s="23" t="s">
        <v>864</v>
      </c>
      <c r="AK55" s="220" t="str">
        <f>IF(AND(AD55="",AE55="",AF55="",AG55="",AH55="",AI55="",AJ55=""),"",IF(OR(Tabla1[[#This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EVALUACIÓN",IF(AND(O55="",R55=""),"",IF(AND(OR(O55&gt;0,R55&gt;0),NG55&gt;=0,NG55&lt;2),"SIN RIESGO",IF(AND(OR(O55&gt;0,R55&gt;0),NG55&gt;=2),"CON RIESGO","ASD")))))</f>
        <v>SIN RIESGO</v>
      </c>
      <c r="AL55" s="23" t="s">
        <v>864</v>
      </c>
      <c r="AM55" s="26" t="s">
        <v>864</v>
      </c>
      <c r="AN55" s="26" t="s">
        <v>864</v>
      </c>
      <c r="AO55" s="26" t="s">
        <v>864</v>
      </c>
      <c r="AP55" s="26" t="s">
        <v>864</v>
      </c>
      <c r="AQ55" s="26" t="s">
        <v>864</v>
      </c>
      <c r="AR55" s="26" t="s">
        <v>864</v>
      </c>
      <c r="AS55" s="21">
        <v>1</v>
      </c>
      <c r="AT55" s="21">
        <v>1</v>
      </c>
      <c r="AU55" s="21">
        <v>0</v>
      </c>
      <c r="AV55" s="26" t="s">
        <v>864</v>
      </c>
      <c r="AW55" s="21">
        <v>0</v>
      </c>
      <c r="AX55" s="26" t="s">
        <v>864</v>
      </c>
      <c r="AY55" s="26" t="s">
        <v>864</v>
      </c>
      <c r="AZ55" s="26" t="s">
        <v>864</v>
      </c>
      <c r="BA55" s="26" t="s">
        <v>864</v>
      </c>
      <c r="BB55" s="26" t="s">
        <v>864</v>
      </c>
      <c r="BC55" s="26" t="s">
        <v>864</v>
      </c>
      <c r="BD55" s="26" t="s">
        <v>864</v>
      </c>
      <c r="BE55" s="26" t="s">
        <v>864</v>
      </c>
      <c r="BF55" s="26" t="s">
        <v>864</v>
      </c>
      <c r="BG55" s="26" t="s">
        <v>864</v>
      </c>
      <c r="BH55" s="26" t="s">
        <v>864</v>
      </c>
      <c r="BI55" s="26"/>
      <c r="BJ55" s="26"/>
      <c r="BK55" s="26"/>
      <c r="BL55" s="26" t="s">
        <v>864</v>
      </c>
      <c r="BM55" s="26"/>
      <c r="BN55" s="22">
        <v>42250</v>
      </c>
      <c r="BO55" s="22">
        <v>44807</v>
      </c>
      <c r="BP55" s="21" t="s">
        <v>854</v>
      </c>
      <c r="BQ55" s="222">
        <f t="shared" si="2"/>
        <v>85.233333333333334</v>
      </c>
      <c r="BR55" s="223">
        <f t="shared" si="3"/>
        <v>44808.800000000003</v>
      </c>
      <c r="BS55" s="224">
        <f t="shared" si="4"/>
        <v>10.857142857142858</v>
      </c>
      <c r="BT55" s="216" t="str">
        <f t="shared" si="5"/>
        <v>II TRIM</v>
      </c>
      <c r="BU55" s="214" t="str">
        <f t="shared" ca="1" si="6"/>
        <v/>
      </c>
      <c r="BV55" s="25"/>
      <c r="BW55" s="22">
        <v>44918</v>
      </c>
      <c r="BX55" s="28">
        <v>15.6</v>
      </c>
      <c r="BY55" s="28"/>
      <c r="BZ55" s="22">
        <v>44995</v>
      </c>
      <c r="CA55" s="21">
        <v>27</v>
      </c>
      <c r="CB55" s="26" t="s">
        <v>864</v>
      </c>
      <c r="CC55" s="26" t="s">
        <v>864</v>
      </c>
      <c r="CD55" s="26" t="s">
        <v>878</v>
      </c>
      <c r="CE55" s="26" t="s">
        <v>864</v>
      </c>
      <c r="CF55" s="22" t="s">
        <v>1517</v>
      </c>
      <c r="CG55" s="21">
        <v>1.51</v>
      </c>
      <c r="CH55" s="21">
        <v>57</v>
      </c>
      <c r="CI55" s="214">
        <f t="shared" si="7"/>
        <v>24.998903556861542</v>
      </c>
      <c r="CJ55" s="225" t="e">
        <f>IF(AND(CI55&lt;10,CH55="SD"),"SIN DATO PESO PREGESTACION O I TRIM",IF(AND(OR(R55&gt;0,O55&gt;0),CI55="X"),"INGRESAR DATO DE PESO",IF(CI55="SD","INGRESAR DATO DE TALLA Y PESO",IF(AND(OR(Tabla1[[#This Row],[MOMENTO EN QUE SE REALIZA EL PESO AL INGRESO A CPN]]="PREGESTACIÓN",NZ55="Menor"),CI55&lt;18.5),"BAJO PESO",IF(AND(OR(Tabla1[[#This Row],[MOMENTO EN QUE SE REALIZA EL PESO AL INGRESO A CPN]]="PREGESTACIÓN",NZ55="Menor"),CI55&lt;25),"NORMAL",IF(AND(OR(Tabla1[[#This Row],[MOMENTO EN QUE SE REALIZA EL PESO AL INGRESO A CPN]]="PREGESTACIÓN",NZ55="Menor"),CI55&lt;30),"SOBREPESO",IF(AND(OR(Tabla1[[#This Row],[MOMENTO EN QUE SE REALIZA EL PESO AL INGRESO A CPN]]="PREGESTACIÓN",NZ55="Menor"),CI55&gt;=30,CI55&lt;50),"OBESIDAD",IF(AND(BS55&gt;0,Tabla1[[#This Row],[MOMENTO EN QUE SE REALIZA EL PESO AL INGRESO A CPN]]="GESTACIÓN"),HLOOKUP(NZ55,$OA$2:PH55,NY55),""))))))))</f>
        <v>#REF!</v>
      </c>
      <c r="CK55" s="212">
        <f t="shared" si="8"/>
        <v>45073</v>
      </c>
      <c r="CL55" s="21">
        <v>67.3</v>
      </c>
      <c r="CM55" s="214">
        <f t="shared" si="9"/>
        <v>29.516249287311958</v>
      </c>
      <c r="CN55" s="216">
        <f t="shared" si="10"/>
        <v>38</v>
      </c>
      <c r="CO55" s="216" t="e">
        <f>IF(PI55="","",IF(PI55&gt;0,HLOOKUP(PI55,$PJ$2:QQ55,NY55),""))</f>
        <v>#REF!</v>
      </c>
      <c r="CP55" s="21">
        <v>38</v>
      </c>
      <c r="CQ55" s="216" t="e">
        <f>IF(QR55="Menor","NO APLICA-MENOR 13 SEM",IF(AND(CC55="SI",CN55&gt;23),"NO APLICA- GEMELAR",IF(QR55="","",IF(QR55&gt;0,HLOOKUP(QR55,$QS$2:RU55,NY55),""))))</f>
        <v>#REF!</v>
      </c>
      <c r="CR55" s="21">
        <v>120</v>
      </c>
      <c r="CS55" s="21">
        <v>60</v>
      </c>
      <c r="CT55" s="217" t="str">
        <f>IF(R55="","",IF(AND(BS55&gt;1,BS55&lt;12,Tabla1[[#This Row],[T.A. SISTOLICA - ANTES DE SEMANA 12]]="",Tabla1[[#This Row],[T.A. DIASTOLICA - ANTES DE SEMANA 12]]=""),"REGISTRE DATO TA ANTES SEMANA 12",IF(AND(BS55&gt;11,BS55&lt;43,Tabla1[[#This Row],[T.A. SISTOLICA - ANTES DE SEMANA 12]]="",Tabla1[[#This Row],[T.A. DIASTOLICA - ANTES DE SEMANA 12]]=""),"NO APLICA REGISTRO TA-INGRESO TARDIO",IF(AND(OR(O55&gt;0,R55&gt;0),OR(CR55&gt;=140,CS55&gt;=90)),"DEFINIR ESTADIO HTA",IF(AND(OR(O55&gt;0,R55&gt;0),AND(CR55&gt;120,CR55&lt;=139)),"PRE HTA SEGUIMIENTO",IF(AND(OR(O55&gt;0,R55&gt;0),AND(CS55&gt;80,CS55&lt;=89)),"PRE HTA SEGUIMIENTO",IF(AND(OR(O55&gt;0,R55&gt;0),AND(CR55&gt;=80,CR55&lt;=120)),"APARENTEMENTE NORMAL",IF(AND(OR(O55&gt;0,R55&gt;0),AND(CS55&gt;=50,CS55&lt;=80)),"APARENTEMENTE NORMAL",IF(AND(OR(O55&gt;0,R55&gt;0),AND(CR55&gt;1,CR55&lt;=70),AND(CS55&gt;1,CS55&lt;=40)),"HIPOTENSIÓN","")))))))))</f>
        <v>APARENTEMENTE NORMAL</v>
      </c>
      <c r="CU55" s="21">
        <v>100</v>
      </c>
      <c r="CV55" s="21">
        <v>70</v>
      </c>
      <c r="CW55" s="217" t="str">
        <f ca="1">IF(R55="","",IF(AND(CN55&gt;19,CN55&lt;27,Tabla1[[#This Row],[T.A. SISTOLICA (Entre semana 20 y 26)]]="",Tabla1[[#This Row],[T.A. DIATOLICA (Entre semana 20 y 26)]]=""),"ACUDE A CONTROL SEM 20 A 26 REGISTRE TA AHORA",IF(AND(BS55&gt;1,BS55&lt;27,BU55&gt;19,Tabla1[[#This Row],[T.A. SISTOLICA (Entre semana 20 y 26)]]="",Tabla1[[#This Row],[T.A. DIATOLICA (Entre semana 20 y 26)]]=""),"COMPLETE REGISTRO TA CONTROL SEM 20 A26 ",IF(AND(BS55&gt;26,BS55&lt;43,Tabla1[[#This Row],[T.A. SISTOLICA (Entre semana 20 y 26)]]="",Tabla1[[#This Row],[T.A. DIATOLICA (Entre semana 20 y 26)]]=""),"NO APLICA REGISTRO TA-INGRESO TARDIO",IF(AND(OR(O55&gt;0,R55&gt;0),OR(CU55&gt;=140,CV55&gt;=90)),"ALTO RIESGO PREECLAMPSIA,DEFINIR ESTADIO HTA",IF(AND(OR(O55&gt;0,R55&gt;0),AND(CU55&gt;120,CU55&lt;=139)),"PRE HTA SEGUIMIENTO,RIESGO HIPERTENSION INDUCIDA POR EL EMBARAZO",IF(AND(OR(O55&gt;0,R55&gt;0),AND(CV55&gt;80,CV55&lt;=89)),"PRE HTA SEGUIMIENTO, RIESGO HIPERTENSION INDUCIDA POR EL EMBARAZO",IF(AND(OR(O55&lt;&gt;"",R55&lt;&gt;""),CS55&lt;&gt;"",CV55&lt;&gt;"",CS55&lt;=CV55),"VIGILAR CIFRAS PRESION ARTERIAL",IF(AND(OR(O55&gt;0,R55&gt;0),AND(CU55&gt;120,CU55&lt;=139)),"PRE HTA SEGUIMIENTO",IF(AND(OR(O55&gt;0,R55&gt;0),AND(CU55&gt;1,CU55&lt;=70),AND(CV55&gt;1,CV55&lt;=40)),"HIPOTENSIÓN",IF(AND(OR(O55&lt;&gt;"",R55&lt;&gt;""),CS55&lt;&gt;"",CV55&lt;&gt;"",CS55&gt;CV55),"APARENTEMENTE NORMAL",IF(AND(OR(O55&gt;0,R55&gt;0),AND(CU55&gt;=80,CU55&lt;=120)),"APARENTEMENTE NORMAL",IF(AND(OR(O55&gt;0,R55&gt;0),AND(CV55&gt;=50,CV55&lt;=80)),"APARENTEMENTE NORMAL","")))))))))))))</f>
        <v>VIGILAR CIFRAS PRESION ARTERIAL</v>
      </c>
      <c r="CX55" s="21"/>
      <c r="CY55" s="21"/>
      <c r="CZ55" s="216" t="str">
        <f t="shared" si="195"/>
        <v/>
      </c>
      <c r="DA55" s="21">
        <v>100</v>
      </c>
      <c r="DB55" s="21">
        <v>60</v>
      </c>
      <c r="DC55" s="217" t="str">
        <f t="shared" si="12"/>
        <v>APARENTEMENTE NORMAL</v>
      </c>
      <c r="DD55" s="22">
        <v>44883</v>
      </c>
      <c r="DE55" s="22">
        <v>44883</v>
      </c>
      <c r="DF55" s="22">
        <v>44918</v>
      </c>
      <c r="DG55" s="22">
        <v>44950</v>
      </c>
      <c r="DH55" s="22">
        <v>44981</v>
      </c>
      <c r="DI55" s="22">
        <v>45010</v>
      </c>
      <c r="DJ55" s="22">
        <v>45044</v>
      </c>
      <c r="DK55" s="22">
        <v>45073</v>
      </c>
      <c r="DL55" s="22"/>
      <c r="DM55" s="22"/>
      <c r="DN55" s="22"/>
      <c r="DO55" s="22"/>
      <c r="DP55" s="22"/>
      <c r="DQ55" s="22"/>
      <c r="DR55" s="28">
        <v>3</v>
      </c>
      <c r="DS55" s="22"/>
      <c r="DT55" s="22"/>
      <c r="DU55" s="216" t="str">
        <f t="shared" ca="1" si="196"/>
        <v>SALE SIN PLAN DE PARTO</v>
      </c>
      <c r="DV55" s="226" t="str">
        <f t="shared" si="197"/>
        <v>SALIO PROGRAMA</v>
      </c>
      <c r="DW55"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55" s="216" t="str">
        <f t="shared" ca="1" si="15"/>
        <v/>
      </c>
      <c r="DY55" s="212">
        <f>IF(R55="","",IF(R55&gt;0,MAX(Tabla1[[#This Row],[FECHA C2]:[FECHA C13]],Tabla1[[#This Row],[FECHA CONSULTA PRIMERA VEZ PROGRAMA CPN ]])))</f>
        <v>45073</v>
      </c>
      <c r="DZ55" s="216">
        <f t="shared" si="16"/>
        <v>38</v>
      </c>
      <c r="EA55" s="222">
        <f>IF(R55&gt;0,SUM(COUNTA(DF55:DQ55)+COUNTA(Tabla1[[#This Row],[FECHA CONSULTA PRIMERA VEZ PROGRAMA CPN ]])),"")</f>
        <v>7</v>
      </c>
      <c r="EB55" s="222" t="str">
        <f t="shared" si="17"/>
        <v>SI</v>
      </c>
      <c r="EC55" s="214">
        <f t="shared" si="18"/>
        <v>9</v>
      </c>
      <c r="ED55" s="227">
        <f t="shared" si="19"/>
        <v>0.77777777777777779</v>
      </c>
      <c r="EE55" s="22">
        <v>44883</v>
      </c>
      <c r="EF55" s="22">
        <v>44918</v>
      </c>
      <c r="EG55" s="22">
        <v>44883</v>
      </c>
      <c r="EH55" s="22">
        <v>44953</v>
      </c>
      <c r="EI55" s="22">
        <v>44883</v>
      </c>
      <c r="EJ55" s="22">
        <v>44953</v>
      </c>
      <c r="EK55" s="22">
        <v>44953</v>
      </c>
      <c r="EL55" s="21">
        <v>1</v>
      </c>
      <c r="EM55" s="21">
        <v>12.7</v>
      </c>
      <c r="EN55" s="22">
        <v>44890</v>
      </c>
      <c r="EO55" s="222">
        <f t="shared" si="20"/>
        <v>11.857142857142858</v>
      </c>
      <c r="EP55" s="214" t="str">
        <f t="shared" si="21"/>
        <v>NORMAL- SUMINISTRAR SULFATO FERROSO</v>
      </c>
      <c r="EQ55" s="216" t="str">
        <f t="shared" si="22"/>
        <v>I TRIM</v>
      </c>
      <c r="ER55" s="24">
        <v>12.9</v>
      </c>
      <c r="ES55" s="22">
        <v>44950</v>
      </c>
      <c r="ET55" s="29">
        <f t="shared" ca="1" si="198"/>
        <v>20.428571428571427</v>
      </c>
      <c r="EU55" s="25" t="str">
        <f t="shared" si="24"/>
        <v>NORMAL- SUMINISTRAR SULFATO FERROSO</v>
      </c>
      <c r="EV55" s="24" t="s">
        <v>1153</v>
      </c>
      <c r="EW55" s="24">
        <v>44890</v>
      </c>
      <c r="EX55" s="22"/>
      <c r="EY55" s="29">
        <f t="shared" si="199"/>
        <v>11.857142857142858</v>
      </c>
      <c r="EZ55" s="25" t="str">
        <f t="shared" ca="1" si="200"/>
        <v/>
      </c>
      <c r="FA55" s="21">
        <v>82</v>
      </c>
      <c r="FB55" s="22">
        <v>44890</v>
      </c>
      <c r="FC55" s="29">
        <f t="shared" si="27"/>
        <v>11.857142857142858</v>
      </c>
      <c r="FD55" s="29">
        <v>60</v>
      </c>
      <c r="FE55" s="29"/>
      <c r="FF55" s="29"/>
      <c r="FG55" s="21" t="str">
        <f t="shared" ca="1" si="28"/>
        <v>NO COMPLETA EXAMEN</v>
      </c>
      <c r="FH55" s="31"/>
      <c r="FI55" s="29" t="str">
        <f t="shared" si="29"/>
        <v>TOMAR EXAMEN</v>
      </c>
      <c r="FJ55" s="22" t="s">
        <v>867</v>
      </c>
      <c r="FK55" s="22">
        <v>44890</v>
      </c>
      <c r="FL55" s="29">
        <f t="shared" ca="1" si="30"/>
        <v>11.857142857142858</v>
      </c>
      <c r="FM55" s="22" t="s">
        <v>867</v>
      </c>
      <c r="FN55" s="32">
        <v>44995</v>
      </c>
      <c r="FO55" s="29">
        <f t="shared" ca="1" si="201"/>
        <v>26.857142857142858</v>
      </c>
      <c r="FP55" s="22"/>
      <c r="FQ55" s="32"/>
      <c r="FR55" s="29" t="str">
        <f t="shared" ca="1" si="202"/>
        <v>PIERDE TOMA DE TAMIZAJE</v>
      </c>
      <c r="FS55" s="22"/>
      <c r="FT55" s="32"/>
      <c r="FU55" s="29" t="str">
        <f>IF(AND(FJ55="",FM55="",FP55="",FS55=""),"",IF(OR(OR(Tabla1[[#This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55" s="28"/>
      <c r="FW55" s="22"/>
      <c r="FX55" s="29" t="str">
        <f t="shared" si="33"/>
        <v>TOMAR EXAMEN</v>
      </c>
      <c r="FY55" s="22">
        <v>44883</v>
      </c>
      <c r="FZ55" s="22">
        <v>44883</v>
      </c>
      <c r="GA55" s="29">
        <f t="shared" ca="1" si="203"/>
        <v>10.857142857142858</v>
      </c>
      <c r="GB55" s="22" t="s">
        <v>868</v>
      </c>
      <c r="GC55" s="22">
        <v>44995</v>
      </c>
      <c r="GD55" s="29">
        <f t="shared" ca="1" si="204"/>
        <v>26.857142857142858</v>
      </c>
      <c r="GE55" s="22"/>
      <c r="GF55" s="22"/>
      <c r="GG55" s="29" t="str">
        <f t="shared" ca="1" si="205"/>
        <v>PIERDE TOMA DE TAMIZAJE</v>
      </c>
      <c r="GH55" s="22"/>
      <c r="GI55" s="29"/>
      <c r="GJ55" s="22"/>
      <c r="GK55" s="22"/>
      <c r="GL55" s="22"/>
      <c r="GM55" s="22"/>
      <c r="GN55" s="28" t="s">
        <v>869</v>
      </c>
      <c r="GO55" s="22">
        <v>44890</v>
      </c>
      <c r="GP55" s="29">
        <f t="shared" si="37"/>
        <v>11.857142857142858</v>
      </c>
      <c r="GQ55" s="28" t="s">
        <v>880</v>
      </c>
      <c r="GR55" s="28" t="s">
        <v>869</v>
      </c>
      <c r="GS55" s="22" t="str">
        <f t="shared" si="206"/>
        <v>SE EXCLUYE INFECCION</v>
      </c>
      <c r="GT55" s="22">
        <v>44883</v>
      </c>
      <c r="GU55" s="29">
        <f t="shared" si="39"/>
        <v>10.857142857142858</v>
      </c>
      <c r="GV55" s="21" t="str">
        <f t="shared" si="40"/>
        <v>I TRIM</v>
      </c>
      <c r="GW55" s="28" t="s">
        <v>869</v>
      </c>
      <c r="GX55" s="30"/>
      <c r="GY55" s="21"/>
      <c r="GZ55" s="21"/>
      <c r="HA55" s="21"/>
      <c r="HB55" s="21"/>
      <c r="HC55" s="21"/>
      <c r="HD55" s="21"/>
      <c r="HE55" s="21"/>
      <c r="HF55" s="22"/>
      <c r="HG55" s="22" t="str">
        <f>IF(OR(O55&gt;0,R55&gt;0),CONCATENATE(IF(Tabla1[[#This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55" s="22" t="e">
        <f t="shared" si="41"/>
        <v>#REF!</v>
      </c>
      <c r="HI55" s="22" t="e">
        <f t="shared" ca="1" si="42"/>
        <v>#REF!</v>
      </c>
      <c r="HJ55" s="21" t="str">
        <f t="shared" ca="1" si="43"/>
        <v>***************************************</v>
      </c>
      <c r="HK55" s="21" t="str">
        <f t="shared" si="44"/>
        <v>SIN ANTECEDENTES DE RIESGO</v>
      </c>
      <c r="HL55" s="24" t="str">
        <f t="shared" si="45"/>
        <v>APARENTEMENTE NORMAL</v>
      </c>
      <c r="HM55" s="21" t="str">
        <f t="shared" ca="1" si="46"/>
        <v/>
      </c>
      <c r="HN55" s="30" t="str">
        <f t="shared" si="207"/>
        <v>SALIO PROGRAMA</v>
      </c>
      <c r="HO55" s="21"/>
      <c r="HP55" s="21" t="s">
        <v>879</v>
      </c>
      <c r="HQ55" s="21">
        <v>45010</v>
      </c>
      <c r="HR55" s="21" t="str">
        <f>IF(R55="","",IF(Tabla1[[#This Row],[ALARMA FACTORES DE RIESGO COMPLICACIONES HIPERTENSIVAS3]]="SIN ANTECEDENTES DE RIESGO","No Aplica para suministro de ASA",IF(AND(Tabla1[[#This Row],[FECHA INICIO DE SUMINISTRO DE ASA]]&gt;0,RV55&lt;12),"Inicia ASA ANTES de Sem 12",IF(AND(RV55&gt;11,RV55&lt;17,OR(HK55="RIESGO ALTO DE COMPLICACIONES HIPERTENSIVAS VER MANEJO GUIA SUMINISTRO ASA Y CALCIO",HK55="RIESGO MODERADO (2 O MAS CRITERIOS) VER MANEJO GUIA SUMINISTRO ASA Y CALCIO")),"Inicio oportuno de ASA",IF(AND(RV55&gt;12,OR(HK55="RIESGO ALTO DE COMPLICACIONES HIPERTENSIVAS VER MANEJO GUIA SUMINISTRO ASA Y CALCIO",HK55="RIESGO MODERADO (2 O MAS CRITERIOS) VER MANEJO GUIA SUMINISTRO ASA Y CALCIO")),"Inicio no oportuno mayor a 16 semanas",IF(AND(BU55&lt;12,OR(HK55="RIESGO ALTO DE COMPLICACIONES HIPERTENSIVAS VER MANEJO GUIA SUMINISTRO ASA Y CALCIO",HK55="RIESGO MODERADO (2 O MAS CRITERIOS) VER MANEJO GUIA SUMINISTRO ASA Y CALCIO")),"Pendiente Inicio de ASA a la semana 12",IF(AND(BU55&gt;11,BU55&lt;17,OR(HK55="RIESGO ALTO DE COMPLICACIONES HIPERTENSIVAS VER MANEJO GUIA SUMINISTRO ASA Y CALCIO",HK55="RIESGO MODERADO (2 O MAS CRITERIOS) VER MANEJO GUIA SUMINISTRO ASA Y CALCIO")),"Iniciar de inmediato ASA",IF(AND(BU55&gt;16,OR(HK55="RIESGO ALTO DE COMPLICACIONES HIPERTENSIVAS VER MANEJO GUIA SUMINISTRO ASA Y CALCIO",HK55="RIESGO MODERADO (2 O MAS CRITERIOS) VER MANEJO GUIA SUMINISTRO ASA Y CALCIO")),"Pierde Oportunidad, Inicio tardío de ASA","XXXXX"))))))))</f>
        <v>No Aplica para suministro de ASA</v>
      </c>
      <c r="HS55" s="22">
        <v>45010</v>
      </c>
      <c r="HT55" s="22" t="s">
        <v>870</v>
      </c>
      <c r="HU55" s="22">
        <v>44883</v>
      </c>
      <c r="HV55" s="22" t="s">
        <v>870</v>
      </c>
      <c r="HW55" s="22">
        <v>45010</v>
      </c>
      <c r="HX55" s="22" t="s">
        <v>870</v>
      </c>
      <c r="HY55" s="22">
        <v>44890</v>
      </c>
      <c r="HZ55" s="28">
        <f t="shared" si="48"/>
        <v>11.857142857142858</v>
      </c>
      <c r="IA55" s="26" t="s">
        <v>864</v>
      </c>
      <c r="IB55" s="26"/>
      <c r="IC55" s="111">
        <v>45273</v>
      </c>
      <c r="ID55" s="22">
        <v>45283</v>
      </c>
      <c r="IE55" s="22" t="str">
        <f t="shared" ca="1" si="49"/>
        <v>VACUNA APLICADA ENTRE SEMANA 27 Y EL PARTO</v>
      </c>
      <c r="IF55" s="22"/>
      <c r="IG55" s="22">
        <f t="shared" si="50"/>
        <v>45087</v>
      </c>
      <c r="IH55" s="29">
        <f t="shared" ca="1" si="51"/>
        <v>-145</v>
      </c>
      <c r="II55" s="22" t="str">
        <f t="shared" ca="1" si="52"/>
        <v>POSIBLEMENTE NACIO</v>
      </c>
      <c r="IJ55" s="22"/>
      <c r="IK55" s="21" t="s">
        <v>898</v>
      </c>
      <c r="IL55" s="21"/>
      <c r="IM55" s="34"/>
      <c r="IN55" s="349">
        <v>45075</v>
      </c>
      <c r="IO55" s="21" t="s">
        <v>1186</v>
      </c>
      <c r="IP55" s="29">
        <f t="shared" si="208"/>
        <v>38.285714285714285</v>
      </c>
      <c r="IQ55" s="35" t="s">
        <v>1650</v>
      </c>
      <c r="IR55" s="21" t="s">
        <v>1651</v>
      </c>
      <c r="IS55" s="21" t="s">
        <v>1646</v>
      </c>
      <c r="IT55" s="21" t="s">
        <v>1642</v>
      </c>
      <c r="IU55" s="21"/>
      <c r="IV55" s="21"/>
      <c r="IW55" s="21"/>
      <c r="IX55" s="21"/>
      <c r="IY55" s="21"/>
      <c r="IZ55" s="21"/>
      <c r="JA55" s="21"/>
      <c r="JB55" s="30">
        <v>1</v>
      </c>
      <c r="JC55" s="21" t="s">
        <v>1647</v>
      </c>
      <c r="JD55" s="36">
        <v>3380</v>
      </c>
      <c r="JE55" s="21" t="str">
        <f t="shared" si="209"/>
        <v>PESO ADECUADO EDAD GESTACIONAL</v>
      </c>
      <c r="JF55" s="30"/>
      <c r="JG55" s="21"/>
      <c r="JH55" s="21"/>
      <c r="JI55" s="21" t="s">
        <v>854</v>
      </c>
      <c r="JJ55" s="30" t="s">
        <v>866</v>
      </c>
      <c r="JK55" s="22"/>
      <c r="JL55" s="22"/>
      <c r="JM55" s="21"/>
      <c r="JN55" s="36"/>
      <c r="JO55" s="21" t="str">
        <f t="shared" si="210"/>
        <v/>
      </c>
      <c r="JP55" s="22"/>
      <c r="JQ55" s="21"/>
      <c r="JR55" s="21"/>
      <c r="JS55" s="21"/>
      <c r="JT55" s="30"/>
      <c r="JU55" s="22"/>
      <c r="JV55" s="22"/>
      <c r="JW55" s="33"/>
      <c r="JX55" s="28" t="str">
        <f t="shared" si="211"/>
        <v>INASISTENTE</v>
      </c>
      <c r="JY55" s="33"/>
      <c r="JZ55" s="28" t="str">
        <f t="shared" si="212"/>
        <v>INASISTENTE</v>
      </c>
      <c r="KA55" s="21"/>
      <c r="KB55" s="21"/>
      <c r="KC55" s="21"/>
      <c r="KD55" s="37"/>
      <c r="KE55" s="28"/>
      <c r="KF55" s="28"/>
      <c r="KG55" s="28"/>
      <c r="KH55" s="39"/>
      <c r="KI55" s="39"/>
      <c r="KJ55" s="66"/>
      <c r="KK55" s="39"/>
      <c r="KL55" s="39"/>
      <c r="KM55" s="66"/>
      <c r="KN55" s="39"/>
      <c r="KO55" s="39"/>
      <c r="KP55" s="39"/>
      <c r="KQ55" s="39"/>
      <c r="KR55" s="39"/>
      <c r="KS55" s="39"/>
      <c r="KT55" s="39"/>
      <c r="KU55" s="38"/>
      <c r="KV55" s="38"/>
      <c r="KW55" s="38"/>
      <c r="KX55" s="38"/>
      <c r="KY55" s="38"/>
      <c r="KZ55" s="38"/>
      <c r="LA55" s="38"/>
      <c r="LB55" s="38"/>
      <c r="LC55" s="38"/>
      <c r="LD55" s="38"/>
      <c r="LE55" s="38"/>
      <c r="LF55" s="38"/>
      <c r="LG55" s="38"/>
      <c r="LH55" s="38"/>
      <c r="LI55" s="38"/>
      <c r="LJ55" s="38"/>
      <c r="LK55" s="38"/>
      <c r="LL55" s="38"/>
      <c r="LM55" s="38"/>
      <c r="LN55" s="38"/>
      <c r="LO55" s="38"/>
      <c r="LP55" s="38"/>
      <c r="LQ55" s="38"/>
      <c r="LR55" s="38"/>
      <c r="LS55" s="38"/>
      <c r="LT55" s="38"/>
      <c r="LU55" s="38"/>
      <c r="LV55" s="38"/>
      <c r="LW55" s="38"/>
      <c r="LX55" s="38"/>
      <c r="LY55" s="38"/>
      <c r="LZ55" s="38"/>
      <c r="MA55" s="38"/>
      <c r="MB55" s="38"/>
      <c r="MC55" s="38"/>
      <c r="MD55" s="38"/>
      <c r="ME55" s="38"/>
      <c r="MF55" s="38"/>
      <c r="MG55" s="38"/>
      <c r="MH55" s="43">
        <f t="shared" si="213"/>
        <v>0</v>
      </c>
      <c r="MI55" s="43" t="str">
        <f t="shared" si="214"/>
        <v/>
      </c>
      <c r="MJ55" s="43" t="str">
        <f t="shared" si="215"/>
        <v/>
      </c>
      <c r="MK55" s="43">
        <f t="shared" si="216"/>
        <v>0</v>
      </c>
      <c r="ML5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55" s="43">
        <f t="shared" si="217"/>
        <v>10.857142857142858</v>
      </c>
      <c r="MN55" s="43">
        <f t="shared" si="218"/>
        <v>11</v>
      </c>
      <c r="MO55" s="43">
        <f t="shared" si="219"/>
        <v>2022</v>
      </c>
      <c r="MP55" s="43" t="str">
        <f t="shared" si="220"/>
        <v>IV TRIMESTRE AÑO</v>
      </c>
      <c r="MQ55" s="43">
        <f t="shared" si="221"/>
        <v>25.793911519929917</v>
      </c>
      <c r="MR55" s="43">
        <f t="shared" si="222"/>
        <v>0</v>
      </c>
      <c r="MS55" s="43" t="str">
        <f t="shared" si="223"/>
        <v xml:space="preserve"> DE 25 A 29 AÑOS</v>
      </c>
      <c r="MT55" s="43">
        <f t="shared" si="224"/>
        <v>0</v>
      </c>
      <c r="MU55" s="43">
        <f t="shared" si="225"/>
        <v>0</v>
      </c>
      <c r="MV55" s="43">
        <f t="shared" si="226"/>
        <v>0</v>
      </c>
      <c r="MW55" s="43">
        <f t="shared" si="227"/>
        <v>0</v>
      </c>
      <c r="MX55" s="43" t="str">
        <f t="shared" si="228"/>
        <v/>
      </c>
      <c r="MY55" s="43" t="str">
        <f t="shared" ca="1" si="229"/>
        <v/>
      </c>
      <c r="MZ55" s="43" t="str">
        <f t="shared" si="230"/>
        <v/>
      </c>
      <c r="NA55" s="43">
        <f t="shared" si="231"/>
        <v>0</v>
      </c>
      <c r="NB55" s="43" t="str">
        <f t="shared" si="232"/>
        <v/>
      </c>
      <c r="NC55" s="43" t="str">
        <f t="shared" si="233"/>
        <v/>
      </c>
      <c r="ND55" s="43">
        <f t="shared" ca="1" si="234"/>
        <v>0</v>
      </c>
      <c r="NE55" s="43">
        <f>IF(OR(O55&gt;0,R55&gt;0),SUM(COUNTIF(Tabla1[[#This Row],[AÑOS AL INICIO5 CPN]],"&gt;=40"),COUNTIF(AS55,"0"),COUNTIF(AR55,"SI"),COUNTIF(CC55,"SI"),COUNTIF(BQ55,"&gt;119"),COUNTIF(CI55,"&gt;=35")),"")</f>
        <v>0</v>
      </c>
      <c r="NF55" s="43">
        <f t="shared" si="235"/>
        <v>68</v>
      </c>
      <c r="NG55" s="43">
        <f t="shared" si="236"/>
        <v>0</v>
      </c>
      <c r="NH55" s="43">
        <f t="shared" si="237"/>
        <v>109.2</v>
      </c>
      <c r="NI55"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CPN",P55="NO"),"Z",IF(AND(Tabla1[[#This Row],[CITA PROXIMO CONTROL]]="CITA MANUAL",Tabla1[[#This Row],[GESTANTES ACTUALES]]="ACTIVA INGRESO A CPN"),"W",IF(AND(Tabla1[[#This Row],[GESTANTES ACTUALES]]="SALIO PROGRAMA",IN55=""),"S",IF(AND(Tabla1[[#This Row],[CITA PROXIMO CONTROL]]&gt;0,IN55=""),(Tabla1[[#This Row],[CITA PROXIMO CONTROL]]-TODAY()),"SD"))))))))</f>
        <v>SD</v>
      </c>
      <c r="NJ55" s="43">
        <f>MONTH(Tabla1[[#This Row],[FECHA DE SALIDA  DEL PROGRAMA]])</f>
        <v>5</v>
      </c>
      <c r="NK55" s="43">
        <f>YEAR(Tabla1[[#This Row],[FECHA DE SALIDA  DEL PROGRAMA]])</f>
        <v>2023</v>
      </c>
      <c r="NL55" s="43">
        <f t="shared" si="238"/>
        <v>70</v>
      </c>
      <c r="NM55" s="43" t="str">
        <f t="shared" si="239"/>
        <v>NO</v>
      </c>
      <c r="NN55" s="43" t="str">
        <f ca="1">IF(AND(O55&gt;0,R55=""),"NO CPN",IF(AND(O55="",R55=""),"",IF(AND(R55&gt;0,Tabla1[[#This Row],[SEMANAS DE GESTACION ACTUALIZADAS]]&lt;=12),"NO APLICA",IF(AND(FH55&lt;&gt;"",FN55&lt;&gt;""),"SI","NO"))))</f>
        <v>NO</v>
      </c>
      <c r="NO55" s="43" t="str">
        <f ca="1">IF(AND(O55&gt;0,R55=""),"NO CPN",IF(AND(O55="",R55=""),"",IF(AND(R55&gt;0,Tabla1[[#This Row],[SEMANAS DE GESTACION ACTUALIZADAS]]&lt;=27),"NO APLICA",IF(AND(ES55&lt;&gt;"",FQ55&lt;&gt;"",GF55&lt;&gt;""),"SI","NO"))))</f>
        <v>NO</v>
      </c>
      <c r="NP55" s="204" t="str">
        <f t="shared" si="240"/>
        <v>I TRIM</v>
      </c>
      <c r="NQ55" s="21">
        <f t="shared" si="241"/>
        <v>10</v>
      </c>
      <c r="NR55" s="21">
        <f t="shared" si="242"/>
        <v>3</v>
      </c>
      <c r="NS55" s="205">
        <f t="shared" ca="1" si="243"/>
        <v>2</v>
      </c>
      <c r="NT55" s="21">
        <f t="shared" ca="1" si="244"/>
        <v>2</v>
      </c>
      <c r="NU55" s="21" t="str">
        <f t="shared" ca="1" si="245"/>
        <v>INCOMPLETO</v>
      </c>
      <c r="NV55" s="21" t="str">
        <f t="shared" ca="1" si="246"/>
        <v>INCOMPLETO</v>
      </c>
      <c r="NW55" s="206" t="str">
        <f>IF(AND(O55="",R55=""),"",IF(OR(AND(Tabla1[[#This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55" s="207" t="str">
        <f t="shared" ca="1" si="247"/>
        <v>VACUNADA</v>
      </c>
      <c r="NY55" s="43">
        <f>ROW(Tabla1[[#This Row],['# DE TAMIZAJES SIFILIS TOMADOS ]])</f>
        <v>55</v>
      </c>
      <c r="NZ55" s="43">
        <f t="shared" si="93"/>
        <v>10</v>
      </c>
      <c r="OA55" s="43" t="str">
        <f t="shared" si="94"/>
        <v/>
      </c>
      <c r="OB55" s="43" t="str">
        <f t="shared" si="95"/>
        <v>NORMAL</v>
      </c>
      <c r="OC55" s="43" t="str">
        <f t="shared" si="96"/>
        <v/>
      </c>
      <c r="OD55" s="43" t="str">
        <f t="shared" si="97"/>
        <v/>
      </c>
      <c r="OE55" s="43" t="str">
        <f t="shared" si="98"/>
        <v/>
      </c>
      <c r="OF55" s="43" t="str">
        <f t="shared" si="99"/>
        <v/>
      </c>
      <c r="OG55" s="43" t="str">
        <f t="shared" si="100"/>
        <v/>
      </c>
      <c r="OH55" s="43" t="str">
        <f t="shared" si="101"/>
        <v/>
      </c>
      <c r="OI55" s="43" t="str">
        <f t="shared" si="102"/>
        <v/>
      </c>
      <c r="OJ55" s="43" t="str">
        <f t="shared" si="103"/>
        <v/>
      </c>
      <c r="OK55" s="43" t="str">
        <f t="shared" si="104"/>
        <v/>
      </c>
      <c r="OL55" s="43" t="str">
        <f t="shared" si="105"/>
        <v/>
      </c>
      <c r="OM55" s="43" t="str">
        <f t="shared" si="106"/>
        <v/>
      </c>
      <c r="ON55" s="43" t="str">
        <f t="shared" si="107"/>
        <v/>
      </c>
      <c r="OO55" s="43" t="str">
        <f t="shared" si="108"/>
        <v/>
      </c>
      <c r="OP55" s="43" t="str">
        <f t="shared" si="109"/>
        <v/>
      </c>
      <c r="OQ55" s="43" t="str">
        <f t="shared" si="110"/>
        <v/>
      </c>
      <c r="OR55" s="43" t="str">
        <f t="shared" si="111"/>
        <v/>
      </c>
      <c r="OS55" s="43" t="str">
        <f t="shared" si="112"/>
        <v/>
      </c>
      <c r="OT55" s="43" t="str">
        <f t="shared" si="113"/>
        <v/>
      </c>
      <c r="OU55" s="43" t="str">
        <f t="shared" si="114"/>
        <v/>
      </c>
      <c r="OV55" s="110" t="str">
        <f t="shared" si="115"/>
        <v/>
      </c>
      <c r="OW55" s="43" t="str">
        <f t="shared" si="116"/>
        <v/>
      </c>
      <c r="OX55" s="43" t="str">
        <f t="shared" si="117"/>
        <v/>
      </c>
      <c r="OY55" s="43" t="str">
        <f t="shared" si="118"/>
        <v/>
      </c>
      <c r="OZ55" s="43" t="str">
        <f t="shared" si="119"/>
        <v/>
      </c>
      <c r="PA55" s="43" t="str">
        <f t="shared" si="120"/>
        <v/>
      </c>
      <c r="PB55" s="43" t="str">
        <f t="shared" si="121"/>
        <v/>
      </c>
      <c r="PC55" s="43" t="str">
        <f t="shared" si="122"/>
        <v/>
      </c>
      <c r="PD55" s="43" t="str">
        <f t="shared" si="123"/>
        <v/>
      </c>
      <c r="PE55" s="43" t="str">
        <f t="shared" si="124"/>
        <v/>
      </c>
      <c r="PF55" s="43" t="str">
        <f t="shared" si="125"/>
        <v/>
      </c>
      <c r="PG55" s="43" t="str">
        <f t="shared" si="126"/>
        <v/>
      </c>
      <c r="PH55" s="43" t="str">
        <f t="shared" si="127"/>
        <v/>
      </c>
      <c r="PI55" s="43">
        <f t="shared" si="128"/>
        <v>38</v>
      </c>
      <c r="PJ55" s="43" t="str">
        <f t="shared" si="129"/>
        <v/>
      </c>
      <c r="PK55" s="43" t="str">
        <f t="shared" si="130"/>
        <v/>
      </c>
      <c r="PL55" s="43" t="str">
        <f t="shared" si="131"/>
        <v/>
      </c>
      <c r="PM55" s="43" t="str">
        <f t="shared" si="132"/>
        <v/>
      </c>
      <c r="PN55" s="43" t="str">
        <f t="shared" si="133"/>
        <v/>
      </c>
      <c r="PO55" s="43" t="str">
        <f t="shared" si="134"/>
        <v/>
      </c>
      <c r="PP55" s="43" t="str">
        <f t="shared" si="135"/>
        <v/>
      </c>
      <c r="PQ55" s="43" t="str">
        <f t="shared" si="136"/>
        <v/>
      </c>
      <c r="PR55" s="43" t="str">
        <f t="shared" si="137"/>
        <v/>
      </c>
      <c r="PS55" s="43" t="str">
        <f t="shared" si="138"/>
        <v/>
      </c>
      <c r="PT55" s="43" t="str">
        <f t="shared" si="139"/>
        <v/>
      </c>
      <c r="PU55" s="43" t="str">
        <f t="shared" si="140"/>
        <v/>
      </c>
      <c r="PV55" s="43" t="str">
        <f t="shared" si="141"/>
        <v/>
      </c>
      <c r="PW55" s="43" t="str">
        <f t="shared" si="142"/>
        <v/>
      </c>
      <c r="PX55" s="43" t="str">
        <f t="shared" si="143"/>
        <v/>
      </c>
      <c r="PY55" s="43" t="str">
        <f t="shared" si="144"/>
        <v/>
      </c>
      <c r="PZ55" s="43" t="str">
        <f t="shared" si="145"/>
        <v/>
      </c>
      <c r="QA55" s="43" t="str">
        <f t="shared" si="146"/>
        <v/>
      </c>
      <c r="QB55" s="43" t="str">
        <f t="shared" si="147"/>
        <v/>
      </c>
      <c r="QC55" s="43" t="str">
        <f t="shared" si="148"/>
        <v/>
      </c>
      <c r="QD55" s="43" t="str">
        <f t="shared" si="149"/>
        <v/>
      </c>
      <c r="QE55" s="43" t="str">
        <f t="shared" si="150"/>
        <v/>
      </c>
      <c r="QF55" s="43" t="str">
        <f t="shared" si="151"/>
        <v/>
      </c>
      <c r="QG55" s="43" t="str">
        <f t="shared" si="152"/>
        <v/>
      </c>
      <c r="QH55" s="43" t="str">
        <f t="shared" si="153"/>
        <v/>
      </c>
      <c r="QI55" s="43" t="str">
        <f t="shared" si="154"/>
        <v/>
      </c>
      <c r="QJ55" s="43" t="str">
        <f t="shared" si="155"/>
        <v/>
      </c>
      <c r="QK55" s="43" t="str">
        <f t="shared" si="156"/>
        <v/>
      </c>
      <c r="QL55" s="43" t="str">
        <f t="shared" si="157"/>
        <v/>
      </c>
      <c r="QM55" s="43" t="str">
        <f t="shared" si="158"/>
        <v>SOBREPESO</v>
      </c>
      <c r="QN55" s="43" t="str">
        <f t="shared" si="159"/>
        <v/>
      </c>
      <c r="QO55" s="43" t="str">
        <f t="shared" si="160"/>
        <v/>
      </c>
      <c r="QP55" s="43" t="str">
        <f t="shared" si="161"/>
        <v/>
      </c>
      <c r="QQ55" s="43" t="str">
        <f t="shared" si="162"/>
        <v/>
      </c>
      <c r="QR55" s="43">
        <f t="shared" si="192"/>
        <v>38</v>
      </c>
      <c r="QS55" s="43"/>
      <c r="QT55" s="21" t="str">
        <f t="shared" si="163"/>
        <v/>
      </c>
      <c r="QU55" s="21" t="str">
        <f t="shared" si="164"/>
        <v/>
      </c>
      <c r="QV55" s="21" t="str">
        <f t="shared" si="165"/>
        <v/>
      </c>
      <c r="QW55" s="21" t="str">
        <f t="shared" si="166"/>
        <v/>
      </c>
      <c r="QX55" s="21" t="str">
        <f t="shared" si="167"/>
        <v/>
      </c>
      <c r="QY55" s="21" t="str">
        <f t="shared" si="168"/>
        <v/>
      </c>
      <c r="QZ55" s="21" t="str">
        <f t="shared" si="169"/>
        <v/>
      </c>
      <c r="RA55" s="21" t="str">
        <f t="shared" si="170"/>
        <v/>
      </c>
      <c r="RB55" s="21" t="str">
        <f t="shared" si="171"/>
        <v/>
      </c>
      <c r="RC55" s="21" t="str">
        <f t="shared" si="172"/>
        <v/>
      </c>
      <c r="RD55" s="21" t="str">
        <f t="shared" si="173"/>
        <v/>
      </c>
      <c r="RE55" s="21" t="str">
        <f t="shared" si="174"/>
        <v/>
      </c>
      <c r="RF55" s="21" t="str">
        <f t="shared" si="175"/>
        <v/>
      </c>
      <c r="RG55" s="21" t="str">
        <f t="shared" si="176"/>
        <v/>
      </c>
      <c r="RH55" s="21" t="str">
        <f t="shared" si="177"/>
        <v/>
      </c>
      <c r="RI55" s="21" t="str">
        <f t="shared" si="178"/>
        <v/>
      </c>
      <c r="RJ55" s="21" t="str">
        <f t="shared" si="179"/>
        <v/>
      </c>
      <c r="RK55" s="21" t="str">
        <f t="shared" si="180"/>
        <v/>
      </c>
      <c r="RL55" s="21" t="str">
        <f t="shared" si="181"/>
        <v/>
      </c>
      <c r="RM55" s="21" t="str">
        <f t="shared" si="182"/>
        <v/>
      </c>
      <c r="RN55" s="21" t="str">
        <f t="shared" si="183"/>
        <v/>
      </c>
      <c r="RO55" s="21" t="str">
        <f t="shared" si="184"/>
        <v/>
      </c>
      <c r="RP55" s="21" t="str">
        <f t="shared" si="185"/>
        <v/>
      </c>
      <c r="RQ55" s="21" t="str">
        <f t="shared" si="186"/>
        <v/>
      </c>
      <c r="RR55" s="21" t="str">
        <f t="shared" si="187"/>
        <v/>
      </c>
      <c r="RS55" s="21" t="str">
        <f t="shared" si="188"/>
        <v/>
      </c>
      <c r="RT55" s="21" t="str">
        <f t="shared" si="189"/>
        <v/>
      </c>
      <c r="RU55" s="21" t="str">
        <f t="shared" si="190"/>
        <v/>
      </c>
      <c r="RV55" s="21">
        <f t="shared" si="191"/>
        <v>29</v>
      </c>
      <c r="RW55" s="284">
        <f>IF(OR(Tabla1[[#This Row],[FUM FORMULA CONFIABLE]]="",Tabla1[[#This Row],[FUM FORMULA CONFIABLE]]="SD"),"",IF(Tabla1[[#This Row],[FUM FORMULA CONFIABLE]]="CORREGIDA",Tabla1[[#This Row],[FUM X ECO 1]],Tabla1[[#This Row],[FUM x AMENORREA]]))</f>
        <v>44807</v>
      </c>
      <c r="RX55" s="21">
        <f>IF(AND(Tabla1[[#This Row],[FUM X ECO 1]]="",Tabla1[[#This Row],[FUM x AMENORREA]]=""),"",IF(AND(Tabla1[[#This Row],[FUM X ECO 1]]="",Tabla1[[#This Row],[FUM x AMENORREA]]&lt;&gt;""),"X",SUM(Tabla1[[#This Row],[FUM X ECO 1]]-Tabla1[[#This Row],[FUM x AMENORREA]])))</f>
        <v>1.8000000000029104</v>
      </c>
      <c r="RY55" s="21">
        <f t="shared" si="193"/>
        <v>0</v>
      </c>
    </row>
    <row r="56" spans="1:493" ht="45" customHeight="1" x14ac:dyDescent="0.25">
      <c r="A56" s="109" t="s">
        <v>1154</v>
      </c>
      <c r="B56" s="43"/>
      <c r="C56" s="43" t="s">
        <v>845</v>
      </c>
      <c r="D56" s="124" t="s">
        <v>846</v>
      </c>
      <c r="E56" s="43" t="s">
        <v>1155</v>
      </c>
      <c r="F56" s="43" t="s">
        <v>1156</v>
      </c>
      <c r="G56" s="43" t="s">
        <v>954</v>
      </c>
      <c r="H56" s="43" t="s">
        <v>1157</v>
      </c>
      <c r="I56" s="109" t="s">
        <v>851</v>
      </c>
      <c r="J56" s="110">
        <v>1002847205</v>
      </c>
      <c r="K56" s="43" t="s">
        <v>852</v>
      </c>
      <c r="L56" s="175" t="s">
        <v>853</v>
      </c>
      <c r="M56" s="22">
        <v>36150</v>
      </c>
      <c r="N56" s="213">
        <f t="shared" ca="1" si="0"/>
        <v>24.882191780821916</v>
      </c>
      <c r="O56" s="22">
        <v>44847</v>
      </c>
      <c r="P56" s="214" t="str">
        <f t="shared" si="194"/>
        <v>SI</v>
      </c>
      <c r="Q56" s="26" t="s">
        <v>855</v>
      </c>
      <c r="R56" s="22">
        <v>44847</v>
      </c>
      <c r="S56" s="21" t="s">
        <v>856</v>
      </c>
      <c r="T56" s="24" t="s">
        <v>690</v>
      </c>
      <c r="U56" s="21" t="s">
        <v>857</v>
      </c>
      <c r="V56" s="21" t="s">
        <v>858</v>
      </c>
      <c r="W56" s="21" t="s">
        <v>1158</v>
      </c>
      <c r="X56" s="21" t="s">
        <v>1158</v>
      </c>
      <c r="Y56" s="21" t="s">
        <v>859</v>
      </c>
      <c r="Z56" s="21">
        <v>3207081003</v>
      </c>
      <c r="AA56" s="21" t="s">
        <v>860</v>
      </c>
      <c r="AB56" s="27" t="s">
        <v>861</v>
      </c>
      <c r="AC56" s="26" t="s">
        <v>877</v>
      </c>
      <c r="AD56" s="38" t="s">
        <v>846</v>
      </c>
      <c r="AE56" s="26" t="s">
        <v>854</v>
      </c>
      <c r="AF56" s="26" t="s">
        <v>854</v>
      </c>
      <c r="AG56" s="23" t="s">
        <v>864</v>
      </c>
      <c r="AH56" s="23" t="s">
        <v>864</v>
      </c>
      <c r="AI56" s="24" t="s">
        <v>863</v>
      </c>
      <c r="AJ56" s="23" t="s">
        <v>864</v>
      </c>
      <c r="AK56" s="220" t="str">
        <f>IF(AND(AD56="",AE56="",AF56="",AG56="",AH56="",AI56="",AJ56=""),"",IF(OR(Tabla1[[#This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EVALUACIÓN",IF(AND(O56="",R56=""),"",IF(AND(OR(O56&gt;0,R56&gt;0),NG56&gt;=0,NG56&lt;2),"SIN RIESGO",IF(AND(OR(O56&gt;0,R56&gt;0),NG56&gt;=2),"CON RIESGO","ASD")))))</f>
        <v>SIN RIESGO</v>
      </c>
      <c r="AL56" s="23" t="s">
        <v>864</v>
      </c>
      <c r="AM56" s="26" t="s">
        <v>864</v>
      </c>
      <c r="AN56" s="26" t="s">
        <v>864</v>
      </c>
      <c r="AO56" s="26" t="s">
        <v>864</v>
      </c>
      <c r="AP56" s="26" t="s">
        <v>864</v>
      </c>
      <c r="AQ56" s="26" t="s">
        <v>864</v>
      </c>
      <c r="AR56" s="26" t="s">
        <v>864</v>
      </c>
      <c r="AS56" s="21">
        <v>1</v>
      </c>
      <c r="AT56" s="21">
        <v>0</v>
      </c>
      <c r="AU56" s="21">
        <v>0</v>
      </c>
      <c r="AV56" s="26" t="s">
        <v>864</v>
      </c>
      <c r="AW56" s="21">
        <v>1</v>
      </c>
      <c r="AX56" s="26" t="s">
        <v>864</v>
      </c>
      <c r="AY56" s="26" t="s">
        <v>864</v>
      </c>
      <c r="AZ56" s="26" t="s">
        <v>864</v>
      </c>
      <c r="BA56" s="26" t="s">
        <v>864</v>
      </c>
      <c r="BB56" s="26" t="s">
        <v>864</v>
      </c>
      <c r="BC56" s="26" t="s">
        <v>864</v>
      </c>
      <c r="BD56" s="26" t="s">
        <v>864</v>
      </c>
      <c r="BE56" s="26" t="s">
        <v>864</v>
      </c>
      <c r="BF56" s="26" t="s">
        <v>864</v>
      </c>
      <c r="BG56" s="26" t="s">
        <v>864</v>
      </c>
      <c r="BH56" s="26" t="s">
        <v>864</v>
      </c>
      <c r="BI56" s="26" t="s">
        <v>864</v>
      </c>
      <c r="BJ56" s="26"/>
      <c r="BK56" s="26"/>
      <c r="BL56" s="26" t="s">
        <v>864</v>
      </c>
      <c r="BM56" s="26" t="s">
        <v>864</v>
      </c>
      <c r="BN56" s="22"/>
      <c r="BO56" s="22">
        <v>44817</v>
      </c>
      <c r="BP56" s="21" t="s">
        <v>854</v>
      </c>
      <c r="BQ56" s="222">
        <f t="shared" si="2"/>
        <v>0</v>
      </c>
      <c r="BR56" s="223">
        <f t="shared" si="3"/>
        <v>44817</v>
      </c>
      <c r="BS56" s="224">
        <f t="shared" si="4"/>
        <v>4.2857142857142856</v>
      </c>
      <c r="BT56" s="216" t="str">
        <f t="shared" si="5"/>
        <v>I TRIM</v>
      </c>
      <c r="BU56" s="214" t="str">
        <f t="shared" ca="1" si="6"/>
        <v/>
      </c>
      <c r="BV56" s="25"/>
      <c r="BW56" s="22">
        <v>44873</v>
      </c>
      <c r="BX56" s="28">
        <v>8</v>
      </c>
      <c r="BY56" s="28"/>
      <c r="BZ56" s="22"/>
      <c r="CA56" s="21"/>
      <c r="CB56" s="26" t="s">
        <v>864</v>
      </c>
      <c r="CC56" s="26" t="s">
        <v>864</v>
      </c>
      <c r="CD56" s="26" t="s">
        <v>878</v>
      </c>
      <c r="CE56" s="26" t="s">
        <v>864</v>
      </c>
      <c r="CF56" s="22" t="s">
        <v>1517</v>
      </c>
      <c r="CG56" s="21">
        <v>1.52</v>
      </c>
      <c r="CH56" s="21">
        <v>61</v>
      </c>
      <c r="CI56" s="214">
        <f t="shared" si="7"/>
        <v>26.402354570637119</v>
      </c>
      <c r="CJ56" s="225" t="str">
        <f>IF(AND(CI56&lt;10,CH56="SD"),"SIN DATO PESO PREGESTACION O I TRIM",IF(AND(OR(R56&gt;0,O56&gt;0),CI56="X"),"INGRESAR DATO DE PESO",IF(CI56="SD","INGRESAR DATO DE TALLA Y PESO",IF(AND(OR(Tabla1[[#This Row],[MOMENTO EN QUE SE REALIZA EL PESO AL INGRESO A CPN]]="PREGESTACIÓN",NZ56="Menor"),CI56&lt;18.5),"BAJO PESO",IF(AND(OR(Tabla1[[#This Row],[MOMENTO EN QUE SE REALIZA EL PESO AL INGRESO A CPN]]="PREGESTACIÓN",NZ56="Menor"),CI56&lt;25),"NORMAL",IF(AND(OR(Tabla1[[#This Row],[MOMENTO EN QUE SE REALIZA EL PESO AL INGRESO A CPN]]="PREGESTACIÓN",NZ56="Menor"),CI56&lt;30),"SOBREPESO",IF(AND(OR(Tabla1[[#This Row],[MOMENTO EN QUE SE REALIZA EL PESO AL INGRESO A CPN]]="PREGESTACIÓN",NZ56="Menor"),CI56&gt;=30,CI56&lt;50),"OBESIDAD",IF(AND(BS56&gt;0,Tabla1[[#This Row],[MOMENTO EN QUE SE REALIZA EL PESO AL INGRESO A CPN]]="GESTACIÓN"),HLOOKUP(NZ56,$OA$2:PH56,NY56),""))))))))</f>
        <v>SOBREPESO</v>
      </c>
      <c r="CK56" s="212">
        <f t="shared" si="8"/>
        <v>45041</v>
      </c>
      <c r="CL56" s="21"/>
      <c r="CM56" s="214">
        <f t="shared" si="9"/>
        <v>0</v>
      </c>
      <c r="CN56" s="216">
        <f t="shared" si="10"/>
        <v>32</v>
      </c>
      <c r="CO56" s="216" t="e">
        <f>IF(PI56="","",IF(PI56&gt;0,HLOOKUP(PI56,$PJ$2:QQ56,NY56),""))</f>
        <v>#REF!</v>
      </c>
      <c r="CP56" s="21"/>
      <c r="CQ56" s="216" t="e">
        <f>IF(QR56="Menor","NO APLICA-MENOR 13 SEM",IF(AND(CC56="SI",CN56&gt;23),"NO APLICA- GEMELAR",IF(QR56="","",IF(QR56&gt;0,HLOOKUP(QR56,$QS$2:RU56,NY56),""))))</f>
        <v>#REF!</v>
      </c>
      <c r="CR56" s="21">
        <v>110</v>
      </c>
      <c r="CS56" s="21">
        <v>60</v>
      </c>
      <c r="CT56" s="217" t="str">
        <f>IF(R56="","",IF(AND(BS56&gt;1,BS56&lt;12,Tabla1[[#This Row],[T.A. SISTOLICA - ANTES DE SEMANA 12]]="",Tabla1[[#This Row],[T.A. DIASTOLICA - ANTES DE SEMANA 12]]=""),"REGISTRE DATO TA ANTES SEMANA 12",IF(AND(BS56&gt;11,BS56&lt;43,Tabla1[[#This Row],[T.A. SISTOLICA - ANTES DE SEMANA 12]]="",Tabla1[[#This Row],[T.A. DIASTOLICA - ANTES DE SEMANA 12]]=""),"NO APLICA REGISTRO TA-INGRESO TARDIO",IF(AND(OR(O56&gt;0,R56&gt;0),OR(CR56&gt;=140,CS56&gt;=90)),"DEFINIR ESTADIO HTA",IF(AND(OR(O56&gt;0,R56&gt;0),AND(CR56&gt;120,CR56&lt;=139)),"PRE HTA SEGUIMIENTO",IF(AND(OR(O56&gt;0,R56&gt;0),AND(CS56&gt;80,CS56&lt;=89)),"PRE HTA SEGUIMIENTO",IF(AND(OR(O56&gt;0,R56&gt;0),AND(CR56&gt;=80,CR56&lt;=120)),"APARENTEMENTE NORMAL",IF(AND(OR(O56&gt;0,R56&gt;0),AND(CS56&gt;=50,CS56&lt;=80)),"APARENTEMENTE NORMAL",IF(AND(OR(O56&gt;0,R56&gt;0),AND(CR56&gt;1,CR56&lt;=70),AND(CS56&gt;1,CS56&lt;=40)),"HIPOTENSIÓN","")))))))))</f>
        <v>APARENTEMENTE NORMAL</v>
      </c>
      <c r="CU56" s="21"/>
      <c r="CV56" s="21"/>
      <c r="CW56" s="217" t="str">
        <f ca="1">IF(R56="","",IF(AND(CN56&gt;19,CN56&lt;27,Tabla1[[#This Row],[T.A. SISTOLICA (Entre semana 20 y 26)]]="",Tabla1[[#This Row],[T.A. DIATOLICA (Entre semana 20 y 26)]]=""),"ACUDE A CONTROL SEM 20 A 26 REGISTRE TA AHORA",IF(AND(BS56&gt;1,BS56&lt;27,BU56&gt;19,Tabla1[[#This Row],[T.A. SISTOLICA (Entre semana 20 y 26)]]="",Tabla1[[#This Row],[T.A. DIATOLICA (Entre semana 20 y 26)]]=""),"COMPLETE REGISTRO TA CONTROL SEM 20 A26 ",IF(AND(BS56&gt;26,BS56&lt;43,Tabla1[[#This Row],[T.A. SISTOLICA (Entre semana 20 y 26)]]="",Tabla1[[#This Row],[T.A. DIATOLICA (Entre semana 20 y 26)]]=""),"NO APLICA REGISTRO TA-INGRESO TARDIO",IF(AND(OR(O56&gt;0,R56&gt;0),OR(CU56&gt;=140,CV56&gt;=90)),"ALTO RIESGO PREECLAMPSIA,DEFINIR ESTADIO HTA",IF(AND(OR(O56&gt;0,R56&gt;0),AND(CU56&gt;120,CU56&lt;=139)),"PRE HTA SEGUIMIENTO,RIESGO HIPERTENSION INDUCIDA POR EL EMBARAZO",IF(AND(OR(O56&gt;0,R56&gt;0),AND(CV56&gt;80,CV56&lt;=89)),"PRE HTA SEGUIMIENTO, RIESGO HIPERTENSION INDUCIDA POR EL EMBARAZO",IF(AND(OR(O56&lt;&gt;"",R56&lt;&gt;""),CS56&lt;&gt;"",CV56&lt;&gt;"",CS56&lt;=CV56),"VIGILAR CIFRAS PRESION ARTERIAL",IF(AND(OR(O56&gt;0,R56&gt;0),AND(CU56&gt;120,CU56&lt;=139)),"PRE HTA SEGUIMIENTO",IF(AND(OR(O56&gt;0,R56&gt;0),AND(CU56&gt;1,CU56&lt;=70),AND(CV56&gt;1,CV56&lt;=40)),"HIPOTENSIÓN",IF(AND(OR(O56&lt;&gt;"",R56&lt;&gt;""),CS56&lt;&gt;"",CV56&lt;&gt;"",CS56&gt;CV56),"APARENTEMENTE NORMAL",IF(AND(OR(O56&gt;0,R56&gt;0),AND(CU56&gt;=80,CU56&lt;=120)),"APARENTEMENTE NORMAL",IF(AND(OR(O56&gt;0,R56&gt;0),AND(CV56&gt;=50,CV56&lt;=80)),"APARENTEMENTE NORMAL","")))))))))))))</f>
        <v xml:space="preserve">COMPLETE REGISTRO TA CONTROL SEM 20 A26 </v>
      </c>
      <c r="CX56" s="21">
        <v>100</v>
      </c>
      <c r="CY56" s="21">
        <v>70</v>
      </c>
      <c r="CZ56" s="216" t="str">
        <f t="shared" si="195"/>
        <v>VIGILAR CIFRAS PRESION ARTERIAL</v>
      </c>
      <c r="DA56" s="21"/>
      <c r="DB56" s="21"/>
      <c r="DC56" s="217" t="str">
        <f t="shared" si="12"/>
        <v>REGISTRE DATO PRESIÓN ARTERIAL MENSUAL</v>
      </c>
      <c r="DD56" s="22">
        <v>44847</v>
      </c>
      <c r="DE56" s="22">
        <v>44847</v>
      </c>
      <c r="DF56" s="22">
        <v>44884</v>
      </c>
      <c r="DG56" s="22">
        <v>44916</v>
      </c>
      <c r="DH56" s="22">
        <v>44947</v>
      </c>
      <c r="DI56" s="22">
        <v>45001</v>
      </c>
      <c r="DJ56" s="22">
        <v>45041</v>
      </c>
      <c r="DK56" s="22"/>
      <c r="DL56" s="22"/>
      <c r="DM56" s="22"/>
      <c r="DN56" s="22"/>
      <c r="DO56" s="22"/>
      <c r="DP56" s="22"/>
      <c r="DQ56" s="22"/>
      <c r="DR56" s="28">
        <v>3</v>
      </c>
      <c r="DS56" s="22"/>
      <c r="DT56" s="22"/>
      <c r="DU56" s="216" t="str">
        <f t="shared" ca="1" si="196"/>
        <v>SALE PROGRAMA ANTES SEMANA 35</v>
      </c>
      <c r="DV56" s="226" t="str">
        <f t="shared" si="197"/>
        <v>SALIO PROGRAMA</v>
      </c>
      <c r="DW56"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56" s="216" t="str">
        <f t="shared" ca="1" si="15"/>
        <v/>
      </c>
      <c r="DY56" s="212">
        <f>IF(R56="","",IF(R56&gt;0,MAX(Tabla1[[#This Row],[FECHA C2]:[FECHA C13]],Tabla1[[#This Row],[FECHA CONSULTA PRIMERA VEZ PROGRAMA CPN ]])))</f>
        <v>45041</v>
      </c>
      <c r="DZ56" s="216">
        <f t="shared" si="16"/>
        <v>32</v>
      </c>
      <c r="EA56" s="222">
        <f>IF(R56&gt;0,SUM(COUNTA(DF56:DQ56)+COUNTA(Tabla1[[#This Row],[FECHA CONSULTA PRIMERA VEZ PROGRAMA CPN ]])),"")</f>
        <v>6</v>
      </c>
      <c r="EB56" s="222" t="str">
        <f t="shared" si="17"/>
        <v>SI</v>
      </c>
      <c r="EC56" s="214">
        <f t="shared" si="18"/>
        <v>10</v>
      </c>
      <c r="ED56" s="227">
        <f t="shared" si="19"/>
        <v>0.6</v>
      </c>
      <c r="EE56" s="22">
        <v>44847</v>
      </c>
      <c r="EF56" s="22">
        <v>44847</v>
      </c>
      <c r="EG56" s="22">
        <v>44847</v>
      </c>
      <c r="EH56" s="22"/>
      <c r="EI56" s="22">
        <v>44847</v>
      </c>
      <c r="EJ56" s="22">
        <v>44873</v>
      </c>
      <c r="EK56" s="22">
        <v>45030</v>
      </c>
      <c r="EL56" s="21">
        <v>3</v>
      </c>
      <c r="EM56" s="21">
        <v>12.5</v>
      </c>
      <c r="EN56" s="22">
        <v>44849</v>
      </c>
      <c r="EO56" s="222">
        <f t="shared" si="20"/>
        <v>4.5714285714285712</v>
      </c>
      <c r="EP56" s="214" t="str">
        <f t="shared" si="21"/>
        <v>NORMAL- SUMINISTRAR SULFATO FERROSO</v>
      </c>
      <c r="EQ56" s="216" t="str">
        <f t="shared" si="22"/>
        <v>I TRIM</v>
      </c>
      <c r="ER56" s="24"/>
      <c r="ES56" s="22"/>
      <c r="ET56" s="29" t="str">
        <f t="shared" ca="1" si="198"/>
        <v>SALE SIN TAMIZAJE HEMOGLOBINA SEM 28</v>
      </c>
      <c r="EU56" s="25" t="str">
        <f t="shared" si="24"/>
        <v/>
      </c>
      <c r="EV56" s="24" t="s">
        <v>866</v>
      </c>
      <c r="EW56" s="24">
        <v>44880</v>
      </c>
      <c r="EX56" s="22"/>
      <c r="EY56" s="29">
        <f t="shared" si="199"/>
        <v>9</v>
      </c>
      <c r="EZ56" s="25" t="str">
        <f t="shared" ca="1" si="200"/>
        <v/>
      </c>
      <c r="FA56" s="21">
        <v>83</v>
      </c>
      <c r="FB56" s="22">
        <v>44880</v>
      </c>
      <c r="FC56" s="29">
        <f t="shared" si="27"/>
        <v>9</v>
      </c>
      <c r="FD56" s="29">
        <v>68</v>
      </c>
      <c r="FE56" s="29">
        <v>151</v>
      </c>
      <c r="FF56" s="29">
        <v>149</v>
      </c>
      <c r="FG56" s="21" t="str">
        <f t="shared" ca="1" si="28"/>
        <v>NORMAL</v>
      </c>
      <c r="FH56" s="31">
        <v>45041</v>
      </c>
      <c r="FI56" s="29">
        <f t="shared" si="29"/>
        <v>32</v>
      </c>
      <c r="FJ56" s="22" t="s">
        <v>867</v>
      </c>
      <c r="FK56" s="22">
        <v>44880</v>
      </c>
      <c r="FL56" s="29">
        <f t="shared" ca="1" si="30"/>
        <v>9</v>
      </c>
      <c r="FM56" s="22"/>
      <c r="FN56" s="32"/>
      <c r="FO56" s="29" t="str">
        <f t="shared" ca="1" si="201"/>
        <v>PIERDE TOMA DE TAMIZAJE</v>
      </c>
      <c r="FP56" s="22" t="s">
        <v>867</v>
      </c>
      <c r="FQ56" s="32">
        <v>45041</v>
      </c>
      <c r="FR56" s="29">
        <f t="shared" ca="1" si="202"/>
        <v>32</v>
      </c>
      <c r="FS56" s="22"/>
      <c r="FT56" s="32"/>
      <c r="FU56" s="29" t="str">
        <f>IF(AND(FJ56="",FM56="",FP56="",FS56=""),"",IF(OR(OR(Tabla1[[#This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56" s="28"/>
      <c r="FW56" s="22"/>
      <c r="FX56" s="29" t="str">
        <f t="shared" si="33"/>
        <v>TOMAR EXAMEN</v>
      </c>
      <c r="FY56" s="22">
        <v>44880</v>
      </c>
      <c r="FZ56" s="22">
        <v>44880</v>
      </c>
      <c r="GA56" s="29">
        <f t="shared" ca="1" si="203"/>
        <v>9</v>
      </c>
      <c r="GB56" s="22"/>
      <c r="GC56" s="22"/>
      <c r="GD56" s="29" t="str">
        <f t="shared" ca="1" si="204"/>
        <v>PIERDE TOMA DE TAMIZAJE</v>
      </c>
      <c r="GE56" s="22"/>
      <c r="GF56" s="22"/>
      <c r="GG56" s="29" t="str">
        <f t="shared" ca="1" si="205"/>
        <v>PIERDE TOMA DE TAMIZAJE</v>
      </c>
      <c r="GH56" s="22"/>
      <c r="GI56" s="29"/>
      <c r="GJ56" s="22"/>
      <c r="GK56" s="22"/>
      <c r="GL56" s="22"/>
      <c r="GM56" s="22"/>
      <c r="GN56" s="28" t="s">
        <v>869</v>
      </c>
      <c r="GO56" s="22">
        <v>44880</v>
      </c>
      <c r="GP56" s="29">
        <f t="shared" si="37"/>
        <v>9</v>
      </c>
      <c r="GQ56" s="28" t="s">
        <v>869</v>
      </c>
      <c r="GR56" s="28" t="s">
        <v>869</v>
      </c>
      <c r="GS56" s="22" t="str">
        <f t="shared" si="206"/>
        <v>CONTROL Igm</v>
      </c>
      <c r="GT56" s="22">
        <v>44880</v>
      </c>
      <c r="GU56" s="29">
        <f t="shared" si="39"/>
        <v>9</v>
      </c>
      <c r="GV56" s="21" t="str">
        <f t="shared" si="40"/>
        <v>I TRIM</v>
      </c>
      <c r="GW56" s="28" t="s">
        <v>869</v>
      </c>
      <c r="GX56" s="30"/>
      <c r="GY56" s="21"/>
      <c r="GZ56" s="21"/>
      <c r="HA56" s="21"/>
      <c r="HB56" s="21"/>
      <c r="HC56" s="21"/>
      <c r="HD56" s="21"/>
      <c r="HE56" s="21"/>
      <c r="HF56" s="22"/>
      <c r="HG56" s="22" t="str">
        <f>IF(OR(O56&gt;0,R56&gt;0),CONCATENATE(IF(Tabla1[[#This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56" s="22" t="e">
        <f t="shared" si="41"/>
        <v>#REF!</v>
      </c>
      <c r="HI56" s="22" t="e">
        <f t="shared" ca="1" si="42"/>
        <v>#REF!</v>
      </c>
      <c r="HJ56" s="21" t="str">
        <f t="shared" ca="1" si="43"/>
        <v>**********************MULTIPARIDAD***CESAREAS PREVIAS**************</v>
      </c>
      <c r="HK56" s="21" t="str">
        <f t="shared" si="44"/>
        <v>SIN ANTECEDENTES DE RIESGO</v>
      </c>
      <c r="HL56" s="24" t="str">
        <f t="shared" si="45"/>
        <v>REGISTRE DATO PRESIÓN ARTERIAL MENSUAL</v>
      </c>
      <c r="HM56" s="21" t="str">
        <f t="shared" ca="1" si="46"/>
        <v/>
      </c>
      <c r="HN56" s="30" t="str">
        <f t="shared" si="207"/>
        <v>SALIO PROGRAMA</v>
      </c>
      <c r="HO56" s="21"/>
      <c r="HP56" s="21"/>
      <c r="HQ56" s="21">
        <v>44884</v>
      </c>
      <c r="HR56" s="21" t="str">
        <f>IF(R56="","",IF(Tabla1[[#This Row],[ALARMA FACTORES DE RIESGO COMPLICACIONES HIPERTENSIVAS3]]="SIN ANTECEDENTES DE RIESGO","No Aplica para suministro de ASA",IF(AND(Tabla1[[#This Row],[FECHA INICIO DE SUMINISTRO DE ASA]]&gt;0,RV56&lt;12),"Inicia ASA ANTES de Sem 12",IF(AND(RV56&gt;11,RV56&lt;17,OR(HK56="RIESGO ALTO DE COMPLICACIONES HIPERTENSIVAS VER MANEJO GUIA SUMINISTRO ASA Y CALCIO",HK56="RIESGO MODERADO (2 O MAS CRITERIOS) VER MANEJO GUIA SUMINISTRO ASA Y CALCIO")),"Inicio oportuno de ASA",IF(AND(RV56&gt;12,OR(HK56="RIESGO ALTO DE COMPLICACIONES HIPERTENSIVAS VER MANEJO GUIA SUMINISTRO ASA Y CALCIO",HK56="RIESGO MODERADO (2 O MAS CRITERIOS) VER MANEJO GUIA SUMINISTRO ASA Y CALCIO")),"Inicio no oportuno mayor a 16 semanas",IF(AND(BU56&lt;12,OR(HK56="RIESGO ALTO DE COMPLICACIONES HIPERTENSIVAS VER MANEJO GUIA SUMINISTRO ASA Y CALCIO",HK56="RIESGO MODERADO (2 O MAS CRITERIOS) VER MANEJO GUIA SUMINISTRO ASA Y CALCIO")),"Pendiente Inicio de ASA a la semana 12",IF(AND(BU56&gt;11,BU56&lt;17,OR(HK56="RIESGO ALTO DE COMPLICACIONES HIPERTENSIVAS VER MANEJO GUIA SUMINISTRO ASA Y CALCIO",HK56="RIESGO MODERADO (2 O MAS CRITERIOS) VER MANEJO GUIA SUMINISTRO ASA Y CALCIO")),"Iniciar de inmediato ASA",IF(AND(BU56&gt;16,OR(HK56="RIESGO ALTO DE COMPLICACIONES HIPERTENSIVAS VER MANEJO GUIA SUMINISTRO ASA Y CALCIO",HK56="RIESGO MODERADO (2 O MAS CRITERIOS) VER MANEJO GUIA SUMINISTRO ASA Y CALCIO")),"Pierde Oportunidad, Inicio tardío de ASA","XXXXX"))))))))</f>
        <v>No Aplica para suministro de ASA</v>
      </c>
      <c r="HS56" s="22">
        <v>44884</v>
      </c>
      <c r="HT56" s="22" t="s">
        <v>935</v>
      </c>
      <c r="HU56" s="22">
        <v>44884</v>
      </c>
      <c r="HV56" s="22" t="s">
        <v>870</v>
      </c>
      <c r="HW56" s="22">
        <v>44884</v>
      </c>
      <c r="HX56" s="22" t="s">
        <v>935</v>
      </c>
      <c r="HY56" s="22">
        <v>44847</v>
      </c>
      <c r="HZ56" s="28">
        <f t="shared" si="48"/>
        <v>4.2857142857142856</v>
      </c>
      <c r="IA56" s="26" t="s">
        <v>864</v>
      </c>
      <c r="IB56" s="26"/>
      <c r="IC56" s="111">
        <v>44979</v>
      </c>
      <c r="ID56" s="22">
        <v>44979</v>
      </c>
      <c r="IE56" s="22" t="str">
        <f t="shared" ca="1" si="49"/>
        <v>VACUNA APLICADA ENTRE SEMANA 20 Y SEMANA 26</v>
      </c>
      <c r="IF56" s="22"/>
      <c r="IG56" s="22">
        <f t="shared" si="50"/>
        <v>45097</v>
      </c>
      <c r="IH56" s="29">
        <f t="shared" ca="1" si="51"/>
        <v>-135</v>
      </c>
      <c r="II56" s="22" t="str">
        <f t="shared" ca="1" si="52"/>
        <v>POSIBLEMENTE NACIO</v>
      </c>
      <c r="IJ56" s="22"/>
      <c r="IK56" s="21" t="s">
        <v>898</v>
      </c>
      <c r="IL56" s="21"/>
      <c r="IM56" s="34"/>
      <c r="IN56" s="349">
        <v>45056</v>
      </c>
      <c r="IO56" s="21" t="s">
        <v>1186</v>
      </c>
      <c r="IP56" s="29">
        <f t="shared" si="208"/>
        <v>34.142857142857146</v>
      </c>
      <c r="IQ56" s="110" t="s">
        <v>1654</v>
      </c>
      <c r="IR56" s="21" t="s">
        <v>1651</v>
      </c>
      <c r="IS56" s="21" t="s">
        <v>1646</v>
      </c>
      <c r="IT56" s="21" t="s">
        <v>1642</v>
      </c>
      <c r="IU56" s="21"/>
      <c r="IV56" s="21"/>
      <c r="IW56" s="21"/>
      <c r="IX56" s="21"/>
      <c r="IY56" s="21"/>
      <c r="IZ56" s="21"/>
      <c r="JA56" s="21"/>
      <c r="JB56" s="30">
        <v>1</v>
      </c>
      <c r="JC56" s="21" t="s">
        <v>1643</v>
      </c>
      <c r="JD56" s="36">
        <v>2690</v>
      </c>
      <c r="JE56" s="21" t="str">
        <f t="shared" si="209"/>
        <v>ERROR VERIFICAR DATO EDAD GESTACIONAL VS PESO</v>
      </c>
      <c r="JF56" s="30"/>
      <c r="JG56" s="21"/>
      <c r="JH56" s="21"/>
      <c r="JI56" s="21" t="s">
        <v>854</v>
      </c>
      <c r="JJ56" s="30" t="s">
        <v>866</v>
      </c>
      <c r="JK56" s="22"/>
      <c r="JL56" s="22"/>
      <c r="JM56" s="21"/>
      <c r="JN56" s="36"/>
      <c r="JO56" s="21" t="str">
        <f t="shared" si="210"/>
        <v/>
      </c>
      <c r="JP56" s="22"/>
      <c r="JQ56" s="21"/>
      <c r="JR56" s="21"/>
      <c r="JS56" s="21"/>
      <c r="JT56" s="30"/>
      <c r="JU56" s="22"/>
      <c r="JV56" s="22"/>
      <c r="JW56" s="33"/>
      <c r="JX56" s="28" t="str">
        <f t="shared" si="211"/>
        <v>INASISTENTE</v>
      </c>
      <c r="JY56" s="33"/>
      <c r="JZ56" s="28" t="str">
        <f t="shared" si="212"/>
        <v>INASISTENTE</v>
      </c>
      <c r="KA56" s="21"/>
      <c r="KB56" s="21"/>
      <c r="KC56" s="21"/>
      <c r="KD56" s="37"/>
      <c r="KE56" s="28"/>
      <c r="KF56" s="28"/>
      <c r="KG56" s="28"/>
      <c r="KH56" s="39"/>
      <c r="KI56" s="39"/>
      <c r="KJ56" s="66"/>
      <c r="KK56" s="39"/>
      <c r="KL56" s="39"/>
      <c r="KM56" s="66"/>
      <c r="KN56" s="39"/>
      <c r="KO56" s="39"/>
      <c r="KP56" s="39"/>
      <c r="KQ56" s="39"/>
      <c r="KR56" s="39"/>
      <c r="KS56" s="39"/>
      <c r="KT56" s="39"/>
      <c r="KU56" s="38"/>
      <c r="KV56" s="38"/>
      <c r="KW56" s="38"/>
      <c r="KX56" s="38"/>
      <c r="KY56" s="38"/>
      <c r="KZ56" s="38"/>
      <c r="LA56" s="38"/>
      <c r="LB56" s="38"/>
      <c r="LC56" s="38"/>
      <c r="LD56" s="38"/>
      <c r="LE56" s="38"/>
      <c r="LF56" s="38"/>
      <c r="LG56" s="38"/>
      <c r="LH56" s="38"/>
      <c r="LI56" s="38"/>
      <c r="LJ56" s="38"/>
      <c r="LK56" s="38"/>
      <c r="LL56" s="38"/>
      <c r="LM56" s="38"/>
      <c r="LN56" s="38"/>
      <c r="LO56" s="38"/>
      <c r="LP56" s="38"/>
      <c r="LQ56" s="38"/>
      <c r="LR56" s="38"/>
      <c r="LS56" s="38"/>
      <c r="LT56" s="38"/>
      <c r="LU56" s="38"/>
      <c r="LV56" s="38"/>
      <c r="LW56" s="38"/>
      <c r="LX56" s="38"/>
      <c r="LY56" s="38"/>
      <c r="LZ56" s="38"/>
      <c r="MA56" s="38"/>
      <c r="MB56" s="38"/>
      <c r="MC56" s="38"/>
      <c r="MD56" s="38"/>
      <c r="ME56" s="38"/>
      <c r="MF56" s="38"/>
      <c r="MG56" s="38"/>
      <c r="MH56" s="43">
        <f t="shared" si="213"/>
        <v>0</v>
      </c>
      <c r="MI56" s="43" t="str">
        <f t="shared" si="214"/>
        <v/>
      </c>
      <c r="MJ56" s="43" t="str">
        <f t="shared" si="215"/>
        <v/>
      </c>
      <c r="MK56" s="43">
        <f t="shared" si="216"/>
        <v>0</v>
      </c>
      <c r="ML5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56" s="43">
        <f t="shared" si="217"/>
        <v>4.2857142857142856</v>
      </c>
      <c r="MN56" s="43">
        <f t="shared" si="218"/>
        <v>10</v>
      </c>
      <c r="MO56" s="43">
        <f t="shared" si="219"/>
        <v>2022</v>
      </c>
      <c r="MP56" s="43" t="str">
        <f t="shared" si="220"/>
        <v>IV TRIMESTRE AÑO</v>
      </c>
      <c r="MQ56" s="43">
        <f t="shared" si="221"/>
        <v>23.466929478756018</v>
      </c>
      <c r="MR56" s="43">
        <f t="shared" si="222"/>
        <v>0</v>
      </c>
      <c r="MS56" s="43" t="str">
        <f t="shared" si="223"/>
        <v xml:space="preserve"> DE 20 A 24 AÑOS</v>
      </c>
      <c r="MT56" s="43">
        <f t="shared" si="224"/>
        <v>0</v>
      </c>
      <c r="MU56" s="43">
        <f t="shared" si="225"/>
        <v>1</v>
      </c>
      <c r="MV56" s="43">
        <f t="shared" si="226"/>
        <v>1</v>
      </c>
      <c r="MW56" s="43">
        <f t="shared" si="227"/>
        <v>0</v>
      </c>
      <c r="MX56" s="43" t="str">
        <f t="shared" si="228"/>
        <v/>
      </c>
      <c r="MY56" s="43" t="str">
        <f t="shared" ca="1" si="229"/>
        <v/>
      </c>
      <c r="MZ56" s="43" t="str">
        <f t="shared" si="230"/>
        <v/>
      </c>
      <c r="NA56" s="43">
        <f t="shared" si="231"/>
        <v>0</v>
      </c>
      <c r="NB56" s="43" t="str">
        <f t="shared" si="232"/>
        <v/>
      </c>
      <c r="NC56" s="43" t="str">
        <f t="shared" si="233"/>
        <v/>
      </c>
      <c r="ND56" s="43">
        <f t="shared" ca="1" si="234"/>
        <v>2</v>
      </c>
      <c r="NE56" s="43">
        <f>IF(OR(O56&gt;0,R56&gt;0),SUM(COUNTIF(Tabla1[[#This Row],[AÑOS AL INICIO5 CPN]],"&gt;=40"),COUNTIF(AS56,"0"),COUNTIF(AR56,"SI"),COUNTIF(CC56,"SI"),COUNTIF(BQ56,"&gt;119"),COUNTIF(CI56,"&gt;=35")),"")</f>
        <v>0</v>
      </c>
      <c r="NF56" s="43">
        <f t="shared" si="235"/>
        <v>23.142857142857142</v>
      </c>
      <c r="NG56" s="43">
        <f t="shared" si="236"/>
        <v>0</v>
      </c>
      <c r="NH56" s="43">
        <f t="shared" si="237"/>
        <v>56</v>
      </c>
      <c r="NI56"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CPN",P56="NO"),"Z",IF(AND(Tabla1[[#This Row],[CITA PROXIMO CONTROL]]="CITA MANUAL",Tabla1[[#This Row],[GESTANTES ACTUALES]]="ACTIVA INGRESO A CPN"),"W",IF(AND(Tabla1[[#This Row],[GESTANTES ACTUALES]]="SALIO PROGRAMA",IN56=""),"S",IF(AND(Tabla1[[#This Row],[CITA PROXIMO CONTROL]]&gt;0,IN56=""),(Tabla1[[#This Row],[CITA PROXIMO CONTROL]]-TODAY()),"SD"))))))))</f>
        <v>SD</v>
      </c>
      <c r="NJ56" s="43">
        <f>MONTH(Tabla1[[#This Row],[FECHA DE SALIDA  DEL PROGRAMA]])</f>
        <v>5</v>
      </c>
      <c r="NK56" s="43">
        <f>YEAR(Tabla1[[#This Row],[FECHA DE SALIDA  DEL PROGRAMA]])</f>
        <v>2023</v>
      </c>
      <c r="NL56" s="43">
        <f t="shared" si="238"/>
        <v>26</v>
      </c>
      <c r="NM56" s="43" t="str">
        <f t="shared" si="239"/>
        <v>NO</v>
      </c>
      <c r="NN56" s="43" t="str">
        <f ca="1">IF(AND(O56&gt;0,R56=""),"NO CPN",IF(AND(O56="",R56=""),"",IF(AND(R56&gt;0,Tabla1[[#This Row],[SEMANAS DE GESTACION ACTUALIZADAS]]&lt;=12),"NO APLICA",IF(AND(FH56&lt;&gt;"",FN56&lt;&gt;""),"SI","NO"))))</f>
        <v>NO</v>
      </c>
      <c r="NO56" s="43" t="str">
        <f ca="1">IF(AND(O56&gt;0,R56=""),"NO CPN",IF(AND(O56="",R56=""),"",IF(AND(R56&gt;0,Tabla1[[#This Row],[SEMANAS DE GESTACION ACTUALIZADAS]]&lt;=27),"NO APLICA",IF(AND(ES56&lt;&gt;"",FQ56&lt;&gt;"",GF56&lt;&gt;""),"SI","NO"))))</f>
        <v>NO</v>
      </c>
      <c r="NP56" s="204" t="str">
        <f t="shared" si="240"/>
        <v>I TRIM</v>
      </c>
      <c r="NQ56" s="21" t="str">
        <f t="shared" si="241"/>
        <v/>
      </c>
      <c r="NR56" s="21">
        <f t="shared" si="242"/>
        <v>3</v>
      </c>
      <c r="NS56" s="205">
        <f t="shared" ca="1" si="243"/>
        <v>2</v>
      </c>
      <c r="NT56" s="21">
        <f t="shared" ca="1" si="244"/>
        <v>1</v>
      </c>
      <c r="NU56" s="21" t="str">
        <f t="shared" ca="1" si="245"/>
        <v>INCOMPLETO</v>
      </c>
      <c r="NV56" s="21" t="str">
        <f t="shared" ca="1" si="246"/>
        <v>INCOMPLETO</v>
      </c>
      <c r="NW56" s="206" t="str">
        <f>IF(AND(O56="",R56=""),"",IF(OR(AND(Tabla1[[#This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56" s="207" t="str">
        <f t="shared" ca="1" si="247"/>
        <v>VACUNADA</v>
      </c>
      <c r="NY56" s="43">
        <f>ROW(Tabla1[[#This Row],['# DE TAMIZAJES SIFILIS TOMADOS ]])</f>
        <v>56</v>
      </c>
      <c r="NZ56" s="43" t="str">
        <f t="shared" si="93"/>
        <v>Menor</v>
      </c>
      <c r="OA56" s="43" t="str">
        <f t="shared" si="94"/>
        <v>SOBREPESO</v>
      </c>
      <c r="OB56" s="43" t="str">
        <f t="shared" si="95"/>
        <v/>
      </c>
      <c r="OC56" s="43" t="str">
        <f t="shared" si="96"/>
        <v/>
      </c>
      <c r="OD56" s="43" t="str">
        <f t="shared" si="97"/>
        <v/>
      </c>
      <c r="OE56" s="43" t="str">
        <f t="shared" si="98"/>
        <v/>
      </c>
      <c r="OF56" s="43" t="str">
        <f t="shared" si="99"/>
        <v/>
      </c>
      <c r="OG56" s="43" t="str">
        <f t="shared" si="100"/>
        <v/>
      </c>
      <c r="OH56" s="43" t="str">
        <f t="shared" si="101"/>
        <v/>
      </c>
      <c r="OI56" s="43" t="str">
        <f t="shared" si="102"/>
        <v/>
      </c>
      <c r="OJ56" s="43" t="str">
        <f t="shared" si="103"/>
        <v/>
      </c>
      <c r="OK56" s="43" t="str">
        <f t="shared" si="104"/>
        <v/>
      </c>
      <c r="OL56" s="43" t="str">
        <f t="shared" si="105"/>
        <v/>
      </c>
      <c r="OM56" s="43" t="str">
        <f t="shared" si="106"/>
        <v/>
      </c>
      <c r="ON56" s="43" t="str">
        <f t="shared" si="107"/>
        <v/>
      </c>
      <c r="OO56" s="43" t="str">
        <f t="shared" si="108"/>
        <v/>
      </c>
      <c r="OP56" s="43" t="str">
        <f t="shared" si="109"/>
        <v/>
      </c>
      <c r="OQ56" s="43" t="str">
        <f t="shared" si="110"/>
        <v/>
      </c>
      <c r="OR56" s="43" t="str">
        <f t="shared" si="111"/>
        <v/>
      </c>
      <c r="OS56" s="43" t="str">
        <f t="shared" si="112"/>
        <v/>
      </c>
      <c r="OT56" s="43" t="str">
        <f t="shared" si="113"/>
        <v/>
      </c>
      <c r="OU56" s="43" t="str">
        <f t="shared" si="114"/>
        <v/>
      </c>
      <c r="OV56" s="110" t="str">
        <f t="shared" si="115"/>
        <v/>
      </c>
      <c r="OW56" s="43" t="str">
        <f t="shared" si="116"/>
        <v/>
      </c>
      <c r="OX56" s="43" t="str">
        <f t="shared" si="117"/>
        <v/>
      </c>
      <c r="OY56" s="43" t="str">
        <f t="shared" si="118"/>
        <v/>
      </c>
      <c r="OZ56" s="43" t="str">
        <f t="shared" si="119"/>
        <v/>
      </c>
      <c r="PA56" s="43" t="str">
        <f t="shared" si="120"/>
        <v/>
      </c>
      <c r="PB56" s="43" t="str">
        <f t="shared" si="121"/>
        <v/>
      </c>
      <c r="PC56" s="43" t="str">
        <f t="shared" si="122"/>
        <v/>
      </c>
      <c r="PD56" s="43" t="str">
        <f t="shared" si="123"/>
        <v/>
      </c>
      <c r="PE56" s="43" t="str">
        <f t="shared" si="124"/>
        <v/>
      </c>
      <c r="PF56" s="43" t="str">
        <f t="shared" si="125"/>
        <v/>
      </c>
      <c r="PG56" s="43" t="str">
        <f t="shared" si="126"/>
        <v/>
      </c>
      <c r="PH56" s="43" t="str">
        <f t="shared" si="127"/>
        <v/>
      </c>
      <c r="PI56" s="43">
        <f t="shared" si="128"/>
        <v>32</v>
      </c>
      <c r="PJ56" s="43" t="str">
        <f t="shared" si="129"/>
        <v/>
      </c>
      <c r="PK56" s="43" t="str">
        <f t="shared" si="130"/>
        <v/>
      </c>
      <c r="PL56" s="43" t="str">
        <f t="shared" si="131"/>
        <v/>
      </c>
      <c r="PM56" s="43" t="str">
        <f t="shared" si="132"/>
        <v/>
      </c>
      <c r="PN56" s="43" t="str">
        <f t="shared" si="133"/>
        <v/>
      </c>
      <c r="PO56" s="43" t="str">
        <f t="shared" si="134"/>
        <v/>
      </c>
      <c r="PP56" s="43" t="str">
        <f t="shared" si="135"/>
        <v/>
      </c>
      <c r="PQ56" s="43" t="str">
        <f t="shared" si="136"/>
        <v/>
      </c>
      <c r="PR56" s="43" t="str">
        <f t="shared" si="137"/>
        <v/>
      </c>
      <c r="PS56" s="43" t="str">
        <f t="shared" si="138"/>
        <v/>
      </c>
      <c r="PT56" s="43" t="str">
        <f t="shared" si="139"/>
        <v/>
      </c>
      <c r="PU56" s="43" t="str">
        <f t="shared" si="140"/>
        <v/>
      </c>
      <c r="PV56" s="43" t="str">
        <f t="shared" si="141"/>
        <v/>
      </c>
      <c r="PW56" s="43" t="str">
        <f t="shared" si="142"/>
        <v/>
      </c>
      <c r="PX56" s="43" t="str">
        <f t="shared" si="143"/>
        <v/>
      </c>
      <c r="PY56" s="43" t="str">
        <f t="shared" si="144"/>
        <v/>
      </c>
      <c r="PZ56" s="43" t="str">
        <f t="shared" si="145"/>
        <v/>
      </c>
      <c r="QA56" s="43" t="str">
        <f t="shared" si="146"/>
        <v/>
      </c>
      <c r="QB56" s="43" t="str">
        <f t="shared" si="147"/>
        <v/>
      </c>
      <c r="QC56" s="43" t="str">
        <f t="shared" si="148"/>
        <v/>
      </c>
      <c r="QD56" s="43" t="str">
        <f t="shared" si="149"/>
        <v/>
      </c>
      <c r="QE56" s="43" t="str">
        <f t="shared" si="150"/>
        <v/>
      </c>
      <c r="QF56" s="43" t="str">
        <f t="shared" si="151"/>
        <v/>
      </c>
      <c r="QG56" s="43" t="str">
        <f t="shared" si="152"/>
        <v/>
      </c>
      <c r="QH56" s="43" t="str">
        <f t="shared" si="153"/>
        <v/>
      </c>
      <c r="QI56" s="43" t="str">
        <f t="shared" si="154"/>
        <v/>
      </c>
      <c r="QJ56" s="43" t="str">
        <f t="shared" si="155"/>
        <v/>
      </c>
      <c r="QK56" s="43" t="str">
        <f t="shared" si="156"/>
        <v/>
      </c>
      <c r="QL56" s="43" t="str">
        <f t="shared" si="157"/>
        <v/>
      </c>
      <c r="QM56" s="43" t="str">
        <f t="shared" si="158"/>
        <v/>
      </c>
      <c r="QN56" s="43" t="str">
        <f t="shared" si="159"/>
        <v/>
      </c>
      <c r="QO56" s="43" t="str">
        <f t="shared" si="160"/>
        <v/>
      </c>
      <c r="QP56" s="43" t="str">
        <f t="shared" si="161"/>
        <v/>
      </c>
      <c r="QQ56" s="43" t="str">
        <f t="shared" si="162"/>
        <v/>
      </c>
      <c r="QR56" s="43">
        <f t="shared" si="192"/>
        <v>32</v>
      </c>
      <c r="QS56" s="43"/>
      <c r="QT56" s="21" t="str">
        <f t="shared" si="163"/>
        <v/>
      </c>
      <c r="QU56" s="21" t="str">
        <f t="shared" si="164"/>
        <v/>
      </c>
      <c r="QV56" s="21" t="str">
        <f t="shared" si="165"/>
        <v/>
      </c>
      <c r="QW56" s="21" t="str">
        <f t="shared" si="166"/>
        <v/>
      </c>
      <c r="QX56" s="21" t="str">
        <f t="shared" si="167"/>
        <v/>
      </c>
      <c r="QY56" s="21" t="str">
        <f t="shared" si="168"/>
        <v/>
      </c>
      <c r="QZ56" s="21" t="str">
        <f t="shared" si="169"/>
        <v/>
      </c>
      <c r="RA56" s="21" t="str">
        <f t="shared" si="170"/>
        <v/>
      </c>
      <c r="RB56" s="21" t="str">
        <f t="shared" si="171"/>
        <v/>
      </c>
      <c r="RC56" s="21" t="str">
        <f t="shared" si="172"/>
        <v/>
      </c>
      <c r="RD56" s="21" t="str">
        <f t="shared" si="173"/>
        <v/>
      </c>
      <c r="RE56" s="21" t="str">
        <f t="shared" si="174"/>
        <v/>
      </c>
      <c r="RF56" s="21" t="str">
        <f t="shared" si="175"/>
        <v/>
      </c>
      <c r="RG56" s="21" t="str">
        <f t="shared" si="176"/>
        <v/>
      </c>
      <c r="RH56" s="21" t="str">
        <f t="shared" si="177"/>
        <v/>
      </c>
      <c r="RI56" s="21" t="str">
        <f t="shared" si="178"/>
        <v/>
      </c>
      <c r="RJ56" s="21" t="str">
        <f t="shared" si="179"/>
        <v/>
      </c>
      <c r="RK56" s="21" t="str">
        <f t="shared" si="180"/>
        <v/>
      </c>
      <c r="RL56" s="21" t="str">
        <f t="shared" si="181"/>
        <v/>
      </c>
      <c r="RM56" s="21" t="str">
        <f t="shared" si="182"/>
        <v/>
      </c>
      <c r="RN56" s="21" t="str">
        <f t="shared" si="183"/>
        <v/>
      </c>
      <c r="RO56" s="21" t="str">
        <f t="shared" si="184"/>
        <v/>
      </c>
      <c r="RP56" s="21" t="str">
        <f t="shared" si="185"/>
        <v/>
      </c>
      <c r="RQ56" s="21" t="str">
        <f t="shared" si="186"/>
        <v/>
      </c>
      <c r="RR56" s="21" t="str">
        <f t="shared" si="187"/>
        <v/>
      </c>
      <c r="RS56" s="21" t="str">
        <f t="shared" si="188"/>
        <v/>
      </c>
      <c r="RT56" s="21" t="str">
        <f t="shared" si="189"/>
        <v/>
      </c>
      <c r="RU56" s="21" t="str">
        <f t="shared" si="190"/>
        <v/>
      </c>
      <c r="RV56" s="21">
        <f t="shared" si="191"/>
        <v>9.5714285714285712</v>
      </c>
      <c r="RW56" s="284">
        <f>IF(OR(Tabla1[[#This Row],[FUM FORMULA CONFIABLE]]="",Tabla1[[#This Row],[FUM FORMULA CONFIABLE]]="SD"),"",IF(Tabla1[[#This Row],[FUM FORMULA CONFIABLE]]="CORREGIDA",Tabla1[[#This Row],[FUM X ECO 1]],Tabla1[[#This Row],[FUM x AMENORREA]]))</f>
        <v>44817</v>
      </c>
      <c r="RX56" s="21">
        <f>IF(AND(Tabla1[[#This Row],[FUM X ECO 1]]="",Tabla1[[#This Row],[FUM x AMENORREA]]=""),"",IF(AND(Tabla1[[#This Row],[FUM X ECO 1]]="",Tabla1[[#This Row],[FUM x AMENORREA]]&lt;&gt;""),"X",SUM(Tabla1[[#This Row],[FUM X ECO 1]]-Tabla1[[#This Row],[FUM x AMENORREA]])))</f>
        <v>0</v>
      </c>
      <c r="RY56" s="21">
        <f t="shared" si="193"/>
        <v>0</v>
      </c>
    </row>
    <row r="57" spans="1:493" s="338" customFormat="1" ht="45" customHeight="1" x14ac:dyDescent="0.25">
      <c r="A57" s="300"/>
      <c r="B57" s="301" t="s">
        <v>1159</v>
      </c>
      <c r="C57" s="301" t="s">
        <v>845</v>
      </c>
      <c r="D57" s="302" t="s">
        <v>846</v>
      </c>
      <c r="E57" s="301" t="s">
        <v>1160</v>
      </c>
      <c r="F57" s="301" t="s">
        <v>1161</v>
      </c>
      <c r="G57" s="301" t="s">
        <v>1162</v>
      </c>
      <c r="H57" s="301"/>
      <c r="I57" s="300" t="s">
        <v>851</v>
      </c>
      <c r="J57" s="303">
        <v>1067468278</v>
      </c>
      <c r="K57" s="301" t="s">
        <v>852</v>
      </c>
      <c r="L57" s="304" t="s">
        <v>853</v>
      </c>
      <c r="M57" s="305">
        <v>35386</v>
      </c>
      <c r="N57" s="306">
        <f t="shared" ca="1" si="0"/>
        <v>26.975342465753425</v>
      </c>
      <c r="O57" s="305">
        <v>44888</v>
      </c>
      <c r="P57" s="307" t="str">
        <f t="shared" si="194"/>
        <v>SI</v>
      </c>
      <c r="Q57" s="308" t="s">
        <v>855</v>
      </c>
      <c r="R57" s="305">
        <v>44888</v>
      </c>
      <c r="S57" s="309" t="s">
        <v>856</v>
      </c>
      <c r="T57" s="310" t="s">
        <v>690</v>
      </c>
      <c r="U57" s="309" t="s">
        <v>857</v>
      </c>
      <c r="V57" s="309" t="s">
        <v>858</v>
      </c>
      <c r="W57" s="309" t="s">
        <v>1163</v>
      </c>
      <c r="X57" s="309" t="s">
        <v>1163</v>
      </c>
      <c r="Y57" s="309" t="s">
        <v>859</v>
      </c>
      <c r="Z57" s="309">
        <v>3212713607</v>
      </c>
      <c r="AA57" s="309" t="s">
        <v>860</v>
      </c>
      <c r="AB57" s="311" t="s">
        <v>861</v>
      </c>
      <c r="AC57" s="308" t="s">
        <v>862</v>
      </c>
      <c r="AD57" s="312" t="s">
        <v>846</v>
      </c>
      <c r="AE57" s="308" t="s">
        <v>854</v>
      </c>
      <c r="AF57" s="308" t="s">
        <v>854</v>
      </c>
      <c r="AG57" s="313" t="s">
        <v>864</v>
      </c>
      <c r="AH57" s="313" t="s">
        <v>864</v>
      </c>
      <c r="AI57" s="310" t="s">
        <v>863</v>
      </c>
      <c r="AJ57" s="313" t="s">
        <v>864</v>
      </c>
      <c r="AK57" s="314" t="str">
        <f>IF(AND(AD57="",AE57="",AF57="",AG57="",AH57="",AI57="",AJ57=""),"",IF(OR(Tabla1[[#This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EVALUACIÓN",IF(AND(O57="",R57=""),"",IF(AND(OR(O57&gt;0,R57&gt;0),NG57&gt;=0,NG57&lt;2),"SIN RIESGO",IF(AND(OR(O57&gt;0,R57&gt;0),NG57&gt;=2),"CON RIESGO","ASD")))))</f>
        <v>SIN RIESGO</v>
      </c>
      <c r="AL57" s="313" t="s">
        <v>864</v>
      </c>
      <c r="AM57" s="308" t="s">
        <v>864</v>
      </c>
      <c r="AN57" s="308" t="s">
        <v>864</v>
      </c>
      <c r="AO57" s="308" t="s">
        <v>864</v>
      </c>
      <c r="AP57" s="308" t="s">
        <v>864</v>
      </c>
      <c r="AQ57" s="308" t="s">
        <v>864</v>
      </c>
      <c r="AR57" s="308" t="s">
        <v>864</v>
      </c>
      <c r="AS57" s="309">
        <v>2</v>
      </c>
      <c r="AT57" s="309">
        <v>2</v>
      </c>
      <c r="AU57" s="309">
        <v>0</v>
      </c>
      <c r="AV57" s="308" t="s">
        <v>864</v>
      </c>
      <c r="AW57" s="309">
        <v>0</v>
      </c>
      <c r="AX57" s="308" t="s">
        <v>864</v>
      </c>
      <c r="AY57" s="308" t="s">
        <v>864</v>
      </c>
      <c r="AZ57" s="308" t="s">
        <v>864</v>
      </c>
      <c r="BA57" s="308" t="s">
        <v>864</v>
      </c>
      <c r="BB57" s="308" t="s">
        <v>864</v>
      </c>
      <c r="BC57" s="308" t="s">
        <v>864</v>
      </c>
      <c r="BD57" s="308" t="s">
        <v>864</v>
      </c>
      <c r="BE57" s="308" t="s">
        <v>864</v>
      </c>
      <c r="BF57" s="308" t="s">
        <v>864</v>
      </c>
      <c r="BG57" s="308" t="s">
        <v>864</v>
      </c>
      <c r="BH57" s="308" t="s">
        <v>864</v>
      </c>
      <c r="BI57" s="308" t="s">
        <v>864</v>
      </c>
      <c r="BJ57" s="308"/>
      <c r="BK57" s="308"/>
      <c r="BL57" s="308" t="s">
        <v>864</v>
      </c>
      <c r="BM57" s="308" t="s">
        <v>864</v>
      </c>
      <c r="BN57" s="305">
        <v>42641</v>
      </c>
      <c r="BO57" s="305">
        <v>44855</v>
      </c>
      <c r="BP57" s="309" t="s">
        <v>854</v>
      </c>
      <c r="BQ57" s="315">
        <f t="shared" si="2"/>
        <v>73.8</v>
      </c>
      <c r="BR57" s="316">
        <f t="shared" si="3"/>
        <v>44855</v>
      </c>
      <c r="BS57" s="317">
        <f t="shared" si="4"/>
        <v>4.7142857142857144</v>
      </c>
      <c r="BT57" s="318" t="str">
        <f t="shared" si="5"/>
        <v>I TRIM</v>
      </c>
      <c r="BU57" s="307" t="str">
        <f t="shared" ca="1" si="6"/>
        <v/>
      </c>
      <c r="BV57" s="319" t="s">
        <v>988</v>
      </c>
      <c r="BW57" s="305">
        <v>44918</v>
      </c>
      <c r="BX57" s="320">
        <v>9</v>
      </c>
      <c r="BY57" s="320"/>
      <c r="BZ57" s="305"/>
      <c r="CA57" s="309"/>
      <c r="CB57" s="308" t="s">
        <v>864</v>
      </c>
      <c r="CC57" s="308" t="s">
        <v>864</v>
      </c>
      <c r="CD57" s="308" t="s">
        <v>865</v>
      </c>
      <c r="CE57" s="308" t="s">
        <v>864</v>
      </c>
      <c r="CF57" s="22" t="s">
        <v>1517</v>
      </c>
      <c r="CG57" s="309">
        <v>1.5</v>
      </c>
      <c r="CH57" s="309">
        <v>58</v>
      </c>
      <c r="CI57" s="307">
        <f t="shared" si="7"/>
        <v>25.777777777777779</v>
      </c>
      <c r="CJ57" s="321" t="str">
        <f>IF(AND(CI57&lt;10,CH57="SD"),"SIN DATO PESO PREGESTACION O I TRIM",IF(AND(OR(R57&gt;0,O57&gt;0),CI57="X"),"INGRESAR DATO DE PESO",IF(CI57="SD","INGRESAR DATO DE TALLA Y PESO",IF(AND(OR(Tabla1[[#This Row],[MOMENTO EN QUE SE REALIZA EL PESO AL INGRESO A CPN]]="PREGESTACIÓN",NZ57="Menor"),CI57&lt;18.5),"BAJO PESO",IF(AND(OR(Tabla1[[#This Row],[MOMENTO EN QUE SE REALIZA EL PESO AL INGRESO A CPN]]="PREGESTACIÓN",NZ57="Menor"),CI57&lt;25),"NORMAL",IF(AND(OR(Tabla1[[#This Row],[MOMENTO EN QUE SE REALIZA EL PESO AL INGRESO A CPN]]="PREGESTACIÓN",NZ57="Menor"),CI57&lt;30),"SOBREPESO",IF(AND(OR(Tabla1[[#This Row],[MOMENTO EN QUE SE REALIZA EL PESO AL INGRESO A CPN]]="PREGESTACIÓN",NZ57="Menor"),CI57&gt;=30,CI57&lt;50),"OBESIDAD",IF(AND(BS57&gt;0,Tabla1[[#This Row],[MOMENTO EN QUE SE REALIZA EL PESO AL INGRESO A CPN]]="GESTACIÓN"),HLOOKUP(NZ57,$OA$2:PH57,NY57),""))))))))</f>
        <v>SOBREPESO</v>
      </c>
      <c r="CK57" s="322">
        <f t="shared" si="8"/>
        <v>45089</v>
      </c>
      <c r="CL57" s="309">
        <v>68</v>
      </c>
      <c r="CM57" s="307">
        <f t="shared" si="9"/>
        <v>30.222222222222221</v>
      </c>
      <c r="CN57" s="318">
        <f t="shared" si="10"/>
        <v>33</v>
      </c>
      <c r="CO57" s="318" t="e">
        <f>IF(PI57="","",IF(PI57&gt;0,HLOOKUP(PI57,$PJ$2:QQ57,NY57),""))</f>
        <v>#REF!</v>
      </c>
      <c r="CP57" s="309">
        <v>28</v>
      </c>
      <c r="CQ57" s="318" t="e">
        <f>IF(QR57="Menor","NO APLICA-MENOR 13 SEM",IF(AND(CC57="SI",CN57&gt;23),"NO APLICA- GEMELAR",IF(QR57="","",IF(QR57&gt;0,HLOOKUP(QR57,$QS$2:RU57,NY57),""))))</f>
        <v>#REF!</v>
      </c>
      <c r="CR57" s="309">
        <v>110</v>
      </c>
      <c r="CS57" s="309">
        <v>60</v>
      </c>
      <c r="CT57" s="323" t="str">
        <f>IF(R57="","",IF(AND(BS57&gt;1,BS57&lt;12,Tabla1[[#This Row],[T.A. SISTOLICA - ANTES DE SEMANA 12]]="",Tabla1[[#This Row],[T.A. DIASTOLICA - ANTES DE SEMANA 12]]=""),"REGISTRE DATO TA ANTES SEMANA 12",IF(AND(BS57&gt;11,BS57&lt;43,Tabla1[[#This Row],[T.A. SISTOLICA - ANTES DE SEMANA 12]]="",Tabla1[[#This Row],[T.A. DIASTOLICA - ANTES DE SEMANA 12]]=""),"NO APLICA REGISTRO TA-INGRESO TARDIO",IF(AND(OR(O57&gt;0,R57&gt;0),OR(CR57&gt;=140,CS57&gt;=90)),"DEFINIR ESTADIO HTA",IF(AND(OR(O57&gt;0,R57&gt;0),AND(CR57&gt;120,CR57&lt;=139)),"PRE HTA SEGUIMIENTO",IF(AND(OR(O57&gt;0,R57&gt;0),AND(CS57&gt;80,CS57&lt;=89)),"PRE HTA SEGUIMIENTO",IF(AND(OR(O57&gt;0,R57&gt;0),AND(CR57&gt;=80,CR57&lt;=120)),"APARENTEMENTE NORMAL",IF(AND(OR(O57&gt;0,R57&gt;0),AND(CS57&gt;=50,CS57&lt;=80)),"APARENTEMENTE NORMAL",IF(AND(OR(O57&gt;0,R57&gt;0),AND(CR57&gt;1,CR57&lt;=70),AND(CS57&gt;1,CS57&lt;=40)),"HIPOTENSIÓN","")))))))))</f>
        <v>APARENTEMENTE NORMAL</v>
      </c>
      <c r="CU57" s="309"/>
      <c r="CV57" s="309"/>
      <c r="CW57" s="323" t="str">
        <f ca="1">IF(R57="","",IF(AND(CN57&gt;19,CN57&lt;27,Tabla1[[#This Row],[T.A. SISTOLICA (Entre semana 20 y 26)]]="",Tabla1[[#This Row],[T.A. DIATOLICA (Entre semana 20 y 26)]]=""),"ACUDE A CONTROL SEM 20 A 26 REGISTRE TA AHORA",IF(AND(BS57&gt;1,BS57&lt;27,BU57&gt;19,Tabla1[[#This Row],[T.A. SISTOLICA (Entre semana 20 y 26)]]="",Tabla1[[#This Row],[T.A. DIATOLICA (Entre semana 20 y 26)]]=""),"COMPLETE REGISTRO TA CONTROL SEM 20 A26 ",IF(AND(BS57&gt;26,BS57&lt;43,Tabla1[[#This Row],[T.A. SISTOLICA (Entre semana 20 y 26)]]="",Tabla1[[#This Row],[T.A. DIATOLICA (Entre semana 20 y 26)]]=""),"NO APLICA REGISTRO TA-INGRESO TARDIO",IF(AND(OR(O57&gt;0,R57&gt;0),OR(CU57&gt;=140,CV57&gt;=90)),"ALTO RIESGO PREECLAMPSIA,DEFINIR ESTADIO HTA",IF(AND(OR(O57&gt;0,R57&gt;0),AND(CU57&gt;120,CU57&lt;=139)),"PRE HTA SEGUIMIENTO,RIESGO HIPERTENSION INDUCIDA POR EL EMBARAZO",IF(AND(OR(O57&gt;0,R57&gt;0),AND(CV57&gt;80,CV57&lt;=89)),"PRE HTA SEGUIMIENTO, RIESGO HIPERTENSION INDUCIDA POR EL EMBARAZO",IF(AND(OR(O57&lt;&gt;"",R57&lt;&gt;""),CS57&lt;&gt;"",CV57&lt;&gt;"",CS57&lt;=CV57),"VIGILAR CIFRAS PRESION ARTERIAL",IF(AND(OR(O57&gt;0,R57&gt;0),AND(CU57&gt;120,CU57&lt;=139)),"PRE HTA SEGUIMIENTO",IF(AND(OR(O57&gt;0,R57&gt;0),AND(CU57&gt;1,CU57&lt;=70),AND(CV57&gt;1,CV57&lt;=40)),"HIPOTENSIÓN",IF(AND(OR(O57&lt;&gt;"",R57&lt;&gt;""),CS57&lt;&gt;"",CV57&lt;&gt;"",CS57&gt;CV57),"APARENTEMENTE NORMAL",IF(AND(OR(O57&gt;0,R57&gt;0),AND(CU57&gt;=80,CU57&lt;=120)),"APARENTEMENTE NORMAL",IF(AND(OR(O57&gt;0,R57&gt;0),AND(CV57&gt;=50,CV57&lt;=80)),"APARENTEMENTE NORMAL","")))))))))))))</f>
        <v xml:space="preserve">COMPLETE REGISTRO TA CONTROL SEM 20 A26 </v>
      </c>
      <c r="CX57" s="309">
        <v>100</v>
      </c>
      <c r="CY57" s="309">
        <v>60</v>
      </c>
      <c r="CZ57" s="318" t="str">
        <f t="shared" si="195"/>
        <v>APARENTEMENTE NORMAL</v>
      </c>
      <c r="DA57" s="309">
        <v>100</v>
      </c>
      <c r="DB57" s="309">
        <v>60</v>
      </c>
      <c r="DC57" s="323" t="str">
        <f t="shared" si="12"/>
        <v>APARENTEMENTE NORMAL</v>
      </c>
      <c r="DD57" s="305">
        <v>44888</v>
      </c>
      <c r="DE57" s="305">
        <v>44888</v>
      </c>
      <c r="DF57" s="305">
        <v>44918</v>
      </c>
      <c r="DG57" s="305">
        <v>44953</v>
      </c>
      <c r="DH57" s="305">
        <v>44985</v>
      </c>
      <c r="DI57" s="305">
        <v>45059</v>
      </c>
      <c r="DJ57" s="305">
        <v>45089</v>
      </c>
      <c r="DK57" s="305"/>
      <c r="DL57" s="305"/>
      <c r="DM57" s="305"/>
      <c r="DN57" s="305"/>
      <c r="DO57" s="305"/>
      <c r="DP57" s="305"/>
      <c r="DQ57" s="305"/>
      <c r="DR57" s="320">
        <v>1</v>
      </c>
      <c r="DS57" s="305"/>
      <c r="DT57" s="305"/>
      <c r="DU57" s="318" t="str">
        <f t="shared" ca="1" si="196"/>
        <v>CONCERTAR PLAN DE PARTO INMEDIATO</v>
      </c>
      <c r="DV57" s="324" t="str">
        <f t="shared" si="197"/>
        <v>ACTIVA INGRESO A CPN</v>
      </c>
      <c r="DW57" s="32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57" s="318" t="e">
        <f t="shared" ca="1" si="15"/>
        <v>#REF!</v>
      </c>
      <c r="DY57" s="322">
        <f>IF(R57="","",IF(R57&gt;0,MAX(Tabla1[[#This Row],[FECHA C2]:[FECHA C13]],Tabla1[[#This Row],[FECHA CONSULTA PRIMERA VEZ PROGRAMA CPN ]])))</f>
        <v>45089</v>
      </c>
      <c r="DZ57" s="318">
        <f t="shared" si="16"/>
        <v>33</v>
      </c>
      <c r="EA57" s="315">
        <f>IF(R57&gt;0,SUM(COUNTA(DF57:DQ57)+COUNTA(Tabla1[[#This Row],[FECHA CONSULTA PRIMERA VEZ PROGRAMA CPN ]])),"")</f>
        <v>6</v>
      </c>
      <c r="EB57" s="315" t="str">
        <f t="shared" si="17"/>
        <v>SI</v>
      </c>
      <c r="EC57" s="307">
        <f t="shared" si="18"/>
        <v>10</v>
      </c>
      <c r="ED57" s="325">
        <f t="shared" si="19"/>
        <v>0.6</v>
      </c>
      <c r="EE57" s="305">
        <v>44888</v>
      </c>
      <c r="EF57" s="305">
        <v>44888</v>
      </c>
      <c r="EG57" s="305">
        <v>44888</v>
      </c>
      <c r="EH57" s="305"/>
      <c r="EI57" s="305">
        <v>44888</v>
      </c>
      <c r="EJ57" s="305"/>
      <c r="EK57" s="305"/>
      <c r="EL57" s="309"/>
      <c r="EM57" s="309">
        <v>13.9</v>
      </c>
      <c r="EN57" s="305">
        <v>44888</v>
      </c>
      <c r="EO57" s="315">
        <f t="shared" si="20"/>
        <v>4.7142857142857144</v>
      </c>
      <c r="EP57" s="307" t="str">
        <f t="shared" si="21"/>
        <v>NORMAL- SUMINISTRAR SULFATO FERROSO</v>
      </c>
      <c r="EQ57" s="318" t="str">
        <f t="shared" si="22"/>
        <v>I TRIM</v>
      </c>
      <c r="ER57" s="310"/>
      <c r="ES57" s="305"/>
      <c r="ET57" s="326" t="str">
        <f t="shared" ca="1" si="198"/>
        <v>TOMA DE HEMOGLOBINA TARDÍA</v>
      </c>
      <c r="EU57" s="319" t="str">
        <f t="shared" si="24"/>
        <v/>
      </c>
      <c r="EV57" s="310" t="s">
        <v>1510</v>
      </c>
      <c r="EW57" s="310">
        <v>44888</v>
      </c>
      <c r="EX57" s="305"/>
      <c r="EY57" s="326">
        <f t="shared" si="199"/>
        <v>4.7142857142857144</v>
      </c>
      <c r="EZ57" s="319" t="str">
        <f t="shared" si="200"/>
        <v>SIN RIESGO DE ISOINMUNIZACIÓN</v>
      </c>
      <c r="FA57" s="309">
        <v>82</v>
      </c>
      <c r="FB57" s="305">
        <v>44888</v>
      </c>
      <c r="FC57" s="326">
        <f t="shared" si="27"/>
        <v>4.7142857142857144</v>
      </c>
      <c r="FD57" s="326"/>
      <c r="FE57" s="326"/>
      <c r="FF57" s="326"/>
      <c r="FG57" s="309" t="str">
        <f t="shared" ca="1" si="28"/>
        <v/>
      </c>
      <c r="FH57" s="327"/>
      <c r="FI57" s="326" t="str">
        <f t="shared" si="29"/>
        <v>TOMAR EXAMEN</v>
      </c>
      <c r="FJ57" s="305" t="s">
        <v>867</v>
      </c>
      <c r="FK57" s="305">
        <v>44888</v>
      </c>
      <c r="FL57" s="326">
        <f t="shared" ca="1" si="30"/>
        <v>4.7142857142857144</v>
      </c>
      <c r="FM57" s="305"/>
      <c r="FN57" s="328"/>
      <c r="FO57" s="326" t="str">
        <f t="shared" ca="1" si="201"/>
        <v>PIERDE TOMA DE TAMIZAJE</v>
      </c>
      <c r="FP57" s="305" t="s">
        <v>867</v>
      </c>
      <c r="FQ57" s="328">
        <v>45093</v>
      </c>
      <c r="FR57" s="326">
        <f t="shared" ca="1" si="202"/>
        <v>34</v>
      </c>
      <c r="FS57" s="305"/>
      <c r="FT57" s="328"/>
      <c r="FU57" s="326" t="str">
        <f>IF(AND(FJ57="",FM57="",FP57="",FS57=""),"",IF(OR(OR(Tabla1[[#This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57" s="320"/>
      <c r="FW57" s="305"/>
      <c r="FX57" s="326" t="str">
        <f t="shared" si="33"/>
        <v>TOMAR EXAMEN</v>
      </c>
      <c r="FY57" s="305">
        <v>44888</v>
      </c>
      <c r="FZ57" s="305">
        <v>44888</v>
      </c>
      <c r="GA57" s="326">
        <f t="shared" ca="1" si="203"/>
        <v>4.7142857142857144</v>
      </c>
      <c r="GB57" s="305"/>
      <c r="GC57" s="305"/>
      <c r="GD57" s="326" t="str">
        <f t="shared" ca="1" si="204"/>
        <v>PIERDE TOMA DE TAMIZAJE</v>
      </c>
      <c r="GE57" s="305" t="s">
        <v>868</v>
      </c>
      <c r="GF57" s="305">
        <v>45093</v>
      </c>
      <c r="GG57" s="326">
        <f t="shared" ca="1" si="205"/>
        <v>34</v>
      </c>
      <c r="GH57" s="305"/>
      <c r="GI57" s="326"/>
      <c r="GJ57" s="305"/>
      <c r="GK57" s="305"/>
      <c r="GL57" s="305"/>
      <c r="GM57" s="305"/>
      <c r="GN57" s="320" t="s">
        <v>869</v>
      </c>
      <c r="GO57" s="305">
        <v>44888</v>
      </c>
      <c r="GP57" s="326">
        <f t="shared" si="37"/>
        <v>4.7142857142857144</v>
      </c>
      <c r="GQ57" s="320" t="s">
        <v>880</v>
      </c>
      <c r="GR57" s="320" t="s">
        <v>869</v>
      </c>
      <c r="GS57" s="305" t="str">
        <f t="shared" si="206"/>
        <v>SE EXCLUYE INFECCION</v>
      </c>
      <c r="GT57" s="305">
        <v>44888</v>
      </c>
      <c r="GU57" s="326">
        <f t="shared" si="39"/>
        <v>4.7142857142857144</v>
      </c>
      <c r="GV57" s="309" t="str">
        <f t="shared" si="40"/>
        <v>I TRIM</v>
      </c>
      <c r="GW57" s="320" t="s">
        <v>869</v>
      </c>
      <c r="GX57" s="329"/>
      <c r="GY57" s="309"/>
      <c r="GZ57" s="309"/>
      <c r="HA57" s="309"/>
      <c r="HB57" s="309"/>
      <c r="HC57" s="309"/>
      <c r="HD57" s="309"/>
      <c r="HE57" s="309"/>
      <c r="HF57" s="305"/>
      <c r="HG57" s="305" t="str">
        <f>IF(OR(O57&gt;0,R57&gt;0),CONCATENATE(IF(Tabla1[[#This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57" s="305" t="e">
        <f t="shared" si="41"/>
        <v>#REF!</v>
      </c>
      <c r="HI57" s="305" t="e">
        <f t="shared" ca="1" si="42"/>
        <v>#REF!</v>
      </c>
      <c r="HJ57" s="309" t="str">
        <f t="shared" ca="1" si="43"/>
        <v>***************************************</v>
      </c>
      <c r="HK57" s="309" t="str">
        <f t="shared" si="44"/>
        <v>SIN ANTECEDENTES DE RIESGO</v>
      </c>
      <c r="HL57" s="310" t="str">
        <f t="shared" si="45"/>
        <v>APARENTEMENTE NORMAL</v>
      </c>
      <c r="HM57" s="309" t="e">
        <f t="shared" ca="1" si="46"/>
        <v>#REF!</v>
      </c>
      <c r="HN57" s="329" t="str">
        <f t="shared" si="207"/>
        <v>ACTIVA INGRESO A CPN</v>
      </c>
      <c r="HO57" s="309"/>
      <c r="HP57" s="309" t="s">
        <v>864</v>
      </c>
      <c r="HQ57" s="309">
        <v>44888</v>
      </c>
      <c r="HR57" s="309" t="str">
        <f>IF(R57="","",IF(Tabla1[[#This Row],[ALARMA FACTORES DE RIESGO COMPLICACIONES HIPERTENSIVAS3]]="SIN ANTECEDENTES DE RIESGO","No Aplica para suministro de ASA",IF(AND(Tabla1[[#This Row],[FECHA INICIO DE SUMINISTRO DE ASA]]&gt;0,RV57&lt;12),"Inicia ASA ANTES de Sem 12",IF(AND(RV57&gt;11,RV57&lt;17,OR(HK57="RIESGO ALTO DE COMPLICACIONES HIPERTENSIVAS VER MANEJO GUIA SUMINISTRO ASA Y CALCIO",HK57="RIESGO MODERADO (2 O MAS CRITERIOS) VER MANEJO GUIA SUMINISTRO ASA Y CALCIO")),"Inicio oportuno de ASA",IF(AND(RV57&gt;12,OR(HK57="RIESGO ALTO DE COMPLICACIONES HIPERTENSIVAS VER MANEJO GUIA SUMINISTRO ASA Y CALCIO",HK57="RIESGO MODERADO (2 O MAS CRITERIOS) VER MANEJO GUIA SUMINISTRO ASA Y CALCIO")),"Inicio no oportuno mayor a 16 semanas",IF(AND(BU57&lt;12,OR(HK57="RIESGO ALTO DE COMPLICACIONES HIPERTENSIVAS VER MANEJO GUIA SUMINISTRO ASA Y CALCIO",HK57="RIESGO MODERADO (2 O MAS CRITERIOS) VER MANEJO GUIA SUMINISTRO ASA Y CALCIO")),"Pendiente Inicio de ASA a la semana 12",IF(AND(BU57&gt;11,BU57&lt;17,OR(HK57="RIESGO ALTO DE COMPLICACIONES HIPERTENSIVAS VER MANEJO GUIA SUMINISTRO ASA Y CALCIO",HK57="RIESGO MODERADO (2 O MAS CRITERIOS) VER MANEJO GUIA SUMINISTRO ASA Y CALCIO")),"Iniciar de inmediato ASA",IF(AND(BU57&gt;16,OR(HK57="RIESGO ALTO DE COMPLICACIONES HIPERTENSIVAS VER MANEJO GUIA SUMINISTRO ASA Y CALCIO",HK57="RIESGO MODERADO (2 O MAS CRITERIOS) VER MANEJO GUIA SUMINISTRO ASA Y CALCIO")),"Pierde Oportunidad, Inicio tardío de ASA","XXXXX"))))))))</f>
        <v>No Aplica para suministro de ASA</v>
      </c>
      <c r="HS57" s="305">
        <v>44888</v>
      </c>
      <c r="HT57" s="305" t="s">
        <v>870</v>
      </c>
      <c r="HU57" s="305">
        <v>44888</v>
      </c>
      <c r="HV57" s="305" t="s">
        <v>870</v>
      </c>
      <c r="HW57" s="305"/>
      <c r="HX57" s="305"/>
      <c r="HY57" s="305">
        <v>44888</v>
      </c>
      <c r="HZ57" s="320">
        <f t="shared" si="48"/>
        <v>4.7142857142857144</v>
      </c>
      <c r="IA57" s="308" t="s">
        <v>864</v>
      </c>
      <c r="IB57" s="308"/>
      <c r="IC57" s="330"/>
      <c r="ID57" s="305"/>
      <c r="IE57" s="305" t="str">
        <f t="shared" ca="1" si="49"/>
        <v/>
      </c>
      <c r="IF57" s="305"/>
      <c r="IG57" s="305">
        <f t="shared" si="50"/>
        <v>45135</v>
      </c>
      <c r="IH57" s="326">
        <f t="shared" ca="1" si="51"/>
        <v>-97</v>
      </c>
      <c r="II57" s="305" t="str">
        <f t="shared" ca="1" si="52"/>
        <v>POSIBLEMENTE NACIO</v>
      </c>
      <c r="IJ57" s="305"/>
      <c r="IK57" s="309"/>
      <c r="IL57" s="309"/>
      <c r="IM57" s="331"/>
      <c r="IN57" s="350"/>
      <c r="IO57" s="309"/>
      <c r="IP57" s="326" t="str">
        <f t="shared" si="208"/>
        <v/>
      </c>
      <c r="IQ57" s="303"/>
      <c r="IR57" s="309"/>
      <c r="IS57" s="309"/>
      <c r="IT57" s="309"/>
      <c r="IU57" s="309"/>
      <c r="IV57" s="309"/>
      <c r="IW57" s="309"/>
      <c r="IX57" s="309"/>
      <c r="IY57" s="309"/>
      <c r="IZ57" s="309"/>
      <c r="JA57" s="309"/>
      <c r="JB57" s="329"/>
      <c r="JC57" s="309"/>
      <c r="JD57" s="333"/>
      <c r="JE57" s="309" t="str">
        <f t="shared" si="209"/>
        <v/>
      </c>
      <c r="JF57" s="329"/>
      <c r="JG57" s="309"/>
      <c r="JH57" s="309"/>
      <c r="JI57" s="309"/>
      <c r="JJ57" s="329"/>
      <c r="JK57" s="305"/>
      <c r="JL57" s="305"/>
      <c r="JM57" s="309"/>
      <c r="JN57" s="333"/>
      <c r="JO57" s="309" t="str">
        <f t="shared" si="210"/>
        <v/>
      </c>
      <c r="JP57" s="305"/>
      <c r="JQ57" s="309"/>
      <c r="JR57" s="309"/>
      <c r="JS57" s="309"/>
      <c r="JT57" s="329"/>
      <c r="JU57" s="305"/>
      <c r="JV57" s="305"/>
      <c r="JW57" s="334"/>
      <c r="JX57" s="320" t="str">
        <f t="shared" si="211"/>
        <v/>
      </c>
      <c r="JY57" s="334"/>
      <c r="JZ57" s="320" t="str">
        <f t="shared" si="212"/>
        <v/>
      </c>
      <c r="KA57" s="309"/>
      <c r="KB57" s="309"/>
      <c r="KC57" s="309"/>
      <c r="KD57" s="335"/>
      <c r="KE57" s="320"/>
      <c r="KF57" s="320"/>
      <c r="KG57" s="320"/>
      <c r="KH57" s="336"/>
      <c r="KI57" s="336"/>
      <c r="KJ57" s="337"/>
      <c r="KK57" s="336"/>
      <c r="KL57" s="336"/>
      <c r="KM57" s="337"/>
      <c r="KN57" s="336"/>
      <c r="KO57" s="336"/>
      <c r="KP57" s="336"/>
      <c r="KQ57" s="336"/>
      <c r="KR57" s="336"/>
      <c r="KS57" s="336"/>
      <c r="KT57" s="336"/>
      <c r="KU57" s="312"/>
      <c r="KV57" s="312"/>
      <c r="KW57" s="312"/>
      <c r="KX57" s="312"/>
      <c r="KY57" s="312"/>
      <c r="KZ57" s="312"/>
      <c r="LA57" s="312"/>
      <c r="LB57" s="312"/>
      <c r="LC57" s="312"/>
      <c r="LD57" s="312"/>
      <c r="LE57" s="312"/>
      <c r="LF57" s="312"/>
      <c r="LG57" s="312"/>
      <c r="LH57" s="312"/>
      <c r="LI57" s="312"/>
      <c r="LJ57" s="312"/>
      <c r="LK57" s="312"/>
      <c r="LL57" s="312"/>
      <c r="LM57" s="312"/>
      <c r="LN57" s="312"/>
      <c r="LO57" s="312"/>
      <c r="LP57" s="312"/>
      <c r="LQ57" s="312"/>
      <c r="LR57" s="312"/>
      <c r="LS57" s="312"/>
      <c r="LT57" s="312"/>
      <c r="LU57" s="312"/>
      <c r="LV57" s="312"/>
      <c r="LW57" s="312"/>
      <c r="LX57" s="312"/>
      <c r="LY57" s="312"/>
      <c r="LZ57" s="312"/>
      <c r="MA57" s="312"/>
      <c r="MB57" s="312"/>
      <c r="MC57" s="312"/>
      <c r="MD57" s="312"/>
      <c r="ME57" s="312"/>
      <c r="MF57" s="312"/>
      <c r="MG57" s="312"/>
      <c r="MH57" s="43">
        <f t="shared" si="213"/>
        <v>0</v>
      </c>
      <c r="MI57" s="43" t="str">
        <f t="shared" si="214"/>
        <v/>
      </c>
      <c r="MJ57" s="43" t="str">
        <f t="shared" si="215"/>
        <v/>
      </c>
      <c r="MK57" s="43">
        <f t="shared" si="216"/>
        <v>0</v>
      </c>
      <c r="ML5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57" s="43">
        <f t="shared" si="217"/>
        <v>4.7142857142857144</v>
      </c>
      <c r="MN57" s="43">
        <f t="shared" si="218"/>
        <v>11</v>
      </c>
      <c r="MO57" s="43">
        <f t="shared" si="219"/>
        <v>2022</v>
      </c>
      <c r="MP57" s="43" t="str">
        <f t="shared" si="220"/>
        <v>IV TRIMESTRE AÑO</v>
      </c>
      <c r="MQ57" s="43">
        <f t="shared" si="221"/>
        <v>25.640604467805517</v>
      </c>
      <c r="MR57" s="43">
        <f t="shared" si="222"/>
        <v>0</v>
      </c>
      <c r="MS57" s="43" t="str">
        <f t="shared" si="223"/>
        <v xml:space="preserve"> DE 25 A 29 AÑOS</v>
      </c>
      <c r="MT57" s="43">
        <f t="shared" si="224"/>
        <v>0</v>
      </c>
      <c r="MU57" s="43">
        <f t="shared" si="225"/>
        <v>0</v>
      </c>
      <c r="MV57" s="43">
        <f t="shared" si="226"/>
        <v>0</v>
      </c>
      <c r="MW57" s="43">
        <f t="shared" si="227"/>
        <v>0</v>
      </c>
      <c r="MX57" s="43" t="str">
        <f t="shared" si="228"/>
        <v/>
      </c>
      <c r="MY57" s="43" t="str">
        <f t="shared" ca="1" si="229"/>
        <v/>
      </c>
      <c r="MZ57" s="43" t="str">
        <f t="shared" si="230"/>
        <v/>
      </c>
      <c r="NA57" s="43">
        <f t="shared" si="231"/>
        <v>0</v>
      </c>
      <c r="NB57" s="43" t="str">
        <f t="shared" si="232"/>
        <v/>
      </c>
      <c r="NC57" s="43" t="str">
        <f t="shared" si="233"/>
        <v/>
      </c>
      <c r="ND57" s="43">
        <f t="shared" ca="1" si="234"/>
        <v>0</v>
      </c>
      <c r="NE57" s="43">
        <f>IF(OR(O57&gt;0,R57&gt;0),SUM(COUNTIF(Tabla1[[#This Row],[AÑOS AL INICIO5 CPN]],"&gt;=40"),COUNTIF(AS57,"0"),COUNTIF(AR57,"SI"),COUNTIF(CC57,"SI"),COUNTIF(BQ57,"&gt;119"),COUNTIF(CI57,"&gt;=35")),"")</f>
        <v>0</v>
      </c>
      <c r="NF57" s="43" t="str">
        <f t="shared" si="235"/>
        <v/>
      </c>
      <c r="NG57" s="43">
        <f t="shared" si="236"/>
        <v>0</v>
      </c>
      <c r="NH57" s="43">
        <f t="shared" si="237"/>
        <v>63</v>
      </c>
      <c r="NI5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CPN",P57="NO"),"Z",IF(AND(Tabla1[[#This Row],[CITA PROXIMO CONTROL]]="CITA MANUAL",Tabla1[[#This Row],[GESTANTES ACTUALES]]="ACTIVA INGRESO A CPN"),"W",IF(AND(Tabla1[[#This Row],[GESTANTES ACTUALES]]="SALIO PROGRAMA",IN57=""),"S",IF(AND(Tabla1[[#This Row],[CITA PROXIMO CONTROL]]&gt;0,IN57=""),(Tabla1[[#This Row],[CITA PROXIMO CONTROL]]-TODAY()),"SD"))))))))</f>
        <v>#REF!</v>
      </c>
      <c r="NJ57" s="43">
        <f>MONTH(Tabla1[[#This Row],[FECHA DE SALIDA  DEL PROGRAMA]])</f>
        <v>1</v>
      </c>
      <c r="NK57" s="43">
        <f>YEAR(Tabla1[[#This Row],[FECHA DE SALIDA  DEL PROGRAMA]])</f>
        <v>1900</v>
      </c>
      <c r="NL57" s="43" t="str">
        <f t="shared" si="238"/>
        <v>X</v>
      </c>
      <c r="NM57" s="43" t="str">
        <f t="shared" si="239"/>
        <v>NO</v>
      </c>
      <c r="NN57" s="43" t="str">
        <f ca="1">IF(AND(O57&gt;0,R57=""),"NO CPN",IF(AND(O57="",R57=""),"",IF(AND(R57&gt;0,Tabla1[[#This Row],[SEMANAS DE GESTACION ACTUALIZADAS]]&lt;=12),"NO APLICA",IF(AND(FH57&lt;&gt;"",FN57&lt;&gt;""),"SI","NO"))))</f>
        <v>NO</v>
      </c>
      <c r="NO57" s="43" t="str">
        <f ca="1">IF(AND(O57&gt;0,R57=""),"NO CPN",IF(AND(O57="",R57=""),"",IF(AND(R57&gt;0,Tabla1[[#This Row],[SEMANAS DE GESTACION ACTUALIZADAS]]&lt;=27),"NO APLICA",IF(AND(ES57&lt;&gt;"",FQ57&lt;&gt;"",GF57&lt;&gt;""),"SI","NO"))))</f>
        <v>NO</v>
      </c>
      <c r="NP57" s="204" t="str">
        <f t="shared" si="240"/>
        <v>I TRIM</v>
      </c>
      <c r="NQ57" s="21">
        <f t="shared" si="241"/>
        <v>9</v>
      </c>
      <c r="NR57" s="21" t="str">
        <f t="shared" ca="1" si="242"/>
        <v>REVISAR FUM O FECHA SALIDA PROGRAMA</v>
      </c>
      <c r="NS57" s="205">
        <f t="shared" ca="1" si="243"/>
        <v>2</v>
      </c>
      <c r="NT57" s="21">
        <f t="shared" ca="1" si="244"/>
        <v>2</v>
      </c>
      <c r="NU57" s="21" t="str">
        <f t="shared" ca="1" si="245"/>
        <v>POR DEFINIR</v>
      </c>
      <c r="NV57" s="21" t="str">
        <f t="shared" ca="1" si="246"/>
        <v>POR DEFINIR</v>
      </c>
      <c r="NW57" s="206" t="str">
        <f>IF(AND(O57="",R57=""),"",IF(OR(AND(Tabla1[[#This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57" s="207" t="str">
        <f t="shared" ca="1" si="247"/>
        <v>SIN VACUNAR</v>
      </c>
      <c r="NY57" s="43">
        <f>ROW(Tabla1[[#This Row],['# DE TAMIZAJES SIFILIS TOMADOS ]])</f>
        <v>57</v>
      </c>
      <c r="NZ57" s="43" t="str">
        <f t="shared" si="93"/>
        <v>Menor</v>
      </c>
      <c r="OA57" s="43" t="str">
        <f t="shared" si="94"/>
        <v>SOBREPESO</v>
      </c>
      <c r="OB57" s="43" t="str">
        <f t="shared" si="95"/>
        <v/>
      </c>
      <c r="OC57" s="43" t="str">
        <f t="shared" si="96"/>
        <v/>
      </c>
      <c r="OD57" s="43" t="str">
        <f t="shared" si="97"/>
        <v/>
      </c>
      <c r="OE57" s="43" t="str">
        <f t="shared" si="98"/>
        <v/>
      </c>
      <c r="OF57" s="43" t="str">
        <f t="shared" si="99"/>
        <v/>
      </c>
      <c r="OG57" s="43" t="str">
        <f t="shared" si="100"/>
        <v/>
      </c>
      <c r="OH57" s="43" t="str">
        <f t="shared" si="101"/>
        <v/>
      </c>
      <c r="OI57" s="43" t="str">
        <f t="shared" si="102"/>
        <v/>
      </c>
      <c r="OJ57" s="43" t="str">
        <f t="shared" si="103"/>
        <v/>
      </c>
      <c r="OK57" s="43" t="str">
        <f t="shared" si="104"/>
        <v/>
      </c>
      <c r="OL57" s="43" t="str">
        <f t="shared" si="105"/>
        <v/>
      </c>
      <c r="OM57" s="43" t="str">
        <f t="shared" si="106"/>
        <v/>
      </c>
      <c r="ON57" s="43" t="str">
        <f t="shared" si="107"/>
        <v/>
      </c>
      <c r="OO57" s="43" t="str">
        <f t="shared" si="108"/>
        <v/>
      </c>
      <c r="OP57" s="43" t="str">
        <f t="shared" si="109"/>
        <v/>
      </c>
      <c r="OQ57" s="43" t="str">
        <f t="shared" si="110"/>
        <v/>
      </c>
      <c r="OR57" s="43" t="str">
        <f t="shared" si="111"/>
        <v/>
      </c>
      <c r="OS57" s="43" t="str">
        <f t="shared" si="112"/>
        <v/>
      </c>
      <c r="OT57" s="43" t="str">
        <f t="shared" si="113"/>
        <v/>
      </c>
      <c r="OU57" s="43" t="str">
        <f t="shared" si="114"/>
        <v/>
      </c>
      <c r="OV57" s="110" t="str">
        <f t="shared" si="115"/>
        <v/>
      </c>
      <c r="OW57" s="43" t="str">
        <f t="shared" si="116"/>
        <v/>
      </c>
      <c r="OX57" s="43" t="str">
        <f t="shared" si="117"/>
        <v/>
      </c>
      <c r="OY57" s="43" t="str">
        <f t="shared" si="118"/>
        <v/>
      </c>
      <c r="OZ57" s="43" t="str">
        <f t="shared" si="119"/>
        <v/>
      </c>
      <c r="PA57" s="43" t="str">
        <f t="shared" si="120"/>
        <v/>
      </c>
      <c r="PB57" s="43" t="str">
        <f t="shared" si="121"/>
        <v/>
      </c>
      <c r="PC57" s="43" t="str">
        <f t="shared" si="122"/>
        <v/>
      </c>
      <c r="PD57" s="43" t="str">
        <f t="shared" si="123"/>
        <v/>
      </c>
      <c r="PE57" s="43" t="str">
        <f t="shared" si="124"/>
        <v/>
      </c>
      <c r="PF57" s="43" t="str">
        <f t="shared" si="125"/>
        <v/>
      </c>
      <c r="PG57" s="43" t="str">
        <f t="shared" si="126"/>
        <v/>
      </c>
      <c r="PH57" s="43" t="str">
        <f t="shared" si="127"/>
        <v/>
      </c>
      <c r="PI57" s="43">
        <f t="shared" si="128"/>
        <v>33</v>
      </c>
      <c r="PJ57" s="43" t="str">
        <f t="shared" si="129"/>
        <v/>
      </c>
      <c r="PK57" s="43" t="str">
        <f t="shared" si="130"/>
        <v/>
      </c>
      <c r="PL57" s="43" t="str">
        <f t="shared" si="131"/>
        <v/>
      </c>
      <c r="PM57" s="43" t="str">
        <f t="shared" si="132"/>
        <v/>
      </c>
      <c r="PN57" s="43" t="str">
        <f t="shared" si="133"/>
        <v/>
      </c>
      <c r="PO57" s="43" t="str">
        <f t="shared" si="134"/>
        <v/>
      </c>
      <c r="PP57" s="43" t="str">
        <f t="shared" si="135"/>
        <v/>
      </c>
      <c r="PQ57" s="43" t="str">
        <f t="shared" si="136"/>
        <v/>
      </c>
      <c r="PR57" s="43" t="str">
        <f t="shared" si="137"/>
        <v/>
      </c>
      <c r="PS57" s="43" t="str">
        <f t="shared" si="138"/>
        <v/>
      </c>
      <c r="PT57" s="43" t="str">
        <f t="shared" si="139"/>
        <v/>
      </c>
      <c r="PU57" s="43" t="str">
        <f t="shared" si="140"/>
        <v/>
      </c>
      <c r="PV57" s="43" t="str">
        <f t="shared" si="141"/>
        <v/>
      </c>
      <c r="PW57" s="43" t="str">
        <f t="shared" si="142"/>
        <v/>
      </c>
      <c r="PX57" s="43" t="str">
        <f t="shared" si="143"/>
        <v/>
      </c>
      <c r="PY57" s="43" t="str">
        <f t="shared" si="144"/>
        <v/>
      </c>
      <c r="PZ57" s="43" t="str">
        <f t="shared" si="145"/>
        <v/>
      </c>
      <c r="QA57" s="43" t="str">
        <f t="shared" si="146"/>
        <v/>
      </c>
      <c r="QB57" s="43" t="str">
        <f t="shared" si="147"/>
        <v/>
      </c>
      <c r="QC57" s="43" t="str">
        <f t="shared" si="148"/>
        <v/>
      </c>
      <c r="QD57" s="43" t="str">
        <f t="shared" si="149"/>
        <v/>
      </c>
      <c r="QE57" s="43" t="str">
        <f t="shared" si="150"/>
        <v/>
      </c>
      <c r="QF57" s="43" t="str">
        <f t="shared" si="151"/>
        <v/>
      </c>
      <c r="QG57" s="43" t="str">
        <f t="shared" si="152"/>
        <v/>
      </c>
      <c r="QH57" s="43" t="str">
        <f t="shared" si="153"/>
        <v>SOBREPESO</v>
      </c>
      <c r="QI57" s="43" t="str">
        <f t="shared" si="154"/>
        <v/>
      </c>
      <c r="QJ57" s="43" t="str">
        <f t="shared" si="155"/>
        <v/>
      </c>
      <c r="QK57" s="43" t="str">
        <f t="shared" si="156"/>
        <v/>
      </c>
      <c r="QL57" s="43" t="str">
        <f t="shared" si="157"/>
        <v/>
      </c>
      <c r="QM57" s="43" t="str">
        <f t="shared" si="158"/>
        <v/>
      </c>
      <c r="QN57" s="43" t="str">
        <f t="shared" si="159"/>
        <v/>
      </c>
      <c r="QO57" s="43" t="str">
        <f t="shared" si="160"/>
        <v/>
      </c>
      <c r="QP57" s="43" t="str">
        <f t="shared" si="161"/>
        <v/>
      </c>
      <c r="QQ57" s="43" t="str">
        <f t="shared" si="162"/>
        <v/>
      </c>
      <c r="QR57" s="43">
        <f t="shared" si="192"/>
        <v>33</v>
      </c>
      <c r="QS57" s="43"/>
      <c r="QT57" s="21" t="str">
        <f t="shared" si="163"/>
        <v/>
      </c>
      <c r="QU57" s="21" t="str">
        <f t="shared" si="164"/>
        <v/>
      </c>
      <c r="QV57" s="21" t="str">
        <f t="shared" si="165"/>
        <v/>
      </c>
      <c r="QW57" s="21" t="str">
        <f t="shared" si="166"/>
        <v/>
      </c>
      <c r="QX57" s="21" t="str">
        <f t="shared" si="167"/>
        <v/>
      </c>
      <c r="QY57" s="21" t="str">
        <f t="shared" si="168"/>
        <v/>
      </c>
      <c r="QZ57" s="21" t="str">
        <f t="shared" si="169"/>
        <v/>
      </c>
      <c r="RA57" s="21" t="str">
        <f t="shared" si="170"/>
        <v/>
      </c>
      <c r="RB57" s="21" t="str">
        <f t="shared" si="171"/>
        <v/>
      </c>
      <c r="RC57" s="21" t="str">
        <f t="shared" si="172"/>
        <v/>
      </c>
      <c r="RD57" s="21" t="str">
        <f t="shared" si="173"/>
        <v/>
      </c>
      <c r="RE57" s="21" t="str">
        <f t="shared" si="174"/>
        <v/>
      </c>
      <c r="RF57" s="21" t="str">
        <f t="shared" si="175"/>
        <v/>
      </c>
      <c r="RG57" s="21" t="str">
        <f t="shared" si="176"/>
        <v/>
      </c>
      <c r="RH57" s="21" t="str">
        <f t="shared" si="177"/>
        <v/>
      </c>
      <c r="RI57" s="21" t="str">
        <f t="shared" si="178"/>
        <v/>
      </c>
      <c r="RJ57" s="21" t="str">
        <f t="shared" si="179"/>
        <v/>
      </c>
      <c r="RK57" s="21" t="str">
        <f t="shared" si="180"/>
        <v/>
      </c>
      <c r="RL57" s="21" t="str">
        <f t="shared" si="181"/>
        <v/>
      </c>
      <c r="RM57" s="21" t="str">
        <f t="shared" si="182"/>
        <v/>
      </c>
      <c r="RN57" s="21" t="str">
        <f t="shared" si="183"/>
        <v>ADECUADO PARA EDAD GESTACIONAL</v>
      </c>
      <c r="RO57" s="21" t="str">
        <f t="shared" si="184"/>
        <v/>
      </c>
      <c r="RP57" s="21" t="str">
        <f t="shared" si="185"/>
        <v/>
      </c>
      <c r="RQ57" s="21" t="str">
        <f t="shared" si="186"/>
        <v/>
      </c>
      <c r="RR57" s="21" t="str">
        <f t="shared" si="187"/>
        <v/>
      </c>
      <c r="RS57" s="21" t="str">
        <f t="shared" si="188"/>
        <v/>
      </c>
      <c r="RT57" s="21" t="str">
        <f t="shared" si="189"/>
        <v/>
      </c>
      <c r="RU57" s="21" t="str">
        <f t="shared" si="190"/>
        <v/>
      </c>
      <c r="RV57" s="21">
        <f t="shared" si="191"/>
        <v>4.7142857142857144</v>
      </c>
      <c r="RW57" s="284">
        <f>IF(OR(Tabla1[[#This Row],[FUM FORMULA CONFIABLE]]="",Tabla1[[#This Row],[FUM FORMULA CONFIABLE]]="SD"),"",IF(Tabla1[[#This Row],[FUM FORMULA CONFIABLE]]="CORREGIDA",Tabla1[[#This Row],[FUM X ECO 1]],Tabla1[[#This Row],[FUM x AMENORREA]]))</f>
        <v>44855</v>
      </c>
      <c r="RX57" s="21">
        <f>IF(AND(Tabla1[[#This Row],[FUM X ECO 1]]="",Tabla1[[#This Row],[FUM x AMENORREA]]=""),"",IF(AND(Tabla1[[#This Row],[FUM X ECO 1]]="",Tabla1[[#This Row],[FUM x AMENORREA]]&lt;&gt;""),"X",SUM(Tabla1[[#This Row],[FUM X ECO 1]]-Tabla1[[#This Row],[FUM x AMENORREA]])))</f>
        <v>0</v>
      </c>
      <c r="RY57" s="21">
        <f t="shared" si="193"/>
        <v>0</v>
      </c>
    </row>
    <row r="58" spans="1:493" ht="45" customHeight="1" x14ac:dyDescent="0.25">
      <c r="A58" s="109" t="s">
        <v>1164</v>
      </c>
      <c r="B58" s="43"/>
      <c r="C58" s="43" t="s">
        <v>845</v>
      </c>
      <c r="D58" s="124" t="s">
        <v>846</v>
      </c>
      <c r="E58" s="43" t="s">
        <v>1165</v>
      </c>
      <c r="F58" s="43" t="s">
        <v>1166</v>
      </c>
      <c r="G58" s="43" t="s">
        <v>1167</v>
      </c>
      <c r="H58" s="43"/>
      <c r="I58" s="109" t="s">
        <v>851</v>
      </c>
      <c r="J58" s="110">
        <v>1059600837</v>
      </c>
      <c r="K58" s="43" t="s">
        <v>852</v>
      </c>
      <c r="L58" s="175" t="s">
        <v>853</v>
      </c>
      <c r="M58" s="22">
        <v>33668</v>
      </c>
      <c r="N58" s="213">
        <f t="shared" ca="1" si="0"/>
        <v>31.682191780821917</v>
      </c>
      <c r="O58" s="22">
        <v>44847</v>
      </c>
      <c r="P58" s="214" t="str">
        <f t="shared" si="194"/>
        <v>SI</v>
      </c>
      <c r="Q58" s="26" t="s">
        <v>855</v>
      </c>
      <c r="R58" s="22">
        <v>44847</v>
      </c>
      <c r="S58" s="21" t="s">
        <v>856</v>
      </c>
      <c r="T58" s="24" t="s">
        <v>690</v>
      </c>
      <c r="U58" s="21" t="s">
        <v>857</v>
      </c>
      <c r="V58" s="21" t="s">
        <v>858</v>
      </c>
      <c r="W58" s="21" t="s">
        <v>1168</v>
      </c>
      <c r="X58" s="21" t="s">
        <v>1168</v>
      </c>
      <c r="Y58" s="21" t="s">
        <v>859</v>
      </c>
      <c r="Z58" s="21">
        <v>3213994949</v>
      </c>
      <c r="AA58" s="21" t="s">
        <v>860</v>
      </c>
      <c r="AB58" s="27" t="s">
        <v>861</v>
      </c>
      <c r="AC58" s="26" t="s">
        <v>862</v>
      </c>
      <c r="AD58" s="38" t="s">
        <v>846</v>
      </c>
      <c r="AE58" s="26" t="s">
        <v>854</v>
      </c>
      <c r="AF58" s="26" t="s">
        <v>854</v>
      </c>
      <c r="AG58" s="23" t="s">
        <v>864</v>
      </c>
      <c r="AH58" s="23" t="s">
        <v>864</v>
      </c>
      <c r="AI58" s="24" t="s">
        <v>863</v>
      </c>
      <c r="AJ58" s="23" t="s">
        <v>864</v>
      </c>
      <c r="AK58" s="220" t="str">
        <f>IF(AND(AD58="",AE58="",AF58="",AG58="",AH58="",AI58="",AJ58=""),"",IF(OR(Tabla1[[#This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EVALUACIÓN",IF(AND(O58="",R58=""),"",IF(AND(OR(O58&gt;0,R58&gt;0),NG58&gt;=0,NG58&lt;2),"SIN RIESGO",IF(AND(OR(O58&gt;0,R58&gt;0),NG58&gt;=2),"CON RIESGO","ASD")))))</f>
        <v>SIN RIESGO</v>
      </c>
      <c r="AL58" s="23" t="s">
        <v>864</v>
      </c>
      <c r="AM58" s="26" t="s">
        <v>864</v>
      </c>
      <c r="AN58" s="26" t="s">
        <v>864</v>
      </c>
      <c r="AO58" s="26" t="s">
        <v>864</v>
      </c>
      <c r="AP58" s="26" t="s">
        <v>864</v>
      </c>
      <c r="AQ58" s="26" t="s">
        <v>864</v>
      </c>
      <c r="AR58" s="26" t="s">
        <v>864</v>
      </c>
      <c r="AS58" s="21">
        <v>1</v>
      </c>
      <c r="AT58" s="21">
        <v>0</v>
      </c>
      <c r="AU58" s="21">
        <v>0</v>
      </c>
      <c r="AV58" s="26" t="s">
        <v>864</v>
      </c>
      <c r="AW58" s="21">
        <v>1</v>
      </c>
      <c r="AX58" s="26" t="s">
        <v>864</v>
      </c>
      <c r="AY58" s="26" t="s">
        <v>864</v>
      </c>
      <c r="AZ58" s="26" t="s">
        <v>864</v>
      </c>
      <c r="BA58" s="26" t="s">
        <v>864</v>
      </c>
      <c r="BB58" s="26" t="s">
        <v>864</v>
      </c>
      <c r="BC58" s="26" t="s">
        <v>864</v>
      </c>
      <c r="BD58" s="26" t="s">
        <v>864</v>
      </c>
      <c r="BE58" s="26" t="s">
        <v>864</v>
      </c>
      <c r="BF58" s="26" t="s">
        <v>864</v>
      </c>
      <c r="BG58" s="26" t="s">
        <v>864</v>
      </c>
      <c r="BH58" s="26" t="s">
        <v>864</v>
      </c>
      <c r="BI58" s="26" t="s">
        <v>864</v>
      </c>
      <c r="BJ58" s="26"/>
      <c r="BK58" s="26"/>
      <c r="BL58" s="26" t="s">
        <v>864</v>
      </c>
      <c r="BM58" s="26" t="s">
        <v>864</v>
      </c>
      <c r="BN58" s="22">
        <v>41042</v>
      </c>
      <c r="BO58" s="22">
        <v>44777</v>
      </c>
      <c r="BP58" s="21" t="s">
        <v>854</v>
      </c>
      <c r="BQ58" s="222">
        <f t="shared" si="2"/>
        <v>124.5</v>
      </c>
      <c r="BR58" s="223">
        <f t="shared" si="3"/>
        <v>44777</v>
      </c>
      <c r="BS58" s="224">
        <f t="shared" si="4"/>
        <v>10</v>
      </c>
      <c r="BT58" s="216" t="str">
        <f t="shared" si="5"/>
        <v>II TRIM</v>
      </c>
      <c r="BU58" s="214" t="str">
        <f t="shared" ca="1" si="6"/>
        <v/>
      </c>
      <c r="BV58" s="25"/>
      <c r="BW58" s="22">
        <v>44889</v>
      </c>
      <c r="BX58" s="28">
        <v>16</v>
      </c>
      <c r="BY58" s="28"/>
      <c r="BZ58" s="22"/>
      <c r="CA58" s="21"/>
      <c r="CB58" s="26" t="s">
        <v>864</v>
      </c>
      <c r="CC58" s="26" t="s">
        <v>864</v>
      </c>
      <c r="CD58" s="26" t="s">
        <v>972</v>
      </c>
      <c r="CE58" s="26" t="s">
        <v>864</v>
      </c>
      <c r="CF58" s="22" t="s">
        <v>1517</v>
      </c>
      <c r="CG58" s="21">
        <v>1.45</v>
      </c>
      <c r="CH58" s="21">
        <v>53</v>
      </c>
      <c r="CI58" s="214">
        <f t="shared" si="7"/>
        <v>25.208085612366229</v>
      </c>
      <c r="CJ58" s="225" t="e">
        <f>IF(AND(CI58&lt;10,CH58="SD"),"SIN DATO PESO PREGESTACION O I TRIM",IF(AND(OR(R58&gt;0,O58&gt;0),CI58="X"),"INGRESAR DATO DE PESO",IF(CI58="SD","INGRESAR DATO DE TALLA Y PESO",IF(AND(OR(Tabla1[[#This Row],[MOMENTO EN QUE SE REALIZA EL PESO AL INGRESO A CPN]]="PREGESTACIÓN",NZ58="Menor"),CI58&lt;18.5),"BAJO PESO",IF(AND(OR(Tabla1[[#This Row],[MOMENTO EN QUE SE REALIZA EL PESO AL INGRESO A CPN]]="PREGESTACIÓN",NZ58="Menor"),CI58&lt;25),"NORMAL",IF(AND(OR(Tabla1[[#This Row],[MOMENTO EN QUE SE REALIZA EL PESO AL INGRESO A CPN]]="PREGESTACIÓN",NZ58="Menor"),CI58&lt;30),"SOBREPESO",IF(AND(OR(Tabla1[[#This Row],[MOMENTO EN QUE SE REALIZA EL PESO AL INGRESO A CPN]]="PREGESTACIÓN",NZ58="Menor"),CI58&gt;=30,CI58&lt;50),"OBESIDAD",IF(AND(BS58&gt;0,Tabla1[[#This Row],[MOMENTO EN QUE SE REALIZA EL PESO AL INGRESO A CPN]]="GESTACIÓN"),HLOOKUP(NZ58,$OA$2:PH58,NY58),""))))))))</f>
        <v>#REF!</v>
      </c>
      <c r="CK58" s="212">
        <f t="shared" si="8"/>
        <v>45012</v>
      </c>
      <c r="CL58" s="21"/>
      <c r="CM58" s="214">
        <f t="shared" si="9"/>
        <v>0</v>
      </c>
      <c r="CN58" s="216">
        <f t="shared" si="10"/>
        <v>33</v>
      </c>
      <c r="CO58" s="216" t="e">
        <f>IF(PI58="","",IF(PI58&gt;0,HLOOKUP(PI58,$PJ$2:QQ58,NY58),""))</f>
        <v>#REF!</v>
      </c>
      <c r="CP58" s="21"/>
      <c r="CQ58" s="216" t="e">
        <f>IF(QR58="Menor","NO APLICA-MENOR 13 SEM",IF(AND(CC58="SI",CN58&gt;23),"NO APLICA- GEMELAR",IF(QR58="","",IF(QR58&gt;0,HLOOKUP(QR58,$QS$2:RU58,NY58),""))))</f>
        <v>#REF!</v>
      </c>
      <c r="CR58" s="21">
        <v>100</v>
      </c>
      <c r="CS58" s="21">
        <v>60</v>
      </c>
      <c r="CT58" s="217" t="str">
        <f>IF(R58="","",IF(AND(BS58&gt;1,BS58&lt;12,Tabla1[[#This Row],[T.A. SISTOLICA - ANTES DE SEMANA 12]]="",Tabla1[[#This Row],[T.A. DIASTOLICA - ANTES DE SEMANA 12]]=""),"REGISTRE DATO TA ANTES SEMANA 12",IF(AND(BS58&gt;11,BS58&lt;43,Tabla1[[#This Row],[T.A. SISTOLICA - ANTES DE SEMANA 12]]="",Tabla1[[#This Row],[T.A. DIASTOLICA - ANTES DE SEMANA 12]]=""),"NO APLICA REGISTRO TA-INGRESO TARDIO",IF(AND(OR(O58&gt;0,R58&gt;0),OR(CR58&gt;=140,CS58&gt;=90)),"DEFINIR ESTADIO HTA",IF(AND(OR(O58&gt;0,R58&gt;0),AND(CR58&gt;120,CR58&lt;=139)),"PRE HTA SEGUIMIENTO",IF(AND(OR(O58&gt;0,R58&gt;0),AND(CS58&gt;80,CS58&lt;=89)),"PRE HTA SEGUIMIENTO",IF(AND(OR(O58&gt;0,R58&gt;0),AND(CR58&gt;=80,CR58&lt;=120)),"APARENTEMENTE NORMAL",IF(AND(OR(O58&gt;0,R58&gt;0),AND(CS58&gt;=50,CS58&lt;=80)),"APARENTEMENTE NORMAL",IF(AND(OR(O58&gt;0,R58&gt;0),AND(CR58&gt;1,CR58&lt;=70),AND(CS58&gt;1,CS58&lt;=40)),"HIPOTENSIÓN","")))))))))</f>
        <v>APARENTEMENTE NORMAL</v>
      </c>
      <c r="CU58" s="21">
        <v>100</v>
      </c>
      <c r="CV58" s="21">
        <v>60</v>
      </c>
      <c r="CW58" s="217" t="str">
        <f ca="1">IF(R58="","",IF(AND(CN58&gt;19,CN58&lt;27,Tabla1[[#This Row],[T.A. SISTOLICA (Entre semana 20 y 26)]]="",Tabla1[[#This Row],[T.A. DIATOLICA (Entre semana 20 y 26)]]=""),"ACUDE A CONTROL SEM 20 A 26 REGISTRE TA AHORA",IF(AND(BS58&gt;1,BS58&lt;27,BU58&gt;19,Tabla1[[#This Row],[T.A. SISTOLICA (Entre semana 20 y 26)]]="",Tabla1[[#This Row],[T.A. DIATOLICA (Entre semana 20 y 26)]]=""),"COMPLETE REGISTRO TA CONTROL SEM 20 A26 ",IF(AND(BS58&gt;26,BS58&lt;43,Tabla1[[#This Row],[T.A. SISTOLICA (Entre semana 20 y 26)]]="",Tabla1[[#This Row],[T.A. DIATOLICA (Entre semana 20 y 26)]]=""),"NO APLICA REGISTRO TA-INGRESO TARDIO",IF(AND(OR(O58&gt;0,R58&gt;0),OR(CU58&gt;=140,CV58&gt;=90)),"ALTO RIESGO PREECLAMPSIA,DEFINIR ESTADIO HTA",IF(AND(OR(O58&gt;0,R58&gt;0),AND(CU58&gt;120,CU58&lt;=139)),"PRE HTA SEGUIMIENTO,RIESGO HIPERTENSION INDUCIDA POR EL EMBARAZO",IF(AND(OR(O58&gt;0,R58&gt;0),AND(CV58&gt;80,CV58&lt;=89)),"PRE HTA SEGUIMIENTO, RIESGO HIPERTENSION INDUCIDA POR EL EMBARAZO",IF(AND(OR(O58&lt;&gt;"",R58&lt;&gt;""),CS58&lt;&gt;"",CV58&lt;&gt;"",CS58&lt;=CV58),"VIGILAR CIFRAS PRESION ARTERIAL",IF(AND(OR(O58&gt;0,R58&gt;0),AND(CU58&gt;120,CU58&lt;=139)),"PRE HTA SEGUIMIENTO",IF(AND(OR(O58&gt;0,R58&gt;0),AND(CU58&gt;1,CU58&lt;=70),AND(CV58&gt;1,CV58&lt;=40)),"HIPOTENSIÓN",IF(AND(OR(O58&lt;&gt;"",R58&lt;&gt;""),CS58&lt;&gt;"",CV58&lt;&gt;"",CS58&gt;CV58),"APARENTEMENTE NORMAL",IF(AND(OR(O58&gt;0,R58&gt;0),AND(CU58&gt;=80,CU58&lt;=120)),"APARENTEMENTE NORMAL",IF(AND(OR(O58&gt;0,R58&gt;0),AND(CV58&gt;=50,CV58&lt;=80)),"APARENTEMENTE NORMAL","")))))))))))))</f>
        <v>VIGILAR CIFRAS PRESION ARTERIAL</v>
      </c>
      <c r="CX58" s="21"/>
      <c r="CY58" s="21">
        <v>100</v>
      </c>
      <c r="CZ58" s="216" t="str">
        <f t="shared" si="195"/>
        <v>ESTUDIO INMEDIATO HTA PARA DESCARTAR PREECLAMSIA</v>
      </c>
      <c r="DA58" s="21"/>
      <c r="DB58" s="21"/>
      <c r="DC58" s="217" t="str">
        <f t="shared" si="12"/>
        <v>REGISTRE DATO PRESIÓN ARTERIAL MENSUAL</v>
      </c>
      <c r="DD58" s="22">
        <v>44847</v>
      </c>
      <c r="DE58" s="22">
        <v>44847</v>
      </c>
      <c r="DF58" s="22">
        <v>44891</v>
      </c>
      <c r="DG58" s="22">
        <v>44923</v>
      </c>
      <c r="DH58" s="22">
        <v>44954</v>
      </c>
      <c r="DI58" s="22">
        <v>44985</v>
      </c>
      <c r="DJ58" s="22">
        <v>45012</v>
      </c>
      <c r="DK58" s="22"/>
      <c r="DL58" s="22"/>
      <c r="DM58" s="22"/>
      <c r="DN58" s="22"/>
      <c r="DO58" s="22"/>
      <c r="DP58" s="22"/>
      <c r="DQ58" s="22"/>
      <c r="DR58" s="28">
        <v>2</v>
      </c>
      <c r="DS58" s="22"/>
      <c r="DT58" s="22"/>
      <c r="DU58" s="216" t="str">
        <f t="shared" ca="1" si="196"/>
        <v>SALE SIN PLAN DE PARTO</v>
      </c>
      <c r="DV58" s="226" t="str">
        <f t="shared" si="197"/>
        <v>SALIO PROGRAMA</v>
      </c>
      <c r="DW58"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58" s="216" t="str">
        <f t="shared" ca="1" si="15"/>
        <v/>
      </c>
      <c r="DY58" s="212">
        <f>IF(R58="","",IF(R58&gt;0,MAX(Tabla1[[#This Row],[FECHA C2]:[FECHA C13]],Tabla1[[#This Row],[FECHA CONSULTA PRIMERA VEZ PROGRAMA CPN ]])))</f>
        <v>45012</v>
      </c>
      <c r="DZ58" s="216">
        <f t="shared" si="16"/>
        <v>33</v>
      </c>
      <c r="EA58" s="222">
        <f>IF(R58&gt;0,SUM(COUNTA(DF58:DQ58)+COUNTA(Tabla1[[#This Row],[FECHA CONSULTA PRIMERA VEZ PROGRAMA CPN ]])),"")</f>
        <v>6</v>
      </c>
      <c r="EB58" s="222" t="str">
        <f t="shared" si="17"/>
        <v>SI</v>
      </c>
      <c r="EC58" s="214">
        <f t="shared" si="18"/>
        <v>9</v>
      </c>
      <c r="ED58" s="227">
        <f t="shared" si="19"/>
        <v>0.66666666666666663</v>
      </c>
      <c r="EE58" s="22">
        <v>44847</v>
      </c>
      <c r="EF58" s="22">
        <v>44847</v>
      </c>
      <c r="EG58" s="22">
        <v>44847</v>
      </c>
      <c r="EH58" s="22"/>
      <c r="EI58" s="22">
        <v>44847</v>
      </c>
      <c r="EJ58" s="22">
        <v>44886</v>
      </c>
      <c r="EK58" s="22">
        <v>44886</v>
      </c>
      <c r="EL58" s="21">
        <v>1</v>
      </c>
      <c r="EM58" s="21">
        <v>13.6</v>
      </c>
      <c r="EN58" s="22">
        <v>44908</v>
      </c>
      <c r="EO58" s="222">
        <f t="shared" si="20"/>
        <v>18.714285714285715</v>
      </c>
      <c r="EP58" s="214" t="str">
        <f t="shared" si="21"/>
        <v>NORMAL- SUMINISTRAR SULFATO FERROSO</v>
      </c>
      <c r="EQ58" s="216" t="str">
        <f t="shared" si="22"/>
        <v>II TRIM</v>
      </c>
      <c r="ER58" s="24"/>
      <c r="ES58" s="22"/>
      <c r="ET58" s="29" t="str">
        <f t="shared" ca="1" si="198"/>
        <v>SALE SIN TAMIZAJE HEMOGLOBINA SEM 28</v>
      </c>
      <c r="EU58" s="25" t="str">
        <f t="shared" si="24"/>
        <v/>
      </c>
      <c r="EV58" s="24" t="s">
        <v>866</v>
      </c>
      <c r="EW58" s="24">
        <v>44847</v>
      </c>
      <c r="EX58" s="22"/>
      <c r="EY58" s="29">
        <f t="shared" si="199"/>
        <v>10</v>
      </c>
      <c r="EZ58" s="25" t="str">
        <f t="shared" ca="1" si="200"/>
        <v/>
      </c>
      <c r="FA58" s="21">
        <v>67</v>
      </c>
      <c r="FB58" s="22">
        <v>44847</v>
      </c>
      <c r="FC58" s="29">
        <f t="shared" si="27"/>
        <v>10</v>
      </c>
      <c r="FD58" s="29"/>
      <c r="FE58" s="29"/>
      <c r="FF58" s="29"/>
      <c r="FG58" s="21" t="str">
        <f t="shared" ca="1" si="28"/>
        <v/>
      </c>
      <c r="FH58" s="31"/>
      <c r="FI58" s="29" t="str">
        <f t="shared" si="29"/>
        <v>TOMAR EXAMEN</v>
      </c>
      <c r="FJ58" s="22" t="s">
        <v>867</v>
      </c>
      <c r="FK58" s="22">
        <v>44847</v>
      </c>
      <c r="FL58" s="29">
        <f t="shared" ca="1" si="30"/>
        <v>10</v>
      </c>
      <c r="FM58" s="22"/>
      <c r="FN58" s="32"/>
      <c r="FO58" s="29" t="str">
        <f t="shared" ca="1" si="201"/>
        <v>PIERDE TOMA DE TAMIZAJE</v>
      </c>
      <c r="FP58" s="22"/>
      <c r="FQ58" s="32"/>
      <c r="FR58" s="29" t="str">
        <f t="shared" ca="1" si="202"/>
        <v>PIERDE TOMA DE TAMIZAJE</v>
      </c>
      <c r="FS58" s="22"/>
      <c r="FT58" s="32"/>
      <c r="FU58" s="29" t="str">
        <f>IF(AND(FJ58="",FM58="",FP58="",FS58=""),"",IF(OR(OR(Tabla1[[#This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58" s="28"/>
      <c r="FW58" s="22"/>
      <c r="FX58" s="29" t="str">
        <f t="shared" si="33"/>
        <v>TOMAR EXAMEN</v>
      </c>
      <c r="FY58" s="22">
        <v>44847</v>
      </c>
      <c r="FZ58" s="22">
        <v>44847</v>
      </c>
      <c r="GA58" s="29">
        <f t="shared" ca="1" si="203"/>
        <v>10</v>
      </c>
      <c r="GB58" s="22"/>
      <c r="GC58" s="22"/>
      <c r="GD58" s="29" t="str">
        <f t="shared" ca="1" si="204"/>
        <v>PIERDE TOMA DE TAMIZAJE</v>
      </c>
      <c r="GE58" s="22"/>
      <c r="GF58" s="22"/>
      <c r="GG58" s="29" t="str">
        <f t="shared" ca="1" si="205"/>
        <v>PIERDE TOMA DE TAMIZAJE</v>
      </c>
      <c r="GH58" s="22"/>
      <c r="GI58" s="29"/>
      <c r="GJ58" s="22"/>
      <c r="GK58" s="22"/>
      <c r="GL58" s="22"/>
      <c r="GM58" s="22"/>
      <c r="GN58" s="28" t="s">
        <v>869</v>
      </c>
      <c r="GO58" s="22">
        <v>44911</v>
      </c>
      <c r="GP58" s="29">
        <f t="shared" si="37"/>
        <v>19.142857142857142</v>
      </c>
      <c r="GQ58" s="28"/>
      <c r="GR58" s="28"/>
      <c r="GS58" s="22" t="str">
        <f t="shared" si="206"/>
        <v/>
      </c>
      <c r="GT58" s="22"/>
      <c r="GU58" s="29" t="str">
        <f t="shared" si="39"/>
        <v>TOMAR EXAMEN</v>
      </c>
      <c r="GV58" s="21" t="str">
        <f t="shared" si="40"/>
        <v>POR DEFINIR</v>
      </c>
      <c r="GW58" s="28"/>
      <c r="GX58" s="30"/>
      <c r="GY58" s="21"/>
      <c r="GZ58" s="21"/>
      <c r="HA58" s="21"/>
      <c r="HB58" s="21"/>
      <c r="HC58" s="21"/>
      <c r="HD58" s="21"/>
      <c r="HE58" s="21"/>
      <c r="HF58" s="22"/>
      <c r="HG58" s="22" t="str">
        <f>IF(OR(O58&gt;0,R58&gt;0),CONCATENATE(IF(Tabla1[[#This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58" s="22" t="e">
        <f t="shared" si="41"/>
        <v>#REF!</v>
      </c>
      <c r="HI58" s="22" t="e">
        <f t="shared" ca="1" si="42"/>
        <v>#REF!</v>
      </c>
      <c r="HJ58" s="21" t="str">
        <f t="shared" ca="1" si="43"/>
        <v>**********************MULTIPARIDAD***CESAREAS PREVIAS**************</v>
      </c>
      <c r="HK58" s="21" t="str">
        <f t="shared" si="44"/>
        <v>SIN ANTECEDENTES DE RIESGO</v>
      </c>
      <c r="HL58" s="24" t="str">
        <f t="shared" si="45"/>
        <v>REGISTRE DATO PRESIÓN ARTERIAL MENSUAL</v>
      </c>
      <c r="HM58" s="21" t="str">
        <f t="shared" ca="1" si="46"/>
        <v/>
      </c>
      <c r="HN58" s="30" t="str">
        <f t="shared" si="207"/>
        <v>SALIO PROGRAMA</v>
      </c>
      <c r="HO58" s="21"/>
      <c r="HP58" s="21" t="s">
        <v>864</v>
      </c>
      <c r="HQ58" s="21">
        <v>44847</v>
      </c>
      <c r="HR58" s="21" t="str">
        <f>IF(R58="","",IF(Tabla1[[#This Row],[ALARMA FACTORES DE RIESGO COMPLICACIONES HIPERTENSIVAS3]]="SIN ANTECEDENTES DE RIESGO","No Aplica para suministro de ASA",IF(AND(Tabla1[[#This Row],[FECHA INICIO DE SUMINISTRO DE ASA]]&gt;0,RV58&lt;12),"Inicia ASA ANTES de Sem 12",IF(AND(RV58&gt;11,RV58&lt;17,OR(HK58="RIESGO ALTO DE COMPLICACIONES HIPERTENSIVAS VER MANEJO GUIA SUMINISTRO ASA Y CALCIO",HK58="RIESGO MODERADO (2 O MAS CRITERIOS) VER MANEJO GUIA SUMINISTRO ASA Y CALCIO")),"Inicio oportuno de ASA",IF(AND(RV58&gt;12,OR(HK58="RIESGO ALTO DE COMPLICACIONES HIPERTENSIVAS VER MANEJO GUIA SUMINISTRO ASA Y CALCIO",HK58="RIESGO MODERADO (2 O MAS CRITERIOS) VER MANEJO GUIA SUMINISTRO ASA Y CALCIO")),"Inicio no oportuno mayor a 16 semanas",IF(AND(BU58&lt;12,OR(HK58="RIESGO ALTO DE COMPLICACIONES HIPERTENSIVAS VER MANEJO GUIA SUMINISTRO ASA Y CALCIO",HK58="RIESGO MODERADO (2 O MAS CRITERIOS) VER MANEJO GUIA SUMINISTRO ASA Y CALCIO")),"Pendiente Inicio de ASA a la semana 12",IF(AND(BU58&gt;11,BU58&lt;17,OR(HK58="RIESGO ALTO DE COMPLICACIONES HIPERTENSIVAS VER MANEJO GUIA SUMINISTRO ASA Y CALCIO",HK58="RIESGO MODERADO (2 O MAS CRITERIOS) VER MANEJO GUIA SUMINISTRO ASA Y CALCIO")),"Iniciar de inmediato ASA",IF(AND(BU58&gt;16,OR(HK58="RIESGO ALTO DE COMPLICACIONES HIPERTENSIVAS VER MANEJO GUIA SUMINISTRO ASA Y CALCIO",HK58="RIESGO MODERADO (2 O MAS CRITERIOS) VER MANEJO GUIA SUMINISTRO ASA Y CALCIO")),"Pierde Oportunidad, Inicio tardío de ASA","XXXXX"))))))))</f>
        <v>No Aplica para suministro de ASA</v>
      </c>
      <c r="HS58" s="22">
        <v>44847</v>
      </c>
      <c r="HT58" s="22" t="s">
        <v>870</v>
      </c>
      <c r="HU58" s="22">
        <v>44847</v>
      </c>
      <c r="HV58" s="22" t="s">
        <v>870</v>
      </c>
      <c r="HW58" s="22">
        <v>44847</v>
      </c>
      <c r="HX58" s="22" t="s">
        <v>935</v>
      </c>
      <c r="HY58" s="22">
        <v>44847</v>
      </c>
      <c r="HZ58" s="28">
        <f t="shared" si="48"/>
        <v>10</v>
      </c>
      <c r="IA58" s="26" t="s">
        <v>864</v>
      </c>
      <c r="IB58" s="26"/>
      <c r="IC58" s="111"/>
      <c r="ID58" s="22"/>
      <c r="IE58" s="22" t="str">
        <f t="shared" ca="1" si="49"/>
        <v>SALE SIN VACUNA</v>
      </c>
      <c r="IF58" s="22"/>
      <c r="IG58" s="22">
        <f t="shared" si="50"/>
        <v>45057</v>
      </c>
      <c r="IH58" s="29">
        <f t="shared" ca="1" si="51"/>
        <v>-175</v>
      </c>
      <c r="II58" s="22" t="str">
        <f t="shared" ca="1" si="52"/>
        <v>POSIBLEMENTE NACIO</v>
      </c>
      <c r="IJ58" s="22"/>
      <c r="IK58" s="21" t="s">
        <v>1652</v>
      </c>
      <c r="IL58" s="21"/>
      <c r="IM58" s="34"/>
      <c r="IN58" s="349">
        <v>45046</v>
      </c>
      <c r="IO58" s="21" t="s">
        <v>1186</v>
      </c>
      <c r="IP58" s="29">
        <f t="shared" si="208"/>
        <v>38.428571428571431</v>
      </c>
      <c r="IQ58" s="35" t="s">
        <v>1650</v>
      </c>
      <c r="IR58" s="21" t="s">
        <v>1651</v>
      </c>
      <c r="IS58" s="21" t="s">
        <v>1646</v>
      </c>
      <c r="IT58" s="21" t="s">
        <v>1642</v>
      </c>
      <c r="IU58" s="21"/>
      <c r="IV58" s="21"/>
      <c r="IW58" s="21"/>
      <c r="IX58" s="21"/>
      <c r="IY58" s="21"/>
      <c r="IZ58" s="21"/>
      <c r="JA58" s="21"/>
      <c r="JB58" s="30">
        <v>1</v>
      </c>
      <c r="JC58" s="21" t="s">
        <v>1647</v>
      </c>
      <c r="JD58" s="36">
        <v>3085</v>
      </c>
      <c r="JE58" s="21" t="str">
        <f t="shared" si="209"/>
        <v>PESO ADECUADO EDAD GESTACIONAL</v>
      </c>
      <c r="JF58" s="30"/>
      <c r="JG58" s="21"/>
      <c r="JH58" s="21"/>
      <c r="JI58" s="21" t="s">
        <v>854</v>
      </c>
      <c r="JJ58" s="30" t="s">
        <v>866</v>
      </c>
      <c r="JK58" s="22"/>
      <c r="JL58" s="22"/>
      <c r="JM58" s="21"/>
      <c r="JN58" s="36"/>
      <c r="JO58" s="21" t="str">
        <f t="shared" si="210"/>
        <v/>
      </c>
      <c r="JP58" s="22"/>
      <c r="JQ58" s="21"/>
      <c r="JR58" s="21"/>
      <c r="JS58" s="21"/>
      <c r="JT58" s="30"/>
      <c r="JU58" s="22"/>
      <c r="JV58" s="22"/>
      <c r="JW58" s="33"/>
      <c r="JX58" s="28" t="str">
        <f t="shared" si="211"/>
        <v>INASISTENTE</v>
      </c>
      <c r="JY58" s="33"/>
      <c r="JZ58" s="28" t="str">
        <f t="shared" si="212"/>
        <v>INASISTENTE</v>
      </c>
      <c r="KA58" s="21"/>
      <c r="KB58" s="21"/>
      <c r="KC58" s="21"/>
      <c r="KD58" s="37"/>
      <c r="KE58" s="28"/>
      <c r="KF58" s="28"/>
      <c r="KG58" s="28"/>
      <c r="KH58" s="39"/>
      <c r="KI58" s="39"/>
      <c r="KJ58" s="66"/>
      <c r="KK58" s="39"/>
      <c r="KL58" s="39"/>
      <c r="KM58" s="66"/>
      <c r="KN58" s="39"/>
      <c r="KO58" s="39"/>
      <c r="KP58" s="39"/>
      <c r="KQ58" s="39"/>
      <c r="KR58" s="39"/>
      <c r="KS58" s="39"/>
      <c r="KT58" s="39"/>
      <c r="KU58" s="38"/>
      <c r="KV58" s="38"/>
      <c r="KW58" s="38"/>
      <c r="KX58" s="38"/>
      <c r="KY58" s="38"/>
      <c r="KZ58" s="38"/>
      <c r="LA58" s="38"/>
      <c r="LB58" s="38"/>
      <c r="LC58" s="38"/>
      <c r="LD58" s="38"/>
      <c r="LE58" s="38"/>
      <c r="LF58" s="38"/>
      <c r="LG58" s="38"/>
      <c r="LH58" s="38"/>
      <c r="LI58" s="38"/>
      <c r="LJ58" s="38"/>
      <c r="LK58" s="38"/>
      <c r="LL58" s="38"/>
      <c r="LM58" s="38"/>
      <c r="LN58" s="38"/>
      <c r="LO58" s="38"/>
      <c r="LP58" s="38"/>
      <c r="LQ58" s="38"/>
      <c r="LR58" s="38"/>
      <c r="LS58" s="38"/>
      <c r="LT58" s="38"/>
      <c r="LU58" s="38"/>
      <c r="LV58" s="38"/>
      <c r="LW58" s="38"/>
      <c r="LX58" s="38"/>
      <c r="LY58" s="38"/>
      <c r="LZ58" s="38"/>
      <c r="MA58" s="38"/>
      <c r="MB58" s="38"/>
      <c r="MC58" s="38"/>
      <c r="MD58" s="38"/>
      <c r="ME58" s="38"/>
      <c r="MF58" s="38"/>
      <c r="MG58" s="38"/>
      <c r="MH58" s="43">
        <f t="shared" si="213"/>
        <v>0</v>
      </c>
      <c r="MI58" s="43" t="str">
        <f t="shared" si="214"/>
        <v/>
      </c>
      <c r="MJ58" s="43" t="str">
        <f t="shared" si="215"/>
        <v/>
      </c>
      <c r="MK58" s="43">
        <f t="shared" si="216"/>
        <v>0</v>
      </c>
      <c r="ML5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58" s="43">
        <f t="shared" si="217"/>
        <v>10</v>
      </c>
      <c r="MN58" s="43">
        <f t="shared" si="218"/>
        <v>10</v>
      </c>
      <c r="MO58" s="43">
        <f t="shared" si="219"/>
        <v>2022</v>
      </c>
      <c r="MP58" s="43" t="str">
        <f t="shared" si="220"/>
        <v>IV TRIMESTRE AÑO</v>
      </c>
      <c r="MQ58" s="43">
        <f t="shared" si="221"/>
        <v>30.163162505475253</v>
      </c>
      <c r="MR58" s="43">
        <f t="shared" si="222"/>
        <v>0</v>
      </c>
      <c r="MS58" s="43" t="str">
        <f t="shared" si="223"/>
        <v xml:space="preserve"> DE 30 A 34 AÑOS</v>
      </c>
      <c r="MT58" s="43">
        <f t="shared" si="224"/>
        <v>0</v>
      </c>
      <c r="MU58" s="43">
        <f t="shared" si="225"/>
        <v>1</v>
      </c>
      <c r="MV58" s="43">
        <f t="shared" si="226"/>
        <v>1</v>
      </c>
      <c r="MW58" s="43">
        <f t="shared" si="227"/>
        <v>0</v>
      </c>
      <c r="MX58" s="43" t="str">
        <f t="shared" si="228"/>
        <v/>
      </c>
      <c r="MY58" s="43" t="str">
        <f t="shared" ca="1" si="229"/>
        <v/>
      </c>
      <c r="MZ58" s="43" t="str">
        <f t="shared" si="230"/>
        <v/>
      </c>
      <c r="NA58" s="43" t="str">
        <f t="shared" si="231"/>
        <v/>
      </c>
      <c r="NB58" s="43" t="str">
        <f t="shared" si="232"/>
        <v/>
      </c>
      <c r="NC58" s="43" t="str">
        <f t="shared" si="233"/>
        <v/>
      </c>
      <c r="ND58" s="43">
        <f t="shared" ca="1" si="234"/>
        <v>2</v>
      </c>
      <c r="NE58" s="43">
        <f>IF(OR(O58&gt;0,R58&gt;0),SUM(COUNTIF(Tabla1[[#This Row],[AÑOS AL INICIO5 CPN]],"&gt;=40"),COUNTIF(AS58,"0"),COUNTIF(AR58,"SI"),COUNTIF(CC58,"SI"),COUNTIF(BQ58,"&gt;119"),COUNTIF(CI58,"&gt;=35")),"")</f>
        <v>1</v>
      </c>
      <c r="NF58" s="43" t="str">
        <f t="shared" si="235"/>
        <v/>
      </c>
      <c r="NG58" s="43">
        <f t="shared" si="236"/>
        <v>0</v>
      </c>
      <c r="NH58" s="43">
        <f t="shared" si="237"/>
        <v>112</v>
      </c>
      <c r="NI58"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CPN",P58="NO"),"Z",IF(AND(Tabla1[[#This Row],[CITA PROXIMO CONTROL]]="CITA MANUAL",Tabla1[[#This Row],[GESTANTES ACTUALES]]="ACTIVA INGRESO A CPN"),"W",IF(AND(Tabla1[[#This Row],[GESTANTES ACTUALES]]="SALIO PROGRAMA",IN58=""),"S",IF(AND(Tabla1[[#This Row],[CITA PROXIMO CONTROL]]&gt;0,IN58=""),(Tabla1[[#This Row],[CITA PROXIMO CONTROL]]-TODAY()),"SD"))))))))</f>
        <v>SD</v>
      </c>
      <c r="NJ58" s="43">
        <f>MONTH(Tabla1[[#This Row],[FECHA DE SALIDA  DEL PROGRAMA]])</f>
        <v>4</v>
      </c>
      <c r="NK58" s="43">
        <f>YEAR(Tabla1[[#This Row],[FECHA DE SALIDA  DEL PROGRAMA]])</f>
        <v>2023</v>
      </c>
      <c r="NL58" s="43">
        <f t="shared" si="238"/>
        <v>39</v>
      </c>
      <c r="NM58" s="43" t="str">
        <f t="shared" si="239"/>
        <v>NO</v>
      </c>
      <c r="NN58" s="43" t="str">
        <f ca="1">IF(AND(O58&gt;0,R58=""),"NO CPN",IF(AND(O58="",R58=""),"",IF(AND(R58&gt;0,Tabla1[[#This Row],[SEMANAS DE GESTACION ACTUALIZADAS]]&lt;=12),"NO APLICA",IF(AND(FH58&lt;&gt;"",FN58&lt;&gt;""),"SI","NO"))))</f>
        <v>NO</v>
      </c>
      <c r="NO58" s="43" t="str">
        <f ca="1">IF(AND(O58&gt;0,R58=""),"NO CPN",IF(AND(O58="",R58=""),"",IF(AND(R58&gt;0,Tabla1[[#This Row],[SEMANAS DE GESTACION ACTUALIZADAS]]&lt;=27),"NO APLICA",IF(AND(ES58&lt;&gt;"",FQ58&lt;&gt;"",GF58&lt;&gt;""),"SI","NO"))))</f>
        <v>NO</v>
      </c>
      <c r="NP58" s="204" t="str">
        <f t="shared" si="240"/>
        <v>I TRIM</v>
      </c>
      <c r="NQ58" s="21">
        <f t="shared" si="241"/>
        <v>10</v>
      </c>
      <c r="NR58" s="21">
        <f t="shared" si="242"/>
        <v>3</v>
      </c>
      <c r="NS58" s="205">
        <f t="shared" ca="1" si="243"/>
        <v>1</v>
      </c>
      <c r="NT58" s="21">
        <f t="shared" ca="1" si="244"/>
        <v>1</v>
      </c>
      <c r="NU58" s="21" t="str">
        <f t="shared" ca="1" si="245"/>
        <v>INCOMPLETO</v>
      </c>
      <c r="NV58" s="21" t="str">
        <f t="shared" ca="1" si="246"/>
        <v>INCOMPLETO</v>
      </c>
      <c r="NW58" s="206" t="str">
        <f>IF(AND(O58="",R58=""),"",IF(OR(AND(Tabla1[[#This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58" s="207" t="str">
        <f t="shared" ca="1" si="247"/>
        <v>SIN VACUNAR</v>
      </c>
      <c r="NY58" s="43">
        <f>ROW(Tabla1[[#This Row],['# DE TAMIZAJES SIFILIS TOMADOS ]])</f>
        <v>58</v>
      </c>
      <c r="NZ58" s="43">
        <f t="shared" si="93"/>
        <v>10</v>
      </c>
      <c r="OA58" s="43" t="str">
        <f t="shared" si="94"/>
        <v/>
      </c>
      <c r="OB58" s="43" t="str">
        <f t="shared" si="95"/>
        <v>NORMAL</v>
      </c>
      <c r="OC58" s="43" t="str">
        <f t="shared" si="96"/>
        <v/>
      </c>
      <c r="OD58" s="43" t="str">
        <f t="shared" si="97"/>
        <v/>
      </c>
      <c r="OE58" s="43" t="str">
        <f t="shared" si="98"/>
        <v/>
      </c>
      <c r="OF58" s="43" t="str">
        <f t="shared" si="99"/>
        <v/>
      </c>
      <c r="OG58" s="43" t="str">
        <f t="shared" si="100"/>
        <v/>
      </c>
      <c r="OH58" s="43" t="str">
        <f t="shared" si="101"/>
        <v/>
      </c>
      <c r="OI58" s="43" t="str">
        <f t="shared" si="102"/>
        <v/>
      </c>
      <c r="OJ58" s="43" t="str">
        <f t="shared" si="103"/>
        <v/>
      </c>
      <c r="OK58" s="43" t="str">
        <f t="shared" si="104"/>
        <v/>
      </c>
      <c r="OL58" s="43" t="str">
        <f t="shared" si="105"/>
        <v/>
      </c>
      <c r="OM58" s="43" t="str">
        <f t="shared" si="106"/>
        <v/>
      </c>
      <c r="ON58" s="43" t="str">
        <f t="shared" si="107"/>
        <v/>
      </c>
      <c r="OO58" s="43" t="str">
        <f t="shared" si="108"/>
        <v/>
      </c>
      <c r="OP58" s="43" t="str">
        <f t="shared" si="109"/>
        <v/>
      </c>
      <c r="OQ58" s="43" t="str">
        <f t="shared" si="110"/>
        <v/>
      </c>
      <c r="OR58" s="43" t="str">
        <f t="shared" si="111"/>
        <v/>
      </c>
      <c r="OS58" s="43" t="str">
        <f t="shared" si="112"/>
        <v/>
      </c>
      <c r="OT58" s="43" t="str">
        <f t="shared" si="113"/>
        <v/>
      </c>
      <c r="OU58" s="43" t="str">
        <f t="shared" si="114"/>
        <v/>
      </c>
      <c r="OV58" s="110" t="str">
        <f t="shared" si="115"/>
        <v/>
      </c>
      <c r="OW58" s="43" t="str">
        <f t="shared" si="116"/>
        <v/>
      </c>
      <c r="OX58" s="43" t="str">
        <f t="shared" si="117"/>
        <v/>
      </c>
      <c r="OY58" s="43" t="str">
        <f t="shared" si="118"/>
        <v/>
      </c>
      <c r="OZ58" s="43" t="str">
        <f t="shared" si="119"/>
        <v/>
      </c>
      <c r="PA58" s="43" t="str">
        <f t="shared" si="120"/>
        <v/>
      </c>
      <c r="PB58" s="43" t="str">
        <f t="shared" si="121"/>
        <v/>
      </c>
      <c r="PC58" s="43" t="str">
        <f t="shared" si="122"/>
        <v/>
      </c>
      <c r="PD58" s="43" t="str">
        <f t="shared" si="123"/>
        <v/>
      </c>
      <c r="PE58" s="43" t="str">
        <f t="shared" si="124"/>
        <v/>
      </c>
      <c r="PF58" s="43" t="str">
        <f t="shared" si="125"/>
        <v/>
      </c>
      <c r="PG58" s="43" t="str">
        <f t="shared" si="126"/>
        <v/>
      </c>
      <c r="PH58" s="43" t="str">
        <f t="shared" si="127"/>
        <v/>
      </c>
      <c r="PI58" s="43">
        <f t="shared" si="128"/>
        <v>33</v>
      </c>
      <c r="PJ58" s="43" t="str">
        <f t="shared" si="129"/>
        <v/>
      </c>
      <c r="PK58" s="43" t="str">
        <f t="shared" si="130"/>
        <v/>
      </c>
      <c r="PL58" s="43" t="str">
        <f t="shared" si="131"/>
        <v/>
      </c>
      <c r="PM58" s="43" t="str">
        <f t="shared" si="132"/>
        <v/>
      </c>
      <c r="PN58" s="43" t="str">
        <f t="shared" si="133"/>
        <v/>
      </c>
      <c r="PO58" s="43" t="str">
        <f t="shared" si="134"/>
        <v/>
      </c>
      <c r="PP58" s="43" t="str">
        <f t="shared" si="135"/>
        <v/>
      </c>
      <c r="PQ58" s="43" t="str">
        <f t="shared" si="136"/>
        <v/>
      </c>
      <c r="PR58" s="43" t="str">
        <f t="shared" si="137"/>
        <v/>
      </c>
      <c r="PS58" s="43" t="str">
        <f t="shared" si="138"/>
        <v/>
      </c>
      <c r="PT58" s="43" t="str">
        <f t="shared" si="139"/>
        <v/>
      </c>
      <c r="PU58" s="43" t="str">
        <f t="shared" si="140"/>
        <v/>
      </c>
      <c r="PV58" s="43" t="str">
        <f t="shared" si="141"/>
        <v/>
      </c>
      <c r="PW58" s="43" t="str">
        <f t="shared" si="142"/>
        <v/>
      </c>
      <c r="PX58" s="43" t="str">
        <f t="shared" si="143"/>
        <v/>
      </c>
      <c r="PY58" s="43" t="str">
        <f t="shared" si="144"/>
        <v/>
      </c>
      <c r="PZ58" s="43" t="str">
        <f t="shared" si="145"/>
        <v/>
      </c>
      <c r="QA58" s="43" t="str">
        <f t="shared" si="146"/>
        <v/>
      </c>
      <c r="QB58" s="43" t="str">
        <f t="shared" si="147"/>
        <v/>
      </c>
      <c r="QC58" s="43" t="str">
        <f t="shared" si="148"/>
        <v/>
      </c>
      <c r="QD58" s="43" t="str">
        <f t="shared" si="149"/>
        <v/>
      </c>
      <c r="QE58" s="43" t="str">
        <f t="shared" si="150"/>
        <v/>
      </c>
      <c r="QF58" s="43" t="str">
        <f t="shared" si="151"/>
        <v/>
      </c>
      <c r="QG58" s="43" t="str">
        <f t="shared" si="152"/>
        <v/>
      </c>
      <c r="QH58" s="43" t="str">
        <f t="shared" si="153"/>
        <v/>
      </c>
      <c r="QI58" s="43" t="str">
        <f t="shared" si="154"/>
        <v/>
      </c>
      <c r="QJ58" s="43" t="str">
        <f t="shared" si="155"/>
        <v/>
      </c>
      <c r="QK58" s="43" t="str">
        <f t="shared" si="156"/>
        <v/>
      </c>
      <c r="QL58" s="43" t="str">
        <f t="shared" si="157"/>
        <v/>
      </c>
      <c r="QM58" s="43" t="str">
        <f t="shared" si="158"/>
        <v/>
      </c>
      <c r="QN58" s="43" t="str">
        <f t="shared" si="159"/>
        <v/>
      </c>
      <c r="QO58" s="43" t="str">
        <f t="shared" si="160"/>
        <v/>
      </c>
      <c r="QP58" s="43" t="str">
        <f t="shared" si="161"/>
        <v/>
      </c>
      <c r="QQ58" s="43" t="str">
        <f t="shared" si="162"/>
        <v/>
      </c>
      <c r="QR58" s="43">
        <f t="shared" si="192"/>
        <v>33</v>
      </c>
      <c r="QS58" s="43"/>
      <c r="QT58" s="21" t="str">
        <f t="shared" si="163"/>
        <v/>
      </c>
      <c r="QU58" s="21" t="str">
        <f t="shared" si="164"/>
        <v/>
      </c>
      <c r="QV58" s="21" t="str">
        <f t="shared" si="165"/>
        <v/>
      </c>
      <c r="QW58" s="21" t="str">
        <f t="shared" si="166"/>
        <v/>
      </c>
      <c r="QX58" s="21" t="str">
        <f t="shared" si="167"/>
        <v/>
      </c>
      <c r="QY58" s="21" t="str">
        <f t="shared" si="168"/>
        <v/>
      </c>
      <c r="QZ58" s="21" t="str">
        <f t="shared" si="169"/>
        <v/>
      </c>
      <c r="RA58" s="21" t="str">
        <f t="shared" si="170"/>
        <v/>
      </c>
      <c r="RB58" s="21" t="str">
        <f t="shared" si="171"/>
        <v/>
      </c>
      <c r="RC58" s="21" t="str">
        <f t="shared" si="172"/>
        <v/>
      </c>
      <c r="RD58" s="21" t="str">
        <f t="shared" si="173"/>
        <v/>
      </c>
      <c r="RE58" s="21" t="str">
        <f t="shared" si="174"/>
        <v/>
      </c>
      <c r="RF58" s="21" t="str">
        <f t="shared" si="175"/>
        <v/>
      </c>
      <c r="RG58" s="21" t="str">
        <f t="shared" si="176"/>
        <v/>
      </c>
      <c r="RH58" s="21" t="str">
        <f t="shared" si="177"/>
        <v/>
      </c>
      <c r="RI58" s="21" t="str">
        <f t="shared" si="178"/>
        <v/>
      </c>
      <c r="RJ58" s="21" t="str">
        <f t="shared" si="179"/>
        <v/>
      </c>
      <c r="RK58" s="21" t="str">
        <f t="shared" si="180"/>
        <v/>
      </c>
      <c r="RL58" s="21" t="str">
        <f t="shared" si="181"/>
        <v/>
      </c>
      <c r="RM58" s="21" t="str">
        <f t="shared" si="182"/>
        <v/>
      </c>
      <c r="RN58" s="21" t="str">
        <f t="shared" si="183"/>
        <v/>
      </c>
      <c r="RO58" s="21" t="str">
        <f t="shared" si="184"/>
        <v/>
      </c>
      <c r="RP58" s="21" t="str">
        <f t="shared" si="185"/>
        <v/>
      </c>
      <c r="RQ58" s="21" t="str">
        <f t="shared" si="186"/>
        <v/>
      </c>
      <c r="RR58" s="21" t="str">
        <f t="shared" si="187"/>
        <v/>
      </c>
      <c r="RS58" s="21" t="str">
        <f t="shared" si="188"/>
        <v/>
      </c>
      <c r="RT58" s="21" t="str">
        <f t="shared" si="189"/>
        <v/>
      </c>
      <c r="RU58" s="21" t="str">
        <f t="shared" si="190"/>
        <v/>
      </c>
      <c r="RV58" s="21">
        <f t="shared" si="191"/>
        <v>10</v>
      </c>
      <c r="RW58" s="284">
        <f>IF(OR(Tabla1[[#This Row],[FUM FORMULA CONFIABLE]]="",Tabla1[[#This Row],[FUM FORMULA CONFIABLE]]="SD"),"",IF(Tabla1[[#This Row],[FUM FORMULA CONFIABLE]]="CORREGIDA",Tabla1[[#This Row],[FUM X ECO 1]],Tabla1[[#This Row],[FUM x AMENORREA]]))</f>
        <v>44777</v>
      </c>
      <c r="RX58" s="21">
        <f>IF(AND(Tabla1[[#This Row],[FUM X ECO 1]]="",Tabla1[[#This Row],[FUM x AMENORREA]]=""),"",IF(AND(Tabla1[[#This Row],[FUM X ECO 1]]="",Tabla1[[#This Row],[FUM x AMENORREA]]&lt;&gt;""),"X",SUM(Tabla1[[#This Row],[FUM X ECO 1]]-Tabla1[[#This Row],[FUM x AMENORREA]])))</f>
        <v>0</v>
      </c>
      <c r="RY58" s="21">
        <f t="shared" si="193"/>
        <v>0</v>
      </c>
    </row>
    <row r="59" spans="1:493" ht="45" customHeight="1" x14ac:dyDescent="0.25">
      <c r="A59" s="109" t="s">
        <v>1169</v>
      </c>
      <c r="B59" s="43" t="s">
        <v>890</v>
      </c>
      <c r="C59" s="43" t="s">
        <v>845</v>
      </c>
      <c r="D59" s="124" t="s">
        <v>846</v>
      </c>
      <c r="E59" s="43" t="s">
        <v>943</v>
      </c>
      <c r="F59" s="43" t="s">
        <v>1170</v>
      </c>
      <c r="G59" s="43" t="s">
        <v>1171</v>
      </c>
      <c r="H59" s="43" t="s">
        <v>1172</v>
      </c>
      <c r="I59" s="109" t="s">
        <v>851</v>
      </c>
      <c r="J59" s="110">
        <v>1002848334</v>
      </c>
      <c r="K59" s="43" t="s">
        <v>852</v>
      </c>
      <c r="L59" s="175" t="s">
        <v>853</v>
      </c>
      <c r="M59" s="22">
        <v>36064</v>
      </c>
      <c r="N59" s="213">
        <f t="shared" ca="1" si="0"/>
        <v>25.117808219178084</v>
      </c>
      <c r="O59" s="22">
        <v>44894</v>
      </c>
      <c r="P59" s="214" t="str">
        <f t="shared" si="194"/>
        <v>SI</v>
      </c>
      <c r="Q59" s="26" t="s">
        <v>855</v>
      </c>
      <c r="R59" s="22">
        <v>44894</v>
      </c>
      <c r="S59" s="21" t="s">
        <v>856</v>
      </c>
      <c r="T59" s="24" t="s">
        <v>690</v>
      </c>
      <c r="U59" s="21" t="s">
        <v>857</v>
      </c>
      <c r="V59" s="21" t="s">
        <v>858</v>
      </c>
      <c r="W59" s="21" t="s">
        <v>933</v>
      </c>
      <c r="X59" s="21" t="s">
        <v>933</v>
      </c>
      <c r="Y59" s="21" t="s">
        <v>859</v>
      </c>
      <c r="Z59" s="21">
        <v>3114068394</v>
      </c>
      <c r="AA59" s="21" t="s">
        <v>860</v>
      </c>
      <c r="AB59" s="27" t="s">
        <v>861</v>
      </c>
      <c r="AC59" s="26" t="s">
        <v>862</v>
      </c>
      <c r="AD59" s="38" t="s">
        <v>846</v>
      </c>
      <c r="AE59" s="26" t="s">
        <v>854</v>
      </c>
      <c r="AF59" s="26" t="s">
        <v>854</v>
      </c>
      <c r="AG59" s="23" t="s">
        <v>864</v>
      </c>
      <c r="AH59" s="23" t="s">
        <v>864</v>
      </c>
      <c r="AI59" s="24" t="s">
        <v>863</v>
      </c>
      <c r="AJ59" s="23" t="s">
        <v>864</v>
      </c>
      <c r="AK59" s="220" t="str">
        <f>IF(AND(AD59="",AE59="",AF59="",AG59="",AH59="",AI59="",AJ59=""),"",IF(OR(Tabla1[[#This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EVALUACIÓN",IF(AND(O59="",R59=""),"",IF(AND(OR(O59&gt;0,R59&gt;0),NG59&gt;=0,NG59&lt;2),"SIN RIESGO",IF(AND(OR(O59&gt;0,R59&gt;0),NG59&gt;=2),"CON RIESGO","ASD")))))</f>
        <v>SIN RIESGO</v>
      </c>
      <c r="AL59" s="23" t="s">
        <v>864</v>
      </c>
      <c r="AM59" s="26" t="s">
        <v>864</v>
      </c>
      <c r="AN59" s="26" t="s">
        <v>864</v>
      </c>
      <c r="AO59" s="26" t="s">
        <v>864</v>
      </c>
      <c r="AP59" s="26" t="s">
        <v>864</v>
      </c>
      <c r="AQ59" s="26" t="s">
        <v>864</v>
      </c>
      <c r="AR59" s="26" t="s">
        <v>864</v>
      </c>
      <c r="AS59" s="21">
        <v>2</v>
      </c>
      <c r="AT59" s="21">
        <v>1</v>
      </c>
      <c r="AU59" s="21">
        <v>1</v>
      </c>
      <c r="AV59" s="26" t="s">
        <v>864</v>
      </c>
      <c r="AW59" s="21">
        <v>0</v>
      </c>
      <c r="AX59" s="26" t="s">
        <v>864</v>
      </c>
      <c r="AY59" s="26" t="s">
        <v>864</v>
      </c>
      <c r="AZ59" s="26" t="s">
        <v>864</v>
      </c>
      <c r="BA59" s="26" t="s">
        <v>864</v>
      </c>
      <c r="BB59" s="26" t="s">
        <v>864</v>
      </c>
      <c r="BC59" s="26" t="s">
        <v>864</v>
      </c>
      <c r="BD59" s="26" t="s">
        <v>864</v>
      </c>
      <c r="BE59" s="26" t="s">
        <v>864</v>
      </c>
      <c r="BF59" s="26" t="s">
        <v>864</v>
      </c>
      <c r="BG59" s="26" t="s">
        <v>864</v>
      </c>
      <c r="BH59" s="26" t="s">
        <v>864</v>
      </c>
      <c r="BI59" s="26" t="s">
        <v>864</v>
      </c>
      <c r="BJ59" s="26"/>
      <c r="BK59" s="26"/>
      <c r="BL59" s="26" t="s">
        <v>864</v>
      </c>
      <c r="BM59" s="26" t="s">
        <v>864</v>
      </c>
      <c r="BN59" s="22"/>
      <c r="BO59" s="22">
        <v>44821</v>
      </c>
      <c r="BP59" s="21" t="s">
        <v>854</v>
      </c>
      <c r="BQ59" s="222">
        <f t="shared" si="2"/>
        <v>0</v>
      </c>
      <c r="BR59" s="223">
        <f t="shared" si="3"/>
        <v>44821</v>
      </c>
      <c r="BS59" s="224">
        <f t="shared" si="4"/>
        <v>10.428571428571429</v>
      </c>
      <c r="BT59" s="216" t="str">
        <f t="shared" si="5"/>
        <v>II TRIM</v>
      </c>
      <c r="BU59" s="214" t="str">
        <f t="shared" ca="1" si="6"/>
        <v/>
      </c>
      <c r="BV59" s="25"/>
      <c r="BW59" s="22">
        <v>44898</v>
      </c>
      <c r="BX59" s="28">
        <v>11</v>
      </c>
      <c r="BY59" s="28"/>
      <c r="BZ59" s="22"/>
      <c r="CA59" s="21"/>
      <c r="CB59" s="26" t="s">
        <v>864</v>
      </c>
      <c r="CC59" s="26" t="s">
        <v>864</v>
      </c>
      <c r="CD59" s="26" t="s">
        <v>878</v>
      </c>
      <c r="CE59" s="26" t="s">
        <v>864</v>
      </c>
      <c r="CF59" s="22" t="s">
        <v>1517</v>
      </c>
      <c r="CG59" s="21">
        <v>1.55</v>
      </c>
      <c r="CH59" s="21">
        <v>59</v>
      </c>
      <c r="CI59" s="214">
        <f t="shared" si="7"/>
        <v>24.557752341311129</v>
      </c>
      <c r="CJ59" s="225" t="e">
        <f>IF(AND(CI59&lt;10,CH59="SD"),"SIN DATO PESO PREGESTACION O I TRIM",IF(AND(OR(R59&gt;0,O59&gt;0),CI59="X"),"INGRESAR DATO DE PESO",IF(CI59="SD","INGRESAR DATO DE TALLA Y PESO",IF(AND(OR(Tabla1[[#This Row],[MOMENTO EN QUE SE REALIZA EL PESO AL INGRESO A CPN]]="PREGESTACIÓN",NZ59="Menor"),CI59&lt;18.5),"BAJO PESO",IF(AND(OR(Tabla1[[#This Row],[MOMENTO EN QUE SE REALIZA EL PESO AL INGRESO A CPN]]="PREGESTACIÓN",NZ59="Menor"),CI59&lt;25),"NORMAL",IF(AND(OR(Tabla1[[#This Row],[MOMENTO EN QUE SE REALIZA EL PESO AL INGRESO A CPN]]="PREGESTACIÓN",NZ59="Menor"),CI59&lt;30),"SOBREPESO",IF(AND(OR(Tabla1[[#This Row],[MOMENTO EN QUE SE REALIZA EL PESO AL INGRESO A CPN]]="PREGESTACIÓN",NZ59="Menor"),CI59&gt;=30,CI59&lt;50),"OBESIDAD",IF(AND(BS59&gt;0,Tabla1[[#This Row],[MOMENTO EN QUE SE REALIZA EL PESO AL INGRESO A CPN]]="GESTACIÓN"),HLOOKUP(NZ59,$OA$2:PH59,NY59),""))))))))</f>
        <v>#REF!</v>
      </c>
      <c r="CK59" s="212">
        <f t="shared" si="8"/>
        <v>45063</v>
      </c>
      <c r="CL59" s="21">
        <v>65.8</v>
      </c>
      <c r="CM59" s="214">
        <f t="shared" si="9"/>
        <v>27.38813735691987</v>
      </c>
      <c r="CN59" s="216">
        <f t="shared" si="10"/>
        <v>34</v>
      </c>
      <c r="CO59" s="216" t="e">
        <f>IF(PI59="","",IF(PI59&gt;0,HLOOKUP(PI59,$PJ$2:QQ59,NY59),""))</f>
        <v>#REF!</v>
      </c>
      <c r="CP59" s="21"/>
      <c r="CQ59" s="216" t="e">
        <f>IF(QR59="Menor","NO APLICA-MENOR 13 SEM",IF(AND(CC59="SI",CN59&gt;23),"NO APLICA- GEMELAR",IF(QR59="","",IF(QR59&gt;0,HLOOKUP(QR59,$QS$2:RU59,NY59),""))))</f>
        <v>#REF!</v>
      </c>
      <c r="CR59" s="21">
        <v>100</v>
      </c>
      <c r="CS59" s="21">
        <v>60</v>
      </c>
      <c r="CT59" s="217" t="str">
        <f>IF(R59="","",IF(AND(BS59&gt;1,BS59&lt;12,Tabla1[[#This Row],[T.A. SISTOLICA - ANTES DE SEMANA 12]]="",Tabla1[[#This Row],[T.A. DIASTOLICA - ANTES DE SEMANA 12]]=""),"REGISTRE DATO TA ANTES SEMANA 12",IF(AND(BS59&gt;11,BS59&lt;43,Tabla1[[#This Row],[T.A. SISTOLICA - ANTES DE SEMANA 12]]="",Tabla1[[#This Row],[T.A. DIASTOLICA - ANTES DE SEMANA 12]]=""),"NO APLICA REGISTRO TA-INGRESO TARDIO",IF(AND(OR(O59&gt;0,R59&gt;0),OR(CR59&gt;=140,CS59&gt;=90)),"DEFINIR ESTADIO HTA",IF(AND(OR(O59&gt;0,R59&gt;0),AND(CR59&gt;120,CR59&lt;=139)),"PRE HTA SEGUIMIENTO",IF(AND(OR(O59&gt;0,R59&gt;0),AND(CS59&gt;80,CS59&lt;=89)),"PRE HTA SEGUIMIENTO",IF(AND(OR(O59&gt;0,R59&gt;0),AND(CR59&gt;=80,CR59&lt;=120)),"APARENTEMENTE NORMAL",IF(AND(OR(O59&gt;0,R59&gt;0),AND(CS59&gt;=50,CS59&lt;=80)),"APARENTEMENTE NORMAL",IF(AND(OR(O59&gt;0,R59&gt;0),AND(CR59&gt;1,CR59&lt;=70),AND(CS59&gt;1,CS59&lt;=40)),"HIPOTENSIÓN","")))))))))</f>
        <v>APARENTEMENTE NORMAL</v>
      </c>
      <c r="CU59" s="21"/>
      <c r="CV59" s="21"/>
      <c r="CW59" s="217" t="str">
        <f ca="1">IF(R59="","",IF(AND(CN59&gt;19,CN59&lt;27,Tabla1[[#This Row],[T.A. SISTOLICA (Entre semana 20 y 26)]]="",Tabla1[[#This Row],[T.A. DIATOLICA (Entre semana 20 y 26)]]=""),"ACUDE A CONTROL SEM 20 A 26 REGISTRE TA AHORA",IF(AND(BS59&gt;1,BS59&lt;27,BU59&gt;19,Tabla1[[#This Row],[T.A. SISTOLICA (Entre semana 20 y 26)]]="",Tabla1[[#This Row],[T.A. DIATOLICA (Entre semana 20 y 26)]]=""),"COMPLETE REGISTRO TA CONTROL SEM 20 A26 ",IF(AND(BS59&gt;26,BS59&lt;43,Tabla1[[#This Row],[T.A. SISTOLICA (Entre semana 20 y 26)]]="",Tabla1[[#This Row],[T.A. DIATOLICA (Entre semana 20 y 26)]]=""),"NO APLICA REGISTRO TA-INGRESO TARDIO",IF(AND(OR(O59&gt;0,R59&gt;0),OR(CU59&gt;=140,CV59&gt;=90)),"ALTO RIESGO PREECLAMPSIA,DEFINIR ESTADIO HTA",IF(AND(OR(O59&gt;0,R59&gt;0),AND(CU59&gt;120,CU59&lt;=139)),"PRE HTA SEGUIMIENTO,RIESGO HIPERTENSION INDUCIDA POR EL EMBARAZO",IF(AND(OR(O59&gt;0,R59&gt;0),AND(CV59&gt;80,CV59&lt;=89)),"PRE HTA SEGUIMIENTO, RIESGO HIPERTENSION INDUCIDA POR EL EMBARAZO",IF(AND(OR(O59&lt;&gt;"",R59&lt;&gt;""),CS59&lt;&gt;"",CV59&lt;&gt;"",CS59&lt;=CV59),"VIGILAR CIFRAS PRESION ARTERIAL",IF(AND(OR(O59&gt;0,R59&gt;0),AND(CU59&gt;120,CU59&lt;=139)),"PRE HTA SEGUIMIENTO",IF(AND(OR(O59&gt;0,R59&gt;0),AND(CU59&gt;1,CU59&lt;=70),AND(CV59&gt;1,CV59&lt;=40)),"HIPOTENSIÓN",IF(AND(OR(O59&lt;&gt;"",R59&lt;&gt;""),CS59&lt;&gt;"",CV59&lt;&gt;"",CS59&gt;CV59),"APARENTEMENTE NORMAL",IF(AND(OR(O59&gt;0,R59&gt;0),AND(CU59&gt;=80,CU59&lt;=120)),"APARENTEMENTE NORMAL",IF(AND(OR(O59&gt;0,R59&gt;0),AND(CV59&gt;=50,CV59&lt;=80)),"APARENTEMENTE NORMAL","")))))))))))))</f>
        <v xml:space="preserve">COMPLETE REGISTRO TA CONTROL SEM 20 A26 </v>
      </c>
      <c r="CX59" s="21"/>
      <c r="CY59" s="21"/>
      <c r="CZ59" s="216" t="str">
        <f t="shared" si="195"/>
        <v>ACUDE A CONTROL SEM 30 A 34- REGISTRE AHORA</v>
      </c>
      <c r="DA59" s="21">
        <v>100</v>
      </c>
      <c r="DB59" s="21">
        <v>60</v>
      </c>
      <c r="DC59" s="217" t="str">
        <f t="shared" si="12"/>
        <v>APARENTEMENTE NORMAL</v>
      </c>
      <c r="DD59" s="22">
        <v>44894</v>
      </c>
      <c r="DE59" s="22">
        <v>44894</v>
      </c>
      <c r="DF59" s="22">
        <v>44910</v>
      </c>
      <c r="DG59" s="22">
        <v>44968</v>
      </c>
      <c r="DH59" s="22">
        <v>44995</v>
      </c>
      <c r="DI59" s="22">
        <v>45034</v>
      </c>
      <c r="DJ59" s="22">
        <v>45063</v>
      </c>
      <c r="DK59" s="22"/>
      <c r="DL59" s="22"/>
      <c r="DM59" s="22"/>
      <c r="DN59" s="22"/>
      <c r="DO59" s="22"/>
      <c r="DP59" s="22"/>
      <c r="DQ59" s="22"/>
      <c r="DR59" s="28">
        <v>1</v>
      </c>
      <c r="DS59" s="22"/>
      <c r="DT59" s="22"/>
      <c r="DU59" s="216" t="str">
        <f t="shared" ca="1" si="196"/>
        <v>SALE SIN PLAN DE PARTO</v>
      </c>
      <c r="DV59" s="226" t="str">
        <f t="shared" si="197"/>
        <v>SALIO PROGRAMA</v>
      </c>
      <c r="DW59"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59" s="216" t="str">
        <f t="shared" ca="1" si="15"/>
        <v/>
      </c>
      <c r="DY59" s="212">
        <f>IF(R59="","",IF(R59&gt;0,MAX(Tabla1[[#This Row],[FECHA C2]:[FECHA C13]],Tabla1[[#This Row],[FECHA CONSULTA PRIMERA VEZ PROGRAMA CPN ]])))</f>
        <v>45063</v>
      </c>
      <c r="DZ59" s="216">
        <f t="shared" si="16"/>
        <v>34</v>
      </c>
      <c r="EA59" s="222">
        <f>IF(R59&gt;0,SUM(COUNTA(DF59:DQ59)+COUNTA(Tabla1[[#This Row],[FECHA CONSULTA PRIMERA VEZ PROGRAMA CPN ]])),"")</f>
        <v>6</v>
      </c>
      <c r="EB59" s="222" t="str">
        <f t="shared" si="17"/>
        <v>SI</v>
      </c>
      <c r="EC59" s="214">
        <f t="shared" si="18"/>
        <v>9</v>
      </c>
      <c r="ED59" s="227">
        <f t="shared" si="19"/>
        <v>0.66666666666666663</v>
      </c>
      <c r="EE59" s="22">
        <v>44894</v>
      </c>
      <c r="EF59" s="22"/>
      <c r="EG59" s="22">
        <v>44894</v>
      </c>
      <c r="EH59" s="22"/>
      <c r="EI59" s="22">
        <v>44894</v>
      </c>
      <c r="EJ59" s="22"/>
      <c r="EK59" s="22"/>
      <c r="EL59" s="21"/>
      <c r="EM59" s="21">
        <v>13</v>
      </c>
      <c r="EN59" s="22">
        <v>44897</v>
      </c>
      <c r="EO59" s="222">
        <f t="shared" si="20"/>
        <v>10.857142857142858</v>
      </c>
      <c r="EP59" s="214" t="str">
        <f t="shared" si="21"/>
        <v>NORMAL- SUMINISTRAR SULFATO FERROSO</v>
      </c>
      <c r="EQ59" s="216" t="str">
        <f t="shared" si="22"/>
        <v>I TRIM</v>
      </c>
      <c r="ER59" s="24"/>
      <c r="ES59" s="22"/>
      <c r="ET59" s="29" t="str">
        <f t="shared" ca="1" si="198"/>
        <v>SALE SIN TAMIZAJE HEMOGLOBINA SEM 28</v>
      </c>
      <c r="EU59" s="25" t="str">
        <f t="shared" si="24"/>
        <v/>
      </c>
      <c r="EV59" s="24" t="s">
        <v>1173</v>
      </c>
      <c r="EW59" s="24">
        <v>44897</v>
      </c>
      <c r="EX59" s="22"/>
      <c r="EY59" s="29">
        <f t="shared" si="199"/>
        <v>10.857142857142858</v>
      </c>
      <c r="EZ59" s="25" t="str">
        <f t="shared" ca="1" si="200"/>
        <v/>
      </c>
      <c r="FA59" s="21">
        <v>78</v>
      </c>
      <c r="FB59" s="22">
        <v>44897</v>
      </c>
      <c r="FC59" s="29">
        <f t="shared" si="27"/>
        <v>10.857142857142858</v>
      </c>
      <c r="FD59" s="29">
        <v>73</v>
      </c>
      <c r="FE59" s="29">
        <v>81</v>
      </c>
      <c r="FF59" s="29">
        <v>83</v>
      </c>
      <c r="FG59" s="21" t="str">
        <f t="shared" ca="1" si="28"/>
        <v>NORMAL</v>
      </c>
      <c r="FH59" s="31">
        <v>45016</v>
      </c>
      <c r="FI59" s="29">
        <f t="shared" si="29"/>
        <v>27.857142857142858</v>
      </c>
      <c r="FJ59" s="22" t="s">
        <v>867</v>
      </c>
      <c r="FK59" s="22">
        <v>44897</v>
      </c>
      <c r="FL59" s="29">
        <f t="shared" ca="1" si="30"/>
        <v>10.857142857142858</v>
      </c>
      <c r="FM59" s="22"/>
      <c r="FN59" s="31"/>
      <c r="FO59" s="29" t="str">
        <f t="shared" ca="1" si="201"/>
        <v>PIERDE TOMA DE TAMIZAJE</v>
      </c>
      <c r="FP59" s="22" t="s">
        <v>867</v>
      </c>
      <c r="FQ59" s="31">
        <v>45016</v>
      </c>
      <c r="FR59" s="29">
        <f t="shared" ca="1" si="202"/>
        <v>27.857142857142858</v>
      </c>
      <c r="FS59" s="22"/>
      <c r="FT59" s="32"/>
      <c r="FU59" s="29" t="str">
        <f>IF(AND(FJ59="",FM59="",FP59="",FS59=""),"",IF(OR(OR(Tabla1[[#This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59" s="28"/>
      <c r="FW59" s="22"/>
      <c r="FX59" s="29" t="str">
        <f t="shared" si="33"/>
        <v>TOMAR EXAMEN</v>
      </c>
      <c r="FY59" s="22">
        <v>44897</v>
      </c>
      <c r="FZ59" s="22">
        <v>44897</v>
      </c>
      <c r="GA59" s="29">
        <f t="shared" ca="1" si="203"/>
        <v>10.857142857142858</v>
      </c>
      <c r="GB59" s="22"/>
      <c r="GC59" s="22"/>
      <c r="GD59" s="29" t="str">
        <f t="shared" ca="1" si="204"/>
        <v>PIERDE TOMA DE TAMIZAJE</v>
      </c>
      <c r="GE59" s="22"/>
      <c r="GF59" s="22"/>
      <c r="GG59" s="29" t="str">
        <f t="shared" ca="1" si="205"/>
        <v>PIERDE TOMA DE TAMIZAJE</v>
      </c>
      <c r="GH59" s="22"/>
      <c r="GI59" s="29"/>
      <c r="GJ59" s="22"/>
      <c r="GK59" s="22"/>
      <c r="GL59" s="22"/>
      <c r="GM59" s="22"/>
      <c r="GN59" s="28" t="s">
        <v>869</v>
      </c>
      <c r="GO59" s="22">
        <v>44897</v>
      </c>
      <c r="GP59" s="29">
        <f t="shared" si="37"/>
        <v>10.857142857142858</v>
      </c>
      <c r="GQ59" s="28" t="s">
        <v>880</v>
      </c>
      <c r="GR59" s="28" t="s">
        <v>869</v>
      </c>
      <c r="GS59" s="22" t="str">
        <f t="shared" si="206"/>
        <v>SE EXCLUYE INFECCION</v>
      </c>
      <c r="GT59" s="22">
        <v>44897</v>
      </c>
      <c r="GU59" s="29">
        <f t="shared" si="39"/>
        <v>10.857142857142858</v>
      </c>
      <c r="GV59" s="21" t="str">
        <f t="shared" si="40"/>
        <v>I TRIM</v>
      </c>
      <c r="GW59" s="28" t="s">
        <v>869</v>
      </c>
      <c r="GX59" s="30"/>
      <c r="GY59" s="21"/>
      <c r="GZ59" s="21"/>
      <c r="HA59" s="21"/>
      <c r="HB59" s="21"/>
      <c r="HC59" s="21"/>
      <c r="HD59" s="21"/>
      <c r="HE59" s="21"/>
      <c r="HF59" s="22"/>
      <c r="HG59" s="22" t="str">
        <f>IF(OR(O59&gt;0,R59&gt;0),CONCATENATE(IF(Tabla1[[#This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59" s="22" t="e">
        <f t="shared" si="41"/>
        <v>#REF!</v>
      </c>
      <c r="HI59" s="22" t="e">
        <f t="shared" ca="1" si="42"/>
        <v>#REF!</v>
      </c>
      <c r="HJ59" s="21" t="str">
        <f t="shared" ca="1" si="43"/>
        <v>***************************************</v>
      </c>
      <c r="HK59" s="21" t="str">
        <f t="shared" si="44"/>
        <v>SIN ANTECEDENTES DE RIESGO</v>
      </c>
      <c r="HL59" s="24" t="str">
        <f t="shared" si="45"/>
        <v>APARENTEMENTE NORMAL</v>
      </c>
      <c r="HM59" s="21" t="str">
        <f t="shared" ca="1" si="46"/>
        <v/>
      </c>
      <c r="HN59" s="30" t="str">
        <f t="shared" si="207"/>
        <v>SALIO PROGRAMA</v>
      </c>
      <c r="HO59" s="21"/>
      <c r="HP59" s="21" t="s">
        <v>864</v>
      </c>
      <c r="HQ59" s="21">
        <v>44894</v>
      </c>
      <c r="HR59" s="21" t="str">
        <f>IF(R59="","",IF(Tabla1[[#This Row],[ALARMA FACTORES DE RIESGO COMPLICACIONES HIPERTENSIVAS3]]="SIN ANTECEDENTES DE RIESGO","No Aplica para suministro de ASA",IF(AND(Tabla1[[#This Row],[FECHA INICIO DE SUMINISTRO DE ASA]]&gt;0,RV59&lt;12),"Inicia ASA ANTES de Sem 12",IF(AND(RV59&gt;11,RV59&lt;17,OR(HK59="RIESGO ALTO DE COMPLICACIONES HIPERTENSIVAS VER MANEJO GUIA SUMINISTRO ASA Y CALCIO",HK59="RIESGO MODERADO (2 O MAS CRITERIOS) VER MANEJO GUIA SUMINISTRO ASA Y CALCIO")),"Inicio oportuno de ASA",IF(AND(RV59&gt;12,OR(HK59="RIESGO ALTO DE COMPLICACIONES HIPERTENSIVAS VER MANEJO GUIA SUMINISTRO ASA Y CALCIO",HK59="RIESGO MODERADO (2 O MAS CRITERIOS) VER MANEJO GUIA SUMINISTRO ASA Y CALCIO")),"Inicio no oportuno mayor a 16 semanas",IF(AND(BU59&lt;12,OR(HK59="RIESGO ALTO DE COMPLICACIONES HIPERTENSIVAS VER MANEJO GUIA SUMINISTRO ASA Y CALCIO",HK59="RIESGO MODERADO (2 O MAS CRITERIOS) VER MANEJO GUIA SUMINISTRO ASA Y CALCIO")),"Pendiente Inicio de ASA a la semana 12",IF(AND(BU59&gt;11,BU59&lt;17,OR(HK59="RIESGO ALTO DE COMPLICACIONES HIPERTENSIVAS VER MANEJO GUIA SUMINISTRO ASA Y CALCIO",HK59="RIESGO MODERADO (2 O MAS CRITERIOS) VER MANEJO GUIA SUMINISTRO ASA Y CALCIO")),"Iniciar de inmediato ASA",IF(AND(BU59&gt;16,OR(HK59="RIESGO ALTO DE COMPLICACIONES HIPERTENSIVAS VER MANEJO GUIA SUMINISTRO ASA Y CALCIO",HK59="RIESGO MODERADO (2 O MAS CRITERIOS) VER MANEJO GUIA SUMINISTRO ASA Y CALCIO")),"Pierde Oportunidad, Inicio tardío de ASA","XXXXX"))))))))</f>
        <v>No Aplica para suministro de ASA</v>
      </c>
      <c r="HS59" s="22">
        <v>44894</v>
      </c>
      <c r="HT59" s="22" t="s">
        <v>870</v>
      </c>
      <c r="HU59" s="22">
        <v>44894</v>
      </c>
      <c r="HV59" s="22" t="s">
        <v>870</v>
      </c>
      <c r="HW59" s="22">
        <v>44894</v>
      </c>
      <c r="HX59" s="22" t="s">
        <v>935</v>
      </c>
      <c r="HY59" s="22">
        <v>44894</v>
      </c>
      <c r="HZ59" s="28">
        <f t="shared" si="48"/>
        <v>10.428571428571429</v>
      </c>
      <c r="IA59" s="26" t="s">
        <v>864</v>
      </c>
      <c r="IB59" s="26"/>
      <c r="IC59" s="111"/>
      <c r="ID59" s="22"/>
      <c r="IE59" s="22" t="str">
        <f t="shared" ca="1" si="49"/>
        <v>SALE SIN VACUNA</v>
      </c>
      <c r="IF59" s="22"/>
      <c r="IG59" s="22">
        <f t="shared" si="50"/>
        <v>45101</v>
      </c>
      <c r="IH59" s="29">
        <f t="shared" ca="1" si="51"/>
        <v>-131</v>
      </c>
      <c r="II59" s="22" t="str">
        <f t="shared" ca="1" si="52"/>
        <v>POSIBLEMENTE NACIO</v>
      </c>
      <c r="IJ59" s="22"/>
      <c r="IK59" s="21" t="s">
        <v>898</v>
      </c>
      <c r="IL59" s="21"/>
      <c r="IM59" s="34"/>
      <c r="IN59" s="349">
        <v>45070</v>
      </c>
      <c r="IO59" s="21" t="s">
        <v>1640</v>
      </c>
      <c r="IP59" s="29">
        <f t="shared" si="208"/>
        <v>35.571428571428569</v>
      </c>
      <c r="IQ59" s="110"/>
      <c r="IR59" s="21" t="s">
        <v>879</v>
      </c>
      <c r="IS59" s="21" t="s">
        <v>1641</v>
      </c>
      <c r="IT59" s="21" t="s">
        <v>1642</v>
      </c>
      <c r="IU59" s="21"/>
      <c r="IV59" s="21"/>
      <c r="IW59" s="21"/>
      <c r="IX59" s="21"/>
      <c r="IY59" s="21"/>
      <c r="IZ59" s="21"/>
      <c r="JA59" s="21"/>
      <c r="JB59" s="30">
        <v>1</v>
      </c>
      <c r="JC59" s="21" t="s">
        <v>1647</v>
      </c>
      <c r="JD59" s="36">
        <v>2700</v>
      </c>
      <c r="JE59" s="21" t="str">
        <f t="shared" si="209"/>
        <v>ERROR VERIFICAR DATO EDAD GESTACIONAL VS PESO</v>
      </c>
      <c r="JF59" s="30"/>
      <c r="JG59" s="21"/>
      <c r="JH59" s="21"/>
      <c r="JI59" s="21"/>
      <c r="JJ59" s="30"/>
      <c r="JK59" s="22"/>
      <c r="JL59" s="22"/>
      <c r="JM59" s="21"/>
      <c r="JN59" s="36"/>
      <c r="JO59" s="21" t="str">
        <f t="shared" si="210"/>
        <v/>
      </c>
      <c r="JP59" s="22"/>
      <c r="JQ59" s="21"/>
      <c r="JR59" s="21"/>
      <c r="JS59" s="21"/>
      <c r="JT59" s="30"/>
      <c r="JU59" s="22"/>
      <c r="JV59" s="22"/>
      <c r="JW59" s="33"/>
      <c r="JX59" s="28" t="str">
        <f t="shared" si="211"/>
        <v>INASISTENTE</v>
      </c>
      <c r="JY59" s="33"/>
      <c r="JZ59" s="28" t="str">
        <f t="shared" si="212"/>
        <v>INASISTENTE</v>
      </c>
      <c r="KA59" s="21"/>
      <c r="KB59" s="21"/>
      <c r="KC59" s="21"/>
      <c r="KD59" s="37"/>
      <c r="KE59" s="28"/>
      <c r="KF59" s="28"/>
      <c r="KG59" s="28"/>
      <c r="KH59" s="39"/>
      <c r="KI59" s="39"/>
      <c r="KJ59" s="66"/>
      <c r="KK59" s="39"/>
      <c r="KL59" s="39"/>
      <c r="KM59" s="66"/>
      <c r="KN59" s="39"/>
      <c r="KO59" s="39"/>
      <c r="KP59" s="39"/>
      <c r="KQ59" s="39"/>
      <c r="KR59" s="39"/>
      <c r="KS59" s="39"/>
      <c r="KT59" s="39"/>
      <c r="KU59" s="38"/>
      <c r="KV59" s="38"/>
      <c r="KW59" s="38"/>
      <c r="KX59" s="38"/>
      <c r="KY59" s="38"/>
      <c r="KZ59" s="38"/>
      <c r="LA59" s="38"/>
      <c r="LB59" s="38"/>
      <c r="LC59" s="38"/>
      <c r="LD59" s="38"/>
      <c r="LE59" s="38"/>
      <c r="LF59" s="38"/>
      <c r="LG59" s="38"/>
      <c r="LH59" s="38"/>
      <c r="LI59" s="38"/>
      <c r="LJ59" s="38"/>
      <c r="LK59" s="38"/>
      <c r="LL59" s="38"/>
      <c r="LM59" s="38"/>
      <c r="LN59" s="38"/>
      <c r="LO59" s="38"/>
      <c r="LP59" s="38"/>
      <c r="LQ59" s="38"/>
      <c r="LR59" s="38"/>
      <c r="LS59" s="38"/>
      <c r="LT59" s="38"/>
      <c r="LU59" s="38"/>
      <c r="LV59" s="38"/>
      <c r="LW59" s="38"/>
      <c r="LX59" s="38"/>
      <c r="LY59" s="38"/>
      <c r="LZ59" s="38"/>
      <c r="MA59" s="38"/>
      <c r="MB59" s="38"/>
      <c r="MC59" s="38"/>
      <c r="MD59" s="38"/>
      <c r="ME59" s="38"/>
      <c r="MF59" s="38"/>
      <c r="MG59" s="38"/>
      <c r="MH59" s="43">
        <f t="shared" si="213"/>
        <v>0</v>
      </c>
      <c r="MI59" s="43" t="str">
        <f t="shared" si="214"/>
        <v/>
      </c>
      <c r="MJ59" s="43" t="str">
        <f t="shared" si="215"/>
        <v/>
      </c>
      <c r="MK59" s="43">
        <f t="shared" si="216"/>
        <v>0</v>
      </c>
      <c r="ML5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59" s="43">
        <f t="shared" si="217"/>
        <v>10.428571428571429</v>
      </c>
      <c r="MN59" s="43">
        <f t="shared" si="218"/>
        <v>11</v>
      </c>
      <c r="MO59" s="43">
        <f t="shared" si="219"/>
        <v>2022</v>
      </c>
      <c r="MP59" s="43" t="str">
        <f t="shared" si="220"/>
        <v>IV TRIMESTRE AÑO</v>
      </c>
      <c r="MQ59" s="43">
        <f t="shared" si="221"/>
        <v>23.825558475689878</v>
      </c>
      <c r="MR59" s="43">
        <f t="shared" si="222"/>
        <v>0</v>
      </c>
      <c r="MS59" s="43" t="str">
        <f t="shared" si="223"/>
        <v xml:space="preserve"> DE 20 A 24 AÑOS</v>
      </c>
      <c r="MT59" s="43">
        <f t="shared" si="224"/>
        <v>0</v>
      </c>
      <c r="MU59" s="43">
        <f t="shared" si="225"/>
        <v>0</v>
      </c>
      <c r="MV59" s="43">
        <f t="shared" si="226"/>
        <v>0</v>
      </c>
      <c r="MW59" s="43">
        <f t="shared" si="227"/>
        <v>0</v>
      </c>
      <c r="MX59" s="43" t="str">
        <f t="shared" si="228"/>
        <v/>
      </c>
      <c r="MY59" s="43" t="str">
        <f t="shared" ca="1" si="229"/>
        <v/>
      </c>
      <c r="MZ59" s="43" t="str">
        <f t="shared" si="230"/>
        <v/>
      </c>
      <c r="NA59" s="43">
        <f t="shared" si="231"/>
        <v>0</v>
      </c>
      <c r="NB59" s="43" t="str">
        <f t="shared" si="232"/>
        <v/>
      </c>
      <c r="NC59" s="43" t="str">
        <f t="shared" si="233"/>
        <v/>
      </c>
      <c r="ND59" s="43">
        <f t="shared" ca="1" si="234"/>
        <v>0</v>
      </c>
      <c r="NE59" s="43">
        <f>IF(OR(O59&gt;0,R59&gt;0),SUM(COUNTIF(Tabla1[[#This Row],[AÑOS AL INICIO5 CPN]],"&gt;=40"),COUNTIF(AS59,"0"),COUNTIF(AR59,"SI"),COUNTIF(CC59,"SI"),COUNTIF(BQ59,"&gt;119"),COUNTIF(CI59,"&gt;=35")),"")</f>
        <v>0</v>
      </c>
      <c r="NF59" s="43" t="str">
        <f t="shared" si="235"/>
        <v/>
      </c>
      <c r="NG59" s="43">
        <f t="shared" si="236"/>
        <v>0</v>
      </c>
      <c r="NH59" s="43">
        <f t="shared" si="237"/>
        <v>77</v>
      </c>
      <c r="NI59"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CPN",P59="NO"),"Z",IF(AND(Tabla1[[#This Row],[CITA PROXIMO CONTROL]]="CITA MANUAL",Tabla1[[#This Row],[GESTANTES ACTUALES]]="ACTIVA INGRESO A CPN"),"W",IF(AND(Tabla1[[#This Row],[GESTANTES ACTUALES]]="SALIO PROGRAMA",IN59=""),"S",IF(AND(Tabla1[[#This Row],[CITA PROXIMO CONTROL]]&gt;0,IN59=""),(Tabla1[[#This Row],[CITA PROXIMO CONTROL]]-TODAY()),"SD"))))))))</f>
        <v>SD</v>
      </c>
      <c r="NJ59" s="43">
        <f>MONTH(Tabla1[[#This Row],[FECHA DE SALIDA  DEL PROGRAMA]])</f>
        <v>5</v>
      </c>
      <c r="NK59" s="43">
        <f>YEAR(Tabla1[[#This Row],[FECHA DE SALIDA  DEL PROGRAMA]])</f>
        <v>2023</v>
      </c>
      <c r="NL59" s="43" t="str">
        <f t="shared" si="238"/>
        <v>X</v>
      </c>
      <c r="NM59" s="43" t="str">
        <f t="shared" si="239"/>
        <v>NO</v>
      </c>
      <c r="NN59" s="43" t="str">
        <f ca="1">IF(AND(O59&gt;0,R59=""),"NO CPN",IF(AND(O59="",R59=""),"",IF(AND(R59&gt;0,Tabla1[[#This Row],[SEMANAS DE GESTACION ACTUALIZADAS]]&lt;=12),"NO APLICA",IF(AND(FH59&lt;&gt;"",FN59&lt;&gt;""),"SI","NO"))))</f>
        <v>NO</v>
      </c>
      <c r="NO59" s="43" t="str">
        <f ca="1">IF(AND(O59&gt;0,R59=""),"NO CPN",IF(AND(O59="",R59=""),"",IF(AND(R59&gt;0,Tabla1[[#This Row],[SEMANAS DE GESTACION ACTUALIZADAS]]&lt;=27),"NO APLICA",IF(AND(ES59&lt;&gt;"",FQ59&lt;&gt;"",GF59&lt;&gt;""),"SI","NO"))))</f>
        <v>NO</v>
      </c>
      <c r="NP59" s="204" t="str">
        <f t="shared" si="240"/>
        <v>I TRIM</v>
      </c>
      <c r="NQ59" s="21" t="str">
        <f t="shared" si="241"/>
        <v/>
      </c>
      <c r="NR59" s="21">
        <f t="shared" si="242"/>
        <v>3</v>
      </c>
      <c r="NS59" s="205">
        <f t="shared" ca="1" si="243"/>
        <v>2</v>
      </c>
      <c r="NT59" s="21">
        <f t="shared" ca="1" si="244"/>
        <v>1</v>
      </c>
      <c r="NU59" s="21" t="str">
        <f t="shared" ca="1" si="245"/>
        <v>INCOMPLETO</v>
      </c>
      <c r="NV59" s="21" t="str">
        <f t="shared" ca="1" si="246"/>
        <v>INCOMPLETO</v>
      </c>
      <c r="NW59" s="206" t="str">
        <f>IF(AND(O59="",R59=""),"",IF(OR(AND(Tabla1[[#This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59" s="207" t="str">
        <f t="shared" ca="1" si="247"/>
        <v>SIN VACUNAR</v>
      </c>
      <c r="NY59" s="43">
        <f>ROW(Tabla1[[#This Row],['# DE TAMIZAJES SIFILIS TOMADOS ]])</f>
        <v>59</v>
      </c>
      <c r="NZ59" s="43">
        <f t="shared" si="93"/>
        <v>10</v>
      </c>
      <c r="OA59" s="43" t="str">
        <f t="shared" si="94"/>
        <v/>
      </c>
      <c r="OB59" s="43" t="str">
        <f t="shared" si="95"/>
        <v>NORMAL</v>
      </c>
      <c r="OC59" s="43" t="str">
        <f t="shared" si="96"/>
        <v/>
      </c>
      <c r="OD59" s="43" t="str">
        <f t="shared" si="97"/>
        <v/>
      </c>
      <c r="OE59" s="43" t="str">
        <f t="shared" si="98"/>
        <v/>
      </c>
      <c r="OF59" s="43" t="str">
        <f t="shared" si="99"/>
        <v/>
      </c>
      <c r="OG59" s="43" t="str">
        <f t="shared" si="100"/>
        <v/>
      </c>
      <c r="OH59" s="43" t="str">
        <f t="shared" si="101"/>
        <v/>
      </c>
      <c r="OI59" s="43" t="str">
        <f t="shared" si="102"/>
        <v/>
      </c>
      <c r="OJ59" s="43" t="str">
        <f t="shared" si="103"/>
        <v/>
      </c>
      <c r="OK59" s="43" t="str">
        <f t="shared" si="104"/>
        <v/>
      </c>
      <c r="OL59" s="43" t="str">
        <f t="shared" si="105"/>
        <v/>
      </c>
      <c r="OM59" s="43" t="str">
        <f t="shared" si="106"/>
        <v/>
      </c>
      <c r="ON59" s="43" t="str">
        <f t="shared" si="107"/>
        <v/>
      </c>
      <c r="OO59" s="43" t="str">
        <f t="shared" si="108"/>
        <v/>
      </c>
      <c r="OP59" s="43" t="str">
        <f t="shared" si="109"/>
        <v/>
      </c>
      <c r="OQ59" s="43" t="str">
        <f t="shared" si="110"/>
        <v/>
      </c>
      <c r="OR59" s="43" t="str">
        <f t="shared" si="111"/>
        <v/>
      </c>
      <c r="OS59" s="43" t="str">
        <f t="shared" si="112"/>
        <v/>
      </c>
      <c r="OT59" s="43" t="str">
        <f t="shared" si="113"/>
        <v/>
      </c>
      <c r="OU59" s="43" t="str">
        <f t="shared" si="114"/>
        <v/>
      </c>
      <c r="OV59" s="110" t="str">
        <f t="shared" si="115"/>
        <v/>
      </c>
      <c r="OW59" s="43" t="str">
        <f t="shared" si="116"/>
        <v/>
      </c>
      <c r="OX59" s="43" t="str">
        <f t="shared" si="117"/>
        <v/>
      </c>
      <c r="OY59" s="43" t="str">
        <f t="shared" si="118"/>
        <v/>
      </c>
      <c r="OZ59" s="43" t="str">
        <f t="shared" si="119"/>
        <v/>
      </c>
      <c r="PA59" s="43" t="str">
        <f t="shared" si="120"/>
        <v/>
      </c>
      <c r="PB59" s="43" t="str">
        <f t="shared" si="121"/>
        <v/>
      </c>
      <c r="PC59" s="43" t="str">
        <f t="shared" si="122"/>
        <v/>
      </c>
      <c r="PD59" s="43" t="str">
        <f t="shared" si="123"/>
        <v/>
      </c>
      <c r="PE59" s="43" t="str">
        <f t="shared" si="124"/>
        <v/>
      </c>
      <c r="PF59" s="43" t="str">
        <f t="shared" si="125"/>
        <v/>
      </c>
      <c r="PG59" s="43" t="str">
        <f t="shared" si="126"/>
        <v/>
      </c>
      <c r="PH59" s="43" t="str">
        <f t="shared" si="127"/>
        <v/>
      </c>
      <c r="PI59" s="43">
        <f t="shared" si="128"/>
        <v>34</v>
      </c>
      <c r="PJ59" s="43" t="str">
        <f t="shared" si="129"/>
        <v/>
      </c>
      <c r="PK59" s="43" t="str">
        <f t="shared" si="130"/>
        <v/>
      </c>
      <c r="PL59" s="43" t="str">
        <f t="shared" si="131"/>
        <v/>
      </c>
      <c r="PM59" s="43" t="str">
        <f t="shared" si="132"/>
        <v/>
      </c>
      <c r="PN59" s="43" t="str">
        <f t="shared" si="133"/>
        <v/>
      </c>
      <c r="PO59" s="43" t="str">
        <f t="shared" si="134"/>
        <v/>
      </c>
      <c r="PP59" s="43" t="str">
        <f t="shared" si="135"/>
        <v/>
      </c>
      <c r="PQ59" s="43" t="str">
        <f t="shared" si="136"/>
        <v/>
      </c>
      <c r="PR59" s="43" t="str">
        <f t="shared" si="137"/>
        <v/>
      </c>
      <c r="PS59" s="43" t="str">
        <f t="shared" si="138"/>
        <v/>
      </c>
      <c r="PT59" s="43" t="str">
        <f t="shared" si="139"/>
        <v/>
      </c>
      <c r="PU59" s="43" t="str">
        <f t="shared" si="140"/>
        <v/>
      </c>
      <c r="PV59" s="43" t="str">
        <f t="shared" si="141"/>
        <v/>
      </c>
      <c r="PW59" s="43" t="str">
        <f t="shared" si="142"/>
        <v/>
      </c>
      <c r="PX59" s="43" t="str">
        <f t="shared" si="143"/>
        <v/>
      </c>
      <c r="PY59" s="43" t="str">
        <f t="shared" si="144"/>
        <v/>
      </c>
      <c r="PZ59" s="43" t="str">
        <f t="shared" si="145"/>
        <v/>
      </c>
      <c r="QA59" s="43" t="str">
        <f t="shared" si="146"/>
        <v/>
      </c>
      <c r="QB59" s="43" t="str">
        <f t="shared" si="147"/>
        <v/>
      </c>
      <c r="QC59" s="43" t="str">
        <f t="shared" si="148"/>
        <v/>
      </c>
      <c r="QD59" s="43" t="str">
        <f t="shared" si="149"/>
        <v/>
      </c>
      <c r="QE59" s="43" t="str">
        <f t="shared" si="150"/>
        <v/>
      </c>
      <c r="QF59" s="43" t="str">
        <f t="shared" si="151"/>
        <v/>
      </c>
      <c r="QG59" s="43" t="str">
        <f t="shared" si="152"/>
        <v/>
      </c>
      <c r="QH59" s="43" t="str">
        <f t="shared" si="153"/>
        <v/>
      </c>
      <c r="QI59" s="43" t="str">
        <f t="shared" si="154"/>
        <v>NORMAL</v>
      </c>
      <c r="QJ59" s="43" t="str">
        <f t="shared" si="155"/>
        <v/>
      </c>
      <c r="QK59" s="43" t="str">
        <f t="shared" si="156"/>
        <v/>
      </c>
      <c r="QL59" s="43" t="str">
        <f t="shared" si="157"/>
        <v/>
      </c>
      <c r="QM59" s="43" t="str">
        <f t="shared" si="158"/>
        <v/>
      </c>
      <c r="QN59" s="43" t="str">
        <f t="shared" si="159"/>
        <v/>
      </c>
      <c r="QO59" s="43" t="str">
        <f t="shared" si="160"/>
        <v/>
      </c>
      <c r="QP59" s="43" t="str">
        <f t="shared" si="161"/>
        <v/>
      </c>
      <c r="QQ59" s="43" t="str">
        <f t="shared" si="162"/>
        <v/>
      </c>
      <c r="QR59" s="43">
        <f t="shared" si="192"/>
        <v>34</v>
      </c>
      <c r="QS59" s="43"/>
      <c r="QT59" s="21" t="str">
        <f t="shared" si="163"/>
        <v/>
      </c>
      <c r="QU59" s="21" t="str">
        <f t="shared" si="164"/>
        <v/>
      </c>
      <c r="QV59" s="21" t="str">
        <f t="shared" si="165"/>
        <v/>
      </c>
      <c r="QW59" s="21" t="str">
        <f t="shared" si="166"/>
        <v/>
      </c>
      <c r="QX59" s="21" t="str">
        <f t="shared" si="167"/>
        <v/>
      </c>
      <c r="QY59" s="21" t="str">
        <f t="shared" si="168"/>
        <v/>
      </c>
      <c r="QZ59" s="21" t="str">
        <f t="shared" si="169"/>
        <v/>
      </c>
      <c r="RA59" s="21" t="str">
        <f t="shared" si="170"/>
        <v/>
      </c>
      <c r="RB59" s="21" t="str">
        <f t="shared" si="171"/>
        <v/>
      </c>
      <c r="RC59" s="21" t="str">
        <f t="shared" si="172"/>
        <v/>
      </c>
      <c r="RD59" s="21" t="str">
        <f t="shared" si="173"/>
        <v/>
      </c>
      <c r="RE59" s="21" t="str">
        <f t="shared" si="174"/>
        <v/>
      </c>
      <c r="RF59" s="21" t="str">
        <f t="shared" si="175"/>
        <v/>
      </c>
      <c r="RG59" s="21" t="str">
        <f t="shared" si="176"/>
        <v/>
      </c>
      <c r="RH59" s="21" t="str">
        <f t="shared" si="177"/>
        <v/>
      </c>
      <c r="RI59" s="21" t="str">
        <f t="shared" si="178"/>
        <v/>
      </c>
      <c r="RJ59" s="21" t="str">
        <f t="shared" si="179"/>
        <v/>
      </c>
      <c r="RK59" s="21" t="str">
        <f t="shared" si="180"/>
        <v/>
      </c>
      <c r="RL59" s="21" t="str">
        <f t="shared" si="181"/>
        <v/>
      </c>
      <c r="RM59" s="21" t="str">
        <f t="shared" si="182"/>
        <v/>
      </c>
      <c r="RN59" s="21" t="str">
        <f t="shared" si="183"/>
        <v/>
      </c>
      <c r="RO59" s="21" t="str">
        <f t="shared" si="184"/>
        <v/>
      </c>
      <c r="RP59" s="21" t="str">
        <f t="shared" si="185"/>
        <v/>
      </c>
      <c r="RQ59" s="21" t="str">
        <f t="shared" si="186"/>
        <v/>
      </c>
      <c r="RR59" s="21" t="str">
        <f t="shared" si="187"/>
        <v/>
      </c>
      <c r="RS59" s="21" t="str">
        <f t="shared" si="188"/>
        <v/>
      </c>
      <c r="RT59" s="21" t="str">
        <f t="shared" si="189"/>
        <v/>
      </c>
      <c r="RU59" s="21" t="str">
        <f t="shared" si="190"/>
        <v/>
      </c>
      <c r="RV59" s="21">
        <f t="shared" si="191"/>
        <v>10.428571428571429</v>
      </c>
      <c r="RW59" s="284">
        <f>IF(OR(Tabla1[[#This Row],[FUM FORMULA CONFIABLE]]="",Tabla1[[#This Row],[FUM FORMULA CONFIABLE]]="SD"),"",IF(Tabla1[[#This Row],[FUM FORMULA CONFIABLE]]="CORREGIDA",Tabla1[[#This Row],[FUM X ECO 1]],Tabla1[[#This Row],[FUM x AMENORREA]]))</f>
        <v>44821</v>
      </c>
      <c r="RX59" s="21">
        <f>IF(AND(Tabla1[[#This Row],[FUM X ECO 1]]="",Tabla1[[#This Row],[FUM x AMENORREA]]=""),"",IF(AND(Tabla1[[#This Row],[FUM X ECO 1]]="",Tabla1[[#This Row],[FUM x AMENORREA]]&lt;&gt;""),"X",SUM(Tabla1[[#This Row],[FUM X ECO 1]]-Tabla1[[#This Row],[FUM x AMENORREA]])))</f>
        <v>0</v>
      </c>
      <c r="RY59" s="21">
        <f t="shared" si="193"/>
        <v>0</v>
      </c>
    </row>
    <row r="60" spans="1:493" ht="45" customHeight="1" x14ac:dyDescent="0.25">
      <c r="A60" s="109" t="s">
        <v>1174</v>
      </c>
      <c r="B60" s="43" t="s">
        <v>1121</v>
      </c>
      <c r="C60" s="43" t="s">
        <v>845</v>
      </c>
      <c r="D60" s="124" t="s">
        <v>846</v>
      </c>
      <c r="E60" s="43" t="s">
        <v>1175</v>
      </c>
      <c r="F60" s="43" t="s">
        <v>1176</v>
      </c>
      <c r="G60" s="43" t="s">
        <v>1177</v>
      </c>
      <c r="H60" s="43" t="s">
        <v>1100</v>
      </c>
      <c r="I60" s="109" t="s">
        <v>851</v>
      </c>
      <c r="J60" s="110">
        <v>1002846348</v>
      </c>
      <c r="K60" s="43" t="s">
        <v>852</v>
      </c>
      <c r="L60" s="175" t="s">
        <v>853</v>
      </c>
      <c r="M60" s="22">
        <v>35907</v>
      </c>
      <c r="N60" s="213">
        <f t="shared" ca="1" si="0"/>
        <v>25.547945205479451</v>
      </c>
      <c r="O60" s="22">
        <v>44898</v>
      </c>
      <c r="P60" s="214" t="str">
        <f t="shared" si="194"/>
        <v>SI</v>
      </c>
      <c r="Q60" s="26" t="s">
        <v>855</v>
      </c>
      <c r="R60" s="22">
        <v>44898</v>
      </c>
      <c r="S60" s="21" t="s">
        <v>856</v>
      </c>
      <c r="T60" s="24" t="s">
        <v>690</v>
      </c>
      <c r="U60" s="21" t="s">
        <v>857</v>
      </c>
      <c r="V60" s="21" t="s">
        <v>858</v>
      </c>
      <c r="W60" s="21" t="s">
        <v>1125</v>
      </c>
      <c r="X60" s="21" t="s">
        <v>1125</v>
      </c>
      <c r="Y60" s="21" t="s">
        <v>859</v>
      </c>
      <c r="Z60" s="21">
        <v>3137529885</v>
      </c>
      <c r="AA60" s="21" t="s">
        <v>860</v>
      </c>
      <c r="AB60" s="27" t="s">
        <v>861</v>
      </c>
      <c r="AC60" s="26" t="s">
        <v>877</v>
      </c>
      <c r="AD60" s="38" t="s">
        <v>846</v>
      </c>
      <c r="AE60" s="26" t="s">
        <v>854</v>
      </c>
      <c r="AF60" s="26" t="s">
        <v>854</v>
      </c>
      <c r="AG60" s="23" t="s">
        <v>864</v>
      </c>
      <c r="AH60" s="23" t="s">
        <v>864</v>
      </c>
      <c r="AI60" s="24" t="s">
        <v>863</v>
      </c>
      <c r="AJ60" s="23" t="s">
        <v>864</v>
      </c>
      <c r="AK60" s="220" t="str">
        <f>IF(AND(AD60="",AE60="",AF60="",AG60="",AH60="",AI60="",AJ60=""),"",IF(OR(Tabla1[[#This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EVALUACIÓN",IF(AND(O60="",R60=""),"",IF(AND(OR(O60&gt;0,R60&gt;0),NG60&gt;=0,NG60&lt;2),"SIN RIESGO",IF(AND(OR(O60&gt;0,R60&gt;0),NG60&gt;=2),"CON RIESGO","ASD")))))</f>
        <v>SIN RIESGO</v>
      </c>
      <c r="AL60" s="23" t="s">
        <v>864</v>
      </c>
      <c r="AM60" s="26" t="s">
        <v>864</v>
      </c>
      <c r="AN60" s="26" t="s">
        <v>864</v>
      </c>
      <c r="AO60" s="26" t="s">
        <v>864</v>
      </c>
      <c r="AP60" s="26" t="s">
        <v>864</v>
      </c>
      <c r="AQ60" s="26" t="s">
        <v>864</v>
      </c>
      <c r="AR60" s="26" t="s">
        <v>864</v>
      </c>
      <c r="AS60" s="21">
        <v>0</v>
      </c>
      <c r="AT60" s="21">
        <v>0</v>
      </c>
      <c r="AU60" s="21">
        <v>0</v>
      </c>
      <c r="AV60" s="26" t="s">
        <v>864</v>
      </c>
      <c r="AW60" s="21">
        <v>0</v>
      </c>
      <c r="AX60" s="26" t="s">
        <v>864</v>
      </c>
      <c r="AY60" s="26" t="s">
        <v>864</v>
      </c>
      <c r="AZ60" s="26" t="s">
        <v>864</v>
      </c>
      <c r="BA60" s="26" t="s">
        <v>864</v>
      </c>
      <c r="BB60" s="26" t="s">
        <v>864</v>
      </c>
      <c r="BC60" s="26" t="s">
        <v>864</v>
      </c>
      <c r="BD60" s="26" t="s">
        <v>864</v>
      </c>
      <c r="BE60" s="26" t="s">
        <v>864</v>
      </c>
      <c r="BF60" s="26" t="s">
        <v>864</v>
      </c>
      <c r="BG60" s="26" t="s">
        <v>864</v>
      </c>
      <c r="BH60" s="26" t="s">
        <v>864</v>
      </c>
      <c r="BI60" s="26" t="s">
        <v>864</v>
      </c>
      <c r="BJ60" s="26" t="s">
        <v>864</v>
      </c>
      <c r="BK60" s="26" t="s">
        <v>864</v>
      </c>
      <c r="BL60" s="26" t="s">
        <v>864</v>
      </c>
      <c r="BM60" s="26" t="s">
        <v>864</v>
      </c>
      <c r="BN60" s="22"/>
      <c r="BO60" s="22">
        <v>44850</v>
      </c>
      <c r="BP60" s="21" t="s">
        <v>1380</v>
      </c>
      <c r="BQ60" s="222">
        <f t="shared" si="2"/>
        <v>0</v>
      </c>
      <c r="BR60" s="223">
        <f t="shared" si="3"/>
        <v>44831.5</v>
      </c>
      <c r="BS60" s="224">
        <f t="shared" si="4"/>
        <v>9.5</v>
      </c>
      <c r="BT60" s="216" t="str">
        <f t="shared" si="5"/>
        <v>I TRIM</v>
      </c>
      <c r="BU60" s="214" t="str">
        <f t="shared" ca="1" si="6"/>
        <v/>
      </c>
      <c r="BV60" s="25"/>
      <c r="BW60" s="22">
        <v>44898</v>
      </c>
      <c r="BX60" s="28">
        <v>9.5</v>
      </c>
      <c r="BY60" s="28"/>
      <c r="BZ60" s="22">
        <v>44995</v>
      </c>
      <c r="CA60" s="21">
        <v>20.5</v>
      </c>
      <c r="CB60" s="26" t="s">
        <v>864</v>
      </c>
      <c r="CC60" s="26" t="s">
        <v>864</v>
      </c>
      <c r="CD60" s="26"/>
      <c r="CE60" s="26" t="s">
        <v>864</v>
      </c>
      <c r="CF60" s="22" t="s">
        <v>1517</v>
      </c>
      <c r="CG60" s="21">
        <v>1.43</v>
      </c>
      <c r="CH60" s="21">
        <v>56</v>
      </c>
      <c r="CI60" s="214">
        <f t="shared" si="7"/>
        <v>27.385202210377038</v>
      </c>
      <c r="CJ60" s="225" t="str">
        <f>IF(AND(CI60&lt;10,CH60="SD"),"SIN DATO PESO PREGESTACION O I TRIM",IF(AND(OR(R60&gt;0,O60&gt;0),CI60="X"),"INGRESAR DATO DE PESO",IF(CI60="SD","INGRESAR DATO DE TALLA Y PESO",IF(AND(OR(Tabla1[[#This Row],[MOMENTO EN QUE SE REALIZA EL PESO AL INGRESO A CPN]]="PREGESTACIÓN",NZ60="Menor"),CI60&lt;18.5),"BAJO PESO",IF(AND(OR(Tabla1[[#This Row],[MOMENTO EN QUE SE REALIZA EL PESO AL INGRESO A CPN]]="PREGESTACIÓN",NZ60="Menor"),CI60&lt;25),"NORMAL",IF(AND(OR(Tabla1[[#This Row],[MOMENTO EN QUE SE REALIZA EL PESO AL INGRESO A CPN]]="PREGESTACIÓN",NZ60="Menor"),CI60&lt;30),"SOBREPESO",IF(AND(OR(Tabla1[[#This Row],[MOMENTO EN QUE SE REALIZA EL PESO AL INGRESO A CPN]]="PREGESTACIÓN",NZ60="Menor"),CI60&gt;=30,CI60&lt;50),"OBESIDAD",IF(AND(BS60&gt;0,Tabla1[[#This Row],[MOMENTO EN QUE SE REALIZA EL PESO AL INGRESO A CPN]]="GESTACIÓN"),HLOOKUP(NZ60,$OA$2:PH60,NY60),""))))))))</f>
        <v>SOBREPESO</v>
      </c>
      <c r="CK60" s="212">
        <f t="shared" si="8"/>
        <v>45110</v>
      </c>
      <c r="CL60" s="21">
        <v>61.1</v>
      </c>
      <c r="CM60" s="214">
        <f t="shared" si="9"/>
        <v>29.879211697393519</v>
      </c>
      <c r="CN60" s="216">
        <f t="shared" si="10"/>
        <v>39</v>
      </c>
      <c r="CO60" s="216" t="e">
        <f>IF(PI60="","",IF(PI60&gt;0,HLOOKUP(PI60,$PJ$2:QQ60,NY60),""))</f>
        <v>#REF!</v>
      </c>
      <c r="CP60" s="21">
        <v>35</v>
      </c>
      <c r="CQ60" s="216" t="e">
        <f>IF(QR60="Menor","NO APLICA-MENOR 13 SEM",IF(AND(CC60="SI",CN60&gt;23),"NO APLICA- GEMELAR",IF(QR60="","",IF(QR60&gt;0,HLOOKUP(QR60,$QS$2:RU60,NY60),""))))</f>
        <v>#REF!</v>
      </c>
      <c r="CR60" s="21">
        <v>100</v>
      </c>
      <c r="CS60" s="21">
        <v>60</v>
      </c>
      <c r="CT60" s="217" t="str">
        <f>IF(R60="","",IF(AND(BS60&gt;1,BS60&lt;12,Tabla1[[#This Row],[T.A. SISTOLICA - ANTES DE SEMANA 12]]="",Tabla1[[#This Row],[T.A. DIASTOLICA - ANTES DE SEMANA 12]]=""),"REGISTRE DATO TA ANTES SEMANA 12",IF(AND(BS60&gt;11,BS60&lt;43,Tabla1[[#This Row],[T.A. SISTOLICA - ANTES DE SEMANA 12]]="",Tabla1[[#This Row],[T.A. DIASTOLICA - ANTES DE SEMANA 12]]=""),"NO APLICA REGISTRO TA-INGRESO TARDIO",IF(AND(OR(O60&gt;0,R60&gt;0),OR(CR60&gt;=140,CS60&gt;=90)),"DEFINIR ESTADIO HTA",IF(AND(OR(O60&gt;0,R60&gt;0),AND(CR60&gt;120,CR60&lt;=139)),"PRE HTA SEGUIMIENTO",IF(AND(OR(O60&gt;0,R60&gt;0),AND(CS60&gt;80,CS60&lt;=89)),"PRE HTA SEGUIMIENTO",IF(AND(OR(O60&gt;0,R60&gt;0),AND(CR60&gt;=80,CR60&lt;=120)),"APARENTEMENTE NORMAL",IF(AND(OR(O60&gt;0,R60&gt;0),AND(CS60&gt;=50,CS60&lt;=80)),"APARENTEMENTE NORMAL",IF(AND(OR(O60&gt;0,R60&gt;0),AND(CR60&gt;1,CR60&lt;=70),AND(CS60&gt;1,CS60&lt;=40)),"HIPOTENSIÓN","")))))))))</f>
        <v>APARENTEMENTE NORMAL</v>
      </c>
      <c r="CU60" s="21"/>
      <c r="CV60" s="21"/>
      <c r="CW60" s="217" t="str">
        <f ca="1">IF(R60="","",IF(AND(CN60&gt;19,CN60&lt;27,Tabla1[[#This Row],[T.A. SISTOLICA (Entre semana 20 y 26)]]="",Tabla1[[#This Row],[T.A. DIATOLICA (Entre semana 20 y 26)]]=""),"ACUDE A CONTROL SEM 20 A 26 REGISTRE TA AHORA",IF(AND(BS60&gt;1,BS60&lt;27,BU60&gt;19,Tabla1[[#This Row],[T.A. SISTOLICA (Entre semana 20 y 26)]]="",Tabla1[[#This Row],[T.A. DIATOLICA (Entre semana 20 y 26)]]=""),"COMPLETE REGISTRO TA CONTROL SEM 20 A26 ",IF(AND(BS60&gt;26,BS60&lt;43,Tabla1[[#This Row],[T.A. SISTOLICA (Entre semana 20 y 26)]]="",Tabla1[[#This Row],[T.A. DIATOLICA (Entre semana 20 y 26)]]=""),"NO APLICA REGISTRO TA-INGRESO TARDIO",IF(AND(OR(O60&gt;0,R60&gt;0),OR(CU60&gt;=140,CV60&gt;=90)),"ALTO RIESGO PREECLAMPSIA,DEFINIR ESTADIO HTA",IF(AND(OR(O60&gt;0,R60&gt;0),AND(CU60&gt;120,CU60&lt;=139)),"PRE HTA SEGUIMIENTO,RIESGO HIPERTENSION INDUCIDA POR EL EMBARAZO",IF(AND(OR(O60&gt;0,R60&gt;0),AND(CV60&gt;80,CV60&lt;=89)),"PRE HTA SEGUIMIENTO, RIESGO HIPERTENSION INDUCIDA POR EL EMBARAZO",IF(AND(OR(O60&lt;&gt;"",R60&lt;&gt;""),CS60&lt;&gt;"",CV60&lt;&gt;"",CS60&lt;=CV60),"VIGILAR CIFRAS PRESION ARTERIAL",IF(AND(OR(O60&gt;0,R60&gt;0),AND(CU60&gt;120,CU60&lt;=139)),"PRE HTA SEGUIMIENTO",IF(AND(OR(O60&gt;0,R60&gt;0),AND(CU60&gt;1,CU60&lt;=70),AND(CV60&gt;1,CV60&lt;=40)),"HIPOTENSIÓN",IF(AND(OR(O60&lt;&gt;"",R60&lt;&gt;""),CS60&lt;&gt;"",CV60&lt;&gt;"",CS60&gt;CV60),"APARENTEMENTE NORMAL",IF(AND(OR(O60&gt;0,R60&gt;0),AND(CU60&gt;=80,CU60&lt;=120)),"APARENTEMENTE NORMAL",IF(AND(OR(O60&gt;0,R60&gt;0),AND(CV60&gt;=50,CV60&lt;=80)),"APARENTEMENTE NORMAL","")))))))))))))</f>
        <v xml:space="preserve">COMPLETE REGISTRO TA CONTROL SEM 20 A26 </v>
      </c>
      <c r="CX60" s="21"/>
      <c r="CY60" s="21"/>
      <c r="CZ60" s="216" t="str">
        <f t="shared" si="195"/>
        <v/>
      </c>
      <c r="DA60" s="21">
        <v>90</v>
      </c>
      <c r="DB60" s="21">
        <v>60</v>
      </c>
      <c r="DC60" s="217" t="str">
        <f t="shared" si="12"/>
        <v>APARENTEMENTE NORMAL</v>
      </c>
      <c r="DD60" s="22">
        <v>44898</v>
      </c>
      <c r="DE60" s="22">
        <v>44898</v>
      </c>
      <c r="DF60" s="22">
        <v>44975</v>
      </c>
      <c r="DG60" s="22">
        <v>45063</v>
      </c>
      <c r="DH60" s="22">
        <v>45110</v>
      </c>
      <c r="DI60" s="22"/>
      <c r="DJ60" s="22"/>
      <c r="DK60" s="22"/>
      <c r="DL60" s="22"/>
      <c r="DM60" s="22"/>
      <c r="DN60" s="22"/>
      <c r="DO60" s="22"/>
      <c r="DP60" s="22"/>
      <c r="DQ60" s="22"/>
      <c r="DR60" s="28">
        <v>1</v>
      </c>
      <c r="DS60" s="22"/>
      <c r="DT60" s="22"/>
      <c r="DU60" s="216" t="str">
        <f t="shared" ca="1" si="196"/>
        <v>SALE SIN PLAN DE PARTO</v>
      </c>
      <c r="DV60" s="226" t="str">
        <f t="shared" si="197"/>
        <v>SALIO PROGRAMA</v>
      </c>
      <c r="DW60"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60" s="216" t="str">
        <f t="shared" ca="1" si="15"/>
        <v/>
      </c>
      <c r="DY60" s="212">
        <f>IF(R60="","",IF(R60&gt;0,MAX(Tabla1[[#This Row],[FECHA C2]:[FECHA C13]],Tabla1[[#This Row],[FECHA CONSULTA PRIMERA VEZ PROGRAMA CPN ]])))</f>
        <v>45110</v>
      </c>
      <c r="DZ60" s="216">
        <f t="shared" si="16"/>
        <v>39</v>
      </c>
      <c r="EA60" s="222">
        <f>IF(R60&gt;0,SUM(COUNTA(DF60:DQ60)+COUNTA(Tabla1[[#This Row],[FECHA CONSULTA PRIMERA VEZ PROGRAMA CPN ]])),"")</f>
        <v>4</v>
      </c>
      <c r="EB60" s="222" t="str">
        <f t="shared" si="17"/>
        <v>SI</v>
      </c>
      <c r="EC60" s="214">
        <f t="shared" si="18"/>
        <v>9</v>
      </c>
      <c r="ED60" s="227">
        <f t="shared" si="19"/>
        <v>0.44444444444444442</v>
      </c>
      <c r="EE60" s="22">
        <v>44898</v>
      </c>
      <c r="EF60" s="22">
        <v>44898</v>
      </c>
      <c r="EG60" s="22">
        <v>44898</v>
      </c>
      <c r="EH60" s="22"/>
      <c r="EI60" s="22">
        <v>44898</v>
      </c>
      <c r="EJ60" s="22"/>
      <c r="EK60" s="22"/>
      <c r="EL60" s="21"/>
      <c r="EM60" s="21">
        <v>12.5</v>
      </c>
      <c r="EN60" s="22">
        <v>44989</v>
      </c>
      <c r="EO60" s="222">
        <f t="shared" si="20"/>
        <v>22.5</v>
      </c>
      <c r="EP60" s="214" t="str">
        <f t="shared" si="21"/>
        <v>NORMAL- SUMINISTRAR SULFATO FERROSO</v>
      </c>
      <c r="EQ60" s="216" t="str">
        <f t="shared" si="22"/>
        <v>II TRIM</v>
      </c>
      <c r="ER60" s="24">
        <v>13.4</v>
      </c>
      <c r="ES60" s="22">
        <v>45115</v>
      </c>
      <c r="ET60" s="29" t="str">
        <f t="shared" si="198"/>
        <v>CORREGIR FECHA RESULTADO</v>
      </c>
      <c r="EU60" s="25" t="str">
        <f t="shared" si="24"/>
        <v>NORMAL- SUMINISTRAR SULFATO FERROSO</v>
      </c>
      <c r="EV60" s="24" t="s">
        <v>1510</v>
      </c>
      <c r="EW60" s="290"/>
      <c r="EX60" s="32">
        <v>44989</v>
      </c>
      <c r="EY60" s="29">
        <f>IF(AND(BT60="ERROR FUM O INGRESO",EX60&gt;0),"ERROR FUM O INGRESO",IF(AND(EX60="",R60="",O60=""),"",IF(OR(AND(EX60&lt;&gt;"",EX60&lt;RW60),AND(EX60&lt;&gt;"",SUM((EX60-RW60)/7)&gt;40)),"CORREGIR FECHA RESULTADO",IF(AND(EX60="",OR(O60&gt;0,R60&gt;0)),"TOMAR EXAMEN",IF(EX60&gt;0,SUM(EX60-RW60)/7,"")))))</f>
        <v>22.5</v>
      </c>
      <c r="EZ60" s="25" t="str">
        <f>IF(EV60="RH POSITIVO","SIN RIESGO DE ISOINMUNIZACIÓN",IF(AND(EV60="RH NEGATIVO CON COOMBS NEGATIVO",#REF!="",BU60&lt;=24),"COOMBS C/MES Y APLICAR RHESUMAN SEM 28",IF(AND(EV60="RH NEGATIVO CON COOMBS NEGATIVO",#REF!="",AND(BU60&gt;24,BU60&lt;27)),"FALTAN DE 4 A 2 SEMANAS PARA APLICAR RHESUMAN A SEM 28",IF(AND(EV60="RH NEGATIVO CON COOMBS NEGATIVO",#REF!="",AND(BU60&gt;26.99,BU60&lt;27.99)),"FALTAN 1 SEMANAS PARA APLICAR RHESUMAN A SEM 28",IF(AND(EV60="RH NEGATIVO CON COOMBS NEGATIVO",#REF!="",AND(BU60&gt;27.99,BU60&lt;29)),"SEMANA 28 APLICAR DE INMEDIATO RHESUMAN",IF(AND(EV60="RH NEGATIVO CON COOMBS NEGATIVO",#REF!="",AND(BU60&gt;28.99,BU60&lt;42)),"DEBE APLICAR RHESUMAN, ES NO OPORTUNO &gt; 28 SEMANAS",IF(AND(EV60="RH NEGATIVO CON COOMBS NEGATIVO",#REF!&gt;0),SUM(#REF!-RW60)/7,IF(EV60="RH NEGATIVO SIN COOMBS","TOMAR COOMBS INMEDIATO PARA DEFINIR MANEJO",IF(EV60="RH NEGATIVO CON COOMBS POSITIVO","TOMAR COOMBS CUANTITATIVO Y REMISIÓN","")))))))))</f>
        <v>SIN RIESGO DE ISOINMUNIZACIÓN</v>
      </c>
      <c r="FA60" s="21"/>
      <c r="FB60" s="22"/>
      <c r="FC60" s="29" t="str">
        <f t="shared" si="27"/>
        <v>TOMAR EXAMEN</v>
      </c>
      <c r="FD60" s="29"/>
      <c r="FE60" s="29"/>
      <c r="FF60" s="29"/>
      <c r="FG60" s="21" t="str">
        <f t="shared" ca="1" si="28"/>
        <v/>
      </c>
      <c r="FH60" s="31"/>
      <c r="FI60" s="29" t="str">
        <f t="shared" si="29"/>
        <v>TOMAR EXAMEN</v>
      </c>
      <c r="FJ60" s="22"/>
      <c r="FK60" s="22"/>
      <c r="FL60" s="29" t="str">
        <f t="shared" ca="1" si="30"/>
        <v>PIERDE TOMA DE TAMIZAJE</v>
      </c>
      <c r="FM60" s="22"/>
      <c r="FN60" s="32"/>
      <c r="FO60" s="29" t="str">
        <f t="shared" ca="1" si="201"/>
        <v>PIERDE TOMA DE TAMIZAJE</v>
      </c>
      <c r="FP60" s="22" t="s">
        <v>867</v>
      </c>
      <c r="FQ60" s="32">
        <v>45115</v>
      </c>
      <c r="FR60" s="29">
        <f t="shared" ca="1" si="202"/>
        <v>40.5</v>
      </c>
      <c r="FS60" s="22"/>
      <c r="FT60" s="32"/>
      <c r="FU60" s="29" t="str">
        <f>IF(AND(FJ60="",FM60="",FP60="",FS60=""),"",IF(OR(OR(Tabla1[[#This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60" s="28"/>
      <c r="FW60" s="22"/>
      <c r="FX60" s="29" t="str">
        <f t="shared" si="33"/>
        <v>TOMAR EXAMEN</v>
      </c>
      <c r="FY60" s="22"/>
      <c r="FZ60" s="22"/>
      <c r="GA60" s="29"/>
      <c r="GB60" s="22" t="s">
        <v>868</v>
      </c>
      <c r="GC60" s="22">
        <v>44989</v>
      </c>
      <c r="GD60" s="29">
        <f t="shared" ca="1" si="204"/>
        <v>22.5</v>
      </c>
      <c r="GE60" s="22" t="s">
        <v>868</v>
      </c>
      <c r="GF60" s="22">
        <v>45115</v>
      </c>
      <c r="GG60" s="29">
        <f t="shared" ca="1" si="205"/>
        <v>40.5</v>
      </c>
      <c r="GH60" s="22"/>
      <c r="GI60" s="29"/>
      <c r="GJ60" s="22"/>
      <c r="GK60" s="22"/>
      <c r="GL60" s="22"/>
      <c r="GM60" s="22"/>
      <c r="GN60" s="28"/>
      <c r="GO60" s="22"/>
      <c r="GP60" s="29" t="str">
        <f t="shared" si="37"/>
        <v>TOMAR EXAMEN</v>
      </c>
      <c r="GQ60" s="28"/>
      <c r="GR60" s="28"/>
      <c r="GS60" s="22" t="str">
        <f t="shared" si="206"/>
        <v/>
      </c>
      <c r="GT60" s="22"/>
      <c r="GU60" s="29" t="str">
        <f t="shared" si="39"/>
        <v>TOMAR EXAMEN</v>
      </c>
      <c r="GV60" s="21" t="str">
        <f t="shared" si="40"/>
        <v>POR DEFINIR</v>
      </c>
      <c r="GW60" s="28"/>
      <c r="GX60" s="30"/>
      <c r="GY60" s="21"/>
      <c r="GZ60" s="21"/>
      <c r="HA60" s="21"/>
      <c r="HB60" s="21"/>
      <c r="HC60" s="21"/>
      <c r="HD60" s="21"/>
      <c r="HE60" s="21"/>
      <c r="HF60" s="22"/>
      <c r="HG60" s="22" t="str">
        <f>IF(OR(O60&gt;0,R60&gt;0),CONCATENATE(IF(Tabla1[[#This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60" s="22" t="e">
        <f t="shared" si="41"/>
        <v>#REF!</v>
      </c>
      <c r="HI60" s="22" t="e">
        <f t="shared" ca="1" si="42"/>
        <v>#REF!</v>
      </c>
      <c r="HJ60" s="21" t="str">
        <f t="shared" ca="1" si="43"/>
        <v>**********************MULTIPARIDAD*****************</v>
      </c>
      <c r="HK60" s="21" t="str">
        <f t="shared" si="44"/>
        <v>SIN ANTECEDENTES DE RIESGO</v>
      </c>
      <c r="HL60" s="24" t="str">
        <f t="shared" si="45"/>
        <v>APARENTEMENTE NORMAL</v>
      </c>
      <c r="HM60" s="21" t="str">
        <f t="shared" ca="1" si="46"/>
        <v/>
      </c>
      <c r="HN60" s="30" t="str">
        <f t="shared" si="207"/>
        <v>SALIO PROGRAMA</v>
      </c>
      <c r="HO60" s="21"/>
      <c r="HP60" s="21" t="s">
        <v>864</v>
      </c>
      <c r="HQ60" s="21">
        <v>44898</v>
      </c>
      <c r="HR60" s="21" t="str">
        <f>IF(R60="","",IF(Tabla1[[#This Row],[ALARMA FACTORES DE RIESGO COMPLICACIONES HIPERTENSIVAS3]]="SIN ANTECEDENTES DE RIESGO","No Aplica para suministro de ASA",IF(AND(Tabla1[[#This Row],[FECHA INICIO DE SUMINISTRO DE ASA]]&gt;0,RV60&lt;12),"Inicia ASA ANTES de Sem 12",IF(AND(RV60&gt;11,RV60&lt;17,OR(HK60="RIESGO ALTO DE COMPLICACIONES HIPERTENSIVAS VER MANEJO GUIA SUMINISTRO ASA Y CALCIO",HK60="RIESGO MODERADO (2 O MAS CRITERIOS) VER MANEJO GUIA SUMINISTRO ASA Y CALCIO")),"Inicio oportuno de ASA",IF(AND(RV60&gt;12,OR(HK60="RIESGO ALTO DE COMPLICACIONES HIPERTENSIVAS VER MANEJO GUIA SUMINISTRO ASA Y CALCIO",HK60="RIESGO MODERADO (2 O MAS CRITERIOS) VER MANEJO GUIA SUMINISTRO ASA Y CALCIO")),"Inicio no oportuno mayor a 16 semanas",IF(AND(BU60&lt;12,OR(HK60="RIESGO ALTO DE COMPLICACIONES HIPERTENSIVAS VER MANEJO GUIA SUMINISTRO ASA Y CALCIO",HK60="RIESGO MODERADO (2 O MAS CRITERIOS) VER MANEJO GUIA SUMINISTRO ASA Y CALCIO")),"Pendiente Inicio de ASA a la semana 12",IF(AND(BU60&gt;11,BU60&lt;17,OR(HK60="RIESGO ALTO DE COMPLICACIONES HIPERTENSIVAS VER MANEJO GUIA SUMINISTRO ASA Y CALCIO",HK60="RIESGO MODERADO (2 O MAS CRITERIOS) VER MANEJO GUIA SUMINISTRO ASA Y CALCIO")),"Iniciar de inmediato ASA",IF(AND(BU60&gt;16,OR(HK60="RIESGO ALTO DE COMPLICACIONES HIPERTENSIVAS VER MANEJO GUIA SUMINISTRO ASA Y CALCIO",HK60="RIESGO MODERADO (2 O MAS CRITERIOS) VER MANEJO GUIA SUMINISTRO ASA Y CALCIO")),"Pierde Oportunidad, Inicio tardío de ASA","XXXXX"))))))))</f>
        <v>No Aplica para suministro de ASA</v>
      </c>
      <c r="HS60" s="22">
        <v>44898</v>
      </c>
      <c r="HT60" s="22" t="s">
        <v>935</v>
      </c>
      <c r="HU60" s="22">
        <v>44898</v>
      </c>
      <c r="HV60" s="22" t="s">
        <v>870</v>
      </c>
      <c r="HW60" s="22">
        <v>44898</v>
      </c>
      <c r="HX60" s="22" t="s">
        <v>935</v>
      </c>
      <c r="HY60" s="22">
        <v>44898</v>
      </c>
      <c r="HZ60" s="28">
        <f t="shared" si="48"/>
        <v>9.5</v>
      </c>
      <c r="IA60" s="26" t="s">
        <v>864</v>
      </c>
      <c r="IB60" s="26"/>
      <c r="IC60" s="111"/>
      <c r="ID60" s="22">
        <v>44975</v>
      </c>
      <c r="IE60" s="22" t="str">
        <f t="shared" ca="1" si="49"/>
        <v>VACUNA APLICADA ENTRE SEMANA 20 Y SEMANA 26</v>
      </c>
      <c r="IF60" s="22"/>
      <c r="IG60" s="22">
        <f t="shared" si="50"/>
        <v>45111.5</v>
      </c>
      <c r="IH60" s="29">
        <f t="shared" ca="1" si="51"/>
        <v>-120.5</v>
      </c>
      <c r="II60" s="22" t="str">
        <f t="shared" ca="1" si="52"/>
        <v>POSIBLEMENTE NACIO</v>
      </c>
      <c r="IJ60" s="22"/>
      <c r="IK60" s="21" t="s">
        <v>1652</v>
      </c>
      <c r="IL60" s="21"/>
      <c r="IM60" s="34"/>
      <c r="IN60" s="349">
        <v>45131</v>
      </c>
      <c r="IO60" s="21" t="s">
        <v>1186</v>
      </c>
      <c r="IP60" s="29">
        <f t="shared" si="208"/>
        <v>42.785714285714285</v>
      </c>
      <c r="IQ60" s="110" t="s">
        <v>1654</v>
      </c>
      <c r="IR60" s="21" t="s">
        <v>1651</v>
      </c>
      <c r="IS60" s="21" t="s">
        <v>1646</v>
      </c>
      <c r="IT60" s="21" t="s">
        <v>1642</v>
      </c>
      <c r="IU60" s="21"/>
      <c r="IV60" s="21"/>
      <c r="IW60" s="21"/>
      <c r="IX60" s="21"/>
      <c r="IY60" s="21"/>
      <c r="IZ60" s="21"/>
      <c r="JA60" s="21"/>
      <c r="JB60" s="30">
        <v>1</v>
      </c>
      <c r="JC60" s="21" t="s">
        <v>1647</v>
      </c>
      <c r="JD60" s="36">
        <v>3350</v>
      </c>
      <c r="JE60" s="21" t="str">
        <f t="shared" si="209"/>
        <v>PESO ADECUADO EDAD GESTACIONAL</v>
      </c>
      <c r="JF60" s="30"/>
      <c r="JG60" s="21"/>
      <c r="JH60" s="21"/>
      <c r="JI60" s="21" t="s">
        <v>854</v>
      </c>
      <c r="JJ60" s="30" t="s">
        <v>866</v>
      </c>
      <c r="JK60" s="22"/>
      <c r="JL60" s="22"/>
      <c r="JM60" s="21"/>
      <c r="JN60" s="36"/>
      <c r="JO60" s="21" t="str">
        <f t="shared" si="210"/>
        <v/>
      </c>
      <c r="JP60" s="22"/>
      <c r="JQ60" s="21"/>
      <c r="JR60" s="21"/>
      <c r="JS60" s="21"/>
      <c r="JT60" s="30"/>
      <c r="JU60" s="22"/>
      <c r="JV60" s="22"/>
      <c r="JW60" s="33"/>
      <c r="JX60" s="28" t="str">
        <f t="shared" si="211"/>
        <v>INASISTENTE</v>
      </c>
      <c r="JY60" s="33"/>
      <c r="JZ60" s="28" t="str">
        <f t="shared" si="212"/>
        <v>INASISTENTE</v>
      </c>
      <c r="KA60" s="21"/>
      <c r="KB60" s="21"/>
      <c r="KC60" s="21"/>
      <c r="KD60" s="37"/>
      <c r="KE60" s="28"/>
      <c r="KF60" s="28"/>
      <c r="KG60" s="28"/>
      <c r="KH60" s="39"/>
      <c r="KI60" s="39"/>
      <c r="KJ60" s="66"/>
      <c r="KK60" s="39"/>
      <c r="KL60" s="39"/>
      <c r="KM60" s="66"/>
      <c r="KN60" s="39"/>
      <c r="KO60" s="39"/>
      <c r="KP60" s="39"/>
      <c r="KQ60" s="39"/>
      <c r="KR60" s="39"/>
      <c r="KS60" s="39"/>
      <c r="KT60" s="39"/>
      <c r="KU60" s="38"/>
      <c r="KV60" s="38"/>
      <c r="KW60" s="38"/>
      <c r="KX60" s="38"/>
      <c r="KY60" s="38"/>
      <c r="KZ60" s="38"/>
      <c r="LA60" s="38"/>
      <c r="LB60" s="38"/>
      <c r="LC60" s="38"/>
      <c r="LD60" s="38"/>
      <c r="LE60" s="38"/>
      <c r="LF60" s="38"/>
      <c r="LG60" s="38"/>
      <c r="LH60" s="38"/>
      <c r="LI60" s="38"/>
      <c r="LJ60" s="38"/>
      <c r="LK60" s="38"/>
      <c r="LL60" s="38"/>
      <c r="LM60" s="38"/>
      <c r="LN60" s="38"/>
      <c r="LO60" s="38"/>
      <c r="LP60" s="38"/>
      <c r="LQ60" s="38"/>
      <c r="LR60" s="38"/>
      <c r="LS60" s="38"/>
      <c r="LT60" s="38"/>
      <c r="LU60" s="38"/>
      <c r="LV60" s="38"/>
      <c r="LW60" s="38"/>
      <c r="LX60" s="38"/>
      <c r="LY60" s="38"/>
      <c r="LZ60" s="38"/>
      <c r="MA60" s="38"/>
      <c r="MB60" s="38"/>
      <c r="MC60" s="38"/>
      <c r="MD60" s="38"/>
      <c r="ME60" s="38"/>
      <c r="MF60" s="38"/>
      <c r="MG60" s="38"/>
      <c r="MH60" s="43">
        <f t="shared" si="213"/>
        <v>0</v>
      </c>
      <c r="MI60" s="43" t="str">
        <f t="shared" si="214"/>
        <v/>
      </c>
      <c r="MJ60" s="43" t="str">
        <f t="shared" si="215"/>
        <v/>
      </c>
      <c r="MK60" s="43">
        <f t="shared" si="216"/>
        <v>0</v>
      </c>
      <c r="ML6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60" s="43">
        <f t="shared" si="217"/>
        <v>9.5</v>
      </c>
      <c r="MN60" s="43">
        <f t="shared" si="218"/>
        <v>12</v>
      </c>
      <c r="MO60" s="43">
        <f t="shared" si="219"/>
        <v>2022</v>
      </c>
      <c r="MP60" s="43" t="str">
        <f t="shared" si="220"/>
        <v>IV TRIMESTRE AÑO</v>
      </c>
      <c r="MQ60" s="43">
        <f t="shared" si="221"/>
        <v>24.258103372755144</v>
      </c>
      <c r="MR60" s="43">
        <f t="shared" si="222"/>
        <v>0</v>
      </c>
      <c r="MS60" s="43" t="str">
        <f t="shared" si="223"/>
        <v xml:space="preserve"> DE 20 A 24 AÑOS</v>
      </c>
      <c r="MT60" s="43">
        <f t="shared" si="224"/>
        <v>0</v>
      </c>
      <c r="MU60" s="43">
        <f t="shared" si="225"/>
        <v>1</v>
      </c>
      <c r="MV60" s="43">
        <f t="shared" si="226"/>
        <v>0</v>
      </c>
      <c r="MW60" s="43">
        <f t="shared" si="227"/>
        <v>0</v>
      </c>
      <c r="MX60" s="43" t="str">
        <f t="shared" si="228"/>
        <v/>
      </c>
      <c r="MY60" s="43" t="str">
        <f t="shared" ca="1" si="229"/>
        <v/>
      </c>
      <c r="MZ60" s="43" t="str">
        <f t="shared" si="230"/>
        <v/>
      </c>
      <c r="NA60" s="43" t="str">
        <f t="shared" si="231"/>
        <v/>
      </c>
      <c r="NB60" s="43" t="str">
        <f t="shared" si="232"/>
        <v/>
      </c>
      <c r="NC60" s="43" t="str">
        <f t="shared" si="233"/>
        <v/>
      </c>
      <c r="ND60" s="43">
        <f t="shared" ca="1" si="234"/>
        <v>1</v>
      </c>
      <c r="NE60" s="43">
        <f>IF(OR(O60&gt;0,R60&gt;0),SUM(COUNTIF(Tabla1[[#This Row],[AÑOS AL INICIO5 CPN]],"&gt;=40"),COUNTIF(AS60,"0"),COUNTIF(AR60,"SI"),COUNTIF(CC60,"SI"),COUNTIF(BQ60,"&gt;119"),COUNTIF(CI60,"&gt;=35")),"")</f>
        <v>1</v>
      </c>
      <c r="NF60" s="43">
        <f t="shared" si="235"/>
        <v>20.5</v>
      </c>
      <c r="NG60" s="43">
        <f t="shared" si="236"/>
        <v>0</v>
      </c>
      <c r="NH60" s="43">
        <f t="shared" si="237"/>
        <v>66.5</v>
      </c>
      <c r="NI60"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CPN",P60="NO"),"Z",IF(AND(Tabla1[[#This Row],[CITA PROXIMO CONTROL]]="CITA MANUAL",Tabla1[[#This Row],[GESTANTES ACTUALES]]="ACTIVA INGRESO A CPN"),"W",IF(AND(Tabla1[[#This Row],[GESTANTES ACTUALES]]="SALIO PROGRAMA",IN60=""),"S",IF(AND(Tabla1[[#This Row],[CITA PROXIMO CONTROL]]&gt;0,IN60=""),(Tabla1[[#This Row],[CITA PROXIMO CONTROL]]-TODAY()),"SD"))))))))</f>
        <v>SD</v>
      </c>
      <c r="NJ60" s="43">
        <f>MONTH(Tabla1[[#This Row],[FECHA DE SALIDA  DEL PROGRAMA]])</f>
        <v>7</v>
      </c>
      <c r="NK60" s="43">
        <f>YEAR(Tabla1[[#This Row],[FECHA DE SALIDA  DEL PROGRAMA]])</f>
        <v>2023</v>
      </c>
      <c r="NL60" s="43" t="str">
        <f t="shared" si="238"/>
        <v>X</v>
      </c>
      <c r="NM60" s="43" t="e">
        <f>IF(AND(O60&gt;0,R60=""),"NO CPN",IF(AND(O60="",R60=""),"",IF(AND(EN60&lt;&gt;"",#REF!&lt;&gt;"",FB60&lt;&gt;"",FK60&lt;&gt;"",FW60&lt;&gt;"",FZ60&lt;&gt;"",GO60&lt;&gt;"",GQ60&lt;&gt;"",GR60&lt;&gt;""),"SI","NO")))</f>
        <v>#REF!</v>
      </c>
      <c r="NN60" s="43" t="str">
        <f ca="1">IF(AND(O60&gt;0,R60=""),"NO CPN",IF(AND(O60="",R60=""),"",IF(AND(R60&gt;0,Tabla1[[#This Row],[SEMANAS DE GESTACION ACTUALIZADAS]]&lt;=12),"NO APLICA",IF(AND(FH60&lt;&gt;"",FN60&lt;&gt;""),"SI","NO"))))</f>
        <v>NO</v>
      </c>
      <c r="NO60" s="43" t="str">
        <f ca="1">IF(AND(O60&gt;0,R60=""),"NO CPN",IF(AND(O60="",R60=""),"",IF(AND(R60&gt;0,Tabla1[[#This Row],[SEMANAS DE GESTACION ACTUALIZADAS]]&lt;=27),"NO APLICA",IF(AND(ES60&lt;&gt;"",FQ60&lt;&gt;"",GF60&lt;&gt;""),"SI","NO"))))</f>
        <v>SI</v>
      </c>
      <c r="NP60" s="204" t="str">
        <f t="shared" si="240"/>
        <v>I TRIM</v>
      </c>
      <c r="NQ60" s="21" t="str">
        <f t="shared" si="241"/>
        <v/>
      </c>
      <c r="NR60" s="21">
        <f t="shared" si="242"/>
        <v>3</v>
      </c>
      <c r="NS60" s="205">
        <f t="shared" ca="1" si="243"/>
        <v>1</v>
      </c>
      <c r="NT60" s="21">
        <f t="shared" ca="1" si="244"/>
        <v>2</v>
      </c>
      <c r="NU60" s="21" t="str">
        <f t="shared" ca="1" si="245"/>
        <v>INCOMPLETO</v>
      </c>
      <c r="NV60" s="21" t="str">
        <f t="shared" ca="1" si="246"/>
        <v>INCOMPLETO</v>
      </c>
      <c r="NW60" s="206" t="str">
        <f>IF(AND(O60="",R60=""),"",IF(OR(AND(Tabla1[[#This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60" s="207" t="str">
        <f t="shared" ca="1" si="247"/>
        <v>VACUNADA</v>
      </c>
      <c r="NY60" s="43">
        <f>ROW(Tabla1[[#This Row],['# DE TAMIZAJES SIFILIS TOMADOS ]])</f>
        <v>60</v>
      </c>
      <c r="NZ60" s="43" t="str">
        <f t="shared" si="93"/>
        <v>Menor</v>
      </c>
      <c r="OA60" s="43" t="str">
        <f t="shared" si="94"/>
        <v>SOBREPESO</v>
      </c>
      <c r="OB60" s="43" t="str">
        <f t="shared" si="95"/>
        <v/>
      </c>
      <c r="OC60" s="43" t="str">
        <f t="shared" si="96"/>
        <v/>
      </c>
      <c r="OD60" s="43" t="str">
        <f t="shared" si="97"/>
        <v/>
      </c>
      <c r="OE60" s="43" t="str">
        <f t="shared" si="98"/>
        <v/>
      </c>
      <c r="OF60" s="43" t="str">
        <f t="shared" si="99"/>
        <v/>
      </c>
      <c r="OG60" s="43" t="str">
        <f t="shared" si="100"/>
        <v/>
      </c>
      <c r="OH60" s="43" t="str">
        <f t="shared" si="101"/>
        <v/>
      </c>
      <c r="OI60" s="43" t="str">
        <f t="shared" si="102"/>
        <v/>
      </c>
      <c r="OJ60" s="43" t="str">
        <f t="shared" si="103"/>
        <v/>
      </c>
      <c r="OK60" s="43" t="str">
        <f t="shared" si="104"/>
        <v/>
      </c>
      <c r="OL60" s="43" t="str">
        <f t="shared" si="105"/>
        <v/>
      </c>
      <c r="OM60" s="43" t="str">
        <f t="shared" si="106"/>
        <v/>
      </c>
      <c r="ON60" s="43" t="str">
        <f t="shared" si="107"/>
        <v/>
      </c>
      <c r="OO60" s="43" t="str">
        <f t="shared" si="108"/>
        <v/>
      </c>
      <c r="OP60" s="43" t="str">
        <f t="shared" si="109"/>
        <v/>
      </c>
      <c r="OQ60" s="43" t="str">
        <f t="shared" si="110"/>
        <v/>
      </c>
      <c r="OR60" s="43" t="str">
        <f t="shared" si="111"/>
        <v/>
      </c>
      <c r="OS60" s="43" t="str">
        <f t="shared" si="112"/>
        <v/>
      </c>
      <c r="OT60" s="43" t="str">
        <f t="shared" si="113"/>
        <v/>
      </c>
      <c r="OU60" s="43" t="str">
        <f t="shared" si="114"/>
        <v/>
      </c>
      <c r="OV60" s="110" t="str">
        <f t="shared" si="115"/>
        <v/>
      </c>
      <c r="OW60" s="43" t="str">
        <f t="shared" si="116"/>
        <v/>
      </c>
      <c r="OX60" s="43" t="str">
        <f t="shared" si="117"/>
        <v/>
      </c>
      <c r="OY60" s="43" t="str">
        <f t="shared" si="118"/>
        <v/>
      </c>
      <c r="OZ60" s="43" t="str">
        <f t="shared" si="119"/>
        <v/>
      </c>
      <c r="PA60" s="43" t="str">
        <f t="shared" si="120"/>
        <v/>
      </c>
      <c r="PB60" s="43" t="str">
        <f t="shared" si="121"/>
        <v/>
      </c>
      <c r="PC60" s="43" t="str">
        <f t="shared" si="122"/>
        <v/>
      </c>
      <c r="PD60" s="43" t="str">
        <f t="shared" si="123"/>
        <v/>
      </c>
      <c r="PE60" s="43" t="str">
        <f t="shared" si="124"/>
        <v/>
      </c>
      <c r="PF60" s="43" t="str">
        <f t="shared" si="125"/>
        <v/>
      </c>
      <c r="PG60" s="43" t="str">
        <f t="shared" si="126"/>
        <v/>
      </c>
      <c r="PH60" s="43" t="str">
        <f t="shared" si="127"/>
        <v/>
      </c>
      <c r="PI60" s="43">
        <f t="shared" si="128"/>
        <v>39</v>
      </c>
      <c r="PJ60" s="43" t="str">
        <f t="shared" si="129"/>
        <v/>
      </c>
      <c r="PK60" s="43" t="str">
        <f t="shared" si="130"/>
        <v/>
      </c>
      <c r="PL60" s="43" t="str">
        <f t="shared" si="131"/>
        <v/>
      </c>
      <c r="PM60" s="43" t="str">
        <f t="shared" si="132"/>
        <v/>
      </c>
      <c r="PN60" s="43" t="str">
        <f t="shared" si="133"/>
        <v/>
      </c>
      <c r="PO60" s="43" t="str">
        <f t="shared" si="134"/>
        <v/>
      </c>
      <c r="PP60" s="43" t="str">
        <f t="shared" si="135"/>
        <v/>
      </c>
      <c r="PQ60" s="43" t="str">
        <f t="shared" si="136"/>
        <v/>
      </c>
      <c r="PR60" s="43" t="str">
        <f t="shared" si="137"/>
        <v/>
      </c>
      <c r="PS60" s="43" t="str">
        <f t="shared" si="138"/>
        <v/>
      </c>
      <c r="PT60" s="43" t="str">
        <f t="shared" si="139"/>
        <v/>
      </c>
      <c r="PU60" s="43" t="str">
        <f t="shared" si="140"/>
        <v/>
      </c>
      <c r="PV60" s="43" t="str">
        <f t="shared" si="141"/>
        <v/>
      </c>
      <c r="PW60" s="43" t="str">
        <f t="shared" si="142"/>
        <v/>
      </c>
      <c r="PX60" s="43" t="str">
        <f t="shared" si="143"/>
        <v/>
      </c>
      <c r="PY60" s="43" t="str">
        <f t="shared" si="144"/>
        <v/>
      </c>
      <c r="PZ60" s="43" t="str">
        <f t="shared" si="145"/>
        <v/>
      </c>
      <c r="QA60" s="43" t="str">
        <f t="shared" si="146"/>
        <v/>
      </c>
      <c r="QB60" s="43" t="str">
        <f t="shared" si="147"/>
        <v/>
      </c>
      <c r="QC60" s="43" t="str">
        <f t="shared" si="148"/>
        <v/>
      </c>
      <c r="QD60" s="43" t="str">
        <f t="shared" si="149"/>
        <v/>
      </c>
      <c r="QE60" s="43" t="str">
        <f t="shared" si="150"/>
        <v/>
      </c>
      <c r="QF60" s="43" t="str">
        <f t="shared" si="151"/>
        <v/>
      </c>
      <c r="QG60" s="43" t="str">
        <f t="shared" si="152"/>
        <v/>
      </c>
      <c r="QH60" s="43" t="str">
        <f t="shared" si="153"/>
        <v/>
      </c>
      <c r="QI60" s="43" t="str">
        <f t="shared" si="154"/>
        <v/>
      </c>
      <c r="QJ60" s="43" t="str">
        <f t="shared" si="155"/>
        <v/>
      </c>
      <c r="QK60" s="43" t="str">
        <f t="shared" si="156"/>
        <v/>
      </c>
      <c r="QL60" s="43" t="str">
        <f t="shared" si="157"/>
        <v/>
      </c>
      <c r="QM60" s="43" t="str">
        <f t="shared" si="158"/>
        <v/>
      </c>
      <c r="QN60" s="43" t="str">
        <f t="shared" si="159"/>
        <v>SOBREPESO</v>
      </c>
      <c r="QO60" s="43" t="str">
        <f t="shared" si="160"/>
        <v/>
      </c>
      <c r="QP60" s="43" t="str">
        <f t="shared" si="161"/>
        <v/>
      </c>
      <c r="QQ60" s="43" t="str">
        <f t="shared" si="162"/>
        <v/>
      </c>
      <c r="QR60" s="43">
        <f t="shared" si="192"/>
        <v>39</v>
      </c>
      <c r="QS60" s="43"/>
      <c r="QT60" s="21" t="str">
        <f t="shared" si="163"/>
        <v/>
      </c>
      <c r="QU60" s="21" t="str">
        <f t="shared" si="164"/>
        <v/>
      </c>
      <c r="QV60" s="21" t="str">
        <f t="shared" si="165"/>
        <v/>
      </c>
      <c r="QW60" s="21" t="str">
        <f t="shared" si="166"/>
        <v/>
      </c>
      <c r="QX60" s="21" t="str">
        <f t="shared" si="167"/>
        <v/>
      </c>
      <c r="QY60" s="21" t="str">
        <f t="shared" si="168"/>
        <v/>
      </c>
      <c r="QZ60" s="21" t="str">
        <f t="shared" si="169"/>
        <v/>
      </c>
      <c r="RA60" s="21" t="str">
        <f t="shared" si="170"/>
        <v/>
      </c>
      <c r="RB60" s="21" t="str">
        <f t="shared" si="171"/>
        <v/>
      </c>
      <c r="RC60" s="21" t="str">
        <f t="shared" si="172"/>
        <v/>
      </c>
      <c r="RD60" s="21" t="str">
        <f t="shared" si="173"/>
        <v/>
      </c>
      <c r="RE60" s="21" t="str">
        <f t="shared" si="174"/>
        <v/>
      </c>
      <c r="RF60" s="21" t="str">
        <f t="shared" si="175"/>
        <v/>
      </c>
      <c r="RG60" s="21" t="str">
        <f t="shared" si="176"/>
        <v/>
      </c>
      <c r="RH60" s="21" t="str">
        <f t="shared" si="177"/>
        <v/>
      </c>
      <c r="RI60" s="21" t="str">
        <f t="shared" si="178"/>
        <v/>
      </c>
      <c r="RJ60" s="21" t="str">
        <f t="shared" si="179"/>
        <v/>
      </c>
      <c r="RK60" s="21" t="str">
        <f t="shared" si="180"/>
        <v/>
      </c>
      <c r="RL60" s="21" t="str">
        <f t="shared" si="181"/>
        <v/>
      </c>
      <c r="RM60" s="21" t="str">
        <f t="shared" si="182"/>
        <v/>
      </c>
      <c r="RN60" s="21" t="str">
        <f t="shared" si="183"/>
        <v/>
      </c>
      <c r="RO60" s="21" t="str">
        <f t="shared" si="184"/>
        <v/>
      </c>
      <c r="RP60" s="21" t="str">
        <f t="shared" si="185"/>
        <v/>
      </c>
      <c r="RQ60" s="21" t="str">
        <f t="shared" si="186"/>
        <v/>
      </c>
      <c r="RR60" s="21" t="str">
        <f t="shared" si="187"/>
        <v/>
      </c>
      <c r="RS60" s="21" t="str">
        <f t="shared" si="188"/>
        <v/>
      </c>
      <c r="RT60" s="21" t="str">
        <f t="shared" si="189"/>
        <v>ALTO PARA EDAD GESTACIONAL</v>
      </c>
      <c r="RU60" s="21" t="str">
        <f t="shared" si="190"/>
        <v/>
      </c>
      <c r="RV60" s="21">
        <f t="shared" si="191"/>
        <v>9.5</v>
      </c>
      <c r="RW60" s="284">
        <f>IF(OR(Tabla1[[#This Row],[FUM FORMULA CONFIABLE]]="",Tabla1[[#This Row],[FUM FORMULA CONFIABLE]]="SD"),"",IF(Tabla1[[#This Row],[FUM FORMULA CONFIABLE]]="CORREGIDA",Tabla1[[#This Row],[FUM X ECO 1]],Tabla1[[#This Row],[FUM x AMENORREA]]))</f>
        <v>44831.5</v>
      </c>
      <c r="RX60" s="21">
        <f>IF(AND(Tabla1[[#This Row],[FUM X ECO 1]]="",Tabla1[[#This Row],[FUM x AMENORREA]]=""),"",IF(AND(Tabla1[[#This Row],[FUM X ECO 1]]="",Tabla1[[#This Row],[FUM x AMENORREA]]&lt;&gt;""),"X",SUM(Tabla1[[#This Row],[FUM X ECO 1]]-Tabla1[[#This Row],[FUM x AMENORREA]])))</f>
        <v>-18.5</v>
      </c>
      <c r="RY60" s="21">
        <f t="shared" si="193"/>
        <v>1</v>
      </c>
    </row>
    <row r="61" spans="1:493" s="338" customFormat="1" ht="45" customHeight="1" x14ac:dyDescent="0.25">
      <c r="A61" s="300"/>
      <c r="B61" s="301" t="s">
        <v>942</v>
      </c>
      <c r="C61" s="301" t="s">
        <v>845</v>
      </c>
      <c r="D61" s="302" t="s">
        <v>846</v>
      </c>
      <c r="E61" s="301" t="s">
        <v>1126</v>
      </c>
      <c r="F61" s="301" t="s">
        <v>874</v>
      </c>
      <c r="G61" s="301" t="s">
        <v>1178</v>
      </c>
      <c r="H61" s="301"/>
      <c r="I61" s="300" t="s">
        <v>851</v>
      </c>
      <c r="J61" s="303">
        <v>1002848392</v>
      </c>
      <c r="K61" s="301" t="s">
        <v>852</v>
      </c>
      <c r="L61" s="304" t="s">
        <v>853</v>
      </c>
      <c r="M61" s="305">
        <v>36104</v>
      </c>
      <c r="N61" s="306">
        <f t="shared" ca="1" si="0"/>
        <v>25.008219178082193</v>
      </c>
      <c r="O61" s="305">
        <v>44898</v>
      </c>
      <c r="P61" s="307" t="str">
        <f t="shared" si="194"/>
        <v>SI</v>
      </c>
      <c r="Q61" s="308" t="s">
        <v>855</v>
      </c>
      <c r="R61" s="305">
        <v>44898</v>
      </c>
      <c r="S61" s="309" t="s">
        <v>856</v>
      </c>
      <c r="T61" s="310" t="s">
        <v>690</v>
      </c>
      <c r="U61" s="309" t="s">
        <v>857</v>
      </c>
      <c r="V61" s="309" t="s">
        <v>858</v>
      </c>
      <c r="W61" s="309" t="s">
        <v>859</v>
      </c>
      <c r="X61" s="309" t="s">
        <v>859</v>
      </c>
      <c r="Y61" s="309" t="s">
        <v>859</v>
      </c>
      <c r="Z61" s="309" t="s">
        <v>894</v>
      </c>
      <c r="AA61" s="309" t="s">
        <v>860</v>
      </c>
      <c r="AB61" s="311" t="s">
        <v>861</v>
      </c>
      <c r="AC61" s="308" t="s">
        <v>897</v>
      </c>
      <c r="AD61" s="312" t="s">
        <v>846</v>
      </c>
      <c r="AE61" s="308" t="s">
        <v>854</v>
      </c>
      <c r="AF61" s="308" t="s">
        <v>854</v>
      </c>
      <c r="AG61" s="313" t="s">
        <v>864</v>
      </c>
      <c r="AH61" s="313" t="s">
        <v>864</v>
      </c>
      <c r="AI61" s="310" t="s">
        <v>863</v>
      </c>
      <c r="AJ61" s="313" t="s">
        <v>864</v>
      </c>
      <c r="AK61" s="314" t="str">
        <f>IF(AND(AD61="",AE61="",AF61="",AG61="",AH61="",AI61="",AJ61=""),"",IF(OR(Tabla1[[#This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EVALUACIÓN",IF(AND(O61="",R61=""),"",IF(AND(OR(O61&gt;0,R61&gt;0),NG61&gt;=0,NG61&lt;2),"SIN RIESGO",IF(AND(OR(O61&gt;0,R61&gt;0),NG61&gt;=2),"CON RIESGO","ASD")))))</f>
        <v>SIN RIESGO</v>
      </c>
      <c r="AL61" s="313" t="s">
        <v>864</v>
      </c>
      <c r="AM61" s="308" t="s">
        <v>864</v>
      </c>
      <c r="AN61" s="308" t="s">
        <v>864</v>
      </c>
      <c r="AO61" s="308" t="s">
        <v>864</v>
      </c>
      <c r="AP61" s="308" t="s">
        <v>864</v>
      </c>
      <c r="AQ61" s="308" t="s">
        <v>864</v>
      </c>
      <c r="AR61" s="308" t="s">
        <v>864</v>
      </c>
      <c r="AS61" s="309">
        <v>1</v>
      </c>
      <c r="AT61" s="309">
        <v>1</v>
      </c>
      <c r="AU61" s="309">
        <v>0</v>
      </c>
      <c r="AV61" s="308" t="s">
        <v>864</v>
      </c>
      <c r="AW61" s="309">
        <v>0</v>
      </c>
      <c r="AX61" s="308" t="s">
        <v>864</v>
      </c>
      <c r="AY61" s="308" t="s">
        <v>864</v>
      </c>
      <c r="AZ61" s="308" t="s">
        <v>864</v>
      </c>
      <c r="BA61" s="308" t="s">
        <v>864</v>
      </c>
      <c r="BB61" s="308" t="s">
        <v>864</v>
      </c>
      <c r="BC61" s="308" t="s">
        <v>864</v>
      </c>
      <c r="BD61" s="308" t="s">
        <v>864</v>
      </c>
      <c r="BE61" s="308" t="s">
        <v>864</v>
      </c>
      <c r="BF61" s="308" t="s">
        <v>864</v>
      </c>
      <c r="BG61" s="308" t="s">
        <v>864</v>
      </c>
      <c r="BH61" s="308" t="s">
        <v>864</v>
      </c>
      <c r="BI61" s="308" t="s">
        <v>864</v>
      </c>
      <c r="BJ61" s="308"/>
      <c r="BK61" s="308"/>
      <c r="BL61" s="308" t="s">
        <v>864</v>
      </c>
      <c r="BM61" s="308" t="s">
        <v>864</v>
      </c>
      <c r="BN61" s="305"/>
      <c r="BO61" s="305">
        <v>44766</v>
      </c>
      <c r="BP61" s="309" t="s">
        <v>864</v>
      </c>
      <c r="BQ61" s="315">
        <f t="shared" si="2"/>
        <v>0</v>
      </c>
      <c r="BR61" s="316" t="str">
        <f t="shared" si="3"/>
        <v/>
      </c>
      <c r="BS61" s="317">
        <f t="shared" si="4"/>
        <v>18.857142857142858</v>
      </c>
      <c r="BT61" s="318" t="str">
        <f t="shared" si="5"/>
        <v>DEFINIR CON ECO</v>
      </c>
      <c r="BU61" s="307" t="str">
        <f t="shared" ca="1" si="6"/>
        <v/>
      </c>
      <c r="BV61" s="319"/>
      <c r="BW61" s="305"/>
      <c r="BX61" s="320"/>
      <c r="BY61" s="320"/>
      <c r="BZ61" s="305"/>
      <c r="CA61" s="309"/>
      <c r="CB61" s="308"/>
      <c r="CC61" s="308"/>
      <c r="CD61" s="308"/>
      <c r="CE61" s="308"/>
      <c r="CF61" s="22" t="s">
        <v>1517</v>
      </c>
      <c r="CG61" s="309">
        <v>1.56</v>
      </c>
      <c r="CH61" s="309">
        <v>55.5</v>
      </c>
      <c r="CI61" s="307">
        <f t="shared" si="7"/>
        <v>22.805719921104533</v>
      </c>
      <c r="CJ61" s="321" t="e">
        <f>IF(AND(CI61&lt;10,CH61="SD"),"SIN DATO PESO PREGESTACION O I TRIM",IF(AND(OR(R61&gt;0,O61&gt;0),CI61="X"),"INGRESAR DATO DE PESO",IF(CI61="SD","INGRESAR DATO DE TALLA Y PESO",IF(AND(OR(Tabla1[[#This Row],[MOMENTO EN QUE SE REALIZA EL PESO AL INGRESO A CPN]]="PREGESTACIÓN",NZ61="Menor"),CI61&lt;18.5),"BAJO PESO",IF(AND(OR(Tabla1[[#This Row],[MOMENTO EN QUE SE REALIZA EL PESO AL INGRESO A CPN]]="PREGESTACIÓN",NZ61="Menor"),CI61&lt;25),"NORMAL",IF(AND(OR(Tabla1[[#This Row],[MOMENTO EN QUE SE REALIZA EL PESO AL INGRESO A CPN]]="PREGESTACIÓN",NZ61="Menor"),CI61&lt;30),"SOBREPESO",IF(AND(OR(Tabla1[[#This Row],[MOMENTO EN QUE SE REALIZA EL PESO AL INGRESO A CPN]]="PREGESTACIÓN",NZ61="Menor"),CI61&gt;=30,CI61&lt;50),"OBESIDAD",IF(AND(BS61&gt;0,Tabla1[[#This Row],[MOMENTO EN QUE SE REALIZA EL PESO AL INGRESO A CPN]]="GESTACIÓN"),HLOOKUP(NZ61,$OA$2:PH61,NY61),""))))))))</f>
        <v>#REF!</v>
      </c>
      <c r="CK61" s="322">
        <f t="shared" si="8"/>
        <v>44960</v>
      </c>
      <c r="CL61" s="309"/>
      <c r="CM61" s="307">
        <f t="shared" si="9"/>
        <v>0</v>
      </c>
      <c r="CN61" s="318">
        <f t="shared" si="10"/>
        <v>27</v>
      </c>
      <c r="CO61" s="318" t="e">
        <f>IF(PI61="","",IF(PI61&gt;0,HLOOKUP(PI61,$PJ$2:QQ61,NY61),""))</f>
        <v>#REF!</v>
      </c>
      <c r="CP61" s="309"/>
      <c r="CQ61" s="318" t="e">
        <f>IF(QR61="Menor","NO APLICA-MENOR 13 SEM",IF(AND(CC61="SI",CN61&gt;23),"NO APLICA- GEMELAR",IF(QR61="","",IF(QR61&gt;0,HLOOKUP(QR61,$QS$2:RU61,NY61),""))))</f>
        <v>#REF!</v>
      </c>
      <c r="CR61" s="309">
        <v>100</v>
      </c>
      <c r="CS61" s="309">
        <v>60</v>
      </c>
      <c r="CT61" s="323" t="str">
        <f>IF(R61="","",IF(AND(BS61&gt;1,BS61&lt;12,Tabla1[[#This Row],[T.A. SISTOLICA - ANTES DE SEMANA 12]]="",Tabla1[[#This Row],[T.A. DIASTOLICA - ANTES DE SEMANA 12]]=""),"REGISTRE DATO TA ANTES SEMANA 12",IF(AND(BS61&gt;11,BS61&lt;43,Tabla1[[#This Row],[T.A. SISTOLICA - ANTES DE SEMANA 12]]="",Tabla1[[#This Row],[T.A. DIASTOLICA - ANTES DE SEMANA 12]]=""),"NO APLICA REGISTRO TA-INGRESO TARDIO",IF(AND(OR(O61&gt;0,R61&gt;0),OR(CR61&gt;=140,CS61&gt;=90)),"DEFINIR ESTADIO HTA",IF(AND(OR(O61&gt;0,R61&gt;0),AND(CR61&gt;120,CR61&lt;=139)),"PRE HTA SEGUIMIENTO",IF(AND(OR(O61&gt;0,R61&gt;0),AND(CS61&gt;80,CS61&lt;=89)),"PRE HTA SEGUIMIENTO",IF(AND(OR(O61&gt;0,R61&gt;0),AND(CR61&gt;=80,CR61&lt;=120)),"APARENTEMENTE NORMAL",IF(AND(OR(O61&gt;0,R61&gt;0),AND(CS61&gt;=50,CS61&lt;=80)),"APARENTEMENTE NORMAL",IF(AND(OR(O61&gt;0,R61&gt;0),AND(CR61&gt;1,CR61&lt;=70),AND(CS61&gt;1,CS61&lt;=40)),"HIPOTENSIÓN","")))))))))</f>
        <v>APARENTEMENTE NORMAL</v>
      </c>
      <c r="CU61" s="309"/>
      <c r="CV61" s="309"/>
      <c r="CW61" s="323" t="str">
        <f ca="1">IF(R61="","",IF(AND(CN61&gt;19,CN61&lt;27,Tabla1[[#This Row],[T.A. SISTOLICA (Entre semana 20 y 26)]]="",Tabla1[[#This Row],[T.A. DIATOLICA (Entre semana 20 y 26)]]=""),"ACUDE A CONTROL SEM 20 A 26 REGISTRE TA AHORA",IF(AND(BS61&gt;1,BS61&lt;27,BU61&gt;19,Tabla1[[#This Row],[T.A. SISTOLICA (Entre semana 20 y 26)]]="",Tabla1[[#This Row],[T.A. DIATOLICA (Entre semana 20 y 26)]]=""),"COMPLETE REGISTRO TA CONTROL SEM 20 A26 ",IF(AND(BS61&gt;26,BS61&lt;43,Tabla1[[#This Row],[T.A. SISTOLICA (Entre semana 20 y 26)]]="",Tabla1[[#This Row],[T.A. DIATOLICA (Entre semana 20 y 26)]]=""),"NO APLICA REGISTRO TA-INGRESO TARDIO",IF(AND(OR(O61&gt;0,R61&gt;0),OR(CU61&gt;=140,CV61&gt;=90)),"ALTO RIESGO PREECLAMPSIA,DEFINIR ESTADIO HTA",IF(AND(OR(O61&gt;0,R61&gt;0),AND(CU61&gt;120,CU61&lt;=139)),"PRE HTA SEGUIMIENTO,RIESGO HIPERTENSION INDUCIDA POR EL EMBARAZO",IF(AND(OR(O61&gt;0,R61&gt;0),AND(CV61&gt;80,CV61&lt;=89)),"PRE HTA SEGUIMIENTO, RIESGO HIPERTENSION INDUCIDA POR EL EMBARAZO",IF(AND(OR(O61&lt;&gt;"",R61&lt;&gt;""),CS61&lt;&gt;"",CV61&lt;&gt;"",CS61&lt;=CV61),"VIGILAR CIFRAS PRESION ARTERIAL",IF(AND(OR(O61&gt;0,R61&gt;0),AND(CU61&gt;120,CU61&lt;=139)),"PRE HTA SEGUIMIENTO",IF(AND(OR(O61&gt;0,R61&gt;0),AND(CU61&gt;1,CU61&lt;=70),AND(CV61&gt;1,CV61&lt;=40)),"HIPOTENSIÓN",IF(AND(OR(O61&lt;&gt;"",R61&lt;&gt;""),CS61&lt;&gt;"",CV61&lt;&gt;"",CS61&gt;CV61),"APARENTEMENTE NORMAL",IF(AND(OR(O61&gt;0,R61&gt;0),AND(CU61&gt;=80,CU61&lt;=120)),"APARENTEMENTE NORMAL",IF(AND(OR(O61&gt;0,R61&gt;0),AND(CV61&gt;=50,CV61&lt;=80)),"APARENTEMENTE NORMAL","")))))))))))))</f>
        <v xml:space="preserve">COMPLETE REGISTRO TA CONTROL SEM 20 A26 </v>
      </c>
      <c r="CX61" s="309"/>
      <c r="CY61" s="309"/>
      <c r="CZ61" s="318" t="str">
        <f t="shared" si="195"/>
        <v/>
      </c>
      <c r="DA61" s="309"/>
      <c r="DB61" s="309"/>
      <c r="DC61" s="323" t="str">
        <f t="shared" si="12"/>
        <v>REGISTRE DATO PRESIÓN ARTERIAL MENSUAL</v>
      </c>
      <c r="DD61" s="305">
        <v>44898</v>
      </c>
      <c r="DE61" s="305">
        <v>44898</v>
      </c>
      <c r="DF61" s="305">
        <v>44960</v>
      </c>
      <c r="DG61" s="305"/>
      <c r="DH61" s="305"/>
      <c r="DI61" s="305"/>
      <c r="DJ61" s="305"/>
      <c r="DK61" s="305"/>
      <c r="DL61" s="305"/>
      <c r="DM61" s="305"/>
      <c r="DN61" s="305"/>
      <c r="DO61" s="305"/>
      <c r="DP61" s="305"/>
      <c r="DQ61" s="305"/>
      <c r="DR61" s="320">
        <v>1</v>
      </c>
      <c r="DS61" s="305"/>
      <c r="DT61" s="305"/>
      <c r="DU61" s="318" t="str">
        <f t="shared" ca="1" si="196"/>
        <v>CONCERTAR PLAN DE PARTO INMEDIATO</v>
      </c>
      <c r="DV61" s="324" t="str">
        <f t="shared" si="197"/>
        <v>ACTIVA INGRESO A CPN</v>
      </c>
      <c r="DW61" s="32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61" s="318" t="e">
        <f t="shared" ca="1" si="15"/>
        <v>#REF!</v>
      </c>
      <c r="DY61" s="322">
        <f>IF(R61="","",IF(R61&gt;0,MAX(Tabla1[[#This Row],[FECHA C2]:[FECHA C13]],Tabla1[[#This Row],[FECHA CONSULTA PRIMERA VEZ PROGRAMA CPN ]])))</f>
        <v>44960</v>
      </c>
      <c r="DZ61" s="318">
        <f t="shared" si="16"/>
        <v>27</v>
      </c>
      <c r="EA61" s="315">
        <f>IF(R61&gt;0,SUM(COUNTA(DF61:DQ61)+COUNTA(Tabla1[[#This Row],[FECHA CONSULTA PRIMERA VEZ PROGRAMA CPN ]])),"")</f>
        <v>2</v>
      </c>
      <c r="EB61" s="315" t="str">
        <f t="shared" si="17"/>
        <v>NO</v>
      </c>
      <c r="EC61" s="307">
        <f t="shared" si="18"/>
        <v>7</v>
      </c>
      <c r="ED61" s="325">
        <f t="shared" si="19"/>
        <v>0.2857142857142857</v>
      </c>
      <c r="EE61" s="305">
        <v>44898</v>
      </c>
      <c r="EF61" s="305">
        <v>44898</v>
      </c>
      <c r="EG61" s="305">
        <v>44898</v>
      </c>
      <c r="EH61" s="305"/>
      <c r="EI61" s="305">
        <v>44899</v>
      </c>
      <c r="EJ61" s="305"/>
      <c r="EK61" s="305"/>
      <c r="EL61" s="309"/>
      <c r="EM61" s="309">
        <v>12.9</v>
      </c>
      <c r="EN61" s="305">
        <v>44898</v>
      </c>
      <c r="EO61" s="315">
        <f t="shared" si="20"/>
        <v>18.857142857142858</v>
      </c>
      <c r="EP61" s="307" t="str">
        <f t="shared" si="21"/>
        <v>NORMAL- SUMINISTRAR SULFATO FERROSO</v>
      </c>
      <c r="EQ61" s="318" t="str">
        <f t="shared" si="22"/>
        <v>II TRIM</v>
      </c>
      <c r="ER61" s="310"/>
      <c r="ES61" s="305"/>
      <c r="ET61" s="326" t="str">
        <f t="shared" ca="1" si="198"/>
        <v>TOMA DE HEMOGLOBINA TARDÍA</v>
      </c>
      <c r="EU61" s="319" t="str">
        <f t="shared" si="24"/>
        <v/>
      </c>
      <c r="EV61" s="310" t="s">
        <v>866</v>
      </c>
      <c r="EW61" s="310">
        <v>44898</v>
      </c>
      <c r="EX61" s="305"/>
      <c r="EY61" s="326">
        <f t="shared" ref="EY61:EY94" si="248">IF(AND(BT61="ERROR FUM O INGRESO",EW61&gt;0),"ERROR FUM O INGRESO",IF(AND(EW61="",R61="",O61=""),"",IF(OR(AND(EW61&lt;&gt;"",EW61&lt;RW61),AND(EW61&lt;&gt;"",SUM((EW61-RW61)/7)&gt;40)),"CORREGIR FECHA RESULTADO",IF(AND(EW61="",OR(O61&gt;0,R61&gt;0)),"TOMAR EXAMEN",IF(EW61&gt;0,SUM(EW61-RW61)/7,"")))))</f>
        <v>18.857142857142858</v>
      </c>
      <c r="EZ61" s="319" t="str">
        <f t="shared" ref="EZ61:EZ94" ca="1" si="249">IF(EV61="RH POSITIVO","SIN RIESGO DE ISOINMUNIZACIÓN",IF(AND(EV61="RH NEGATIVO CON COOMBS NEGATIVO",EX61="",BU61&lt;=24),"COOMBS C/MES Y APLICAR RHESUMAN SEM 28",IF(AND(EV61="RH NEGATIVO CON COOMBS NEGATIVO",EX61="",AND(BU61&gt;24,BU61&lt;27)),"FALTAN DE 4 A 2 SEMANAS PARA APLICAR RHESUMAN A SEM 28",IF(AND(EV61="RH NEGATIVO CON COOMBS NEGATIVO",EX61="",AND(BU61&gt;26.99,BU61&lt;27.99)),"FALTAN 1 SEMANAS PARA APLICAR RHESUMAN A SEM 28",IF(AND(EV61="RH NEGATIVO CON COOMBS NEGATIVO",EX61="",AND(BU61&gt;27.99,BU61&lt;29)),"SEMANA 28 APLICAR DE INMEDIATO RHESUMAN",IF(AND(EV61="RH NEGATIVO CON COOMBS NEGATIVO",EX61="",AND(BU61&gt;28.99,BU61&lt;42)),"DEBE APLICAR RHESUMAN, ES NO OPORTUNO &gt; 28 SEMANAS",IF(AND(EV61="RH NEGATIVO CON COOMBS NEGATIVO",EX61&gt;0),SUM(EX61-RW61)/7,IF(EV61="RH NEGATIVO SIN COOMBS","TOMAR COOMBS INMEDIATO PARA DEFINIR MANEJO",IF(EV61="RH NEGATIVO CON COOMBS POSITIVO","TOMAR COOMBS CUANTITATIVO Y REMISIÓN","")))))))))</f>
        <v/>
      </c>
      <c r="FA61" s="309">
        <v>76</v>
      </c>
      <c r="FB61" s="305">
        <v>44898</v>
      </c>
      <c r="FC61" s="326">
        <f t="shared" si="27"/>
        <v>18.857142857142858</v>
      </c>
      <c r="FD61" s="326"/>
      <c r="FE61" s="326"/>
      <c r="FF61" s="326"/>
      <c r="FG61" s="309" t="str">
        <f t="shared" ca="1" si="28"/>
        <v/>
      </c>
      <c r="FH61" s="327"/>
      <c r="FI61" s="326" t="str">
        <f t="shared" si="29"/>
        <v>TOMAR EXAMEN</v>
      </c>
      <c r="FJ61" s="305"/>
      <c r="FK61" s="305"/>
      <c r="FL61" s="326" t="str">
        <f t="shared" ca="1" si="30"/>
        <v>NO APLICA-INGRESO TARDIO</v>
      </c>
      <c r="FM61" s="305" t="s">
        <v>867</v>
      </c>
      <c r="FN61" s="328">
        <v>44898</v>
      </c>
      <c r="FO61" s="326">
        <f t="shared" ca="1" si="201"/>
        <v>18.857142857142858</v>
      </c>
      <c r="FP61" s="305"/>
      <c r="FQ61" s="328"/>
      <c r="FR61" s="326" t="str">
        <f t="shared" ca="1" si="202"/>
        <v>TOMA INMEDIATA DE TAMIZAJE</v>
      </c>
      <c r="FS61" s="305"/>
      <c r="FT61" s="328"/>
      <c r="FU61" s="326" t="str">
        <f>IF(AND(FJ61="",FM61="",FP61="",FS61=""),"",IF(OR(OR(Tabla1[[#This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61" s="320"/>
      <c r="FW61" s="305"/>
      <c r="FX61" s="326" t="str">
        <f t="shared" si="33"/>
        <v>TOMAR EXAMEN</v>
      </c>
      <c r="FY61" s="305">
        <v>44898</v>
      </c>
      <c r="FZ61" s="305">
        <v>44898</v>
      </c>
      <c r="GA61" s="326" t="str">
        <f t="shared" ref="GA61:GA92" si="250">IF(AND(BT61="ERROR FUM O INGRESO",FZ61&gt;0),"ERROR FUM O INGRESO",IF(AND(FZ61="",R61="",O61=""),"",IF(OR(AND(FZ61&lt;&gt;"",FZ61&lt;RW61),AND(FZ61&lt;&gt;"",AND(SUM((FZ61-RW61)/7)&gt;=13,SUM((FZ61-RW61)/7)&lt;27))),"REGISTRAR EN II TRIMESTRE",IF(OR(AND(FZ61&lt;&gt;"",FZ61&lt;RW61),AND(FZ61&lt;&gt;"",AND(SUM((FZ61-RW61)/7)&gt;=27,SUM((FZ61-RW61)/7)&lt;44))),"REGISTRAR EN III TRIMESTRE",IF(AND(FZ61="",OR(O61&gt;0,R61&gt;0),AND(BU61&gt;1,BU61&lt;10)),"EN RANGO PARA TOMAR EXAMEN",IF(AND(FZ61="",OR(O61&gt;0,R61&gt;0),AND(BU61&gt;=10,BU61&lt;12)),"TOMA INMEDIATA DE TAMIZAJE",IF(AND(FZ61="",BS61&lt;12,OR(O61&gt;0,R61&gt;0)),"PIERDE TOMA DE TAMIZAJE",IF(AND(FZ61="",OR(O61&gt;0,R61&gt;0),AND(BS61&gt;=13,BS61&lt;44)),"NO APLICA-INGRESO TARDIO",IF(FZ61&gt;0,SUM(FZ61-RW61)/7,"")))))))))</f>
        <v>REGISTRAR EN II TRIMESTRE</v>
      </c>
      <c r="GB61" s="305" t="s">
        <v>868</v>
      </c>
      <c r="GC61" s="305">
        <v>44898</v>
      </c>
      <c r="GD61" s="326">
        <f t="shared" ca="1" si="204"/>
        <v>18.857142857142858</v>
      </c>
      <c r="GE61" s="305"/>
      <c r="GF61" s="305"/>
      <c r="GG61" s="326" t="str">
        <f t="shared" ca="1" si="205"/>
        <v>TOMA INMEDIATA DE TAMIZAJE</v>
      </c>
      <c r="GH61" s="305"/>
      <c r="GI61" s="326"/>
      <c r="GJ61" s="305"/>
      <c r="GK61" s="305"/>
      <c r="GL61" s="305"/>
      <c r="GM61" s="305"/>
      <c r="GN61" s="320" t="s">
        <v>869</v>
      </c>
      <c r="GO61" s="305">
        <v>44898</v>
      </c>
      <c r="GP61" s="326">
        <f t="shared" si="37"/>
        <v>18.857142857142858</v>
      </c>
      <c r="GQ61" s="320" t="s">
        <v>880</v>
      </c>
      <c r="GR61" s="320" t="s">
        <v>869</v>
      </c>
      <c r="GS61" s="305" t="str">
        <f t="shared" si="206"/>
        <v>SE EXCLUYE INFECCION</v>
      </c>
      <c r="GT61" s="305">
        <v>44898</v>
      </c>
      <c r="GU61" s="326">
        <f t="shared" si="39"/>
        <v>18.857142857142858</v>
      </c>
      <c r="GV61" s="309" t="str">
        <f t="shared" si="40"/>
        <v>II TRIM</v>
      </c>
      <c r="GW61" s="320" t="s">
        <v>869</v>
      </c>
      <c r="GX61" s="329"/>
      <c r="GY61" s="309"/>
      <c r="GZ61" s="309"/>
      <c r="HA61" s="309"/>
      <c r="HB61" s="309"/>
      <c r="HC61" s="309"/>
      <c r="HD61" s="309"/>
      <c r="HE61" s="309"/>
      <c r="HF61" s="305"/>
      <c r="HG61" s="305" t="str">
        <f>IF(OR(O61&gt;0,R61&gt;0),CONCATENATE(IF(Tabla1[[#This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61" s="305" t="e">
        <f t="shared" si="41"/>
        <v>#REF!</v>
      </c>
      <c r="HI61" s="305" t="e">
        <f t="shared" ca="1" si="42"/>
        <v>#REF!</v>
      </c>
      <c r="HJ61" s="309" t="str">
        <f t="shared" ca="1" si="43"/>
        <v>***************************************</v>
      </c>
      <c r="HK61" s="309" t="str">
        <f t="shared" si="44"/>
        <v>SIN ANTECEDENTES DE RIESGO</v>
      </c>
      <c r="HL61" s="310" t="str">
        <f t="shared" si="45"/>
        <v>REGISTRE DATO PRESIÓN ARTERIAL MENSUAL</v>
      </c>
      <c r="HM61" s="309" t="e">
        <f t="shared" ca="1" si="46"/>
        <v>#REF!</v>
      </c>
      <c r="HN61" s="329" t="str">
        <f t="shared" si="207"/>
        <v>ACTIVA INGRESO A CPN</v>
      </c>
      <c r="HO61" s="309"/>
      <c r="HP61" s="309" t="s">
        <v>864</v>
      </c>
      <c r="HQ61" s="309">
        <v>44898</v>
      </c>
      <c r="HR61" s="309" t="str">
        <f>IF(R61="","",IF(Tabla1[[#This Row],[ALARMA FACTORES DE RIESGO COMPLICACIONES HIPERTENSIVAS3]]="SIN ANTECEDENTES DE RIESGO","No Aplica para suministro de ASA",IF(AND(Tabla1[[#This Row],[FECHA INICIO DE SUMINISTRO DE ASA]]&gt;0,RV61&lt;12),"Inicia ASA ANTES de Sem 12",IF(AND(RV61&gt;11,RV61&lt;17,OR(HK61="RIESGO ALTO DE COMPLICACIONES HIPERTENSIVAS VER MANEJO GUIA SUMINISTRO ASA Y CALCIO",HK61="RIESGO MODERADO (2 O MAS CRITERIOS) VER MANEJO GUIA SUMINISTRO ASA Y CALCIO")),"Inicio oportuno de ASA",IF(AND(RV61&gt;12,OR(HK61="RIESGO ALTO DE COMPLICACIONES HIPERTENSIVAS VER MANEJO GUIA SUMINISTRO ASA Y CALCIO",HK61="RIESGO MODERADO (2 O MAS CRITERIOS) VER MANEJO GUIA SUMINISTRO ASA Y CALCIO")),"Inicio no oportuno mayor a 16 semanas",IF(AND(BU61&lt;12,OR(HK61="RIESGO ALTO DE COMPLICACIONES HIPERTENSIVAS VER MANEJO GUIA SUMINISTRO ASA Y CALCIO",HK61="RIESGO MODERADO (2 O MAS CRITERIOS) VER MANEJO GUIA SUMINISTRO ASA Y CALCIO")),"Pendiente Inicio de ASA a la semana 12",IF(AND(BU61&gt;11,BU61&lt;17,OR(HK61="RIESGO ALTO DE COMPLICACIONES HIPERTENSIVAS VER MANEJO GUIA SUMINISTRO ASA Y CALCIO",HK61="RIESGO MODERADO (2 O MAS CRITERIOS) VER MANEJO GUIA SUMINISTRO ASA Y CALCIO")),"Iniciar de inmediato ASA",IF(AND(BU61&gt;16,OR(HK61="RIESGO ALTO DE COMPLICACIONES HIPERTENSIVAS VER MANEJO GUIA SUMINISTRO ASA Y CALCIO",HK61="RIESGO MODERADO (2 O MAS CRITERIOS) VER MANEJO GUIA SUMINISTRO ASA Y CALCIO")),"Pierde Oportunidad, Inicio tardío de ASA","XXXXX"))))))))</f>
        <v>No Aplica para suministro de ASA</v>
      </c>
      <c r="HS61" s="305">
        <v>44898</v>
      </c>
      <c r="HT61" s="305" t="s">
        <v>870</v>
      </c>
      <c r="HU61" s="305"/>
      <c r="HV61" s="305"/>
      <c r="HW61" s="305">
        <v>44898</v>
      </c>
      <c r="HX61" s="305" t="s">
        <v>870</v>
      </c>
      <c r="HY61" s="305">
        <v>44898</v>
      </c>
      <c r="HZ61" s="320">
        <f t="shared" si="48"/>
        <v>18.857142857142858</v>
      </c>
      <c r="IA61" s="308" t="s">
        <v>864</v>
      </c>
      <c r="IB61" s="308"/>
      <c r="IC61" s="330"/>
      <c r="ID61" s="305"/>
      <c r="IE61" s="305" t="str">
        <f t="shared" ca="1" si="49"/>
        <v/>
      </c>
      <c r="IF61" s="305"/>
      <c r="IG61" s="305">
        <f t="shared" si="50"/>
        <v>45046</v>
      </c>
      <c r="IH61" s="326">
        <f t="shared" ca="1" si="51"/>
        <v>-186</v>
      </c>
      <c r="II61" s="305" t="str">
        <f t="shared" ca="1" si="52"/>
        <v>POSIBLEMENTE NACIO</v>
      </c>
      <c r="IJ61" s="305"/>
      <c r="IK61" s="309"/>
      <c r="IL61" s="309"/>
      <c r="IM61" s="331"/>
      <c r="IN61" s="350"/>
      <c r="IO61" s="309"/>
      <c r="IP61" s="29" t="str">
        <f t="shared" si="208"/>
        <v/>
      </c>
      <c r="IQ61" s="303"/>
      <c r="IR61" s="309"/>
      <c r="IS61" s="309"/>
      <c r="IT61" s="309"/>
      <c r="IU61" s="309"/>
      <c r="IV61" s="309"/>
      <c r="IW61" s="309"/>
      <c r="IX61" s="309"/>
      <c r="IY61" s="309"/>
      <c r="IZ61" s="309"/>
      <c r="JA61" s="309"/>
      <c r="JB61" s="329"/>
      <c r="JC61" s="309"/>
      <c r="JD61" s="333"/>
      <c r="JE61" s="309" t="str">
        <f t="shared" si="209"/>
        <v/>
      </c>
      <c r="JF61" s="329"/>
      <c r="JG61" s="309"/>
      <c r="JH61" s="309"/>
      <c r="JI61" s="309"/>
      <c r="JJ61" s="329"/>
      <c r="JK61" s="305"/>
      <c r="JL61" s="305"/>
      <c r="JM61" s="309"/>
      <c r="JN61" s="333"/>
      <c r="JO61" s="309" t="str">
        <f t="shared" si="210"/>
        <v/>
      </c>
      <c r="JP61" s="305"/>
      <c r="JQ61" s="309"/>
      <c r="JR61" s="309"/>
      <c r="JS61" s="309"/>
      <c r="JT61" s="329"/>
      <c r="JU61" s="305"/>
      <c r="JV61" s="305"/>
      <c r="JW61" s="334"/>
      <c r="JX61" s="320" t="str">
        <f t="shared" si="211"/>
        <v/>
      </c>
      <c r="JY61" s="334"/>
      <c r="JZ61" s="320" t="str">
        <f t="shared" si="212"/>
        <v/>
      </c>
      <c r="KA61" s="309"/>
      <c r="KB61" s="309"/>
      <c r="KC61" s="309"/>
      <c r="KD61" s="335"/>
      <c r="KE61" s="320"/>
      <c r="KF61" s="320"/>
      <c r="KG61" s="320"/>
      <c r="KH61" s="336"/>
      <c r="KI61" s="336"/>
      <c r="KJ61" s="337"/>
      <c r="KK61" s="336"/>
      <c r="KL61" s="336"/>
      <c r="KM61" s="337"/>
      <c r="KN61" s="336"/>
      <c r="KO61" s="336"/>
      <c r="KP61" s="336"/>
      <c r="KQ61" s="336"/>
      <c r="KR61" s="336"/>
      <c r="KS61" s="336"/>
      <c r="KT61" s="336"/>
      <c r="KU61" s="312"/>
      <c r="KV61" s="312"/>
      <c r="KW61" s="312"/>
      <c r="KX61" s="312"/>
      <c r="KY61" s="312"/>
      <c r="KZ61" s="312"/>
      <c r="LA61" s="312"/>
      <c r="LB61" s="312"/>
      <c r="LC61" s="312"/>
      <c r="LD61" s="312"/>
      <c r="LE61" s="312"/>
      <c r="LF61" s="312"/>
      <c r="LG61" s="312"/>
      <c r="LH61" s="312"/>
      <c r="LI61" s="312"/>
      <c r="LJ61" s="312"/>
      <c r="LK61" s="312"/>
      <c r="LL61" s="312"/>
      <c r="LM61" s="312"/>
      <c r="LN61" s="312"/>
      <c r="LO61" s="312"/>
      <c r="LP61" s="312"/>
      <c r="LQ61" s="312"/>
      <c r="LR61" s="312"/>
      <c r="LS61" s="312"/>
      <c r="LT61" s="312"/>
      <c r="LU61" s="312"/>
      <c r="LV61" s="312"/>
      <c r="LW61" s="312"/>
      <c r="LX61" s="312"/>
      <c r="LY61" s="312"/>
      <c r="LZ61" s="312"/>
      <c r="MA61" s="312"/>
      <c r="MB61" s="312"/>
      <c r="MC61" s="312"/>
      <c r="MD61" s="312"/>
      <c r="ME61" s="312"/>
      <c r="MF61" s="312"/>
      <c r="MG61" s="312"/>
      <c r="MH61" s="43">
        <f t="shared" si="213"/>
        <v>0</v>
      </c>
      <c r="MI61" s="43" t="str">
        <f t="shared" si="214"/>
        <v/>
      </c>
      <c r="MJ61" s="43" t="str">
        <f t="shared" si="215"/>
        <v/>
      </c>
      <c r="MK61" s="43">
        <f t="shared" si="216"/>
        <v>0</v>
      </c>
      <c r="ML6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61" s="43">
        <f t="shared" si="217"/>
        <v>18.857142857142858</v>
      </c>
      <c r="MN61" s="43">
        <f t="shared" si="218"/>
        <v>12</v>
      </c>
      <c r="MO61" s="43">
        <f t="shared" si="219"/>
        <v>2022</v>
      </c>
      <c r="MP61" s="43" t="str">
        <f t="shared" si="220"/>
        <v>IV TRIMESTRE AÑO</v>
      </c>
      <c r="MQ61" s="43">
        <f t="shared" si="221"/>
        <v>23.729741568112132</v>
      </c>
      <c r="MR61" s="43">
        <f t="shared" si="222"/>
        <v>0</v>
      </c>
      <c r="MS61" s="43" t="str">
        <f t="shared" si="223"/>
        <v xml:space="preserve"> DE 20 A 24 AÑOS</v>
      </c>
      <c r="MT61" s="43">
        <f t="shared" si="224"/>
        <v>0</v>
      </c>
      <c r="MU61" s="43">
        <f t="shared" si="225"/>
        <v>0</v>
      </c>
      <c r="MV61" s="43">
        <f t="shared" si="226"/>
        <v>0</v>
      </c>
      <c r="MW61" s="43">
        <f t="shared" si="227"/>
        <v>0</v>
      </c>
      <c r="MX61" s="43" t="str">
        <f t="shared" si="228"/>
        <v/>
      </c>
      <c r="MY61" s="43" t="str">
        <f t="shared" ca="1" si="229"/>
        <v/>
      </c>
      <c r="MZ61" s="43" t="str">
        <f t="shared" si="230"/>
        <v/>
      </c>
      <c r="NA61" s="43" t="str">
        <f t="shared" si="231"/>
        <v/>
      </c>
      <c r="NB61" s="43" t="str">
        <f t="shared" si="232"/>
        <v/>
      </c>
      <c r="NC61" s="43" t="str">
        <f t="shared" si="233"/>
        <v/>
      </c>
      <c r="ND61" s="43">
        <f t="shared" ca="1" si="234"/>
        <v>0</v>
      </c>
      <c r="NE61" s="43">
        <f>IF(OR(O61&gt;0,R61&gt;0),SUM(COUNTIF(Tabla1[[#This Row],[AÑOS AL INICIO5 CPN]],"&gt;=40"),COUNTIF(AS61,"0"),COUNTIF(AR61,"SI"),COUNTIF(CC61,"SI"),COUNTIF(BQ61,"&gt;119"),COUNTIF(CI61,"&gt;=35")),"")</f>
        <v>0</v>
      </c>
      <c r="NF61" s="43" t="str">
        <f t="shared" si="235"/>
        <v/>
      </c>
      <c r="NG61" s="43">
        <f t="shared" si="236"/>
        <v>0</v>
      </c>
      <c r="NH61" s="43" t="str">
        <f t="shared" si="237"/>
        <v/>
      </c>
      <c r="NI6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CPN",P61="NO"),"Z",IF(AND(Tabla1[[#This Row],[CITA PROXIMO CONTROL]]="CITA MANUAL",Tabla1[[#This Row],[GESTANTES ACTUALES]]="ACTIVA INGRESO A CPN"),"W",IF(AND(Tabla1[[#This Row],[GESTANTES ACTUALES]]="SALIO PROGRAMA",IN61=""),"S",IF(AND(Tabla1[[#This Row],[CITA PROXIMO CONTROL]]&gt;0,IN61=""),(Tabla1[[#This Row],[CITA PROXIMO CONTROL]]-TODAY()),"SD"))))))))</f>
        <v>#REF!</v>
      </c>
      <c r="NJ61" s="43">
        <f>MONTH(Tabla1[[#This Row],[FECHA DE SALIDA  DEL PROGRAMA]])</f>
        <v>1</v>
      </c>
      <c r="NK61" s="43">
        <f>YEAR(Tabla1[[#This Row],[FECHA DE SALIDA  DEL PROGRAMA]])</f>
        <v>1900</v>
      </c>
      <c r="NL61" s="43" t="str">
        <f t="shared" si="238"/>
        <v>X</v>
      </c>
      <c r="NM61" s="43" t="str">
        <f t="shared" ref="NM61:NM89" si="251">IF(AND(O61&gt;0,R61=""),"NO CPN",IF(AND(O61="",R61=""),"",IF(AND(EN61&lt;&gt;"",EX61&lt;&gt;"",FB61&lt;&gt;"",FK61&lt;&gt;"",FW61&lt;&gt;"",FZ61&lt;&gt;"",GO61&lt;&gt;"",GQ61&lt;&gt;"",GR61&lt;&gt;""),"SI","NO")))</f>
        <v>NO</v>
      </c>
      <c r="NN61" s="43" t="str">
        <f ca="1">IF(AND(O61&gt;0,R61=""),"NO CPN",IF(AND(O61="",R61=""),"",IF(AND(R61&gt;0,Tabla1[[#This Row],[SEMANAS DE GESTACION ACTUALIZADAS]]&lt;=12),"NO APLICA",IF(AND(FH61&lt;&gt;"",FN61&lt;&gt;""),"SI","NO"))))</f>
        <v>NO</v>
      </c>
      <c r="NO61" s="43" t="str">
        <f ca="1">IF(AND(O61&gt;0,R61=""),"NO CPN",IF(AND(O61="",R61=""),"",IF(AND(R61&gt;0,Tabla1[[#This Row],[SEMANAS DE GESTACION ACTUALIZADAS]]&lt;=27),"NO APLICA",IF(AND(ES61&lt;&gt;"",FQ61&lt;&gt;"",GF61&lt;&gt;""),"SI","NO"))))</f>
        <v>NO</v>
      </c>
      <c r="NP61" s="204" t="str">
        <f t="shared" si="240"/>
        <v>DEFINIR CON ECO</v>
      </c>
      <c r="NQ61" s="21">
        <f t="shared" si="241"/>
        <v>10</v>
      </c>
      <c r="NR61" s="21" t="str">
        <f t="shared" ca="1" si="242"/>
        <v>REVISAR FUM O FECHA SALIDA PROGRAMA</v>
      </c>
      <c r="NS61" s="205">
        <f t="shared" ca="1" si="243"/>
        <v>1</v>
      </c>
      <c r="NT61" s="21">
        <f t="shared" ca="1" si="244"/>
        <v>1</v>
      </c>
      <c r="NU61" s="21" t="str">
        <f t="shared" ca="1" si="245"/>
        <v>POR DEFINIR</v>
      </c>
      <c r="NV61" s="21" t="str">
        <f t="shared" ca="1" si="246"/>
        <v>POR DEFINIR</v>
      </c>
      <c r="NW61" s="206" t="str">
        <f>IF(AND(O61="",R61=""),"",IF(OR(AND(Tabla1[[#This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61" s="207" t="str">
        <f t="shared" ca="1" si="247"/>
        <v>SIN VACUNAR</v>
      </c>
      <c r="NY61" s="43">
        <f>ROW(Tabla1[[#This Row],['# DE TAMIZAJES SIFILIS TOMADOS ]])</f>
        <v>61</v>
      </c>
      <c r="NZ61" s="43">
        <f t="shared" si="93"/>
        <v>18</v>
      </c>
      <c r="OA61" s="43" t="str">
        <f t="shared" si="94"/>
        <v/>
      </c>
      <c r="OB61" s="43" t="str">
        <f t="shared" si="95"/>
        <v/>
      </c>
      <c r="OC61" s="43" t="str">
        <f t="shared" si="96"/>
        <v/>
      </c>
      <c r="OD61" s="43" t="str">
        <f t="shared" si="97"/>
        <v/>
      </c>
      <c r="OE61" s="43" t="str">
        <f t="shared" si="98"/>
        <v/>
      </c>
      <c r="OF61" s="43" t="str">
        <f t="shared" si="99"/>
        <v/>
      </c>
      <c r="OG61" s="43" t="str">
        <f t="shared" si="100"/>
        <v/>
      </c>
      <c r="OH61" s="43" t="str">
        <f t="shared" si="101"/>
        <v/>
      </c>
      <c r="OI61" s="43" t="str">
        <f t="shared" si="102"/>
        <v/>
      </c>
      <c r="OJ61" s="43" t="str">
        <f t="shared" si="103"/>
        <v>NORMAL</v>
      </c>
      <c r="OK61" s="43" t="str">
        <f t="shared" si="104"/>
        <v/>
      </c>
      <c r="OL61" s="43" t="str">
        <f t="shared" si="105"/>
        <v/>
      </c>
      <c r="OM61" s="43" t="str">
        <f t="shared" si="106"/>
        <v/>
      </c>
      <c r="ON61" s="43" t="str">
        <f t="shared" si="107"/>
        <v/>
      </c>
      <c r="OO61" s="43" t="str">
        <f t="shared" si="108"/>
        <v/>
      </c>
      <c r="OP61" s="43" t="str">
        <f t="shared" si="109"/>
        <v/>
      </c>
      <c r="OQ61" s="43" t="str">
        <f t="shared" si="110"/>
        <v/>
      </c>
      <c r="OR61" s="43" t="str">
        <f t="shared" si="111"/>
        <v/>
      </c>
      <c r="OS61" s="43" t="str">
        <f t="shared" si="112"/>
        <v/>
      </c>
      <c r="OT61" s="43" t="str">
        <f t="shared" si="113"/>
        <v/>
      </c>
      <c r="OU61" s="43" t="str">
        <f t="shared" si="114"/>
        <v/>
      </c>
      <c r="OV61" s="110" t="str">
        <f t="shared" si="115"/>
        <v/>
      </c>
      <c r="OW61" s="43" t="str">
        <f t="shared" si="116"/>
        <v/>
      </c>
      <c r="OX61" s="43" t="str">
        <f t="shared" si="117"/>
        <v/>
      </c>
      <c r="OY61" s="43" t="str">
        <f t="shared" si="118"/>
        <v/>
      </c>
      <c r="OZ61" s="43" t="str">
        <f t="shared" si="119"/>
        <v/>
      </c>
      <c r="PA61" s="43" t="str">
        <f t="shared" si="120"/>
        <v/>
      </c>
      <c r="PB61" s="43" t="str">
        <f t="shared" si="121"/>
        <v/>
      </c>
      <c r="PC61" s="43" t="str">
        <f t="shared" si="122"/>
        <v/>
      </c>
      <c r="PD61" s="43" t="str">
        <f t="shared" si="123"/>
        <v/>
      </c>
      <c r="PE61" s="43" t="str">
        <f t="shared" si="124"/>
        <v/>
      </c>
      <c r="PF61" s="43" t="str">
        <f t="shared" si="125"/>
        <v/>
      </c>
      <c r="PG61" s="43" t="str">
        <f t="shared" si="126"/>
        <v/>
      </c>
      <c r="PH61" s="43" t="str">
        <f t="shared" si="127"/>
        <v/>
      </c>
      <c r="PI61" s="43">
        <f t="shared" si="128"/>
        <v>27</v>
      </c>
      <c r="PJ61" s="43" t="str">
        <f t="shared" si="129"/>
        <v/>
      </c>
      <c r="PK61" s="43" t="str">
        <f t="shared" si="130"/>
        <v/>
      </c>
      <c r="PL61" s="43" t="str">
        <f t="shared" si="131"/>
        <v/>
      </c>
      <c r="PM61" s="43" t="str">
        <f t="shared" si="132"/>
        <v/>
      </c>
      <c r="PN61" s="43" t="str">
        <f t="shared" si="133"/>
        <v/>
      </c>
      <c r="PO61" s="43" t="str">
        <f t="shared" si="134"/>
        <v/>
      </c>
      <c r="PP61" s="43" t="str">
        <f t="shared" si="135"/>
        <v/>
      </c>
      <c r="PQ61" s="43" t="str">
        <f t="shared" si="136"/>
        <v/>
      </c>
      <c r="PR61" s="43" t="str">
        <f t="shared" si="137"/>
        <v/>
      </c>
      <c r="PS61" s="43" t="str">
        <f t="shared" si="138"/>
        <v/>
      </c>
      <c r="PT61" s="43" t="str">
        <f t="shared" si="139"/>
        <v/>
      </c>
      <c r="PU61" s="43" t="str">
        <f t="shared" si="140"/>
        <v/>
      </c>
      <c r="PV61" s="43" t="str">
        <f t="shared" si="141"/>
        <v/>
      </c>
      <c r="PW61" s="43" t="str">
        <f t="shared" si="142"/>
        <v/>
      </c>
      <c r="PX61" s="43" t="str">
        <f t="shared" si="143"/>
        <v/>
      </c>
      <c r="PY61" s="43" t="str">
        <f t="shared" si="144"/>
        <v/>
      </c>
      <c r="PZ61" s="43" t="str">
        <f t="shared" si="145"/>
        <v/>
      </c>
      <c r="QA61" s="43" t="str">
        <f t="shared" si="146"/>
        <v/>
      </c>
      <c r="QB61" s="43" t="str">
        <f t="shared" si="147"/>
        <v/>
      </c>
      <c r="QC61" s="43" t="str">
        <f t="shared" si="148"/>
        <v/>
      </c>
      <c r="QD61" s="43" t="str">
        <f t="shared" si="149"/>
        <v/>
      </c>
      <c r="QE61" s="43" t="str">
        <f t="shared" si="150"/>
        <v/>
      </c>
      <c r="QF61" s="43" t="str">
        <f t="shared" si="151"/>
        <v/>
      </c>
      <c r="QG61" s="43" t="str">
        <f t="shared" si="152"/>
        <v/>
      </c>
      <c r="QH61" s="43" t="str">
        <f t="shared" si="153"/>
        <v/>
      </c>
      <c r="QI61" s="43" t="str">
        <f t="shared" si="154"/>
        <v/>
      </c>
      <c r="QJ61" s="43" t="str">
        <f t="shared" si="155"/>
        <v/>
      </c>
      <c r="QK61" s="43" t="str">
        <f t="shared" si="156"/>
        <v/>
      </c>
      <c r="QL61" s="43" t="str">
        <f t="shared" si="157"/>
        <v/>
      </c>
      <c r="QM61" s="43" t="str">
        <f t="shared" si="158"/>
        <v/>
      </c>
      <c r="QN61" s="43" t="str">
        <f t="shared" si="159"/>
        <v/>
      </c>
      <c r="QO61" s="43" t="str">
        <f t="shared" si="160"/>
        <v/>
      </c>
      <c r="QP61" s="43" t="str">
        <f t="shared" si="161"/>
        <v/>
      </c>
      <c r="QQ61" s="43" t="str">
        <f t="shared" si="162"/>
        <v/>
      </c>
      <c r="QR61" s="43">
        <f t="shared" si="192"/>
        <v>27</v>
      </c>
      <c r="QS61" s="43"/>
      <c r="QT61" s="21" t="str">
        <f t="shared" si="163"/>
        <v/>
      </c>
      <c r="QU61" s="21" t="str">
        <f t="shared" si="164"/>
        <v/>
      </c>
      <c r="QV61" s="21" t="str">
        <f t="shared" si="165"/>
        <v/>
      </c>
      <c r="QW61" s="21" t="str">
        <f t="shared" si="166"/>
        <v/>
      </c>
      <c r="QX61" s="21" t="str">
        <f t="shared" si="167"/>
        <v/>
      </c>
      <c r="QY61" s="21" t="str">
        <f t="shared" si="168"/>
        <v/>
      </c>
      <c r="QZ61" s="21" t="str">
        <f t="shared" si="169"/>
        <v/>
      </c>
      <c r="RA61" s="21" t="str">
        <f t="shared" si="170"/>
        <v/>
      </c>
      <c r="RB61" s="21" t="str">
        <f t="shared" si="171"/>
        <v/>
      </c>
      <c r="RC61" s="21" t="str">
        <f t="shared" si="172"/>
        <v/>
      </c>
      <c r="RD61" s="21" t="str">
        <f t="shared" si="173"/>
        <v/>
      </c>
      <c r="RE61" s="21" t="str">
        <f t="shared" si="174"/>
        <v/>
      </c>
      <c r="RF61" s="21" t="str">
        <f t="shared" si="175"/>
        <v/>
      </c>
      <c r="RG61" s="21" t="str">
        <f t="shared" si="176"/>
        <v/>
      </c>
      <c r="RH61" s="21" t="str">
        <f t="shared" si="177"/>
        <v/>
      </c>
      <c r="RI61" s="21" t="str">
        <f t="shared" si="178"/>
        <v/>
      </c>
      <c r="RJ61" s="21" t="str">
        <f t="shared" si="179"/>
        <v/>
      </c>
      <c r="RK61" s="21" t="str">
        <f t="shared" si="180"/>
        <v/>
      </c>
      <c r="RL61" s="21" t="str">
        <f t="shared" si="181"/>
        <v/>
      </c>
      <c r="RM61" s="21" t="str">
        <f t="shared" si="182"/>
        <v/>
      </c>
      <c r="RN61" s="21" t="str">
        <f t="shared" si="183"/>
        <v/>
      </c>
      <c r="RO61" s="21" t="str">
        <f t="shared" si="184"/>
        <v/>
      </c>
      <c r="RP61" s="21" t="str">
        <f t="shared" si="185"/>
        <v/>
      </c>
      <c r="RQ61" s="21" t="str">
        <f t="shared" si="186"/>
        <v/>
      </c>
      <c r="RR61" s="21" t="str">
        <f t="shared" si="187"/>
        <v/>
      </c>
      <c r="RS61" s="21" t="str">
        <f t="shared" si="188"/>
        <v/>
      </c>
      <c r="RT61" s="21" t="str">
        <f t="shared" si="189"/>
        <v/>
      </c>
      <c r="RU61" s="21" t="str">
        <f t="shared" si="190"/>
        <v/>
      </c>
      <c r="RV61" s="21">
        <f t="shared" si="191"/>
        <v>18.857142857142858</v>
      </c>
      <c r="RW61" s="284">
        <f>IF(OR(Tabla1[[#This Row],[FUM FORMULA CONFIABLE]]="",Tabla1[[#This Row],[FUM FORMULA CONFIABLE]]="SD"),"",IF(Tabla1[[#This Row],[FUM FORMULA CONFIABLE]]="CORREGIDA",Tabla1[[#This Row],[FUM X ECO 1]],Tabla1[[#This Row],[FUM x AMENORREA]]))</f>
        <v>44766</v>
      </c>
      <c r="RX61" s="21" t="str">
        <f>IF(AND(Tabla1[[#This Row],[FUM X ECO 1]]="",Tabla1[[#This Row],[FUM x AMENORREA]]=""),"",IF(AND(Tabla1[[#This Row],[FUM X ECO 1]]="",Tabla1[[#This Row],[FUM x AMENORREA]]&lt;&gt;""),"X",SUM(Tabla1[[#This Row],[FUM X ECO 1]]-Tabla1[[#This Row],[FUM x AMENORREA]])))</f>
        <v>X</v>
      </c>
      <c r="RY61" s="21" t="str">
        <f t="shared" si="193"/>
        <v>x</v>
      </c>
    </row>
    <row r="62" spans="1:493" ht="45" customHeight="1" x14ac:dyDescent="0.25">
      <c r="A62" s="109"/>
      <c r="B62" s="43"/>
      <c r="C62" s="43" t="s">
        <v>845</v>
      </c>
      <c r="D62" s="124" t="s">
        <v>846</v>
      </c>
      <c r="E62" s="43" t="s">
        <v>1179</v>
      </c>
      <c r="F62" s="43" t="s">
        <v>1180</v>
      </c>
      <c r="G62" s="43" t="s">
        <v>1181</v>
      </c>
      <c r="H62" s="43" t="s">
        <v>1182</v>
      </c>
      <c r="I62" s="109" t="s">
        <v>1094</v>
      </c>
      <c r="J62" s="110">
        <v>1059597173</v>
      </c>
      <c r="K62" s="43" t="s">
        <v>852</v>
      </c>
      <c r="L62" s="175" t="s">
        <v>886</v>
      </c>
      <c r="M62" s="22">
        <v>39117</v>
      </c>
      <c r="N62" s="213">
        <f t="shared" ca="1" si="0"/>
        <v>16.753424657534246</v>
      </c>
      <c r="O62" s="22">
        <v>44901</v>
      </c>
      <c r="P62" s="214" t="str">
        <f t="shared" si="194"/>
        <v>SI</v>
      </c>
      <c r="Q62" s="26" t="s">
        <v>855</v>
      </c>
      <c r="R62" s="22">
        <v>44901</v>
      </c>
      <c r="S62" s="21" t="s">
        <v>856</v>
      </c>
      <c r="T62" s="24" t="s">
        <v>690</v>
      </c>
      <c r="U62" s="21" t="s">
        <v>857</v>
      </c>
      <c r="V62" s="21" t="s">
        <v>858</v>
      </c>
      <c r="W62" s="21" t="s">
        <v>859</v>
      </c>
      <c r="X62" s="21" t="s">
        <v>1183</v>
      </c>
      <c r="Y62" s="21" t="s">
        <v>859</v>
      </c>
      <c r="Z62" s="21" t="s">
        <v>1184</v>
      </c>
      <c r="AA62" s="21" t="s">
        <v>860</v>
      </c>
      <c r="AB62" s="27" t="s">
        <v>861</v>
      </c>
      <c r="AC62" s="26" t="s">
        <v>877</v>
      </c>
      <c r="AD62" s="38" t="s">
        <v>846</v>
      </c>
      <c r="AE62" s="26" t="s">
        <v>854</v>
      </c>
      <c r="AF62" s="26" t="s">
        <v>854</v>
      </c>
      <c r="AG62" s="23" t="s">
        <v>864</v>
      </c>
      <c r="AH62" s="23" t="s">
        <v>864</v>
      </c>
      <c r="AI62" s="24" t="s">
        <v>863</v>
      </c>
      <c r="AJ62" s="23" t="s">
        <v>864</v>
      </c>
      <c r="AK62" s="220" t="str">
        <f>IF(AND(AD62="",AE62="",AF62="",AG62="",AH62="",AI62="",AJ62=""),"",IF(OR(Tabla1[[#This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EVALUACIÓN",IF(AND(O62="",R62=""),"",IF(AND(OR(O62&gt;0,R62&gt;0),NG62&gt;=0,NG62&lt;2),"SIN RIESGO",IF(AND(OR(O62&gt;0,R62&gt;0),NG62&gt;=2),"CON RIESGO","ASD")))))</f>
        <v>SIN RIESGO</v>
      </c>
      <c r="AL62" s="23" t="s">
        <v>864</v>
      </c>
      <c r="AM62" s="26" t="s">
        <v>864</v>
      </c>
      <c r="AN62" s="26" t="s">
        <v>864</v>
      </c>
      <c r="AO62" s="26" t="s">
        <v>864</v>
      </c>
      <c r="AP62" s="26" t="s">
        <v>864</v>
      </c>
      <c r="AQ62" s="26" t="s">
        <v>864</v>
      </c>
      <c r="AR62" s="26" t="s">
        <v>864</v>
      </c>
      <c r="AS62" s="21">
        <v>0</v>
      </c>
      <c r="AT62" s="21">
        <v>0</v>
      </c>
      <c r="AU62" s="21">
        <v>0</v>
      </c>
      <c r="AV62" s="26" t="s">
        <v>864</v>
      </c>
      <c r="AW62" s="21">
        <v>0</v>
      </c>
      <c r="AX62" s="26" t="s">
        <v>864</v>
      </c>
      <c r="AY62" s="26" t="s">
        <v>864</v>
      </c>
      <c r="AZ62" s="26" t="s">
        <v>864</v>
      </c>
      <c r="BA62" s="26" t="s">
        <v>864</v>
      </c>
      <c r="BB62" s="26" t="s">
        <v>864</v>
      </c>
      <c r="BC62" s="26" t="s">
        <v>864</v>
      </c>
      <c r="BD62" s="26" t="s">
        <v>864</v>
      </c>
      <c r="BE62" s="26" t="s">
        <v>864</v>
      </c>
      <c r="BF62" s="26" t="s">
        <v>864</v>
      </c>
      <c r="BG62" s="26" t="s">
        <v>864</v>
      </c>
      <c r="BH62" s="26" t="s">
        <v>864</v>
      </c>
      <c r="BI62" s="26" t="s">
        <v>864</v>
      </c>
      <c r="BJ62" s="26"/>
      <c r="BK62" s="26"/>
      <c r="BL62" s="26" t="s">
        <v>864</v>
      </c>
      <c r="BM62" s="26" t="s">
        <v>864</v>
      </c>
      <c r="BN62" s="22"/>
      <c r="BO62" s="22">
        <v>44876</v>
      </c>
      <c r="BP62" s="21" t="s">
        <v>854</v>
      </c>
      <c r="BQ62" s="222">
        <f t="shared" si="2"/>
        <v>0</v>
      </c>
      <c r="BR62" s="223">
        <f t="shared" si="3"/>
        <v>44876</v>
      </c>
      <c r="BS62" s="224">
        <f t="shared" si="4"/>
        <v>3.5714285714285716</v>
      </c>
      <c r="BT62" s="216" t="str">
        <f t="shared" si="5"/>
        <v>I TRIM</v>
      </c>
      <c r="BU62" s="214" t="str">
        <f t="shared" ca="1" si="6"/>
        <v/>
      </c>
      <c r="BV62" s="25"/>
      <c r="BW62" s="22">
        <v>44918</v>
      </c>
      <c r="BX62" s="28">
        <v>6</v>
      </c>
      <c r="BY62" s="28"/>
      <c r="BZ62" s="22"/>
      <c r="CA62" s="21"/>
      <c r="CB62" s="26" t="s">
        <v>864</v>
      </c>
      <c r="CC62" s="26" t="s">
        <v>864</v>
      </c>
      <c r="CD62" s="26"/>
      <c r="CE62" s="26" t="s">
        <v>864</v>
      </c>
      <c r="CF62" s="22" t="s">
        <v>1517</v>
      </c>
      <c r="CG62" s="21">
        <v>1.54</v>
      </c>
      <c r="CH62" s="21">
        <v>45</v>
      </c>
      <c r="CI62" s="214">
        <f t="shared" si="7"/>
        <v>18.974531961544947</v>
      </c>
      <c r="CJ62" s="225" t="str">
        <f>IF(AND(CI62&lt;10,CH62="SD"),"SIN DATO PESO PREGESTACION O I TRIM",IF(AND(OR(R62&gt;0,O62&gt;0),CI62="X"),"INGRESAR DATO DE PESO",IF(CI62="SD","INGRESAR DATO DE TALLA Y PESO",IF(AND(OR(Tabla1[[#This Row],[MOMENTO EN QUE SE REALIZA EL PESO AL INGRESO A CPN]]="PREGESTACIÓN",NZ62="Menor"),CI62&lt;18.5),"BAJO PESO",IF(AND(OR(Tabla1[[#This Row],[MOMENTO EN QUE SE REALIZA EL PESO AL INGRESO A CPN]]="PREGESTACIÓN",NZ62="Menor"),CI62&lt;25),"NORMAL",IF(AND(OR(Tabla1[[#This Row],[MOMENTO EN QUE SE REALIZA EL PESO AL INGRESO A CPN]]="PREGESTACIÓN",NZ62="Menor"),CI62&lt;30),"SOBREPESO",IF(AND(OR(Tabla1[[#This Row],[MOMENTO EN QUE SE REALIZA EL PESO AL INGRESO A CPN]]="PREGESTACIÓN",NZ62="Menor"),CI62&gt;=30,CI62&lt;50),"OBESIDAD",IF(AND(BS62&gt;0,Tabla1[[#This Row],[MOMENTO EN QUE SE REALIZA EL PESO AL INGRESO A CPN]]="GESTACIÓN"),HLOOKUP(NZ62,$OA$2:PH62,NY62),""))))))))</f>
        <v>NORMAL</v>
      </c>
      <c r="CK62" s="212">
        <f t="shared" si="8"/>
        <v>44901</v>
      </c>
      <c r="CL62" s="21"/>
      <c r="CM62" s="214">
        <f t="shared" si="9"/>
        <v>0</v>
      </c>
      <c r="CN62" s="216">
        <f t="shared" si="10"/>
        <v>3</v>
      </c>
      <c r="CO62" s="216" t="e">
        <f>IF(PI62="","",IF(PI62&gt;0,HLOOKUP(PI62,$PJ$2:QQ62,NY62),""))</f>
        <v>#REF!</v>
      </c>
      <c r="CP62" s="21"/>
      <c r="CQ62" s="216" t="str">
        <f>IF(QR62="Menor","NO APLICA-MENOR 13 SEM",IF(AND(CC62="SI",CN62&gt;23),"NO APLICA- GEMELAR",IF(QR62="","",IF(QR62&gt;0,HLOOKUP(QR62,$QS$2:RU62,NY62),""))))</f>
        <v>NO APLICA-MENOR 13 SEM</v>
      </c>
      <c r="CR62" s="21">
        <v>100</v>
      </c>
      <c r="CS62" s="21">
        <v>60</v>
      </c>
      <c r="CT62" s="217" t="str">
        <f>IF(R62="","",IF(AND(BS62&gt;1,BS62&lt;12,Tabla1[[#This Row],[T.A. SISTOLICA - ANTES DE SEMANA 12]]="",Tabla1[[#This Row],[T.A. DIASTOLICA - ANTES DE SEMANA 12]]=""),"REGISTRE DATO TA ANTES SEMANA 12",IF(AND(BS62&gt;11,BS62&lt;43,Tabla1[[#This Row],[T.A. SISTOLICA - ANTES DE SEMANA 12]]="",Tabla1[[#This Row],[T.A. DIASTOLICA - ANTES DE SEMANA 12]]=""),"NO APLICA REGISTRO TA-INGRESO TARDIO",IF(AND(OR(O62&gt;0,R62&gt;0),OR(CR62&gt;=140,CS62&gt;=90)),"DEFINIR ESTADIO HTA",IF(AND(OR(O62&gt;0,R62&gt;0),AND(CR62&gt;120,CR62&lt;=139)),"PRE HTA SEGUIMIENTO",IF(AND(OR(O62&gt;0,R62&gt;0),AND(CS62&gt;80,CS62&lt;=89)),"PRE HTA SEGUIMIENTO",IF(AND(OR(O62&gt;0,R62&gt;0),AND(CR62&gt;=80,CR62&lt;=120)),"APARENTEMENTE NORMAL",IF(AND(OR(O62&gt;0,R62&gt;0),AND(CS62&gt;=50,CS62&lt;=80)),"APARENTEMENTE NORMAL",IF(AND(OR(O62&gt;0,R62&gt;0),AND(CR62&gt;1,CR62&lt;=70),AND(CS62&gt;1,CS62&lt;=40)),"HIPOTENSIÓN","")))))))))</f>
        <v>APARENTEMENTE NORMAL</v>
      </c>
      <c r="CU62" s="21"/>
      <c r="CV62" s="21"/>
      <c r="CW62" s="217" t="str">
        <f ca="1">IF(R62="","",IF(AND(CN62&gt;19,CN62&lt;27,Tabla1[[#This Row],[T.A. SISTOLICA (Entre semana 20 y 26)]]="",Tabla1[[#This Row],[T.A. DIATOLICA (Entre semana 20 y 26)]]=""),"ACUDE A CONTROL SEM 20 A 26 REGISTRE TA AHORA",IF(AND(BS62&gt;1,BS62&lt;27,BU62&gt;19,Tabla1[[#This Row],[T.A. SISTOLICA (Entre semana 20 y 26)]]="",Tabla1[[#This Row],[T.A. DIATOLICA (Entre semana 20 y 26)]]=""),"COMPLETE REGISTRO TA CONTROL SEM 20 A26 ",IF(AND(BS62&gt;26,BS62&lt;43,Tabla1[[#This Row],[T.A. SISTOLICA (Entre semana 20 y 26)]]="",Tabla1[[#This Row],[T.A. DIATOLICA (Entre semana 20 y 26)]]=""),"NO APLICA REGISTRO TA-INGRESO TARDIO",IF(AND(OR(O62&gt;0,R62&gt;0),OR(CU62&gt;=140,CV62&gt;=90)),"ALTO RIESGO PREECLAMPSIA,DEFINIR ESTADIO HTA",IF(AND(OR(O62&gt;0,R62&gt;0),AND(CU62&gt;120,CU62&lt;=139)),"PRE HTA SEGUIMIENTO,RIESGO HIPERTENSION INDUCIDA POR EL EMBARAZO",IF(AND(OR(O62&gt;0,R62&gt;0),AND(CV62&gt;80,CV62&lt;=89)),"PRE HTA SEGUIMIENTO, RIESGO HIPERTENSION INDUCIDA POR EL EMBARAZO",IF(AND(OR(O62&lt;&gt;"",R62&lt;&gt;""),CS62&lt;&gt;"",CV62&lt;&gt;"",CS62&lt;=CV62),"VIGILAR CIFRAS PRESION ARTERIAL",IF(AND(OR(O62&gt;0,R62&gt;0),AND(CU62&gt;120,CU62&lt;=139)),"PRE HTA SEGUIMIENTO",IF(AND(OR(O62&gt;0,R62&gt;0),AND(CU62&gt;1,CU62&lt;=70),AND(CV62&gt;1,CV62&lt;=40)),"HIPOTENSIÓN",IF(AND(OR(O62&lt;&gt;"",R62&lt;&gt;""),CS62&lt;&gt;"",CV62&lt;&gt;"",CS62&gt;CV62),"APARENTEMENTE NORMAL",IF(AND(OR(O62&gt;0,R62&gt;0),AND(CU62&gt;=80,CU62&lt;=120)),"APARENTEMENTE NORMAL",IF(AND(OR(O62&gt;0,R62&gt;0),AND(CV62&gt;=50,CV62&lt;=80)),"APARENTEMENTE NORMAL","")))))))))))))</f>
        <v xml:space="preserve">COMPLETE REGISTRO TA CONTROL SEM 20 A26 </v>
      </c>
      <c r="CX62" s="21"/>
      <c r="CY62" s="21"/>
      <c r="CZ62" s="216" t="str">
        <f t="shared" si="195"/>
        <v/>
      </c>
      <c r="DA62" s="21"/>
      <c r="DB62" s="21"/>
      <c r="DC62" s="217" t="str">
        <f t="shared" si="12"/>
        <v>REGISTRE DATO PRESIÓN ARTERIAL MENSUAL</v>
      </c>
      <c r="DD62" s="22">
        <v>44901</v>
      </c>
      <c r="DE62" s="22">
        <v>44901</v>
      </c>
      <c r="DF62" s="22"/>
      <c r="DG62" s="22"/>
      <c r="DH62" s="22"/>
      <c r="DI62" s="22"/>
      <c r="DJ62" s="22"/>
      <c r="DK62" s="22"/>
      <c r="DL62" s="22"/>
      <c r="DM62" s="22"/>
      <c r="DN62" s="22"/>
      <c r="DO62" s="22"/>
      <c r="DP62" s="22"/>
      <c r="DQ62" s="22"/>
      <c r="DR62" s="28">
        <v>1</v>
      </c>
      <c r="DS62" s="22"/>
      <c r="DT62" s="22"/>
      <c r="DU62" s="216" t="str">
        <f t="shared" ca="1" si="196"/>
        <v>NO APLICA SALE PROGRAMA ANTES III TRIM</v>
      </c>
      <c r="DV62" s="226" t="str">
        <f t="shared" si="197"/>
        <v>SALIO PROGRAMA</v>
      </c>
      <c r="DW62"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62" s="216" t="str">
        <f t="shared" ca="1" si="15"/>
        <v/>
      </c>
      <c r="DY62" s="212">
        <f>IF(R62="","",IF(R62&gt;0,MAX(Tabla1[[#This Row],[FECHA C2]:[FECHA C13]],Tabla1[[#This Row],[FECHA CONSULTA PRIMERA VEZ PROGRAMA CPN ]])))</f>
        <v>44901</v>
      </c>
      <c r="DZ62" s="216">
        <f t="shared" si="16"/>
        <v>3</v>
      </c>
      <c r="EA62" s="222">
        <f>IF(R62&gt;0,SUM(COUNTA(DF62:DQ62)+COUNTA(Tabla1[[#This Row],[FECHA CONSULTA PRIMERA VEZ PROGRAMA CPN ]])),"")</f>
        <v>1</v>
      </c>
      <c r="EB62" s="222" t="str">
        <f t="shared" si="17"/>
        <v>NO</v>
      </c>
      <c r="EC62" s="214">
        <f t="shared" si="18"/>
        <v>11</v>
      </c>
      <c r="ED62" s="227">
        <f t="shared" si="19"/>
        <v>9.0909090909090912E-2</v>
      </c>
      <c r="EE62" s="22">
        <v>44901</v>
      </c>
      <c r="EF62" s="22">
        <v>44902</v>
      </c>
      <c r="EG62" s="22">
        <v>44901</v>
      </c>
      <c r="EH62" s="22">
        <v>44914</v>
      </c>
      <c r="EI62" s="22">
        <v>44901</v>
      </c>
      <c r="EJ62" s="22">
        <v>44914</v>
      </c>
      <c r="EK62" s="22">
        <v>44914</v>
      </c>
      <c r="EL62" s="21">
        <v>1</v>
      </c>
      <c r="EM62" s="21">
        <v>13.2</v>
      </c>
      <c r="EN62" s="22">
        <v>44902</v>
      </c>
      <c r="EO62" s="222">
        <f t="shared" si="20"/>
        <v>3.7142857142857144</v>
      </c>
      <c r="EP62" s="214" t="str">
        <f t="shared" si="21"/>
        <v>NORMAL- SUMINISTRAR SULFATO FERROSO</v>
      </c>
      <c r="EQ62" s="216" t="str">
        <f t="shared" si="22"/>
        <v>I TRIM</v>
      </c>
      <c r="ER62" s="24"/>
      <c r="ES62" s="22"/>
      <c r="ET62" s="29" t="str">
        <f t="shared" ca="1" si="198"/>
        <v>NO APLICA-SALE ANTES SEM 28</v>
      </c>
      <c r="EU62" s="25" t="str">
        <f t="shared" si="24"/>
        <v/>
      </c>
      <c r="EV62" s="24" t="s">
        <v>866</v>
      </c>
      <c r="EW62" s="24">
        <v>44902</v>
      </c>
      <c r="EX62" s="22"/>
      <c r="EY62" s="29">
        <f t="shared" si="248"/>
        <v>3.7142857142857144</v>
      </c>
      <c r="EZ62" s="25" t="str">
        <f t="shared" ca="1" si="249"/>
        <v/>
      </c>
      <c r="FA62" s="21">
        <v>77</v>
      </c>
      <c r="FB62" s="22">
        <v>44902</v>
      </c>
      <c r="FC62" s="29">
        <f t="shared" si="27"/>
        <v>3.7142857142857144</v>
      </c>
      <c r="FD62" s="29"/>
      <c r="FE62" s="29"/>
      <c r="FF62" s="29"/>
      <c r="FG62" s="21" t="str">
        <f t="shared" ca="1" si="28"/>
        <v/>
      </c>
      <c r="FH62" s="31"/>
      <c r="FI62" s="29" t="str">
        <f t="shared" si="29"/>
        <v>TOMAR EXAMEN</v>
      </c>
      <c r="FJ62" s="22" t="s">
        <v>867</v>
      </c>
      <c r="FK62" s="22">
        <v>44902</v>
      </c>
      <c r="FL62" s="29">
        <f t="shared" ca="1" si="30"/>
        <v>3.7142857142857144</v>
      </c>
      <c r="FM62" s="22"/>
      <c r="FN62" s="32"/>
      <c r="FO62" s="29" t="str">
        <f t="shared" ca="1" si="201"/>
        <v>NO APLICA-SALIO DEL PROGRAMA I TRIM</v>
      </c>
      <c r="FP62" s="22"/>
      <c r="FQ62" s="32"/>
      <c r="FR62" s="29" t="str">
        <f t="shared" ca="1" si="202"/>
        <v>NO APLICA-SALIO DEL PROGRAMA I O II TRIM</v>
      </c>
      <c r="FS62" s="22"/>
      <c r="FT62" s="32"/>
      <c r="FU62" s="29" t="str">
        <f>IF(AND(FJ62="",FM62="",FP62="",FS62=""),"",IF(OR(OR(Tabla1[[#This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62" s="28"/>
      <c r="FW62" s="22"/>
      <c r="FX62" s="29" t="str">
        <f t="shared" si="33"/>
        <v>TOMAR EXAMEN</v>
      </c>
      <c r="FY62" s="22">
        <v>44902</v>
      </c>
      <c r="FZ62" s="22">
        <v>44902</v>
      </c>
      <c r="GA62" s="29">
        <f t="shared" ca="1" si="250"/>
        <v>3.7142857142857144</v>
      </c>
      <c r="GB62" s="22"/>
      <c r="GC62" s="22"/>
      <c r="GD62" s="29" t="str">
        <f t="shared" ca="1" si="204"/>
        <v>NO APLICA-SALIO DEL PROGRAMA I TRIM</v>
      </c>
      <c r="GE62" s="22"/>
      <c r="GF62" s="22"/>
      <c r="GG62" s="29" t="str">
        <f t="shared" ca="1" si="205"/>
        <v>NO APLICA-SALIO DEL PROGRAMA I O II TRIM</v>
      </c>
      <c r="GH62" s="22"/>
      <c r="GI62" s="29"/>
      <c r="GJ62" s="22"/>
      <c r="GK62" s="22"/>
      <c r="GL62" s="22"/>
      <c r="GM62" s="22"/>
      <c r="GN62" s="28" t="s">
        <v>869</v>
      </c>
      <c r="GO62" s="22">
        <v>44902</v>
      </c>
      <c r="GP62" s="29">
        <f t="shared" si="37"/>
        <v>3.7142857142857144</v>
      </c>
      <c r="GQ62" s="28" t="s">
        <v>869</v>
      </c>
      <c r="GR62" s="28" t="s">
        <v>869</v>
      </c>
      <c r="GS62" s="22" t="str">
        <f t="shared" si="206"/>
        <v>CONTROL Igm</v>
      </c>
      <c r="GT62" s="22">
        <v>44902</v>
      </c>
      <c r="GU62" s="29">
        <f t="shared" si="39"/>
        <v>3.7142857142857144</v>
      </c>
      <c r="GV62" s="21" t="str">
        <f t="shared" si="40"/>
        <v>I TRIM</v>
      </c>
      <c r="GW62" s="28" t="s">
        <v>869</v>
      </c>
      <c r="GX62" s="30"/>
      <c r="GY62" s="21"/>
      <c r="GZ62" s="21"/>
      <c r="HA62" s="21"/>
      <c r="HB62" s="21"/>
      <c r="HC62" s="21"/>
      <c r="HD62" s="21"/>
      <c r="HE62" s="21"/>
      <c r="HF62" s="22"/>
      <c r="HG62" s="22" t="str">
        <f>IF(OR(O62&gt;0,R62&gt;0),CONCATENATE(IF(Tabla1[[#This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62" s="22" t="e">
        <f t="shared" si="41"/>
        <v>#REF!</v>
      </c>
      <c r="HI62" s="22" t="e">
        <f t="shared" ca="1" si="42"/>
        <v>#REF!</v>
      </c>
      <c r="HJ62" s="21" t="str">
        <f t="shared" ca="1" si="43"/>
        <v>**********************MULTIPARIDAD**RIESGO POR EDAD***************</v>
      </c>
      <c r="HK62" s="21" t="str">
        <f t="shared" si="44"/>
        <v>SIN ANTECEDENTES DE RIESGO</v>
      </c>
      <c r="HL62" s="24" t="str">
        <f t="shared" si="45"/>
        <v>REGISTRE DATO PRESIÓN ARTERIAL MENSUAL</v>
      </c>
      <c r="HM62" s="21" t="str">
        <f t="shared" ca="1" si="46"/>
        <v/>
      </c>
      <c r="HN62" s="30" t="str">
        <f t="shared" si="207"/>
        <v>SALIO PROGRAMA</v>
      </c>
      <c r="HO62" s="21"/>
      <c r="HP62" s="21" t="s">
        <v>854</v>
      </c>
      <c r="HQ62" s="21">
        <v>44902</v>
      </c>
      <c r="HR62" s="21" t="str">
        <f>IF(R62="","",IF(Tabla1[[#This Row],[ALARMA FACTORES DE RIESGO COMPLICACIONES HIPERTENSIVAS3]]="SIN ANTECEDENTES DE RIESGO","No Aplica para suministro de ASA",IF(AND(Tabla1[[#This Row],[FECHA INICIO DE SUMINISTRO DE ASA]]&gt;0,RV62&lt;12),"Inicia ASA ANTES de Sem 12",IF(AND(RV62&gt;11,RV62&lt;17,OR(HK62="RIESGO ALTO DE COMPLICACIONES HIPERTENSIVAS VER MANEJO GUIA SUMINISTRO ASA Y CALCIO",HK62="RIESGO MODERADO (2 O MAS CRITERIOS) VER MANEJO GUIA SUMINISTRO ASA Y CALCIO")),"Inicio oportuno de ASA",IF(AND(RV62&gt;12,OR(HK62="RIESGO ALTO DE COMPLICACIONES HIPERTENSIVAS VER MANEJO GUIA SUMINISTRO ASA Y CALCIO",HK62="RIESGO MODERADO (2 O MAS CRITERIOS) VER MANEJO GUIA SUMINISTRO ASA Y CALCIO")),"Inicio no oportuno mayor a 16 semanas",IF(AND(BU62&lt;12,OR(HK62="RIESGO ALTO DE COMPLICACIONES HIPERTENSIVAS VER MANEJO GUIA SUMINISTRO ASA Y CALCIO",HK62="RIESGO MODERADO (2 O MAS CRITERIOS) VER MANEJO GUIA SUMINISTRO ASA Y CALCIO")),"Pendiente Inicio de ASA a la semana 12",IF(AND(BU62&gt;11,BU62&lt;17,OR(HK62="RIESGO ALTO DE COMPLICACIONES HIPERTENSIVAS VER MANEJO GUIA SUMINISTRO ASA Y CALCIO",HK62="RIESGO MODERADO (2 O MAS CRITERIOS) VER MANEJO GUIA SUMINISTRO ASA Y CALCIO")),"Iniciar de inmediato ASA",IF(AND(BU62&gt;16,OR(HK62="RIESGO ALTO DE COMPLICACIONES HIPERTENSIVAS VER MANEJO GUIA SUMINISTRO ASA Y CALCIO",HK62="RIESGO MODERADO (2 O MAS CRITERIOS) VER MANEJO GUIA SUMINISTRO ASA Y CALCIO")),"Pierde Oportunidad, Inicio tardío de ASA","XXXXX"))))))))</f>
        <v>No Aplica para suministro de ASA</v>
      </c>
      <c r="HS62" s="22">
        <v>44902</v>
      </c>
      <c r="HT62" s="22" t="s">
        <v>935</v>
      </c>
      <c r="HU62" s="22">
        <v>44902</v>
      </c>
      <c r="HV62" s="22" t="s">
        <v>870</v>
      </c>
      <c r="HW62" s="22">
        <v>44902</v>
      </c>
      <c r="HX62" s="22" t="s">
        <v>935</v>
      </c>
      <c r="HY62" s="22">
        <v>44901</v>
      </c>
      <c r="HZ62" s="28">
        <f t="shared" si="48"/>
        <v>3.5714285714285716</v>
      </c>
      <c r="IA62" s="26" t="s">
        <v>864</v>
      </c>
      <c r="IB62" s="26"/>
      <c r="IC62" s="111"/>
      <c r="ID62" s="22"/>
      <c r="IE62" s="22" t="str">
        <f t="shared" ca="1" si="49"/>
        <v/>
      </c>
      <c r="IF62" s="22"/>
      <c r="IG62" s="22">
        <f t="shared" si="50"/>
        <v>45156</v>
      </c>
      <c r="IH62" s="29">
        <f t="shared" ca="1" si="51"/>
        <v>-76</v>
      </c>
      <c r="II62" s="22" t="str">
        <f t="shared" ca="1" si="52"/>
        <v>POSIBLEMENTE NACIO</v>
      </c>
      <c r="IJ62" s="22"/>
      <c r="IK62" s="21" t="s">
        <v>1185</v>
      </c>
      <c r="IL62" s="21"/>
      <c r="IM62" s="34"/>
      <c r="IN62" s="349">
        <v>44929</v>
      </c>
      <c r="IO62" s="21" t="s">
        <v>1186</v>
      </c>
      <c r="IP62" s="29">
        <f t="shared" si="208"/>
        <v>7.5714285714285712</v>
      </c>
      <c r="IQ62" s="110">
        <v>1062077317</v>
      </c>
      <c r="IR62" s="21"/>
      <c r="IS62" s="21"/>
      <c r="IT62" s="21"/>
      <c r="IU62" s="21"/>
      <c r="IV62" s="21"/>
      <c r="IW62" s="21"/>
      <c r="IX62" s="21"/>
      <c r="IY62" s="21"/>
      <c r="IZ62" s="21"/>
      <c r="JA62" s="21"/>
      <c r="JB62" s="30"/>
      <c r="JC62" s="21"/>
      <c r="JD62" s="36"/>
      <c r="JE62" s="21" t="str">
        <f t="shared" si="209"/>
        <v/>
      </c>
      <c r="JF62" s="30"/>
      <c r="JG62" s="21"/>
      <c r="JH62" s="21"/>
      <c r="JI62" s="21"/>
      <c r="JJ62" s="30"/>
      <c r="JK62" s="22"/>
      <c r="JL62" s="22"/>
      <c r="JM62" s="21"/>
      <c r="JN62" s="36"/>
      <c r="JO62" s="21" t="str">
        <f t="shared" si="210"/>
        <v/>
      </c>
      <c r="JP62" s="22"/>
      <c r="JQ62" s="21"/>
      <c r="JR62" s="21"/>
      <c r="JS62" s="21"/>
      <c r="JT62" s="30"/>
      <c r="JU62" s="22"/>
      <c r="JV62" s="22"/>
      <c r="JW62" s="33"/>
      <c r="JX62" s="28" t="str">
        <f t="shared" si="211"/>
        <v/>
      </c>
      <c r="JY62" s="33"/>
      <c r="JZ62" s="28" t="str">
        <f t="shared" si="212"/>
        <v>INASISTENTE</v>
      </c>
      <c r="KA62" s="21"/>
      <c r="KB62" s="21"/>
      <c r="KC62" s="21"/>
      <c r="KD62" s="37"/>
      <c r="KE62" s="28"/>
      <c r="KF62" s="28"/>
      <c r="KG62" s="28"/>
      <c r="KH62" s="39"/>
      <c r="KI62" s="39"/>
      <c r="KJ62" s="66"/>
      <c r="KK62" s="39"/>
      <c r="KL62" s="39"/>
      <c r="KM62" s="66"/>
      <c r="KN62" s="39"/>
      <c r="KO62" s="39"/>
      <c r="KP62" s="39"/>
      <c r="KQ62" s="39"/>
      <c r="KR62" s="39"/>
      <c r="KS62" s="39"/>
      <c r="KT62" s="39"/>
      <c r="KU62" s="38"/>
      <c r="KV62" s="38"/>
      <c r="KW62" s="38"/>
      <c r="KX62" s="38"/>
      <c r="KY62" s="38"/>
      <c r="KZ62" s="38"/>
      <c r="LA62" s="38"/>
      <c r="LB62" s="38"/>
      <c r="LC62" s="38"/>
      <c r="LD62" s="38"/>
      <c r="LE62" s="38"/>
      <c r="LF62" s="38"/>
      <c r="LG62" s="38"/>
      <c r="LH62" s="38"/>
      <c r="LI62" s="38"/>
      <c r="LJ62" s="38"/>
      <c r="LK62" s="38"/>
      <c r="LL62" s="38"/>
      <c r="LM62" s="38"/>
      <c r="LN62" s="38"/>
      <c r="LO62" s="38"/>
      <c r="LP62" s="38"/>
      <c r="LQ62" s="38"/>
      <c r="LR62" s="38"/>
      <c r="LS62" s="38"/>
      <c r="LT62" s="38"/>
      <c r="LU62" s="38"/>
      <c r="LV62" s="38"/>
      <c r="LW62" s="38"/>
      <c r="LX62" s="38"/>
      <c r="LY62" s="38"/>
      <c r="LZ62" s="38"/>
      <c r="MA62" s="38"/>
      <c r="MB62" s="38"/>
      <c r="MC62" s="38"/>
      <c r="MD62" s="38"/>
      <c r="ME62" s="38"/>
      <c r="MF62" s="38"/>
      <c r="MG62" s="38"/>
      <c r="MH62" s="43">
        <f t="shared" si="213"/>
        <v>0</v>
      </c>
      <c r="MI62" s="43" t="str">
        <f t="shared" si="214"/>
        <v/>
      </c>
      <c r="MJ62" s="43" t="str">
        <f t="shared" si="215"/>
        <v/>
      </c>
      <c r="MK62" s="43">
        <f t="shared" si="216"/>
        <v>0</v>
      </c>
      <c r="ML6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62" s="43">
        <f t="shared" si="217"/>
        <v>3.5714285714285716</v>
      </c>
      <c r="MN62" s="43">
        <f t="shared" si="218"/>
        <v>12</v>
      </c>
      <c r="MO62" s="43">
        <f t="shared" si="219"/>
        <v>2022</v>
      </c>
      <c r="MP62" s="43" t="str">
        <f t="shared" si="220"/>
        <v>IV TRIMESTRE AÑO</v>
      </c>
      <c r="MQ62" s="43">
        <f t="shared" si="221"/>
        <v>15.609943057380638</v>
      </c>
      <c r="MR62" s="43">
        <f t="shared" si="222"/>
        <v>1</v>
      </c>
      <c r="MS62" s="43" t="str">
        <f t="shared" si="223"/>
        <v>DE 14 A 19AÑOS</v>
      </c>
      <c r="MT62" s="43">
        <f t="shared" si="224"/>
        <v>0</v>
      </c>
      <c r="MU62" s="43">
        <f t="shared" si="225"/>
        <v>1</v>
      </c>
      <c r="MV62" s="43">
        <f t="shared" si="226"/>
        <v>0</v>
      </c>
      <c r="MW62" s="43">
        <f t="shared" si="227"/>
        <v>0</v>
      </c>
      <c r="MX62" s="43" t="str">
        <f t="shared" si="228"/>
        <v/>
      </c>
      <c r="MY62" s="43" t="str">
        <f t="shared" ca="1" si="229"/>
        <v/>
      </c>
      <c r="MZ62" s="43" t="str">
        <f t="shared" si="230"/>
        <v/>
      </c>
      <c r="NA62" s="43" t="str">
        <f t="shared" si="231"/>
        <v/>
      </c>
      <c r="NB62" s="43" t="str">
        <f t="shared" si="232"/>
        <v/>
      </c>
      <c r="NC62" s="43" t="str">
        <f t="shared" si="233"/>
        <v/>
      </c>
      <c r="ND62" s="43">
        <f t="shared" ca="1" si="234"/>
        <v>2</v>
      </c>
      <c r="NE62" s="43">
        <f>IF(OR(O62&gt;0,R62&gt;0),SUM(COUNTIF(Tabla1[[#This Row],[AÑOS AL INICIO5 CPN]],"&gt;=40"),COUNTIF(AS62,"0"),COUNTIF(AR62,"SI"),COUNTIF(CC62,"SI"),COUNTIF(BQ62,"&gt;119"),COUNTIF(CI62,"&gt;=35")),"")</f>
        <v>1</v>
      </c>
      <c r="NF62" s="43" t="str">
        <f t="shared" si="235"/>
        <v/>
      </c>
      <c r="NG62" s="43">
        <f t="shared" si="236"/>
        <v>0</v>
      </c>
      <c r="NH62" s="43">
        <f t="shared" si="237"/>
        <v>42</v>
      </c>
      <c r="NI62"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CPN",P62="NO"),"Z",IF(AND(Tabla1[[#This Row],[CITA PROXIMO CONTROL]]="CITA MANUAL",Tabla1[[#This Row],[GESTANTES ACTUALES]]="ACTIVA INGRESO A CPN"),"W",IF(AND(Tabla1[[#This Row],[GESTANTES ACTUALES]]="SALIO PROGRAMA",IN62=""),"S",IF(AND(Tabla1[[#This Row],[CITA PROXIMO CONTROL]]&gt;0,IN62=""),(Tabla1[[#This Row],[CITA PROXIMO CONTROL]]-TODAY()),"SD"))))))))</f>
        <v>SD</v>
      </c>
      <c r="NJ62" s="43">
        <f>MONTH(Tabla1[[#This Row],[FECHA DE SALIDA  DEL PROGRAMA]])</f>
        <v>1</v>
      </c>
      <c r="NK62" s="43">
        <f>YEAR(Tabla1[[#This Row],[FECHA DE SALIDA  DEL PROGRAMA]])</f>
        <v>2023</v>
      </c>
      <c r="NL62" s="43">
        <f t="shared" si="238"/>
        <v>13</v>
      </c>
      <c r="NM62" s="43" t="str">
        <f t="shared" si="251"/>
        <v>NO</v>
      </c>
      <c r="NN62" s="43" t="str">
        <f ca="1">IF(AND(O62&gt;0,R62=""),"NO CPN",IF(AND(O62="",R62=""),"",IF(AND(R62&gt;0,Tabla1[[#This Row],[SEMANAS DE GESTACION ACTUALIZADAS]]&lt;=12),"NO APLICA",IF(AND(FH62&lt;&gt;"",FN62&lt;&gt;""),"SI","NO"))))</f>
        <v>NO</v>
      </c>
      <c r="NO62" s="43" t="str">
        <f ca="1">IF(AND(O62&gt;0,R62=""),"NO CPN",IF(AND(O62="",R62=""),"",IF(AND(R62&gt;0,Tabla1[[#This Row],[SEMANAS DE GESTACION ACTUALIZADAS]]&lt;=27),"NO APLICA",IF(AND(ES62&lt;&gt;"",FQ62&lt;&gt;"",GF62&lt;&gt;""),"SI","NO"))))</f>
        <v>NO</v>
      </c>
      <c r="NP62" s="204" t="str">
        <f t="shared" si="240"/>
        <v>I TRIM</v>
      </c>
      <c r="NQ62" s="21" t="str">
        <f t="shared" si="241"/>
        <v/>
      </c>
      <c r="NR62" s="21">
        <f t="shared" si="242"/>
        <v>1</v>
      </c>
      <c r="NS62" s="205">
        <f t="shared" ca="1" si="243"/>
        <v>1</v>
      </c>
      <c r="NT62" s="21">
        <f t="shared" ca="1" si="244"/>
        <v>1</v>
      </c>
      <c r="NU62" s="21" t="str">
        <f t="shared" ca="1" si="245"/>
        <v>COMPLETO</v>
      </c>
      <c r="NV62" s="21" t="str">
        <f t="shared" ca="1" si="246"/>
        <v>COMPLETO</v>
      </c>
      <c r="NW62" s="206" t="str">
        <f>IF(AND(O62="",R62=""),"",IF(OR(AND(Tabla1[[#This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62" s="207" t="str">
        <f t="shared" ca="1" si="247"/>
        <v>SIN VACUNAR</v>
      </c>
      <c r="NY62" s="43">
        <f>ROW(Tabla1[[#This Row],['# DE TAMIZAJES SIFILIS TOMADOS ]])</f>
        <v>62</v>
      </c>
      <c r="NZ62" s="43" t="str">
        <f t="shared" si="93"/>
        <v>Menor</v>
      </c>
      <c r="OA62" s="43" t="str">
        <f t="shared" si="94"/>
        <v>NORMAL</v>
      </c>
      <c r="OB62" s="43" t="str">
        <f t="shared" si="95"/>
        <v/>
      </c>
      <c r="OC62" s="43" t="str">
        <f t="shared" si="96"/>
        <v/>
      </c>
      <c r="OD62" s="43" t="str">
        <f t="shared" si="97"/>
        <v/>
      </c>
      <c r="OE62" s="43" t="str">
        <f t="shared" si="98"/>
        <v/>
      </c>
      <c r="OF62" s="43" t="str">
        <f t="shared" si="99"/>
        <v/>
      </c>
      <c r="OG62" s="43" t="str">
        <f t="shared" si="100"/>
        <v/>
      </c>
      <c r="OH62" s="43" t="str">
        <f t="shared" si="101"/>
        <v/>
      </c>
      <c r="OI62" s="43" t="str">
        <f t="shared" si="102"/>
        <v/>
      </c>
      <c r="OJ62" s="43" t="str">
        <f t="shared" si="103"/>
        <v/>
      </c>
      <c r="OK62" s="43" t="str">
        <f t="shared" si="104"/>
        <v/>
      </c>
      <c r="OL62" s="43" t="str">
        <f t="shared" si="105"/>
        <v/>
      </c>
      <c r="OM62" s="43" t="str">
        <f t="shared" si="106"/>
        <v/>
      </c>
      <c r="ON62" s="43" t="str">
        <f t="shared" si="107"/>
        <v/>
      </c>
      <c r="OO62" s="43" t="str">
        <f t="shared" si="108"/>
        <v/>
      </c>
      <c r="OP62" s="43" t="str">
        <f t="shared" si="109"/>
        <v/>
      </c>
      <c r="OQ62" s="43" t="str">
        <f t="shared" si="110"/>
        <v/>
      </c>
      <c r="OR62" s="43" t="str">
        <f t="shared" si="111"/>
        <v/>
      </c>
      <c r="OS62" s="43" t="str">
        <f t="shared" si="112"/>
        <v/>
      </c>
      <c r="OT62" s="43" t="str">
        <f t="shared" si="113"/>
        <v/>
      </c>
      <c r="OU62" s="43" t="str">
        <f t="shared" si="114"/>
        <v/>
      </c>
      <c r="OV62" s="110" t="str">
        <f t="shared" si="115"/>
        <v/>
      </c>
      <c r="OW62" s="43" t="str">
        <f t="shared" si="116"/>
        <v/>
      </c>
      <c r="OX62" s="43" t="str">
        <f t="shared" si="117"/>
        <v/>
      </c>
      <c r="OY62" s="43" t="str">
        <f t="shared" si="118"/>
        <v/>
      </c>
      <c r="OZ62" s="43" t="str">
        <f t="shared" si="119"/>
        <v/>
      </c>
      <c r="PA62" s="43" t="str">
        <f t="shared" si="120"/>
        <v/>
      </c>
      <c r="PB62" s="43" t="str">
        <f t="shared" si="121"/>
        <v/>
      </c>
      <c r="PC62" s="43" t="str">
        <f t="shared" si="122"/>
        <v/>
      </c>
      <c r="PD62" s="43" t="str">
        <f t="shared" si="123"/>
        <v/>
      </c>
      <c r="PE62" s="43" t="str">
        <f t="shared" si="124"/>
        <v/>
      </c>
      <c r="PF62" s="43" t="str">
        <f t="shared" si="125"/>
        <v/>
      </c>
      <c r="PG62" s="43" t="str">
        <f t="shared" si="126"/>
        <v/>
      </c>
      <c r="PH62" s="43" t="str">
        <f t="shared" si="127"/>
        <v/>
      </c>
      <c r="PI62" s="43" t="str">
        <f t="shared" si="128"/>
        <v>Menor</v>
      </c>
      <c r="PJ62" s="43" t="str">
        <f t="shared" si="129"/>
        <v/>
      </c>
      <c r="PK62" s="43" t="str">
        <f t="shared" si="130"/>
        <v/>
      </c>
      <c r="PL62" s="43" t="str">
        <f t="shared" si="131"/>
        <v/>
      </c>
      <c r="PM62" s="43" t="str">
        <f t="shared" si="132"/>
        <v/>
      </c>
      <c r="PN62" s="43" t="str">
        <f t="shared" si="133"/>
        <v/>
      </c>
      <c r="PO62" s="43" t="str">
        <f t="shared" si="134"/>
        <v/>
      </c>
      <c r="PP62" s="43" t="str">
        <f t="shared" si="135"/>
        <v/>
      </c>
      <c r="PQ62" s="43" t="str">
        <f t="shared" si="136"/>
        <v/>
      </c>
      <c r="PR62" s="43" t="str">
        <f t="shared" si="137"/>
        <v/>
      </c>
      <c r="PS62" s="43" t="str">
        <f t="shared" si="138"/>
        <v/>
      </c>
      <c r="PT62" s="43" t="str">
        <f t="shared" si="139"/>
        <v/>
      </c>
      <c r="PU62" s="43" t="str">
        <f t="shared" si="140"/>
        <v/>
      </c>
      <c r="PV62" s="43" t="str">
        <f t="shared" si="141"/>
        <v/>
      </c>
      <c r="PW62" s="43" t="str">
        <f t="shared" si="142"/>
        <v/>
      </c>
      <c r="PX62" s="43" t="str">
        <f t="shared" si="143"/>
        <v/>
      </c>
      <c r="PY62" s="43" t="str">
        <f t="shared" si="144"/>
        <v/>
      </c>
      <c r="PZ62" s="43" t="str">
        <f t="shared" si="145"/>
        <v/>
      </c>
      <c r="QA62" s="43" t="str">
        <f t="shared" si="146"/>
        <v/>
      </c>
      <c r="QB62" s="43" t="str">
        <f t="shared" si="147"/>
        <v/>
      </c>
      <c r="QC62" s="43" t="str">
        <f t="shared" si="148"/>
        <v/>
      </c>
      <c r="QD62" s="43" t="str">
        <f t="shared" si="149"/>
        <v/>
      </c>
      <c r="QE62" s="43" t="str">
        <f t="shared" si="150"/>
        <v/>
      </c>
      <c r="QF62" s="43" t="str">
        <f t="shared" si="151"/>
        <v/>
      </c>
      <c r="QG62" s="43" t="str">
        <f t="shared" si="152"/>
        <v/>
      </c>
      <c r="QH62" s="43" t="str">
        <f t="shared" si="153"/>
        <v/>
      </c>
      <c r="QI62" s="43" t="str">
        <f t="shared" si="154"/>
        <v/>
      </c>
      <c r="QJ62" s="43" t="str">
        <f t="shared" si="155"/>
        <v/>
      </c>
      <c r="QK62" s="43" t="str">
        <f t="shared" si="156"/>
        <v/>
      </c>
      <c r="QL62" s="43" t="str">
        <f t="shared" si="157"/>
        <v/>
      </c>
      <c r="QM62" s="43" t="str">
        <f t="shared" si="158"/>
        <v/>
      </c>
      <c r="QN62" s="43" t="str">
        <f t="shared" si="159"/>
        <v/>
      </c>
      <c r="QO62" s="43" t="str">
        <f t="shared" si="160"/>
        <v/>
      </c>
      <c r="QP62" s="43" t="str">
        <f t="shared" si="161"/>
        <v/>
      </c>
      <c r="QQ62" s="43" t="str">
        <f t="shared" si="162"/>
        <v/>
      </c>
      <c r="QR62" s="43" t="str">
        <f t="shared" si="192"/>
        <v>Menor</v>
      </c>
      <c r="QS62" s="43"/>
      <c r="QT62" s="21" t="str">
        <f t="shared" si="163"/>
        <v/>
      </c>
      <c r="QU62" s="21" t="str">
        <f t="shared" si="164"/>
        <v/>
      </c>
      <c r="QV62" s="21" t="str">
        <f t="shared" si="165"/>
        <v/>
      </c>
      <c r="QW62" s="21" t="str">
        <f t="shared" si="166"/>
        <v/>
      </c>
      <c r="QX62" s="21" t="str">
        <f t="shared" si="167"/>
        <v/>
      </c>
      <c r="QY62" s="21" t="str">
        <f t="shared" si="168"/>
        <v/>
      </c>
      <c r="QZ62" s="21" t="str">
        <f t="shared" si="169"/>
        <v/>
      </c>
      <c r="RA62" s="21" t="str">
        <f t="shared" si="170"/>
        <v/>
      </c>
      <c r="RB62" s="21" t="str">
        <f t="shared" si="171"/>
        <v/>
      </c>
      <c r="RC62" s="21" t="str">
        <f t="shared" si="172"/>
        <v/>
      </c>
      <c r="RD62" s="21" t="str">
        <f t="shared" si="173"/>
        <v/>
      </c>
      <c r="RE62" s="21" t="str">
        <f t="shared" si="174"/>
        <v/>
      </c>
      <c r="RF62" s="21" t="str">
        <f t="shared" si="175"/>
        <v/>
      </c>
      <c r="RG62" s="21" t="str">
        <f t="shared" si="176"/>
        <v/>
      </c>
      <c r="RH62" s="21" t="str">
        <f t="shared" si="177"/>
        <v/>
      </c>
      <c r="RI62" s="21" t="str">
        <f t="shared" si="178"/>
        <v/>
      </c>
      <c r="RJ62" s="21" t="str">
        <f t="shared" si="179"/>
        <v/>
      </c>
      <c r="RK62" s="21" t="str">
        <f t="shared" si="180"/>
        <v/>
      </c>
      <c r="RL62" s="21" t="str">
        <f t="shared" si="181"/>
        <v/>
      </c>
      <c r="RM62" s="21" t="str">
        <f t="shared" si="182"/>
        <v/>
      </c>
      <c r="RN62" s="21" t="str">
        <f t="shared" si="183"/>
        <v/>
      </c>
      <c r="RO62" s="21" t="str">
        <f t="shared" si="184"/>
        <v/>
      </c>
      <c r="RP62" s="21" t="str">
        <f t="shared" si="185"/>
        <v/>
      </c>
      <c r="RQ62" s="21" t="str">
        <f t="shared" si="186"/>
        <v/>
      </c>
      <c r="RR62" s="21" t="str">
        <f t="shared" si="187"/>
        <v/>
      </c>
      <c r="RS62" s="21" t="str">
        <f t="shared" si="188"/>
        <v/>
      </c>
      <c r="RT62" s="21" t="str">
        <f t="shared" si="189"/>
        <v/>
      </c>
      <c r="RU62" s="21" t="str">
        <f t="shared" si="190"/>
        <v/>
      </c>
      <c r="RV62" s="21">
        <f t="shared" si="191"/>
        <v>3.7142857142857144</v>
      </c>
      <c r="RW62" s="284">
        <f>IF(OR(Tabla1[[#This Row],[FUM FORMULA CONFIABLE]]="",Tabla1[[#This Row],[FUM FORMULA CONFIABLE]]="SD"),"",IF(Tabla1[[#This Row],[FUM FORMULA CONFIABLE]]="CORREGIDA",Tabla1[[#This Row],[FUM X ECO 1]],Tabla1[[#This Row],[FUM x AMENORREA]]))</f>
        <v>44876</v>
      </c>
      <c r="RX62" s="21">
        <f>IF(AND(Tabla1[[#This Row],[FUM X ECO 1]]="",Tabla1[[#This Row],[FUM x AMENORREA]]=""),"",IF(AND(Tabla1[[#This Row],[FUM X ECO 1]]="",Tabla1[[#This Row],[FUM x AMENORREA]]&lt;&gt;""),"X",SUM(Tabla1[[#This Row],[FUM X ECO 1]]-Tabla1[[#This Row],[FUM x AMENORREA]])))</f>
        <v>0</v>
      </c>
      <c r="RY62" s="21">
        <f t="shared" si="193"/>
        <v>0</v>
      </c>
    </row>
    <row r="63" spans="1:493" ht="45" customHeight="1" x14ac:dyDescent="0.25">
      <c r="A63" s="109"/>
      <c r="B63" s="43"/>
      <c r="C63" s="43" t="s">
        <v>845</v>
      </c>
      <c r="D63" s="124" t="s">
        <v>846</v>
      </c>
      <c r="E63" s="43" t="s">
        <v>1187</v>
      </c>
      <c r="F63" s="43" t="s">
        <v>1188</v>
      </c>
      <c r="G63" s="43" t="s">
        <v>1189</v>
      </c>
      <c r="H63" s="43" t="s">
        <v>1190</v>
      </c>
      <c r="I63" s="109" t="s">
        <v>1094</v>
      </c>
      <c r="J63" s="110">
        <v>1062077317</v>
      </c>
      <c r="K63" s="43" t="s">
        <v>852</v>
      </c>
      <c r="L63" s="175" t="s">
        <v>886</v>
      </c>
      <c r="M63" s="22">
        <v>38599</v>
      </c>
      <c r="N63" s="213">
        <f t="shared" ca="1" si="0"/>
        <v>18.172602739726027</v>
      </c>
      <c r="O63" s="22">
        <v>44901</v>
      </c>
      <c r="P63" s="214" t="str">
        <f t="shared" si="194"/>
        <v>SI</v>
      </c>
      <c r="Q63" s="26" t="s">
        <v>855</v>
      </c>
      <c r="R63" s="22">
        <v>44901</v>
      </c>
      <c r="S63" s="21" t="s">
        <v>856</v>
      </c>
      <c r="T63" s="24" t="s">
        <v>690</v>
      </c>
      <c r="U63" s="21" t="s">
        <v>857</v>
      </c>
      <c r="V63" s="21" t="s">
        <v>858</v>
      </c>
      <c r="W63" s="21" t="s">
        <v>1191</v>
      </c>
      <c r="X63" s="21" t="s">
        <v>1191</v>
      </c>
      <c r="Y63" s="21" t="s">
        <v>859</v>
      </c>
      <c r="Z63" s="21">
        <v>3148084194</v>
      </c>
      <c r="AA63" s="21" t="s">
        <v>860</v>
      </c>
      <c r="AB63" s="27" t="s">
        <v>861</v>
      </c>
      <c r="AC63" s="26" t="s">
        <v>888</v>
      </c>
      <c r="AD63" s="38" t="s">
        <v>846</v>
      </c>
      <c r="AE63" s="26" t="s">
        <v>854</v>
      </c>
      <c r="AF63" s="26" t="s">
        <v>854</v>
      </c>
      <c r="AG63" s="23" t="s">
        <v>864</v>
      </c>
      <c r="AH63" s="23" t="s">
        <v>864</v>
      </c>
      <c r="AI63" s="24" t="s">
        <v>863</v>
      </c>
      <c r="AJ63" s="23" t="s">
        <v>864</v>
      </c>
      <c r="AK63" s="220" t="str">
        <f>IF(AND(AD63="",AE63="",AF63="",AG63="",AH63="",AI63="",AJ63=""),"",IF(OR(Tabla1[[#This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EVALUACIÓN",IF(AND(O63="",R63=""),"",IF(AND(OR(O63&gt;0,R63&gt;0),NG63&gt;=0,NG63&lt;2),"SIN RIESGO",IF(AND(OR(O63&gt;0,R63&gt;0),NG63&gt;=2),"CON RIESGO","ASD")))))</f>
        <v>SIN RIESGO</v>
      </c>
      <c r="AL63" s="23" t="s">
        <v>864</v>
      </c>
      <c r="AM63" s="26" t="s">
        <v>864</v>
      </c>
      <c r="AN63" s="26" t="s">
        <v>864</v>
      </c>
      <c r="AO63" s="26" t="s">
        <v>864</v>
      </c>
      <c r="AP63" s="26" t="s">
        <v>864</v>
      </c>
      <c r="AQ63" s="26" t="s">
        <v>864</v>
      </c>
      <c r="AR63" s="26" t="s">
        <v>864</v>
      </c>
      <c r="AS63" s="21">
        <v>0</v>
      </c>
      <c r="AT63" s="21">
        <v>0</v>
      </c>
      <c r="AU63" s="21">
        <v>0</v>
      </c>
      <c r="AV63" s="26" t="s">
        <v>864</v>
      </c>
      <c r="AW63" s="21">
        <v>0</v>
      </c>
      <c r="AX63" s="26" t="s">
        <v>864</v>
      </c>
      <c r="AY63" s="26" t="s">
        <v>864</v>
      </c>
      <c r="AZ63" s="26" t="s">
        <v>864</v>
      </c>
      <c r="BA63" s="26" t="s">
        <v>864</v>
      </c>
      <c r="BB63" s="26" t="s">
        <v>864</v>
      </c>
      <c r="BC63" s="26" t="s">
        <v>864</v>
      </c>
      <c r="BD63" s="26" t="s">
        <v>864</v>
      </c>
      <c r="BE63" s="26" t="s">
        <v>864</v>
      </c>
      <c r="BF63" s="26" t="s">
        <v>864</v>
      </c>
      <c r="BG63" s="26" t="s">
        <v>864</v>
      </c>
      <c r="BH63" s="26" t="s">
        <v>864</v>
      </c>
      <c r="BI63" s="26" t="s">
        <v>864</v>
      </c>
      <c r="BJ63" s="26"/>
      <c r="BK63" s="26"/>
      <c r="BL63" s="26" t="s">
        <v>864</v>
      </c>
      <c r="BM63" s="26" t="s">
        <v>864</v>
      </c>
      <c r="BN63" s="22"/>
      <c r="BO63" s="22">
        <v>44819</v>
      </c>
      <c r="BP63" s="21" t="s">
        <v>854</v>
      </c>
      <c r="BQ63" s="222">
        <f t="shared" si="2"/>
        <v>0</v>
      </c>
      <c r="BR63" s="223">
        <f t="shared" si="3"/>
        <v>44789.3</v>
      </c>
      <c r="BS63" s="224">
        <f t="shared" si="4"/>
        <v>11.714285714285714</v>
      </c>
      <c r="BT63" s="216" t="str">
        <f t="shared" si="5"/>
        <v>II TRIM</v>
      </c>
      <c r="BU63" s="214" t="str">
        <f t="shared" ca="1" si="6"/>
        <v/>
      </c>
      <c r="BV63" s="25"/>
      <c r="BW63" s="22">
        <v>44888</v>
      </c>
      <c r="BX63" s="28">
        <v>14.1</v>
      </c>
      <c r="BY63" s="28"/>
      <c r="BZ63" s="22">
        <v>45283</v>
      </c>
      <c r="CA63" s="21">
        <v>14.1</v>
      </c>
      <c r="CB63" s="26" t="s">
        <v>864</v>
      </c>
      <c r="CC63" s="26" t="s">
        <v>864</v>
      </c>
      <c r="CD63" s="26" t="s">
        <v>865</v>
      </c>
      <c r="CE63" s="26" t="s">
        <v>864</v>
      </c>
      <c r="CF63" s="22" t="s">
        <v>1517</v>
      </c>
      <c r="CG63" s="21">
        <v>1.54</v>
      </c>
      <c r="CH63" s="21">
        <v>55</v>
      </c>
      <c r="CI63" s="214">
        <f t="shared" si="7"/>
        <v>23.19109461966605</v>
      </c>
      <c r="CJ63" s="225" t="e">
        <f>IF(AND(CI63&lt;10,CH63="SD"),"SIN DATO PESO PREGESTACION O I TRIM",IF(AND(OR(R63&gt;0,O63&gt;0),CI63="X"),"INGRESAR DATO DE PESO",IF(CI63="SD","INGRESAR DATO DE TALLA Y PESO",IF(AND(OR(Tabla1[[#This Row],[MOMENTO EN QUE SE REALIZA EL PESO AL INGRESO A CPN]]="PREGESTACIÓN",NZ63="Menor"),CI63&lt;18.5),"BAJO PESO",IF(AND(OR(Tabla1[[#This Row],[MOMENTO EN QUE SE REALIZA EL PESO AL INGRESO A CPN]]="PREGESTACIÓN",NZ63="Menor"),CI63&lt;25),"NORMAL",IF(AND(OR(Tabla1[[#This Row],[MOMENTO EN QUE SE REALIZA EL PESO AL INGRESO A CPN]]="PREGESTACIÓN",NZ63="Menor"),CI63&lt;30),"SOBREPESO",IF(AND(OR(Tabla1[[#This Row],[MOMENTO EN QUE SE REALIZA EL PESO AL INGRESO A CPN]]="PREGESTACIÓN",NZ63="Menor"),CI63&gt;=30,CI63&lt;50),"OBESIDAD",IF(AND(BS63&gt;0,Tabla1[[#This Row],[MOMENTO EN QUE SE REALIZA EL PESO AL INGRESO A CPN]]="GESTACIÓN"),HLOOKUP(NZ63,$OA$2:PH63,NY63),""))))))))</f>
        <v>#REF!</v>
      </c>
      <c r="CK63" s="212">
        <f t="shared" si="8"/>
        <v>45049</v>
      </c>
      <c r="CL63" s="21">
        <v>69.8</v>
      </c>
      <c r="CM63" s="214">
        <f t="shared" si="9"/>
        <v>29.431607353685276</v>
      </c>
      <c r="CN63" s="216">
        <f t="shared" si="10"/>
        <v>32</v>
      </c>
      <c r="CO63" s="216" t="e">
        <f>IF(PI63="","",IF(PI63&gt;0,HLOOKUP(PI63,$PJ$2:QQ63,NY63),""))</f>
        <v>#REF!</v>
      </c>
      <c r="CP63" s="21">
        <v>32</v>
      </c>
      <c r="CQ63" s="216" t="e">
        <f>IF(QR63="Menor","NO APLICA-MENOR 13 SEM",IF(AND(CC63="SI",CN63&gt;23),"NO APLICA- GEMELAR",IF(QR63="","",IF(QR63&gt;0,HLOOKUP(QR63,$QS$2:RU63,NY63),""))))</f>
        <v>#REF!</v>
      </c>
      <c r="CR63" s="21">
        <v>100</v>
      </c>
      <c r="CS63" s="21">
        <v>60</v>
      </c>
      <c r="CT63" s="217" t="str">
        <f>IF(R63="","",IF(AND(BS63&gt;1,BS63&lt;12,Tabla1[[#This Row],[T.A. SISTOLICA - ANTES DE SEMANA 12]]="",Tabla1[[#This Row],[T.A. DIASTOLICA - ANTES DE SEMANA 12]]=""),"REGISTRE DATO TA ANTES SEMANA 12",IF(AND(BS63&gt;11,BS63&lt;43,Tabla1[[#This Row],[T.A. SISTOLICA - ANTES DE SEMANA 12]]="",Tabla1[[#This Row],[T.A. DIASTOLICA - ANTES DE SEMANA 12]]=""),"NO APLICA REGISTRO TA-INGRESO TARDIO",IF(AND(OR(O63&gt;0,R63&gt;0),OR(CR63&gt;=140,CS63&gt;=90)),"DEFINIR ESTADIO HTA",IF(AND(OR(O63&gt;0,R63&gt;0),AND(CR63&gt;120,CR63&lt;=139)),"PRE HTA SEGUIMIENTO",IF(AND(OR(O63&gt;0,R63&gt;0),AND(CS63&gt;80,CS63&lt;=89)),"PRE HTA SEGUIMIENTO",IF(AND(OR(O63&gt;0,R63&gt;0),AND(CR63&gt;=80,CR63&lt;=120)),"APARENTEMENTE NORMAL",IF(AND(OR(O63&gt;0,R63&gt;0),AND(CS63&gt;=50,CS63&lt;=80)),"APARENTEMENTE NORMAL",IF(AND(OR(O63&gt;0,R63&gt;0),AND(CR63&gt;1,CR63&lt;=70),AND(CS63&gt;1,CS63&lt;=40)),"HIPOTENSIÓN","")))))))))</f>
        <v>APARENTEMENTE NORMAL</v>
      </c>
      <c r="CU63" s="21">
        <v>100</v>
      </c>
      <c r="CV63" s="21">
        <v>60</v>
      </c>
      <c r="CW63" s="217" t="str">
        <f ca="1">IF(R63="","",IF(AND(CN63&gt;19,CN63&lt;27,Tabla1[[#This Row],[T.A. SISTOLICA (Entre semana 20 y 26)]]="",Tabla1[[#This Row],[T.A. DIATOLICA (Entre semana 20 y 26)]]=""),"ACUDE A CONTROL SEM 20 A 26 REGISTRE TA AHORA",IF(AND(BS63&gt;1,BS63&lt;27,BU63&gt;19,Tabla1[[#This Row],[T.A. SISTOLICA (Entre semana 20 y 26)]]="",Tabla1[[#This Row],[T.A. DIATOLICA (Entre semana 20 y 26)]]=""),"COMPLETE REGISTRO TA CONTROL SEM 20 A26 ",IF(AND(BS63&gt;26,BS63&lt;43,Tabla1[[#This Row],[T.A. SISTOLICA (Entre semana 20 y 26)]]="",Tabla1[[#This Row],[T.A. DIATOLICA (Entre semana 20 y 26)]]=""),"NO APLICA REGISTRO TA-INGRESO TARDIO",IF(AND(OR(O63&gt;0,R63&gt;0),OR(CU63&gt;=140,CV63&gt;=90)),"ALTO RIESGO PREECLAMPSIA,DEFINIR ESTADIO HTA",IF(AND(OR(O63&gt;0,R63&gt;0),AND(CU63&gt;120,CU63&lt;=139)),"PRE HTA SEGUIMIENTO,RIESGO HIPERTENSION INDUCIDA POR EL EMBARAZO",IF(AND(OR(O63&gt;0,R63&gt;0),AND(CV63&gt;80,CV63&lt;=89)),"PRE HTA SEGUIMIENTO, RIESGO HIPERTENSION INDUCIDA POR EL EMBARAZO",IF(AND(OR(O63&lt;&gt;"",R63&lt;&gt;""),CS63&lt;&gt;"",CV63&lt;&gt;"",CS63&lt;=CV63),"VIGILAR CIFRAS PRESION ARTERIAL",IF(AND(OR(O63&gt;0,R63&gt;0),AND(CU63&gt;120,CU63&lt;=139)),"PRE HTA SEGUIMIENTO",IF(AND(OR(O63&gt;0,R63&gt;0),AND(CU63&gt;1,CU63&lt;=70),AND(CV63&gt;1,CV63&lt;=40)),"HIPOTENSIÓN",IF(AND(OR(O63&lt;&gt;"",R63&lt;&gt;""),CS63&lt;&gt;"",CV63&lt;&gt;"",CS63&gt;CV63),"APARENTEMENTE NORMAL",IF(AND(OR(O63&gt;0,R63&gt;0),AND(CU63&gt;=80,CU63&lt;=120)),"APARENTEMENTE NORMAL",IF(AND(OR(O63&gt;0,R63&gt;0),AND(CV63&gt;=50,CV63&lt;=80)),"APARENTEMENTE NORMAL","")))))))))))))</f>
        <v>VIGILAR CIFRAS PRESION ARTERIAL</v>
      </c>
      <c r="CX63" s="21">
        <v>100</v>
      </c>
      <c r="CY63" s="21">
        <v>60</v>
      </c>
      <c r="CZ63" s="216" t="str">
        <f t="shared" si="195"/>
        <v>APARENTEMENTE NORMAL</v>
      </c>
      <c r="DA63" s="21">
        <v>100</v>
      </c>
      <c r="DB63" s="21">
        <v>60</v>
      </c>
      <c r="DC63" s="217" t="str">
        <f t="shared" si="12"/>
        <v>APARENTEMENTE NORMAL</v>
      </c>
      <c r="DD63" s="22">
        <v>44901</v>
      </c>
      <c r="DE63" s="22">
        <v>44901</v>
      </c>
      <c r="DF63" s="22">
        <v>44938</v>
      </c>
      <c r="DG63" s="22">
        <v>45010</v>
      </c>
      <c r="DH63" s="22">
        <v>45017</v>
      </c>
      <c r="DI63" s="22">
        <v>45049</v>
      </c>
      <c r="DJ63" s="22"/>
      <c r="DK63" s="22"/>
      <c r="DL63" s="22"/>
      <c r="DM63" s="22"/>
      <c r="DN63" s="22"/>
      <c r="DO63" s="22"/>
      <c r="DP63" s="22"/>
      <c r="DQ63" s="22"/>
      <c r="DR63" s="28">
        <v>2</v>
      </c>
      <c r="DS63" s="22"/>
      <c r="DT63" s="22"/>
      <c r="DU63" s="216" t="str">
        <f t="shared" ca="1" si="196"/>
        <v>SALE SIN PLAN DE PARTO</v>
      </c>
      <c r="DV63" s="226" t="str">
        <f t="shared" si="197"/>
        <v>SALIO PROGRAMA</v>
      </c>
      <c r="DW63"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63" s="216" t="str">
        <f t="shared" ca="1" si="15"/>
        <v/>
      </c>
      <c r="DY63" s="212">
        <f>IF(R63="","",IF(R63&gt;0,MAX(Tabla1[[#This Row],[FECHA C2]:[FECHA C13]],Tabla1[[#This Row],[FECHA CONSULTA PRIMERA VEZ PROGRAMA CPN ]])))</f>
        <v>45049</v>
      </c>
      <c r="DZ63" s="216">
        <f t="shared" si="16"/>
        <v>32</v>
      </c>
      <c r="EA63" s="222">
        <f>IF(R63&gt;0,SUM(COUNTA(DF63:DQ63)+COUNTA(Tabla1[[#This Row],[FECHA CONSULTA PRIMERA VEZ PROGRAMA CPN ]])),"")</f>
        <v>5</v>
      </c>
      <c r="EB63" s="222" t="str">
        <f t="shared" si="17"/>
        <v>SI</v>
      </c>
      <c r="EC63" s="214">
        <f t="shared" si="18"/>
        <v>9</v>
      </c>
      <c r="ED63" s="227">
        <f t="shared" si="19"/>
        <v>0.55555555555555558</v>
      </c>
      <c r="EE63" s="22">
        <v>44901</v>
      </c>
      <c r="EF63" s="22">
        <v>44918</v>
      </c>
      <c r="EG63" s="22">
        <v>44901</v>
      </c>
      <c r="EH63" s="22"/>
      <c r="EI63" s="22">
        <v>44901</v>
      </c>
      <c r="EJ63" s="22"/>
      <c r="EK63" s="22"/>
      <c r="EL63" s="21"/>
      <c r="EM63" s="21">
        <v>14.6</v>
      </c>
      <c r="EN63" s="22">
        <v>44901</v>
      </c>
      <c r="EO63" s="222">
        <f t="shared" si="20"/>
        <v>11.714285714285714</v>
      </c>
      <c r="EP63" s="214" t="str">
        <f t="shared" si="21"/>
        <v>NO DAR SULFATO FERROSO</v>
      </c>
      <c r="EQ63" s="216" t="str">
        <f t="shared" si="22"/>
        <v>I TRIM</v>
      </c>
      <c r="ER63" s="24"/>
      <c r="ES63" s="22"/>
      <c r="ET63" s="29" t="str">
        <f t="shared" ca="1" si="198"/>
        <v>SALE SIN TAMIZAJE HEMOGLOBINA SEM 28</v>
      </c>
      <c r="EU63" s="25" t="str">
        <f t="shared" si="24"/>
        <v/>
      </c>
      <c r="EV63" s="24" t="s">
        <v>866</v>
      </c>
      <c r="EW63" s="24">
        <v>44901</v>
      </c>
      <c r="EX63" s="22"/>
      <c r="EY63" s="29">
        <f t="shared" si="248"/>
        <v>11.714285714285714</v>
      </c>
      <c r="EZ63" s="25" t="str">
        <f t="shared" ca="1" si="249"/>
        <v/>
      </c>
      <c r="FA63" s="21">
        <v>78</v>
      </c>
      <c r="FB63" s="22">
        <v>44901</v>
      </c>
      <c r="FC63" s="29">
        <f t="shared" si="27"/>
        <v>11.714285714285714</v>
      </c>
      <c r="FD63" s="29"/>
      <c r="FE63" s="29"/>
      <c r="FF63" s="29"/>
      <c r="FG63" s="21" t="str">
        <f t="shared" ca="1" si="28"/>
        <v/>
      </c>
      <c r="FH63" s="31"/>
      <c r="FI63" s="29" t="str">
        <f t="shared" si="29"/>
        <v>TOMAR EXAMEN</v>
      </c>
      <c r="FJ63" s="22"/>
      <c r="FK63" s="22"/>
      <c r="FL63" s="29" t="str">
        <f t="shared" ca="1" si="30"/>
        <v>PIERDE TOMA DE TAMIZAJE</v>
      </c>
      <c r="FM63" s="22" t="s">
        <v>867</v>
      </c>
      <c r="FN63" s="32">
        <v>44901</v>
      </c>
      <c r="FO63" s="29" t="str">
        <f t="shared" ca="1" si="201"/>
        <v>REGISTRAR EN I TRIMESTRE</v>
      </c>
      <c r="FP63" s="22"/>
      <c r="FQ63" s="32"/>
      <c r="FR63" s="29" t="str">
        <f t="shared" ca="1" si="202"/>
        <v>PIERDE TOMA DE TAMIZAJE</v>
      </c>
      <c r="FS63" s="22"/>
      <c r="FT63" s="32"/>
      <c r="FU63" s="29" t="str">
        <f>IF(AND(FJ63="",FM63="",FP63="",FS63=""),"",IF(OR(OR(Tabla1[[#This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63" s="28"/>
      <c r="FW63" s="22"/>
      <c r="FX63" s="29" t="str">
        <f t="shared" si="33"/>
        <v>TOMAR EXAMEN</v>
      </c>
      <c r="FY63" s="22">
        <v>44901</v>
      </c>
      <c r="FZ63" s="22">
        <v>44901</v>
      </c>
      <c r="GA63" s="29">
        <f t="shared" ca="1" si="250"/>
        <v>11.714285714285714</v>
      </c>
      <c r="GB63" s="22" t="s">
        <v>868</v>
      </c>
      <c r="GC63" s="22">
        <v>44901</v>
      </c>
      <c r="GD63" s="29" t="str">
        <f t="shared" ca="1" si="204"/>
        <v>REGISTRAR EN I TRIMESTRE</v>
      </c>
      <c r="GE63" s="22"/>
      <c r="GF63" s="22"/>
      <c r="GG63" s="29" t="str">
        <f t="shared" ca="1" si="205"/>
        <v>PIERDE TOMA DE TAMIZAJE</v>
      </c>
      <c r="GH63" s="22"/>
      <c r="GI63" s="29"/>
      <c r="GJ63" s="22"/>
      <c r="GK63" s="22"/>
      <c r="GL63" s="22"/>
      <c r="GM63" s="22"/>
      <c r="GN63" s="28" t="s">
        <v>869</v>
      </c>
      <c r="GO63" s="22">
        <v>44901</v>
      </c>
      <c r="GP63" s="29">
        <f t="shared" si="37"/>
        <v>11.714285714285714</v>
      </c>
      <c r="GQ63" s="28" t="s">
        <v>880</v>
      </c>
      <c r="GR63" s="28" t="s">
        <v>869</v>
      </c>
      <c r="GS63" s="22" t="str">
        <f t="shared" si="206"/>
        <v>SE EXCLUYE INFECCION</v>
      </c>
      <c r="GT63" s="22">
        <v>44901</v>
      </c>
      <c r="GU63" s="29">
        <f t="shared" si="39"/>
        <v>11.714285714285714</v>
      </c>
      <c r="GV63" s="21" t="str">
        <f t="shared" si="40"/>
        <v>I TRIM</v>
      </c>
      <c r="GW63" s="28" t="s">
        <v>869</v>
      </c>
      <c r="GX63" s="30"/>
      <c r="GY63" s="21"/>
      <c r="GZ63" s="21"/>
      <c r="HA63" s="21"/>
      <c r="HB63" s="21"/>
      <c r="HC63" s="21"/>
      <c r="HD63" s="21"/>
      <c r="HE63" s="21"/>
      <c r="HF63" s="22"/>
      <c r="HG63" s="22" t="str">
        <f>IF(OR(O63&gt;0,R63&gt;0),CONCATENATE(IF(Tabla1[[#This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63" s="22" t="e">
        <f t="shared" si="41"/>
        <v>#REF!</v>
      </c>
      <c r="HI63" s="22" t="e">
        <f t="shared" ca="1" si="42"/>
        <v>#REF!</v>
      </c>
      <c r="HJ63" s="21" t="str">
        <f t="shared" ca="1" si="43"/>
        <v>**********************MULTIPARIDAD*****************</v>
      </c>
      <c r="HK63" s="21" t="str">
        <f t="shared" si="44"/>
        <v>SIN ANTECEDENTES DE RIESGO</v>
      </c>
      <c r="HL63" s="24" t="str">
        <f t="shared" si="45"/>
        <v>APARENTEMENTE NORMAL</v>
      </c>
      <c r="HM63" s="21" t="str">
        <f t="shared" ca="1" si="46"/>
        <v/>
      </c>
      <c r="HN63" s="30" t="str">
        <f t="shared" si="207"/>
        <v>SALIO PROGRAMA</v>
      </c>
      <c r="HO63" s="21"/>
      <c r="HP63" s="21"/>
      <c r="HQ63" s="21">
        <v>44901</v>
      </c>
      <c r="HR63" s="21" t="str">
        <f>IF(R63="","",IF(Tabla1[[#This Row],[ALARMA FACTORES DE RIESGO COMPLICACIONES HIPERTENSIVAS3]]="SIN ANTECEDENTES DE RIESGO","No Aplica para suministro de ASA",IF(AND(Tabla1[[#This Row],[FECHA INICIO DE SUMINISTRO DE ASA]]&gt;0,RV63&lt;12),"Inicia ASA ANTES de Sem 12",IF(AND(RV63&gt;11,RV63&lt;17,OR(HK63="RIESGO ALTO DE COMPLICACIONES HIPERTENSIVAS VER MANEJO GUIA SUMINISTRO ASA Y CALCIO",HK63="RIESGO MODERADO (2 O MAS CRITERIOS) VER MANEJO GUIA SUMINISTRO ASA Y CALCIO")),"Inicio oportuno de ASA",IF(AND(RV63&gt;12,OR(HK63="RIESGO ALTO DE COMPLICACIONES HIPERTENSIVAS VER MANEJO GUIA SUMINISTRO ASA Y CALCIO",HK63="RIESGO MODERADO (2 O MAS CRITERIOS) VER MANEJO GUIA SUMINISTRO ASA Y CALCIO")),"Inicio no oportuno mayor a 16 semanas",IF(AND(BU63&lt;12,OR(HK63="RIESGO ALTO DE COMPLICACIONES HIPERTENSIVAS VER MANEJO GUIA SUMINISTRO ASA Y CALCIO",HK63="RIESGO MODERADO (2 O MAS CRITERIOS) VER MANEJO GUIA SUMINISTRO ASA Y CALCIO")),"Pendiente Inicio de ASA a la semana 12",IF(AND(BU63&gt;11,BU63&lt;17,OR(HK63="RIESGO ALTO DE COMPLICACIONES HIPERTENSIVAS VER MANEJO GUIA SUMINISTRO ASA Y CALCIO",HK63="RIESGO MODERADO (2 O MAS CRITERIOS) VER MANEJO GUIA SUMINISTRO ASA Y CALCIO")),"Iniciar de inmediato ASA",IF(AND(BU63&gt;16,OR(HK63="RIESGO ALTO DE COMPLICACIONES HIPERTENSIVAS VER MANEJO GUIA SUMINISTRO ASA Y CALCIO",HK63="RIESGO MODERADO (2 O MAS CRITERIOS) VER MANEJO GUIA SUMINISTRO ASA Y CALCIO")),"Pierde Oportunidad, Inicio tardío de ASA","XXXXX"))))))))</f>
        <v>No Aplica para suministro de ASA</v>
      </c>
      <c r="HS63" s="22">
        <v>44901</v>
      </c>
      <c r="HT63" s="22" t="s">
        <v>870</v>
      </c>
      <c r="HU63" s="22">
        <v>44938</v>
      </c>
      <c r="HV63" s="22" t="s">
        <v>870</v>
      </c>
      <c r="HW63" s="22">
        <v>44901</v>
      </c>
      <c r="HX63" s="22" t="s">
        <v>870</v>
      </c>
      <c r="HY63" s="22">
        <v>44880</v>
      </c>
      <c r="HZ63" s="28">
        <f t="shared" si="48"/>
        <v>8.7142857142857135</v>
      </c>
      <c r="IA63" s="26" t="s">
        <v>864</v>
      </c>
      <c r="IB63" s="26"/>
      <c r="IC63" s="111">
        <v>44918</v>
      </c>
      <c r="ID63" s="22"/>
      <c r="IE63" s="22" t="str">
        <f t="shared" ca="1" si="49"/>
        <v>SALE SIN VACUNA</v>
      </c>
      <c r="IF63" s="22"/>
      <c r="IG63" s="22">
        <f t="shared" si="50"/>
        <v>45099</v>
      </c>
      <c r="IH63" s="29">
        <f t="shared" ca="1" si="51"/>
        <v>-133</v>
      </c>
      <c r="II63" s="22" t="str">
        <f t="shared" ca="1" si="52"/>
        <v>POSIBLEMENTE NACIO</v>
      </c>
      <c r="IJ63" s="22"/>
      <c r="IK63" s="21" t="s">
        <v>898</v>
      </c>
      <c r="IL63" s="21"/>
      <c r="IM63" s="34"/>
      <c r="IN63" s="349">
        <v>45094</v>
      </c>
      <c r="IO63" s="21" t="s">
        <v>1640</v>
      </c>
      <c r="IP63" s="29">
        <f t="shared" si="208"/>
        <v>39.285714285714285</v>
      </c>
      <c r="IQ63" s="110"/>
      <c r="IR63" s="21" t="s">
        <v>879</v>
      </c>
      <c r="IS63" s="21" t="s">
        <v>1641</v>
      </c>
      <c r="IT63" s="21" t="s">
        <v>1642</v>
      </c>
      <c r="IU63" s="21"/>
      <c r="IV63" s="21"/>
      <c r="IW63" s="21"/>
      <c r="IX63" s="21"/>
      <c r="IY63" s="21"/>
      <c r="IZ63" s="21"/>
      <c r="JA63" s="21"/>
      <c r="JB63" s="30">
        <v>1</v>
      </c>
      <c r="JC63" s="21" t="s">
        <v>1647</v>
      </c>
      <c r="JD63" s="36">
        <v>3500</v>
      </c>
      <c r="JE63" s="21" t="str">
        <f t="shared" si="209"/>
        <v>PESO ADECUADO EDAD GESTACIONAL</v>
      </c>
      <c r="JF63" s="30"/>
      <c r="JG63" s="21"/>
      <c r="JH63" s="21"/>
      <c r="JI63" s="21"/>
      <c r="JJ63" s="30"/>
      <c r="JK63" s="22"/>
      <c r="JL63" s="22"/>
      <c r="JM63" s="21"/>
      <c r="JN63" s="36"/>
      <c r="JO63" s="21" t="str">
        <f t="shared" si="210"/>
        <v/>
      </c>
      <c r="JP63" s="22"/>
      <c r="JQ63" s="21"/>
      <c r="JR63" s="21"/>
      <c r="JS63" s="21"/>
      <c r="JT63" s="30"/>
      <c r="JU63" s="22"/>
      <c r="JV63" s="22"/>
      <c r="JW63" s="33"/>
      <c r="JX63" s="28" t="str">
        <f t="shared" si="211"/>
        <v>INASISTENTE</v>
      </c>
      <c r="JY63" s="33"/>
      <c r="JZ63" s="28" t="str">
        <f t="shared" si="212"/>
        <v>INASISTENTE</v>
      </c>
      <c r="KA63" s="21"/>
      <c r="KB63" s="21"/>
      <c r="KC63" s="21"/>
      <c r="KD63" s="37"/>
      <c r="KE63" s="28"/>
      <c r="KF63" s="28"/>
      <c r="KG63" s="28"/>
      <c r="KH63" s="39"/>
      <c r="KI63" s="39"/>
      <c r="KJ63" s="66"/>
      <c r="KK63" s="39"/>
      <c r="KL63" s="39"/>
      <c r="KM63" s="66"/>
      <c r="KN63" s="39"/>
      <c r="KO63" s="39"/>
      <c r="KP63" s="39"/>
      <c r="KQ63" s="39"/>
      <c r="KR63" s="39"/>
      <c r="KS63" s="39"/>
      <c r="KT63" s="39"/>
      <c r="KU63" s="38"/>
      <c r="KV63" s="38"/>
      <c r="KW63" s="38"/>
      <c r="KX63" s="38"/>
      <c r="KY63" s="38"/>
      <c r="KZ63" s="38"/>
      <c r="LA63" s="38"/>
      <c r="LB63" s="38"/>
      <c r="LC63" s="38"/>
      <c r="LD63" s="38"/>
      <c r="LE63" s="38"/>
      <c r="LF63" s="38"/>
      <c r="LG63" s="38"/>
      <c r="LH63" s="38"/>
      <c r="LI63" s="38"/>
      <c r="LJ63" s="38"/>
      <c r="LK63" s="38"/>
      <c r="LL63" s="38"/>
      <c r="LM63" s="38"/>
      <c r="LN63" s="38"/>
      <c r="LO63" s="38"/>
      <c r="LP63" s="38"/>
      <c r="LQ63" s="38"/>
      <c r="LR63" s="38"/>
      <c r="LS63" s="38"/>
      <c r="LT63" s="38"/>
      <c r="LU63" s="38"/>
      <c r="LV63" s="38"/>
      <c r="LW63" s="38"/>
      <c r="LX63" s="38"/>
      <c r="LY63" s="38"/>
      <c r="LZ63" s="38"/>
      <c r="MA63" s="38"/>
      <c r="MB63" s="38"/>
      <c r="MC63" s="38"/>
      <c r="MD63" s="38"/>
      <c r="ME63" s="38"/>
      <c r="MF63" s="38"/>
      <c r="MG63" s="38"/>
      <c r="MH63" s="43">
        <f t="shared" si="213"/>
        <v>0</v>
      </c>
      <c r="MI63" s="43" t="str">
        <f t="shared" si="214"/>
        <v/>
      </c>
      <c r="MJ63" s="43" t="str">
        <f t="shared" si="215"/>
        <v/>
      </c>
      <c r="MK63" s="43">
        <f t="shared" si="216"/>
        <v>0</v>
      </c>
      <c r="ML6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63" s="43">
        <f t="shared" si="217"/>
        <v>11.714285714285714</v>
      </c>
      <c r="MN63" s="43">
        <f t="shared" si="218"/>
        <v>12</v>
      </c>
      <c r="MO63" s="43">
        <f t="shared" si="219"/>
        <v>2022</v>
      </c>
      <c r="MP63" s="43" t="str">
        <f t="shared" si="220"/>
        <v>IV TRIMESTRE AÑO</v>
      </c>
      <c r="MQ63" s="43">
        <f t="shared" si="221"/>
        <v>17.006132282084973</v>
      </c>
      <c r="MR63" s="43">
        <f t="shared" si="222"/>
        <v>0</v>
      </c>
      <c r="MS63" s="43" t="str">
        <f t="shared" si="223"/>
        <v>DE 14 A 19AÑOS</v>
      </c>
      <c r="MT63" s="43">
        <f t="shared" si="224"/>
        <v>0</v>
      </c>
      <c r="MU63" s="43">
        <f t="shared" si="225"/>
        <v>1</v>
      </c>
      <c r="MV63" s="43">
        <f t="shared" si="226"/>
        <v>0</v>
      </c>
      <c r="MW63" s="43">
        <f t="shared" si="227"/>
        <v>0</v>
      </c>
      <c r="MX63" s="43" t="str">
        <f t="shared" si="228"/>
        <v/>
      </c>
      <c r="MY63" s="43" t="str">
        <f t="shared" ca="1" si="229"/>
        <v/>
      </c>
      <c r="MZ63" s="43" t="str">
        <f t="shared" si="230"/>
        <v/>
      </c>
      <c r="NA63" s="43">
        <f t="shared" si="231"/>
        <v>0</v>
      </c>
      <c r="NB63" s="43" t="str">
        <f t="shared" si="232"/>
        <v/>
      </c>
      <c r="NC63" s="43" t="str">
        <f t="shared" si="233"/>
        <v/>
      </c>
      <c r="ND63" s="43">
        <f t="shared" ca="1" si="234"/>
        <v>1</v>
      </c>
      <c r="NE63" s="43">
        <f>IF(OR(O63&gt;0,R63&gt;0),SUM(COUNTIF(Tabla1[[#This Row],[AÑOS AL INICIO5 CPN]],"&gt;=40"),COUNTIF(AS63,"0"),COUNTIF(AR63,"SI"),COUNTIF(CC63,"SI"),COUNTIF(BQ63,"&gt;119"),COUNTIF(CI63,"&gt;=35")),"")</f>
        <v>1</v>
      </c>
      <c r="NF63" s="43" t="str">
        <f t="shared" si="235"/>
        <v/>
      </c>
      <c r="NG63" s="43">
        <f t="shared" si="236"/>
        <v>0</v>
      </c>
      <c r="NH63" s="43">
        <f t="shared" si="237"/>
        <v>98.7</v>
      </c>
      <c r="NI63"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CPN",P63="NO"),"Z",IF(AND(Tabla1[[#This Row],[CITA PROXIMO CONTROL]]="CITA MANUAL",Tabla1[[#This Row],[GESTANTES ACTUALES]]="ACTIVA INGRESO A CPN"),"W",IF(AND(Tabla1[[#This Row],[GESTANTES ACTUALES]]="SALIO PROGRAMA",IN63=""),"S",IF(AND(Tabla1[[#This Row],[CITA PROXIMO CONTROL]]&gt;0,IN63=""),(Tabla1[[#This Row],[CITA PROXIMO CONTROL]]-TODAY()),"SD"))))))))</f>
        <v>SD</v>
      </c>
      <c r="NJ63" s="43">
        <f>MONTH(Tabla1[[#This Row],[FECHA DE SALIDA  DEL PROGRAMA]])</f>
        <v>6</v>
      </c>
      <c r="NK63" s="43">
        <f>YEAR(Tabla1[[#This Row],[FECHA DE SALIDA  DEL PROGRAMA]])</f>
        <v>2023</v>
      </c>
      <c r="NL63" s="43" t="str">
        <f t="shared" si="238"/>
        <v>X</v>
      </c>
      <c r="NM63" s="43" t="str">
        <f t="shared" si="251"/>
        <v>NO</v>
      </c>
      <c r="NN63" s="43" t="str">
        <f ca="1">IF(AND(O63&gt;0,R63=""),"NO CPN",IF(AND(O63="",R63=""),"",IF(AND(R63&gt;0,Tabla1[[#This Row],[SEMANAS DE GESTACION ACTUALIZADAS]]&lt;=12),"NO APLICA",IF(AND(FH63&lt;&gt;"",FN63&lt;&gt;""),"SI","NO"))))</f>
        <v>NO</v>
      </c>
      <c r="NO63" s="43" t="str">
        <f ca="1">IF(AND(O63&gt;0,R63=""),"NO CPN",IF(AND(O63="",R63=""),"",IF(AND(R63&gt;0,Tabla1[[#This Row],[SEMANAS DE GESTACION ACTUALIZADAS]]&lt;=27),"NO APLICA",IF(AND(ES63&lt;&gt;"",FQ63&lt;&gt;"",GF63&lt;&gt;""),"SI","NO"))))</f>
        <v>NO</v>
      </c>
      <c r="NP63" s="204" t="str">
        <f t="shared" si="240"/>
        <v>I TRIM</v>
      </c>
      <c r="NQ63" s="21" t="str">
        <f t="shared" si="241"/>
        <v/>
      </c>
      <c r="NR63" s="21">
        <f t="shared" si="242"/>
        <v>3</v>
      </c>
      <c r="NS63" s="205">
        <f t="shared" ca="1" si="243"/>
        <v>0</v>
      </c>
      <c r="NT63" s="21">
        <f t="shared" ca="1" si="244"/>
        <v>1</v>
      </c>
      <c r="NU63" s="21" t="str">
        <f t="shared" ca="1" si="245"/>
        <v>INCOMPLETO</v>
      </c>
      <c r="NV63" s="21" t="str">
        <f t="shared" ca="1" si="246"/>
        <v>INCOMPLETO</v>
      </c>
      <c r="NW63" s="206" t="str">
        <f>IF(AND(O63="",R63=""),"",IF(OR(AND(Tabla1[[#This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63" s="207" t="str">
        <f t="shared" ca="1" si="247"/>
        <v>SIN VACUNAR</v>
      </c>
      <c r="NY63" s="43">
        <f>ROW(Tabla1[[#This Row],['# DE TAMIZAJES SIFILIS TOMADOS ]])</f>
        <v>63</v>
      </c>
      <c r="NZ63" s="43">
        <f t="shared" si="93"/>
        <v>11</v>
      </c>
      <c r="OA63" s="43" t="str">
        <f t="shared" si="94"/>
        <v/>
      </c>
      <c r="OB63" s="43" t="str">
        <f t="shared" si="95"/>
        <v/>
      </c>
      <c r="OC63" s="43" t="str">
        <f t="shared" si="96"/>
        <v>NORMAL</v>
      </c>
      <c r="OD63" s="43" t="str">
        <f t="shared" si="97"/>
        <v/>
      </c>
      <c r="OE63" s="43" t="str">
        <f t="shared" si="98"/>
        <v/>
      </c>
      <c r="OF63" s="43" t="str">
        <f t="shared" si="99"/>
        <v/>
      </c>
      <c r="OG63" s="43" t="str">
        <f t="shared" si="100"/>
        <v/>
      </c>
      <c r="OH63" s="43" t="str">
        <f t="shared" si="101"/>
        <v/>
      </c>
      <c r="OI63" s="43" t="str">
        <f t="shared" si="102"/>
        <v/>
      </c>
      <c r="OJ63" s="43" t="str">
        <f t="shared" si="103"/>
        <v/>
      </c>
      <c r="OK63" s="43" t="str">
        <f t="shared" si="104"/>
        <v/>
      </c>
      <c r="OL63" s="43" t="str">
        <f t="shared" si="105"/>
        <v/>
      </c>
      <c r="OM63" s="43" t="str">
        <f t="shared" si="106"/>
        <v/>
      </c>
      <c r="ON63" s="43" t="str">
        <f t="shared" si="107"/>
        <v/>
      </c>
      <c r="OO63" s="43" t="str">
        <f t="shared" si="108"/>
        <v/>
      </c>
      <c r="OP63" s="43" t="str">
        <f t="shared" si="109"/>
        <v/>
      </c>
      <c r="OQ63" s="43" t="str">
        <f t="shared" si="110"/>
        <v/>
      </c>
      <c r="OR63" s="43" t="str">
        <f t="shared" si="111"/>
        <v/>
      </c>
      <c r="OS63" s="43" t="str">
        <f t="shared" si="112"/>
        <v/>
      </c>
      <c r="OT63" s="43" t="str">
        <f t="shared" si="113"/>
        <v/>
      </c>
      <c r="OU63" s="43" t="str">
        <f t="shared" si="114"/>
        <v/>
      </c>
      <c r="OV63" s="110" t="str">
        <f t="shared" si="115"/>
        <v/>
      </c>
      <c r="OW63" s="43" t="str">
        <f t="shared" si="116"/>
        <v/>
      </c>
      <c r="OX63" s="43" t="str">
        <f t="shared" si="117"/>
        <v/>
      </c>
      <c r="OY63" s="43" t="str">
        <f t="shared" si="118"/>
        <v/>
      </c>
      <c r="OZ63" s="43" t="str">
        <f t="shared" si="119"/>
        <v/>
      </c>
      <c r="PA63" s="43" t="str">
        <f t="shared" si="120"/>
        <v/>
      </c>
      <c r="PB63" s="43" t="str">
        <f t="shared" si="121"/>
        <v/>
      </c>
      <c r="PC63" s="43" t="str">
        <f t="shared" si="122"/>
        <v/>
      </c>
      <c r="PD63" s="43" t="str">
        <f t="shared" si="123"/>
        <v/>
      </c>
      <c r="PE63" s="43" t="str">
        <f t="shared" si="124"/>
        <v/>
      </c>
      <c r="PF63" s="43" t="str">
        <f t="shared" si="125"/>
        <v/>
      </c>
      <c r="PG63" s="43" t="str">
        <f t="shared" si="126"/>
        <v/>
      </c>
      <c r="PH63" s="43" t="str">
        <f t="shared" si="127"/>
        <v/>
      </c>
      <c r="PI63" s="43">
        <f t="shared" si="128"/>
        <v>32</v>
      </c>
      <c r="PJ63" s="43" t="str">
        <f t="shared" si="129"/>
        <v/>
      </c>
      <c r="PK63" s="43" t="str">
        <f t="shared" si="130"/>
        <v/>
      </c>
      <c r="PL63" s="43" t="str">
        <f t="shared" si="131"/>
        <v/>
      </c>
      <c r="PM63" s="43" t="str">
        <f t="shared" si="132"/>
        <v/>
      </c>
      <c r="PN63" s="43" t="str">
        <f t="shared" si="133"/>
        <v/>
      </c>
      <c r="PO63" s="43" t="str">
        <f t="shared" si="134"/>
        <v/>
      </c>
      <c r="PP63" s="43" t="str">
        <f t="shared" si="135"/>
        <v/>
      </c>
      <c r="PQ63" s="43" t="str">
        <f t="shared" si="136"/>
        <v/>
      </c>
      <c r="PR63" s="43" t="str">
        <f t="shared" si="137"/>
        <v/>
      </c>
      <c r="PS63" s="43" t="str">
        <f t="shared" si="138"/>
        <v/>
      </c>
      <c r="PT63" s="43" t="str">
        <f t="shared" si="139"/>
        <v/>
      </c>
      <c r="PU63" s="43" t="str">
        <f t="shared" si="140"/>
        <v/>
      </c>
      <c r="PV63" s="43" t="str">
        <f t="shared" si="141"/>
        <v/>
      </c>
      <c r="PW63" s="43" t="str">
        <f t="shared" si="142"/>
        <v/>
      </c>
      <c r="PX63" s="43" t="str">
        <f t="shared" si="143"/>
        <v/>
      </c>
      <c r="PY63" s="43" t="str">
        <f t="shared" si="144"/>
        <v/>
      </c>
      <c r="PZ63" s="43" t="str">
        <f t="shared" si="145"/>
        <v/>
      </c>
      <c r="QA63" s="43" t="str">
        <f t="shared" si="146"/>
        <v/>
      </c>
      <c r="QB63" s="43" t="str">
        <f t="shared" si="147"/>
        <v/>
      </c>
      <c r="QC63" s="43" t="str">
        <f t="shared" si="148"/>
        <v/>
      </c>
      <c r="QD63" s="43" t="str">
        <f t="shared" si="149"/>
        <v/>
      </c>
      <c r="QE63" s="43" t="str">
        <f t="shared" si="150"/>
        <v/>
      </c>
      <c r="QF63" s="43" t="str">
        <f t="shared" si="151"/>
        <v/>
      </c>
      <c r="QG63" s="43" t="str">
        <f t="shared" si="152"/>
        <v>SOBREPESO</v>
      </c>
      <c r="QH63" s="43" t="str">
        <f t="shared" si="153"/>
        <v/>
      </c>
      <c r="QI63" s="43" t="str">
        <f t="shared" si="154"/>
        <v/>
      </c>
      <c r="QJ63" s="43" t="str">
        <f t="shared" si="155"/>
        <v/>
      </c>
      <c r="QK63" s="43" t="str">
        <f t="shared" si="156"/>
        <v/>
      </c>
      <c r="QL63" s="43" t="str">
        <f t="shared" si="157"/>
        <v/>
      </c>
      <c r="QM63" s="43" t="str">
        <f t="shared" si="158"/>
        <v/>
      </c>
      <c r="QN63" s="43" t="str">
        <f t="shared" si="159"/>
        <v/>
      </c>
      <c r="QO63" s="43" t="str">
        <f t="shared" si="160"/>
        <v/>
      </c>
      <c r="QP63" s="43" t="str">
        <f t="shared" si="161"/>
        <v/>
      </c>
      <c r="QQ63" s="43" t="str">
        <f t="shared" si="162"/>
        <v/>
      </c>
      <c r="QR63" s="43">
        <f t="shared" si="192"/>
        <v>32</v>
      </c>
      <c r="QS63" s="43"/>
      <c r="QT63" s="21" t="str">
        <f t="shared" si="163"/>
        <v/>
      </c>
      <c r="QU63" s="21" t="str">
        <f t="shared" si="164"/>
        <v/>
      </c>
      <c r="QV63" s="21" t="str">
        <f t="shared" si="165"/>
        <v/>
      </c>
      <c r="QW63" s="21" t="str">
        <f t="shared" si="166"/>
        <v/>
      </c>
      <c r="QX63" s="21" t="str">
        <f t="shared" si="167"/>
        <v/>
      </c>
      <c r="QY63" s="21" t="str">
        <f t="shared" si="168"/>
        <v/>
      </c>
      <c r="QZ63" s="21" t="str">
        <f t="shared" si="169"/>
        <v/>
      </c>
      <c r="RA63" s="21" t="str">
        <f t="shared" si="170"/>
        <v/>
      </c>
      <c r="RB63" s="21" t="str">
        <f t="shared" si="171"/>
        <v/>
      </c>
      <c r="RC63" s="21" t="str">
        <f t="shared" si="172"/>
        <v/>
      </c>
      <c r="RD63" s="21" t="str">
        <f t="shared" si="173"/>
        <v/>
      </c>
      <c r="RE63" s="21" t="str">
        <f t="shared" si="174"/>
        <v/>
      </c>
      <c r="RF63" s="21" t="str">
        <f t="shared" si="175"/>
        <v/>
      </c>
      <c r="RG63" s="21" t="str">
        <f t="shared" si="176"/>
        <v/>
      </c>
      <c r="RH63" s="21" t="str">
        <f t="shared" si="177"/>
        <v/>
      </c>
      <c r="RI63" s="21" t="str">
        <f t="shared" si="178"/>
        <v/>
      </c>
      <c r="RJ63" s="21" t="str">
        <f t="shared" si="179"/>
        <v/>
      </c>
      <c r="RK63" s="21" t="str">
        <f t="shared" si="180"/>
        <v/>
      </c>
      <c r="RL63" s="21" t="str">
        <f t="shared" si="181"/>
        <v/>
      </c>
      <c r="RM63" s="21" t="str">
        <f t="shared" si="182"/>
        <v>ALTO PARA EDAD GESTACIONAL</v>
      </c>
      <c r="RN63" s="21" t="str">
        <f t="shared" si="183"/>
        <v/>
      </c>
      <c r="RO63" s="21" t="str">
        <f t="shared" si="184"/>
        <v/>
      </c>
      <c r="RP63" s="21" t="str">
        <f t="shared" si="185"/>
        <v/>
      </c>
      <c r="RQ63" s="21" t="str">
        <f t="shared" si="186"/>
        <v/>
      </c>
      <c r="RR63" s="21" t="str">
        <f t="shared" si="187"/>
        <v/>
      </c>
      <c r="RS63" s="21" t="str">
        <f t="shared" si="188"/>
        <v/>
      </c>
      <c r="RT63" s="21" t="str">
        <f t="shared" si="189"/>
        <v/>
      </c>
      <c r="RU63" s="21" t="str">
        <f t="shared" si="190"/>
        <v/>
      </c>
      <c r="RV63" s="21">
        <f t="shared" si="191"/>
        <v>11.714285714285714</v>
      </c>
      <c r="RW63" s="284">
        <f>IF(OR(Tabla1[[#This Row],[FUM FORMULA CONFIABLE]]="",Tabla1[[#This Row],[FUM FORMULA CONFIABLE]]="SD"),"",IF(Tabla1[[#This Row],[FUM FORMULA CONFIABLE]]="CORREGIDA",Tabla1[[#This Row],[FUM X ECO 1]],Tabla1[[#This Row],[FUM x AMENORREA]]))</f>
        <v>44819</v>
      </c>
      <c r="RX63" s="21">
        <f>IF(AND(Tabla1[[#This Row],[FUM X ECO 1]]="",Tabla1[[#This Row],[FUM x AMENORREA]]=""),"",IF(AND(Tabla1[[#This Row],[FUM X ECO 1]]="",Tabla1[[#This Row],[FUM x AMENORREA]]&lt;&gt;""),"X",SUM(Tabla1[[#This Row],[FUM X ECO 1]]-Tabla1[[#This Row],[FUM x AMENORREA]])))</f>
        <v>-29.69999999999709</v>
      </c>
      <c r="RY63" s="21">
        <f t="shared" si="193"/>
        <v>1</v>
      </c>
    </row>
    <row r="64" spans="1:493" ht="45" customHeight="1" x14ac:dyDescent="0.25">
      <c r="A64" s="109" t="s">
        <v>1625</v>
      </c>
      <c r="B64" s="43"/>
      <c r="C64" s="43" t="s">
        <v>845</v>
      </c>
      <c r="D64" s="124" t="s">
        <v>846</v>
      </c>
      <c r="E64" s="43" t="s">
        <v>974</v>
      </c>
      <c r="F64" s="43" t="s">
        <v>1144</v>
      </c>
      <c r="G64" s="43" t="s">
        <v>1192</v>
      </c>
      <c r="H64" s="43" t="s">
        <v>1193</v>
      </c>
      <c r="I64" s="109" t="s">
        <v>1094</v>
      </c>
      <c r="J64" s="110">
        <v>1059595334</v>
      </c>
      <c r="K64" s="43" t="s">
        <v>852</v>
      </c>
      <c r="L64" s="175" t="s">
        <v>886</v>
      </c>
      <c r="M64" s="22">
        <v>38344</v>
      </c>
      <c r="N64" s="213">
        <f t="shared" ca="1" si="0"/>
        <v>18.87123287671233</v>
      </c>
      <c r="O64" s="22">
        <v>45111</v>
      </c>
      <c r="P64" s="214" t="str">
        <f t="shared" si="194"/>
        <v>SI</v>
      </c>
      <c r="Q64" s="26" t="s">
        <v>855</v>
      </c>
      <c r="R64" s="22">
        <v>45111</v>
      </c>
      <c r="S64" s="21" t="s">
        <v>856</v>
      </c>
      <c r="T64" s="24" t="s">
        <v>690</v>
      </c>
      <c r="U64" s="21" t="s">
        <v>964</v>
      </c>
      <c r="V64" s="21" t="s">
        <v>858</v>
      </c>
      <c r="W64" s="21" t="s">
        <v>1194</v>
      </c>
      <c r="X64" s="21" t="s">
        <v>1195</v>
      </c>
      <c r="Y64" s="21" t="s">
        <v>859</v>
      </c>
      <c r="Z64" s="21" t="s">
        <v>1567</v>
      </c>
      <c r="AA64" s="21" t="s">
        <v>860</v>
      </c>
      <c r="AB64" s="27" t="s">
        <v>861</v>
      </c>
      <c r="AC64" s="26" t="s">
        <v>897</v>
      </c>
      <c r="AD64" s="38" t="s">
        <v>1546</v>
      </c>
      <c r="AE64" s="26" t="s">
        <v>854</v>
      </c>
      <c r="AF64" s="26" t="s">
        <v>854</v>
      </c>
      <c r="AG64" s="23" t="s">
        <v>864</v>
      </c>
      <c r="AH64" s="23" t="s">
        <v>864</v>
      </c>
      <c r="AI64" s="24" t="s">
        <v>863</v>
      </c>
      <c r="AJ64" s="23" t="s">
        <v>864</v>
      </c>
      <c r="AK64" s="220" t="str">
        <f>IF(AND(AD64="",AE64="",AF64="",AG64="",AH64="",AI64="",AJ64=""),"",IF(OR(Tabla1[[#This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EVALUACIÓN",IF(AND(O64="",R64=""),"",IF(AND(OR(O64&gt;0,R64&gt;0),NG64&gt;=0,NG64&lt;2),"SIN RIESGO",IF(AND(OR(O64&gt;0,R64&gt;0),NG64&gt;=2),"CON RIESGO","ASD")))))</f>
        <v>SIN RIESGO</v>
      </c>
      <c r="AL64" s="23" t="s">
        <v>854</v>
      </c>
      <c r="AM64" s="26" t="s">
        <v>864</v>
      </c>
      <c r="AN64" s="26" t="s">
        <v>864</v>
      </c>
      <c r="AO64" s="26" t="s">
        <v>864</v>
      </c>
      <c r="AP64" s="26" t="s">
        <v>864</v>
      </c>
      <c r="AQ64" s="26" t="s">
        <v>864</v>
      </c>
      <c r="AR64" s="26" t="s">
        <v>864</v>
      </c>
      <c r="AS64" s="21">
        <v>2</v>
      </c>
      <c r="AT64" s="21">
        <v>1</v>
      </c>
      <c r="AU64" s="21">
        <v>1</v>
      </c>
      <c r="AV64" s="26" t="s">
        <v>864</v>
      </c>
      <c r="AW64" s="21">
        <v>0</v>
      </c>
      <c r="AX64" s="26" t="s">
        <v>854</v>
      </c>
      <c r="AY64" s="26" t="s">
        <v>864</v>
      </c>
      <c r="AZ64" s="26" t="s">
        <v>864</v>
      </c>
      <c r="BA64" s="26" t="s">
        <v>864</v>
      </c>
      <c r="BB64" s="26" t="s">
        <v>864</v>
      </c>
      <c r="BC64" s="26" t="s">
        <v>864</v>
      </c>
      <c r="BD64" s="26" t="s">
        <v>864</v>
      </c>
      <c r="BE64" s="26" t="s">
        <v>864</v>
      </c>
      <c r="BF64" s="26" t="s">
        <v>864</v>
      </c>
      <c r="BG64" s="26" t="s">
        <v>864</v>
      </c>
      <c r="BH64" s="26" t="s">
        <v>864</v>
      </c>
      <c r="BI64" s="26" t="s">
        <v>864</v>
      </c>
      <c r="BJ64" s="26" t="s">
        <v>864</v>
      </c>
      <c r="BK64" s="26" t="s">
        <v>864</v>
      </c>
      <c r="BL64" s="26" t="s">
        <v>864</v>
      </c>
      <c r="BM64" s="26" t="s">
        <v>864</v>
      </c>
      <c r="BN64" s="22">
        <v>43661</v>
      </c>
      <c r="BO64" s="22">
        <v>45073</v>
      </c>
      <c r="BP64" s="21" t="s">
        <v>864</v>
      </c>
      <c r="BQ64" s="222">
        <f t="shared" si="2"/>
        <v>47.06666666666667</v>
      </c>
      <c r="BR64" s="223">
        <f t="shared" si="3"/>
        <v>45069.2</v>
      </c>
      <c r="BS64" s="224">
        <f t="shared" si="4"/>
        <v>5.4285714285714288</v>
      </c>
      <c r="BT64" s="216" t="str">
        <f t="shared" si="5"/>
        <v>DEFINIR CON ECO</v>
      </c>
      <c r="BU64" s="214">
        <f t="shared" ca="1" si="6"/>
        <v>22.714285714285715</v>
      </c>
      <c r="BV64" s="25" t="s">
        <v>1478</v>
      </c>
      <c r="BW64" s="22">
        <v>45121</v>
      </c>
      <c r="BX64" s="28">
        <v>7.4</v>
      </c>
      <c r="BY64" s="28"/>
      <c r="BZ64" s="22"/>
      <c r="CA64" s="21"/>
      <c r="CB64" s="26"/>
      <c r="CC64" s="26"/>
      <c r="CD64" s="26"/>
      <c r="CE64" s="26"/>
      <c r="CF64" s="22" t="s">
        <v>1517</v>
      </c>
      <c r="CG64" s="21">
        <v>1.57</v>
      </c>
      <c r="CH64" s="21">
        <v>69.3</v>
      </c>
      <c r="CI64" s="214">
        <f t="shared" si="7"/>
        <v>28.114730820722947</v>
      </c>
      <c r="CJ64" s="225" t="str">
        <f>IF(AND(CI64&lt;10,CH64="SD"),"SIN DATO PESO PREGESTACION O I TRIM",IF(AND(OR(R64&gt;0,O64&gt;0),CI64="X"),"INGRESAR DATO DE PESO",IF(CI64="SD","INGRESAR DATO DE TALLA Y PESO",IF(AND(OR(Tabla1[[#This Row],[MOMENTO EN QUE SE REALIZA EL PESO AL INGRESO A CPN]]="PREGESTACIÓN",NZ64="Menor"),CI64&lt;18.5),"BAJO PESO",IF(AND(OR(Tabla1[[#This Row],[MOMENTO EN QUE SE REALIZA EL PESO AL INGRESO A CPN]]="PREGESTACIÓN",NZ64="Menor"),CI64&lt;25),"NORMAL",IF(AND(OR(Tabla1[[#This Row],[MOMENTO EN QUE SE REALIZA EL PESO AL INGRESO A CPN]]="PREGESTACIÓN",NZ64="Menor"),CI64&lt;30),"SOBREPESO",IF(AND(OR(Tabla1[[#This Row],[MOMENTO EN QUE SE REALIZA EL PESO AL INGRESO A CPN]]="PREGESTACIÓN",NZ64="Menor"),CI64&gt;=30,CI64&lt;50),"OBESIDAD",IF(AND(BS64&gt;0,Tabla1[[#This Row],[MOMENTO EN QUE SE REALIZA EL PESO AL INGRESO A CPN]]="GESTACIÓN"),HLOOKUP(NZ64,$OA$2:PH64,NY64),""))))))))</f>
        <v>SOBREPESO</v>
      </c>
      <c r="CK64" s="212">
        <f t="shared" si="8"/>
        <v>45143</v>
      </c>
      <c r="CL64" s="21">
        <v>59.1</v>
      </c>
      <c r="CM64" s="214">
        <f t="shared" si="9"/>
        <v>23.976631912045114</v>
      </c>
      <c r="CN64" s="216">
        <f t="shared" si="10"/>
        <v>10</v>
      </c>
      <c r="CO64" s="216" t="e">
        <f>IF(PI64="","",IF(PI64&gt;0,HLOOKUP(PI64,$PJ$2:QQ64,NY64),""))</f>
        <v>#REF!</v>
      </c>
      <c r="CP64" s="21"/>
      <c r="CQ64" s="216" t="str">
        <f>IF(QR64="Menor","NO APLICA-MENOR 13 SEM",IF(AND(CC64="SI",CN64&gt;23),"NO APLICA- GEMELAR",IF(QR64="","",IF(QR64&gt;0,HLOOKUP(QR64,$QS$2:RU64,NY64),""))))</f>
        <v>NO APLICA-MENOR 13 SEM</v>
      </c>
      <c r="CR64" s="21">
        <v>90</v>
      </c>
      <c r="CS64" s="21">
        <v>60</v>
      </c>
      <c r="CT64" s="217" t="str">
        <f>IF(R64="","",IF(AND(BS64&gt;1,BS64&lt;12,Tabla1[[#This Row],[T.A. SISTOLICA - ANTES DE SEMANA 12]]="",Tabla1[[#This Row],[T.A. DIASTOLICA - ANTES DE SEMANA 12]]=""),"REGISTRE DATO TA ANTES SEMANA 12",IF(AND(BS64&gt;11,BS64&lt;43,Tabla1[[#This Row],[T.A. SISTOLICA - ANTES DE SEMANA 12]]="",Tabla1[[#This Row],[T.A. DIASTOLICA - ANTES DE SEMANA 12]]=""),"NO APLICA REGISTRO TA-INGRESO TARDIO",IF(AND(OR(O64&gt;0,R64&gt;0),OR(CR64&gt;=140,CS64&gt;=90)),"DEFINIR ESTADIO HTA",IF(AND(OR(O64&gt;0,R64&gt;0),AND(CR64&gt;120,CR64&lt;=139)),"PRE HTA SEGUIMIENTO",IF(AND(OR(O64&gt;0,R64&gt;0),AND(CS64&gt;80,CS64&lt;=89)),"PRE HTA SEGUIMIENTO",IF(AND(OR(O64&gt;0,R64&gt;0),AND(CR64&gt;=80,CR64&lt;=120)),"APARENTEMENTE NORMAL",IF(AND(OR(O64&gt;0,R64&gt;0),AND(CS64&gt;=50,CS64&lt;=80)),"APARENTEMENTE NORMAL",IF(AND(OR(O64&gt;0,R64&gt;0),AND(CR64&gt;1,CR64&lt;=70),AND(CS64&gt;1,CS64&lt;=40)),"HIPOTENSIÓN","")))))))))</f>
        <v>APARENTEMENTE NORMAL</v>
      </c>
      <c r="CU64" s="21"/>
      <c r="CV64" s="21"/>
      <c r="CW64" s="217" t="str">
        <f ca="1">IF(R64="","",IF(AND(CN64&gt;19,CN64&lt;27,Tabla1[[#This Row],[T.A. SISTOLICA (Entre semana 20 y 26)]]="",Tabla1[[#This Row],[T.A. DIATOLICA (Entre semana 20 y 26)]]=""),"ACUDE A CONTROL SEM 20 A 26 REGISTRE TA AHORA",IF(AND(BS64&gt;1,BS64&lt;27,BU64&gt;19,Tabla1[[#This Row],[T.A. SISTOLICA (Entre semana 20 y 26)]]="",Tabla1[[#This Row],[T.A. DIATOLICA (Entre semana 20 y 26)]]=""),"COMPLETE REGISTRO TA CONTROL SEM 20 A26 ",IF(AND(BS64&gt;26,BS64&lt;43,Tabla1[[#This Row],[T.A. SISTOLICA (Entre semana 20 y 26)]]="",Tabla1[[#This Row],[T.A. DIATOLICA (Entre semana 20 y 26)]]=""),"NO APLICA REGISTRO TA-INGRESO TARDIO",IF(AND(OR(O64&gt;0,R64&gt;0),OR(CU64&gt;=140,CV64&gt;=90)),"ALTO RIESGO PREECLAMPSIA,DEFINIR ESTADIO HTA",IF(AND(OR(O64&gt;0,R64&gt;0),AND(CU64&gt;120,CU64&lt;=139)),"PRE HTA SEGUIMIENTO,RIESGO HIPERTENSION INDUCIDA POR EL EMBARAZO",IF(AND(OR(O64&gt;0,R64&gt;0),AND(CV64&gt;80,CV64&lt;=89)),"PRE HTA SEGUIMIENTO, RIESGO HIPERTENSION INDUCIDA POR EL EMBARAZO",IF(AND(OR(O64&lt;&gt;"",R64&lt;&gt;""),CS64&lt;&gt;"",CV64&lt;&gt;"",CS64&lt;=CV64),"VIGILAR CIFRAS PRESION ARTERIAL",IF(AND(OR(O64&gt;0,R64&gt;0),AND(CU64&gt;120,CU64&lt;=139)),"PRE HTA SEGUIMIENTO",IF(AND(OR(O64&gt;0,R64&gt;0),AND(CU64&gt;1,CU64&lt;=70),AND(CV64&gt;1,CV64&lt;=40)),"HIPOTENSIÓN",IF(AND(OR(O64&lt;&gt;"",R64&lt;&gt;""),CS64&lt;&gt;"",CV64&lt;&gt;"",CS64&gt;CV64),"APARENTEMENTE NORMAL",IF(AND(OR(O64&gt;0,R64&gt;0),AND(CU64&gt;=80,CU64&lt;=120)),"APARENTEMENTE NORMAL",IF(AND(OR(O64&gt;0,R64&gt;0),AND(CV64&gt;=50,CV64&lt;=80)),"APARENTEMENTE NORMAL","")))))))))))))</f>
        <v xml:space="preserve">COMPLETE REGISTRO TA CONTROL SEM 20 A26 </v>
      </c>
      <c r="CX64" s="21"/>
      <c r="CY64" s="21"/>
      <c r="CZ64" s="216" t="str">
        <f t="shared" si="195"/>
        <v/>
      </c>
      <c r="DA64" s="21">
        <v>90</v>
      </c>
      <c r="DB64" s="21">
        <v>60</v>
      </c>
      <c r="DC64" s="217" t="str">
        <f t="shared" si="12"/>
        <v>APARENTEMENTE NORMAL</v>
      </c>
      <c r="DD64" s="22">
        <v>45111</v>
      </c>
      <c r="DE64" s="22">
        <v>45111</v>
      </c>
      <c r="DF64" s="22">
        <v>45143</v>
      </c>
      <c r="DG64" s="22"/>
      <c r="DH64" s="22"/>
      <c r="DI64" s="22"/>
      <c r="DJ64" s="22"/>
      <c r="DK64" s="22"/>
      <c r="DL64" s="22"/>
      <c r="DM64" s="22"/>
      <c r="DN64" s="22"/>
      <c r="DO64" s="22"/>
      <c r="DP64" s="22"/>
      <c r="DQ64" s="22"/>
      <c r="DR64" s="28">
        <v>1</v>
      </c>
      <c r="DS64" s="22"/>
      <c r="DT64" s="22"/>
      <c r="DU64" s="216" t="str">
        <f t="shared" ca="1" si="196"/>
        <v>EN ESPERA</v>
      </c>
      <c r="DV64" s="226" t="str">
        <f t="shared" si="197"/>
        <v>ACTIVA INGRESO A CPN</v>
      </c>
      <c r="DW6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64" s="216" t="e">
        <f t="shared" ca="1" si="15"/>
        <v>#REF!</v>
      </c>
      <c r="DY64" s="212">
        <f>IF(R64="","",IF(R64&gt;0,MAX(Tabla1[[#This Row],[FECHA C2]:[FECHA C13]],Tabla1[[#This Row],[FECHA CONSULTA PRIMERA VEZ PROGRAMA CPN ]])))</f>
        <v>45143</v>
      </c>
      <c r="DZ64" s="216">
        <f t="shared" si="16"/>
        <v>10</v>
      </c>
      <c r="EA64" s="222">
        <f>IF(R64&gt;0,SUM(COUNTA(DF64:DQ64)+COUNTA(Tabla1[[#This Row],[FECHA CONSULTA PRIMERA VEZ PROGRAMA CPN ]])),"")</f>
        <v>2</v>
      </c>
      <c r="EB64" s="222" t="str">
        <f t="shared" si="17"/>
        <v>NO</v>
      </c>
      <c r="EC64" s="214">
        <f t="shared" si="18"/>
        <v>10</v>
      </c>
      <c r="ED64" s="227">
        <f t="shared" si="19"/>
        <v>0.2</v>
      </c>
      <c r="EE64" s="212">
        <f>IF(X64="","",IF(X64&gt;0,MAX(Tabla1[[#This Row],[FECHA C2]:[FECHA C13]],Tabla1[[#This Row],[FECHA CONSULTA PRIMERA VEZ PROGRAMA CPN ]])))</f>
        <v>45143</v>
      </c>
      <c r="EF64" s="22"/>
      <c r="EG64" s="212">
        <f>IF(Z64="","",IF(Z64&gt;0,MAX(Tabla1[[#This Row],[FECHA C2]:[FECHA C13]],Tabla1[[#This Row],[FECHA CONSULTA PRIMERA VEZ PROGRAMA CPN ]])))</f>
        <v>45143</v>
      </c>
      <c r="EH64" s="22"/>
      <c r="EI64" s="212">
        <f>IF(AB64="","",IF(AB64&gt;0,MAX(Tabla1[[#This Row],[FECHA C2]:[FECHA C13]],Tabla1[[#This Row],[FECHA CONSULTA PRIMERA VEZ PROGRAMA CPN ]])))</f>
        <v>45143</v>
      </c>
      <c r="EJ64" s="22"/>
      <c r="EK64" s="22"/>
      <c r="EL64" s="21"/>
      <c r="EM64" s="21">
        <v>15</v>
      </c>
      <c r="EN64" s="22">
        <v>45121</v>
      </c>
      <c r="EO64" s="222">
        <f t="shared" si="20"/>
        <v>6.8571428571428568</v>
      </c>
      <c r="EP64" s="214" t="str">
        <f t="shared" si="21"/>
        <v>NO DAR SULFATO FERROSO</v>
      </c>
      <c r="EQ64" s="216" t="str">
        <f t="shared" si="22"/>
        <v>I TRIM</v>
      </c>
      <c r="ER64" s="24"/>
      <c r="ES64" s="22"/>
      <c r="ET64" s="29" t="str">
        <f t="shared" ca="1" si="198"/>
        <v>EN ESPERA PARA TOMA EXAMEN</v>
      </c>
      <c r="EU64" s="25" t="str">
        <f t="shared" si="24"/>
        <v/>
      </c>
      <c r="EV64" s="24" t="s">
        <v>1510</v>
      </c>
      <c r="EW64" s="32">
        <v>45121</v>
      </c>
      <c r="EX64" s="22"/>
      <c r="EY64" s="29">
        <f t="shared" si="248"/>
        <v>6.8571428571428568</v>
      </c>
      <c r="EZ64" s="25" t="str">
        <f t="shared" si="249"/>
        <v>SIN RIESGO DE ISOINMUNIZACIÓN</v>
      </c>
      <c r="FA64" s="21">
        <v>89</v>
      </c>
      <c r="FB64" s="22">
        <v>45030</v>
      </c>
      <c r="FC64" s="29" t="str">
        <f t="shared" si="27"/>
        <v>CORREGIR FECHA RESULTADO</v>
      </c>
      <c r="FD64" s="29"/>
      <c r="FE64" s="29"/>
      <c r="FF64" s="29"/>
      <c r="FG64" s="21" t="str">
        <f t="shared" ca="1" si="28"/>
        <v>PROGRAMAR TOMA PTOG SIGUIENTE CONTROL</v>
      </c>
      <c r="FH64" s="31"/>
      <c r="FI64" s="29" t="str">
        <f t="shared" si="29"/>
        <v>TOMAR EXAMEN</v>
      </c>
      <c r="FJ64" s="22" t="s">
        <v>867</v>
      </c>
      <c r="FK64" s="22">
        <v>45121</v>
      </c>
      <c r="FL64" s="29">
        <f t="shared" ca="1" si="30"/>
        <v>6.8571428571428568</v>
      </c>
      <c r="FM64" s="22"/>
      <c r="FN64" s="32"/>
      <c r="FO64" s="29" t="str">
        <f t="shared" ca="1" si="201"/>
        <v>EN RANGO PARA TOMAR EXAMEN</v>
      </c>
      <c r="FP64" s="22"/>
      <c r="FQ64" s="32"/>
      <c r="FR64" s="29" t="str">
        <f t="shared" ca="1" si="202"/>
        <v>EN ESPERA-ESTÁ I TRIM O II TRIM</v>
      </c>
      <c r="FS64" s="22"/>
      <c r="FT64" s="32"/>
      <c r="FU64" s="29" t="str">
        <f>IF(AND(FJ64="",FM64="",FP64="",FS64=""),"",IF(OR(OR(Tabla1[[#This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64" s="28"/>
      <c r="FW64" s="22"/>
      <c r="FX64" s="29" t="str">
        <f t="shared" si="33"/>
        <v>TOMAR EXAMEN</v>
      </c>
      <c r="FY64" s="22" t="s">
        <v>868</v>
      </c>
      <c r="FZ64" s="22">
        <v>45121</v>
      </c>
      <c r="GA64" s="29">
        <f t="shared" ca="1" si="250"/>
        <v>6.8571428571428568</v>
      </c>
      <c r="GB64" s="22"/>
      <c r="GC64" s="22"/>
      <c r="GD64" s="29" t="str">
        <f t="shared" ca="1" si="204"/>
        <v>EN RANGO PARA TOMAR EXAMEN</v>
      </c>
      <c r="GE64" s="22"/>
      <c r="GF64" s="22"/>
      <c r="GG64" s="29" t="str">
        <f t="shared" ca="1" si="205"/>
        <v>EN ESPERA-ESTÁ I TRIM O II TRIM</v>
      </c>
      <c r="GH64" s="22"/>
      <c r="GI64" s="29"/>
      <c r="GJ64" s="22"/>
      <c r="GK64" s="22"/>
      <c r="GL64" s="22"/>
      <c r="GM64" s="22"/>
      <c r="GN64" s="28" t="s">
        <v>869</v>
      </c>
      <c r="GO64" s="22">
        <v>45121</v>
      </c>
      <c r="GP64" s="29">
        <f t="shared" si="37"/>
        <v>6.8571428571428568</v>
      </c>
      <c r="GQ64" s="28"/>
      <c r="GR64" s="28" t="s">
        <v>869</v>
      </c>
      <c r="GS64" s="22" t="str">
        <f t="shared" si="206"/>
        <v/>
      </c>
      <c r="GT64" s="22">
        <v>45121</v>
      </c>
      <c r="GU64" s="29">
        <f t="shared" si="39"/>
        <v>6.8571428571428568</v>
      </c>
      <c r="GV64" s="21" t="str">
        <f t="shared" si="40"/>
        <v>I TRIM</v>
      </c>
      <c r="GW64" s="28"/>
      <c r="GX64" s="30"/>
      <c r="GY64" s="21"/>
      <c r="GZ64" s="21"/>
      <c r="HA64" s="21"/>
      <c r="HB64" s="21"/>
      <c r="HC64" s="21"/>
      <c r="HD64" s="21"/>
      <c r="HE64" s="21"/>
      <c r="HF64" s="22"/>
      <c r="HG64" s="22" t="str">
        <f>IF(OR(O64&gt;0,R64&gt;0),CONCATENATE(IF(Tabla1[[#This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64" s="22" t="e">
        <f t="shared" si="41"/>
        <v>#REF!</v>
      </c>
      <c r="HI64" s="22" t="str">
        <f t="shared" si="42"/>
        <v>ALTO RIESGO</v>
      </c>
      <c r="HJ64" s="21" t="str">
        <f t="shared" ca="1" si="43"/>
        <v>*ANTECEDENTE PREECLAMPSIA**********************ANTECEDENTE MUERTE PERINATAL****************</v>
      </c>
      <c r="HK64" s="21" t="str">
        <f t="shared" si="44"/>
        <v>RIESGO ALTO DE COMPLICACIONES HIPERTENSIVAS VER MANEJO GUIA SUMINISTRO ASA Y CALCIO</v>
      </c>
      <c r="HL64" s="24" t="str">
        <f t="shared" si="45"/>
        <v>APARENTEMENTE NORMAL</v>
      </c>
      <c r="HM64" s="21" t="e">
        <f t="shared" ca="1" si="46"/>
        <v>#REF!</v>
      </c>
      <c r="HN64" s="30" t="str">
        <f t="shared" si="207"/>
        <v>ACTIVA INGRESO A CPN</v>
      </c>
      <c r="HO64" s="21"/>
      <c r="HP64" s="21" t="s">
        <v>1626</v>
      </c>
      <c r="HQ64" s="349">
        <v>45110</v>
      </c>
      <c r="HR64" s="21" t="str">
        <f>IF(R64="","",IF(Tabla1[[#This Row],[ALARMA FACTORES DE RIESGO COMPLICACIONES HIPERTENSIVAS3]]="SIN ANTECEDENTES DE RIESGO","No Aplica para suministro de ASA",IF(AND(Tabla1[[#This Row],[FECHA INICIO DE SUMINISTRO DE ASA]]&gt;0,RV64&lt;12),"Inicia ASA ANTES de Sem 12",IF(AND(RV64&gt;11,RV64&lt;17,OR(HK64="RIESGO ALTO DE COMPLICACIONES HIPERTENSIVAS VER MANEJO GUIA SUMINISTRO ASA Y CALCIO",HK64="RIESGO MODERADO (2 O MAS CRITERIOS) VER MANEJO GUIA SUMINISTRO ASA Y CALCIO")),"Inicio oportuno de ASA",IF(AND(RV64&gt;12,OR(HK64="RIESGO ALTO DE COMPLICACIONES HIPERTENSIVAS VER MANEJO GUIA SUMINISTRO ASA Y CALCIO",HK64="RIESGO MODERADO (2 O MAS CRITERIOS) VER MANEJO GUIA SUMINISTRO ASA Y CALCIO")),"Inicio no oportuno mayor a 16 semanas",IF(AND(BU64&lt;12,OR(HK64="RIESGO ALTO DE COMPLICACIONES HIPERTENSIVAS VER MANEJO GUIA SUMINISTRO ASA Y CALCIO",HK64="RIESGO MODERADO (2 O MAS CRITERIOS) VER MANEJO GUIA SUMINISTRO ASA Y CALCIO")),"Pendiente Inicio de ASA a la semana 12",IF(AND(BU64&gt;11,BU64&lt;17,OR(HK64="RIESGO ALTO DE COMPLICACIONES HIPERTENSIVAS VER MANEJO GUIA SUMINISTRO ASA Y CALCIO",HK64="RIESGO MODERADO (2 O MAS CRITERIOS) VER MANEJO GUIA SUMINISTRO ASA Y CALCIO")),"Iniciar de inmediato ASA",IF(AND(BU64&gt;16,OR(HK64="RIESGO ALTO DE COMPLICACIONES HIPERTENSIVAS VER MANEJO GUIA SUMINISTRO ASA Y CALCIO",HK64="RIESGO MODERADO (2 O MAS CRITERIOS) VER MANEJO GUIA SUMINISTRO ASA Y CALCIO")),"Pierde Oportunidad, Inicio tardío de ASA","XXXXX"))))))))</f>
        <v>Inicia ASA ANTES de Sem 12</v>
      </c>
      <c r="HS64" s="22"/>
      <c r="HT64" s="22"/>
      <c r="HU64" s="22">
        <v>45110</v>
      </c>
      <c r="HV64" s="22" t="s">
        <v>1506</v>
      </c>
      <c r="HW64" s="22">
        <v>45110</v>
      </c>
      <c r="HX64" s="22" t="s">
        <v>1511</v>
      </c>
      <c r="HY64" s="22">
        <v>45111</v>
      </c>
      <c r="HZ64" s="28">
        <f t="shared" si="48"/>
        <v>5.4285714285714288</v>
      </c>
      <c r="IA64" s="26"/>
      <c r="IB64" s="26"/>
      <c r="IC64" s="111"/>
      <c r="ID64" s="22"/>
      <c r="IE64" s="22" t="str">
        <f t="shared" ca="1" si="49"/>
        <v>PROGRAMAR APLICACION DE VACUNA</v>
      </c>
      <c r="IF64" s="22"/>
      <c r="IG64" s="22">
        <f t="shared" si="50"/>
        <v>45353</v>
      </c>
      <c r="IH64" s="29">
        <f t="shared" ca="1" si="51"/>
        <v>121</v>
      </c>
      <c r="II64" s="22" t="str">
        <f t="shared" ca="1" si="52"/>
        <v>PENDIENTE</v>
      </c>
      <c r="IJ64" s="22"/>
      <c r="IK64" s="21"/>
      <c r="IL64" s="21"/>
      <c r="IM64" s="34"/>
      <c r="IN64" s="22"/>
      <c r="IO64" s="21"/>
      <c r="IP64" s="29" t="str">
        <f t="shared" si="208"/>
        <v/>
      </c>
      <c r="IQ64" s="110"/>
      <c r="IR64" s="21"/>
      <c r="IS64" s="21"/>
      <c r="IT64" s="21"/>
      <c r="IU64" s="21"/>
      <c r="IV64" s="21"/>
      <c r="IW64" s="21"/>
      <c r="IX64" s="21"/>
      <c r="IY64" s="21"/>
      <c r="IZ64" s="21"/>
      <c r="JA64" s="21"/>
      <c r="JB64" s="30"/>
      <c r="JC64" s="21"/>
      <c r="JD64" s="36"/>
      <c r="JE64" s="21" t="str">
        <f t="shared" si="209"/>
        <v/>
      </c>
      <c r="JF64" s="30"/>
      <c r="JG64" s="21"/>
      <c r="JH64" s="21"/>
      <c r="JI64" s="21"/>
      <c r="JJ64" s="30"/>
      <c r="JK64" s="22"/>
      <c r="JL64" s="22"/>
      <c r="JM64" s="21"/>
      <c r="JN64" s="36"/>
      <c r="JO64" s="21" t="str">
        <f t="shared" si="210"/>
        <v/>
      </c>
      <c r="JP64" s="22"/>
      <c r="JQ64" s="21"/>
      <c r="JR64" s="21"/>
      <c r="JS64" s="21"/>
      <c r="JT64" s="30"/>
      <c r="JU64" s="22"/>
      <c r="JV64" s="22"/>
      <c r="JW64" s="33"/>
      <c r="JX64" s="28" t="str">
        <f t="shared" si="211"/>
        <v/>
      </c>
      <c r="JY64" s="33"/>
      <c r="JZ64" s="28" t="str">
        <f t="shared" si="212"/>
        <v/>
      </c>
      <c r="KA64" s="21"/>
      <c r="KB64" s="21"/>
      <c r="KC64" s="21"/>
      <c r="KD64" s="37"/>
      <c r="KE64" s="28"/>
      <c r="KF64" s="28"/>
      <c r="KG64" s="28"/>
      <c r="KH64" s="39"/>
      <c r="KI64" s="39"/>
      <c r="KJ64" s="66"/>
      <c r="KK64" s="39"/>
      <c r="KL64" s="39"/>
      <c r="KM64" s="66"/>
      <c r="KN64" s="39"/>
      <c r="KO64" s="39"/>
      <c r="KP64" s="39"/>
      <c r="KQ64" s="39"/>
      <c r="KR64" s="39"/>
      <c r="KS64" s="39"/>
      <c r="KT64" s="39"/>
      <c r="KU64" s="38"/>
      <c r="KV64" s="38"/>
      <c r="KW64" s="38"/>
      <c r="KX64" s="38"/>
      <c r="KY64" s="38"/>
      <c r="KZ64" s="38"/>
      <c r="LA64" s="38"/>
      <c r="LB64" s="38"/>
      <c r="LC64" s="38"/>
      <c r="LD64" s="38"/>
      <c r="LE64" s="38"/>
      <c r="LF64" s="38"/>
      <c r="LG64" s="38"/>
      <c r="LH64" s="38"/>
      <c r="LI64" s="38"/>
      <c r="LJ64" s="38"/>
      <c r="LK64" s="38"/>
      <c r="LL64" s="38"/>
      <c r="LM64" s="38"/>
      <c r="LN64" s="38"/>
      <c r="LO64" s="38"/>
      <c r="LP64" s="38"/>
      <c r="LQ64" s="38"/>
      <c r="LR64" s="38"/>
      <c r="LS64" s="38"/>
      <c r="LT64" s="38"/>
      <c r="LU64" s="38"/>
      <c r="LV64" s="38"/>
      <c r="LW64" s="38"/>
      <c r="LX64" s="38"/>
      <c r="LY64" s="38"/>
      <c r="LZ64" s="38"/>
      <c r="MA64" s="38"/>
      <c r="MB64" s="38"/>
      <c r="MC64" s="38"/>
      <c r="MD64" s="38"/>
      <c r="ME64" s="38"/>
      <c r="MF64" s="38"/>
      <c r="MG64" s="38"/>
      <c r="MH64" s="43">
        <f t="shared" si="213"/>
        <v>0</v>
      </c>
      <c r="MI64" s="43" t="str">
        <f t="shared" si="214"/>
        <v/>
      </c>
      <c r="MJ64" s="43" t="str">
        <f t="shared" si="215"/>
        <v/>
      </c>
      <c r="MK64" s="43">
        <f t="shared" si="216"/>
        <v>0</v>
      </c>
      <c r="ML6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64" s="43">
        <f t="shared" si="217"/>
        <v>5.4285714285714288</v>
      </c>
      <c r="MN64" s="43">
        <f t="shared" si="218"/>
        <v>7</v>
      </c>
      <c r="MO64" s="43">
        <f t="shared" si="219"/>
        <v>2023</v>
      </c>
      <c r="MP64" s="43" t="str">
        <f t="shared" si="220"/>
        <v>III TRIMESTRE AÑO</v>
      </c>
      <c r="MQ64" s="43">
        <f t="shared" si="221"/>
        <v>18.262702584318877</v>
      </c>
      <c r="MR64" s="43">
        <f t="shared" si="222"/>
        <v>0</v>
      </c>
      <c r="MS64" s="43" t="str">
        <f t="shared" si="223"/>
        <v>DE 14 A 19AÑOS</v>
      </c>
      <c r="MT64" s="43">
        <f t="shared" si="224"/>
        <v>1</v>
      </c>
      <c r="MU64" s="43">
        <f t="shared" si="225"/>
        <v>0</v>
      </c>
      <c r="MV64" s="43">
        <f t="shared" si="226"/>
        <v>0</v>
      </c>
      <c r="MW64" s="43">
        <f t="shared" si="227"/>
        <v>0</v>
      </c>
      <c r="MX64" s="43" t="str">
        <f t="shared" si="228"/>
        <v/>
      </c>
      <c r="MY64" s="43" t="str">
        <f t="shared" ca="1" si="229"/>
        <v/>
      </c>
      <c r="MZ64" s="43" t="str">
        <f t="shared" si="230"/>
        <v/>
      </c>
      <c r="NA64" s="43" t="str">
        <f t="shared" si="231"/>
        <v/>
      </c>
      <c r="NB64" s="43" t="str">
        <f t="shared" si="232"/>
        <v/>
      </c>
      <c r="NC64" s="43" t="str">
        <f t="shared" si="233"/>
        <v/>
      </c>
      <c r="ND64" s="43">
        <f t="shared" ca="1" si="234"/>
        <v>2</v>
      </c>
      <c r="NE64" s="43">
        <f>IF(OR(O64&gt;0,R64&gt;0),SUM(COUNTIF(Tabla1[[#This Row],[AÑOS AL INICIO5 CPN]],"&gt;=40"),COUNTIF(AS64,"0"),COUNTIF(AR64,"SI"),COUNTIF(CC64,"SI"),COUNTIF(BQ64,"&gt;119"),COUNTIF(CI64,"&gt;=35")),"")</f>
        <v>0</v>
      </c>
      <c r="NF64" s="43" t="str">
        <f t="shared" si="235"/>
        <v/>
      </c>
      <c r="NG64" s="43">
        <f t="shared" si="236"/>
        <v>0</v>
      </c>
      <c r="NH64" s="43">
        <f t="shared" si="237"/>
        <v>51.800000000000004</v>
      </c>
      <c r="NI6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CPN",P64="NO"),"Z",IF(AND(Tabla1[[#This Row],[CITA PROXIMO CONTROL]]="CITA MANUAL",Tabla1[[#This Row],[GESTANTES ACTUALES]]="ACTIVA INGRESO A CPN"),"W",IF(AND(Tabla1[[#This Row],[GESTANTES ACTUALES]]="SALIO PROGRAMA",IN64=""),"S",IF(AND(Tabla1[[#This Row],[CITA PROXIMO CONTROL]]&gt;0,IN64=""),(Tabla1[[#This Row],[CITA PROXIMO CONTROL]]-TODAY()),"SD"))))))))</f>
        <v>#REF!</v>
      </c>
      <c r="NJ64" s="43">
        <f>MONTH(Tabla1[[#This Row],[FECHA DE SALIDA  DEL PROGRAMA]])</f>
        <v>1</v>
      </c>
      <c r="NK64" s="43">
        <f>YEAR(Tabla1[[#This Row],[FECHA DE SALIDA  DEL PROGRAMA]])</f>
        <v>1900</v>
      </c>
      <c r="NL64" s="43" t="str">
        <f t="shared" si="238"/>
        <v>X</v>
      </c>
      <c r="NM64" s="43" t="str">
        <f t="shared" si="251"/>
        <v>NO</v>
      </c>
      <c r="NN64" s="43" t="str">
        <f ca="1">IF(AND(O64&gt;0,R64=""),"NO CPN",IF(AND(O64="",R64=""),"",IF(AND(R64&gt;0,Tabla1[[#This Row],[SEMANAS DE GESTACION ACTUALIZADAS]]&lt;=12),"NO APLICA",IF(AND(FH64&lt;&gt;"",FN64&lt;&gt;""),"SI","NO"))))</f>
        <v>NO</v>
      </c>
      <c r="NO64" s="43" t="str">
        <f ca="1">IF(AND(O64&gt;0,R64=""),"NO CPN",IF(AND(O64="",R64=""),"",IF(AND(R64&gt;0,Tabla1[[#This Row],[SEMANAS DE GESTACION ACTUALIZADAS]]&lt;=27),"NO APLICA",IF(AND(ES64&lt;&gt;"",FQ64&lt;&gt;"",GF64&lt;&gt;""),"SI","NO"))))</f>
        <v>NO APLICA</v>
      </c>
      <c r="NP64" s="204" t="str">
        <f t="shared" si="240"/>
        <v>DEFINIR CON ECO</v>
      </c>
      <c r="NQ64" s="21">
        <f t="shared" si="241"/>
        <v>9</v>
      </c>
      <c r="NR64" s="21">
        <f t="shared" ca="1" si="242"/>
        <v>2</v>
      </c>
      <c r="NS64" s="205">
        <f t="shared" ca="1" si="243"/>
        <v>1</v>
      </c>
      <c r="NT64" s="21">
        <f t="shared" ca="1" si="244"/>
        <v>1</v>
      </c>
      <c r="NU64" s="21" t="str">
        <f t="shared" ca="1" si="245"/>
        <v>INCOMPLETO</v>
      </c>
      <c r="NV64" s="21" t="str">
        <f t="shared" ca="1" si="246"/>
        <v>INCOMPLETO</v>
      </c>
      <c r="NW64" s="206" t="str">
        <f>IF(AND(O64="",R64=""),"",IF(OR(AND(Tabla1[[#This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64" s="207" t="str">
        <f t="shared" ca="1" si="247"/>
        <v>SIN VACUNAR</v>
      </c>
      <c r="NY64" s="43">
        <f>ROW(Tabla1[[#This Row],['# DE TAMIZAJES SIFILIS TOMADOS ]])</f>
        <v>64</v>
      </c>
      <c r="NZ64" s="43" t="str">
        <f t="shared" si="93"/>
        <v>Menor</v>
      </c>
      <c r="OA64" s="43" t="str">
        <f t="shared" si="94"/>
        <v>SOBREPESO</v>
      </c>
      <c r="OB64" s="43" t="str">
        <f t="shared" si="95"/>
        <v/>
      </c>
      <c r="OC64" s="43" t="str">
        <f t="shared" si="96"/>
        <v/>
      </c>
      <c r="OD64" s="43" t="str">
        <f t="shared" si="97"/>
        <v/>
      </c>
      <c r="OE64" s="43" t="str">
        <f t="shared" si="98"/>
        <v/>
      </c>
      <c r="OF64" s="43" t="str">
        <f t="shared" si="99"/>
        <v/>
      </c>
      <c r="OG64" s="43" t="str">
        <f t="shared" si="100"/>
        <v/>
      </c>
      <c r="OH64" s="43" t="str">
        <f t="shared" si="101"/>
        <v/>
      </c>
      <c r="OI64" s="43" t="str">
        <f t="shared" si="102"/>
        <v/>
      </c>
      <c r="OJ64" s="43" t="str">
        <f t="shared" si="103"/>
        <v/>
      </c>
      <c r="OK64" s="43" t="str">
        <f t="shared" si="104"/>
        <v/>
      </c>
      <c r="OL64" s="43" t="str">
        <f t="shared" si="105"/>
        <v/>
      </c>
      <c r="OM64" s="43" t="str">
        <f t="shared" si="106"/>
        <v/>
      </c>
      <c r="ON64" s="43" t="str">
        <f t="shared" si="107"/>
        <v/>
      </c>
      <c r="OO64" s="43" t="str">
        <f t="shared" si="108"/>
        <v/>
      </c>
      <c r="OP64" s="43" t="str">
        <f t="shared" si="109"/>
        <v/>
      </c>
      <c r="OQ64" s="43" t="str">
        <f t="shared" si="110"/>
        <v/>
      </c>
      <c r="OR64" s="43" t="str">
        <f t="shared" si="111"/>
        <v/>
      </c>
      <c r="OS64" s="43" t="str">
        <f t="shared" si="112"/>
        <v/>
      </c>
      <c r="OT64" s="43" t="str">
        <f t="shared" si="113"/>
        <v/>
      </c>
      <c r="OU64" s="43" t="str">
        <f t="shared" si="114"/>
        <v/>
      </c>
      <c r="OV64" s="110" t="str">
        <f t="shared" si="115"/>
        <v/>
      </c>
      <c r="OW64" s="43" t="str">
        <f t="shared" si="116"/>
        <v/>
      </c>
      <c r="OX64" s="43" t="str">
        <f t="shared" si="117"/>
        <v/>
      </c>
      <c r="OY64" s="43" t="str">
        <f t="shared" si="118"/>
        <v/>
      </c>
      <c r="OZ64" s="43" t="str">
        <f t="shared" si="119"/>
        <v/>
      </c>
      <c r="PA64" s="43" t="str">
        <f t="shared" si="120"/>
        <v/>
      </c>
      <c r="PB64" s="43" t="str">
        <f t="shared" si="121"/>
        <v/>
      </c>
      <c r="PC64" s="43" t="str">
        <f t="shared" si="122"/>
        <v/>
      </c>
      <c r="PD64" s="43" t="str">
        <f t="shared" si="123"/>
        <v/>
      </c>
      <c r="PE64" s="43" t="str">
        <f t="shared" si="124"/>
        <v/>
      </c>
      <c r="PF64" s="43" t="str">
        <f t="shared" si="125"/>
        <v/>
      </c>
      <c r="PG64" s="43" t="str">
        <f t="shared" si="126"/>
        <v/>
      </c>
      <c r="PH64" s="43" t="str">
        <f t="shared" si="127"/>
        <v/>
      </c>
      <c r="PI64" s="43">
        <f t="shared" si="128"/>
        <v>10</v>
      </c>
      <c r="PJ64" s="43" t="str">
        <f t="shared" si="129"/>
        <v/>
      </c>
      <c r="PK64" s="43" t="str">
        <f t="shared" si="130"/>
        <v>NORMAL</v>
      </c>
      <c r="PL64" s="43" t="str">
        <f t="shared" si="131"/>
        <v/>
      </c>
      <c r="PM64" s="43" t="str">
        <f t="shared" si="132"/>
        <v/>
      </c>
      <c r="PN64" s="43" t="str">
        <f t="shared" si="133"/>
        <v/>
      </c>
      <c r="PO64" s="43" t="str">
        <f t="shared" si="134"/>
        <v/>
      </c>
      <c r="PP64" s="43" t="str">
        <f t="shared" si="135"/>
        <v/>
      </c>
      <c r="PQ64" s="43" t="str">
        <f t="shared" si="136"/>
        <v/>
      </c>
      <c r="PR64" s="43" t="str">
        <f t="shared" si="137"/>
        <v/>
      </c>
      <c r="PS64" s="43" t="str">
        <f t="shared" si="138"/>
        <v/>
      </c>
      <c r="PT64" s="43" t="str">
        <f t="shared" si="139"/>
        <v/>
      </c>
      <c r="PU64" s="43" t="str">
        <f t="shared" si="140"/>
        <v/>
      </c>
      <c r="PV64" s="43" t="str">
        <f t="shared" si="141"/>
        <v/>
      </c>
      <c r="PW64" s="43" t="str">
        <f t="shared" si="142"/>
        <v/>
      </c>
      <c r="PX64" s="43" t="str">
        <f t="shared" si="143"/>
        <v/>
      </c>
      <c r="PY64" s="43" t="str">
        <f t="shared" si="144"/>
        <v/>
      </c>
      <c r="PZ64" s="43" t="str">
        <f t="shared" si="145"/>
        <v/>
      </c>
      <c r="QA64" s="43" t="str">
        <f t="shared" si="146"/>
        <v/>
      </c>
      <c r="QB64" s="43" t="str">
        <f t="shared" si="147"/>
        <v/>
      </c>
      <c r="QC64" s="43" t="str">
        <f t="shared" si="148"/>
        <v/>
      </c>
      <c r="QD64" s="43" t="str">
        <f t="shared" si="149"/>
        <v/>
      </c>
      <c r="QE64" s="43" t="str">
        <f t="shared" si="150"/>
        <v/>
      </c>
      <c r="QF64" s="43" t="str">
        <f t="shared" si="151"/>
        <v/>
      </c>
      <c r="QG64" s="43" t="str">
        <f t="shared" si="152"/>
        <v/>
      </c>
      <c r="QH64" s="43" t="str">
        <f t="shared" si="153"/>
        <v/>
      </c>
      <c r="QI64" s="43" t="str">
        <f t="shared" si="154"/>
        <v/>
      </c>
      <c r="QJ64" s="43" t="str">
        <f t="shared" si="155"/>
        <v/>
      </c>
      <c r="QK64" s="43" t="str">
        <f t="shared" si="156"/>
        <v/>
      </c>
      <c r="QL64" s="43" t="str">
        <f t="shared" si="157"/>
        <v/>
      </c>
      <c r="QM64" s="43" t="str">
        <f t="shared" si="158"/>
        <v/>
      </c>
      <c r="QN64" s="43" t="str">
        <f t="shared" si="159"/>
        <v/>
      </c>
      <c r="QO64" s="43" t="str">
        <f t="shared" si="160"/>
        <v/>
      </c>
      <c r="QP64" s="43" t="str">
        <f t="shared" si="161"/>
        <v/>
      </c>
      <c r="QQ64" s="43" t="str">
        <f t="shared" si="162"/>
        <v/>
      </c>
      <c r="QR64" s="43" t="str">
        <f t="shared" si="192"/>
        <v>Menor</v>
      </c>
      <c r="QS64" s="43"/>
      <c r="QT64" s="21" t="str">
        <f t="shared" si="163"/>
        <v/>
      </c>
      <c r="QU64" s="21" t="str">
        <f t="shared" si="164"/>
        <v/>
      </c>
      <c r="QV64" s="21" t="str">
        <f t="shared" si="165"/>
        <v/>
      </c>
      <c r="QW64" s="21" t="str">
        <f t="shared" si="166"/>
        <v/>
      </c>
      <c r="QX64" s="21" t="str">
        <f t="shared" si="167"/>
        <v/>
      </c>
      <c r="QY64" s="21" t="str">
        <f t="shared" si="168"/>
        <v/>
      </c>
      <c r="QZ64" s="21" t="str">
        <f t="shared" si="169"/>
        <v/>
      </c>
      <c r="RA64" s="21" t="str">
        <f t="shared" si="170"/>
        <v/>
      </c>
      <c r="RB64" s="21" t="str">
        <f t="shared" si="171"/>
        <v/>
      </c>
      <c r="RC64" s="21" t="str">
        <f t="shared" si="172"/>
        <v/>
      </c>
      <c r="RD64" s="21" t="str">
        <f t="shared" si="173"/>
        <v/>
      </c>
      <c r="RE64" s="21" t="str">
        <f t="shared" si="174"/>
        <v/>
      </c>
      <c r="RF64" s="21" t="str">
        <f t="shared" si="175"/>
        <v/>
      </c>
      <c r="RG64" s="21" t="str">
        <f t="shared" si="176"/>
        <v/>
      </c>
      <c r="RH64" s="21" t="str">
        <f t="shared" si="177"/>
        <v/>
      </c>
      <c r="RI64" s="21" t="str">
        <f t="shared" si="178"/>
        <v/>
      </c>
      <c r="RJ64" s="21" t="str">
        <f t="shared" si="179"/>
        <v/>
      </c>
      <c r="RK64" s="21" t="str">
        <f t="shared" si="180"/>
        <v/>
      </c>
      <c r="RL64" s="21" t="str">
        <f t="shared" si="181"/>
        <v/>
      </c>
      <c r="RM64" s="21" t="str">
        <f t="shared" si="182"/>
        <v/>
      </c>
      <c r="RN64" s="21" t="str">
        <f t="shared" si="183"/>
        <v/>
      </c>
      <c r="RO64" s="21" t="str">
        <f t="shared" si="184"/>
        <v/>
      </c>
      <c r="RP64" s="21" t="str">
        <f t="shared" si="185"/>
        <v/>
      </c>
      <c r="RQ64" s="21" t="str">
        <f t="shared" si="186"/>
        <v/>
      </c>
      <c r="RR64" s="21" t="str">
        <f t="shared" si="187"/>
        <v/>
      </c>
      <c r="RS64" s="21" t="str">
        <f t="shared" si="188"/>
        <v/>
      </c>
      <c r="RT64" s="21" t="str">
        <f t="shared" si="189"/>
        <v/>
      </c>
      <c r="RU64" s="21" t="str">
        <f t="shared" si="190"/>
        <v/>
      </c>
      <c r="RV64" s="21">
        <f t="shared" si="191"/>
        <v>5.2857142857142856</v>
      </c>
      <c r="RW64" s="284">
        <f>IF(OR(Tabla1[[#This Row],[FUM FORMULA CONFIABLE]]="",Tabla1[[#This Row],[FUM FORMULA CONFIABLE]]="SD"),"",IF(Tabla1[[#This Row],[FUM FORMULA CONFIABLE]]="CORREGIDA",Tabla1[[#This Row],[FUM X ECO 1]],Tabla1[[#This Row],[FUM x AMENORREA]]))</f>
        <v>45073</v>
      </c>
      <c r="RX64" s="21">
        <f>IF(AND(Tabla1[[#This Row],[FUM X ECO 1]]="",Tabla1[[#This Row],[FUM x AMENORREA]]=""),"",IF(AND(Tabla1[[#This Row],[FUM X ECO 1]]="",Tabla1[[#This Row],[FUM x AMENORREA]]&lt;&gt;""),"X",SUM(Tabla1[[#This Row],[FUM X ECO 1]]-Tabla1[[#This Row],[FUM x AMENORREA]])))</f>
        <v>-3.8000000000029104</v>
      </c>
      <c r="RY64" s="21">
        <f t="shared" si="193"/>
        <v>0</v>
      </c>
    </row>
    <row r="65" spans="1:493" ht="45" customHeight="1" x14ac:dyDescent="0.25">
      <c r="A65" s="109"/>
      <c r="B65" s="43"/>
      <c r="C65" s="43" t="s">
        <v>845</v>
      </c>
      <c r="D65" s="124" t="s">
        <v>846</v>
      </c>
      <c r="E65" s="43" t="s">
        <v>1196</v>
      </c>
      <c r="F65" s="43" t="s">
        <v>1197</v>
      </c>
      <c r="G65" s="43" t="s">
        <v>1198</v>
      </c>
      <c r="H65" s="43" t="s">
        <v>1199</v>
      </c>
      <c r="I65" s="109" t="s">
        <v>851</v>
      </c>
      <c r="J65" s="110">
        <v>1059601546</v>
      </c>
      <c r="K65" s="43" t="s">
        <v>852</v>
      </c>
      <c r="L65" s="175" t="s">
        <v>853</v>
      </c>
      <c r="M65" s="22">
        <v>34010</v>
      </c>
      <c r="N65" s="213">
        <f t="shared" ca="1" si="0"/>
        <v>30.745205479452054</v>
      </c>
      <c r="O65" s="22">
        <v>44908</v>
      </c>
      <c r="P65" s="214" t="str">
        <f t="shared" si="194"/>
        <v>SI</v>
      </c>
      <c r="Q65" s="26" t="s">
        <v>855</v>
      </c>
      <c r="R65" s="22">
        <v>44908</v>
      </c>
      <c r="S65" s="21" t="s">
        <v>856</v>
      </c>
      <c r="T65" s="24" t="s">
        <v>690</v>
      </c>
      <c r="U65" s="21" t="s">
        <v>857</v>
      </c>
      <c r="V65" s="21" t="s">
        <v>858</v>
      </c>
      <c r="W65" s="21" t="s">
        <v>1200</v>
      </c>
      <c r="X65" s="21" t="s">
        <v>1062</v>
      </c>
      <c r="Y65" s="21" t="s">
        <v>859</v>
      </c>
      <c r="Z65" s="21">
        <v>3206301547</v>
      </c>
      <c r="AA65" s="21" t="s">
        <v>860</v>
      </c>
      <c r="AB65" s="27" t="s">
        <v>861</v>
      </c>
      <c r="AC65" s="26" t="s">
        <v>862</v>
      </c>
      <c r="AD65" s="38" t="s">
        <v>846</v>
      </c>
      <c r="AE65" s="26" t="s">
        <v>854</v>
      </c>
      <c r="AF65" s="26" t="s">
        <v>854</v>
      </c>
      <c r="AG65" s="23" t="s">
        <v>864</v>
      </c>
      <c r="AH65" s="23" t="s">
        <v>864</v>
      </c>
      <c r="AI65" s="24" t="s">
        <v>863</v>
      </c>
      <c r="AJ65" s="23" t="s">
        <v>864</v>
      </c>
      <c r="AK65" s="220" t="str">
        <f>IF(AND(AD65="",AE65="",AF65="",AG65="",AH65="",AI65="",AJ65=""),"",IF(OR(Tabla1[[#This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EVALUACIÓN",IF(AND(O65="",R65=""),"",IF(AND(OR(O65&gt;0,R65&gt;0),NG65&gt;=0,NG65&lt;2),"SIN RIESGO",IF(AND(OR(O65&gt;0,R65&gt;0),NG65&gt;=2),"CON RIESGO","ASD")))))</f>
        <v>SIN RIESGO</v>
      </c>
      <c r="AL65" s="23" t="s">
        <v>864</v>
      </c>
      <c r="AM65" s="26" t="s">
        <v>864</v>
      </c>
      <c r="AN65" s="26" t="s">
        <v>864</v>
      </c>
      <c r="AO65" s="26" t="s">
        <v>864</v>
      </c>
      <c r="AP65" s="26" t="s">
        <v>864</v>
      </c>
      <c r="AQ65" s="26" t="s">
        <v>864</v>
      </c>
      <c r="AR65" s="26" t="s">
        <v>864</v>
      </c>
      <c r="AS65" s="21">
        <v>4</v>
      </c>
      <c r="AT65" s="21">
        <v>4</v>
      </c>
      <c r="AU65" s="21">
        <v>0</v>
      </c>
      <c r="AV65" s="26" t="s">
        <v>864</v>
      </c>
      <c r="AW65" s="21">
        <v>0</v>
      </c>
      <c r="AX65" s="26" t="s">
        <v>864</v>
      </c>
      <c r="AY65" s="26" t="s">
        <v>864</v>
      </c>
      <c r="AZ65" s="26" t="s">
        <v>864</v>
      </c>
      <c r="BA65" s="26" t="s">
        <v>864</v>
      </c>
      <c r="BB65" s="26" t="s">
        <v>864</v>
      </c>
      <c r="BC65" s="26" t="s">
        <v>864</v>
      </c>
      <c r="BD65" s="26" t="s">
        <v>864</v>
      </c>
      <c r="BE65" s="26" t="s">
        <v>864</v>
      </c>
      <c r="BF65" s="26" t="s">
        <v>864</v>
      </c>
      <c r="BG65" s="26" t="s">
        <v>864</v>
      </c>
      <c r="BH65" s="26" t="s">
        <v>864</v>
      </c>
      <c r="BI65" s="26" t="s">
        <v>864</v>
      </c>
      <c r="BJ65" s="26"/>
      <c r="BK65" s="26"/>
      <c r="BL65" s="26" t="s">
        <v>864</v>
      </c>
      <c r="BM65" s="26" t="s">
        <v>864</v>
      </c>
      <c r="BN65" s="22">
        <v>43997</v>
      </c>
      <c r="BO65" s="22">
        <v>44764</v>
      </c>
      <c r="BP65" s="21" t="s">
        <v>854</v>
      </c>
      <c r="BQ65" s="222">
        <f t="shared" si="2"/>
        <v>25.566666666666666</v>
      </c>
      <c r="BR65" s="223">
        <f t="shared" si="3"/>
        <v>44764</v>
      </c>
      <c r="BS65" s="224">
        <f t="shared" si="4"/>
        <v>20.571428571428573</v>
      </c>
      <c r="BT65" s="216" t="str">
        <f t="shared" si="5"/>
        <v>II TRIM</v>
      </c>
      <c r="BU65" s="214" t="str">
        <f t="shared" ca="1" si="6"/>
        <v/>
      </c>
      <c r="BV65" s="25"/>
      <c r="BW65" s="22">
        <v>44918</v>
      </c>
      <c r="BX65" s="28">
        <v>22</v>
      </c>
      <c r="BY65" s="28"/>
      <c r="BZ65" s="22"/>
      <c r="CA65" s="21"/>
      <c r="CB65" s="26" t="s">
        <v>864</v>
      </c>
      <c r="CC65" s="26" t="s">
        <v>865</v>
      </c>
      <c r="CD65" s="26" t="s">
        <v>972</v>
      </c>
      <c r="CE65" s="26" t="s">
        <v>864</v>
      </c>
      <c r="CF65" s="22" t="s">
        <v>1517</v>
      </c>
      <c r="CG65" s="21">
        <v>1.45</v>
      </c>
      <c r="CH65" s="21">
        <v>66</v>
      </c>
      <c r="CI65" s="214">
        <f t="shared" si="7"/>
        <v>31.391200951248514</v>
      </c>
      <c r="CJ65" s="225" t="e">
        <f>IF(AND(CI65&lt;10,CH65="SD"),"SIN DATO PESO PREGESTACION O I TRIM",IF(AND(OR(R65&gt;0,O65&gt;0),CI65="X"),"INGRESAR DATO DE PESO",IF(CI65="SD","INGRESAR DATO DE TALLA Y PESO",IF(AND(OR(Tabla1[[#This Row],[MOMENTO EN QUE SE REALIZA EL PESO AL INGRESO A CPN]]="PREGESTACIÓN",NZ65="Menor"),CI65&lt;18.5),"BAJO PESO",IF(AND(OR(Tabla1[[#This Row],[MOMENTO EN QUE SE REALIZA EL PESO AL INGRESO A CPN]]="PREGESTACIÓN",NZ65="Menor"),CI65&lt;25),"NORMAL",IF(AND(OR(Tabla1[[#This Row],[MOMENTO EN QUE SE REALIZA EL PESO AL INGRESO A CPN]]="PREGESTACIÓN",NZ65="Menor"),CI65&lt;30),"SOBREPESO",IF(AND(OR(Tabla1[[#This Row],[MOMENTO EN QUE SE REALIZA EL PESO AL INGRESO A CPN]]="PREGESTACIÓN",NZ65="Menor"),CI65&gt;=30,CI65&lt;50),"OBESIDAD",IF(AND(BS65&gt;0,Tabla1[[#This Row],[MOMENTO EN QUE SE REALIZA EL PESO AL INGRESO A CPN]]="GESTACIÓN"),HLOOKUP(NZ65,$OA$2:PH65,NY65),""))))))))</f>
        <v>#REF!</v>
      </c>
      <c r="CK65" s="212">
        <f t="shared" si="8"/>
        <v>44908</v>
      </c>
      <c r="CL65" s="21"/>
      <c r="CM65" s="214">
        <f t="shared" si="9"/>
        <v>0</v>
      </c>
      <c r="CN65" s="216">
        <f t="shared" si="10"/>
        <v>20</v>
      </c>
      <c r="CO65" s="216" t="e">
        <f>IF(PI65="","",IF(PI65&gt;0,HLOOKUP(PI65,$PJ$2:QQ65,NY65),""))</f>
        <v>#REF!</v>
      </c>
      <c r="CP65" s="21"/>
      <c r="CQ65" s="216" t="e">
        <f>IF(QR65="Menor","NO APLICA-MENOR 13 SEM",IF(AND(CC65="SI",CN65&gt;23),"NO APLICA- GEMELAR",IF(QR65="","",IF(QR65&gt;0,HLOOKUP(QR65,$QS$2:RU65,NY65),""))))</f>
        <v>#REF!</v>
      </c>
      <c r="CR65" s="21"/>
      <c r="CS65" s="21"/>
      <c r="CT65" s="217" t="str">
        <f>IF(R65="","",IF(AND(BS65&gt;1,BS65&lt;12,Tabla1[[#This Row],[T.A. SISTOLICA - ANTES DE SEMANA 12]]="",Tabla1[[#This Row],[T.A. DIASTOLICA - ANTES DE SEMANA 12]]=""),"REGISTRE DATO TA ANTES SEMANA 12",IF(AND(BS65&gt;11,BS65&lt;43,Tabla1[[#This Row],[T.A. SISTOLICA - ANTES DE SEMANA 12]]="",Tabla1[[#This Row],[T.A. DIASTOLICA - ANTES DE SEMANA 12]]=""),"NO APLICA REGISTRO TA-INGRESO TARDIO",IF(AND(OR(O65&gt;0,R65&gt;0),OR(CR65&gt;=140,CS65&gt;=90)),"DEFINIR ESTADIO HTA",IF(AND(OR(O65&gt;0,R65&gt;0),AND(CR65&gt;120,CR65&lt;=139)),"PRE HTA SEGUIMIENTO",IF(AND(OR(O65&gt;0,R65&gt;0),AND(CS65&gt;80,CS65&lt;=89)),"PRE HTA SEGUIMIENTO",IF(AND(OR(O65&gt;0,R65&gt;0),AND(CR65&gt;=80,CR65&lt;=120)),"APARENTEMENTE NORMAL",IF(AND(OR(O65&gt;0,R65&gt;0),AND(CS65&gt;=50,CS65&lt;=80)),"APARENTEMENTE NORMAL",IF(AND(OR(O65&gt;0,R65&gt;0),AND(CR65&gt;1,CR65&lt;=70),AND(CS65&gt;1,CS65&lt;=40)),"HIPOTENSIÓN","")))))))))</f>
        <v>NO APLICA REGISTRO TA-INGRESO TARDIO</v>
      </c>
      <c r="CU65" s="21">
        <v>100</v>
      </c>
      <c r="CV65" s="21">
        <v>60</v>
      </c>
      <c r="CW65" s="217" t="str">
        <f ca="1">IF(R65="","",IF(AND(CN65&gt;19,CN65&lt;27,Tabla1[[#This Row],[T.A. SISTOLICA (Entre semana 20 y 26)]]="",Tabla1[[#This Row],[T.A. DIATOLICA (Entre semana 20 y 26)]]=""),"ACUDE A CONTROL SEM 20 A 26 REGISTRE TA AHORA",IF(AND(BS65&gt;1,BS65&lt;27,BU65&gt;19,Tabla1[[#This Row],[T.A. SISTOLICA (Entre semana 20 y 26)]]="",Tabla1[[#This Row],[T.A. DIATOLICA (Entre semana 20 y 26)]]=""),"COMPLETE REGISTRO TA CONTROL SEM 20 A26 ",IF(AND(BS65&gt;26,BS65&lt;43,Tabla1[[#This Row],[T.A. SISTOLICA (Entre semana 20 y 26)]]="",Tabla1[[#This Row],[T.A. DIATOLICA (Entre semana 20 y 26)]]=""),"NO APLICA REGISTRO TA-INGRESO TARDIO",IF(AND(OR(O65&gt;0,R65&gt;0),OR(CU65&gt;=140,CV65&gt;=90)),"ALTO RIESGO PREECLAMPSIA,DEFINIR ESTADIO HTA",IF(AND(OR(O65&gt;0,R65&gt;0),AND(CU65&gt;120,CU65&lt;=139)),"PRE HTA SEGUIMIENTO,RIESGO HIPERTENSION INDUCIDA POR EL EMBARAZO",IF(AND(OR(O65&gt;0,R65&gt;0),AND(CV65&gt;80,CV65&lt;=89)),"PRE HTA SEGUIMIENTO, RIESGO HIPERTENSION INDUCIDA POR EL EMBARAZO",IF(AND(OR(O65&lt;&gt;"",R65&lt;&gt;""),CS65&lt;&gt;"",CV65&lt;&gt;"",CS65&lt;=CV65),"VIGILAR CIFRAS PRESION ARTERIAL",IF(AND(OR(O65&gt;0,R65&gt;0),AND(CU65&gt;120,CU65&lt;=139)),"PRE HTA SEGUIMIENTO",IF(AND(OR(O65&gt;0,R65&gt;0),AND(CU65&gt;1,CU65&lt;=70),AND(CV65&gt;1,CV65&lt;=40)),"HIPOTENSIÓN",IF(AND(OR(O65&lt;&gt;"",R65&lt;&gt;""),CS65&lt;&gt;"",CV65&lt;&gt;"",CS65&gt;CV65),"APARENTEMENTE NORMAL",IF(AND(OR(O65&gt;0,R65&gt;0),AND(CU65&gt;=80,CU65&lt;=120)),"APARENTEMENTE NORMAL",IF(AND(OR(O65&gt;0,R65&gt;0),AND(CV65&gt;=50,CV65&lt;=80)),"APARENTEMENTE NORMAL","")))))))))))))</f>
        <v>APARENTEMENTE NORMAL</v>
      </c>
      <c r="CX65" s="21"/>
      <c r="CY65" s="21"/>
      <c r="CZ65" s="216" t="str">
        <f t="shared" si="195"/>
        <v/>
      </c>
      <c r="DA65" s="21"/>
      <c r="DB65" s="21"/>
      <c r="DC65" s="217" t="str">
        <f t="shared" si="12"/>
        <v>REGISTRE DATO PRESIÓN ARTERIAL MENSUAL</v>
      </c>
      <c r="DD65" s="22">
        <v>44908</v>
      </c>
      <c r="DE65" s="22">
        <v>44908</v>
      </c>
      <c r="DF65" s="22"/>
      <c r="DG65" s="22"/>
      <c r="DH65" s="22"/>
      <c r="DI65" s="22"/>
      <c r="DJ65" s="22"/>
      <c r="DK65" s="22"/>
      <c r="DL65" s="22"/>
      <c r="DM65" s="22"/>
      <c r="DN65" s="22"/>
      <c r="DO65" s="22"/>
      <c r="DP65" s="22"/>
      <c r="DQ65" s="22"/>
      <c r="DR65" s="28">
        <v>1</v>
      </c>
      <c r="DS65" s="22"/>
      <c r="DT65" s="22"/>
      <c r="DU65" s="216" t="str">
        <f t="shared" ca="1" si="196"/>
        <v>SALE SIN PLAN DE PARTO</v>
      </c>
      <c r="DV65" s="226" t="str">
        <f t="shared" si="197"/>
        <v>SALIO PROGRAMA</v>
      </c>
      <c r="DW65"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65" s="216" t="str">
        <f t="shared" ca="1" si="15"/>
        <v/>
      </c>
      <c r="DY65" s="212">
        <f>IF(R65="","",IF(R65&gt;0,MAX(Tabla1[[#This Row],[FECHA C2]:[FECHA C13]],Tabla1[[#This Row],[FECHA CONSULTA PRIMERA VEZ PROGRAMA CPN ]])))</f>
        <v>44908</v>
      </c>
      <c r="DZ65" s="216">
        <f t="shared" si="16"/>
        <v>20</v>
      </c>
      <c r="EA65" s="222">
        <f>IF(R65&gt;0,SUM(COUNTA(DF65:DQ65)+COUNTA(Tabla1[[#This Row],[FECHA CONSULTA PRIMERA VEZ PROGRAMA CPN ]])),"")</f>
        <v>1</v>
      </c>
      <c r="EB65" s="222" t="str">
        <f t="shared" si="17"/>
        <v>NO</v>
      </c>
      <c r="EC65" s="214">
        <f t="shared" si="18"/>
        <v>6</v>
      </c>
      <c r="ED65" s="227">
        <f t="shared" si="19"/>
        <v>0.16666666666666666</v>
      </c>
      <c r="EE65" s="22">
        <v>44908</v>
      </c>
      <c r="EF65" s="22">
        <v>44918</v>
      </c>
      <c r="EG65" s="22">
        <v>44908</v>
      </c>
      <c r="EH65" s="22"/>
      <c r="EI65" s="22">
        <v>44908</v>
      </c>
      <c r="EJ65" s="22"/>
      <c r="EK65" s="22"/>
      <c r="EL65" s="21"/>
      <c r="EM65" s="21">
        <v>11.6</v>
      </c>
      <c r="EN65" s="22">
        <v>44911</v>
      </c>
      <c r="EO65" s="222">
        <f t="shared" si="20"/>
        <v>21</v>
      </c>
      <c r="EP65" s="214" t="str">
        <f t="shared" si="21"/>
        <v>NORMAL- SUMINISTRAR SULFATO FERROSO</v>
      </c>
      <c r="EQ65" s="216" t="str">
        <f t="shared" si="22"/>
        <v>II TRIM</v>
      </c>
      <c r="ER65" s="24"/>
      <c r="ES65" s="22"/>
      <c r="ET65" s="29" t="str">
        <f t="shared" ca="1" si="198"/>
        <v>SALE SIN TAMIZAJE HEMOGLOBINA SEM 28</v>
      </c>
      <c r="EU65" s="25" t="str">
        <f t="shared" si="24"/>
        <v/>
      </c>
      <c r="EV65" s="24" t="s">
        <v>926</v>
      </c>
      <c r="EW65" s="24">
        <v>44911</v>
      </c>
      <c r="EX65" s="22"/>
      <c r="EY65" s="29">
        <f t="shared" si="248"/>
        <v>21</v>
      </c>
      <c r="EZ65" s="25" t="str">
        <f t="shared" ca="1" si="249"/>
        <v/>
      </c>
      <c r="FA65" s="21"/>
      <c r="FB65" s="22"/>
      <c r="FC65" s="29" t="str">
        <f t="shared" si="27"/>
        <v>TOMAR EXAMEN</v>
      </c>
      <c r="FD65" s="29"/>
      <c r="FE65" s="29"/>
      <c r="FF65" s="29"/>
      <c r="FG65" s="21" t="str">
        <f t="shared" ca="1" si="28"/>
        <v/>
      </c>
      <c r="FH65" s="31"/>
      <c r="FI65" s="29" t="str">
        <f t="shared" si="29"/>
        <v>TOMAR EXAMEN</v>
      </c>
      <c r="FJ65" s="22"/>
      <c r="FK65" s="22"/>
      <c r="FL65" s="29" t="str">
        <f t="shared" ca="1" si="30"/>
        <v>NO APLICA-INGRESO TARDIO</v>
      </c>
      <c r="FM65" s="22" t="s">
        <v>867</v>
      </c>
      <c r="FN65" s="32">
        <v>44911</v>
      </c>
      <c r="FO65" s="29">
        <f t="shared" ca="1" si="201"/>
        <v>21</v>
      </c>
      <c r="FP65" s="22"/>
      <c r="FQ65" s="32"/>
      <c r="FR65" s="29" t="str">
        <f t="shared" ca="1" si="202"/>
        <v>PIERDE TOMA DE TAMIZAJE</v>
      </c>
      <c r="FS65" s="22"/>
      <c r="FT65" s="32"/>
      <c r="FU65" s="29" t="str">
        <f>IF(AND(FJ65="",FM65="",FP65="",FS65=""),"",IF(OR(OR(Tabla1[[#This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65" s="28"/>
      <c r="FW65" s="22"/>
      <c r="FX65" s="29" t="str">
        <f t="shared" si="33"/>
        <v>TOMAR EXAMEN</v>
      </c>
      <c r="FY65" s="22"/>
      <c r="FZ65" s="22"/>
      <c r="GA65" s="29" t="str">
        <f t="shared" ca="1" si="250"/>
        <v>NO APLICA-INGRESO TARDIO</v>
      </c>
      <c r="GB65" s="22" t="s">
        <v>868</v>
      </c>
      <c r="GC65" s="22">
        <v>44911</v>
      </c>
      <c r="GD65" s="29">
        <f t="shared" ca="1" si="204"/>
        <v>21</v>
      </c>
      <c r="GE65" s="22"/>
      <c r="GF65" s="22"/>
      <c r="GG65" s="29" t="str">
        <f t="shared" ca="1" si="205"/>
        <v>PIERDE TOMA DE TAMIZAJE</v>
      </c>
      <c r="GH65" s="22"/>
      <c r="GI65" s="29"/>
      <c r="GJ65" s="22"/>
      <c r="GK65" s="22"/>
      <c r="GL65" s="22"/>
      <c r="GM65" s="22"/>
      <c r="GN65" s="28" t="s">
        <v>869</v>
      </c>
      <c r="GO65" s="22">
        <v>44911</v>
      </c>
      <c r="GP65" s="29">
        <f t="shared" si="37"/>
        <v>21</v>
      </c>
      <c r="GQ65" s="28" t="s">
        <v>869</v>
      </c>
      <c r="GR65" s="28" t="s">
        <v>869</v>
      </c>
      <c r="GS65" s="22" t="str">
        <f t="shared" si="206"/>
        <v>CONTROL Igm</v>
      </c>
      <c r="GT65" s="22">
        <v>44911</v>
      </c>
      <c r="GU65" s="29">
        <f t="shared" si="39"/>
        <v>21</v>
      </c>
      <c r="GV65" s="21" t="str">
        <f t="shared" si="40"/>
        <v>II TRIM</v>
      </c>
      <c r="GW65" s="28" t="s">
        <v>869</v>
      </c>
      <c r="GX65" s="30"/>
      <c r="GY65" s="21"/>
      <c r="GZ65" s="21"/>
      <c r="HA65" s="21"/>
      <c r="HB65" s="21"/>
      <c r="HC65" s="21"/>
      <c r="HD65" s="21"/>
      <c r="HE65" s="21"/>
      <c r="HF65" s="22"/>
      <c r="HG65" s="22" t="str">
        <f>IF(OR(O65&gt;0,R65&gt;0),CONCATENATE(IF(Tabla1[[#This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65" s="22" t="e">
        <f t="shared" si="41"/>
        <v>#REF!</v>
      </c>
      <c r="HI65" s="22" t="e">
        <f t="shared" ca="1" si="42"/>
        <v>#REF!</v>
      </c>
      <c r="HJ65" s="21" t="str">
        <f t="shared" ca="1" si="43"/>
        <v>***************************************</v>
      </c>
      <c r="HK65" s="21" t="str">
        <f t="shared" si="44"/>
        <v>SIN ANTECEDENTES DE RIESGO</v>
      </c>
      <c r="HL65" s="24" t="str">
        <f t="shared" si="45"/>
        <v>REGISTRE DATO PRESIÓN ARTERIAL MENSUAL</v>
      </c>
      <c r="HM65" s="21" t="str">
        <f t="shared" ca="1" si="46"/>
        <v/>
      </c>
      <c r="HN65" s="30" t="str">
        <f t="shared" si="207"/>
        <v>SALIO PROGRAMA</v>
      </c>
      <c r="HO65" s="21"/>
      <c r="HP65" s="21"/>
      <c r="HQ65" s="21">
        <v>44908</v>
      </c>
      <c r="HR65" s="21" t="str">
        <f>IF(R65="","",IF(Tabla1[[#This Row],[ALARMA FACTORES DE RIESGO COMPLICACIONES HIPERTENSIVAS3]]="SIN ANTECEDENTES DE RIESGO","No Aplica para suministro de ASA",IF(AND(Tabla1[[#This Row],[FECHA INICIO DE SUMINISTRO DE ASA]]&gt;0,RV65&lt;12),"Inicia ASA ANTES de Sem 12",IF(AND(RV65&gt;11,RV65&lt;17,OR(HK65="RIESGO ALTO DE COMPLICACIONES HIPERTENSIVAS VER MANEJO GUIA SUMINISTRO ASA Y CALCIO",HK65="RIESGO MODERADO (2 O MAS CRITERIOS) VER MANEJO GUIA SUMINISTRO ASA Y CALCIO")),"Inicio oportuno de ASA",IF(AND(RV65&gt;12,OR(HK65="RIESGO ALTO DE COMPLICACIONES HIPERTENSIVAS VER MANEJO GUIA SUMINISTRO ASA Y CALCIO",HK65="RIESGO MODERADO (2 O MAS CRITERIOS) VER MANEJO GUIA SUMINISTRO ASA Y CALCIO")),"Inicio no oportuno mayor a 16 semanas",IF(AND(BU65&lt;12,OR(HK65="RIESGO ALTO DE COMPLICACIONES HIPERTENSIVAS VER MANEJO GUIA SUMINISTRO ASA Y CALCIO",HK65="RIESGO MODERADO (2 O MAS CRITERIOS) VER MANEJO GUIA SUMINISTRO ASA Y CALCIO")),"Pendiente Inicio de ASA a la semana 12",IF(AND(BU65&gt;11,BU65&lt;17,OR(HK65="RIESGO ALTO DE COMPLICACIONES HIPERTENSIVAS VER MANEJO GUIA SUMINISTRO ASA Y CALCIO",HK65="RIESGO MODERADO (2 O MAS CRITERIOS) VER MANEJO GUIA SUMINISTRO ASA Y CALCIO")),"Iniciar de inmediato ASA",IF(AND(BU65&gt;16,OR(HK65="RIESGO ALTO DE COMPLICACIONES HIPERTENSIVAS VER MANEJO GUIA SUMINISTRO ASA Y CALCIO",HK65="RIESGO MODERADO (2 O MAS CRITERIOS) VER MANEJO GUIA SUMINISTRO ASA Y CALCIO")),"Pierde Oportunidad, Inicio tardío de ASA","XXXXX"))))))))</f>
        <v>No Aplica para suministro de ASA</v>
      </c>
      <c r="HS65" s="22">
        <v>44908</v>
      </c>
      <c r="HT65" s="22" t="s">
        <v>870</v>
      </c>
      <c r="HU65" s="22"/>
      <c r="HV65" s="22" t="s">
        <v>870</v>
      </c>
      <c r="HW65" s="22">
        <v>44908</v>
      </c>
      <c r="HX65" s="22"/>
      <c r="HY65" s="22">
        <v>44908</v>
      </c>
      <c r="HZ65" s="28">
        <f t="shared" si="48"/>
        <v>20.571428571428573</v>
      </c>
      <c r="IA65" s="26"/>
      <c r="IB65" s="26"/>
      <c r="IC65" s="111"/>
      <c r="ID65" s="22"/>
      <c r="IE65" s="22" t="str">
        <f t="shared" ca="1" si="49"/>
        <v>SALE SIN VACUNA</v>
      </c>
      <c r="IF65" s="22"/>
      <c r="IG65" s="22">
        <f t="shared" si="50"/>
        <v>45044</v>
      </c>
      <c r="IH65" s="29">
        <f t="shared" ca="1" si="51"/>
        <v>-188</v>
      </c>
      <c r="II65" s="22" t="str">
        <f t="shared" ca="1" si="52"/>
        <v>POSIBLEMENTE NACIO</v>
      </c>
      <c r="IJ65" s="22"/>
      <c r="IK65" s="21" t="s">
        <v>898</v>
      </c>
      <c r="IL65" s="21"/>
      <c r="IM65" s="34"/>
      <c r="IN65" s="349">
        <v>45049</v>
      </c>
      <c r="IO65" s="21" t="s">
        <v>1186</v>
      </c>
      <c r="IP65" s="29">
        <f t="shared" si="208"/>
        <v>40.714285714285715</v>
      </c>
      <c r="IQ65" s="35" t="s">
        <v>1650</v>
      </c>
      <c r="IR65" s="21" t="s">
        <v>1651</v>
      </c>
      <c r="IS65" s="21" t="s">
        <v>1646</v>
      </c>
      <c r="IT65" s="21" t="s">
        <v>1642</v>
      </c>
      <c r="IU65" s="21"/>
      <c r="IV65" s="21"/>
      <c r="IW65" s="21"/>
      <c r="IX65" s="21"/>
      <c r="IY65" s="21"/>
      <c r="IZ65" s="21"/>
      <c r="JA65" s="21"/>
      <c r="JB65" s="30">
        <v>1</v>
      </c>
      <c r="JC65" s="21" t="s">
        <v>1643</v>
      </c>
      <c r="JD65" s="36">
        <v>3920</v>
      </c>
      <c r="JE65" s="21" t="str">
        <f t="shared" si="209"/>
        <v>PESO ADECUADO EDAD GESTACIONAL</v>
      </c>
      <c r="JF65" s="30"/>
      <c r="JG65" s="21"/>
      <c r="JH65" s="21"/>
      <c r="JI65" s="21" t="s">
        <v>854</v>
      </c>
      <c r="JJ65" s="30" t="s">
        <v>926</v>
      </c>
      <c r="JK65" s="22"/>
      <c r="JL65" s="22"/>
      <c r="JM65" s="21"/>
      <c r="JN65" s="36"/>
      <c r="JO65" s="21" t="str">
        <f t="shared" si="210"/>
        <v/>
      </c>
      <c r="JP65" s="22"/>
      <c r="JQ65" s="21"/>
      <c r="JR65" s="21"/>
      <c r="JS65" s="21"/>
      <c r="JT65" s="30"/>
      <c r="JU65" s="22"/>
      <c r="JV65" s="22"/>
      <c r="JW65" s="33"/>
      <c r="JX65" s="28" t="str">
        <f t="shared" si="211"/>
        <v>INASISTENTE</v>
      </c>
      <c r="JY65" s="33"/>
      <c r="JZ65" s="28" t="str">
        <f t="shared" si="212"/>
        <v>INASISTENTE</v>
      </c>
      <c r="KA65" s="21"/>
      <c r="KB65" s="21"/>
      <c r="KC65" s="21"/>
      <c r="KD65" s="37"/>
      <c r="KE65" s="28"/>
      <c r="KF65" s="28"/>
      <c r="KG65" s="28"/>
      <c r="KH65" s="39"/>
      <c r="KI65" s="39"/>
      <c r="KJ65" s="66"/>
      <c r="KK65" s="39"/>
      <c r="KL65" s="39"/>
      <c r="KM65" s="66"/>
      <c r="KN65" s="39"/>
      <c r="KO65" s="39"/>
      <c r="KP65" s="39"/>
      <c r="KQ65" s="39"/>
      <c r="KR65" s="39"/>
      <c r="KS65" s="39"/>
      <c r="KT65" s="39"/>
      <c r="KU65" s="38"/>
      <c r="KV65" s="38"/>
      <c r="KW65" s="38"/>
      <c r="KX65" s="38"/>
      <c r="KY65" s="38"/>
      <c r="KZ65" s="38"/>
      <c r="LA65" s="38"/>
      <c r="LB65" s="38"/>
      <c r="LC65" s="38"/>
      <c r="LD65" s="38"/>
      <c r="LE65" s="38"/>
      <c r="LF65" s="38"/>
      <c r="LG65" s="38"/>
      <c r="LH65" s="38"/>
      <c r="LI65" s="38"/>
      <c r="LJ65" s="38"/>
      <c r="LK65" s="38"/>
      <c r="LL65" s="38"/>
      <c r="LM65" s="38"/>
      <c r="LN65" s="38"/>
      <c r="LO65" s="38"/>
      <c r="LP65" s="38"/>
      <c r="LQ65" s="38"/>
      <c r="LR65" s="38"/>
      <c r="LS65" s="38"/>
      <c r="LT65" s="38"/>
      <c r="LU65" s="38"/>
      <c r="LV65" s="38"/>
      <c r="LW65" s="38"/>
      <c r="LX65" s="38"/>
      <c r="LY65" s="38"/>
      <c r="LZ65" s="38"/>
      <c r="MA65" s="38"/>
      <c r="MB65" s="38"/>
      <c r="MC65" s="38"/>
      <c r="MD65" s="38"/>
      <c r="ME65" s="38"/>
      <c r="MF65" s="38"/>
      <c r="MG65" s="38"/>
      <c r="MH65" s="43">
        <f t="shared" si="213"/>
        <v>0</v>
      </c>
      <c r="MI65" s="43" t="str">
        <f t="shared" si="214"/>
        <v/>
      </c>
      <c r="MJ65" s="43" t="str">
        <f t="shared" si="215"/>
        <v/>
      </c>
      <c r="MK65" s="43">
        <f t="shared" si="216"/>
        <v>0</v>
      </c>
      <c r="ML6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65" s="43">
        <f t="shared" si="217"/>
        <v>20.571428571428573</v>
      </c>
      <c r="MN65" s="43">
        <f t="shared" si="218"/>
        <v>12</v>
      </c>
      <c r="MO65" s="43">
        <f t="shared" si="219"/>
        <v>2022</v>
      </c>
      <c r="MP65" s="43" t="str">
        <f t="shared" si="220"/>
        <v>IV TRIMESTRE AÑO</v>
      </c>
      <c r="MQ65" s="43">
        <f t="shared" si="221"/>
        <v>29.410315374507224</v>
      </c>
      <c r="MR65" s="43">
        <f t="shared" si="222"/>
        <v>0</v>
      </c>
      <c r="MS65" s="43" t="str">
        <f t="shared" si="223"/>
        <v xml:space="preserve"> DE 25 A 29 AÑOS</v>
      </c>
      <c r="MT65" s="43">
        <f t="shared" si="224"/>
        <v>0</v>
      </c>
      <c r="MU65" s="43">
        <f t="shared" si="225"/>
        <v>0</v>
      </c>
      <c r="MV65" s="43">
        <f t="shared" si="226"/>
        <v>0</v>
      </c>
      <c r="MW65" s="43">
        <f t="shared" si="227"/>
        <v>0</v>
      </c>
      <c r="MX65" s="43" t="str">
        <f t="shared" si="228"/>
        <v/>
      </c>
      <c r="MY65" s="43" t="str">
        <f t="shared" ca="1" si="229"/>
        <v/>
      </c>
      <c r="MZ65" s="43" t="str">
        <f t="shared" si="230"/>
        <v/>
      </c>
      <c r="NA65" s="43" t="str">
        <f t="shared" si="231"/>
        <v/>
      </c>
      <c r="NB65" s="43" t="str">
        <f t="shared" si="232"/>
        <v/>
      </c>
      <c r="NC65" s="43" t="str">
        <f t="shared" si="233"/>
        <v/>
      </c>
      <c r="ND65" s="43">
        <f t="shared" ca="1" si="234"/>
        <v>0</v>
      </c>
      <c r="NE65" s="43">
        <f>IF(OR(O65&gt;0,R65&gt;0),SUM(COUNTIF(Tabla1[[#This Row],[AÑOS AL INICIO5 CPN]],"&gt;=40"),COUNTIF(AS65,"0"),COUNTIF(AR65,"SI"),COUNTIF(CC65,"SI"),COUNTIF(BQ65,"&gt;119"),COUNTIF(CI65,"&gt;=35")),"")</f>
        <v>0</v>
      </c>
      <c r="NF65" s="43" t="str">
        <f t="shared" si="235"/>
        <v/>
      </c>
      <c r="NG65" s="43">
        <f t="shared" si="236"/>
        <v>0</v>
      </c>
      <c r="NH65" s="43">
        <f t="shared" si="237"/>
        <v>154</v>
      </c>
      <c r="NI65"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CPN",P65="NO"),"Z",IF(AND(Tabla1[[#This Row],[CITA PROXIMO CONTROL]]="CITA MANUAL",Tabla1[[#This Row],[GESTANTES ACTUALES]]="ACTIVA INGRESO A CPN"),"W",IF(AND(Tabla1[[#This Row],[GESTANTES ACTUALES]]="SALIO PROGRAMA",IN65=""),"S",IF(AND(Tabla1[[#This Row],[CITA PROXIMO CONTROL]]&gt;0,IN65=""),(Tabla1[[#This Row],[CITA PROXIMO CONTROL]]-TODAY()),"SD"))))))))</f>
        <v>SD</v>
      </c>
      <c r="NJ65" s="43">
        <f>MONTH(Tabla1[[#This Row],[FECHA DE SALIDA  DEL PROGRAMA]])</f>
        <v>5</v>
      </c>
      <c r="NK65" s="43">
        <f>YEAR(Tabla1[[#This Row],[FECHA DE SALIDA  DEL PROGRAMA]])</f>
        <v>2023</v>
      </c>
      <c r="NL65" s="43" t="str">
        <f t="shared" si="238"/>
        <v>X</v>
      </c>
      <c r="NM65" s="43" t="str">
        <f t="shared" si="251"/>
        <v>NO</v>
      </c>
      <c r="NN65" s="43" t="str">
        <f ca="1">IF(AND(O65&gt;0,R65=""),"NO CPN",IF(AND(O65="",R65=""),"",IF(AND(R65&gt;0,Tabla1[[#This Row],[SEMANAS DE GESTACION ACTUALIZADAS]]&lt;=12),"NO APLICA",IF(AND(FH65&lt;&gt;"",FN65&lt;&gt;""),"SI","NO"))))</f>
        <v>NO</v>
      </c>
      <c r="NO65" s="43" t="str">
        <f ca="1">IF(AND(O65&gt;0,R65=""),"NO CPN",IF(AND(O65="",R65=""),"",IF(AND(R65&gt;0,Tabla1[[#This Row],[SEMANAS DE GESTACION ACTUALIZADAS]]&lt;=27),"NO APLICA",IF(AND(ES65&lt;&gt;"",FQ65&lt;&gt;"",GF65&lt;&gt;""),"SI","NO"))))</f>
        <v>NO</v>
      </c>
      <c r="NP65" s="204" t="str">
        <f t="shared" si="240"/>
        <v>II TRIM</v>
      </c>
      <c r="NQ65" s="21" t="str">
        <f t="shared" si="241"/>
        <v/>
      </c>
      <c r="NR65" s="21">
        <f t="shared" si="242"/>
        <v>2</v>
      </c>
      <c r="NS65" s="205">
        <f t="shared" ca="1" si="243"/>
        <v>1</v>
      </c>
      <c r="NT65" s="21">
        <f t="shared" ca="1" si="244"/>
        <v>1</v>
      </c>
      <c r="NU65" s="21" t="str">
        <f t="shared" ca="1" si="245"/>
        <v>INCOMPLETO</v>
      </c>
      <c r="NV65" s="21" t="str">
        <f t="shared" ca="1" si="246"/>
        <v>INCOMPLETO</v>
      </c>
      <c r="NW65" s="206" t="str">
        <f>IF(AND(O65="",R65=""),"",IF(OR(AND(Tabla1[[#This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65" s="207" t="str">
        <f t="shared" ca="1" si="247"/>
        <v>SIN VACUNAR</v>
      </c>
      <c r="NY65" s="43">
        <f>ROW(Tabla1[[#This Row],['# DE TAMIZAJES SIFILIS TOMADOS ]])</f>
        <v>65</v>
      </c>
      <c r="NZ65" s="43">
        <f t="shared" si="93"/>
        <v>20</v>
      </c>
      <c r="OA65" s="43" t="str">
        <f t="shared" si="94"/>
        <v/>
      </c>
      <c r="OB65" s="43" t="str">
        <f t="shared" si="95"/>
        <v/>
      </c>
      <c r="OC65" s="43" t="str">
        <f t="shared" si="96"/>
        <v/>
      </c>
      <c r="OD65" s="43" t="str">
        <f t="shared" si="97"/>
        <v/>
      </c>
      <c r="OE65" s="43" t="str">
        <f t="shared" si="98"/>
        <v/>
      </c>
      <c r="OF65" s="43" t="str">
        <f t="shared" si="99"/>
        <v/>
      </c>
      <c r="OG65" s="43" t="str">
        <f t="shared" si="100"/>
        <v/>
      </c>
      <c r="OH65" s="43" t="str">
        <f t="shared" si="101"/>
        <v/>
      </c>
      <c r="OI65" s="43" t="str">
        <f t="shared" si="102"/>
        <v/>
      </c>
      <c r="OJ65" s="43" t="str">
        <f t="shared" si="103"/>
        <v/>
      </c>
      <c r="OK65" s="43" t="str">
        <f t="shared" si="104"/>
        <v/>
      </c>
      <c r="OL65" s="43" t="str">
        <f t="shared" si="105"/>
        <v>OBESIDAD</v>
      </c>
      <c r="OM65" s="43" t="str">
        <f t="shared" si="106"/>
        <v/>
      </c>
      <c r="ON65" s="43" t="str">
        <f t="shared" si="107"/>
        <v/>
      </c>
      <c r="OO65" s="43" t="str">
        <f t="shared" si="108"/>
        <v/>
      </c>
      <c r="OP65" s="43" t="str">
        <f t="shared" si="109"/>
        <v/>
      </c>
      <c r="OQ65" s="43" t="str">
        <f t="shared" si="110"/>
        <v/>
      </c>
      <c r="OR65" s="43" t="str">
        <f t="shared" si="111"/>
        <v/>
      </c>
      <c r="OS65" s="43" t="str">
        <f t="shared" si="112"/>
        <v/>
      </c>
      <c r="OT65" s="43" t="str">
        <f t="shared" si="113"/>
        <v/>
      </c>
      <c r="OU65" s="43" t="str">
        <f t="shared" si="114"/>
        <v/>
      </c>
      <c r="OV65" s="110" t="str">
        <f t="shared" si="115"/>
        <v/>
      </c>
      <c r="OW65" s="43" t="str">
        <f t="shared" si="116"/>
        <v/>
      </c>
      <c r="OX65" s="43" t="str">
        <f t="shared" si="117"/>
        <v/>
      </c>
      <c r="OY65" s="43" t="str">
        <f t="shared" si="118"/>
        <v/>
      </c>
      <c r="OZ65" s="43" t="str">
        <f t="shared" si="119"/>
        <v/>
      </c>
      <c r="PA65" s="43" t="str">
        <f t="shared" si="120"/>
        <v/>
      </c>
      <c r="PB65" s="43" t="str">
        <f t="shared" si="121"/>
        <v/>
      </c>
      <c r="PC65" s="43" t="str">
        <f t="shared" si="122"/>
        <v/>
      </c>
      <c r="PD65" s="43" t="str">
        <f t="shared" si="123"/>
        <v/>
      </c>
      <c r="PE65" s="43" t="str">
        <f t="shared" si="124"/>
        <v/>
      </c>
      <c r="PF65" s="43" t="str">
        <f t="shared" si="125"/>
        <v/>
      </c>
      <c r="PG65" s="43" t="str">
        <f t="shared" si="126"/>
        <v/>
      </c>
      <c r="PH65" s="43" t="str">
        <f t="shared" si="127"/>
        <v/>
      </c>
      <c r="PI65" s="43">
        <f t="shared" si="128"/>
        <v>20</v>
      </c>
      <c r="PJ65" s="43" t="str">
        <f t="shared" si="129"/>
        <v/>
      </c>
      <c r="PK65" s="43" t="str">
        <f t="shared" si="130"/>
        <v/>
      </c>
      <c r="PL65" s="43" t="str">
        <f t="shared" si="131"/>
        <v/>
      </c>
      <c r="PM65" s="43" t="str">
        <f t="shared" si="132"/>
        <v/>
      </c>
      <c r="PN65" s="43" t="str">
        <f t="shared" si="133"/>
        <v/>
      </c>
      <c r="PO65" s="43" t="str">
        <f t="shared" si="134"/>
        <v/>
      </c>
      <c r="PP65" s="43" t="str">
        <f t="shared" si="135"/>
        <v/>
      </c>
      <c r="PQ65" s="43" t="str">
        <f t="shared" si="136"/>
        <v/>
      </c>
      <c r="PR65" s="43" t="str">
        <f t="shared" si="137"/>
        <v/>
      </c>
      <c r="PS65" s="43" t="str">
        <f t="shared" si="138"/>
        <v/>
      </c>
      <c r="PT65" s="43" t="str">
        <f t="shared" si="139"/>
        <v/>
      </c>
      <c r="PU65" s="43" t="str">
        <f t="shared" si="140"/>
        <v/>
      </c>
      <c r="PV65" s="43" t="str">
        <f t="shared" si="141"/>
        <v/>
      </c>
      <c r="PW65" s="43" t="str">
        <f t="shared" si="142"/>
        <v/>
      </c>
      <c r="PX65" s="43" t="str">
        <f t="shared" si="143"/>
        <v/>
      </c>
      <c r="PY65" s="43" t="str">
        <f t="shared" si="144"/>
        <v/>
      </c>
      <c r="PZ65" s="43" t="str">
        <f t="shared" si="145"/>
        <v/>
      </c>
      <c r="QA65" s="43" t="str">
        <f t="shared" si="146"/>
        <v/>
      </c>
      <c r="QB65" s="43" t="str">
        <f t="shared" si="147"/>
        <v/>
      </c>
      <c r="QC65" s="43" t="str">
        <f t="shared" si="148"/>
        <v/>
      </c>
      <c r="QD65" s="43" t="str">
        <f t="shared" si="149"/>
        <v/>
      </c>
      <c r="QE65" s="43" t="str">
        <f t="shared" si="150"/>
        <v/>
      </c>
      <c r="QF65" s="43" t="str">
        <f t="shared" si="151"/>
        <v/>
      </c>
      <c r="QG65" s="43" t="str">
        <f t="shared" si="152"/>
        <v/>
      </c>
      <c r="QH65" s="43" t="str">
        <f t="shared" si="153"/>
        <v/>
      </c>
      <c r="QI65" s="43" t="str">
        <f t="shared" si="154"/>
        <v/>
      </c>
      <c r="QJ65" s="43" t="str">
        <f t="shared" si="155"/>
        <v/>
      </c>
      <c r="QK65" s="43" t="str">
        <f t="shared" si="156"/>
        <v/>
      </c>
      <c r="QL65" s="43" t="str">
        <f t="shared" si="157"/>
        <v/>
      </c>
      <c r="QM65" s="43" t="str">
        <f t="shared" si="158"/>
        <v/>
      </c>
      <c r="QN65" s="43" t="str">
        <f t="shared" si="159"/>
        <v/>
      </c>
      <c r="QO65" s="43" t="str">
        <f t="shared" si="160"/>
        <v/>
      </c>
      <c r="QP65" s="43" t="str">
        <f t="shared" si="161"/>
        <v/>
      </c>
      <c r="QQ65" s="43" t="str">
        <f t="shared" si="162"/>
        <v/>
      </c>
      <c r="QR65" s="43">
        <f t="shared" si="192"/>
        <v>20</v>
      </c>
      <c r="QS65" s="43"/>
      <c r="QT65" s="21" t="str">
        <f t="shared" si="163"/>
        <v/>
      </c>
      <c r="QU65" s="21" t="str">
        <f t="shared" si="164"/>
        <v/>
      </c>
      <c r="QV65" s="21" t="str">
        <f t="shared" si="165"/>
        <v/>
      </c>
      <c r="QW65" s="21" t="str">
        <f t="shared" si="166"/>
        <v/>
      </c>
      <c r="QX65" s="21" t="str">
        <f t="shared" si="167"/>
        <v/>
      </c>
      <c r="QY65" s="21" t="str">
        <f t="shared" si="168"/>
        <v/>
      </c>
      <c r="QZ65" s="21" t="str">
        <f t="shared" si="169"/>
        <v/>
      </c>
      <c r="RA65" s="21" t="str">
        <f t="shared" si="170"/>
        <v/>
      </c>
      <c r="RB65" s="21" t="str">
        <f t="shared" si="171"/>
        <v/>
      </c>
      <c r="RC65" s="21" t="str">
        <f t="shared" si="172"/>
        <v/>
      </c>
      <c r="RD65" s="21" t="str">
        <f t="shared" si="173"/>
        <v/>
      </c>
      <c r="RE65" s="21" t="str">
        <f t="shared" si="174"/>
        <v/>
      </c>
      <c r="RF65" s="21" t="str">
        <f t="shared" si="175"/>
        <v/>
      </c>
      <c r="RG65" s="21" t="str">
        <f t="shared" si="176"/>
        <v/>
      </c>
      <c r="RH65" s="21" t="str">
        <f t="shared" si="177"/>
        <v/>
      </c>
      <c r="RI65" s="21" t="str">
        <f t="shared" si="178"/>
        <v/>
      </c>
      <c r="RJ65" s="21" t="str">
        <f t="shared" si="179"/>
        <v/>
      </c>
      <c r="RK65" s="21" t="str">
        <f t="shared" si="180"/>
        <v/>
      </c>
      <c r="RL65" s="21" t="str">
        <f t="shared" si="181"/>
        <v/>
      </c>
      <c r="RM65" s="21" t="str">
        <f t="shared" si="182"/>
        <v/>
      </c>
      <c r="RN65" s="21" t="str">
        <f t="shared" si="183"/>
        <v/>
      </c>
      <c r="RO65" s="21" t="str">
        <f t="shared" si="184"/>
        <v/>
      </c>
      <c r="RP65" s="21" t="str">
        <f t="shared" si="185"/>
        <v/>
      </c>
      <c r="RQ65" s="21" t="str">
        <f t="shared" si="186"/>
        <v/>
      </c>
      <c r="RR65" s="21" t="str">
        <f t="shared" si="187"/>
        <v/>
      </c>
      <c r="RS65" s="21" t="str">
        <f t="shared" si="188"/>
        <v/>
      </c>
      <c r="RT65" s="21" t="str">
        <f t="shared" si="189"/>
        <v/>
      </c>
      <c r="RU65" s="21" t="str">
        <f t="shared" si="190"/>
        <v/>
      </c>
      <c r="RV65" s="21">
        <f t="shared" si="191"/>
        <v>20.571428571428573</v>
      </c>
      <c r="RW65" s="284">
        <f>IF(OR(Tabla1[[#This Row],[FUM FORMULA CONFIABLE]]="",Tabla1[[#This Row],[FUM FORMULA CONFIABLE]]="SD"),"",IF(Tabla1[[#This Row],[FUM FORMULA CONFIABLE]]="CORREGIDA",Tabla1[[#This Row],[FUM X ECO 1]],Tabla1[[#This Row],[FUM x AMENORREA]]))</f>
        <v>44764</v>
      </c>
      <c r="RX65" s="21">
        <f>IF(AND(Tabla1[[#This Row],[FUM X ECO 1]]="",Tabla1[[#This Row],[FUM x AMENORREA]]=""),"",IF(AND(Tabla1[[#This Row],[FUM X ECO 1]]="",Tabla1[[#This Row],[FUM x AMENORREA]]&lt;&gt;""),"X",SUM(Tabla1[[#This Row],[FUM X ECO 1]]-Tabla1[[#This Row],[FUM x AMENORREA]])))</f>
        <v>0</v>
      </c>
      <c r="RY65" s="21">
        <f t="shared" si="193"/>
        <v>0</v>
      </c>
    </row>
    <row r="66" spans="1:493" ht="45" customHeight="1" x14ac:dyDescent="0.25">
      <c r="A66" s="109"/>
      <c r="B66" s="43" t="s">
        <v>1121</v>
      </c>
      <c r="C66" s="43" t="s">
        <v>845</v>
      </c>
      <c r="D66" s="124" t="s">
        <v>846</v>
      </c>
      <c r="E66" s="43" t="s">
        <v>848</v>
      </c>
      <c r="F66" s="43" t="s">
        <v>1201</v>
      </c>
      <c r="G66" s="43" t="s">
        <v>1059</v>
      </c>
      <c r="H66" s="43" t="s">
        <v>1202</v>
      </c>
      <c r="I66" s="109" t="s">
        <v>851</v>
      </c>
      <c r="J66" s="110">
        <v>25545957</v>
      </c>
      <c r="K66" s="43" t="s">
        <v>852</v>
      </c>
      <c r="L66" s="175" t="s">
        <v>853</v>
      </c>
      <c r="M66" s="22">
        <v>29665</v>
      </c>
      <c r="N66" s="213">
        <f t="shared" ca="1" si="0"/>
        <v>42.649315068493152</v>
      </c>
      <c r="O66" s="22">
        <v>44908</v>
      </c>
      <c r="P66" s="214" t="str">
        <f t="shared" si="194"/>
        <v>SI</v>
      </c>
      <c r="Q66" s="26" t="s">
        <v>855</v>
      </c>
      <c r="R66" s="22">
        <v>44908</v>
      </c>
      <c r="S66" s="21" t="s">
        <v>856</v>
      </c>
      <c r="T66" s="24" t="s">
        <v>690</v>
      </c>
      <c r="U66" s="21" t="s">
        <v>857</v>
      </c>
      <c r="V66" s="21" t="s">
        <v>858</v>
      </c>
      <c r="W66" s="21" t="s">
        <v>920</v>
      </c>
      <c r="X66" s="21" t="s">
        <v>920</v>
      </c>
      <c r="Y66" s="21" t="s">
        <v>859</v>
      </c>
      <c r="Z66" s="21">
        <v>3218787283</v>
      </c>
      <c r="AA66" s="21" t="s">
        <v>860</v>
      </c>
      <c r="AB66" s="27" t="s">
        <v>861</v>
      </c>
      <c r="AC66" s="26" t="s">
        <v>877</v>
      </c>
      <c r="AD66" s="38" t="s">
        <v>846</v>
      </c>
      <c r="AE66" s="26" t="s">
        <v>854</v>
      </c>
      <c r="AF66" s="26" t="s">
        <v>854</v>
      </c>
      <c r="AG66" s="23" t="s">
        <v>864</v>
      </c>
      <c r="AH66" s="23" t="s">
        <v>864</v>
      </c>
      <c r="AI66" s="24" t="s">
        <v>863</v>
      </c>
      <c r="AJ66" s="23" t="s">
        <v>864</v>
      </c>
      <c r="AK66" s="220" t="str">
        <f>IF(AND(AD66="",AE66="",AF66="",AG66="",AH66="",AI66="",AJ66=""),"",IF(OR(Tabla1[[#This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EVALUACIÓN",IF(AND(O66="",R66=""),"",IF(AND(OR(O66&gt;0,R66&gt;0),NG66&gt;=0,NG66&lt;2),"SIN RIESGO",IF(AND(OR(O66&gt;0,R66&gt;0),NG66&gt;=2),"CON RIESGO","ASD")))))</f>
        <v>SIN RIESGO</v>
      </c>
      <c r="AL66" s="23" t="s">
        <v>864</v>
      </c>
      <c r="AM66" s="26" t="s">
        <v>864</v>
      </c>
      <c r="AN66" s="26" t="s">
        <v>864</v>
      </c>
      <c r="AO66" s="26" t="s">
        <v>864</v>
      </c>
      <c r="AP66" s="26" t="s">
        <v>864</v>
      </c>
      <c r="AQ66" s="26" t="s">
        <v>864</v>
      </c>
      <c r="AR66" s="26" t="s">
        <v>864</v>
      </c>
      <c r="AS66" s="21">
        <v>3</v>
      </c>
      <c r="AT66" s="21">
        <v>3</v>
      </c>
      <c r="AU66" s="21">
        <v>0</v>
      </c>
      <c r="AV66" s="26" t="s">
        <v>864</v>
      </c>
      <c r="AW66" s="21">
        <v>0</v>
      </c>
      <c r="AX66" s="26" t="s">
        <v>864</v>
      </c>
      <c r="AY66" s="26" t="s">
        <v>864</v>
      </c>
      <c r="AZ66" s="26" t="s">
        <v>864</v>
      </c>
      <c r="BA66" s="26" t="s">
        <v>864</v>
      </c>
      <c r="BB66" s="26" t="s">
        <v>864</v>
      </c>
      <c r="BC66" s="26" t="s">
        <v>864</v>
      </c>
      <c r="BD66" s="26" t="s">
        <v>864</v>
      </c>
      <c r="BE66" s="26" t="s">
        <v>864</v>
      </c>
      <c r="BF66" s="26" t="s">
        <v>864</v>
      </c>
      <c r="BG66" s="26" t="s">
        <v>864</v>
      </c>
      <c r="BH66" s="26" t="s">
        <v>864</v>
      </c>
      <c r="BI66" s="26" t="s">
        <v>864</v>
      </c>
      <c r="BJ66" s="26"/>
      <c r="BK66" s="26"/>
      <c r="BL66" s="26" t="s">
        <v>864</v>
      </c>
      <c r="BM66" s="26" t="s">
        <v>864</v>
      </c>
      <c r="BN66" s="22">
        <v>37756</v>
      </c>
      <c r="BO66" s="22">
        <v>44806</v>
      </c>
      <c r="BP66" s="21" t="s">
        <v>854</v>
      </c>
      <c r="BQ66" s="222">
        <f t="shared" si="2"/>
        <v>235</v>
      </c>
      <c r="BR66" s="223">
        <f t="shared" si="3"/>
        <v>44806</v>
      </c>
      <c r="BS66" s="224">
        <f t="shared" si="4"/>
        <v>14.571428571428571</v>
      </c>
      <c r="BT66" s="216" t="str">
        <f t="shared" si="5"/>
        <v>II TRIM</v>
      </c>
      <c r="BU66" s="214" t="str">
        <f t="shared" ca="1" si="6"/>
        <v/>
      </c>
      <c r="BV66" s="25" t="s">
        <v>988</v>
      </c>
      <c r="BW66" s="22">
        <v>44918</v>
      </c>
      <c r="BX66" s="28">
        <v>16</v>
      </c>
      <c r="BY66" s="28"/>
      <c r="BZ66" s="22">
        <v>44995</v>
      </c>
      <c r="CA66" s="21"/>
      <c r="CB66" s="26" t="s">
        <v>864</v>
      </c>
      <c r="CC66" s="26" t="s">
        <v>864</v>
      </c>
      <c r="CD66" s="26" t="s">
        <v>865</v>
      </c>
      <c r="CE66" s="26" t="s">
        <v>864</v>
      </c>
      <c r="CF66" s="22" t="s">
        <v>1517</v>
      </c>
      <c r="CG66" s="21">
        <v>1.48</v>
      </c>
      <c r="CH66" s="21">
        <v>61.4</v>
      </c>
      <c r="CI66" s="214">
        <f t="shared" si="7"/>
        <v>28.031409788166545</v>
      </c>
      <c r="CJ66" s="225" t="e">
        <f>IF(AND(CI66&lt;10,CH66="SD"),"SIN DATO PESO PREGESTACION O I TRIM",IF(AND(OR(R66&gt;0,O66&gt;0),CI66="X"),"INGRESAR DATO DE PESO",IF(CI66="SD","INGRESAR DATO DE TALLA Y PESO",IF(AND(OR(Tabla1[[#This Row],[MOMENTO EN QUE SE REALIZA EL PESO AL INGRESO A CPN]]="PREGESTACIÓN",NZ66="Menor"),CI66&lt;18.5),"BAJO PESO",IF(AND(OR(Tabla1[[#This Row],[MOMENTO EN QUE SE REALIZA EL PESO AL INGRESO A CPN]]="PREGESTACIÓN",NZ66="Menor"),CI66&lt;25),"NORMAL",IF(AND(OR(Tabla1[[#This Row],[MOMENTO EN QUE SE REALIZA EL PESO AL INGRESO A CPN]]="PREGESTACIÓN",NZ66="Menor"),CI66&lt;30),"SOBREPESO",IF(AND(OR(Tabla1[[#This Row],[MOMENTO EN QUE SE REALIZA EL PESO AL INGRESO A CPN]]="PREGESTACIÓN",NZ66="Menor"),CI66&gt;=30,CI66&lt;50),"OBESIDAD",IF(AND(BS66&gt;0,Tabla1[[#This Row],[MOMENTO EN QUE SE REALIZA EL PESO AL INGRESO A CPN]]="GESTACIÓN"),HLOOKUP(NZ66,$OA$2:PH66,NY66),""))))))))</f>
        <v>#REF!</v>
      </c>
      <c r="CK66" s="212">
        <f t="shared" si="8"/>
        <v>45051</v>
      </c>
      <c r="CL66" s="21">
        <v>68.5</v>
      </c>
      <c r="CM66" s="214">
        <f t="shared" si="9"/>
        <v>31.272826880934989</v>
      </c>
      <c r="CN66" s="216">
        <f t="shared" si="10"/>
        <v>35</v>
      </c>
      <c r="CO66" s="216" t="e">
        <f>IF(PI66="","",IF(PI66&gt;0,HLOOKUP(PI66,$PJ$2:QQ66,NY66),""))</f>
        <v>#REF!</v>
      </c>
      <c r="CP66" s="21"/>
      <c r="CQ66" s="216" t="e">
        <f>IF(QR66="Menor","NO APLICA-MENOR 13 SEM",IF(AND(CC66="SI",CN66&gt;23),"NO APLICA- GEMELAR",IF(QR66="","",IF(QR66&gt;0,HLOOKUP(QR66,$QS$2:RU66,NY66),""))))</f>
        <v>#REF!</v>
      </c>
      <c r="CR66" s="21"/>
      <c r="CS66" s="21"/>
      <c r="CT66" s="217" t="str">
        <f>IF(R66="","",IF(AND(BS66&gt;1,BS66&lt;12,Tabla1[[#This Row],[T.A. SISTOLICA - ANTES DE SEMANA 12]]="",Tabla1[[#This Row],[T.A. DIASTOLICA - ANTES DE SEMANA 12]]=""),"REGISTRE DATO TA ANTES SEMANA 12",IF(AND(BS66&gt;11,BS66&lt;43,Tabla1[[#This Row],[T.A. SISTOLICA - ANTES DE SEMANA 12]]="",Tabla1[[#This Row],[T.A. DIASTOLICA - ANTES DE SEMANA 12]]=""),"NO APLICA REGISTRO TA-INGRESO TARDIO",IF(AND(OR(O66&gt;0,R66&gt;0),OR(CR66&gt;=140,CS66&gt;=90)),"DEFINIR ESTADIO HTA",IF(AND(OR(O66&gt;0,R66&gt;0),AND(CR66&gt;120,CR66&lt;=139)),"PRE HTA SEGUIMIENTO",IF(AND(OR(O66&gt;0,R66&gt;0),AND(CS66&gt;80,CS66&lt;=89)),"PRE HTA SEGUIMIENTO",IF(AND(OR(O66&gt;0,R66&gt;0),AND(CR66&gt;=80,CR66&lt;=120)),"APARENTEMENTE NORMAL",IF(AND(OR(O66&gt;0,R66&gt;0),AND(CS66&gt;=50,CS66&lt;=80)),"APARENTEMENTE NORMAL",IF(AND(OR(O66&gt;0,R66&gt;0),AND(CR66&gt;1,CR66&lt;=70),AND(CS66&gt;1,CS66&lt;=40)),"HIPOTENSIÓN","")))))))))</f>
        <v>NO APLICA REGISTRO TA-INGRESO TARDIO</v>
      </c>
      <c r="CU66" s="21">
        <v>110</v>
      </c>
      <c r="CV66" s="21">
        <v>60</v>
      </c>
      <c r="CW66" s="217" t="str">
        <f ca="1">IF(R66="","",IF(AND(CN66&gt;19,CN66&lt;27,Tabla1[[#This Row],[T.A. SISTOLICA (Entre semana 20 y 26)]]="",Tabla1[[#This Row],[T.A. DIATOLICA (Entre semana 20 y 26)]]=""),"ACUDE A CONTROL SEM 20 A 26 REGISTRE TA AHORA",IF(AND(BS66&gt;1,BS66&lt;27,BU66&gt;19,Tabla1[[#This Row],[T.A. SISTOLICA (Entre semana 20 y 26)]]="",Tabla1[[#This Row],[T.A. DIATOLICA (Entre semana 20 y 26)]]=""),"COMPLETE REGISTRO TA CONTROL SEM 20 A26 ",IF(AND(BS66&gt;26,BS66&lt;43,Tabla1[[#This Row],[T.A. SISTOLICA (Entre semana 20 y 26)]]="",Tabla1[[#This Row],[T.A. DIATOLICA (Entre semana 20 y 26)]]=""),"NO APLICA REGISTRO TA-INGRESO TARDIO",IF(AND(OR(O66&gt;0,R66&gt;0),OR(CU66&gt;=140,CV66&gt;=90)),"ALTO RIESGO PREECLAMPSIA,DEFINIR ESTADIO HTA",IF(AND(OR(O66&gt;0,R66&gt;0),AND(CU66&gt;120,CU66&lt;=139)),"PRE HTA SEGUIMIENTO,RIESGO HIPERTENSION INDUCIDA POR EL EMBARAZO",IF(AND(OR(O66&gt;0,R66&gt;0),AND(CV66&gt;80,CV66&lt;=89)),"PRE HTA SEGUIMIENTO, RIESGO HIPERTENSION INDUCIDA POR EL EMBARAZO",IF(AND(OR(O66&lt;&gt;"",R66&lt;&gt;""),CS66&lt;&gt;"",CV66&lt;&gt;"",CS66&lt;=CV66),"VIGILAR CIFRAS PRESION ARTERIAL",IF(AND(OR(O66&gt;0,R66&gt;0),AND(CU66&gt;120,CU66&lt;=139)),"PRE HTA SEGUIMIENTO",IF(AND(OR(O66&gt;0,R66&gt;0),AND(CU66&gt;1,CU66&lt;=70),AND(CV66&gt;1,CV66&lt;=40)),"HIPOTENSIÓN",IF(AND(OR(O66&lt;&gt;"",R66&lt;&gt;""),CS66&lt;&gt;"",CV66&lt;&gt;"",CS66&gt;CV66),"APARENTEMENTE NORMAL",IF(AND(OR(O66&gt;0,R66&gt;0),AND(CU66&gt;=80,CU66&lt;=120)),"APARENTEMENTE NORMAL",IF(AND(OR(O66&gt;0,R66&gt;0),AND(CV66&gt;=50,CV66&lt;=80)),"APARENTEMENTE NORMAL","")))))))))))))</f>
        <v>APARENTEMENTE NORMAL</v>
      </c>
      <c r="CX66" s="21"/>
      <c r="CY66" s="21"/>
      <c r="CZ66" s="216" t="str">
        <f t="shared" si="195"/>
        <v/>
      </c>
      <c r="DA66" s="21">
        <v>100</v>
      </c>
      <c r="DB66" s="21">
        <v>60</v>
      </c>
      <c r="DC66" s="217" t="str">
        <f t="shared" si="12"/>
        <v>VIGILAR CIFRAS PRESION ARTERIAL</v>
      </c>
      <c r="DD66" s="22">
        <v>44908</v>
      </c>
      <c r="DE66" s="22">
        <v>44908</v>
      </c>
      <c r="DF66" s="22">
        <v>44959</v>
      </c>
      <c r="DG66" s="22">
        <v>44995</v>
      </c>
      <c r="DH66" s="22">
        <v>45009</v>
      </c>
      <c r="DI66" s="22">
        <v>45051</v>
      </c>
      <c r="DJ66" s="22"/>
      <c r="DK66" s="22"/>
      <c r="DL66" s="22"/>
      <c r="DM66" s="22"/>
      <c r="DN66" s="22"/>
      <c r="DO66" s="22"/>
      <c r="DP66" s="22"/>
      <c r="DQ66" s="22"/>
      <c r="DR66" s="28">
        <v>1</v>
      </c>
      <c r="DS66" s="22"/>
      <c r="DT66" s="22"/>
      <c r="DU66" s="216" t="str">
        <f t="shared" ca="1" si="196"/>
        <v>SALE SIN PLAN DE PARTO</v>
      </c>
      <c r="DV66" s="226" t="str">
        <f t="shared" si="197"/>
        <v>SALIO PROGRAMA</v>
      </c>
      <c r="DW66"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66" s="216" t="str">
        <f t="shared" ca="1" si="15"/>
        <v/>
      </c>
      <c r="DY66" s="212">
        <f>IF(R66="","",IF(R66&gt;0,MAX(Tabla1[[#This Row],[FECHA C2]:[FECHA C13]],Tabla1[[#This Row],[FECHA CONSULTA PRIMERA VEZ PROGRAMA CPN ]])))</f>
        <v>45051</v>
      </c>
      <c r="DZ66" s="216">
        <f t="shared" si="16"/>
        <v>35</v>
      </c>
      <c r="EA66" s="222">
        <f>IF(R66&gt;0,SUM(COUNTA(DF66:DQ66)+COUNTA(Tabla1[[#This Row],[FECHA CONSULTA PRIMERA VEZ PROGRAMA CPN ]])),"")</f>
        <v>5</v>
      </c>
      <c r="EB66" s="222" t="str">
        <f t="shared" si="17"/>
        <v>SI</v>
      </c>
      <c r="EC66" s="214">
        <f t="shared" si="18"/>
        <v>8</v>
      </c>
      <c r="ED66" s="227">
        <f t="shared" si="19"/>
        <v>0.625</v>
      </c>
      <c r="EE66" s="22">
        <v>44908</v>
      </c>
      <c r="EF66" s="22">
        <v>45016</v>
      </c>
      <c r="EG66" s="22">
        <v>44908</v>
      </c>
      <c r="EH66" s="22"/>
      <c r="EI66" s="22">
        <v>44908</v>
      </c>
      <c r="EJ66" s="22">
        <v>44944</v>
      </c>
      <c r="EK66" s="22">
        <v>44944</v>
      </c>
      <c r="EL66" s="21">
        <v>1</v>
      </c>
      <c r="EM66" s="21">
        <v>12.9</v>
      </c>
      <c r="EN66" s="22">
        <v>44908</v>
      </c>
      <c r="EO66" s="222">
        <f t="shared" si="20"/>
        <v>14.571428571428571</v>
      </c>
      <c r="EP66" s="214" t="str">
        <f t="shared" si="21"/>
        <v>NORMAL- SUMINISTRAR SULFATO FERROSO</v>
      </c>
      <c r="EQ66" s="216" t="str">
        <f t="shared" si="22"/>
        <v>II TRIM</v>
      </c>
      <c r="ER66" s="24"/>
      <c r="ES66" s="22"/>
      <c r="ET66" s="29" t="str">
        <f t="shared" ca="1" si="198"/>
        <v>SALE SIN TAMIZAJE HEMOGLOBINA SEM 28</v>
      </c>
      <c r="EU66" s="25" t="str">
        <f t="shared" si="24"/>
        <v/>
      </c>
      <c r="EV66" s="24" t="s">
        <v>866</v>
      </c>
      <c r="EW66" s="24">
        <v>44908</v>
      </c>
      <c r="EX66" s="22"/>
      <c r="EY66" s="29">
        <f t="shared" si="248"/>
        <v>14.571428571428571</v>
      </c>
      <c r="EZ66" s="25" t="str">
        <f t="shared" ca="1" si="249"/>
        <v/>
      </c>
      <c r="FA66" s="21">
        <v>72</v>
      </c>
      <c r="FB66" s="22">
        <v>44908</v>
      </c>
      <c r="FC66" s="29">
        <f t="shared" si="27"/>
        <v>14.571428571428571</v>
      </c>
      <c r="FD66" s="29"/>
      <c r="FE66" s="29"/>
      <c r="FF66" s="29"/>
      <c r="FG66" s="21" t="str">
        <f t="shared" ca="1" si="28"/>
        <v/>
      </c>
      <c r="FH66" s="31"/>
      <c r="FI66" s="29" t="str">
        <f t="shared" si="29"/>
        <v>TOMAR EXAMEN</v>
      </c>
      <c r="FJ66" s="22"/>
      <c r="FK66" s="22"/>
      <c r="FL66" s="29" t="str">
        <f t="shared" ca="1" si="30"/>
        <v>NO APLICA-INGRESO TARDIO</v>
      </c>
      <c r="FM66" s="22" t="s">
        <v>867</v>
      </c>
      <c r="FN66" s="32">
        <v>44908</v>
      </c>
      <c r="FO66" s="29">
        <f t="shared" ca="1" si="201"/>
        <v>14.571428571428571</v>
      </c>
      <c r="FP66" s="22"/>
      <c r="FQ66" s="32"/>
      <c r="FR66" s="29" t="str">
        <f t="shared" ca="1" si="202"/>
        <v>PIERDE TOMA DE TAMIZAJE</v>
      </c>
      <c r="FS66" s="22"/>
      <c r="FT66" s="32"/>
      <c r="FU66" s="29" t="str">
        <f>IF(AND(FJ66="",FM66="",FP66="",FS66=""),"",IF(OR(OR(Tabla1[[#This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66" s="28"/>
      <c r="FW66" s="22"/>
      <c r="FX66" s="29" t="str">
        <f t="shared" si="33"/>
        <v>TOMAR EXAMEN</v>
      </c>
      <c r="FY66" s="22">
        <v>44908</v>
      </c>
      <c r="FZ66" s="22">
        <v>44908</v>
      </c>
      <c r="GA66" s="29" t="str">
        <f t="shared" si="250"/>
        <v>REGISTRAR EN II TRIMESTRE</v>
      </c>
      <c r="GB66" s="22" t="s">
        <v>868</v>
      </c>
      <c r="GC66" s="22">
        <v>44908</v>
      </c>
      <c r="GD66" s="29">
        <f t="shared" ca="1" si="204"/>
        <v>14.571428571428571</v>
      </c>
      <c r="GE66" s="22" t="s">
        <v>868</v>
      </c>
      <c r="GF66" s="22">
        <v>45051</v>
      </c>
      <c r="GG66" s="29">
        <f t="shared" ca="1" si="205"/>
        <v>35</v>
      </c>
      <c r="GH66" s="22"/>
      <c r="GI66" s="29"/>
      <c r="GJ66" s="22"/>
      <c r="GK66" s="22"/>
      <c r="GL66" s="22"/>
      <c r="GM66" s="22"/>
      <c r="GN66" s="28" t="s">
        <v>869</v>
      </c>
      <c r="GO66" s="22">
        <v>44908</v>
      </c>
      <c r="GP66" s="29">
        <f t="shared" si="37"/>
        <v>14.571428571428571</v>
      </c>
      <c r="GQ66" s="28" t="s">
        <v>880</v>
      </c>
      <c r="GR66" s="28" t="s">
        <v>869</v>
      </c>
      <c r="GS66" s="22" t="str">
        <f t="shared" si="206"/>
        <v>SE EXCLUYE INFECCION</v>
      </c>
      <c r="GT66" s="22">
        <v>44908</v>
      </c>
      <c r="GU66" s="29">
        <f t="shared" si="39"/>
        <v>14.571428571428571</v>
      </c>
      <c r="GV66" s="21" t="str">
        <f t="shared" si="40"/>
        <v>II TRIM</v>
      </c>
      <c r="GW66" s="28" t="s">
        <v>869</v>
      </c>
      <c r="GX66" s="30"/>
      <c r="GY66" s="21"/>
      <c r="GZ66" s="21"/>
      <c r="HA66" s="21"/>
      <c r="HB66" s="21"/>
      <c r="HC66" s="21"/>
      <c r="HD66" s="21"/>
      <c r="HE66" s="21"/>
      <c r="HF66" s="22"/>
      <c r="HG66" s="22" t="str">
        <f>IF(OR(O66&gt;0,R66&gt;0),CONCATENATE(IF(Tabla1[[#This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66" s="22" t="e">
        <f t="shared" si="41"/>
        <v>#REF!</v>
      </c>
      <c r="HI66" s="22" t="str">
        <f t="shared" si="42"/>
        <v>ALTO RIESGO</v>
      </c>
      <c r="HJ66" s="21" t="str">
        <f t="shared" ca="1" si="43"/>
        <v>************************RIESGO POR EDAD***************</v>
      </c>
      <c r="HK66" s="21" t="str">
        <f t="shared" si="44"/>
        <v>RIESGO MODERADO (2 O MAS CRITERIOS) VER MANEJO GUIA SUMINISTRO ASA Y CALCIO</v>
      </c>
      <c r="HL66" s="24" t="str">
        <f t="shared" si="45"/>
        <v>VIGILAR CIFRAS PRESION ARTERIAL</v>
      </c>
      <c r="HM66" s="21" t="str">
        <f t="shared" ca="1" si="46"/>
        <v/>
      </c>
      <c r="HN66" s="30" t="str">
        <f t="shared" si="207"/>
        <v>SALIO PROGRAMA</v>
      </c>
      <c r="HO66" s="21"/>
      <c r="HP66" s="21"/>
      <c r="HQ66" s="21">
        <v>44908</v>
      </c>
      <c r="HR66" s="21" t="str">
        <f>IF(R66="","",IF(Tabla1[[#This Row],[ALARMA FACTORES DE RIESGO COMPLICACIONES HIPERTENSIVAS3]]="SIN ANTECEDENTES DE RIESGO","No Aplica para suministro de ASA",IF(AND(Tabla1[[#This Row],[FECHA INICIO DE SUMINISTRO DE ASA]]&gt;0,RV66&lt;12),"Inicia ASA ANTES de Sem 12",IF(AND(RV66&gt;11,RV66&lt;17,OR(HK66="RIESGO ALTO DE COMPLICACIONES HIPERTENSIVAS VER MANEJO GUIA SUMINISTRO ASA Y CALCIO",HK66="RIESGO MODERADO (2 O MAS CRITERIOS) VER MANEJO GUIA SUMINISTRO ASA Y CALCIO")),"Inicio oportuno de ASA",IF(AND(RV66&gt;12,OR(HK66="RIESGO ALTO DE COMPLICACIONES HIPERTENSIVAS VER MANEJO GUIA SUMINISTRO ASA Y CALCIO",HK66="RIESGO MODERADO (2 O MAS CRITERIOS) VER MANEJO GUIA SUMINISTRO ASA Y CALCIO")),"Inicio no oportuno mayor a 16 semanas",IF(AND(BU66&lt;12,OR(HK66="RIESGO ALTO DE COMPLICACIONES HIPERTENSIVAS VER MANEJO GUIA SUMINISTRO ASA Y CALCIO",HK66="RIESGO MODERADO (2 O MAS CRITERIOS) VER MANEJO GUIA SUMINISTRO ASA Y CALCIO")),"Pendiente Inicio de ASA a la semana 12",IF(AND(BU66&gt;11,BU66&lt;17,OR(HK66="RIESGO ALTO DE COMPLICACIONES HIPERTENSIVAS VER MANEJO GUIA SUMINISTRO ASA Y CALCIO",HK66="RIESGO MODERADO (2 O MAS CRITERIOS) VER MANEJO GUIA SUMINISTRO ASA Y CALCIO")),"Iniciar de inmediato ASA",IF(AND(BU66&gt;16,OR(HK66="RIESGO ALTO DE COMPLICACIONES HIPERTENSIVAS VER MANEJO GUIA SUMINISTRO ASA Y CALCIO",HK66="RIESGO MODERADO (2 O MAS CRITERIOS) VER MANEJO GUIA SUMINISTRO ASA Y CALCIO")),"Pierde Oportunidad, Inicio tardío de ASA","XXXXX"))))))))</f>
        <v>Inicio oportuno de ASA</v>
      </c>
      <c r="HS66" s="22">
        <v>44908</v>
      </c>
      <c r="HT66" s="22" t="s">
        <v>870</v>
      </c>
      <c r="HU66" s="22"/>
      <c r="HV66" s="22"/>
      <c r="HW66" s="22">
        <v>44908</v>
      </c>
      <c r="HX66" s="22" t="s">
        <v>870</v>
      </c>
      <c r="HY66" s="22">
        <v>44908</v>
      </c>
      <c r="HZ66" s="28">
        <f t="shared" si="48"/>
        <v>14.571428571428571</v>
      </c>
      <c r="IA66" s="26" t="s">
        <v>864</v>
      </c>
      <c r="IB66" s="26"/>
      <c r="IC66" s="111">
        <v>44918</v>
      </c>
      <c r="ID66" s="22">
        <v>44995</v>
      </c>
      <c r="IE66" s="22" t="str">
        <f t="shared" ca="1" si="49"/>
        <v>VACUNA APLICADA ENTRE SEMANA 27 Y EL PARTO</v>
      </c>
      <c r="IF66" s="22"/>
      <c r="IG66" s="22">
        <f t="shared" si="50"/>
        <v>45086</v>
      </c>
      <c r="IH66" s="29">
        <f t="shared" ca="1" si="51"/>
        <v>-146</v>
      </c>
      <c r="II66" s="22" t="str">
        <f t="shared" ca="1" si="52"/>
        <v>POSIBLEMENTE NACIO</v>
      </c>
      <c r="IJ66" s="22"/>
      <c r="IK66" s="21" t="s">
        <v>898</v>
      </c>
      <c r="IL66" s="21"/>
      <c r="IM66" s="34"/>
      <c r="IN66" s="349">
        <v>45072</v>
      </c>
      <c r="IO66" s="21" t="s">
        <v>1186</v>
      </c>
      <c r="IP66" s="29">
        <f t="shared" si="208"/>
        <v>38</v>
      </c>
      <c r="IQ66" s="110" t="s">
        <v>1654</v>
      </c>
      <c r="IR66" s="21" t="s">
        <v>1651</v>
      </c>
      <c r="IS66" s="21" t="s">
        <v>1646</v>
      </c>
      <c r="IT66" s="21" t="s">
        <v>1642</v>
      </c>
      <c r="IU66" s="21"/>
      <c r="IV66" s="21"/>
      <c r="IW66" s="21"/>
      <c r="IX66" s="21"/>
      <c r="IY66" s="21"/>
      <c r="IZ66" s="21"/>
      <c r="JA66" s="21"/>
      <c r="JB66" s="30">
        <v>1</v>
      </c>
      <c r="JC66" s="21" t="s">
        <v>1643</v>
      </c>
      <c r="JD66" s="36">
        <v>2620</v>
      </c>
      <c r="JE66" s="21" t="str">
        <f t="shared" si="209"/>
        <v>PESO ADECUADO EDAD GESTACIONAL</v>
      </c>
      <c r="JF66" s="30"/>
      <c r="JG66" s="21"/>
      <c r="JH66" s="21"/>
      <c r="JI66" s="21" t="s">
        <v>854</v>
      </c>
      <c r="JJ66" s="30" t="s">
        <v>866</v>
      </c>
      <c r="JK66" s="22"/>
      <c r="JL66" s="22"/>
      <c r="JM66" s="21"/>
      <c r="JN66" s="36"/>
      <c r="JO66" s="21" t="str">
        <f t="shared" si="210"/>
        <v/>
      </c>
      <c r="JP66" s="22"/>
      <c r="JQ66" s="21"/>
      <c r="JR66" s="21"/>
      <c r="JS66" s="21"/>
      <c r="JT66" s="30"/>
      <c r="JU66" s="22"/>
      <c r="JV66" s="22"/>
      <c r="JW66" s="33"/>
      <c r="JX66" s="28" t="str">
        <f t="shared" si="211"/>
        <v>INASISTENTE</v>
      </c>
      <c r="JY66" s="33"/>
      <c r="JZ66" s="28" t="str">
        <f t="shared" si="212"/>
        <v>INASISTENTE</v>
      </c>
      <c r="KA66" s="21"/>
      <c r="KB66" s="21"/>
      <c r="KC66" s="21"/>
      <c r="KD66" s="37"/>
      <c r="KE66" s="28"/>
      <c r="KF66" s="28"/>
      <c r="KG66" s="28"/>
      <c r="KH66" s="39"/>
      <c r="KI66" s="39"/>
      <c r="KJ66" s="66"/>
      <c r="KK66" s="39"/>
      <c r="KL66" s="39"/>
      <c r="KM66" s="66"/>
      <c r="KN66" s="39"/>
      <c r="KO66" s="39"/>
      <c r="KP66" s="39"/>
      <c r="KQ66" s="39"/>
      <c r="KR66" s="39"/>
      <c r="KS66" s="39"/>
      <c r="KT66" s="39"/>
      <c r="KU66" s="38"/>
      <c r="KV66" s="38"/>
      <c r="KW66" s="38"/>
      <c r="KX66" s="38"/>
      <c r="KY66" s="38"/>
      <c r="KZ66" s="38"/>
      <c r="LA66" s="38"/>
      <c r="LB66" s="38"/>
      <c r="LC66" s="38"/>
      <c r="LD66" s="38"/>
      <c r="LE66" s="38"/>
      <c r="LF66" s="38"/>
      <c r="LG66" s="38"/>
      <c r="LH66" s="38"/>
      <c r="LI66" s="38"/>
      <c r="LJ66" s="38"/>
      <c r="LK66" s="38"/>
      <c r="LL66" s="38"/>
      <c r="LM66" s="38"/>
      <c r="LN66" s="38"/>
      <c r="LO66" s="38"/>
      <c r="LP66" s="38"/>
      <c r="LQ66" s="38"/>
      <c r="LR66" s="38"/>
      <c r="LS66" s="38"/>
      <c r="LT66" s="38"/>
      <c r="LU66" s="38"/>
      <c r="LV66" s="38"/>
      <c r="LW66" s="38"/>
      <c r="LX66" s="38"/>
      <c r="LY66" s="38"/>
      <c r="LZ66" s="38"/>
      <c r="MA66" s="38"/>
      <c r="MB66" s="38"/>
      <c r="MC66" s="38"/>
      <c r="MD66" s="38"/>
      <c r="ME66" s="38"/>
      <c r="MF66" s="38"/>
      <c r="MG66" s="38"/>
      <c r="MH66" s="43">
        <f t="shared" si="213"/>
        <v>0</v>
      </c>
      <c r="MI66" s="43" t="str">
        <f t="shared" si="214"/>
        <v/>
      </c>
      <c r="MJ66" s="43" t="str">
        <f t="shared" si="215"/>
        <v/>
      </c>
      <c r="MK66" s="43">
        <f t="shared" si="216"/>
        <v>0</v>
      </c>
      <c r="ML6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66" s="43">
        <f t="shared" si="217"/>
        <v>14.571428571428571</v>
      </c>
      <c r="MN66" s="43">
        <f t="shared" si="218"/>
        <v>12</v>
      </c>
      <c r="MO66" s="43">
        <f t="shared" si="219"/>
        <v>2022</v>
      </c>
      <c r="MP66" s="43" t="str">
        <f t="shared" si="220"/>
        <v>IV TRIMESTRE AÑO</v>
      </c>
      <c r="MQ66" s="43">
        <f t="shared" si="221"/>
        <v>41.127354358300479</v>
      </c>
      <c r="MR66" s="43">
        <f t="shared" si="222"/>
        <v>2</v>
      </c>
      <c r="MS66" s="43" t="str">
        <f t="shared" si="223"/>
        <v xml:space="preserve"> DE 40 Y MAS</v>
      </c>
      <c r="MT66" s="43">
        <f t="shared" si="224"/>
        <v>0</v>
      </c>
      <c r="MU66" s="43">
        <f t="shared" si="225"/>
        <v>0</v>
      </c>
      <c r="MV66" s="43">
        <f t="shared" si="226"/>
        <v>0</v>
      </c>
      <c r="MW66" s="43">
        <f t="shared" si="227"/>
        <v>0</v>
      </c>
      <c r="MX66" s="43" t="str">
        <f t="shared" si="228"/>
        <v/>
      </c>
      <c r="MY66" s="43" t="str">
        <f t="shared" ca="1" si="229"/>
        <v/>
      </c>
      <c r="MZ66" s="43" t="str">
        <f t="shared" si="230"/>
        <v/>
      </c>
      <c r="NA66" s="43">
        <f t="shared" si="231"/>
        <v>0</v>
      </c>
      <c r="NB66" s="43" t="str">
        <f t="shared" si="232"/>
        <v/>
      </c>
      <c r="NC66" s="43" t="str">
        <f t="shared" si="233"/>
        <v/>
      </c>
      <c r="ND66" s="43">
        <f t="shared" ca="1" si="234"/>
        <v>2</v>
      </c>
      <c r="NE66" s="43">
        <f>IF(OR(O66&gt;0,R66&gt;0),SUM(COUNTIF(Tabla1[[#This Row],[AÑOS AL INICIO5 CPN]],"&gt;=40"),COUNTIF(AS66,"0"),COUNTIF(AR66,"SI"),COUNTIF(CC66,"SI"),COUNTIF(BQ66,"&gt;119"),COUNTIF(CI66,"&gt;=35")),"")</f>
        <v>2</v>
      </c>
      <c r="NF66" s="43">
        <f t="shared" si="235"/>
        <v>27</v>
      </c>
      <c r="NG66" s="43">
        <f t="shared" si="236"/>
        <v>0</v>
      </c>
      <c r="NH66" s="43">
        <f t="shared" si="237"/>
        <v>112</v>
      </c>
      <c r="NI66"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CPN",P66="NO"),"Z",IF(AND(Tabla1[[#This Row],[CITA PROXIMO CONTROL]]="CITA MANUAL",Tabla1[[#This Row],[GESTANTES ACTUALES]]="ACTIVA INGRESO A CPN"),"W",IF(AND(Tabla1[[#This Row],[GESTANTES ACTUALES]]="SALIO PROGRAMA",IN66=""),"S",IF(AND(Tabla1[[#This Row],[CITA PROXIMO CONTROL]]&gt;0,IN66=""),(Tabla1[[#This Row],[CITA PROXIMO CONTROL]]-TODAY()),"SD"))))))))</f>
        <v>SD</v>
      </c>
      <c r="NJ66" s="43">
        <f>MONTH(Tabla1[[#This Row],[FECHA DE SALIDA  DEL PROGRAMA]])</f>
        <v>5</v>
      </c>
      <c r="NK66" s="43">
        <f>YEAR(Tabla1[[#This Row],[FECHA DE SALIDA  DEL PROGRAMA]])</f>
        <v>2023</v>
      </c>
      <c r="NL66" s="43">
        <f t="shared" si="238"/>
        <v>36</v>
      </c>
      <c r="NM66" s="43" t="str">
        <f t="shared" si="251"/>
        <v>NO</v>
      </c>
      <c r="NN66" s="43" t="str">
        <f ca="1">IF(AND(O66&gt;0,R66=""),"NO CPN",IF(AND(O66="",R66=""),"",IF(AND(R66&gt;0,Tabla1[[#This Row],[SEMANAS DE GESTACION ACTUALIZADAS]]&lt;=12),"NO APLICA",IF(AND(FH66&lt;&gt;"",FN66&lt;&gt;""),"SI","NO"))))</f>
        <v>NO</v>
      </c>
      <c r="NO66" s="43" t="str">
        <f ca="1">IF(AND(O66&gt;0,R66=""),"NO CPN",IF(AND(O66="",R66=""),"",IF(AND(R66&gt;0,Tabla1[[#This Row],[SEMANAS DE GESTACION ACTUALIZADAS]]&lt;=27),"NO APLICA",IF(AND(ES66&lt;&gt;"",FQ66&lt;&gt;"",GF66&lt;&gt;""),"SI","NO"))))</f>
        <v>NO</v>
      </c>
      <c r="NP66" s="204" t="str">
        <f t="shared" si="240"/>
        <v>II TRIM</v>
      </c>
      <c r="NQ66" s="21" t="str">
        <f t="shared" si="241"/>
        <v/>
      </c>
      <c r="NR66" s="21">
        <f t="shared" si="242"/>
        <v>2</v>
      </c>
      <c r="NS66" s="205">
        <f t="shared" ca="1" si="243"/>
        <v>1</v>
      </c>
      <c r="NT66" s="21">
        <f t="shared" ca="1" si="244"/>
        <v>2</v>
      </c>
      <c r="NU66" s="21" t="str">
        <f t="shared" ca="1" si="245"/>
        <v>INCOMPLETO</v>
      </c>
      <c r="NV66" s="21" t="str">
        <f t="shared" ca="1" si="246"/>
        <v>COMPLETO</v>
      </c>
      <c r="NW66" s="206" t="str">
        <f>IF(AND(O66="",R66=""),"",IF(OR(AND(Tabla1[[#This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66" s="207" t="str">
        <f t="shared" ca="1" si="247"/>
        <v>VACUNADA</v>
      </c>
      <c r="NY66" s="43">
        <f>ROW(Tabla1[[#This Row],['# DE TAMIZAJES SIFILIS TOMADOS ]])</f>
        <v>66</v>
      </c>
      <c r="NZ66" s="43">
        <f t="shared" si="93"/>
        <v>14</v>
      </c>
      <c r="OA66" s="43" t="str">
        <f t="shared" si="94"/>
        <v/>
      </c>
      <c r="OB66" s="43" t="str">
        <f t="shared" si="95"/>
        <v/>
      </c>
      <c r="OC66" s="43" t="str">
        <f t="shared" si="96"/>
        <v/>
      </c>
      <c r="OD66" s="43" t="str">
        <f t="shared" si="97"/>
        <v/>
      </c>
      <c r="OE66" s="43" t="str">
        <f t="shared" si="98"/>
        <v/>
      </c>
      <c r="OF66" s="43" t="str">
        <f t="shared" si="99"/>
        <v>SOBREPESO</v>
      </c>
      <c r="OG66" s="43" t="str">
        <f t="shared" si="100"/>
        <v/>
      </c>
      <c r="OH66" s="43" t="str">
        <f t="shared" si="101"/>
        <v/>
      </c>
      <c r="OI66" s="43" t="str">
        <f t="shared" si="102"/>
        <v/>
      </c>
      <c r="OJ66" s="43" t="str">
        <f t="shared" si="103"/>
        <v/>
      </c>
      <c r="OK66" s="43" t="str">
        <f t="shared" si="104"/>
        <v/>
      </c>
      <c r="OL66" s="43" t="str">
        <f t="shared" si="105"/>
        <v/>
      </c>
      <c r="OM66" s="43" t="str">
        <f t="shared" si="106"/>
        <v/>
      </c>
      <c r="ON66" s="43" t="str">
        <f t="shared" si="107"/>
        <v/>
      </c>
      <c r="OO66" s="43" t="str">
        <f t="shared" si="108"/>
        <v/>
      </c>
      <c r="OP66" s="43" t="str">
        <f t="shared" si="109"/>
        <v/>
      </c>
      <c r="OQ66" s="43" t="str">
        <f t="shared" si="110"/>
        <v/>
      </c>
      <c r="OR66" s="43" t="str">
        <f t="shared" si="111"/>
        <v/>
      </c>
      <c r="OS66" s="43" t="str">
        <f t="shared" si="112"/>
        <v/>
      </c>
      <c r="OT66" s="43" t="str">
        <f t="shared" si="113"/>
        <v/>
      </c>
      <c r="OU66" s="43" t="str">
        <f t="shared" si="114"/>
        <v/>
      </c>
      <c r="OV66" s="110" t="str">
        <f t="shared" si="115"/>
        <v/>
      </c>
      <c r="OW66" s="43" t="str">
        <f t="shared" si="116"/>
        <v/>
      </c>
      <c r="OX66" s="43" t="str">
        <f t="shared" si="117"/>
        <v/>
      </c>
      <c r="OY66" s="43" t="str">
        <f t="shared" si="118"/>
        <v/>
      </c>
      <c r="OZ66" s="43" t="str">
        <f t="shared" si="119"/>
        <v/>
      </c>
      <c r="PA66" s="43" t="str">
        <f t="shared" si="120"/>
        <v/>
      </c>
      <c r="PB66" s="43" t="str">
        <f t="shared" si="121"/>
        <v/>
      </c>
      <c r="PC66" s="43" t="str">
        <f t="shared" si="122"/>
        <v/>
      </c>
      <c r="PD66" s="43" t="str">
        <f t="shared" si="123"/>
        <v/>
      </c>
      <c r="PE66" s="43" t="str">
        <f t="shared" si="124"/>
        <v/>
      </c>
      <c r="PF66" s="43" t="str">
        <f t="shared" si="125"/>
        <v/>
      </c>
      <c r="PG66" s="43" t="str">
        <f t="shared" si="126"/>
        <v/>
      </c>
      <c r="PH66" s="43" t="str">
        <f t="shared" si="127"/>
        <v/>
      </c>
      <c r="PI66" s="43">
        <f t="shared" si="128"/>
        <v>35</v>
      </c>
      <c r="PJ66" s="43" t="str">
        <f t="shared" si="129"/>
        <v/>
      </c>
      <c r="PK66" s="43" t="str">
        <f t="shared" si="130"/>
        <v/>
      </c>
      <c r="PL66" s="43" t="str">
        <f t="shared" si="131"/>
        <v/>
      </c>
      <c r="PM66" s="43" t="str">
        <f t="shared" si="132"/>
        <v/>
      </c>
      <c r="PN66" s="43" t="str">
        <f t="shared" si="133"/>
        <v/>
      </c>
      <c r="PO66" s="43" t="str">
        <f t="shared" si="134"/>
        <v/>
      </c>
      <c r="PP66" s="43" t="str">
        <f t="shared" si="135"/>
        <v/>
      </c>
      <c r="PQ66" s="43" t="str">
        <f t="shared" si="136"/>
        <v/>
      </c>
      <c r="PR66" s="43" t="str">
        <f t="shared" si="137"/>
        <v/>
      </c>
      <c r="PS66" s="43" t="str">
        <f t="shared" si="138"/>
        <v/>
      </c>
      <c r="PT66" s="43" t="str">
        <f t="shared" si="139"/>
        <v/>
      </c>
      <c r="PU66" s="43" t="str">
        <f t="shared" si="140"/>
        <v/>
      </c>
      <c r="PV66" s="43" t="str">
        <f t="shared" si="141"/>
        <v/>
      </c>
      <c r="PW66" s="43" t="str">
        <f t="shared" si="142"/>
        <v/>
      </c>
      <c r="PX66" s="43" t="str">
        <f t="shared" si="143"/>
        <v/>
      </c>
      <c r="PY66" s="43" t="str">
        <f t="shared" si="144"/>
        <v/>
      </c>
      <c r="PZ66" s="43" t="str">
        <f t="shared" si="145"/>
        <v/>
      </c>
      <c r="QA66" s="43" t="str">
        <f t="shared" si="146"/>
        <v/>
      </c>
      <c r="QB66" s="43" t="str">
        <f t="shared" si="147"/>
        <v/>
      </c>
      <c r="QC66" s="43" t="str">
        <f t="shared" si="148"/>
        <v/>
      </c>
      <c r="QD66" s="43" t="str">
        <f t="shared" si="149"/>
        <v/>
      </c>
      <c r="QE66" s="43" t="str">
        <f t="shared" si="150"/>
        <v/>
      </c>
      <c r="QF66" s="43" t="str">
        <f t="shared" si="151"/>
        <v/>
      </c>
      <c r="QG66" s="43" t="str">
        <f t="shared" si="152"/>
        <v/>
      </c>
      <c r="QH66" s="43" t="str">
        <f t="shared" si="153"/>
        <v/>
      </c>
      <c r="QI66" s="43" t="str">
        <f t="shared" si="154"/>
        <v/>
      </c>
      <c r="QJ66" s="43" t="str">
        <f t="shared" si="155"/>
        <v>SOBREPESO</v>
      </c>
      <c r="QK66" s="43" t="str">
        <f t="shared" si="156"/>
        <v/>
      </c>
      <c r="QL66" s="43" t="str">
        <f t="shared" si="157"/>
        <v/>
      </c>
      <c r="QM66" s="43" t="str">
        <f t="shared" si="158"/>
        <v/>
      </c>
      <c r="QN66" s="43" t="str">
        <f t="shared" si="159"/>
        <v/>
      </c>
      <c r="QO66" s="43" t="str">
        <f t="shared" si="160"/>
        <v/>
      </c>
      <c r="QP66" s="43" t="str">
        <f t="shared" si="161"/>
        <v/>
      </c>
      <c r="QQ66" s="43" t="str">
        <f t="shared" si="162"/>
        <v/>
      </c>
      <c r="QR66" s="43">
        <f t="shared" si="192"/>
        <v>35</v>
      </c>
      <c r="QS66" s="43"/>
      <c r="QT66" s="21" t="str">
        <f t="shared" si="163"/>
        <v/>
      </c>
      <c r="QU66" s="21" t="str">
        <f t="shared" si="164"/>
        <v/>
      </c>
      <c r="QV66" s="21" t="str">
        <f t="shared" si="165"/>
        <v/>
      </c>
      <c r="QW66" s="21" t="str">
        <f t="shared" si="166"/>
        <v/>
      </c>
      <c r="QX66" s="21" t="str">
        <f t="shared" si="167"/>
        <v/>
      </c>
      <c r="QY66" s="21" t="str">
        <f t="shared" si="168"/>
        <v/>
      </c>
      <c r="QZ66" s="21" t="str">
        <f t="shared" si="169"/>
        <v/>
      </c>
      <c r="RA66" s="21" t="str">
        <f t="shared" si="170"/>
        <v/>
      </c>
      <c r="RB66" s="21" t="str">
        <f t="shared" si="171"/>
        <v/>
      </c>
      <c r="RC66" s="21" t="str">
        <f t="shared" si="172"/>
        <v/>
      </c>
      <c r="RD66" s="21" t="str">
        <f t="shared" si="173"/>
        <v/>
      </c>
      <c r="RE66" s="21" t="str">
        <f t="shared" si="174"/>
        <v/>
      </c>
      <c r="RF66" s="21" t="str">
        <f t="shared" si="175"/>
        <v/>
      </c>
      <c r="RG66" s="21" t="str">
        <f t="shared" si="176"/>
        <v/>
      </c>
      <c r="RH66" s="21" t="str">
        <f t="shared" si="177"/>
        <v/>
      </c>
      <c r="RI66" s="21" t="str">
        <f t="shared" si="178"/>
        <v/>
      </c>
      <c r="RJ66" s="21" t="str">
        <f t="shared" si="179"/>
        <v/>
      </c>
      <c r="RK66" s="21" t="str">
        <f t="shared" si="180"/>
        <v/>
      </c>
      <c r="RL66" s="21" t="str">
        <f t="shared" si="181"/>
        <v/>
      </c>
      <c r="RM66" s="21" t="str">
        <f t="shared" si="182"/>
        <v/>
      </c>
      <c r="RN66" s="21" t="str">
        <f t="shared" si="183"/>
        <v/>
      </c>
      <c r="RO66" s="21" t="str">
        <f t="shared" si="184"/>
        <v/>
      </c>
      <c r="RP66" s="21" t="str">
        <f t="shared" si="185"/>
        <v/>
      </c>
      <c r="RQ66" s="21" t="str">
        <f t="shared" si="186"/>
        <v/>
      </c>
      <c r="RR66" s="21" t="str">
        <f t="shared" si="187"/>
        <v/>
      </c>
      <c r="RS66" s="21" t="str">
        <f t="shared" si="188"/>
        <v/>
      </c>
      <c r="RT66" s="21" t="str">
        <f t="shared" si="189"/>
        <v/>
      </c>
      <c r="RU66" s="21" t="str">
        <f t="shared" si="190"/>
        <v/>
      </c>
      <c r="RV66" s="21">
        <f t="shared" si="191"/>
        <v>14.571428571428571</v>
      </c>
      <c r="RW66" s="284">
        <f>IF(OR(Tabla1[[#This Row],[FUM FORMULA CONFIABLE]]="",Tabla1[[#This Row],[FUM FORMULA CONFIABLE]]="SD"),"",IF(Tabla1[[#This Row],[FUM FORMULA CONFIABLE]]="CORREGIDA",Tabla1[[#This Row],[FUM X ECO 1]],Tabla1[[#This Row],[FUM x AMENORREA]]))</f>
        <v>44806</v>
      </c>
      <c r="RX66" s="21">
        <f>IF(AND(Tabla1[[#This Row],[FUM X ECO 1]]="",Tabla1[[#This Row],[FUM x AMENORREA]]=""),"",IF(AND(Tabla1[[#This Row],[FUM X ECO 1]]="",Tabla1[[#This Row],[FUM x AMENORREA]]&lt;&gt;""),"X",SUM(Tabla1[[#This Row],[FUM X ECO 1]]-Tabla1[[#This Row],[FUM x AMENORREA]])))</f>
        <v>0</v>
      </c>
      <c r="RY66" s="21">
        <f t="shared" si="193"/>
        <v>0</v>
      </c>
    </row>
    <row r="67" spans="1:493" ht="45" customHeight="1" x14ac:dyDescent="0.25">
      <c r="A67" s="109"/>
      <c r="B67" s="43" t="s">
        <v>1143</v>
      </c>
      <c r="C67" s="43" t="s">
        <v>845</v>
      </c>
      <c r="D67" s="124" t="s">
        <v>846</v>
      </c>
      <c r="E67" s="43" t="s">
        <v>909</v>
      </c>
      <c r="F67" s="43"/>
      <c r="G67" s="43" t="s">
        <v>1203</v>
      </c>
      <c r="H67" s="43"/>
      <c r="I67" s="109" t="s">
        <v>851</v>
      </c>
      <c r="J67" s="110">
        <v>25546720</v>
      </c>
      <c r="K67" s="43" t="s">
        <v>852</v>
      </c>
      <c r="L67" s="175" t="s">
        <v>1509</v>
      </c>
      <c r="M67" s="22">
        <v>29382</v>
      </c>
      <c r="N67" s="213">
        <f t="shared" ref="N67:N130" ca="1" si="252">IF(M67&gt;0,SUM(TODAY()-M67)/365,"")</f>
        <v>43.424657534246577</v>
      </c>
      <c r="O67" s="22">
        <v>44909</v>
      </c>
      <c r="P67" s="214" t="str">
        <f t="shared" ref="P67:P71" si="253">IF(AND(O67="",R67&gt;0),"ACUDE ESPONTANEAMENTE",IF(AND(AND(O67&gt;0,R67=""),OR(IN67&gt;0,IK67&lt;&gt;"")),"NA",IF(AND(O67&gt;0,IN67="",R67=""),"NO",IF(AND(O67&gt;0,R67&gt;0),"SI",""))))</f>
        <v>SI</v>
      </c>
      <c r="Q67" s="26" t="s">
        <v>855</v>
      </c>
      <c r="R67" s="22">
        <v>44909</v>
      </c>
      <c r="S67" s="21" t="s">
        <v>856</v>
      </c>
      <c r="T67" s="24" t="s">
        <v>690</v>
      </c>
      <c r="U67" s="21" t="s">
        <v>857</v>
      </c>
      <c r="V67" s="21" t="s">
        <v>858</v>
      </c>
      <c r="W67" s="21" t="s">
        <v>1204</v>
      </c>
      <c r="X67" s="21" t="s">
        <v>1204</v>
      </c>
      <c r="Y67" s="21" t="s">
        <v>859</v>
      </c>
      <c r="Z67" s="21" t="s">
        <v>894</v>
      </c>
      <c r="AA67" s="21" t="s">
        <v>860</v>
      </c>
      <c r="AB67" s="27" t="s">
        <v>861</v>
      </c>
      <c r="AC67" s="26" t="s">
        <v>862</v>
      </c>
      <c r="AD67" s="38" t="s">
        <v>846</v>
      </c>
      <c r="AE67" s="26" t="s">
        <v>854</v>
      </c>
      <c r="AF67" s="26" t="s">
        <v>854</v>
      </c>
      <c r="AG67" s="23" t="s">
        <v>864</v>
      </c>
      <c r="AH67" s="23" t="s">
        <v>864</v>
      </c>
      <c r="AI67" s="24" t="s">
        <v>863</v>
      </c>
      <c r="AJ67" s="23" t="s">
        <v>864</v>
      </c>
      <c r="AK67" s="220" t="str">
        <f>IF(AND(AD67="",AE67="",AF67="",AG67="",AH67="",AI67="",AJ67=""),"",IF(OR(Tabla1[[#This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EVALUACIÓN",IF(AND(O67="",R67=""),"",IF(AND(OR(O67&gt;0,R67&gt;0),NG67&gt;=0,NG67&lt;2),"SIN RIESGO",IF(AND(OR(O67&gt;0,R67&gt;0),NG67&gt;=2),"CON RIESGO","ASD")))))</f>
        <v>SIN RIESGO</v>
      </c>
      <c r="AL67" s="23" t="s">
        <v>864</v>
      </c>
      <c r="AM67" s="26" t="s">
        <v>864</v>
      </c>
      <c r="AN67" s="26" t="s">
        <v>864</v>
      </c>
      <c r="AO67" s="26" t="s">
        <v>864</v>
      </c>
      <c r="AP67" s="26" t="s">
        <v>864</v>
      </c>
      <c r="AQ67" s="26" t="s">
        <v>864</v>
      </c>
      <c r="AR67" s="26" t="s">
        <v>864</v>
      </c>
      <c r="AS67" s="21">
        <v>4</v>
      </c>
      <c r="AT67" s="21">
        <v>4</v>
      </c>
      <c r="AU67" s="21">
        <v>0</v>
      </c>
      <c r="AV67" s="26" t="s">
        <v>864</v>
      </c>
      <c r="AW67" s="21">
        <v>0</v>
      </c>
      <c r="AX67" s="26" t="s">
        <v>864</v>
      </c>
      <c r="AY67" s="26" t="s">
        <v>864</v>
      </c>
      <c r="AZ67" s="26" t="s">
        <v>864</v>
      </c>
      <c r="BA67" s="26" t="s">
        <v>864</v>
      </c>
      <c r="BB67" s="26" t="s">
        <v>864</v>
      </c>
      <c r="BC67" s="26" t="s">
        <v>864</v>
      </c>
      <c r="BD67" s="26" t="s">
        <v>864</v>
      </c>
      <c r="BE67" s="26" t="s">
        <v>864</v>
      </c>
      <c r="BF67" s="26" t="s">
        <v>864</v>
      </c>
      <c r="BG67" s="26" t="s">
        <v>864</v>
      </c>
      <c r="BH67" s="26" t="s">
        <v>864</v>
      </c>
      <c r="BI67" s="26" t="s">
        <v>864</v>
      </c>
      <c r="BJ67" s="26" t="s">
        <v>864</v>
      </c>
      <c r="BK67" s="26" t="s">
        <v>864</v>
      </c>
      <c r="BL67" s="26" t="s">
        <v>864</v>
      </c>
      <c r="BM67" s="26" t="s">
        <v>864</v>
      </c>
      <c r="BN67" s="22">
        <v>42368</v>
      </c>
      <c r="BO67" s="22">
        <v>44837</v>
      </c>
      <c r="BP67" s="21" t="s">
        <v>854</v>
      </c>
      <c r="BQ67" s="222">
        <f t="shared" ref="BQ67:BQ130" si="254">IF(OR(BN67="SD",RW67=""),"",IF(BN67="",0,SUM(RW67-BN67)/30))</f>
        <v>82.3</v>
      </c>
      <c r="BR67" s="223">
        <f t="shared" ref="BR67:BR130" si="255">IF(BX67&gt;0,SUM(BW67-NH67),"")</f>
        <v>44838.2</v>
      </c>
      <c r="BS67" s="224">
        <f t="shared" ref="BS67:BS130" si="256">IF(AND(BP67="Corregida",BO67&gt;0,R67&gt;0,ISBLANK(BX67)),"SIN SEMANAS X ECO",IF(AND(BP67="Corregida",BO67&gt;0,R67&gt;0),SUM(R67-BR67)/7,IF(AND(OR(BP67="SI",BP67="NO"),BO67&gt;0,R67&gt;0),SUM(R67-BO67)/7,"")))</f>
        <v>10.285714285714286</v>
      </c>
      <c r="BT67" s="216" t="str">
        <f t="shared" ref="BT67:BT130" si="257">IF(AND(BS67="",IG67=""),"",IF(AND(BS67="",IG67="DEFINIR FPP POR ECO"),"SIN DATO",IF(BS67&lt;0,"ERROR FUM O INGRESO O ECO",IF(BP67="NO","DEFINIR CON ECO",IF(BS67&lt;10,"I TRIM",IF(BS67&lt;27,"II TRIM",IF(AND(BS67&gt;26,BS67&lt;45),"III TRIM","ERROR FUM O INGRESO O ECO")))))))</f>
        <v>II TRIM</v>
      </c>
      <c r="BU67" s="214" t="str">
        <f t="shared" ref="BU67:BU130" ca="1" si="258">IF(AND(BO67="",BR67=""),"",IF(SUM((TODAY()-RW67)/7)&gt;43.1,"",IF(AND(RW67&gt;0,OR(BP67="si",BP67="Corregida",BP67="NO")),SUM((TODAY()-RW67)/7),"")))</f>
        <v/>
      </c>
      <c r="BV67" s="25"/>
      <c r="BW67" s="22">
        <v>44918</v>
      </c>
      <c r="BX67" s="28">
        <v>11.4</v>
      </c>
      <c r="BY67" s="28" t="s">
        <v>988</v>
      </c>
      <c r="BZ67" s="22">
        <v>45051</v>
      </c>
      <c r="CA67" s="21">
        <v>30.2</v>
      </c>
      <c r="CB67" s="26" t="s">
        <v>864</v>
      </c>
      <c r="CC67" s="26" t="s">
        <v>864</v>
      </c>
      <c r="CD67" s="26"/>
      <c r="CE67" s="26" t="s">
        <v>864</v>
      </c>
      <c r="CF67" s="22" t="s">
        <v>1517</v>
      </c>
      <c r="CG67" s="21">
        <v>1.6</v>
      </c>
      <c r="CH67" s="21">
        <v>80</v>
      </c>
      <c r="CI67" s="214">
        <f t="shared" ref="CI67:CI130" si="259">IF(AND(OR(O67&gt;0,R67&gt;0),CG67=""),"SD",IF(AND(OR(O67="",R67=""),CG67=""),"",IF(AND(OR(O67&gt;0,R67&gt;0),CG67&gt;0,CH67&gt;0),SUM(CH67)/(CG67*CG67),"X")))</f>
        <v>31.249999999999993</v>
      </c>
      <c r="CJ67" s="225" t="e">
        <f>IF(AND(CI67&lt;10,CH67="SD"),"SIN DATO PESO PREGESTACION O I TRIM",IF(AND(OR(R67&gt;0,O67&gt;0),CI67="X"),"INGRESAR DATO DE PESO",IF(CI67="SD","INGRESAR DATO DE TALLA Y PESO",IF(AND(OR(Tabla1[[#This Row],[MOMENTO EN QUE SE REALIZA EL PESO AL INGRESO A CPN]]="PREGESTACIÓN",NZ67="Menor"),CI67&lt;18.5),"BAJO PESO",IF(AND(OR(Tabla1[[#This Row],[MOMENTO EN QUE SE REALIZA EL PESO AL INGRESO A CPN]]="PREGESTACIÓN",NZ67="Menor"),CI67&lt;25),"NORMAL",IF(AND(OR(Tabla1[[#This Row],[MOMENTO EN QUE SE REALIZA EL PESO AL INGRESO A CPN]]="PREGESTACIÓN",NZ67="Menor"),CI67&lt;30),"SOBREPESO",IF(AND(OR(Tabla1[[#This Row],[MOMENTO EN QUE SE REALIZA EL PESO AL INGRESO A CPN]]="PREGESTACIÓN",NZ67="Menor"),CI67&gt;=30,CI67&lt;50),"OBESIDAD",IF(AND(BS67&gt;0,Tabla1[[#This Row],[MOMENTO EN QUE SE REALIZA EL PESO AL INGRESO A CPN]]="GESTACIÓN"),HLOOKUP(NZ67,$OA$2:PH67,NY67),""))))))))</f>
        <v>#REF!</v>
      </c>
      <c r="CK67" s="212">
        <f t="shared" ref="CK67:CK130" si="260">DY67</f>
        <v>45113</v>
      </c>
      <c r="CL67" s="21">
        <v>92</v>
      </c>
      <c r="CM67" s="214">
        <f t="shared" ref="CM67:CM130" si="261">IF(AND(OR(O67&gt;0,R67&gt;0),CG67=""),"SD",IF(AND(OR(O67="",R67=""),CG67=""),"",IF(AND(OR(O67&gt;0,R67&gt;0),CG67&gt;0),SUM(CL67)/(CG67*CG67),"X")))</f>
        <v>35.937499999999993</v>
      </c>
      <c r="CN67" s="216">
        <f t="shared" ref="CN67:CN130" si="262">DZ67</f>
        <v>39</v>
      </c>
      <c r="CO67" s="216" t="e">
        <f>IF(PI67="","",IF(PI67&gt;0,HLOOKUP(PI67,$PJ$2:QQ67,NY67),""))</f>
        <v>#REF!</v>
      </c>
      <c r="CP67" s="21"/>
      <c r="CQ67" s="216" t="e">
        <f>IF(QR67="Menor","NO APLICA-MENOR 13 SEM",IF(AND(CC67="SI",CN67&gt;23),"NO APLICA- GEMELAR",IF(QR67="","",IF(QR67&gt;0,HLOOKUP(QR67,$QS$2:RU67,NY67),""))))</f>
        <v>#REF!</v>
      </c>
      <c r="CR67" s="21">
        <v>110</v>
      </c>
      <c r="CS67" s="21">
        <v>60</v>
      </c>
      <c r="CT67" s="217" t="str">
        <f>IF(R67="","",IF(AND(BS67&gt;1,BS67&lt;12,Tabla1[[#This Row],[T.A. SISTOLICA - ANTES DE SEMANA 12]]="",Tabla1[[#This Row],[T.A. DIASTOLICA - ANTES DE SEMANA 12]]=""),"REGISTRE DATO TA ANTES SEMANA 12",IF(AND(BS67&gt;11,BS67&lt;43,Tabla1[[#This Row],[T.A. SISTOLICA - ANTES DE SEMANA 12]]="",Tabla1[[#This Row],[T.A. DIASTOLICA - ANTES DE SEMANA 12]]=""),"NO APLICA REGISTRO TA-INGRESO TARDIO",IF(AND(OR(O67&gt;0,R67&gt;0),OR(CR67&gt;=140,CS67&gt;=90)),"DEFINIR ESTADIO HTA",IF(AND(OR(O67&gt;0,R67&gt;0),AND(CR67&gt;120,CR67&lt;=139)),"PRE HTA SEGUIMIENTO",IF(AND(OR(O67&gt;0,R67&gt;0),AND(CS67&gt;80,CS67&lt;=89)),"PRE HTA SEGUIMIENTO",IF(AND(OR(O67&gt;0,R67&gt;0),AND(CR67&gt;=80,CR67&lt;=120)),"APARENTEMENTE NORMAL",IF(AND(OR(O67&gt;0,R67&gt;0),AND(CS67&gt;=50,CS67&lt;=80)),"APARENTEMENTE NORMAL",IF(AND(OR(O67&gt;0,R67&gt;0),AND(CR67&gt;1,CR67&lt;=70),AND(CS67&gt;1,CS67&lt;=40)),"HIPOTENSIÓN","")))))))))</f>
        <v>APARENTEMENTE NORMAL</v>
      </c>
      <c r="CU67" s="21"/>
      <c r="CV67" s="21"/>
      <c r="CW67" s="217" t="str">
        <f ca="1">IF(R67="","",IF(AND(CN67&gt;19,CN67&lt;27,Tabla1[[#This Row],[T.A. SISTOLICA (Entre semana 20 y 26)]]="",Tabla1[[#This Row],[T.A. DIATOLICA (Entre semana 20 y 26)]]=""),"ACUDE A CONTROL SEM 20 A 26 REGISTRE TA AHORA",IF(AND(BS67&gt;1,BS67&lt;27,BU67&gt;19,Tabla1[[#This Row],[T.A. SISTOLICA (Entre semana 20 y 26)]]="",Tabla1[[#This Row],[T.A. DIATOLICA (Entre semana 20 y 26)]]=""),"COMPLETE REGISTRO TA CONTROL SEM 20 A26 ",IF(AND(BS67&gt;26,BS67&lt;43,Tabla1[[#This Row],[T.A. SISTOLICA (Entre semana 20 y 26)]]="",Tabla1[[#This Row],[T.A. DIATOLICA (Entre semana 20 y 26)]]=""),"NO APLICA REGISTRO TA-INGRESO TARDIO",IF(AND(OR(O67&gt;0,R67&gt;0),OR(CU67&gt;=140,CV67&gt;=90)),"ALTO RIESGO PREECLAMPSIA,DEFINIR ESTADIO HTA",IF(AND(OR(O67&gt;0,R67&gt;0),AND(CU67&gt;120,CU67&lt;=139)),"PRE HTA SEGUIMIENTO,RIESGO HIPERTENSION INDUCIDA POR EL EMBARAZO",IF(AND(OR(O67&gt;0,R67&gt;0),AND(CV67&gt;80,CV67&lt;=89)),"PRE HTA SEGUIMIENTO, RIESGO HIPERTENSION INDUCIDA POR EL EMBARAZO",IF(AND(OR(O67&lt;&gt;"",R67&lt;&gt;""),CS67&lt;&gt;"",CV67&lt;&gt;"",CS67&lt;=CV67),"VIGILAR CIFRAS PRESION ARTERIAL",IF(AND(OR(O67&gt;0,R67&gt;0),AND(CU67&gt;120,CU67&lt;=139)),"PRE HTA SEGUIMIENTO",IF(AND(OR(O67&gt;0,R67&gt;0),AND(CU67&gt;1,CU67&lt;=70),AND(CV67&gt;1,CV67&lt;=40)),"HIPOTENSIÓN",IF(AND(OR(O67&lt;&gt;"",R67&lt;&gt;""),CS67&lt;&gt;"",CV67&lt;&gt;"",CS67&gt;CV67),"APARENTEMENTE NORMAL",IF(AND(OR(O67&gt;0,R67&gt;0),AND(CU67&gt;=80,CU67&lt;=120)),"APARENTEMENTE NORMAL",IF(AND(OR(O67&gt;0,R67&gt;0),AND(CV67&gt;=50,CV67&lt;=80)),"APARENTEMENTE NORMAL","")))))))))))))</f>
        <v xml:space="preserve">COMPLETE REGISTRO TA CONTROL SEM 20 A26 </v>
      </c>
      <c r="CX67" s="21"/>
      <c r="CY67" s="21"/>
      <c r="CZ67" s="216" t="str">
        <f t="shared" ref="CZ67:CZ98" si="263">IF(R67="","",IF(AND(CN67&gt;31,CN67&lt;35,CX67="",CY67=""),"ACUDE A CONTROL SEM 30 A 34- REGISTRE AHORA",IF(AND(BS67&gt;34,BS67&lt;43,CX68="",CY68=""),"NO APLICA-INGRESO TARDIO",IF(AND(OR(O67&gt;0,R67&gt;0),OR(CX67&gt;=140,CY67&gt;=90)),"ESTUDIO INMEDIATO HTA PARA DESCARTAR PREECLAMSIA",IF(AND(OR(O67&gt;0,R67&gt;0),AND(CX67&gt;=130,CX67&lt;=139)),"PRE HTA,RIESGO ALTO PREECLAMPSIA",IF(AND(OR(O67&gt;0,R67&gt;0),AND(CY67&gt;80,CY67&lt;=89)),"PRE HTA,RIESGO ALTO PREECLAMPSIA",IF(AND(OR(O67&gt;0,R67&gt;0),AND(CX67&gt;120,CX67&lt;=129)),"RANGO PREHIPERTENSIVO SEGUIMIENTO HTA",IF(AND(OR(O67&lt;&gt;"",R67&lt;&gt;""),CS67&lt;&gt;"",CY67&lt;&gt;"",CS67&lt;CY67),"VIGILAR CIFRAS PRESION ARTERIAL",IF(AND(OR(O67&lt;&gt;"",R67&lt;&gt;""),CS67&lt;&gt;"",CY67&lt;&gt;"",CS67=CY67),"APARENTEMENTE NORMAL",IF(AND(OR(O67&gt;0,R67&gt;0),CX67&gt;=80,CX67&lt;=120),"APARENTEMENTE NORMAL",IF(AND(OR(O67&gt;0,R67&gt;0),CY67&gt;=50,CY67&lt;=80),"APARENTEMENTE NORMAL","")))))))))))</f>
        <v/>
      </c>
      <c r="DA67" s="21">
        <v>120</v>
      </c>
      <c r="DB67" s="21">
        <v>80</v>
      </c>
      <c r="DC67" s="217" t="str">
        <f t="shared" ref="DC67:DC130" si="264">IF(AND(R67="",DA67="",DB67=""),"",IF(AND(R67&lt;&gt;"",DA67="",DB67=""),"REGISTRE DATO PRESIÓN ARTERIAL MENSUAL",IF(AND(OR(O67&gt;0,R67&gt;0),OR(DA67&gt;=140,DB67&gt;=90)),"ESTUDIO INMEDIATO HTA PARA DESCARTAR PREECLAMSIA",IF(AND(OR(O67&gt;0,R67&gt;0),AND(DA67&gt;=130,DA67&lt;=139)),"PRE HTA,RIESGO ALTO PREECLAMPSIA",IF(AND(OR(O67&gt;0,R67&gt;0),AND(DB67&gt;80,DB67&lt;=89)),"PRE HTA,RIESGO ALTO PREECLAMPSIA",IF(AND(OR(O67&gt;0,R67&gt;0),AND(DA67&gt;120,DA67&lt;=129)),"RANGO PREHIPERTENSIVO SEGUIMIENTO HTA",IF(AND(CN67&gt;34,CN67&lt;43,OR(O67&lt;&gt;"",R67&lt;&gt;""),CS67&lt;&gt;"",CY67&lt;&gt;"",DB67&lt;&gt;"",OR(CS67&lt;DB67,CS67&lt;CY67)),"VIGILAR CIFRAS PRESION ARTERIAL",IF(AND(CN67&gt;34,CN67&lt;43,OR(O67&lt;&gt;"",R67&lt;&gt;""),CR67="",CS67="",OR(CY67&lt;DB67,CX67&lt;DA67)),"VIGILAR CIFRAS PRESION ARTERIAL",IF(AND(CN67&gt;34,CN67&lt;43,OR(O67&lt;&gt;"",R67&lt;&gt;""),CS67&lt;&gt;"",CY67&lt;&gt;"",DB67&lt;&gt;"",OR(CS67=DB67,CS67=CY67)),"APARENTEMENTE NORMAL",IF(AND(OR(O67&gt;0,R67&gt;0),AND(DA67&gt;=80,DA67&lt;=120)),"APARENTEMENTE NORMAL",IF(AND(CN67&gt;34,CN67&lt;43,OR(O67&gt;0,R67&gt;0),AND(DB67&gt;=50,DB67&lt;=80)),"APARENTEMENTE NORMAL","")))))))))))</f>
        <v>APARENTEMENTE NORMAL</v>
      </c>
      <c r="DD67" s="22">
        <v>44909</v>
      </c>
      <c r="DE67" s="22">
        <v>44909</v>
      </c>
      <c r="DF67" s="22">
        <v>44957</v>
      </c>
      <c r="DG67" s="22">
        <v>44995</v>
      </c>
      <c r="DH67" s="22">
        <v>45029</v>
      </c>
      <c r="DI67" s="22">
        <v>45061</v>
      </c>
      <c r="DJ67" s="22">
        <v>45090</v>
      </c>
      <c r="DK67" s="22">
        <v>45113</v>
      </c>
      <c r="DL67" s="22"/>
      <c r="DM67" s="22"/>
      <c r="DN67" s="22"/>
      <c r="DO67" s="22"/>
      <c r="DP67" s="22"/>
      <c r="DQ67" s="22"/>
      <c r="DR67" s="28">
        <v>1</v>
      </c>
      <c r="DS67" s="22"/>
      <c r="DT67" s="22"/>
      <c r="DU67" s="216" t="str">
        <f t="shared" ref="DU67:DU71" ca="1" si="265">IF(AND(BT67="ERROR FUM O INGRESO",DS67&gt;0),"ERROR FUM O INGRESO",IF(AND(DS67="",R67="",O67=""),"",IF(OR(AND(DS67&lt;&gt;"",DS67&lt;RW67),AND(DS67&lt;&gt;"",AND(SUM((DS67-RW67)/7)&gt;0,SUM((DS67-RW67)/7)&lt;28))),"PLAN REALIZADO ANTES III TRIM", IF(AND(DS67="",OR(O67&gt;0,R67&gt;0),AND(BU67&gt;=28, BU67&lt;35,DV67="ACTIVA INGRESO A CPN")),"PLANEAR PLAN DE PARTO", IF(AND(DS67="",OR(O67&gt;0,R67&gt;0),BU67&gt;=35,DV67="ACTIVA INGRESO A CPN"),"CONCERTAR PLAN DE PARTO INMEDIATO", IF(AND(DS67="",OR(O67&gt;0,R67&gt;0),AND(BU67&gt;0, BU67&lt;28),OR(DV67="ACTIVA INGRESO A CPN", DV67=" ACTIVA SIN INGRESO CPN")),"EN ESPERA", IF(AND(DS67="",OR(O67&gt;0,R67&gt;0),AND(IP67&gt;0, IP67&lt;28)),"NO APLICA SALE PROGRAMA ANTES III TRIM", IF(AND(DS67="",OR(O67&gt;0,R67&gt;0),AND(IP67&gt;=28, IP67&lt;35)),"SALE PROGRAMA ANTES SEMANA 35", IF(AND(DS67="",OR(O67&gt;0,R67&gt;0),IP67&gt;35),"SALE SIN PLAN DE PARTO",IF(DS67&gt;0,SUM(DS67-BO67)/7,""))))))))))</f>
        <v>SALE SIN PLAN DE PARTO</v>
      </c>
      <c r="DV67" s="226" t="str">
        <f t="shared" si="197"/>
        <v>SALIO PROGRAMA</v>
      </c>
      <c r="DW67"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67" s="216" t="str">
        <f t="shared" ref="DX67:DX130" ca="1" si="266">IF(NI67="SD","",IF(AND(NI67&lt;=33,NI67&gt;=8),"MES DE CONTROL",IF(AND(NI67&gt;=1,NI67&lt;8),"SEMANA DE CONTROL",IF(NI67=0,"DIA DE CONTROL",IF(NI67&lt;0,"INASISTENTE",IF(NI67="Y","SEGUIMIENTO FUERA MUNICIPIO",IF(NI67="Z","BUSCAR PARA INGRESO A CPN",IF(NI67="W","DEFINIR FECHA CITA",IF(NI67="X","NO REALIZO CPN",IF(NI67="I","IVE",IF(NI67="S","DILIGENCIAR FECHA SALIDA PROGRAMA","REVISAR FORMULA")))))))))))</f>
        <v/>
      </c>
      <c r="DY67" s="212">
        <f>IF(R67="","",IF(R67&gt;0,MAX(Tabla1[[#This Row],[FECHA C2]:[FECHA C13]],Tabla1[[#This Row],[FECHA CONSULTA PRIMERA VEZ PROGRAMA CPN ]])))</f>
        <v>45113</v>
      </c>
      <c r="DZ67" s="216">
        <f t="shared" ref="DZ67:DZ130" si="267">IF(AND(DY67="",RW67="",R67=""),"",IF(AND(R67="",RW67&gt;0,DY67=""),"",IF(AND(R67&gt;0,DY67&lt;RW67),"REVISAR FUM O FECHA CPN",IF(AND(R67&gt;0,DY67&gt;0,RW67=""),"SD",IF(AND(R67&gt;0,DY67&gt;0,RW67&gt;0),INT(SUM(DY67-RW67)/7))))))</f>
        <v>39</v>
      </c>
      <c r="EA67" s="222">
        <f>IF(R67&gt;0,SUM(COUNTA(DF67:DQ67)+COUNTA(Tabla1[[#This Row],[FECHA CONSULTA PRIMERA VEZ PROGRAMA CPN ]])),"")</f>
        <v>7</v>
      </c>
      <c r="EB67" s="222" t="str">
        <f t="shared" ref="EB67:EB130" si="268">IF(AND(EA67&gt;=0,EA67&lt;4),"NO",IF(AND(EA67&gt;=4,EA67&lt;12),"SI",""))</f>
        <v>SI</v>
      </c>
      <c r="EC67" s="214">
        <f t="shared" ref="EC67:EC130" si="269">IF(BS67="","",IF(BS67&gt;0,INT(SUM(((40-BS67)/4)+2)),"X"))</f>
        <v>9</v>
      </c>
      <c r="ED67" s="227">
        <f t="shared" ref="ED67:ED130" si="270">IF(EC67="","",IF(EA67&gt;0,SUM(EA67/EC67),"X"))</f>
        <v>0.77777777777777779</v>
      </c>
      <c r="EE67" s="22">
        <v>44909</v>
      </c>
      <c r="EF67" s="22">
        <v>45283</v>
      </c>
      <c r="EG67" s="22">
        <v>44909</v>
      </c>
      <c r="EH67" s="22"/>
      <c r="EI67" s="22">
        <v>44909</v>
      </c>
      <c r="EJ67" s="22"/>
      <c r="EK67" s="22"/>
      <c r="EL67" s="21"/>
      <c r="EM67" s="21">
        <v>13</v>
      </c>
      <c r="EN67" s="22">
        <v>44911</v>
      </c>
      <c r="EO67" s="222">
        <f t="shared" ref="EO67:EO130" si="271">IF(AND(BT67="ERROR FUM O INGRESO",EN67&gt;0),"ERROR FUM O INGRESO",IF(AND(EN67="",R67="",O67=""),"",IF(OR(AND(EN67&lt;&gt;"",EN67&lt;RW67),AND(EN67&lt;&gt;"",SUM((EN67-RW67)/7)&gt;40)),"CORREGIR FECHA RESULTADO",IF(AND(EN67="",OR(O67&gt;0,R67&gt;0)),"TOMAR EXAMEN",IF(EN67&gt;0,SUM(EN67-RW67)/7,"")))))</f>
        <v>10.571428571428571</v>
      </c>
      <c r="EP67" s="214" t="str">
        <f t="shared" ref="EP67:EP130" si="272">IF(AND(OR(O67&gt;0,R67&gt;0),EM67=""),"",IF(AND(OR(O67&gt;0,R67&gt;0),EM67&gt;0,EM67&lt;11),"MANEJO MD POR ANEMIA FERROPENICA",IF(AND(OR(O67&gt;0,R67&gt;0),EM67&lt;=14),"NORMAL- SUMINISTRAR SULFATO FERROSO",IF(AND(OR(O67&gt;0,R67&gt;0),EM67&lt;20),"NO DAR SULFATO FERROSO",""))))</f>
        <v>NORMAL- SUMINISTRAR SULFATO FERROSO</v>
      </c>
      <c r="EQ67" s="216" t="str">
        <f t="shared" ref="EQ67:EQ130" si="273">IF(AND(EO67="",BT67=""),"",IF(AND(EO67&lt;&gt;"",BT67="SIN DATO"),"SIN DATO",IF(AND(EO67="",BT67&lt;&gt;""),"",IF(AND(EO67&lt;0,BT67&gt;0),"ERROR FUM O INGRESO",IF(EO67&lt;=13,"I TRIM",IF(EO67&lt;28,"II TRIM",IF(AND(EO67&gt;27,EO67&lt;45),"III TRIM","POR DEFINIR")))))))</f>
        <v>I TRIM</v>
      </c>
      <c r="ER67" s="24"/>
      <c r="ES67" s="22"/>
      <c r="ET67" s="29" t="str">
        <f t="shared" ref="ET67:ET71" ca="1" si="274">IF(AND(BT67="ERROR FUM O INGRESO",ES67&gt;0),"ERROR FUM O INGRESO",IF(AND(ES67="",R67="",O67=""),"",IF(OR(AND(ES67&lt;&gt;"",ES67&lt;RW67),AND(ES67&lt;&gt;"",SUM((ES67-RW67)/7)&gt;40)),"CORREGIR FECHA RESULTADO",IF(AND(BU67&gt;1,BU67&lt;23,ER67="",ES67=""),"EN ESPERA PARA TOMA EXAMEN",IF(AND(BU67&gt;22,BU67&lt;26,ER67="",ES67=""),"PROGRAMAR TOMA HEMOGLOBINA A SEM 28",IF(AND(BU67&gt;25,BU67&lt;28,ER67="",ES67=""),"TOMA HEMOGLOBINA A SEM 28 EN 1 SEMANA",IF(AND(BU67&gt;27,BU67&lt;31,ES67="",OR(O67&gt;0,R67&gt;0)),"EN SEMANA 28 TOMA INMEDIATA DE EXAMEN",IF(AND(IP67&gt;0,IP67&lt;28,ES67="",OR(O67&gt;0,R67&gt;0)),"NO APLICA-SALE ANTES SEM 28",IF(AND(IP67&gt;28,IP67&lt;43,ES67="",OR(O67&gt;0,R67&gt;0)),"SALE SIN TAMIZAJE HEMOGLOBINA SEM 28",IF(AND(BS67&gt;0,ES67="",OR(O67&gt;0,R67&gt;0)),"TOMA DE HEMOGLOBINA TARDÍA",IF(ES67&gt;0,SUM(ES67-RW67)/7,"")))))))))))</f>
        <v>SALE SIN TAMIZAJE HEMOGLOBINA SEM 28</v>
      </c>
      <c r="EU67" s="25" t="str">
        <f t="shared" ref="EU67:EU130" si="275">IF(AND(OR(O67&gt;0,R67&gt;0),ER67=""),"",IF(AND(OR(O67&gt;0,R67&gt;0),ER67&gt;0,ER67&lt;10.5),"MANEJO MD POR ANEMIA FERROPENICA",IF(AND(OR(O67&gt;0,R67&gt;0),ER67&lt;14),"NORMAL- SUMINISTRAR SULFATO FERROSO",IF(AND(OR(O67&gt;0,R67&gt;0),ER67&lt;20),"NO DAR SULFATO FERROSO",""))))</f>
        <v/>
      </c>
      <c r="EV67" s="24" t="s">
        <v>866</v>
      </c>
      <c r="EW67" s="24">
        <v>44911</v>
      </c>
      <c r="EX67" s="22"/>
      <c r="EY67" s="29">
        <f t="shared" si="248"/>
        <v>10.571428571428571</v>
      </c>
      <c r="EZ67" s="25" t="str">
        <f t="shared" ca="1" si="249"/>
        <v/>
      </c>
      <c r="FA67" s="21">
        <v>60</v>
      </c>
      <c r="FB67" s="22">
        <v>44911</v>
      </c>
      <c r="FC67" s="29">
        <f t="shared" ref="FC67:FC130" si="276">IF(AND(BT67="ERROR FUM O INGRESO",FB67&gt;0),"ERROR FUM O INGRESO",IF(AND(FB67="",R67="",O67=""),"",IF(OR(AND(FB67&lt;&gt;"",FB67&lt;RW67),AND(FB67&lt;&gt;"",SUM((FB67-RW67)/7)&gt;40)),"CORREGIR FECHA RESULTADO",IF(AND(FB67="",BS67&gt;=24,OR(O67&gt;0,R67&gt;0)),"PIERDE TOMA TAMIZAJE- INGRESO TARDIO",IF(AND(FB67="",OR(O67&gt;0,R67&gt;0)),"TOMAR EXAMEN",IF(SUM((FB67-RW67)/7)&gt;=24,"NO APLICA &gt; 23 SEM -TOMAR PTOG",IF(AND(SUM((FB67-RW67)/7)&lt;24,FA67&gt;126),"DIABETES PREGESTACIONAL- REMITIR",IF(FB67&gt;0,SUM(FB67-RW67)/7,""))))))))</f>
        <v>10.571428571428571</v>
      </c>
      <c r="FD67" s="29">
        <v>62</v>
      </c>
      <c r="FE67" s="29">
        <v>170</v>
      </c>
      <c r="FF67" s="29">
        <v>133</v>
      </c>
      <c r="FG67" s="21" t="str">
        <f t="shared" ref="FG67:FG130" ca="1" si="277">IF(AND(OR(FD67&gt;0,FE67&gt;0,FF67&gt;0),FI67&gt;0,FI67&lt;24,AND(FD67&gt;1,FD67&lt;92),AND(FE67&gt;1,FE67&lt;180),AND(FF67&gt;1,FF67&lt;153)),"NORMAL, NO DESCARTA DIABETES POR REALIZARLO ANTES DE  SEMANA 24, ",IF(AND(OR(FD67&gt;0,FE67&gt;0,FF67&gt;0),FI67&gt;0,FI67&lt;24,OR(FD67&gt;=92,FE67&gt;=180,FF67&gt;=153)),"DIABETES, REMITIR",IF(AND(BU67="",FH67="",FD67="",FE67="",FF67=""),"",IF(AND(BU67&gt;=19,BU67&lt;24,FH67="",FD67="",FE67="",FF67=""),"PROGRAMAR TOMA PTOG SIGUIENTE CONTROL",IF(AND(BU67&gt;=24,FH67="",FD67="",FE67="",FF67=""),"TOMAR PTOG",IF(OR(FD67&gt;=92,FE67&gt;=180,FF67&gt;=153),"DIABETES, REMITIR",IF(AND(AND(FD67&gt;1,FD67&lt;92),AND(FE67&gt;1,FE67&lt;180),AND(FF67&gt;1,FF67&lt;153)),"NORMAL",IF(AND(FD67&gt;0,OR(FE67=0,FF67=0)),"NO COMPLETA EXAMEN",""))))))))</f>
        <v>NORMAL</v>
      </c>
      <c r="FH67" s="31">
        <v>45114</v>
      </c>
      <c r="FI67" s="29">
        <f t="shared" ref="FI67:FI130" si="278">IF(AND(BT67="ERROR FUM O INGRESO",FH67&gt;0),"ERROR FUM O INGRESO",IF(AND(FH67="",R67="",O67=""),"",IF(OR(AND(FH67&lt;&gt;"",FH67&lt;RW67),AND(FH67&lt;&gt;"",SUM((FH67-RW67)/7)&gt;40)),"CORREGIR FECHA RESULTADO",IF(AND(FH67="",OR(O67&gt;0,R67&gt;0)),"TOMAR EXAMEN",IF(FH67&gt;0,SUM(FH67-RW67)/7,"")))))</f>
        <v>39.571428571428569</v>
      </c>
      <c r="FJ67" s="22" t="s">
        <v>867</v>
      </c>
      <c r="FK67" s="22">
        <v>44911</v>
      </c>
      <c r="FL67" s="29">
        <f t="shared" ref="FL67:FL130" ca="1" si="279">IF(AND(BT67="ERROR FUM O INGRESO",FK67&gt;0),"ERROR FUM O INGRESO",IF(AND(FK67="",R67="",O67=""),"",IF(OR(AND(FK67&lt;&gt;"",FK67&lt;RW67),AND(FK67&lt;&gt;"",AND(SUM((FK67-RW67)/7)&gt;=13,SUM((FK67-RW67)/7)&lt;27))),"REGISTRAR EN II TRIMESTRE",IF(OR(AND(FK67&lt;&gt;"",FK67&lt;RW67),AND(FK67&lt;&gt;"",AND(SUM((FK67-RW67)/7)&gt;=27,SUM((FK67-RW67)/7)&lt;44))),"REGISTRAR EN III TRIMESTRE",IF(AND(FK67="",OR(O67&gt;0,R67&gt;0),AND(BU67&gt;1,BU67&lt;10)),"EN RANGO PARA TOMAR EXAMEN",IF(AND(FK67="",OR(O67&gt;0,R67&gt;0),AND(BU67&gt;=10,BU67&lt;13)),"TOMA INMEDIATA DE TAMIZAJE",IF(AND(FK67="",BS67&lt;13,OR(O67&gt;0,R67&gt;0)),"PIERDE TOMA DE TAMIZAJE",IF(AND(FK67="",OR(O67&gt;0,R67&gt;0),AND(BS67&gt;=13,BS67&lt;43)),"NO APLICA-INGRESO TARDIO",IF(FK67&gt;0,SUM(FK67-RW67)/7,"")))))))))</f>
        <v>10.571428571428571</v>
      </c>
      <c r="FM67" s="22"/>
      <c r="FN67" s="290"/>
      <c r="FO67" s="29"/>
      <c r="FP67" s="22" t="s">
        <v>867</v>
      </c>
      <c r="FQ67" s="32">
        <v>45093</v>
      </c>
      <c r="FR67" s="29" t="e">
        <f>IF(AND(BT67="ERROR FUM O INGRESO",#REF!&gt;0),"ERROR FUM O INGRESO",IF(AND(#REF!="",R67="",O67=""),"",IF(AND(#REF!&lt;&gt;"",#REF!&lt;RW67), "INCOHERENCIA FUM Y FECHA TAMIZAJE",IF(AND(#REF!="",DV67="ACTIVA INGRESO A CPN",AND(BU67&gt;0,BU67&lt;27)),"EN ESPERA-ESTÁ I TRIM O II TRIM", IF(AND(#REF!="",AND(BS67&gt;0, BS67&lt;27),OR(O67&gt;0,R67&gt;0),AND(IP67&gt;0,IP67&lt;27)),"NO APLICA-SALIO DEL PROGRAMA I O II TRIM",IF(AND(#REF!&lt;&gt;"",AND(SUM((#REF!-RW67)/7)&gt;0,SUM((#REF!-RW67)/7)&lt;13)),"REGISTAR EN I TRIMESTRE",IF(AND(#REF!&lt;&gt;"",AND(SUM((#REF!-RW67)/7)&gt;=13,SUM((#REF!-RW67)/7)&lt;27)),"REGISTRAR EN II TRIMESTRE",IF(AND(#REF!="",OR(O67&gt;0,R67&gt;0),AND(BU67&gt;=28,BU67&lt;35),DV67="ACTIVA INGRESO A CPN"),"EN RANGO PARA TOMAR EXAMEN",IF(AND(#REF!="",OR(O67&gt;0,R67&gt;0),BU67&gt;=35, DV67="ACTIVA INGRESO A CPN"),"TOMA INMEDIATA DE TAMIZAJE",IF(AND(#REF!="",DV67= "SALE SIN INGRESO CPN"),"NO APLICA-SIN CPN",IF(AND(#REF!="",AND(IP67&gt;26,IP67&lt;43)),"PIERDE TOMA DE TAMIZAJE",IF(#REF!&gt;0,SUM(#REF!-RW67)/7,""))))))))))))</f>
        <v>#REF!</v>
      </c>
      <c r="FS67" s="22" t="s">
        <v>867</v>
      </c>
      <c r="FT67" s="32">
        <v>44911</v>
      </c>
      <c r="FU67" s="29" t="str">
        <f>IF(AND(FJ67="",FM67="",FP67="",FS67=""),"",IF(OR(OR(Tabla1[[#This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67" s="28"/>
      <c r="FW67" s="22"/>
      <c r="FX67" s="29" t="str">
        <f t="shared" ref="FX67:FX130" si="280">IF(AND(BT67="ERROR FUM O INGRESO",FW67&gt;0),"ERROR FUM O INGRESO",IF(AND(FW67="",R67="",O67=""),"",IF(OR(AND(FW67&lt;&gt;"",FW67&lt;RW67),AND(FW67&lt;&gt;"",SUM((FW67-RW67)/7)&gt;40)),"CORREGIR FECHA RESULTADO",IF(AND(FW67="",OR(O67&gt;0,R67&gt;0)),"TOMAR EXAMEN",IF(FW67&gt;0,SUM(FW67-RW67)/7,"")))))</f>
        <v>TOMAR EXAMEN</v>
      </c>
      <c r="FY67" s="22">
        <v>44911</v>
      </c>
      <c r="FZ67" s="22">
        <v>44911</v>
      </c>
      <c r="GA67" s="29">
        <f t="shared" ca="1" si="250"/>
        <v>10.571428571428571</v>
      </c>
      <c r="GB67" s="22" t="s">
        <v>868</v>
      </c>
      <c r="GC67" s="22">
        <v>44996</v>
      </c>
      <c r="GD67" s="29">
        <f t="shared" ref="GD67:GD71" ca="1" si="281">IF(AND(BT67="ERROR FUM O INGRESO",GC67&gt;0),"ERROR FUM O INGRESO",IF(AND(GC67="",R67="",O67=""),"",IF(AND(GC67&lt;&gt;"",GC67&lt;RW67), "INCOHERENCIA FUM Y FECHA TAMIZAJE",IF(AND(GC67="",DV67="ACTIVA INGRESO A CPN",AND(BU67&gt;0,BU67&lt;13)),"EN ESPERA-ESTÁ I TRIM", IF(AND(GC67="",AND(BS67&gt;0, BS67&lt;12),OR(O67&gt;0,R67&gt;0),AND(IP67&gt;0,IP67&lt;13)),"NO APLICA-SALIO DEL PROGRAMA I TRIM",IF(AND(GC67&lt;&gt;"",AND(SUM((GC67-RW67)/7)&gt;0,SUM((GC67-RW67)/7)&lt;13)),"REGISTRAR EN I TRIMESTRE",IF(AND(GC67&lt;&gt;"",AND(SUM((GC67-RW67)/7)&gt;=27,SUM((GC67-RW67)/7)&lt;44)),"REGISTRAR EN III TRIMESTRE",IF(AND(GC67="",OR(O67&gt;0,R67&gt;0),AND(BU67&gt;=12,BU67&lt;25),DV67="ACTIVA INGRESO A CPN"),"EN RANGO PARA TOMAR EXAMEN",IF(AND(GC67="",OR(O67&gt;0,R67&gt;0),AND(BU67&gt;=25,BU67&lt;27),DV67="ACTIVA INGRESO A CPN"),"TOMA INMEDIATA DE TAMIZAJE",IF(AND(GC67="",OR(O67&gt;0,R67&gt;0),AND(BS67&gt;=27,BS67&lt;43)),"NO APLICA-INGRESO TARDIO",IF(AND(GC67="",BS67&lt;27),"PIERDE TOMA DE TAMIZAJE",IF(GC67&gt;0,SUM(GC67-RW67)/7,""))))))))))))</f>
        <v>22.714285714285715</v>
      </c>
      <c r="GE67" s="22" t="s">
        <v>868</v>
      </c>
      <c r="GF67" s="22">
        <v>45092</v>
      </c>
      <c r="GG67" s="29">
        <f t="shared" ref="GG67:GG71" ca="1" si="282">IF(AND(BT67="ERROR FUM O INGRESO",GF67&gt;0),"ERROR FUM O INGRESO",IF(AND(GF67="",R67="",O67=""),"",IF(AND(GF67&lt;&gt;"",GF67&lt;RW67), "INCOHERENCIA FUM Y FECHA TAMIZAJE",IF(AND(GF67="",DV67="ACTIVA INGRESO A CPN",AND(BU67&gt;0,BU67&lt;27)),"EN ESPERA-ESTÁ I TRIM O II TRIM", IF(AND(GF67="",AND(BS67&gt;0, BS67&lt;28),OR(O67&gt;0,R67&gt;0),AND(IP67&gt;0,IP67&lt;28)),"NO APLICA-SALIO DEL PROGRAMA I O II TRIM",IF(AND(GF67&lt;&gt;"",AND(SUM((GF67-RW67)/7)&gt;0,SUM((GF67-RW67)/7)&lt;13)),"REGISTAR EN I TRIMESTRE",IF(AND(GF67&lt;&gt;"",AND(SUM((GF67-RW67)/7)&gt;=13,SUM((GF67-RW67)/7)&lt;27)),"REGISTRAR EN II TRIMESTRE",IF(AND(GF67="",OR(O67&gt;0,R67&gt;0),AND(BU67&gt;=28,BU67&lt;35),DV67="ACTIVA INGRESO A CPN"),"EN RANGO PARA TOMAR EXAMEN",IF(AND(GF67="",OR(O67&gt;0,R67&gt;0),BU67&gt;=35, DV67="ACTIVA INGRESO A CPN"),"TOMA INMEDIATA DE TAMIZAJE",IF(AND(GF67="",DV67= "SALE SIN INGRESO CPN"),"NO APLICA-SIN CPN",IF(AND(GF67="",BS67&lt;44),"PIERDE TOMA DE TAMIZAJE",IF(GF67&gt;0,SUM(GF67-RW67)/7,""))))))))))))</f>
        <v>36.428571428571431</v>
      </c>
      <c r="GH67" s="22"/>
      <c r="GI67" s="29"/>
      <c r="GJ67" s="22"/>
      <c r="GK67" s="22"/>
      <c r="GL67" s="22"/>
      <c r="GM67" s="22"/>
      <c r="GN67" s="28" t="s">
        <v>869</v>
      </c>
      <c r="GO67" s="22">
        <v>44911</v>
      </c>
      <c r="GP67" s="29">
        <f t="shared" ref="GP67:GP130" si="283">IF(AND(BT67="ERROR FUM O INGRESO",GO67&gt;0),"ERROR FUM O INGRESO",IF(AND(GO67="",R67="",O67=""),"",IF(OR(AND(GO67&lt;&gt;"",GO67&lt;RW67),AND(GO67&lt;&gt;"",SUM((GO67-RW67)/7)&gt;40)),"CORREGIR FECHA RESULTADO",IF(AND(GO67="",OR(O67&gt;0,R67&gt;0)),"TOMAR EXAMEN",IF(GO67&gt;0,SUM(GO67-RW67)/7,"")))))</f>
        <v>10.571428571428571</v>
      </c>
      <c r="GQ67" s="28" t="s">
        <v>869</v>
      </c>
      <c r="GR67" s="28" t="s">
        <v>869</v>
      </c>
      <c r="GS67" s="22" t="str">
        <f t="shared" ref="GS67:GS98" si="284">IF(GQ67="NEGATIVO","CONTROL Igm",IF(AND(GQ67="POSITIVO",GR67="NEGATIVO"),"SE EXCLUYE INFECCION",IF(AND(GQ67="POSITIVO",GR67="POSITIVO"),"TOXOPLASMOSIS, REMITIR PARA MANEJO","")))</f>
        <v>CONTROL Igm</v>
      </c>
      <c r="GT67" s="22">
        <v>44911</v>
      </c>
      <c r="GU67" s="29">
        <f t="shared" ref="GU67:GU130" si="285">IF(AND(BT67="ERROR FUM O INGRESO",GT67&gt;0),"ERROR FUM O INGRESO",IF(AND(GT67="",R67="",O67=""),"",IF(OR(AND(GT67&lt;&gt;"",GT67&lt;BO67),AND(GT67&lt;&gt;"",SUM((GT67-BO67)/7)&gt;40)),"CORREGIR FECHA RESULTADO",IF(AND(GT67="",OR(O67&gt;0,R67&gt;0)),"TOMAR EXAMEN",IF(GT67&gt;0,SUM(GT67-BO67)/7,"")))))</f>
        <v>10.571428571428571</v>
      </c>
      <c r="GV67" s="21" t="str">
        <f t="shared" ref="GV67:GV130" si="286">IF(AND(GU67="",BT67=""),"",IF(AND(GU67&lt;&gt;"",BT67="SIN DATO"),"SIN DATO",IF(AND(GU67="",BT67&lt;&gt;""),"",IF(AND(GU67&lt;0,BT67&gt;0),"ERROR FUM O INGRESO",IF(GU67&lt;=13,"I TRIM",IF(GU67&lt;28,"II TRIM",IF(AND(GU67&gt;27,GU67&lt;45),"III TRIM","POR DEFINIR")))))))</f>
        <v>I TRIM</v>
      </c>
      <c r="GW67" s="28" t="s">
        <v>869</v>
      </c>
      <c r="GX67" s="30"/>
      <c r="GY67" s="21"/>
      <c r="GZ67" s="21"/>
      <c r="HA67" s="21"/>
      <c r="HB67" s="21"/>
      <c r="HC67" s="21"/>
      <c r="HD67" s="21"/>
      <c r="HE67" s="21"/>
      <c r="HF67" s="22"/>
      <c r="HG67" s="22" t="str">
        <f>IF(OR(O67&gt;0,R67&gt;0),CONCATENATE(IF(Tabla1[[#This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67" s="22" t="e">
        <f t="shared" ref="HH67:HH130" si="287">IF(OR(O67&gt;0,R67&gt;0),CONCATENATE(IF(AZ67="SI","ANTECEDENTE EMBARAZO MOLAR",""),"*",CONCATENATE(IF(BA67="SI","ANTECEDENTE MUERTE NEONATAL",""),"*",CONCATENATE(IF(AND(BQ67&gt;0,BQ67&lt;13),"PERIODO INTERGENESICO CORTO",""),"*",CONCATENATE(IF(AND(BS67&gt;13,BS67&lt;42),"INGRESO TARDIO A CPN",""),"*",CONCATENATE(IF(CO67="BAJO PESO","BAJO PESO",""),"*",CONCATENATE(IF(CO67="SOBREPESO","SOBREPESO",""),"*",CONCATENATE(IF(CO67="OBESIDAD","OBESIDAD",""),"*",CONCATENATE(IF(GN67="POSITIVO","SEGUIMIENTO INFECCIÓN HEP B",""),"*",CONCATENATE(IF(GS67="TOXOPLASMOSIS, REMITIR PARA MANEJO","INFECCIÓN TOXOPLASMOSIS",""),"*",CONCATENATE(IF(GS67="CONTROL Igm","PREVENCIÓN CONTAGIO TOXOPLASMOSIS",""),"*",CONCATENATE(IF(OR(HF67="COVID19 PRIMER TRIMESTRE",HF67="COVID19 SEGUNDO TRIMESTRE",HF67="COVID19 TERCER TRIMESTRE",HF67="COVID19 PUERPERIO"),"INFECCIÓN SARS-CoV2 CONFIRMADA",""),"*",CONCATENATE(IF(GY67="Esquema vigente – Alterado","DESCARTAR CANCER DE UTERO",""),"*",)))))))))))),"")</f>
        <v>#REF!</v>
      </c>
      <c r="HI67" s="22" t="e">
        <f t="shared" ref="HI67:HI130" ca="1" si="288">IF(AND(O67="",R67=""),"",IF(AND(OR(O67&lt;&gt;"",R67&lt;&gt;""),OR(HK67="RIESGO ALTO DE COMPLICACIONES HIPERTENSIVAS VER MANEJO GUIA SUMINISTRO ASA Y CALCIO",HK67="RIESGO MODERADO (2 O MAS CRITERIOS) VER MANEJO GUIA SUMINISTRO ASA Y CALCIO")),"ALTO RIESGO",IF(AND(HH67="************",OR(O67&lt;&gt;"",R67&lt;&gt;""),AND(ND67&gt;=0,ND67&lt;3)),"BAJO RIESGO",IF(AND(OR(O67&lt;&gt;"",R67&lt;&gt;""),OR(HF67="COVID19 PRIMER TRIMESTRE",HF67="COVID19 SEGUNDO TRIMESTRE",HF67="COVID19 TERCER TRIMESTRE",HF67="COVID19 PUERPERIO")),"ALTO RIESGO",IF(AND(HH67&lt;&gt;"",OR(O67&lt;&gt;"",R67&lt;&gt;""),AND(ND67&gt;=0,ND67&lt;3)),"CON RIESGO",IF(AND(OR(O67&lt;&gt;"",R67&lt;&gt;""),ND67&gt;2),"ALTO RIESGO",""))))))</f>
        <v>#REF!</v>
      </c>
      <c r="HJ67" s="21" t="str">
        <f t="shared" ref="HJ67:HJ130" ca="1" si="289">IF(OR(O67&gt;0,R67&gt;0),CONCATENATE(IF(AK67="CON RIESGO","RIESGO PSICOSOCIAL",""),"*",CONCATENATE(IF(AL67="SI","ANTECEDENTE PREECLAMPSIA",""),"*",CONCATENATE(IF(AM67="SI","ANTECEDENTE HEMORRAGIA POSTPARTO O RETENCIÓN DE PLACENTA",""),"*",CONCATENATE(IF(AN67="SI","ANTECEDENTE RN BAJO PESO",""),"*",CONCATENATE(IF(AQ67="SI","ANTECEDENTE TRABAJO DE PARTO PROLONGADO",""),"*",CONCATENATE(IF(AV67="SI","INFERTILIDAD",""),"*",CONCATENATE(IF(BD67="SI","ENFERMERDAD AUTOINMUNE",""),"*",CONCATENATE(IF(BE67="SI","DIABETES PREGESTACIONAL",""),"*",CONCATENATE(IF(BF67="SI","ENFERMEDAD CARDIACA",""),"*",CONCATENATE(IF(BG67="SI","HTA CRÓNICA",""),"*",CONCATENATE(IF(BH67="SI","ENFERMEDAD RENAL CRÓNICA",""),"*",CONCATENATE(IF(BK67="SI","ANOMALIA CONGÉNITA",""),"*",CONCATENATE(IF(OR(BL67="SI",BM67="SI"),"HEMORRAGIA DURANTE LA GESTACIÓN",""),"*",CONCATENATE(IF(CB67="SI","RCIU",""),"*",CONCATENATE(IF(CC67="SI","EMBARAZO GEMELAR",""),"*",CONCATENATE(IF(NA67=3,"PRESENTACIÓN FETAL PODALICA O TRANSVERSA",""),"*",CONCATENATE(IF(CE67="SI","POLIHIDRAMNIOS",""),"*",CONCATENATE(IF(FG67="DIABETES, REMITIR","DIABETES GESTACIONAL",""),"*",CONCATENATE(IF(FU67&lt;&gt;"","SEGUIMIENTO PARA SIFILIS GESTACIONAL",""),"*",CONCATENATE(IF(MZ67=3,"SEGUIMIENTO PARA VIH",""),"*",CONCATENATE(IF(MX67=1,"SEGUIMIENTO PARA ANEMIA",""),"*",CONCATENATE(IF(MU67=2,"MULTIPARIDAD",""),"*",CONCATENATE(IF(MU67=1,"MULTIPARIDAD",""),"*",CONCATENATE(IF(MT67=1,"ANTECEDENTE MUERTE PERINATAL",""),"*",CONCATENATE(IF(OR(MR67=2,MR67=1),"RIESGO POR EDAD",""),"*",CONCATENATE(IF(OR(MV67=1,MV67=2),"CESAREAS PREVIAS",""),"*",CONCATENATE(IF(MW67=1,"ANTECEDENTE ECTOPICO O CX UTERINA",""),"*",CONCATENATE(IF(MY67=1,"EMBARAZO PROLONGADO",""),"*",CONCATENATE(IF(NB67=2,"SEGUIMIENTO PARA CHAGAS",""),"*",CONCATENATE(IF(NC67=3,"SEGUIMIENTO PARA MALARIA",""),"*",CONCATENATE(IF(OR(HF67="COVID19 PRIMER TRIMESTRE",HF67="COVID19 SEGUNDO TRIMESTRE",HF67="COVID19 TERCER TRIMESTRE",HF67="COVID19 PUERPERIO"),"SEGUIMIENTO PARA COVID19",""),"*",CONCATENATE(IF(EZ67="COOMBS C/MES Y RESUMAN SEM 28","RIESGO DE ISOINMUNIZACIÓN RH",""),"*",CONCATENATE(IF(EZ67="TOMAR COOMBS CUANTITATIVO Y REMISIÓN","ISOINMUNIZACIÓN RH",""),"*",CONCATENATE(IF(BC67="SI, CONTROLADA","EPILEPSIA CONTROLADA",""),"*",CONCATENATE(IF(BC67="SI, SIN MANEJO","EPILEPSIA SIN MANEJO",""),"*",CONCATENATE(IF(BC67="SI, NO CONTROLADA","EPILEPSIA NO CONTROLADA",""),"*",CONCATENATE(IF(AP67="SI","AMENAZA PARTO PRETERMINO",""),"*",CONCATENATE(IF(AO67="SI","ANTECEDENTE MACROSOMICO",""),"*",CONCATENATE(IF(AD67="Consumo ActualI","USO SUSTANCIAS PSICOACTIVAS",""),"*"))))))))))))))))))))))))))))))))))))))),"")</f>
        <v>************************RIESGO POR EDAD***************</v>
      </c>
      <c r="HK67" s="21" t="str">
        <f t="shared" ref="HK67:HK130" si="290">IF(AND(O67="",R67=""),"",IF(AND(OR(O67&gt;0,R67&gt;0),OR(AL67="SI",BG67="SI",BD67="SI",BE67="SI",BH67="SI")),"RIESGO ALTO DE COMPLICACIONES HIPERTENSIVAS VER MANEJO GUIA SUMINISTRO ASA Y CALCIO",IF(AND(OR(O67&gt;0,R67&gt;0),NE67&gt;1),"RIESGO MODERADO (2 O MAS CRITERIOS) VER MANEJO GUIA SUMINISTRO ASA Y CALCIO","SIN ANTECEDENTES DE RIESGO")))</f>
        <v>SIN ANTECEDENTES DE RIESGO</v>
      </c>
      <c r="HL67" s="24" t="str">
        <f t="shared" ref="HL67:HL130" si="291">DC67</f>
        <v>APARENTEMENTE NORMAL</v>
      </c>
      <c r="HM67" s="21" t="str">
        <f t="shared" ref="HM67:HM130" ca="1" si="292">IF(NI67="SD","",IF(AND(NI67&lt;=33,NI67&gt;=8),"MES DE CONTROL",IF(AND(NI67&gt;=1,NI67&lt;8),"SEMANA DE CONTROL",IF(NI67=0,"DIA DE CONTROL",IF(NI67&lt;0,"INASISTENTE",IF(NI67="Y","SEGUIMIENTO FUERA MUNICIPIO",IF(NI67="Z","BUSCAR PARA INGRESO A CPN",IF(NI67="W","DEFINIR FECHA CITA",IF(NI67="X","NO REALIZO CPN",IF(NI67="S","DILIGENCIAR FECHA SALIDA PROGRAMA","REVISAR FORMULA"))))))))))</f>
        <v/>
      </c>
      <c r="HN67" s="30" t="str">
        <f t="shared" si="207"/>
        <v>SALIO PROGRAMA</v>
      </c>
      <c r="HO67" s="21"/>
      <c r="HP67" s="21"/>
      <c r="HQ67" s="21">
        <v>44909</v>
      </c>
      <c r="HR67" s="21" t="str">
        <f>IF(R67="","",IF(Tabla1[[#This Row],[ALARMA FACTORES DE RIESGO COMPLICACIONES HIPERTENSIVAS3]]="SIN ANTECEDENTES DE RIESGO","No Aplica para suministro de ASA",IF(AND(Tabla1[[#This Row],[FECHA INICIO DE SUMINISTRO DE ASA]]&gt;0,RV67&lt;12),"Inicia ASA ANTES de Sem 12",IF(AND(RV67&gt;11,RV67&lt;17,OR(HK67="RIESGO ALTO DE COMPLICACIONES HIPERTENSIVAS VER MANEJO GUIA SUMINISTRO ASA Y CALCIO",HK67="RIESGO MODERADO (2 O MAS CRITERIOS) VER MANEJO GUIA SUMINISTRO ASA Y CALCIO")),"Inicio oportuno de ASA",IF(AND(RV67&gt;12,OR(HK67="RIESGO ALTO DE COMPLICACIONES HIPERTENSIVAS VER MANEJO GUIA SUMINISTRO ASA Y CALCIO",HK67="RIESGO MODERADO (2 O MAS CRITERIOS) VER MANEJO GUIA SUMINISTRO ASA Y CALCIO")),"Inicio no oportuno mayor a 16 semanas",IF(AND(BU67&lt;12,OR(HK67="RIESGO ALTO DE COMPLICACIONES HIPERTENSIVAS VER MANEJO GUIA SUMINISTRO ASA Y CALCIO",HK67="RIESGO MODERADO (2 O MAS CRITERIOS) VER MANEJO GUIA SUMINISTRO ASA Y CALCIO")),"Pendiente Inicio de ASA a la semana 12",IF(AND(BU67&gt;11,BU67&lt;17,OR(HK67="RIESGO ALTO DE COMPLICACIONES HIPERTENSIVAS VER MANEJO GUIA SUMINISTRO ASA Y CALCIO",HK67="RIESGO MODERADO (2 O MAS CRITERIOS) VER MANEJO GUIA SUMINISTRO ASA Y CALCIO")),"Iniciar de inmediato ASA",IF(AND(BU67&gt;16,OR(HK67="RIESGO ALTO DE COMPLICACIONES HIPERTENSIVAS VER MANEJO GUIA SUMINISTRO ASA Y CALCIO",HK67="RIESGO MODERADO (2 O MAS CRITERIOS) VER MANEJO GUIA SUMINISTRO ASA Y CALCIO")),"Pierde Oportunidad, Inicio tardío de ASA","XXXXX"))))))))</f>
        <v>No Aplica para suministro de ASA</v>
      </c>
      <c r="HS67" s="22">
        <v>44909</v>
      </c>
      <c r="HT67" s="22" t="s">
        <v>870</v>
      </c>
      <c r="HU67" s="22">
        <v>44909</v>
      </c>
      <c r="HV67" s="22" t="s">
        <v>870</v>
      </c>
      <c r="HW67" s="22">
        <v>44909</v>
      </c>
      <c r="HX67" s="22" t="s">
        <v>870</v>
      </c>
      <c r="HY67" s="22">
        <v>44909</v>
      </c>
      <c r="HZ67" s="28">
        <f t="shared" ref="HZ67:HZ130" si="293">IF(AND(BT67="ERROR FUM O INGRESO",HY67&gt;0),"ERROR FUM O INGRESO",IF(AND(HY67="",R67=""),"",IF(OR(AND(HY67&lt;&gt;"",HY67&lt;RW67),AND(HY67&lt;&gt;"",SUM((HY67-RW67)/7)&gt;40)),"CORREGIR FECHA CONSULTA",IF(AND(HY67="",R67&gt;0),"PENDIENTE CONSULTA",IF(HY67&gt;0,SUM(HY67-RW67)/7,"")))))</f>
        <v>10.285714285714286</v>
      </c>
      <c r="IA67" s="26" t="s">
        <v>864</v>
      </c>
      <c r="IB67" s="26"/>
      <c r="IC67" s="111"/>
      <c r="ID67" s="22">
        <v>44995</v>
      </c>
      <c r="IE67" s="22" t="str">
        <f t="shared" ref="IE67:IE130" ca="1" si="294">IF(AND(RW67="",NF67="SD"),"SIN DATO EDAD GESTACIONAL",IF(AND(RW67="",ID67=""),"",IF(AND(AND(BU67&gt;0,BU67&lt;20),ID67=""),"EN ESPERA PARA VACUNAR",IF(AND(AND(BU67&gt;19,BU67&lt;27),ID67=""),"PROGRAMAR APLICACION DE VACUNA",IF(AND(AND(BU67&gt;26,BU67&lt;43),ID67=""),"INASISTENTE",IF(AND(AND(NF67&gt;19,NF67&lt;27),ID67&gt;0),"VACUNA APLICADA ENTRE SEMANA 20 Y SEMANA 26",IF(AND(NF67&lt;20,ID67&gt;0),"VACUNA APLICADA ANTES SEMANA 20",IF(AND(NF67&gt;26,ID67&gt;0),"VACUNA APLICADA ENTRE SEMANA 27 Y EL PARTO",IF(AND(OR(IK67="CESAREA",IK67="PARTO"),II67="POSIBLEMENTE NACIO",ID67=""),"SALE SIN VACUNA","")))))))))</f>
        <v>VACUNA APLICADA ENTRE SEMANA 20 Y SEMANA 26</v>
      </c>
      <c r="IF67" s="22"/>
      <c r="IG67" s="22">
        <f t="shared" ref="IG67:IG130" si="295">IF(OR(BP67="SI",BP67="Corregida",BP67="NO"),(RW67+280),IF(BP67="Sin Dato","DEFINIR FPP POR ECO",""))</f>
        <v>45117</v>
      </c>
      <c r="IH67" s="29">
        <f t="shared" ref="IH67:IH130" ca="1" si="296">IF(OR(IG67="DEFINIR FPP POR ECO",BT67="ERROR FUM O INGRESO"),"SIN DEFINIR",IF(IG67="","",IF(IG67&gt;0,SUM(IG67-TODAY()),"X")))</f>
        <v>-115</v>
      </c>
      <c r="II67" s="22" t="str">
        <f t="shared" ref="II67:II130" ca="1" si="297">IF(IH67&lt;0,"POSIBLEMENTE NACIO",IF(IH67="SIN DEFINIR","SIN DATO",IF(AND(IH67&gt;=0,IH67&lt;=7),"SEMANA DE PARTO",IF(AND(IH67&gt;=8,IH67&lt;=28),"MENOS DE 4 SEMANAS",IF(AND(IH67&gt;=29,IH67&lt;=280),"PENDIENTE","")))))</f>
        <v>POSIBLEMENTE NACIO</v>
      </c>
      <c r="IJ67" s="22"/>
      <c r="IK67" s="21" t="s">
        <v>898</v>
      </c>
      <c r="IL67" s="21"/>
      <c r="IM67" s="34"/>
      <c r="IN67" s="349">
        <v>45115</v>
      </c>
      <c r="IO67" s="21" t="s">
        <v>1186</v>
      </c>
      <c r="IP67" s="29">
        <f t="shared" ref="IP67:IP73" si="298">IF(AND(IN67&gt;0,IK67&lt;&gt;""),SUM(IN67-RW67)/7,"")</f>
        <v>39.714285714285715</v>
      </c>
      <c r="IQ67" s="110" t="s">
        <v>1644</v>
      </c>
      <c r="IR67" s="21" t="s">
        <v>1645</v>
      </c>
      <c r="IS67" s="21" t="s">
        <v>1646</v>
      </c>
      <c r="IT67" s="21" t="s">
        <v>1642</v>
      </c>
      <c r="IU67" s="21"/>
      <c r="IV67" s="21"/>
      <c r="IW67" s="21"/>
      <c r="IX67" s="21"/>
      <c r="IY67" s="21"/>
      <c r="IZ67" s="21"/>
      <c r="JA67" s="21"/>
      <c r="JB67" s="30">
        <v>1</v>
      </c>
      <c r="JC67" s="21" t="s">
        <v>1647</v>
      </c>
      <c r="JD67" s="36">
        <v>3750</v>
      </c>
      <c r="JE67" s="21" t="str">
        <f t="shared" ref="JE67:JE71" si="299">IF(AND(JD67&gt;700,JD67&lt;2500,IP67&gt;36),"BAJO PESO AL NACER",IF(AND(JD67&gt;500,JD67&lt;2500,IP67&lt;37),"PREMATURO",IF(AND(JD67&gt;2499,JD67&lt;5000,IP67&lt;37),"ERROR VERIFICAR DATO EDAD GESTACIONAL VS PESO",IF(AND(JD67&gt;2499,JD67&lt;4000,IP67&gt;36),"PESO ADECUADO EDAD GESTACIONAL",IF(AND(JD67&gt;3999,JD67&lt;6000,IP67&gt;36),"PESO GRANDE EDAD GESTACIONAL","")))))</f>
        <v>PESO ADECUADO EDAD GESTACIONAL</v>
      </c>
      <c r="JF67" s="30"/>
      <c r="JG67" s="21"/>
      <c r="JH67" s="21"/>
      <c r="JI67" s="21" t="s">
        <v>854</v>
      </c>
      <c r="JJ67" s="30" t="s">
        <v>866</v>
      </c>
      <c r="JK67" s="22"/>
      <c r="JL67" s="22"/>
      <c r="JM67" s="21"/>
      <c r="JN67" s="36"/>
      <c r="JO67" s="21" t="str">
        <f t="shared" ref="JO67:JO71" si="300">IF(AND(JN67&gt;700,JN67&lt;2500,IP67&gt;36,IP67&lt;43),"BAJO PESO AL NACER",IF(AND(JN67&gt;700,JN67&lt;2500,IP67&lt;37),"PREMATURO",IF(AND(JN67&gt;2499,JN67&lt;5000,IP67&lt;37),"ERROR VERIFICAR DATO EDAD GESTACIONAL VS PESO",IF(AND(JN67&gt;2499,JN67&lt;4000,IP67&gt;36,IP67&lt;43),"PESO ADECUADO EDAD GESTACIONAL",IF(AND(JN67&gt;3999,JN67&lt;6000,IP67&gt;36,IP67&lt;43),"PESO GRANDE EDAD GESTACIONAL","")))))</f>
        <v/>
      </c>
      <c r="JP67" s="22"/>
      <c r="JQ67" s="21"/>
      <c r="JR67" s="21"/>
      <c r="JS67" s="21"/>
      <c r="JT67" s="30"/>
      <c r="JU67" s="22"/>
      <c r="JV67" s="22"/>
      <c r="JW67" s="33"/>
      <c r="JX67" s="28" t="str">
        <f t="shared" ref="JX67:JX71" si="301">IF(AND(JW67&lt;&gt;"",JW67&lt;IN67),"INCONSISTENCIA FECHA CONTROL",IF(AND(OR(IK67="Parto",IK67="Cesarea"),JW67&gt;0,IN67&gt;0),SUM(JW67-IN67),IF(AND(OR(IK67="Parto",IK67="Cesarea"),JW67="",IN67&gt;0),"INASISTENTE","")))</f>
        <v>INASISTENTE</v>
      </c>
      <c r="JY67" s="33"/>
      <c r="JZ67" s="28" t="str">
        <f t="shared" ref="JZ67:JZ71" si="302">IF(AND(JY67&lt;&gt;"",JY67&lt;IN67),"INCONSISTENCIA FECHA CONTROL",IF(AND(OR(IK67="Parto",IK67="Cesarea",IK67="Aborto Espontaneo",IK67="Aborto Inducido",IK67="IVE"),JY67&gt;0,IN67&gt;0),SUM(JY67-IN67),IF(AND(JY67&lt;&gt;"",JY67&lt;IN67),"INCONSISTENCIA FECHA CONTROL",IF(AND(OR(IK67="Parto",IK67="Cesarea",IK67="Aborto Espontaneo",IK67="Aborto Inducido",IK67="IVE"),JY67="",IN67&gt;0),"INASISTENTE",""))))</f>
        <v>INASISTENTE</v>
      </c>
      <c r="KA67" s="21"/>
      <c r="KB67" s="21"/>
      <c r="KC67" s="21"/>
      <c r="KD67" s="37"/>
      <c r="KE67" s="28"/>
      <c r="KF67" s="28"/>
      <c r="KG67" s="28"/>
      <c r="KH67" s="39"/>
      <c r="KI67" s="39"/>
      <c r="KJ67" s="66"/>
      <c r="KK67" s="39"/>
      <c r="KL67" s="39"/>
      <c r="KM67" s="66"/>
      <c r="KN67" s="39"/>
      <c r="KO67" s="39"/>
      <c r="KP67" s="39"/>
      <c r="KQ67" s="39"/>
      <c r="KR67" s="39"/>
      <c r="KS67" s="39"/>
      <c r="KT67" s="39"/>
      <c r="KU67" s="38"/>
      <c r="KV67" s="38"/>
      <c r="KW67" s="38"/>
      <c r="KX67" s="38"/>
      <c r="KY67" s="38"/>
      <c r="KZ67" s="38"/>
      <c r="LA67" s="38"/>
      <c r="LB67" s="38"/>
      <c r="LC67" s="38"/>
      <c r="LD67" s="38"/>
      <c r="LE67" s="38"/>
      <c r="LF67" s="38"/>
      <c r="LG67" s="38"/>
      <c r="LH67" s="38"/>
      <c r="LI67" s="38"/>
      <c r="LJ67" s="38"/>
      <c r="LK67" s="38"/>
      <c r="LL67" s="38"/>
      <c r="LM67" s="38"/>
      <c r="LN67" s="38"/>
      <c r="LO67" s="38"/>
      <c r="LP67" s="38"/>
      <c r="LQ67" s="38"/>
      <c r="LR67" s="38"/>
      <c r="LS67" s="38"/>
      <c r="LT67" s="38"/>
      <c r="LU67" s="38"/>
      <c r="LV67" s="38"/>
      <c r="LW67" s="38"/>
      <c r="LX67" s="38"/>
      <c r="LY67" s="38"/>
      <c r="LZ67" s="38"/>
      <c r="MA67" s="38"/>
      <c r="MB67" s="38"/>
      <c r="MC67" s="38"/>
      <c r="MD67" s="38"/>
      <c r="ME67" s="38"/>
      <c r="MF67" s="38"/>
      <c r="MG67" s="38"/>
      <c r="MH67" s="43">
        <f t="shared" ref="MH67:MH98" si="303">SUM(COUNTIF(KU67,"PARTERO (A)"),COUNTIF(KY67,"PARTERO (A)"),COUNTIF(LC67,"PARTERO (A)"),COUNTIF(LG67,"PARTERO (A)"),COUNTIF(LK67,"PARTERO (A)"),COUNTIF(LO67,"PARTERO (A)"),COUNTIF(ME67,"PARTERO (A)"))</f>
        <v>0</v>
      </c>
      <c r="MI67" s="43" t="str">
        <f t="shared" ref="MI67:MI98" si="304">IF(AND(R67="",O67=""),"",IF(AND(OR(O67&gt;0,R67&gt;0),KT67&gt;0),SUM(KT67-RW67)/7,""))</f>
        <v/>
      </c>
      <c r="MJ67" s="43" t="str">
        <f t="shared" ref="MJ67:MJ98" si="305">IF(AND(MI67="",BT67=""),"",IF(AND(MI67&lt;&gt;"",BT67="SIN DATO"),"SIN DATO",IF(AND(MI67="",BT67&lt;&gt;""),"",IF(AND(MI67&lt;0,BT67&gt;0),"ERROR FUM O INGRESO",IF(MI67&lt;=13,"I TRIM",IF(MI67&lt;28,"II TRIM",IF(AND(MI67&gt;27,MI67&lt;45),"III TRIM","POR DEFINIR")))))))</f>
        <v/>
      </c>
      <c r="MK67" s="43">
        <f t="shared" ref="MK67:MK98" si="306">SUM(COUNTIF(KU67,"MEDICO (A) TRADICIONAL"),COUNTIF(KY67,"MEDICO (A) TRADICIONAL"),COUNTIF(LC67,"MEDICO (A) TRADICIONAL"),COUNTIF(LG67,"MEDICO (A) TRADICIONAL"),COUNTIF(LK67,"MEDICO (A) TRADICIONAL"),COUNTIF(LO67,"MEDICO (A) TRADICIONAL"),COUNTIF(ME67,"MEDICO (A) TRADICIONAL"))</f>
        <v>0</v>
      </c>
      <c r="ML6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67" s="43">
        <f t="shared" ref="MM67:MM98" si="307">IF(AND(O67&gt;0,RW67&gt;0),SUM(O67-RW67)/7,"")</f>
        <v>10.285714285714286</v>
      </c>
      <c r="MN67" s="43">
        <f t="shared" ref="MN67:MN98" si="308">IF(R67&gt;0,MONTH(R67),"")</f>
        <v>12</v>
      </c>
      <c r="MO67" s="43">
        <f t="shared" ref="MO67:MO98" si="309">IF(R67&gt;0,YEAR(R67),"")</f>
        <v>2022</v>
      </c>
      <c r="MP67" s="43" t="str">
        <f t="shared" ref="MP67:MP98" si="310">IF(AND(MN67&gt;=1,MN67&lt;=3),"I TRIMESTRE AÑO",IF(AND(MN67&gt;=4,MN67&lt;=6),"II TRIMESTRE AÑO",IF(AND(MN67&gt;=7,MN67&lt;=9),"III TRIMESTRE AÑO",IF(AND(MN67&gt;=10,MN67&lt;=12),"IV TRIMESTRE AÑO",""))))</f>
        <v>IV TRIMESTRE AÑO</v>
      </c>
      <c r="MQ67" s="43">
        <f t="shared" ref="MQ67:MQ98" si="311">IF(AND(M67&gt;0,R67&gt;0),DAYS360(M67,R67)/30.44/12,IF(AND(M67&gt;0,O67&gt;0,R67=""),DAYS360(M67,O67)/30.44/12,""))</f>
        <v>41.896627244853264</v>
      </c>
      <c r="MR67" s="43">
        <f t="shared" ref="MR67:MR98" si="312">IF(AND(MQ67&gt;7,MQ67&lt;14),2,IF(MQ67&lt;16,1,IF(MQ67&lt;=35,0,IF(AND(MQ67&gt;35,MQ67&lt;50),2,""))))</f>
        <v>2</v>
      </c>
      <c r="MS67" s="43" t="str">
        <f t="shared" ref="MS67:MS98" si="313">+IF(MQ67="","",IF(MQ67&lt;14,"MENOR 14 AÑOS",IF(MQ67&lt;20,"DE 14 A 19AÑOS",IF(MQ67&lt;25," DE 20 A 24 AÑOS",IF(MQ67&lt;30," DE 25 A 29 AÑOS",IF(MQ67&lt;35," DE 30 A 34 AÑOS",IF(MQ67&lt;40," DE 35 A 39 AÑOS"," DE 40 Y MAS")))))))</f>
        <v xml:space="preserve"> DE 40 Y MAS</v>
      </c>
      <c r="MT67" s="43">
        <f t="shared" ref="MT67:MT98" si="314">IF(OR(AX67="SI",BA67="SI"),1,IF(AND(AX67="NO",BA67="NO"),0,""))</f>
        <v>0</v>
      </c>
      <c r="MU67" s="43">
        <f t="shared" ref="MU67:MU98" si="315">IF(AT67="","",IF(AT67=0,1,IF(AND(AT67&gt;=1,AT67&lt;=4),0,IF(AT67&gt;=5,2,"X"))))</f>
        <v>0</v>
      </c>
      <c r="MV67" s="43">
        <f t="shared" ref="MV67:MV98" si="316">IF(AW67="","",IF(AW67=0,0,IF(AW67=1,1,IF(OR(AW67=2,AW67="3 o MAS"),2,"X"))))</f>
        <v>0</v>
      </c>
      <c r="MW67" s="43">
        <f t="shared" ref="MW67:MW98" si="317">IF(AY67="SI",1,IF(AY67="NO",0,""))</f>
        <v>0</v>
      </c>
      <c r="MX67" s="43" t="str">
        <f t="shared" ref="MX67:MX98" si="318">IF(OR(AND(EM67&gt;0,EM67&lt;11),AND(ER67&gt;0,ER67&lt;10.5)),1,"")</f>
        <v/>
      </c>
      <c r="MY67" s="43" t="str">
        <f t="shared" ca="1" si="229"/>
        <v/>
      </c>
      <c r="MZ67" s="43" t="str">
        <f t="shared" ref="MZ67:MZ98" si="319">IF(AND(GJ67="",GL67="",BB67=""),"",IF(OR(OR(GJ67="P.R REACTIVA",GJ67="ELISA REACTIVA"),OR(BB67="SI",GL67="POSITIVA",GL67="NO CONCLUYENTE")),3,""))</f>
        <v/>
      </c>
      <c r="NA67" s="43" t="str">
        <f t="shared" ref="NA67:NA98" si="320">IF(CD67="","",IF(OR(CD67="CEFÁLICA",CD67="SD"),0,IF(OR(CD67="PODÁLICA",CD67="TRANSVERSA O DE FRENTE",CD67="OBLICUA"),3,"")))</f>
        <v/>
      </c>
      <c r="NB67" s="43" t="str">
        <f t="shared" ref="NB67:NB98" si="321">IF(GZ67="","",IF(GZ67="POSITIVO",2,"0"))</f>
        <v/>
      </c>
      <c r="NC67" s="43" t="str">
        <f t="shared" ref="NC67:NC98" si="322">IF(AND(HB67="",HD67=""),"",IF(OR(HB67="POSITIVO",HD67="POSITIVO"),3,0))</f>
        <v/>
      </c>
      <c r="ND67" s="43">
        <f t="shared" ref="ND67:ND98" ca="1" si="323">IF(AND(O67="",R67=""),"",IF(OR(O67&lt;&gt;"",R67&lt;&gt;""),SUM(COUNTIF(AL67:AR67,"SI"),COUNTIF(AV67,"SI"),COUNTIF(BC67,"SI, CONTROLADA"),COUNTIF(BI67,"SI"),COUNTIF(BM67,"SI"),SUM(COUNTIF(BC67,"SI, SIN MANEJO")*3),SUM(COUNTIF(BC67,"SI, NO CONTROLADA")*3),SUM(COUNTIF(BD67:BG67,"SI")*3),SUM(COUNTIF(CB67:CC67,"SI")*3),SUM(COUNTIF(AD67,"Consumo Actual")*3),SUM(COUNTIF(AD67,"Hasta Antes de la Gestación")*2),SUM(COUNTIF(BK67,"SI")*3),SUM(COUNTIF(BL67,"SI")*2),SUM(COUNTIF(CE67,"SI")*2),SUM(COUNTIF(BH67,"SI")*2),SUM(COUNTIF(FG67,"DIABETES, REMITIR")*2),SUM(MT67:NC67),SUM(MR67),SUM(NG67),SUM(COUNTIF(EZ67,"COOMBS C/MES Y RESUMAN SEM 28")*2),SUM(COUNTIF(EZ67,"TOMAR COOMBS CUANTITATIVO Y REMISIÓN")*3),SUM(COUNTIF(FU67,"SIFILIS GESTACIONAL")*3)),""))</f>
        <v>2</v>
      </c>
      <c r="NE67" s="43">
        <f>IF(OR(O67&gt;0,R67&gt;0),SUM(COUNTIF(Tabla1[[#This Row],[AÑOS AL INICIO5 CPN]],"&gt;=40"),COUNTIF(AS67,"0"),COUNTIF(AR67,"SI"),COUNTIF(CC67,"SI"),COUNTIF(BQ67,"&gt;119"),COUNTIF(CI67,"&gt;=35")),"")</f>
        <v>1</v>
      </c>
      <c r="NF67" s="43">
        <f t="shared" ref="NF67:NF98" si="324">IF(AND(R67="",O67=""),"",IF(AND(OR(O67&gt;0,R67&gt;0),RW67=""),"SD",IF(AND(OR(O67&gt;0,R67&gt;0),ID67&gt;0),SUM(ID67-RW67)/7,"")))</f>
        <v>22.571428571428573</v>
      </c>
      <c r="NG67" s="43">
        <f t="shared" ref="NG67:NG98" si="325">IF(AND(AD67="",AE67="",AF67="",AG67="",AH67="",AI67="",AJ67=""),"",SUM(COUNTIF(AD67,"Hasta Antes de la Gestación")/2,SUM(COUNTIF(AE67,"NO")/2),COUNTIF(AF67,"NO"),SUM(COUNTIF(AG67,"SI")/2),COUNTIF(AH67,"SI"),SUM(COUNTIF(AJ67,"SI")*2),COUNTIF(AD67,"Consumo Actual"),COUNTIF(AI67,"HABITANTE DE CALLE"),COUNTIF(AI67,"DESPLAZADA"),COUNTIF(AI67,"MIGRATORIA"),COUNTIF(AI67,"DISCAPACIDAD FISICA"),COUNTIF(AI67,"DISCAPACIDAD CONDUCTUAL"),COUNTIF(AI67,"DISCAPACIDAD VISUAL"),COUNTIF(AI67,"DISCAPACIDAD AUDITIVA"),COUNTIF(AI67,"DISCAPACIDAD MULTIPLE"),COUNTIF(AI67,"DISCAPACIDAD SISTEMICA")))</f>
        <v>0</v>
      </c>
      <c r="NH67" s="43">
        <f t="shared" ref="NH67:NH98" si="326">IF(BX67&gt;0,BX67*7,"")</f>
        <v>79.8</v>
      </c>
      <c r="NI67"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CPN",P67="NO"),"Z",IF(AND(Tabla1[[#This Row],[CITA PROXIMO CONTROL]]="CITA MANUAL",Tabla1[[#This Row],[GESTANTES ACTUALES]]="ACTIVA INGRESO A CPN"),"W",IF(AND(Tabla1[[#This Row],[GESTANTES ACTUALES]]="SALIO PROGRAMA",IN67=""),"S",IF(AND(Tabla1[[#This Row],[CITA PROXIMO CONTROL]]&gt;0,IN67=""),(Tabla1[[#This Row],[CITA PROXIMO CONTROL]]-TODAY()),"SD"))))))))</f>
        <v>SD</v>
      </c>
      <c r="NJ67" s="43">
        <f>MONTH(Tabla1[[#This Row],[FECHA DE SALIDA  DEL PROGRAMA]])</f>
        <v>7</v>
      </c>
      <c r="NK67" s="43">
        <f>YEAR(Tabla1[[#This Row],[FECHA DE SALIDA  DEL PROGRAMA]])</f>
        <v>2023</v>
      </c>
      <c r="NL67" s="43" t="str">
        <f t="shared" ref="NL67:NL98" si="327">IF(AND(O67&gt;0,R67=""),"NO CPN",IF(AND(O67="",R67=""),"",IF(AND(R67&gt;0,EJ67&gt;0,EI67&gt;0),_xlfn.DAYS(EJ67,EI67),IF(AND(R67&gt;0,EJ67&gt;0,EI67=""),"NO CITA","X"))))</f>
        <v>X</v>
      </c>
      <c r="NM67" s="43" t="str">
        <f t="shared" si="251"/>
        <v>NO</v>
      </c>
      <c r="NN67" s="43" t="str">
        <f ca="1">IF(AND(O67&gt;0,R67=""),"NO CPN",IF(AND(O67="",R67=""),"",IF(AND(R67&gt;0,Tabla1[[#This Row],[SEMANAS DE GESTACION ACTUALIZADAS]]&lt;=12),"NO APLICA",IF(AND(FH67&lt;&gt;"",FQ67&lt;&gt;""),"SI","NO"))))</f>
        <v>SI</v>
      </c>
      <c r="NO67" s="43" t="e">
        <f ca="1">IF(AND(O67&gt;0,R67=""),"NO CPN",IF(AND(O67="",R67=""),"",IF(AND(R67&gt;0,Tabla1[[#This Row],[SEMANAS DE GESTACION ACTUALIZADAS]]&lt;=27),"NO APLICA",IF(AND(ES67&lt;&gt;"",#REF!&lt;&gt;"",GF67&lt;&gt;""),"SI","NO"))))</f>
        <v>#REF!</v>
      </c>
      <c r="NP67" s="204" t="str">
        <f t="shared" ref="NP67:NP98" si="328">IF(AND(BS67="",IG67=""),"",IF(AND(BS67="",IG67="DEFINIR FPP POR ECO"),"SIN DATO",IF(BS67&lt;0,"ERROR FUM O INGRESO",IF(BP67="NO","DEFINIR CON ECO",IF(BS67&lt;12,"I TRIM",IF(BS67&lt;27,"II TRIM",IF(AND(BS67&gt;26,BS67&lt;45),"III TRIM","ERROR FUM O INGRESO")))))))</f>
        <v>I TRIM</v>
      </c>
      <c r="NQ67" s="21">
        <f t="shared" si="241"/>
        <v>1</v>
      </c>
      <c r="NR67" s="21">
        <f t="shared" si="242"/>
        <v>3</v>
      </c>
      <c r="NS67" s="205">
        <f t="shared" ref="NS67:NS98" ca="1" si="329">COUNT(FL67,FO67,FR67,FT67)</f>
        <v>2</v>
      </c>
      <c r="NT67" s="21">
        <f t="shared" ref="NT67:NT98" ca="1" si="330">COUNT(GA67,GD67,GG67,GI67)</f>
        <v>3</v>
      </c>
      <c r="NU67" s="21" t="str">
        <f t="shared" ref="NU67:NU98" ca="1" si="331">IF(NR67="","",IF(NR67="REVISAR FUM O FECHA SALIDA PROGRAMA","POR DEFINIR",IF(OR(NR67=NS67,NS67&gt;NR67),"COMPLETO",IF(NS67&lt;NR67,"INCOMPLETO",""))))</f>
        <v>INCOMPLETO</v>
      </c>
      <c r="NV67" s="21" t="str">
        <f t="shared" ref="NV67:NV98" ca="1" si="332">IF(NR67="","",IF(NR67="REVISAR FUM O FECHA SALIDA PROGRAMA","POR DEFINIR",IF(OR(NR67=NT67,NT67&gt;NR67),"COMPLETO",IF(NT67&lt;NR67,"INCOMPLETO",""))))</f>
        <v>COMPLETO</v>
      </c>
      <c r="NW67" s="206" t="str">
        <f>IF(AND(O67="",R67=""),"",IF(OR(AND(Tabla1[[#This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67" s="207" t="str">
        <f t="shared" ref="NX67:NX98" ca="1" si="333">IF(AND(O67="",R67=""),"",IF(OR(IE67="VACUNA APLICADA ENTRE SEMANA 20 Y SEMANA 26",IE67="VACUNA APLICADA ENTRE SEMANA 27 Y EL PARTO",IE67="VACUNA APLICADA ANTES SEMANA 20"),"VACUNADA","SIN VACUNAR"))</f>
        <v>VACUNADA</v>
      </c>
      <c r="NY67" s="43">
        <f>ROW(Tabla1[[#This Row],['# DE TAMIZAJES SIFILIS TOMADOS ]])</f>
        <v>67</v>
      </c>
      <c r="NZ67" s="43">
        <f t="shared" ref="NZ67:NZ129" si="334">IF(BS67="","",IF(BS67&lt;10,"Menor",INT(BS67)))</f>
        <v>10</v>
      </c>
      <c r="OA67" s="43" t="str">
        <f t="shared" ref="OA67:OA129" si="335">IF(AND(NZ67=$OA$2,CI67&gt;10,CI67&lt;18.5),"BAJO PESO",IF(AND(NZ67=$OA$2,CI67&gt;18.4,CI67&lt;25),"NORMAL",IF(AND(NZ67=$OA$2,CI67&gt;24,CI67&lt;30),"SOBREPESO",IF(AND(NZ67=$OA$2,CI67&gt;29,CI67&lt;50),"OBESIDAD",""))))</f>
        <v/>
      </c>
      <c r="OB67" s="43" t="str">
        <f t="shared" ref="OB67:OB129" si="336">IF(AND(NZ67=$OB$2,CI67&gt;10,CI67&lt;20.3),"BAJO PESO",IF(AND(NZ67=$OB$2,CI67&gt;20.2,CI67&lt;25.3),"NORMAL",IF(AND(NZ67=$OB$2,CI67&gt;25.2,CI67&lt;30.3),"SOBREPESO",IF(AND(NZ67=$OB$2,CI67&gt;30.2,CI67&lt;50),"OBESIDAD",""))))</f>
        <v>OBESIDAD</v>
      </c>
      <c r="OC67" s="43" t="str">
        <f t="shared" ref="OC67:OC129" si="337">IF(AND(NZ67=$OC$2,CI67&gt;10,CI67&lt;20.4),"BAJO PESO",IF(AND(NZ67=$OC$2,CI67&gt;20.3,CI67&lt;25.4),"NORMAL",IF(AND(NZ67=$OC$2,CI67&gt;25.3,CI67&lt;30.4),"SOBREPESO",IF(AND(NZ67=$OC$2,CI67&gt;30.3,CI67&lt;50),"OBESIDAD",""))))</f>
        <v/>
      </c>
      <c r="OD67" s="43" t="str">
        <f t="shared" ref="OD67:OD129" si="338">IF(AND(NZ67=$OD$2,CI67&gt;10,CI67&lt;20.5),"BAJO PESO",IF(AND(NZ67=$OD$2,CI67&gt;20.4,CI67&lt;25.5),"NORMAL",IF(AND(NZ67=$OD$2,CI67&gt;25.4,CI67&lt;30.4),"SOBREPESO",IF(AND(NZ67=$OD$2,CI67&gt;30.3,CI67&lt;50),"OBESIDAD",""))))</f>
        <v/>
      </c>
      <c r="OE67" s="43" t="str">
        <f t="shared" ref="OE67:OE129" si="339">IF(AND(NZ67=$OE$2,CI67&gt;10,CI67&lt;20.7),"BAJO PESO",IF(AND(NZ67=$OE$2,CI67&gt;20.6,CI67&lt;25.7),"NORMAL",IF(AND(NZ67=$OE$2,CI67&gt;25.7,CI67&lt;30.5),"SOBREPESO",IF(AND(NZ67=$OE$2,CI67&gt;30.4,CI67&lt;50),"OBESIDAD",""))))</f>
        <v/>
      </c>
      <c r="OF67" s="43" t="str">
        <f t="shared" ref="OF67:OF129" si="340">IF(AND(NZ67=$OF$2,CI67&gt;10,CI67&lt;20.8),"BAJO PESO",IF(AND(NZ67=$OF$2,CI67&gt;20.7,CI67&lt;25.8),"NORMAL",IF(AND(NZ67=$OF$2,CI67&gt;25.7,CI67&lt;30.6),"SOBREPESO",IF(AND(NZ67=$OF$2,CI67&gt;30.5,CI67&lt;50),"OBESIDAD",""))))</f>
        <v/>
      </c>
      <c r="OG67" s="43" t="str">
        <f t="shared" ref="OG67:OG129" si="341">IF(AND(NZ67=$OG$2,CI67&gt;10,CI67&lt;20.9),"BAJO PESO",IF(AND(NZ67=$OG$2,CI67&gt;20.8,CI67&lt;25.9),"NORMAL",IF(AND(NZ67=$OG$2,CI67&gt;25.8,CI67&lt;30.7),"SOBREPESO",IF(AND(NZ67=$OG$2,CI67&gt;30.6,CI67&lt;50),"OBESIDAD",""))))</f>
        <v/>
      </c>
      <c r="OH67" s="43" t="str">
        <f t="shared" ref="OH67:OH129" si="342">IF(AND(NZ67=$OH$2,CI67&gt;10,CI67&lt;21.1),"BAJO PESO",IF(AND(NZ67=$OH$2,CI67&gt;21,CI67&lt;26),"NORMAL",IF(AND(NZ67=$OH$2,CI67&gt;25.9,CI67&lt;30.8),"SOBREPESO",IF(AND(NZ67=$OH$2,CI67&gt;30.7,CI67&lt;50),"OBESIDAD",""))))</f>
        <v/>
      </c>
      <c r="OI67" s="43" t="str">
        <f t="shared" ref="OI67:OI129" si="343">IF(AND(NZ67=$OI$2,CI67&gt;10,CI67&lt;21.2),"BAJO PESO",IF(AND(NZ67=$OI$2,CI67&gt;21.1,CI67&lt;26.1),"NORMAL",IF(AND(NZ67=$OI$2,CI67&gt;26,CI67&lt;31.9),"SOBREPESO",IF(AND(NZ67=$OI$2,CI67&gt;30.8,CI67&lt;50),"OBESIDAD",""))))</f>
        <v/>
      </c>
      <c r="OJ67" s="43" t="str">
        <f t="shared" ref="OJ67:OJ129" si="344">IF(AND(NZ67=$OJ$2,CI67&gt;10,CI67&lt;21.3),"BAJO PESO",IF(AND(NZ67=$OJ$2,CI67&gt;21.2,CI67&lt;26.2),"NORMAL",IF(AND(NZ67=$OJ$2,CI67&gt;26.1,CI67&lt;31),"SOBREPESO",IF(AND(NZ67=$OJ$2,CI67&gt;30.9,CI67&lt;50),"OBESIDAD",""))))</f>
        <v/>
      </c>
      <c r="OK67" s="43" t="str">
        <f t="shared" ref="OK67:OK129" si="345">IF(AND(NZ67=$OK$2,CI67&gt;10,CI67&lt;21.5),"BAJO PESO",IF(AND(NZ67=$OK$2,CI67&gt;21.4,CI67&lt;26.3),"NORMAL",IF(AND(NZ67=$OK$2,CI67&gt;26.2,CI67&lt;31),"SOBREPESO",IF(AND(NZ67=$OK$2,CI67&gt;30.9,CI67&lt;50),"OBESIDAD",""))))</f>
        <v/>
      </c>
      <c r="OL67" s="43" t="str">
        <f t="shared" ref="OL67:OL129" si="346">IF(AND(NZ67=$OL$2,CI67&gt;10,CI67&lt;21.6),"BAJO PESO",IF(AND(NZ67=$OL$2,CI67&gt;21.5,CI67&lt;26.4),"NORMAL",IF(AND(NZ67=$OL$2,CI67&gt;26.3,CI67&lt;31.1),"SOBREPESO",IF(AND(NZ67=$OL$2,CI67&gt;31,CI67&lt;50),"OBESIDAD",""))))</f>
        <v/>
      </c>
      <c r="OM67" s="43" t="str">
        <f t="shared" ref="OM67:OM129" si="347">IF(AND(NZ67=$OM$2,CI67&gt;10,CI67&lt;21.8),"BAJO PESO",IF(AND(NZ67=$OM$2,CI67&gt;21.7,CI67&lt;26.5),"NORMAL",IF(AND(NZ67=$OM$2,CI67&gt;26.4,CI67&lt;31.2),"SOBREPESO",IF(AND(NZ67=$OM$2,CI67&gt;31.1,CI67&lt;50),"OBESIDAD",""))))</f>
        <v/>
      </c>
      <c r="ON67" s="43" t="str">
        <f t="shared" ref="ON67:ON129" si="348">IF(AND(NZ67=$ON$2,CI67&gt;10,CI67&lt;21.9),"BAJO PESO",IF(AND(NZ67=$ON$2,CI67&gt;21.8,CI67&lt;26.7),"NORMAL",IF(AND(NZ67=$ON$2,CI67&gt;26.6,CI67&lt;31.3),"SOBREPESO",IF(AND(NZ67=$ON$2,CI67&gt;31.2,CI67&lt;50),"OBESIDAD",""))))</f>
        <v/>
      </c>
      <c r="OO67" s="43" t="str">
        <f t="shared" ref="OO67:OO129" si="349">IF(AND(NZ67=$OO$2,CI67&gt;10,CI67&lt;22.1),"BAJO PESO",IF(AND(NZ67=$OO$2,CI67&gt;22,CI67&lt;26.8),"NORMAL",IF(AND(NZ67=$OO$2,CI67&gt;26.7,CI67&lt;31.4),"SOBREPESO",IF(AND(NZ67=$OO$2,CI67&gt;31.3,CI67&lt;50),"OBESIDAD",""))))</f>
        <v/>
      </c>
      <c r="OP67" s="43" t="str">
        <f t="shared" ref="OP67:OP129" si="350">IF(AND(NZ67=$OP$2,CI67&gt;10,CI67&lt;22.3),"BAJO PESO",IF(AND(NZ67=$OP$2,CI67&gt;22.2,CI67&lt;27),"NORMAL",IF(AND(NZ67=$OP$2,CI67&gt;26.9,CI67&lt;31.6),"SOBREPESO",IF(AND(NZ67=$OP$2,CI67&gt;31.5,CI67&lt;50),"OBESIDAD",""))))</f>
        <v/>
      </c>
      <c r="OQ67" s="43" t="str">
        <f t="shared" ref="OQ67:OQ129" si="351">IF(AND(NZ67=$OQ$2,$CI67&gt;10,CI67&lt;22.5),"BAJO PESO",IF(AND(NZ67=$OQ$2,CI67&gt;22.4,CI67&lt;27.1),"NORMAL",IF(AND(NZ67=$OQ$2,CI67&gt;27,CI67&lt;31.7),"SOBREPESO",IF(AND(NZ67=$OQ$2,CI67&gt;31.6,CI67&lt;50),"OBESIDAD",""))))</f>
        <v/>
      </c>
      <c r="OR67" s="43" t="str">
        <f t="shared" ref="OR67:OR129" si="352">IF(AND(NZ67=$OR$2,CI67&gt;10,CI67&lt;22.7),"BAJO PESO",IF(AND(NZ67=$OR$2,CI67&gt;22.6,CI67&lt;27.3),"NORMAL",IF(AND(NZ67=$OR$2,CI67&gt;27.1,CI67&lt;31.8),"SOBREPESO",IF(AND(NZ67=$OR$2,CI67&gt;31.7,CI67&lt;50),"OBESIDAD",""))))</f>
        <v/>
      </c>
      <c r="OS67" s="43" t="str">
        <f t="shared" ref="OS67:OS129" si="353">IF(AND(NZ67=$OS$2,CI67&gt;10,CI67&lt;22.8),"BAJO PESO",IF(AND(NZ67=$OS$2,CI67&gt;22.7,CI67&lt;27.4),"NORMAL",IF(AND(NZ67=$OS$2,CI67&gt;27.3,CI67&lt;31.9),"SOBREPESO",IF(AND(NZ67=$OS$2,CI67&gt;31.8,CI67&lt;50),"OBESIDAD",""))))</f>
        <v/>
      </c>
      <c r="OT67" s="43" t="str">
        <f t="shared" ref="OT67:OT129" si="354">IF(AND(NZ67=$OT$2,CI67&gt;10,CI67&lt;23),"BAJO PESO",IF(AND(NZ67=$OT$2,CI67&gt;22.9,CI67&lt;27.6),"NORMAL",IF(AND(NZ67=$OT$2,CI67&gt;27.5,CI67&lt;32),"SOBREPESO",IF(AND(NZ67=$OT$2,CI67&gt;31.9,CI67&lt;50),"OBESIDAD",""))))</f>
        <v/>
      </c>
      <c r="OU67" s="43" t="str">
        <f t="shared" ref="OU67:OU129" si="355">IF(AND(NZ67=$OU$2,CI67&gt;10,CI67&lt;23.2),"BAJO PESO",IF(AND(NZ67=$OU$2,CI67&gt;23.1,CI67&lt;27.7),"NORMAL",IF(AND(NZ67=$OU$2,CI67&gt;27.6,CI67&lt;32.1),"SOBREPESO",IF(AND(NZ67=$OU$2,CI67&gt;32,CI67&lt;50),"OBESIDAD",""))))</f>
        <v/>
      </c>
      <c r="OV67" s="110" t="str">
        <f t="shared" ref="OV67:OV129" si="356">IF(AND(NZ67=$OV$2,CI67&gt;10,CI67&lt;23.4),"BAJO PESO",IF(AND(NZ67=$OV$2,CI67&gt;23.3,CI67&lt;27.9),"NORMAL",IF(AND(NZ67=$OV$2,CI67&gt;27.8,CI67&lt;32.2),"SOBREPESO",IF(AND(NZ67=$OV$2,CI67&gt;32.1,CI67&lt;50),"OBESIDAD",""))))</f>
        <v/>
      </c>
      <c r="OW67" s="43" t="str">
        <f t="shared" ref="OW67:OW129" si="357">IF(AND(NZ67=$OW$2,CI67&gt;10,CI67&lt;23.5),"BAJO PESO",IF(AND(NZ67=$OW$2,CI67&gt;23.4,CI67&lt;28),"NORMAL",IF(AND(NZ67=$OW$2,CI67&gt;27.9,CI67&lt;32.1),"SOBREPESO",IF(AND(NZ67=$OW$2,CI67&gt;32.2,CI67&lt;50),"OBESIDAD",""))))</f>
        <v/>
      </c>
      <c r="OX67" s="43" t="str">
        <f t="shared" ref="OX67:OX129" si="358">IF(AND(NZ67=$OX$2,CI67&gt;10,CI67&lt;23.7),"BAJO PESO",IF(AND(NZ67=$OX$2,CI67&gt;23.6,CI67&lt;28.1),"NORMAL",IF(AND(NZ67=$OX$2,CI67&gt;28,CI67&lt;33.4),"SOBREPESO",IF(AND(NZ67=$OX$2,CI67&gt;33.3,CI67&lt;50),"OBESIDAD",""))))</f>
        <v/>
      </c>
      <c r="OY67" s="43" t="str">
        <f t="shared" ref="OY67:OY129" si="359">IF(AND(NZ67=$OY$2,CI67&gt;10,CI67&lt;23.9),"BAJO PESO",IF(AND(NZ67=$OY$2,CI67&gt;23.8,CI67&lt;28.2),"NORMAL",IF(AND(NZ67=$OY$2,CI67&gt;28.1,CI67&lt;33.5),"SOBREPESO",IF(AND(NZ67=$OY$2,CI67&gt;33.4,CI67&lt;50),"OBESIDAD",""))))</f>
        <v/>
      </c>
      <c r="OZ67" s="43" t="str">
        <f t="shared" ref="OZ67:OZ129" si="360">IF(AND(NZ67=$OZ$2,CI67&gt;10,CI67&lt;24),"BAJO PESO",IF(AND(NZ67=$OZ$2,CI67&gt;23.9,CI67&lt;28.4),"NORMAL",IF(AND(NZ67=$OZ$2,CI67&gt;28.3,CI67&lt;33.6),"SOBREPESO",IF(AND(NZ67=$OZ$2,CI67&gt;33.5,CI67&lt;50),"OBESIDAD",""))))</f>
        <v/>
      </c>
      <c r="PA67" s="43" t="str">
        <f t="shared" ref="PA67:PA129" si="361">IF(AND(NZ67=$PA$2,CI67&gt;10,CI67&lt;24.2),"BAJO PESO",IF(AND(NZ67=$PA$2,CI67&gt;24.1,CI67&lt;28.5),"NORMAL",IF(AND(NZ67=$PA$2,CI67&gt;28.4,CI67&lt;33.7),"SOBREPESO",IF(AND(NZ67=$PA$2,CI67&gt;33.6,CI67&lt;50),"OBESIDAD",""))))</f>
        <v/>
      </c>
      <c r="PB67" s="43" t="str">
        <f t="shared" ref="PB67:PB129" si="362">IF(AND(NZ67=$PB$2,CI67&gt;10,CI67&lt;24.3),"BAJO PESO",IF(AND(NZ67=$PB$2,CI67&gt;24.2,CI67&lt;28.6),"NORMAL",IF(AND(NZ67=$PB$2,CI67&gt;28.5,CI67&lt;33.8),"SOBREPESO",IF(AND(NZ67=$PB$2,CI67&gt;33.7,CI67&lt;50),"OBESIDAD",""))))</f>
        <v/>
      </c>
      <c r="PC67" s="43" t="str">
        <f t="shared" ref="PC67:PC129" si="363">IF(AND(NZ67=$PC$2,CI67&gt;10,CI67&lt;24.5),"BAJO PESO",IF(AND(NZ67=$PC$2,CI67&gt;24.4,CI67&lt;28.8),"NORMAL",IF(AND(NZ67=$PC$2,CI67&gt;28.7,CI67&lt;32.9),"SOBREPESO",IF(AND(NZ67=$PC$2,CI67&gt;32.8,CI67&lt;50),"OBESIDAD",""))))</f>
        <v/>
      </c>
      <c r="PD67" s="43" t="str">
        <f t="shared" ref="PD67:PD129" si="364">IF(AND(NZ67=$PD$2,CI67&gt;10,CI67&lt;24.6),"BAJO PESO",IF(AND(NZ67=$PD$2,CI67&gt;24.5,CI67&lt;28.9),"NORMAL",IF(AND(NZ67=$PD$2,CI67&gt;28.8,CI67&lt;33),"SOBREPESO",IF(AND(NZ67=$PD$2,CI67&gt;32.9,CI67&lt;50),"OBESIDAD",""))))</f>
        <v/>
      </c>
      <c r="PE67" s="43" t="str">
        <f t="shared" ref="PE67:PE129" si="365">IF(AND(NZ67=$PE$2,CI67&gt;10,CI67&lt;24.8),"BAJO PESO",IF(AND(NZ67=$PE$2,CI67&gt;24.7,CI67&lt;29),"NORMAL",IF(AND(NZ67=$PE$2,CI67&gt;28.9,CI67&lt;33.1),"SOBREPESO",IF(AND(NZ67=$PE$2,CI67&gt;33,CI67&lt;50),"OBESIDAD",""))))</f>
        <v/>
      </c>
      <c r="PF67" s="43" t="str">
        <f t="shared" ref="PF67:PF129" si="366">IF(AND(NZ67=$PF$2,CI67&gt;10,CI67&lt;25),"BAJO PESO",IF(AND(NZ67=$PF$2,CI67&gt;24.9,CI67&lt;29.2),"NORMAL",IF(AND(NZ67=$PF$2,CI67&gt;29.1,CI67&lt;33.2),"SOBREPESO",IF(AND(NZ67=$PF$2,CI67&gt;33.1,CI67&lt;50),"OBESIDAD",""))))</f>
        <v/>
      </c>
      <c r="PG67" s="43" t="str">
        <f t="shared" ref="PG67:PG129" si="367">IF(AND(NZ67=$PG$2,CI67&gt;10,CI67&lt;25.1),"BAJO PESO",IF(AND(NZ67=$PG$2,CI67&gt;25,CI67&lt;29.3),"NORMAL",IF(AND(NZ67=$PG$2,CI67&gt;29.2,CI67&lt;33.3),"SOBREPESO",IF(AND(NZ67=$PG$2,CI67&gt;33.2,CI67&lt;50),"OBESIDAD",""))))</f>
        <v/>
      </c>
      <c r="PH67" s="43" t="str">
        <f t="shared" ref="PH67:PH129" si="368">IF(AND(NZ67=$PH$2,CI67&gt;10,CI67&lt;25.1),"BAJO PESO",IF(AND(NZ67=$PH$2,CI67&gt;25,CI67&lt;29.4),"NORMAL",IF(AND(NZ67=$PH$2,CI67&gt;29.3,CI67&lt;33.3),"SOBREPESO",IF(AND(NZ67=$PH$2,CI67&gt;33.2,CI67&lt;50),"OBESIDAD",""))))</f>
        <v/>
      </c>
      <c r="PI67" s="43">
        <f t="shared" ref="PI67:PI129" si="369">IF(DZ67="","",IF(DZ67&lt;10,"Menor",DZ67))</f>
        <v>39</v>
      </c>
      <c r="PJ67" s="43" t="str">
        <f t="shared" ref="PJ67:PJ129" si="370">IF(AND(PI67=$PJ$2,CM67&gt;10,CM67&lt;18.5),"BAJO PESO",IF(AND(PI67=$PJ$2,CM67&gt;18.4,CM67&lt;25),"NORMAL",IF(AND(PI67=$PJ$2,CM67&gt;24,CM67&lt;30),"SOBREPESO",IF(AND(PI67=$PJ$2,CM67&gt;29,CM67&lt;50),"OBESIDAD",""))))</f>
        <v/>
      </c>
      <c r="PK67" s="43" t="str">
        <f t="shared" ref="PK67:PK129" si="371">IF(AND(PI67=$PK$2,CM67&gt;10,CM67&lt;20.3),"BAJO PESO",IF(AND(PI67=$PK$2,CM67&gt;20.2,CM67&lt;25.3),"NORMAL",IF(AND(PI67=$PK$2,CM67&gt;25.2,CM67&lt;30.3),"SOBREPESO",IF(AND(PI67=$PK$2,CM67&gt;30.2,CM67&lt;50),"OBESIDAD",""))))</f>
        <v/>
      </c>
      <c r="PL67" s="43" t="str">
        <f t="shared" ref="PL67:PL129" si="372">IF(AND(PI67=$PL$2,CM67&gt;10,CM67&lt;20.4),"BAJO PESO",IF(AND(PI67=$PL$2,CM67&gt;20.3,CM67&lt;25.4),"NORMAL",IF(AND(PI67=$PL$2,CM67&gt;25.3,CM67&lt;30.4),"SOBREPESO",IF(AND(PI67=$PL$2,CM67&gt;30.3,CM67&lt;50),"OBESIDAD",""))))</f>
        <v/>
      </c>
      <c r="PM67" s="43" t="str">
        <f t="shared" ref="PM67:PM129" si="373">IF(AND(PI67=$PM$2,CM67&gt;10,CM67&lt;20.5),"BAJO PESO",IF(AND(PI67=$PM$2,CM67&gt;20.4,CM67&lt;25.5),"NORMAL",IF(AND(PI67=$PM$2,CM67&gt;25.4,CM67&lt;30.4),"SOBREPESO",IF(AND(PI67=$PM$2,CM67&gt;30.3,CM67&lt;50),"OBESIDAD",""))))</f>
        <v/>
      </c>
      <c r="PN67" s="43" t="str">
        <f t="shared" ref="PN67:PN129" si="374">IF(AND(PI67=$PN$2,CM67&gt;10,CM67&lt;20.7),"BAJO PESO",IF(AND(PI67=$PN$2,CM67&gt;20.6,CM67&lt;25.7),"NORMAL",IF(AND(PI67=$PN$2,CM67&gt;25.7,CM67&lt;30.5),"SOBREPESO",IF(AND(PI67=$PN$2,CM67&gt;30.4,CM67&lt;50),"OBESIDAD",""))))</f>
        <v/>
      </c>
      <c r="PO67" s="43" t="str">
        <f t="shared" ref="PO67:PO129" si="375">IF(AND(PI67=$PO$2,CM67&gt;10,CM67&lt;20.8),"BAJO PESO",IF(AND(PI67=$PO$2,CM67&gt;20.7,CM67&lt;25.8),"NORMAL",IF(AND(PI67=$PO$2,CM67&gt;25.7,CM67&lt;30.6),"SOBREPESO",IF(AND(PI67=$PO$2,CM67&gt;30.5,CM67&lt;50),"OBESIDAD",""))))</f>
        <v/>
      </c>
      <c r="PP67" s="43" t="str">
        <f t="shared" ref="PP67:PP129" si="376">IF(AND(PI67=$PP$2,CM67&gt;10,CM67&lt;20.9),"BAJO PESO",IF(AND(PI67=$PP$2,CM67&gt;20.8,CM67&lt;25.9),"NORMAL",IF(AND(PI67=$PP$2,CM67&gt;25.8,CM67&lt;30.7),"SOBREPESO",IF(AND(PI67=$PP$2,CM67&gt;30.6,CM67&lt;50),"OBESIDAD",""))))</f>
        <v/>
      </c>
      <c r="PQ67" s="43" t="str">
        <f t="shared" ref="PQ67:PQ129" si="377">IF(AND(PI67=$PQ$2,CM67&gt;10,CM67&lt;21.1),"BAJO PESO",IF(AND(PI67=$PQ$2,CM67&gt;21,CM67&lt;26),"NORMAL",IF(AND(PI67=$PQ$2,CM67&gt;25.9,CM67&lt;30.8),"SOBREPESO",IF(AND(PI67=$PQ$2,CM67&gt;30.7,CM67&lt;50),"OBESIDAD",""))))</f>
        <v/>
      </c>
      <c r="PR67" s="43" t="str">
        <f t="shared" ref="PR67:PR129" si="378">IF(AND(PI67=$PR$2,CM67&gt;10,CM67&lt;21.2),"BAJO PESO",IF(AND(PI67=$PR$2,CM67&gt;21.1,CM67&lt;26.1),"NORMAL",IF(AND(PI67=$PR$2,CM67&gt;26,CM67&lt;31.9),"SOBREPESO",IF(AND(PI67=$PR$2,CM67&gt;30.8,CM67&lt;50),"OBESIDAD",""))))</f>
        <v/>
      </c>
      <c r="PS67" s="43" t="str">
        <f t="shared" ref="PS67:PS129" si="379">IF(AND(PI67=$PS$2,CM67&gt;10,CM67&lt;21.3),"BAJO PESO",IF(AND(PI67=$PS$2,CM67&gt;21.2,CM67&lt;26.2),"NORMAL",IF(AND(PI67=$PS$2,CM67&gt;26.1,CM67&lt;31),"SOBREPESO",IF(AND(PI67=$PS$2,CM67&gt;30.9,CM67&lt;50),"OBESIDAD",""))))</f>
        <v/>
      </c>
      <c r="PT67" s="43" t="str">
        <f t="shared" ref="PT67:PT129" si="380">IF(AND(PI67=$PT$2,CM67&gt;10,CM67&lt;21.5),"BAJO PESO",IF(AND(PI67=$PT$2,CM67&gt;21.4,CM67&lt;26.3),"NORMAL",IF(AND(PI67=$PT$2,CM67&gt;26.2,CM67&lt;31),"SOBREPESO",IF(AND(PI67=$PT$2,CM67&gt;30.9,CM67&lt;50),"OBESIDAD",""))))</f>
        <v/>
      </c>
      <c r="PU67" s="43" t="str">
        <f t="shared" ref="PU67:PU129" si="381">IF(AND(PI67=$PU$2,CM67&gt;10,CM67&lt;21.6),"BAJO PESO",IF(AND(PI67=$PU$2,CM67&gt;21.5,CM67&lt;26.4),"NORMAL",IF(AND(PI67=$PU$2,CM67&gt;26.3,CM67&lt;31.1),"SOBREPESO",IF(AND(PI67=$PU$2,CM67&gt;31,CM67&lt;50),"OBESIDAD",""))))</f>
        <v/>
      </c>
      <c r="PV67" s="43" t="str">
        <f t="shared" ref="PV67:PV129" si="382">IF(AND(PI67=$PV$2,CM67&gt;10,CM67&lt;21.8),"BAJO PESO",IF(AND(PI67=$PV$2,CM67&gt;21.7,CM67&lt;26.5),"NORMAL",IF(AND(PI67=$PV$2,CM67&gt;26.4,CM67&lt;31.2),"SOBREPESO",IF(AND(PI67=$PV$2,CM67&gt;31.1,CM67&lt;50),"OBESIDAD",""))))</f>
        <v/>
      </c>
      <c r="PW67" s="43" t="str">
        <f t="shared" ref="PW67:PW129" si="383">IF(AND(PI67=$PW$2,CM67&gt;10,CM67&lt;21.9),"BAJO PESO",IF(AND(PI67=$PW$2,CM67&gt;21.8,CM67&lt;26.7),"NORMAL",IF(AND(PI67=$PW$2,CM67&gt;26.6,CM67&lt;31.3),"SOBREPESO",IF(AND(PI67=$PW$2,CM67&gt;31.2,CM67&lt;50),"OBESIDAD",""))))</f>
        <v/>
      </c>
      <c r="PX67" s="43" t="str">
        <f t="shared" ref="PX67:PX129" si="384">IF(AND(PI67=$PX$2,CM67&gt;10,CM67&lt;22.1),"BAJO PESO",IF(AND(PI67=$PX$2,CM67&gt;22,CM67&lt;26.8),"NORMAL",IF(AND(PI67=$PX$2,CM67&gt;26.7,CM67&lt;31.4),"SOBREPESO",IF(AND(PI67=$PX$2,CM67&gt;31.3,CM67&lt;50),"OBESIDAD",""))))</f>
        <v/>
      </c>
      <c r="PY67" s="43" t="str">
        <f t="shared" ref="PY67:PY129" si="385">IF(AND(PI67=$PY$2,CM67&gt;10,CM67&lt;22.3),"BAJO PESO",IF(AND(PI67=$PY$2,CM67&gt;22.2,CM67&lt;27),"NORMAL",IF(AND(PI67=$PY$2,CM67&gt;26.9,CM67&lt;31.6),"SOBREPESO",IF(AND(PI67=$PY$2,CM67&gt;31.5,CM67&lt;50),"OBESIDAD",""))))</f>
        <v/>
      </c>
      <c r="PZ67" s="43" t="str">
        <f t="shared" ref="PZ67:PZ129" si="386">IF(AND(PI67=$PZ$2,$CM67&gt;10,CM67&lt;22.5),"BAJO PESO",IF(AND(PI67=$PZ$2,CM67&gt;22.4,CM67&lt;27.1),"NORMAL",IF(AND(PI67=$PZ$2,CM67&gt;27,CM67&lt;31.7),"SOBREPESO",IF(AND(PI67=$PZ$2,CM67&gt;31.6,CM67&lt;50),"OBESIDAD",""))))</f>
        <v/>
      </c>
      <c r="QA67" s="43" t="str">
        <f t="shared" ref="QA67:QA129" si="387">IF(AND(PI67=$QA$2,CM67&gt;10,CM67&lt;22.7),"BAJO PESO",IF(AND(PI67=$QA$2,CM67&gt;22.6,CM67&lt;27.3),"NORMAL",IF(AND(PI67=$QA$2,CM67&gt;27.1,CM67&lt;31.8),"SOBREPESO",IF(AND(PI67=$QA$2,CM67&gt;31.7,CM67&lt;50),"OBESIDAD",""))))</f>
        <v/>
      </c>
      <c r="QB67" s="43" t="str">
        <f t="shared" ref="QB67:QB129" si="388">IF(AND(PI67=$QB$2,CM67&gt;10,CM67&lt;22.8),"BAJO PESO",IF(AND(PI67=$QB$2,CM67&gt;22.7,CM67&lt;27.4),"NORMAL",IF(AND(PI67=$QB$2,CM67&gt;27.3,CM67&lt;31.9),"SOBREPESO",IF(AND(PI67=$QB$2,CM67&gt;31.8,CM67&lt;50),"OBESIDAD",""))))</f>
        <v/>
      </c>
      <c r="QC67" s="43" t="str">
        <f t="shared" ref="QC67:QC129" si="389">IF(AND(PI67=$QC$2,CM67&gt;10,CM67&lt;23),"BAJO PESO",IF(AND(PI67=$QC$2,CM67&gt;22.9,CM67&lt;27.6),"NORMAL",IF(AND(PI67=$QC$2,CM67&gt;27.5,CM67&lt;32),"SOBREPESO",IF(AND(PI67=$QC$2,CM67&gt;31.9,CM67&lt;50),"OBESIDAD",""))))</f>
        <v/>
      </c>
      <c r="QD67" s="43" t="str">
        <f t="shared" ref="QD67:QD129" si="390">IF(AND(PI67=$QD$2,CM67&gt;10,CM67&lt;23.2),"BAJO PESO",IF(AND(PI67=$QD$2,CM67&gt;23.1,CM67&lt;27.7),"NORMAL",IF(AND(PI67=$QD$2,CM67&gt;27.6,CM67&lt;32.1),"SOBREPESO",IF(AND(PI67=$QD$2,CM67&gt;32,CM67&lt;50),"OBESIDAD",""))))</f>
        <v/>
      </c>
      <c r="QE67" s="43" t="str">
        <f t="shared" ref="QE67:QE129" si="391">IF(AND(PI67=$QE$2,CM67&gt;10,CM67&lt;23.4),"BAJO PESO",IF(AND(PI67=$QE$2,CM67&gt;23.3,CM67&lt;27.9),"NORMAL",IF(AND(PI67=$QE$2,CM67&gt;27.8,CM67&lt;32.2),"SOBREPESO",IF(AND(PI67=$QE$2,CM67&gt;32.1,CM67&lt;50),"OBESIDAD",""))))</f>
        <v/>
      </c>
      <c r="QF67" s="43" t="str">
        <f t="shared" ref="QF67:QF129" si="392">IF(AND(PI67=$QF$2,CM67&gt;10,CM67&lt;23.5),"BAJO PESO",IF(AND(PI67=$QF$2,CM67&gt;23.4,CM67&lt;28),"NORMAL",IF(AND(PI67=$QF$2,CM67&gt;27.9,CM67&lt;32.1),"SOBREPESO",IF(AND(PI67=$QF$2,CM67&gt;32.2,CM67&lt;50),"OBESIDAD",""))))</f>
        <v/>
      </c>
      <c r="QG67" s="43" t="str">
        <f t="shared" ref="QG67:QG129" si="393">IF(AND(PI67=$QG$2,CM67&gt;10,CM67&lt;23.7),"BAJO PESO",IF(AND(PI67=$QG$2,CM67&gt;23.6,CM67&lt;28.1),"NORMAL",IF(AND(PI67=$QG$2,CM67&gt;28,CM67&lt;33.4),"SOBREPESO",IF(AND(PI67=$QG$2,CM67&gt;33.3,CM67&lt;50),"OBESIDAD",""))))</f>
        <v/>
      </c>
      <c r="QH67" s="43" t="str">
        <f t="shared" ref="QH67:QH129" si="394">IF(AND(PI67=$QH$2,CM67&gt;10,CM67&lt;23.9),"BAJO PESO",IF(AND(PI67=$QH$2,CM67&gt;23.8,CM67&lt;28.2),"NORMAL",IF(AND(PI67=$QH$2,CM67&gt;28.1,CM67&lt;33.5),"SOBREPESO",IF(AND(PI67=$QH$2,CM67&gt;33.4,CM67&lt;50),"OBESIDAD",""))))</f>
        <v/>
      </c>
      <c r="QI67" s="43" t="str">
        <f t="shared" ref="QI67:QI129" si="395">IF(AND(PI67=$QI$2,CM67&gt;10,CM67&lt;24),"BAJO PESO",IF(AND(PI67=$QI$2,CM67&gt;23.9,CM67&lt;28.4),"NORMAL",IF(AND(PI67=$QI$2,CM67&gt;28.3,CM67&lt;33.6),"SOBREPESO",IF(AND(PI67=$QI$2,CM67&gt;33.5,CM67&lt;50),"OBESIDAD",""))))</f>
        <v/>
      </c>
      <c r="QJ67" s="43" t="str">
        <f t="shared" ref="QJ67:QJ129" si="396">IF(AND(PI67=$QJ$2,CM67&gt;10,CM67&lt;24.2),"BAJO PESO",IF(AND(PI67=$QJ$2,CM67&gt;24.1,CM67&lt;28.5),"NORMAL",IF(AND(PI67=$QJ$2,CM67&gt;28.4,CM67&lt;33.7),"SOBREPESO",IF(AND(PI67=$QJ$2,CM67&gt;33.6,CM67&lt;50),"OBESIDAD",""))))</f>
        <v/>
      </c>
      <c r="QK67" s="43" t="str">
        <f t="shared" ref="QK67:QK129" si="397">IF(AND(PI67=$QK$2,CM67&gt;10,CM67&lt;24.3),"BAJO PESO",IF(AND(PI67=$QK$2,CM67&gt;24.2,CM67&lt;28.6),"NORMAL",IF(AND(PI67=$QK$2,CM67&gt;28.5,CM67&lt;33.8),"SOBREPESO",IF(AND(PI67=$QK$2,CM67&gt;33.7,CM67&lt;50),"OBESIDAD",""))))</f>
        <v/>
      </c>
      <c r="QL67" s="43" t="str">
        <f t="shared" ref="QL67:QL129" si="398">IF(AND(PI67=$QL$2,CM67&gt;10,CM67&lt;24.5),"BAJO PESO",IF(AND(PI67=$QL$2,CM67&gt;24.4,CM67&lt;28.8),"NORMAL",IF(AND(PI67=$QL$2,CM67&gt;28.7,CM67&lt;32.9),"SOBREPESO",IF(AND(PI67=$QL$2,CM67&gt;32.8,CM67&lt;50),"OBESIDAD",""))))</f>
        <v/>
      </c>
      <c r="QM67" s="43" t="str">
        <f t="shared" ref="QM67:QM129" si="399">IF(AND(PI67=$QM$2,CM67&gt;10,CM67&lt;24.6),"BAJO PESO",IF(AND(PI67=$QM$2,CM67&gt;24.5,CM67&lt;28.9),"NORMAL",IF(AND(PI67=$QM$2,CM67&gt;28.8,CM67&lt;33),"SOBREPESO",IF(AND(PI67=$QM$2,CM67&gt;32.9,CM67&lt;50),"OBESIDAD",""))))</f>
        <v/>
      </c>
      <c r="QN67" s="43" t="str">
        <f t="shared" ref="QN67:QN129" si="400">IF(AND(PI67=$QN$2,CM67&gt;10,CM67&lt;24.8),"BAJO PESO",IF(AND(PI67=$QN$2,CM67&gt;24.7,CM67&lt;29),"NORMAL",IF(AND(PI67=$QN$2,CM67&gt;28.9,CM67&lt;33.1),"SOBREPESO",IF(AND(PI67=$QN$2,CM67&gt;33,CM67&lt;50),"OBESIDAD",""))))</f>
        <v>OBESIDAD</v>
      </c>
      <c r="QO67" s="43" t="str">
        <f t="shared" ref="QO67:QO129" si="401">IF(AND(PI67=$QO$2,CM67&gt;10,CM67&lt;25),"BAJO PESO",IF(AND(PI67=$QO$2,CM67&gt;24.9,CM67&lt;29.2),"NORMAL",IF(AND(PI67=$QO$2,CM67&gt;29.1,CM67&lt;33.2),"SOBREPESO",IF(AND(PI67=$QO$2,CM67&gt;33.1,CM67&lt;50),"OBESIDAD",""))))</f>
        <v/>
      </c>
      <c r="QP67" s="43" t="str">
        <f t="shared" ref="QP67:QP129" si="402">IF(AND(PI67=$QP$2,CM67&gt;10,CM67&lt;25.1),"BAJO PESO",IF(AND(PI67=$QP$2,CM67&gt;25,CM67&lt;29.3),"NORMAL",IF(AND(PI67=$QP$2,CM67&gt;29.2,CM67&lt;33.3),"SOBREPESO",IF(AND(PI67=$QP$2,CM67&gt;33.2,CM67&lt;50),"OBESIDAD",""))))</f>
        <v/>
      </c>
      <c r="QQ67" s="43" t="str">
        <f t="shared" ref="QQ67:QQ129" si="403">IF(AND(PI67=$QQ$2,CM67&gt;10,CM67&lt;25.1),"BAJO PESO",IF(AND(PI67=$QQ$2,CM67&gt;25,CM67&lt;29.4),"NORMAL",IF(AND(PI67=$QQ$2,CM67&gt;29.3,CM67&lt;33.3),"SOBREPESO",IF(AND(PI67=$QQ$2,CM67&gt;33.2,CM67&lt;50),"OBESIDAD",""))))</f>
        <v/>
      </c>
      <c r="QR67" s="43">
        <f t="shared" si="192"/>
        <v>39</v>
      </c>
      <c r="QS67" s="43"/>
      <c r="QT67" s="21" t="str">
        <f t="shared" ref="QT67:QT129" si="404">IF(AND(QR67=$QT$2,CP67&gt;1,CP67&lt;8),"BAJO PARA EDAD GESTACIONAL",IF(AND(QR67=$QT$2,CP67&gt;=8,CP67&lt;=12),"ADECUADO PARA EDAD GESTACIONAL",IF(AND(QR67=$QT$2,CP67&gt;12,CP67&lt;38),"ALTO PARA EDAD GESTACIONAL","")))</f>
        <v/>
      </c>
      <c r="QU67" s="21" t="str">
        <f t="shared" ref="QU67:QU129" si="405">IF(AND(QR67=$QU$2,CP67&gt;1,CP67&lt;8.5),"BAJO PARA EDAD GESTACIONAL",IF(AND(QR67=$QU$2,CP67&gt;=8.5,CP67&lt;=14.5),"ADECUADO PARA EDAD GESTACIONAL",IF(AND(QR67=$QU$2,CP67&gt;14.5,CP67&lt;38),"ALTO PARA EDAD GESTACIONAL","")))</f>
        <v/>
      </c>
      <c r="QV67" s="21" t="str">
        <f t="shared" ref="QV67:QV129" si="406">IF(AND(QR67=$QV$2,CP67&gt;1,CP67&lt;9.5),"BAJO PARA EDAD GESTACIONAL",IF(AND(QR67=$QV$2,CP67&gt;=9.5,CP67&lt;=15),"ADECUADO PARA EDAD GESTACIONAL",IF(AND(QR67=$QV$2,CP67&gt;15,CP67&lt;38),"ALTO PARA EDAD GESTACIONAL","")))</f>
        <v/>
      </c>
      <c r="QW67" s="21" t="str">
        <f t="shared" ref="QW67:QW129" si="407">IF(AND(QR67=$QW$2,CP67&gt;1,CP67&lt;11.5),"BAJO PARA EDAD GESTACIONAL",IF(AND(QR67=$QW$2,CP67&gt;=11.5,CP67&lt;=18),"ADECUADO PARA EDAD GESTACIONAL",IF(AND(QR67=$QW$2,CP67&gt;18,CP67&lt;38),"ALTO PARA EDAD GESTACIONAL","")))</f>
        <v/>
      </c>
      <c r="QX67" s="21" t="str">
        <f t="shared" ref="QX67:QX129" si="408">IF(AND(QR67=$QX$2,CP67&gt;1,CP67&lt;12.5),"BAJO PARA EDAD GESTACIONAL",IF(AND(QR67=$QX$2,CP67&gt;=12.5,CP67&lt;=18),"ADECUADO PARA EDAD GESTACIONAL",IF(AND(QR67=$QX$2,CP67&gt;18,CP67&lt;38),"ALTO PARA EDAD GESTACIONAL","")))</f>
        <v/>
      </c>
      <c r="QY67" s="21" t="str">
        <f t="shared" ref="QY67:QY129" si="409">IF(AND(QR67=$QY$2,CP67&gt;1,CP67&lt;13.5),"BAJO PARA EDAD GESTACIONAL",IF(AND(QR67=$QY$2,CP67&gt;=13.5,CP67&lt;=19),"ADECUADO PARA EDAD GESTACIONAL",IF(AND(QR67=$QY$2,CP67&gt;19,CP67&lt;38),"ALTO PARA EDAD GESTACIONAL","")))</f>
        <v/>
      </c>
      <c r="QZ67" s="21" t="str">
        <f t="shared" ref="QZ67:QZ129" si="410">IF(AND(QR67=$QZ$2,CP67&gt;1,CP67&lt;14),"BAJO PARA EDAD GESTACIONAL",IF(AND(QR67=$QZ$2,CP67&gt;=14,CP67&lt;=19.5),"ADECUADO PARA EDAD GESTACIONAL",IF(AND(QR67=$QZ$2,CP67&gt;19.5,CP67&lt;38),"ALTO PARA EDAD GESTACIONAL","")))</f>
        <v/>
      </c>
      <c r="RA67" s="21" t="str">
        <f t="shared" ref="RA67:RA129" si="411">IF(AND(QR67=$RA$2,CP67&gt;1,CP67&lt;15),"BAJO PARA EDAD GESTACIONAL",IF(AND(QR67=$RA$2,CP67&gt;=15,CP67&lt;=21),"ADECUADO PARA EDAD GESTACIONAL",IF(AND(QR67=$RA$2,CP67&gt;21,CP67&lt;38),"ALTO PARA EDAD GESTACIONAL","")))</f>
        <v/>
      </c>
      <c r="RB67" s="21" t="str">
        <f t="shared" ref="RB67:RB129" si="412">IF(AND(QR67=$RB$2,CP67&gt;1,CP67&lt;15.5),"BAJO PARA EDAD GESTACIONAL",IF(AND(QR67=$RB$2,CP67&gt;=15.5,CP67&lt;=21.5),"ADECUADO PARA EDAD GESTACIONAL",IF(AND(QR67=$RB$2,CP67&gt;21.5,CP67&lt;38),"ALTO PARA EDAD GESTACIONAL","")))</f>
        <v/>
      </c>
      <c r="RC67" s="21" t="str">
        <f t="shared" ref="RC67:RC129" si="413">IF(AND(QR67=$RC$2,CP67&gt;1,CP67&lt;16.5),"BAJO PARA EDAD GESTACIONAL",IF(AND(QR67=$RC$2,CP67&gt;=16.5,CP67&lt;=22.5),"ADECUADO PARA EDAD GESTACIONAL",IF(AND(QR67=$RC$2,CP67&gt;22.5,CP67&lt;38),"ALTO PARA EDAD GESTACIONAL","")))</f>
        <v/>
      </c>
      <c r="RD67" s="21" t="str">
        <f t="shared" ref="RD67:RD129" si="414">IF(AND(QR67=$RD$2,CP67&gt;1,CP67&lt;17.5),"BAJO PARA EDAD GESTACIONAL",IF(AND(QR67=$RD$2,CP67&gt;=17.5,CP67&lt;=23),"ADECUADO PARA EDAD GESTACIONAL",IF(AND(QR67=$RD$2,CP67&gt;23,CP67&lt;38),"ALTO PARA EDAD GESTACIONAL","")))</f>
        <v/>
      </c>
      <c r="RE67" s="21" t="str">
        <f t="shared" ref="RE67:RE129" si="415">IF(AND(QR67=$RE$2,CP67&gt;1,CP67&lt;18.5),"BAJO PARA EDAD GESTACIONAL",IF(AND(QR67=$RE$2,CP67&gt;=18.5,CP67&lt;=24),"ADECUADO PARA EDAD GESTACIONAL",IF(AND(QR67=$RE$2,CP67&gt;24,CP67&lt;38),"ALTO PARA EDAD GESTACIONAL","")))</f>
        <v/>
      </c>
      <c r="RF67" s="21" t="str">
        <f t="shared" ref="RF67:RF129" si="416">IF(AND(QR67=$RF$2,CP67&gt;1,CP67&lt;19.5),"BAJO PARA EDAD GESTACIONAL",IF(AND(QR67=$RF$2,CP67&gt;=19.5,CP67&lt;=25),"ADECUADO PARA EDAD GESTACIONAL",IF(AND(QR67=$RF$2,CP67&gt;25,CP67&lt;38),"ALTO PARA EDAD GESTACIONAL","")))</f>
        <v/>
      </c>
      <c r="RG67" s="21" t="str">
        <f t="shared" ref="RG67:RG129" si="417">IF(AND(QR67=$RG$2,CP67&gt;1,CP67&lt;20),"BAJO PARA EDAD GESTACIONAL",IF(AND(QR67=$RG$2,CP67&gt;=20,CP67&lt;=25.5),"ADECUADO PARA EDAD GESTACIONAL",IF(AND(QR67=$RG$2,CP67&gt;25.5,CP67&lt;38),"ALTO PARA EDAD GESTACIONAL","")))</f>
        <v/>
      </c>
      <c r="RH67" s="21" t="str">
        <f t="shared" ref="RH67:RH129" si="418">IF(AND(QR67=$RH$2,CP67&gt;1,CP67&lt;20.5),"BAJO PARA EDAD GESTACIONAL",IF(AND(QR67=$RH$2,CP67&gt;=20.5,CP67&lt;=26.5),"ADECUADO PARA EDAD GESTACIONAL",IF(AND(QR67=$RH$2,CP67&gt;26.5,CP67&lt;38),"ALTO PARA EDAD GESTACIONAL","")))</f>
        <v/>
      </c>
      <c r="RI67" s="21" t="str">
        <f t="shared" ref="RI67:RI129" si="419">IF(AND(QR67=$RI$2,CP67&gt;1,CP67&lt;21),"BAJO PARA EDAD GESTACIONAL",IF(AND(QR67=$RI$2,CP67&gt;=21,CP67&lt;=27),"ADECUADO PARA EDAD GESTACIONAL",IF(AND(QR67=$RI$2,CP67&gt;27,CP67&lt;38),"ALTO PARA EDAD GESTACIONAL","")))</f>
        <v/>
      </c>
      <c r="RJ67" s="21" t="str">
        <f t="shared" ref="RJ67:RJ129" si="420">IF(AND(QR67=$RJ$2,CP67&gt;1,CP67&lt;22.5),"BAJO PARA EDAD GESTACIONAL",IF(AND(QR67=$RJ$2,CP67&gt;=22.5,CP67&lt;=28),"ADECUADO PARA EDAD GESTACIONAL",IF(AND(QR67=$RJ$2,CP67&gt;28,CP67&lt;38),"ALTO PARA EDAD GESTACIONAL","")))</f>
        <v/>
      </c>
      <c r="RK67" s="21" t="str">
        <f t="shared" ref="RK67:RK129" si="421">IF(AND(QR67=$RK$2,CP67&gt;1,CP67&lt;23.5),"BAJO PARA EDAD GESTACIONAL",IF(AND(QR67=$RK$2,CP67&gt;=23.5,CP67&lt;=29),"ADECUADO PARA EDAD GESTACIONAL",IF(AND(QR67=$RK$2,CP67&gt;29,CP67&lt;38),"ALTO PARA EDAD GESTACIONAL","")))</f>
        <v/>
      </c>
      <c r="RL67" s="21" t="str">
        <f t="shared" ref="RL67:RL129" si="422">IF(AND(QR67=$RL$2,CP67&gt;1,CP67&lt;24),"BAJO PARA EDAD GESTACIONAL",IF(AND(QR67=$RL$2,CP67&gt;=24,CP67&lt;=29.5),"ADECUADO PARA EDAD GESTACIONAL",IF(AND(QR67=$RL$2,CP67&gt;29.5,CP67&lt;38),"ALTO PARA EDAD GESTACIONAL","")))</f>
        <v/>
      </c>
      <c r="RM67" s="21" t="str">
        <f t="shared" ref="RM67:RM129" si="423">IF(AND(QR67=$RM$2,CP67&gt;1,CP67&lt;25),"BAJO PARA EDAD GESTACIONAL",IF(AND(QR67=$RM$2,CP67&gt;=25,CP67&lt;=30),"ADECUADO PARA EDAD GESTACIONAL",IF(AND(QR67=$RM$2,CP67&gt;30,CP67&lt;38),"ALTO PARA EDAD GESTACIONAL","")))</f>
        <v/>
      </c>
      <c r="RN67" s="21" t="str">
        <f t="shared" ref="RN67:RN129" si="424">IF(AND(QR67=$RN$2,CP67&gt;1,CP67&lt;25.5),"BAJO PARA EDAD GESTACIONAL",IF(AND(QR67=$RN$2,CP67&gt;=25.5,CP67&lt;=31),"ADECUADO PARA EDAD GESTACIONAL",IF(AND(QR67=$RN$2,CP67&gt;31,CP67&lt;38),"ALTO PARA EDAD GESTACIONAL","")))</f>
        <v/>
      </c>
      <c r="RO67" s="21" t="str">
        <f t="shared" ref="RO67:RO129" si="425">IF(AND(QR67=$RO$2,CP67&gt;1,CP67&lt;26),"BAJO PARA EDAD GESTACIONAL",IF(AND(QR67=$RO$2,CP67&gt;=26,CP67&lt;=32),"ADECUADO PARA EDAD GESTACIONAL",IF(AND(QR67=$RO$2,CP67&gt;32,CP67&lt;38),"ALTO PARA EDAD GESTACIONAL","")))</f>
        <v/>
      </c>
      <c r="RP67" s="21" t="str">
        <f t="shared" ref="RP67:RP129" si="426">IF(AND(QR67=$RP$2,CP67&gt;1,CP67&lt;26.5),"BAJO PARA EDAD GESTACIONAL",IF(AND(QR67=$RP$2,CP67&gt;=26.5,CP67&lt;=33),"ADECUADO PARA EDAD GESTACIONAL",IF(AND(QR67=$RP$2,CP67&gt;33,CP67&lt;38),"ALTO PARA EDAD GESTACIONAL","")))</f>
        <v/>
      </c>
      <c r="RQ67" s="21" t="str">
        <f t="shared" ref="RQ67:RQ129" si="427">IF(AND(QR67=$RQ$2,CP67&gt;1,CP67&lt;28),"BAJO PARA EDAD GESTACIONAL",IF(AND(QR67=$RQ$2,CP67&gt;=28,CP67&lt;=33),"ADECUADO PARA EDAD GESTACIONAL",IF(AND(QR67=$RQ$2,CP67&gt;33,CP67&lt;38),"ALTO PARA EDAD GESTACIONAL","")))</f>
        <v/>
      </c>
      <c r="RR67" s="21" t="str">
        <f t="shared" ref="RR67:RR129" si="428">IF(AND(QR67=$RR$2,CP67&gt;1,CP67&lt;28.5),"BAJO PARA EDAD GESTACIONAL",IF(AND(QR67=$RR$2,CP67&gt;=28.5,CP67&lt;=34),"ADECUADO PARA EDAD GESTACIONAL",IF(AND(QR67=$RR$2,CP67&gt;34,CP67&lt;38),"ALTO PARA EDAD GESTACIONAL","")))</f>
        <v/>
      </c>
      <c r="RS67" s="21" t="str">
        <f t="shared" ref="RS67:RS129" si="429">IF(AND(QR67=$RS$2,CP67&gt;1,CP67&lt;29.5),"BAJO PARA EDAD GESTACIONAL",IF(AND(QR67=$RS$2,CP67&gt;=29.5,CP67&lt;=34),"ADECUADO PARA EDAD GESTACIONAL",IF(AND(QR67=$RS$2,CP67&gt;34,CP67&lt;38),"ALTO PARA EDAD GESTACIONAL","")))</f>
        <v/>
      </c>
      <c r="RT67" s="21" t="str">
        <f t="shared" ref="RT67:RT129" si="430">IF(AND(QR67=$RT$2,CP67&gt;1,CP67&lt;30.5),"BAJO PARA EDAD GESTACIONAL",IF(AND(QR67=$RT$2,CP67&gt;=30.5,CP67&lt;=34),"ADECUADO PARA EDAD GESTACIONAL",IF(AND(QR67=$RT$2,CP67&gt;34,CP67&lt;38),"ALTO PARA EDAD GESTACIONAL","")))</f>
        <v/>
      </c>
      <c r="RU67" s="21" t="str">
        <f t="shared" ref="RU67:RU129" si="431">IF(AND(QR67=$RU$2,CP67&gt;1,CP67&lt;31),"BAJO PARA EDAD GESTACIONAL",IF(AND(QR67=$RU$2,CP67&gt;=31,CP67&lt;=34.5),"ADECUADO PARA EDAD GESTACIONAL",IF(AND(QR67=$RU$2,CP67&gt;34.5,CP67&lt;38),"ALTO PARA EDAD GESTACIONAL","")))</f>
        <v/>
      </c>
      <c r="RV67" s="21">
        <f t="shared" ref="RV67:RV129" si="432">IF(AND(R67="",HQ67=""),"",IF(SUM((HQ67-RW67)/7)&gt;43.1,"",IF(SUM((HQ67-RW67)/7)&lt;0,-1,SUM((HQ67-RW67)/7))))</f>
        <v>10.285714285714286</v>
      </c>
      <c r="RW67" s="284">
        <f>IF(OR(Tabla1[[#This Row],[FUM FORMULA CONFIABLE]]="",Tabla1[[#This Row],[FUM FORMULA CONFIABLE]]="SD"),"",IF(Tabla1[[#This Row],[FUM FORMULA CONFIABLE]]="CORREGIDA",Tabla1[[#This Row],[FUM X ECO 1]],Tabla1[[#This Row],[FUM x AMENORREA]]))</f>
        <v>44837</v>
      </c>
      <c r="RX67" s="21">
        <f>IF(AND(Tabla1[[#This Row],[FUM X ECO 1]]="",Tabla1[[#This Row],[FUM x AMENORREA]]=""),"",IF(AND(Tabla1[[#This Row],[FUM X ECO 1]]="",Tabla1[[#This Row],[FUM x AMENORREA]]&lt;&gt;""),"X",SUM(Tabla1[[#This Row],[FUM X ECO 1]]-Tabla1[[#This Row],[FUM x AMENORREA]])))</f>
        <v>1.1999999999970896</v>
      </c>
      <c r="RY67" s="21">
        <f t="shared" si="193"/>
        <v>0</v>
      </c>
    </row>
    <row r="68" spans="1:493" ht="45" customHeight="1" x14ac:dyDescent="0.25">
      <c r="A68" s="109"/>
      <c r="B68" s="43" t="s">
        <v>946</v>
      </c>
      <c r="C68" s="43" t="s">
        <v>845</v>
      </c>
      <c r="D68" s="124" t="s">
        <v>846</v>
      </c>
      <c r="E68" s="43" t="s">
        <v>1205</v>
      </c>
      <c r="F68" s="43" t="s">
        <v>1206</v>
      </c>
      <c r="G68" s="43" t="s">
        <v>1090</v>
      </c>
      <c r="H68" s="43" t="s">
        <v>1207</v>
      </c>
      <c r="I68" s="109" t="s">
        <v>851</v>
      </c>
      <c r="J68" s="110">
        <v>1002848281</v>
      </c>
      <c r="K68" s="43" t="s">
        <v>852</v>
      </c>
      <c r="L68" s="175" t="s">
        <v>853</v>
      </c>
      <c r="M68" s="22">
        <v>37978</v>
      </c>
      <c r="N68" s="213">
        <f t="shared" ca="1" si="252"/>
        <v>19.873972602739727</v>
      </c>
      <c r="O68" s="22">
        <v>44909</v>
      </c>
      <c r="P68" s="214" t="str">
        <f t="shared" si="253"/>
        <v>SI</v>
      </c>
      <c r="Q68" s="26" t="s">
        <v>855</v>
      </c>
      <c r="R68" s="22">
        <v>44909</v>
      </c>
      <c r="S68" s="21" t="s">
        <v>856</v>
      </c>
      <c r="T68" s="24" t="s">
        <v>690</v>
      </c>
      <c r="U68" s="21" t="s">
        <v>857</v>
      </c>
      <c r="V68" s="21" t="s">
        <v>858</v>
      </c>
      <c r="W68" s="21" t="s">
        <v>951</v>
      </c>
      <c r="X68" s="21" t="s">
        <v>951</v>
      </c>
      <c r="Y68" s="21" t="s">
        <v>859</v>
      </c>
      <c r="Z68" s="21">
        <v>3146905734</v>
      </c>
      <c r="AA68" s="21" t="s">
        <v>860</v>
      </c>
      <c r="AB68" s="27" t="s">
        <v>861</v>
      </c>
      <c r="AC68" s="26" t="s">
        <v>862</v>
      </c>
      <c r="AD68" s="38" t="s">
        <v>846</v>
      </c>
      <c r="AE68" s="26" t="s">
        <v>854</v>
      </c>
      <c r="AF68" s="26" t="s">
        <v>854</v>
      </c>
      <c r="AG68" s="23" t="s">
        <v>864</v>
      </c>
      <c r="AH68" s="23" t="s">
        <v>864</v>
      </c>
      <c r="AI68" s="24" t="s">
        <v>863</v>
      </c>
      <c r="AJ68" s="23" t="s">
        <v>864</v>
      </c>
      <c r="AK68" s="220" t="str">
        <f>IF(AND(AD68="",AE68="",AF68="",AG68="",AH68="",AI68="",AJ68=""),"",IF(OR(Tabla1[[#This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EVALUACIÓN",IF(AND(O68="",R68=""),"",IF(AND(OR(O68&gt;0,R68&gt;0),NG68&gt;=0,NG68&lt;2),"SIN RIESGO",IF(AND(OR(O68&gt;0,R68&gt;0),NG68&gt;=2),"CON RIESGO","ASD")))))</f>
        <v>SIN RIESGO</v>
      </c>
      <c r="AL68" s="23" t="s">
        <v>864</v>
      </c>
      <c r="AM68" s="26" t="s">
        <v>864</v>
      </c>
      <c r="AN68" s="26" t="s">
        <v>864</v>
      </c>
      <c r="AO68" s="26" t="s">
        <v>864</v>
      </c>
      <c r="AP68" s="26" t="s">
        <v>864</v>
      </c>
      <c r="AQ68" s="26" t="s">
        <v>864</v>
      </c>
      <c r="AR68" s="26" t="s">
        <v>864</v>
      </c>
      <c r="AS68" s="21">
        <v>0</v>
      </c>
      <c r="AT68" s="21">
        <v>0</v>
      </c>
      <c r="AU68" s="21">
        <v>0</v>
      </c>
      <c r="AV68" s="26" t="s">
        <v>1065</v>
      </c>
      <c r="AW68" s="21">
        <v>0</v>
      </c>
      <c r="AX68" s="26" t="s">
        <v>864</v>
      </c>
      <c r="AY68" s="26" t="s">
        <v>864</v>
      </c>
      <c r="AZ68" s="26" t="s">
        <v>864</v>
      </c>
      <c r="BA68" s="26" t="s">
        <v>864</v>
      </c>
      <c r="BB68" s="26" t="s">
        <v>864</v>
      </c>
      <c r="BC68" s="26" t="s">
        <v>864</v>
      </c>
      <c r="BD68" s="26" t="s">
        <v>864</v>
      </c>
      <c r="BE68" s="26" t="s">
        <v>864</v>
      </c>
      <c r="BF68" s="26" t="s">
        <v>864</v>
      </c>
      <c r="BG68" s="26" t="s">
        <v>864</v>
      </c>
      <c r="BH68" s="26" t="s">
        <v>864</v>
      </c>
      <c r="BI68" s="26" t="s">
        <v>864</v>
      </c>
      <c r="BJ68" s="26"/>
      <c r="BK68" s="26"/>
      <c r="BL68" s="26" t="s">
        <v>864</v>
      </c>
      <c r="BM68" s="26" t="s">
        <v>864</v>
      </c>
      <c r="BN68" s="22"/>
      <c r="BO68" s="22">
        <v>44784</v>
      </c>
      <c r="BP68" s="21" t="s">
        <v>854</v>
      </c>
      <c r="BQ68" s="222">
        <f t="shared" si="254"/>
        <v>0</v>
      </c>
      <c r="BR68" s="223">
        <f t="shared" si="255"/>
        <v>44784.3</v>
      </c>
      <c r="BS68" s="224">
        <f t="shared" si="256"/>
        <v>17.857142857142858</v>
      </c>
      <c r="BT68" s="216" t="str">
        <f t="shared" si="257"/>
        <v>II TRIM</v>
      </c>
      <c r="BU68" s="214" t="str">
        <f t="shared" ca="1" si="258"/>
        <v/>
      </c>
      <c r="BV68" s="25"/>
      <c r="BW68" s="22">
        <v>44918</v>
      </c>
      <c r="BX68" s="28">
        <v>19.100000000000001</v>
      </c>
      <c r="BY68" s="28"/>
      <c r="BZ68" s="22">
        <v>44995</v>
      </c>
      <c r="CA68" s="21">
        <v>29.4</v>
      </c>
      <c r="CB68" s="26" t="s">
        <v>864</v>
      </c>
      <c r="CC68" s="26" t="s">
        <v>864</v>
      </c>
      <c r="CD68" s="26" t="s">
        <v>878</v>
      </c>
      <c r="CE68" s="26" t="s">
        <v>864</v>
      </c>
      <c r="CF68" s="22" t="s">
        <v>1517</v>
      </c>
      <c r="CG68" s="21">
        <v>1.46</v>
      </c>
      <c r="CH68" s="21">
        <v>59</v>
      </c>
      <c r="CI68" s="214">
        <f t="shared" si="259"/>
        <v>27.678738975417531</v>
      </c>
      <c r="CJ68" s="225" t="e">
        <f>IF(AND(CI68&lt;10,CH68="SD"),"SIN DATO PESO PREGESTACION O I TRIM",IF(AND(OR(R68&gt;0,O68&gt;0),CI68="X"),"INGRESAR DATO DE PESO",IF(CI68="SD","INGRESAR DATO DE TALLA Y PESO",IF(AND(OR(Tabla1[[#This Row],[MOMENTO EN QUE SE REALIZA EL PESO AL INGRESO A CPN]]="PREGESTACIÓN",NZ68="Menor"),CI68&lt;18.5),"BAJO PESO",IF(AND(OR(Tabla1[[#This Row],[MOMENTO EN QUE SE REALIZA EL PESO AL INGRESO A CPN]]="PREGESTACIÓN",NZ68="Menor"),CI68&lt;25),"NORMAL",IF(AND(OR(Tabla1[[#This Row],[MOMENTO EN QUE SE REALIZA EL PESO AL INGRESO A CPN]]="PREGESTACIÓN",NZ68="Menor"),CI68&lt;30),"SOBREPESO",IF(AND(OR(Tabla1[[#This Row],[MOMENTO EN QUE SE REALIZA EL PESO AL INGRESO A CPN]]="PREGESTACIÓN",NZ68="Menor"),CI68&gt;=30,CI68&lt;50),"OBESIDAD",IF(AND(BS68&gt;0,Tabla1[[#This Row],[MOMENTO EN QUE SE REALIZA EL PESO AL INGRESO A CPN]]="GESTACIÓN"),HLOOKUP(NZ68,$OA$2:PH68,NY68),""))))))))</f>
        <v>#REF!</v>
      </c>
      <c r="CK68" s="212">
        <f t="shared" si="260"/>
        <v>45048</v>
      </c>
      <c r="CL68" s="21"/>
      <c r="CM68" s="214">
        <f t="shared" si="261"/>
        <v>0</v>
      </c>
      <c r="CN68" s="216">
        <f t="shared" si="262"/>
        <v>37</v>
      </c>
      <c r="CO68" s="216" t="e">
        <f>IF(PI68="","",IF(PI68&gt;0,HLOOKUP(PI68,$PJ$2:QQ68,NY68),""))</f>
        <v>#REF!</v>
      </c>
      <c r="CP68" s="21">
        <v>30</v>
      </c>
      <c r="CQ68" s="216" t="e">
        <f>IF(QR68="Menor","NO APLICA-MENOR 13 SEM",IF(AND(CC68="SI",CN68&gt;23),"NO APLICA- GEMELAR",IF(QR68="","",IF(QR68&gt;0,HLOOKUP(QR68,$QS$2:RU68,NY68),""))))</f>
        <v>#REF!</v>
      </c>
      <c r="CR68" s="21">
        <v>110</v>
      </c>
      <c r="CS68" s="21">
        <v>60</v>
      </c>
      <c r="CT68" s="217" t="str">
        <f>IF(R68="","",IF(AND(BS68&gt;1,BS68&lt;12,Tabla1[[#This Row],[T.A. SISTOLICA - ANTES DE SEMANA 12]]="",Tabla1[[#This Row],[T.A. DIASTOLICA - ANTES DE SEMANA 12]]=""),"REGISTRE DATO TA ANTES SEMANA 12",IF(AND(BS68&gt;11,BS68&lt;43,Tabla1[[#This Row],[T.A. SISTOLICA - ANTES DE SEMANA 12]]="",Tabla1[[#This Row],[T.A. DIASTOLICA - ANTES DE SEMANA 12]]=""),"NO APLICA REGISTRO TA-INGRESO TARDIO",IF(AND(OR(O68&gt;0,R68&gt;0),OR(CR68&gt;=140,CS68&gt;=90)),"DEFINIR ESTADIO HTA",IF(AND(OR(O68&gt;0,R68&gt;0),AND(CR68&gt;120,CR68&lt;=139)),"PRE HTA SEGUIMIENTO",IF(AND(OR(O68&gt;0,R68&gt;0),AND(CS68&gt;80,CS68&lt;=89)),"PRE HTA SEGUIMIENTO",IF(AND(OR(O68&gt;0,R68&gt;0),AND(CR68&gt;=80,CR68&lt;=120)),"APARENTEMENTE NORMAL",IF(AND(OR(O68&gt;0,R68&gt;0),AND(CS68&gt;=50,CS68&lt;=80)),"APARENTEMENTE NORMAL",IF(AND(OR(O68&gt;0,R68&gt;0),AND(CR68&gt;1,CR68&lt;=70),AND(CS68&gt;1,CS68&lt;=40)),"HIPOTENSIÓN","")))))))))</f>
        <v>APARENTEMENTE NORMAL</v>
      </c>
      <c r="CU68" s="21">
        <v>100</v>
      </c>
      <c r="CV68" s="21">
        <v>60</v>
      </c>
      <c r="CW68" s="217" t="str">
        <f ca="1">IF(R68="","",IF(AND(CN68&gt;19,CN68&lt;27,Tabla1[[#This Row],[T.A. SISTOLICA (Entre semana 20 y 26)]]="",Tabla1[[#This Row],[T.A. DIATOLICA (Entre semana 20 y 26)]]=""),"ACUDE A CONTROL SEM 20 A 26 REGISTRE TA AHORA",IF(AND(BS68&gt;1,BS68&lt;27,BU68&gt;19,Tabla1[[#This Row],[T.A. SISTOLICA (Entre semana 20 y 26)]]="",Tabla1[[#This Row],[T.A. DIATOLICA (Entre semana 20 y 26)]]=""),"COMPLETE REGISTRO TA CONTROL SEM 20 A26 ",IF(AND(BS68&gt;26,BS68&lt;43,Tabla1[[#This Row],[T.A. SISTOLICA (Entre semana 20 y 26)]]="",Tabla1[[#This Row],[T.A. DIATOLICA (Entre semana 20 y 26)]]=""),"NO APLICA REGISTRO TA-INGRESO TARDIO",IF(AND(OR(O68&gt;0,R68&gt;0),OR(CU68&gt;=140,CV68&gt;=90)),"ALTO RIESGO PREECLAMPSIA,DEFINIR ESTADIO HTA",IF(AND(OR(O68&gt;0,R68&gt;0),AND(CU68&gt;120,CU68&lt;=139)),"PRE HTA SEGUIMIENTO,RIESGO HIPERTENSION INDUCIDA POR EL EMBARAZO",IF(AND(OR(O68&gt;0,R68&gt;0),AND(CV68&gt;80,CV68&lt;=89)),"PRE HTA SEGUIMIENTO, RIESGO HIPERTENSION INDUCIDA POR EL EMBARAZO",IF(AND(OR(O68&lt;&gt;"",R68&lt;&gt;""),CS68&lt;&gt;"",CV68&lt;&gt;"",CS68&lt;=CV68),"VIGILAR CIFRAS PRESION ARTERIAL",IF(AND(OR(O68&gt;0,R68&gt;0),AND(CU68&gt;120,CU68&lt;=139)),"PRE HTA SEGUIMIENTO",IF(AND(OR(O68&gt;0,R68&gt;0),AND(CU68&gt;1,CU68&lt;=70),AND(CV68&gt;1,CV68&lt;=40)),"HIPOTENSIÓN",IF(AND(OR(O68&lt;&gt;"",R68&lt;&gt;""),CS68&lt;&gt;"",CV68&lt;&gt;"",CS68&gt;CV68),"APARENTEMENTE NORMAL",IF(AND(OR(O68&gt;0,R68&gt;0),AND(CU68&gt;=80,CU68&lt;=120)),"APARENTEMENTE NORMAL",IF(AND(OR(O68&gt;0,R68&gt;0),AND(CV68&gt;=50,CV68&lt;=80)),"APARENTEMENTE NORMAL","")))))))))))))</f>
        <v>VIGILAR CIFRAS PRESION ARTERIAL</v>
      </c>
      <c r="CX68" s="21"/>
      <c r="CY68" s="21"/>
      <c r="CZ68" s="216" t="str">
        <f t="shared" si="263"/>
        <v/>
      </c>
      <c r="DA68" s="21">
        <v>100</v>
      </c>
      <c r="DB68" s="21">
        <v>60</v>
      </c>
      <c r="DC68" s="217" t="str">
        <f t="shared" si="264"/>
        <v>APARENTEMENTE NORMAL</v>
      </c>
      <c r="DD68" s="22">
        <v>44909</v>
      </c>
      <c r="DE68" s="22">
        <v>44909</v>
      </c>
      <c r="DF68" s="22">
        <v>44961</v>
      </c>
      <c r="DG68" s="22">
        <v>44994</v>
      </c>
      <c r="DH68" s="22">
        <v>45048</v>
      </c>
      <c r="DI68" s="22"/>
      <c r="DJ68" s="22"/>
      <c r="DK68" s="22"/>
      <c r="DL68" s="22"/>
      <c r="DM68" s="22"/>
      <c r="DN68" s="22"/>
      <c r="DO68" s="22"/>
      <c r="DP68" s="22"/>
      <c r="DQ68" s="22"/>
      <c r="DR68" s="28">
        <v>1</v>
      </c>
      <c r="DS68" s="22"/>
      <c r="DT68" s="22"/>
      <c r="DU68" s="216" t="str">
        <f t="shared" ca="1" si="265"/>
        <v>SALE SIN PLAN DE PARTO</v>
      </c>
      <c r="DV68" s="226" t="str">
        <f t="shared" si="197"/>
        <v>SALIO PROGRAMA</v>
      </c>
      <c r="DW68"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68" s="216" t="str">
        <f t="shared" ca="1" si="266"/>
        <v/>
      </c>
      <c r="DY68" s="212">
        <f>IF(R68="","",IF(R68&gt;0,MAX(Tabla1[[#This Row],[FECHA C2]:[FECHA C13]],Tabla1[[#This Row],[FECHA CONSULTA PRIMERA VEZ PROGRAMA CPN ]])))</f>
        <v>45048</v>
      </c>
      <c r="DZ68" s="216">
        <f t="shared" si="267"/>
        <v>37</v>
      </c>
      <c r="EA68" s="222">
        <f>IF(R68&gt;0,SUM(COUNTA(DF68:DQ68)+COUNTA(Tabla1[[#This Row],[FECHA CONSULTA PRIMERA VEZ PROGRAMA CPN ]])),"")</f>
        <v>4</v>
      </c>
      <c r="EB68" s="222" t="str">
        <f t="shared" si="268"/>
        <v>SI</v>
      </c>
      <c r="EC68" s="214">
        <f t="shared" si="269"/>
        <v>7</v>
      </c>
      <c r="ED68" s="227">
        <f t="shared" si="270"/>
        <v>0.5714285714285714</v>
      </c>
      <c r="EE68" s="22">
        <v>44909</v>
      </c>
      <c r="EF68" s="22">
        <v>44916</v>
      </c>
      <c r="EG68" s="22">
        <v>44909</v>
      </c>
      <c r="EH68" s="22"/>
      <c r="EI68" s="22">
        <v>44909</v>
      </c>
      <c r="EJ68" s="22"/>
      <c r="EK68" s="22"/>
      <c r="EL68" s="21"/>
      <c r="EM68" s="21">
        <v>12.9</v>
      </c>
      <c r="EN68" s="22">
        <v>44916</v>
      </c>
      <c r="EO68" s="222">
        <f t="shared" si="271"/>
        <v>18.857142857142858</v>
      </c>
      <c r="EP68" s="214" t="str">
        <f t="shared" si="272"/>
        <v>NORMAL- SUMINISTRAR SULFATO FERROSO</v>
      </c>
      <c r="EQ68" s="216" t="str">
        <f t="shared" si="273"/>
        <v>II TRIM</v>
      </c>
      <c r="ER68" s="24"/>
      <c r="ES68" s="22"/>
      <c r="ET68" s="29" t="str">
        <f t="shared" ca="1" si="274"/>
        <v>SALE SIN TAMIZAJE HEMOGLOBINA SEM 28</v>
      </c>
      <c r="EU68" s="25" t="str">
        <f t="shared" si="275"/>
        <v/>
      </c>
      <c r="EV68" s="24" t="s">
        <v>866</v>
      </c>
      <c r="EW68" s="24">
        <v>44916</v>
      </c>
      <c r="EX68" s="22"/>
      <c r="EY68" s="29">
        <f t="shared" si="248"/>
        <v>18.857142857142858</v>
      </c>
      <c r="EZ68" s="25" t="str">
        <f t="shared" ca="1" si="249"/>
        <v/>
      </c>
      <c r="FA68" s="21">
        <v>80</v>
      </c>
      <c r="FB68" s="22">
        <v>44916</v>
      </c>
      <c r="FC68" s="29">
        <f t="shared" si="276"/>
        <v>18.857142857142858</v>
      </c>
      <c r="FD68" s="29">
        <v>60</v>
      </c>
      <c r="FE68" s="29">
        <v>115</v>
      </c>
      <c r="FF68" s="29">
        <v>99</v>
      </c>
      <c r="FG68" s="21" t="str">
        <f t="shared" ca="1" si="277"/>
        <v>NORMAL</v>
      </c>
      <c r="FH68" s="31">
        <v>44995</v>
      </c>
      <c r="FI68" s="29">
        <f t="shared" si="278"/>
        <v>30.142857142857142</v>
      </c>
      <c r="FJ68" s="22"/>
      <c r="FK68" s="22"/>
      <c r="FL68" s="29" t="str">
        <f t="shared" ca="1" si="279"/>
        <v>NO APLICA-INGRESO TARDIO</v>
      </c>
      <c r="FM68" s="22" t="s">
        <v>867</v>
      </c>
      <c r="FN68" s="32">
        <v>44916</v>
      </c>
      <c r="FO68" s="29">
        <f ca="1">IF(AND(BT68="ERROR FUM O INGRESO",FN68&gt;0),"ERROR FUM O INGRESO",IF(AND(FN68="",R68="",O68=""),"",IF(AND(FN68&lt;&gt;"",FN68&lt;RW68), "INCOHERENCIA FUM Y FECHA TAMIZAJE",IF(AND(FN68="",DV68="ACTIVA INGRESO A CPN",AND(BU68&gt;0,BU68&lt;13)),"EN ESPERA-ESTÁ I TRIM", IF(AND(FN68="",AND(BS68&gt;0, BS68&lt;13),OR(O68&gt;0,R68&gt;0),AND(IP68&gt;0,IP68&lt;13)),"NO APLICA-SALIO DEL PROGRAMA I TRIM",IF(AND(FN68&lt;&gt;"",AND(SUM((FN68-RW68)/7)&gt;0,SUM((FN68-RW68)/7)&lt;13)),"REGISTRAR EN I TRIMESTRE",IF(AND(FN68&lt;&gt;"",AND(SUM((FN68-RW68)/7)&gt;=27,SUM((FN68-RW68)/7)&lt;44)),"REGISTRAR EN III TRIMESTRE",IF(AND(FN68="",OR(O68&gt;0,R68&gt;0),AND(BU68&gt;=13,BU68&lt;24),DV68="ACTIVA INGRESO A CPN"),"EN RANGO PARA TOMAR EXAMEN",IF(AND(FN68="",OR(O68&gt;0,R68&gt;0),AND(BU68&gt;=25,BU68&lt;27),DV68="ACTIVA INGRESO A CPN"),"TOMA INMEDIATA DE TAMIZAJE",IF(AND(FN68="",OR(O68&gt;0,R68&gt;0),AND(BS68&gt;=27,BS68&lt;44)),"NO APLICA-INGRESO TARDIO",IF(AND(FN68="",BS68&lt;27,OR(AND(IP68&gt;12,IP68&lt;44),BU68&gt;12)),"PIERDE TOMA DE TAMIZAJE",IF(FN68&gt;0,SUM(FN68-RW68)/7,""))))))))))))</f>
        <v>18.857142857142858</v>
      </c>
      <c r="FP68" s="22" t="s">
        <v>867</v>
      </c>
      <c r="FQ68" s="32">
        <v>44995</v>
      </c>
      <c r="FR68" s="29">
        <f ca="1">IF(AND(BT68="ERROR FUM O INGRESO",FQ68&gt;0),"ERROR FUM O INGRESO",IF(AND(FQ68="",R68="",O68=""),"",IF(AND(FQ68&lt;&gt;"",FQ68&lt;RW68), "INCOHERENCIA FUM Y FECHA TAMIZAJE",IF(AND(FQ68="",DV68="ACTIVA INGRESO A CPN",AND(BU68&gt;0,BU68&lt;27)),"EN ESPERA-ESTÁ I TRIM O II TRIM", IF(AND(FQ68="",AND(BS68&gt;0, BS68&lt;27),OR(O68&gt;0,R68&gt;0),AND(IP68&gt;0,IP68&lt;27)),"NO APLICA-SALIO DEL PROGRAMA I O II TRIM",IF(AND(FQ68&lt;&gt;"",AND(SUM((FQ68-RW68)/7)&gt;0,SUM((FQ68-RW68)/7)&lt;13)),"REGISTAR EN I TRIMESTRE",IF(AND(FQ68&lt;&gt;"",AND(SUM((FQ68-RW68)/7)&gt;=13,SUM((FQ68-RW68)/7)&lt;27)),"REGISTRAR EN II TRIMESTRE",IF(AND(FQ68="",OR(O68&gt;0,R68&gt;0),AND(BU68&gt;=28,BU68&lt;35),DV68="ACTIVA INGRESO A CPN"),"EN RANGO PARA TOMAR EXAMEN",IF(AND(FQ68="",OR(O68&gt;0,R68&gt;0),BU68&gt;=35, DV68="ACTIVA INGRESO A CPN"),"TOMA INMEDIATA DE TAMIZAJE",IF(AND(FQ68="",DV68= "SALE SIN INGRESO CPN"),"NO APLICA-SIN CPN",IF(AND(FQ68="",AND(IP68&gt;26,IP68&lt;43)),"PIERDE TOMA DE TAMIZAJE",IF(FQ68&gt;0,SUM(FQ68-RW68)/7,""))))))))))))</f>
        <v>30.142857142857142</v>
      </c>
      <c r="FS68" s="22"/>
      <c r="FT68" s="32"/>
      <c r="FU68" s="29" t="str">
        <f>IF(AND(FJ68="",FM68="",FP68="",FS68=""),"",IF(OR(OR(Tabla1[[#This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68" s="28"/>
      <c r="FW68" s="22"/>
      <c r="FX68" s="29" t="str">
        <f t="shared" si="280"/>
        <v>TOMAR EXAMEN</v>
      </c>
      <c r="FY68" s="22">
        <v>44916</v>
      </c>
      <c r="FZ68" s="22">
        <v>44916</v>
      </c>
      <c r="GA68" s="29" t="str">
        <f t="shared" si="250"/>
        <v>REGISTRAR EN II TRIMESTRE</v>
      </c>
      <c r="GB68" s="22" t="s">
        <v>868</v>
      </c>
      <c r="GC68" s="22">
        <v>44916</v>
      </c>
      <c r="GD68" s="29">
        <f t="shared" ca="1" si="281"/>
        <v>18.857142857142858</v>
      </c>
      <c r="GE68" s="22" t="s">
        <v>868</v>
      </c>
      <c r="GF68" s="22">
        <v>44995</v>
      </c>
      <c r="GG68" s="29">
        <f t="shared" ca="1" si="282"/>
        <v>30.142857142857142</v>
      </c>
      <c r="GH68" s="22"/>
      <c r="GI68" s="29"/>
      <c r="GJ68" s="22"/>
      <c r="GK68" s="22"/>
      <c r="GL68" s="22"/>
      <c r="GM68" s="22"/>
      <c r="GN68" s="28" t="s">
        <v>869</v>
      </c>
      <c r="GO68" s="22">
        <v>44916</v>
      </c>
      <c r="GP68" s="29">
        <f t="shared" si="283"/>
        <v>18.857142857142858</v>
      </c>
      <c r="GQ68" s="28" t="s">
        <v>869</v>
      </c>
      <c r="GR68" s="28" t="s">
        <v>869</v>
      </c>
      <c r="GS68" s="22" t="str">
        <f t="shared" si="284"/>
        <v>CONTROL Igm</v>
      </c>
      <c r="GT68" s="22">
        <v>44916</v>
      </c>
      <c r="GU68" s="29">
        <f t="shared" si="285"/>
        <v>18.857142857142858</v>
      </c>
      <c r="GV68" s="21" t="str">
        <f t="shared" si="286"/>
        <v>II TRIM</v>
      </c>
      <c r="GW68" s="28" t="s">
        <v>869</v>
      </c>
      <c r="GX68" s="30"/>
      <c r="GY68" s="21"/>
      <c r="GZ68" s="21"/>
      <c r="HA68" s="21"/>
      <c r="HB68" s="21"/>
      <c r="HC68" s="21"/>
      <c r="HD68" s="21"/>
      <c r="HE68" s="21"/>
      <c r="HF68" s="22"/>
      <c r="HG68" s="22" t="str">
        <f>IF(OR(O68&gt;0,R68&gt;0),CONCATENATE(IF(Tabla1[[#This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68" s="22" t="e">
        <f t="shared" si="287"/>
        <v>#REF!</v>
      </c>
      <c r="HI68" s="22" t="e">
        <f t="shared" ca="1" si="288"/>
        <v>#REF!</v>
      </c>
      <c r="HJ68" s="21" t="str">
        <f t="shared" ca="1" si="289"/>
        <v>**********************MULTIPARIDAD*****************</v>
      </c>
      <c r="HK68" s="21" t="str">
        <f t="shared" si="290"/>
        <v>SIN ANTECEDENTES DE RIESGO</v>
      </c>
      <c r="HL68" s="24" t="str">
        <f t="shared" si="291"/>
        <v>APARENTEMENTE NORMAL</v>
      </c>
      <c r="HM68" s="21" t="str">
        <f t="shared" ca="1" si="292"/>
        <v/>
      </c>
      <c r="HN68" s="30" t="str">
        <f t="shared" si="207"/>
        <v>SALIO PROGRAMA</v>
      </c>
      <c r="HO68" s="21"/>
      <c r="HP68" s="21"/>
      <c r="HQ68" s="21">
        <v>44909</v>
      </c>
      <c r="HR68" s="21" t="str">
        <f>IF(R68="","",IF(Tabla1[[#This Row],[ALARMA FACTORES DE RIESGO COMPLICACIONES HIPERTENSIVAS3]]="SIN ANTECEDENTES DE RIESGO","No Aplica para suministro de ASA",IF(AND(Tabla1[[#This Row],[FECHA INICIO DE SUMINISTRO DE ASA]]&gt;0,RV68&lt;12),"Inicia ASA ANTES de Sem 12",IF(AND(RV68&gt;11,RV68&lt;17,OR(HK68="RIESGO ALTO DE COMPLICACIONES HIPERTENSIVAS VER MANEJO GUIA SUMINISTRO ASA Y CALCIO",HK68="RIESGO MODERADO (2 O MAS CRITERIOS) VER MANEJO GUIA SUMINISTRO ASA Y CALCIO")),"Inicio oportuno de ASA",IF(AND(RV68&gt;12,OR(HK68="RIESGO ALTO DE COMPLICACIONES HIPERTENSIVAS VER MANEJO GUIA SUMINISTRO ASA Y CALCIO",HK68="RIESGO MODERADO (2 O MAS CRITERIOS) VER MANEJO GUIA SUMINISTRO ASA Y CALCIO")),"Inicio no oportuno mayor a 16 semanas",IF(AND(BU68&lt;12,OR(HK68="RIESGO ALTO DE COMPLICACIONES HIPERTENSIVAS VER MANEJO GUIA SUMINISTRO ASA Y CALCIO",HK68="RIESGO MODERADO (2 O MAS CRITERIOS) VER MANEJO GUIA SUMINISTRO ASA Y CALCIO")),"Pendiente Inicio de ASA a la semana 12",IF(AND(BU68&gt;11,BU68&lt;17,OR(HK68="RIESGO ALTO DE COMPLICACIONES HIPERTENSIVAS VER MANEJO GUIA SUMINISTRO ASA Y CALCIO",HK68="RIESGO MODERADO (2 O MAS CRITERIOS) VER MANEJO GUIA SUMINISTRO ASA Y CALCIO")),"Iniciar de inmediato ASA",IF(AND(BU68&gt;16,OR(HK68="RIESGO ALTO DE COMPLICACIONES HIPERTENSIVAS VER MANEJO GUIA SUMINISTRO ASA Y CALCIO",HK68="RIESGO MODERADO (2 O MAS CRITERIOS) VER MANEJO GUIA SUMINISTRO ASA Y CALCIO")),"Pierde Oportunidad, Inicio tardío de ASA","XXXXX"))))))))</f>
        <v>No Aplica para suministro de ASA</v>
      </c>
      <c r="HS68" s="22">
        <v>44909</v>
      </c>
      <c r="HT68" s="22" t="s">
        <v>870</v>
      </c>
      <c r="HU68" s="22">
        <v>44909</v>
      </c>
      <c r="HV68" s="22" t="s">
        <v>870</v>
      </c>
      <c r="HW68" s="22">
        <v>44909</v>
      </c>
      <c r="HX68" s="22" t="s">
        <v>870</v>
      </c>
      <c r="HY68" s="22">
        <v>44910</v>
      </c>
      <c r="HZ68" s="28">
        <f t="shared" si="293"/>
        <v>18</v>
      </c>
      <c r="IA68" s="26" t="s">
        <v>864</v>
      </c>
      <c r="IB68" s="26"/>
      <c r="IC68" s="111"/>
      <c r="ID68" s="22"/>
      <c r="IE68" s="22" t="str">
        <f t="shared" ca="1" si="294"/>
        <v>SALE SIN VACUNA</v>
      </c>
      <c r="IF68" s="22"/>
      <c r="IG68" s="22">
        <f t="shared" si="295"/>
        <v>45064</v>
      </c>
      <c r="IH68" s="29">
        <f t="shared" ca="1" si="296"/>
        <v>-168</v>
      </c>
      <c r="II68" s="22" t="str">
        <f t="shared" ca="1" si="297"/>
        <v>POSIBLEMENTE NACIO</v>
      </c>
      <c r="IJ68" s="22"/>
      <c r="IK68" s="21" t="s">
        <v>1652</v>
      </c>
      <c r="IL68" s="21"/>
      <c r="IM68" s="34"/>
      <c r="IN68" s="349">
        <v>45051</v>
      </c>
      <c r="IO68" s="21" t="s">
        <v>1186</v>
      </c>
      <c r="IP68" s="29">
        <f t="shared" si="298"/>
        <v>38.142857142857146</v>
      </c>
      <c r="IQ68" s="110" t="s">
        <v>1654</v>
      </c>
      <c r="IR68" s="21" t="s">
        <v>1651</v>
      </c>
      <c r="IS68" s="21" t="s">
        <v>1646</v>
      </c>
      <c r="IT68" s="21" t="s">
        <v>1642</v>
      </c>
      <c r="IU68" s="21"/>
      <c r="IV68" s="21"/>
      <c r="IW68" s="21"/>
      <c r="IX68" s="21"/>
      <c r="IY68" s="21"/>
      <c r="IZ68" s="21"/>
      <c r="JA68" s="21"/>
      <c r="JB68" s="30">
        <v>1</v>
      </c>
      <c r="JC68" s="21" t="s">
        <v>1647</v>
      </c>
      <c r="JD68" s="36">
        <v>2745</v>
      </c>
      <c r="JE68" s="21" t="str">
        <f t="shared" si="299"/>
        <v>PESO ADECUADO EDAD GESTACIONAL</v>
      </c>
      <c r="JF68" s="30"/>
      <c r="JG68" s="21"/>
      <c r="JH68" s="21"/>
      <c r="JI68" s="21" t="s">
        <v>854</v>
      </c>
      <c r="JJ68" s="30" t="s">
        <v>866</v>
      </c>
      <c r="JK68" s="22"/>
      <c r="JL68" s="22"/>
      <c r="JM68" s="21"/>
      <c r="JN68" s="36"/>
      <c r="JO68" s="21" t="str">
        <f t="shared" si="300"/>
        <v/>
      </c>
      <c r="JP68" s="22"/>
      <c r="JQ68" s="21"/>
      <c r="JR68" s="21"/>
      <c r="JS68" s="21"/>
      <c r="JT68" s="30"/>
      <c r="JU68" s="22"/>
      <c r="JV68" s="22"/>
      <c r="JW68" s="33"/>
      <c r="JX68" s="28" t="str">
        <f t="shared" si="301"/>
        <v>INASISTENTE</v>
      </c>
      <c r="JY68" s="33"/>
      <c r="JZ68" s="28" t="str">
        <f t="shared" si="302"/>
        <v>INASISTENTE</v>
      </c>
      <c r="KA68" s="21"/>
      <c r="KB68" s="21"/>
      <c r="KC68" s="21"/>
      <c r="KD68" s="37"/>
      <c r="KE68" s="28"/>
      <c r="KF68" s="28"/>
      <c r="KG68" s="28"/>
      <c r="KH68" s="39"/>
      <c r="KI68" s="39"/>
      <c r="KJ68" s="66"/>
      <c r="KK68" s="39"/>
      <c r="KL68" s="39"/>
      <c r="KM68" s="66"/>
      <c r="KN68" s="39"/>
      <c r="KO68" s="39"/>
      <c r="KP68" s="39"/>
      <c r="KQ68" s="39"/>
      <c r="KR68" s="39"/>
      <c r="KS68" s="39"/>
      <c r="KT68" s="39"/>
      <c r="KU68" s="38"/>
      <c r="KV68" s="38"/>
      <c r="KW68" s="38"/>
      <c r="KX68" s="38"/>
      <c r="KY68" s="38"/>
      <c r="KZ68" s="38"/>
      <c r="LA68" s="38"/>
      <c r="LB68" s="38"/>
      <c r="LC68" s="38"/>
      <c r="LD68" s="38"/>
      <c r="LE68" s="38"/>
      <c r="LF68" s="38"/>
      <c r="LG68" s="38"/>
      <c r="LH68" s="38"/>
      <c r="LI68" s="38"/>
      <c r="LJ68" s="38"/>
      <c r="LK68" s="38"/>
      <c r="LL68" s="38"/>
      <c r="LM68" s="38"/>
      <c r="LN68" s="38"/>
      <c r="LO68" s="38"/>
      <c r="LP68" s="38"/>
      <c r="LQ68" s="38"/>
      <c r="LR68" s="38"/>
      <c r="LS68" s="38"/>
      <c r="LT68" s="38"/>
      <c r="LU68" s="38"/>
      <c r="LV68" s="38"/>
      <c r="LW68" s="38"/>
      <c r="LX68" s="38"/>
      <c r="LY68" s="38"/>
      <c r="LZ68" s="38"/>
      <c r="MA68" s="38"/>
      <c r="MB68" s="38"/>
      <c r="MC68" s="38"/>
      <c r="MD68" s="38"/>
      <c r="ME68" s="38"/>
      <c r="MF68" s="38"/>
      <c r="MG68" s="38"/>
      <c r="MH68" s="43">
        <f t="shared" si="303"/>
        <v>0</v>
      </c>
      <c r="MI68" s="43" t="str">
        <f t="shared" si="304"/>
        <v/>
      </c>
      <c r="MJ68" s="43" t="str">
        <f t="shared" si="305"/>
        <v/>
      </c>
      <c r="MK68" s="43">
        <f t="shared" si="306"/>
        <v>0</v>
      </c>
      <c r="ML6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68" s="43">
        <f t="shared" si="307"/>
        <v>17.857142857142858</v>
      </c>
      <c r="MN68" s="43">
        <f t="shared" si="308"/>
        <v>12</v>
      </c>
      <c r="MO68" s="43">
        <f t="shared" si="309"/>
        <v>2022</v>
      </c>
      <c r="MP68" s="43" t="str">
        <f t="shared" si="310"/>
        <v>IV TRIMESTRE AÑO</v>
      </c>
      <c r="MQ68" s="43">
        <f t="shared" si="311"/>
        <v>18.70072273324573</v>
      </c>
      <c r="MR68" s="43">
        <f t="shared" si="312"/>
        <v>0</v>
      </c>
      <c r="MS68" s="43" t="str">
        <f t="shared" si="313"/>
        <v>DE 14 A 19AÑOS</v>
      </c>
      <c r="MT68" s="43">
        <f t="shared" si="314"/>
        <v>0</v>
      </c>
      <c r="MU68" s="43">
        <f t="shared" si="315"/>
        <v>1</v>
      </c>
      <c r="MV68" s="43">
        <f t="shared" si="316"/>
        <v>0</v>
      </c>
      <c r="MW68" s="43">
        <f t="shared" si="317"/>
        <v>0</v>
      </c>
      <c r="MX68" s="43" t="str">
        <f t="shared" si="318"/>
        <v/>
      </c>
      <c r="MY68" s="43" t="str">
        <f t="shared" ca="1" si="229"/>
        <v/>
      </c>
      <c r="MZ68" s="43" t="str">
        <f t="shared" si="319"/>
        <v/>
      </c>
      <c r="NA68" s="43">
        <f t="shared" si="320"/>
        <v>0</v>
      </c>
      <c r="NB68" s="43" t="str">
        <f t="shared" si="321"/>
        <v/>
      </c>
      <c r="NC68" s="43" t="str">
        <f t="shared" si="322"/>
        <v/>
      </c>
      <c r="ND68" s="43">
        <f t="shared" ca="1" si="323"/>
        <v>1</v>
      </c>
      <c r="NE68" s="43">
        <f>IF(OR(O68&gt;0,R68&gt;0),SUM(COUNTIF(Tabla1[[#This Row],[AÑOS AL INICIO5 CPN]],"&gt;=40"),COUNTIF(AS68,"0"),COUNTIF(AR68,"SI"),COUNTIF(CC68,"SI"),COUNTIF(BQ68,"&gt;119"),COUNTIF(CI68,"&gt;=35")),"")</f>
        <v>1</v>
      </c>
      <c r="NF68" s="43" t="str">
        <f t="shared" si="324"/>
        <v/>
      </c>
      <c r="NG68" s="43">
        <f t="shared" si="325"/>
        <v>0</v>
      </c>
      <c r="NH68" s="43">
        <f t="shared" si="326"/>
        <v>133.70000000000002</v>
      </c>
      <c r="NI68"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CPN",P68="NO"),"Z",IF(AND(Tabla1[[#This Row],[CITA PROXIMO CONTROL]]="CITA MANUAL",Tabla1[[#This Row],[GESTANTES ACTUALES]]="ACTIVA INGRESO A CPN"),"W",IF(AND(Tabla1[[#This Row],[GESTANTES ACTUALES]]="SALIO PROGRAMA",IN68=""),"S",IF(AND(Tabla1[[#This Row],[CITA PROXIMO CONTROL]]&gt;0,IN68=""),(Tabla1[[#This Row],[CITA PROXIMO CONTROL]]-TODAY()),"SD"))))))))</f>
        <v>SD</v>
      </c>
      <c r="NJ68" s="43">
        <f>MONTH(Tabla1[[#This Row],[FECHA DE SALIDA  DEL PROGRAMA]])</f>
        <v>5</v>
      </c>
      <c r="NK68" s="43">
        <f>YEAR(Tabla1[[#This Row],[FECHA DE SALIDA  DEL PROGRAMA]])</f>
        <v>2023</v>
      </c>
      <c r="NL68" s="43" t="str">
        <f t="shared" si="327"/>
        <v>X</v>
      </c>
      <c r="NM68" s="43" t="str">
        <f t="shared" si="251"/>
        <v>NO</v>
      </c>
      <c r="NN68" s="43" t="str">
        <f ca="1">IF(AND(O68&gt;0,R68=""),"NO CPN",IF(AND(O68="",R68=""),"",IF(AND(R68&gt;0,Tabla1[[#This Row],[SEMANAS DE GESTACION ACTUALIZADAS]]&lt;=12),"NO APLICA",IF(AND(FH68&lt;&gt;"",FN68&lt;&gt;""),"SI","NO"))))</f>
        <v>SI</v>
      </c>
      <c r="NO68" s="43" t="str">
        <f ca="1">IF(AND(O68&gt;0,R68=""),"NO CPN",IF(AND(O68="",R68=""),"",IF(AND(R68&gt;0,Tabla1[[#This Row],[SEMANAS DE GESTACION ACTUALIZADAS]]&lt;=27),"NO APLICA",IF(AND(ES68&lt;&gt;"",FQ68&lt;&gt;"",GF68&lt;&gt;""),"SI","NO"))))</f>
        <v>NO</v>
      </c>
      <c r="NP68" s="204" t="str">
        <f t="shared" si="328"/>
        <v>II TRIM</v>
      </c>
      <c r="NQ68" s="21" t="str">
        <f t="shared" si="241"/>
        <v/>
      </c>
      <c r="NR68" s="21">
        <f t="shared" si="242"/>
        <v>2</v>
      </c>
      <c r="NS68" s="205">
        <f t="shared" ca="1" si="329"/>
        <v>2</v>
      </c>
      <c r="NT68" s="21">
        <f t="shared" ca="1" si="330"/>
        <v>2</v>
      </c>
      <c r="NU68" s="21" t="str">
        <f t="shared" ca="1" si="331"/>
        <v>COMPLETO</v>
      </c>
      <c r="NV68" s="21" t="str">
        <f t="shared" ca="1" si="332"/>
        <v>COMPLETO</v>
      </c>
      <c r="NW68" s="206" t="str">
        <f>IF(AND(O68="",R68=""),"",IF(OR(AND(Tabla1[[#This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68" s="207" t="str">
        <f t="shared" ca="1" si="333"/>
        <v>SIN VACUNAR</v>
      </c>
      <c r="NY68" s="43">
        <f>ROW(Tabla1[[#This Row],['# DE TAMIZAJES SIFILIS TOMADOS ]])</f>
        <v>68</v>
      </c>
      <c r="NZ68" s="43">
        <f t="shared" si="334"/>
        <v>17</v>
      </c>
      <c r="OA68" s="43" t="str">
        <f t="shared" si="335"/>
        <v/>
      </c>
      <c r="OB68" s="43" t="str">
        <f t="shared" si="336"/>
        <v/>
      </c>
      <c r="OC68" s="43" t="str">
        <f t="shared" si="337"/>
        <v/>
      </c>
      <c r="OD68" s="43" t="str">
        <f t="shared" si="338"/>
        <v/>
      </c>
      <c r="OE68" s="43" t="str">
        <f t="shared" si="339"/>
        <v/>
      </c>
      <c r="OF68" s="43" t="str">
        <f t="shared" si="340"/>
        <v/>
      </c>
      <c r="OG68" s="43" t="str">
        <f t="shared" si="341"/>
        <v/>
      </c>
      <c r="OH68" s="43" t="str">
        <f t="shared" si="342"/>
        <v/>
      </c>
      <c r="OI68" s="43" t="str">
        <f t="shared" si="343"/>
        <v>SOBREPESO</v>
      </c>
      <c r="OJ68" s="43" t="str">
        <f t="shared" si="344"/>
        <v/>
      </c>
      <c r="OK68" s="43" t="str">
        <f t="shared" si="345"/>
        <v/>
      </c>
      <c r="OL68" s="43" t="str">
        <f t="shared" si="346"/>
        <v/>
      </c>
      <c r="OM68" s="43" t="str">
        <f t="shared" si="347"/>
        <v/>
      </c>
      <c r="ON68" s="43" t="str">
        <f t="shared" si="348"/>
        <v/>
      </c>
      <c r="OO68" s="43" t="str">
        <f t="shared" si="349"/>
        <v/>
      </c>
      <c r="OP68" s="43" t="str">
        <f t="shared" si="350"/>
        <v/>
      </c>
      <c r="OQ68" s="43" t="str">
        <f t="shared" si="351"/>
        <v/>
      </c>
      <c r="OR68" s="43" t="str">
        <f t="shared" si="352"/>
        <v/>
      </c>
      <c r="OS68" s="43" t="str">
        <f t="shared" si="353"/>
        <v/>
      </c>
      <c r="OT68" s="43" t="str">
        <f t="shared" si="354"/>
        <v/>
      </c>
      <c r="OU68" s="43" t="str">
        <f t="shared" si="355"/>
        <v/>
      </c>
      <c r="OV68" s="110" t="str">
        <f t="shared" si="356"/>
        <v/>
      </c>
      <c r="OW68" s="43" t="str">
        <f t="shared" si="357"/>
        <v/>
      </c>
      <c r="OX68" s="43" t="str">
        <f t="shared" si="358"/>
        <v/>
      </c>
      <c r="OY68" s="43" t="str">
        <f t="shared" si="359"/>
        <v/>
      </c>
      <c r="OZ68" s="43" t="str">
        <f t="shared" si="360"/>
        <v/>
      </c>
      <c r="PA68" s="43" t="str">
        <f t="shared" si="361"/>
        <v/>
      </c>
      <c r="PB68" s="43" t="str">
        <f t="shared" si="362"/>
        <v/>
      </c>
      <c r="PC68" s="43" t="str">
        <f t="shared" si="363"/>
        <v/>
      </c>
      <c r="PD68" s="43" t="str">
        <f t="shared" si="364"/>
        <v/>
      </c>
      <c r="PE68" s="43" t="str">
        <f t="shared" si="365"/>
        <v/>
      </c>
      <c r="PF68" s="43" t="str">
        <f t="shared" si="366"/>
        <v/>
      </c>
      <c r="PG68" s="43" t="str">
        <f t="shared" si="367"/>
        <v/>
      </c>
      <c r="PH68" s="43" t="str">
        <f t="shared" si="368"/>
        <v/>
      </c>
      <c r="PI68" s="43">
        <f t="shared" si="369"/>
        <v>37</v>
      </c>
      <c r="PJ68" s="43" t="str">
        <f t="shared" si="370"/>
        <v/>
      </c>
      <c r="PK68" s="43" t="str">
        <f t="shared" si="371"/>
        <v/>
      </c>
      <c r="PL68" s="43" t="str">
        <f t="shared" si="372"/>
        <v/>
      </c>
      <c r="PM68" s="43" t="str">
        <f t="shared" si="373"/>
        <v/>
      </c>
      <c r="PN68" s="43" t="str">
        <f t="shared" si="374"/>
        <v/>
      </c>
      <c r="PO68" s="43" t="str">
        <f t="shared" si="375"/>
        <v/>
      </c>
      <c r="PP68" s="43" t="str">
        <f t="shared" si="376"/>
        <v/>
      </c>
      <c r="PQ68" s="43" t="str">
        <f t="shared" si="377"/>
        <v/>
      </c>
      <c r="PR68" s="43" t="str">
        <f t="shared" si="378"/>
        <v/>
      </c>
      <c r="PS68" s="43" t="str">
        <f t="shared" si="379"/>
        <v/>
      </c>
      <c r="PT68" s="43" t="str">
        <f t="shared" si="380"/>
        <v/>
      </c>
      <c r="PU68" s="43" t="str">
        <f t="shared" si="381"/>
        <v/>
      </c>
      <c r="PV68" s="43" t="str">
        <f t="shared" si="382"/>
        <v/>
      </c>
      <c r="PW68" s="43" t="str">
        <f t="shared" si="383"/>
        <v/>
      </c>
      <c r="PX68" s="43" t="str">
        <f t="shared" si="384"/>
        <v/>
      </c>
      <c r="PY68" s="43" t="str">
        <f t="shared" si="385"/>
        <v/>
      </c>
      <c r="PZ68" s="43" t="str">
        <f t="shared" si="386"/>
        <v/>
      </c>
      <c r="QA68" s="43" t="str">
        <f t="shared" si="387"/>
        <v/>
      </c>
      <c r="QB68" s="43" t="str">
        <f t="shared" si="388"/>
        <v/>
      </c>
      <c r="QC68" s="43" t="str">
        <f t="shared" si="389"/>
        <v/>
      </c>
      <c r="QD68" s="43" t="str">
        <f t="shared" si="390"/>
        <v/>
      </c>
      <c r="QE68" s="43" t="str">
        <f t="shared" si="391"/>
        <v/>
      </c>
      <c r="QF68" s="43" t="str">
        <f t="shared" si="392"/>
        <v/>
      </c>
      <c r="QG68" s="43" t="str">
        <f t="shared" si="393"/>
        <v/>
      </c>
      <c r="QH68" s="43" t="str">
        <f t="shared" si="394"/>
        <v/>
      </c>
      <c r="QI68" s="43" t="str">
        <f t="shared" si="395"/>
        <v/>
      </c>
      <c r="QJ68" s="43" t="str">
        <f t="shared" si="396"/>
        <v/>
      </c>
      <c r="QK68" s="43" t="str">
        <f t="shared" si="397"/>
        <v/>
      </c>
      <c r="QL68" s="43" t="str">
        <f t="shared" si="398"/>
        <v/>
      </c>
      <c r="QM68" s="43" t="str">
        <f t="shared" si="399"/>
        <v/>
      </c>
      <c r="QN68" s="43" t="str">
        <f t="shared" si="400"/>
        <v/>
      </c>
      <c r="QO68" s="43" t="str">
        <f t="shared" si="401"/>
        <v/>
      </c>
      <c r="QP68" s="43" t="str">
        <f t="shared" si="402"/>
        <v/>
      </c>
      <c r="QQ68" s="43" t="str">
        <f t="shared" si="403"/>
        <v/>
      </c>
      <c r="QR68" s="43">
        <f t="shared" ref="QR68:QR130" si="433">IF(DZ68="","",IF(DZ68&lt;13,"Menor",IF(DZ68&gt;40,"Mayor",DZ68)))</f>
        <v>37</v>
      </c>
      <c r="QS68" s="43"/>
      <c r="QT68" s="21" t="str">
        <f t="shared" si="404"/>
        <v/>
      </c>
      <c r="QU68" s="21" t="str">
        <f t="shared" si="405"/>
        <v/>
      </c>
      <c r="QV68" s="21" t="str">
        <f t="shared" si="406"/>
        <v/>
      </c>
      <c r="QW68" s="21" t="str">
        <f t="shared" si="407"/>
        <v/>
      </c>
      <c r="QX68" s="21" t="str">
        <f t="shared" si="408"/>
        <v/>
      </c>
      <c r="QY68" s="21" t="str">
        <f t="shared" si="409"/>
        <v/>
      </c>
      <c r="QZ68" s="21" t="str">
        <f t="shared" si="410"/>
        <v/>
      </c>
      <c r="RA68" s="21" t="str">
        <f t="shared" si="411"/>
        <v/>
      </c>
      <c r="RB68" s="21" t="str">
        <f t="shared" si="412"/>
        <v/>
      </c>
      <c r="RC68" s="21" t="str">
        <f t="shared" si="413"/>
        <v/>
      </c>
      <c r="RD68" s="21" t="str">
        <f t="shared" si="414"/>
        <v/>
      </c>
      <c r="RE68" s="21" t="str">
        <f t="shared" si="415"/>
        <v/>
      </c>
      <c r="RF68" s="21" t="str">
        <f t="shared" si="416"/>
        <v/>
      </c>
      <c r="RG68" s="21" t="str">
        <f t="shared" si="417"/>
        <v/>
      </c>
      <c r="RH68" s="21" t="str">
        <f t="shared" si="418"/>
        <v/>
      </c>
      <c r="RI68" s="21" t="str">
        <f t="shared" si="419"/>
        <v/>
      </c>
      <c r="RJ68" s="21" t="str">
        <f t="shared" si="420"/>
        <v/>
      </c>
      <c r="RK68" s="21" t="str">
        <f t="shared" si="421"/>
        <v/>
      </c>
      <c r="RL68" s="21" t="str">
        <f t="shared" si="422"/>
        <v/>
      </c>
      <c r="RM68" s="21" t="str">
        <f t="shared" si="423"/>
        <v/>
      </c>
      <c r="RN68" s="21" t="str">
        <f t="shared" si="424"/>
        <v/>
      </c>
      <c r="RO68" s="21" t="str">
        <f t="shared" si="425"/>
        <v/>
      </c>
      <c r="RP68" s="21" t="str">
        <f t="shared" si="426"/>
        <v/>
      </c>
      <c r="RQ68" s="21" t="str">
        <f t="shared" si="427"/>
        <v/>
      </c>
      <c r="RR68" s="21" t="str">
        <f t="shared" si="428"/>
        <v>ADECUADO PARA EDAD GESTACIONAL</v>
      </c>
      <c r="RS68" s="21" t="str">
        <f t="shared" si="429"/>
        <v/>
      </c>
      <c r="RT68" s="21" t="str">
        <f t="shared" si="430"/>
        <v/>
      </c>
      <c r="RU68" s="21" t="str">
        <f t="shared" si="431"/>
        <v/>
      </c>
      <c r="RV68" s="21">
        <f t="shared" si="432"/>
        <v>17.857142857142858</v>
      </c>
      <c r="RW68" s="284">
        <f>IF(OR(Tabla1[[#This Row],[FUM FORMULA CONFIABLE]]="",Tabla1[[#This Row],[FUM FORMULA CONFIABLE]]="SD"),"",IF(Tabla1[[#This Row],[FUM FORMULA CONFIABLE]]="CORREGIDA",Tabla1[[#This Row],[FUM X ECO 1]],Tabla1[[#This Row],[FUM x AMENORREA]]))</f>
        <v>44784</v>
      </c>
      <c r="RX68" s="21">
        <f>IF(AND(Tabla1[[#This Row],[FUM X ECO 1]]="",Tabla1[[#This Row],[FUM x AMENORREA]]=""),"",IF(AND(Tabla1[[#This Row],[FUM X ECO 1]]="",Tabla1[[#This Row],[FUM x AMENORREA]]&lt;&gt;""),"X",SUM(Tabla1[[#This Row],[FUM X ECO 1]]-Tabla1[[#This Row],[FUM x AMENORREA]])))</f>
        <v>0.30000000000291038</v>
      </c>
      <c r="RY68" s="21">
        <f t="shared" ref="RY68:RY130" si="434">IF(RX68="","",IF(RX68="x","x",IF(OR(RX68&gt;6,RX68&lt;-7),1,0)))</f>
        <v>0</v>
      </c>
    </row>
    <row r="69" spans="1:493" ht="45" customHeight="1" x14ac:dyDescent="0.25">
      <c r="A69" s="109" t="s">
        <v>1208</v>
      </c>
      <c r="B69" s="43" t="s">
        <v>1057</v>
      </c>
      <c r="C69" s="43" t="s">
        <v>845</v>
      </c>
      <c r="D69" s="124" t="s">
        <v>846</v>
      </c>
      <c r="E69" s="43" t="s">
        <v>1209</v>
      </c>
      <c r="F69" s="43" t="s">
        <v>1210</v>
      </c>
      <c r="G69" s="43" t="s">
        <v>1043</v>
      </c>
      <c r="H69" s="43"/>
      <c r="I69" s="109" t="s">
        <v>851</v>
      </c>
      <c r="J69" s="110">
        <v>1059844668</v>
      </c>
      <c r="K69" s="43" t="s">
        <v>852</v>
      </c>
      <c r="L69" s="175" t="s">
        <v>853</v>
      </c>
      <c r="M69" s="22">
        <v>34422</v>
      </c>
      <c r="N69" s="213">
        <f t="shared" ca="1" si="252"/>
        <v>29.616438356164384</v>
      </c>
      <c r="O69" s="22">
        <v>44910</v>
      </c>
      <c r="P69" s="214" t="str">
        <f t="shared" si="253"/>
        <v>SI</v>
      </c>
      <c r="Q69" s="26" t="s">
        <v>855</v>
      </c>
      <c r="R69" s="22">
        <v>44910</v>
      </c>
      <c r="S69" s="21" t="s">
        <v>856</v>
      </c>
      <c r="T69" s="24" t="s">
        <v>690</v>
      </c>
      <c r="U69" s="21" t="s">
        <v>857</v>
      </c>
      <c r="V69" s="21" t="s">
        <v>858</v>
      </c>
      <c r="W69" s="21" t="s">
        <v>1139</v>
      </c>
      <c r="X69" s="21" t="s">
        <v>1139</v>
      </c>
      <c r="Y69" s="21" t="s">
        <v>859</v>
      </c>
      <c r="Z69" s="21" t="s">
        <v>894</v>
      </c>
      <c r="AA69" s="21" t="s">
        <v>860</v>
      </c>
      <c r="AB69" s="27" t="s">
        <v>861</v>
      </c>
      <c r="AC69" s="26" t="s">
        <v>862</v>
      </c>
      <c r="AD69" s="38" t="s">
        <v>1049</v>
      </c>
      <c r="AE69" s="26" t="s">
        <v>854</v>
      </c>
      <c r="AF69" s="26" t="s">
        <v>854</v>
      </c>
      <c r="AG69" s="23" t="s">
        <v>864</v>
      </c>
      <c r="AH69" s="23" t="s">
        <v>864</v>
      </c>
      <c r="AI69" s="24" t="s">
        <v>863</v>
      </c>
      <c r="AJ69" s="23" t="s">
        <v>864</v>
      </c>
      <c r="AK69" s="220" t="str">
        <f>IF(AND(AD69="",AE69="",AF69="",AG69="",AH69="",AI69="",AJ69=""),"",IF(OR(Tabla1[[#This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EVALUACIÓN",IF(AND(O69="",R69=""),"",IF(AND(OR(O69&gt;0,R69&gt;0),NG69&gt;=0,NG69&lt;2),"SIN RIESGO",IF(AND(OR(O69&gt;0,R69&gt;0),NG69&gt;=2),"CON RIESGO","ASD")))))</f>
        <v>SIN RIESGO</v>
      </c>
      <c r="AL69" s="23" t="s">
        <v>864</v>
      </c>
      <c r="AM69" s="26" t="s">
        <v>864</v>
      </c>
      <c r="AN69" s="26" t="s">
        <v>864</v>
      </c>
      <c r="AO69" s="26" t="s">
        <v>864</v>
      </c>
      <c r="AP69" s="26" t="s">
        <v>864</v>
      </c>
      <c r="AQ69" s="26" t="s">
        <v>864</v>
      </c>
      <c r="AR69" s="26" t="s">
        <v>864</v>
      </c>
      <c r="AS69" s="21">
        <v>2</v>
      </c>
      <c r="AT69" s="21">
        <v>1</v>
      </c>
      <c r="AU69" s="21">
        <v>0</v>
      </c>
      <c r="AV69" s="26" t="s">
        <v>864</v>
      </c>
      <c r="AW69" s="21">
        <v>1</v>
      </c>
      <c r="AX69" s="26" t="s">
        <v>864</v>
      </c>
      <c r="AY69" s="26" t="s">
        <v>864</v>
      </c>
      <c r="AZ69" s="26" t="s">
        <v>864</v>
      </c>
      <c r="BA69" s="26" t="s">
        <v>864</v>
      </c>
      <c r="BB69" s="26" t="s">
        <v>864</v>
      </c>
      <c r="BC69" s="26" t="s">
        <v>864</v>
      </c>
      <c r="BD69" s="26" t="s">
        <v>864</v>
      </c>
      <c r="BE69" s="26" t="s">
        <v>864</v>
      </c>
      <c r="BF69" s="26" t="s">
        <v>864</v>
      </c>
      <c r="BG69" s="26" t="s">
        <v>864</v>
      </c>
      <c r="BH69" s="26" t="s">
        <v>864</v>
      </c>
      <c r="BI69" s="26" t="s">
        <v>864</v>
      </c>
      <c r="BJ69" s="26"/>
      <c r="BK69" s="26"/>
      <c r="BL69" s="26" t="s">
        <v>864</v>
      </c>
      <c r="BM69" s="26" t="s">
        <v>864</v>
      </c>
      <c r="BN69" s="22">
        <v>2</v>
      </c>
      <c r="BO69" s="22">
        <v>44860</v>
      </c>
      <c r="BP69" s="21" t="s">
        <v>854</v>
      </c>
      <c r="BQ69" s="222">
        <f t="shared" si="254"/>
        <v>1495.2666666666667</v>
      </c>
      <c r="BR69" s="223">
        <f t="shared" si="255"/>
        <v>44860.6</v>
      </c>
      <c r="BS69" s="224">
        <f t="shared" si="256"/>
        <v>7.1428571428571432</v>
      </c>
      <c r="BT69" s="216" t="str">
        <f t="shared" si="257"/>
        <v>I TRIM</v>
      </c>
      <c r="BU69" s="214" t="str">
        <f t="shared" ca="1" si="258"/>
        <v/>
      </c>
      <c r="BV69" s="25"/>
      <c r="BW69" s="22">
        <v>44960</v>
      </c>
      <c r="BX69" s="28">
        <v>14.2</v>
      </c>
      <c r="BY69" s="28"/>
      <c r="BZ69" s="22"/>
      <c r="CA69" s="21"/>
      <c r="CB69" s="26" t="s">
        <v>864</v>
      </c>
      <c r="CC69" s="26" t="s">
        <v>864</v>
      </c>
      <c r="CD69" s="26" t="s">
        <v>865</v>
      </c>
      <c r="CE69" s="26" t="s">
        <v>864</v>
      </c>
      <c r="CF69" s="22" t="s">
        <v>1517</v>
      </c>
      <c r="CG69" s="21">
        <v>1.56</v>
      </c>
      <c r="CH69" s="21">
        <v>77</v>
      </c>
      <c r="CI69" s="214">
        <f t="shared" si="259"/>
        <v>31.640368178829714</v>
      </c>
      <c r="CJ69" s="225" t="str">
        <f>IF(AND(CI69&lt;10,CH69="SD"),"SIN DATO PESO PREGESTACION O I TRIM",IF(AND(OR(R69&gt;0,O69&gt;0),CI69="X"),"INGRESAR DATO DE PESO",IF(CI69="SD","INGRESAR DATO DE TALLA Y PESO",IF(AND(OR(Tabla1[[#This Row],[MOMENTO EN QUE SE REALIZA EL PESO AL INGRESO A CPN]]="PREGESTACIÓN",NZ69="Menor"),CI69&lt;18.5),"BAJO PESO",IF(AND(OR(Tabla1[[#This Row],[MOMENTO EN QUE SE REALIZA EL PESO AL INGRESO A CPN]]="PREGESTACIÓN",NZ69="Menor"),CI69&lt;25),"NORMAL",IF(AND(OR(Tabla1[[#This Row],[MOMENTO EN QUE SE REALIZA EL PESO AL INGRESO A CPN]]="PREGESTACIÓN",NZ69="Menor"),CI69&lt;30),"SOBREPESO",IF(AND(OR(Tabla1[[#This Row],[MOMENTO EN QUE SE REALIZA EL PESO AL INGRESO A CPN]]="PREGESTACIÓN",NZ69="Menor"),CI69&gt;=30,CI69&lt;50),"OBESIDAD",IF(AND(BS69&gt;0,Tabla1[[#This Row],[MOMENTO EN QUE SE REALIZA EL PESO AL INGRESO A CPN]]="GESTACIÓN"),HLOOKUP(NZ69,$OA$2:PH69,NY69),""))))))))</f>
        <v>OBESIDAD</v>
      </c>
      <c r="CK69" s="212">
        <f t="shared" si="260"/>
        <v>45082</v>
      </c>
      <c r="CL69" s="21">
        <v>86</v>
      </c>
      <c r="CM69" s="214">
        <f t="shared" si="261"/>
        <v>35.338593030900718</v>
      </c>
      <c r="CN69" s="216">
        <f t="shared" si="262"/>
        <v>31</v>
      </c>
      <c r="CO69" s="216" t="e">
        <f>IF(PI69="","",IF(PI69&gt;0,HLOOKUP(PI69,$PJ$2:QQ69,NY69),""))</f>
        <v>#REF!</v>
      </c>
      <c r="CP69" s="21">
        <v>28</v>
      </c>
      <c r="CQ69" s="216" t="e">
        <f>IF(QR69="Menor","NO APLICA-MENOR 13 SEM",IF(AND(CC69="SI",CN69&gt;23),"NO APLICA- GEMELAR",IF(QR69="","",IF(QR69&gt;0,HLOOKUP(QR69,$QS$2:RU69,NY69),""))))</f>
        <v>#REF!</v>
      </c>
      <c r="CR69" s="21">
        <v>110</v>
      </c>
      <c r="CS69" s="21">
        <v>80</v>
      </c>
      <c r="CT69" s="217" t="str">
        <f>IF(R69="","",IF(AND(BS69&gt;1,BS69&lt;12,Tabla1[[#This Row],[T.A. SISTOLICA - ANTES DE SEMANA 12]]="",Tabla1[[#This Row],[T.A. DIASTOLICA - ANTES DE SEMANA 12]]=""),"REGISTRE DATO TA ANTES SEMANA 12",IF(AND(BS69&gt;11,BS69&lt;43,Tabla1[[#This Row],[T.A. SISTOLICA - ANTES DE SEMANA 12]]="",Tabla1[[#This Row],[T.A. DIASTOLICA - ANTES DE SEMANA 12]]=""),"NO APLICA REGISTRO TA-INGRESO TARDIO",IF(AND(OR(O69&gt;0,R69&gt;0),OR(CR69&gt;=140,CS69&gt;=90)),"DEFINIR ESTADIO HTA",IF(AND(OR(O69&gt;0,R69&gt;0),AND(CR69&gt;120,CR69&lt;=139)),"PRE HTA SEGUIMIENTO",IF(AND(OR(O69&gt;0,R69&gt;0),AND(CS69&gt;80,CS69&lt;=89)),"PRE HTA SEGUIMIENTO",IF(AND(OR(O69&gt;0,R69&gt;0),AND(CR69&gt;=80,CR69&lt;=120)),"APARENTEMENTE NORMAL",IF(AND(OR(O69&gt;0,R69&gt;0),AND(CS69&gt;=50,CS69&lt;=80)),"APARENTEMENTE NORMAL",IF(AND(OR(O69&gt;0,R69&gt;0),AND(CR69&gt;1,CR69&lt;=70),AND(CS69&gt;1,CS69&lt;=40)),"HIPOTENSIÓN","")))))))))</f>
        <v>APARENTEMENTE NORMAL</v>
      </c>
      <c r="CU69" s="21">
        <v>110</v>
      </c>
      <c r="CV69" s="21">
        <v>70</v>
      </c>
      <c r="CW69" s="217" t="str">
        <f ca="1">IF(R69="","",IF(AND(CN69&gt;19,CN69&lt;27,Tabla1[[#This Row],[T.A. SISTOLICA (Entre semana 20 y 26)]]="",Tabla1[[#This Row],[T.A. DIATOLICA (Entre semana 20 y 26)]]=""),"ACUDE A CONTROL SEM 20 A 26 REGISTRE TA AHORA",IF(AND(BS69&gt;1,BS69&lt;27,BU69&gt;19,Tabla1[[#This Row],[T.A. SISTOLICA (Entre semana 20 y 26)]]="",Tabla1[[#This Row],[T.A. DIATOLICA (Entre semana 20 y 26)]]=""),"COMPLETE REGISTRO TA CONTROL SEM 20 A26 ",IF(AND(BS69&gt;26,BS69&lt;43,Tabla1[[#This Row],[T.A. SISTOLICA (Entre semana 20 y 26)]]="",Tabla1[[#This Row],[T.A. DIATOLICA (Entre semana 20 y 26)]]=""),"NO APLICA REGISTRO TA-INGRESO TARDIO",IF(AND(OR(O69&gt;0,R69&gt;0),OR(CU69&gt;=140,CV69&gt;=90)),"ALTO RIESGO PREECLAMPSIA,DEFINIR ESTADIO HTA",IF(AND(OR(O69&gt;0,R69&gt;0),AND(CU69&gt;120,CU69&lt;=139)),"PRE HTA SEGUIMIENTO,RIESGO HIPERTENSION INDUCIDA POR EL EMBARAZO",IF(AND(OR(O69&gt;0,R69&gt;0),AND(CV69&gt;80,CV69&lt;=89)),"PRE HTA SEGUIMIENTO, RIESGO HIPERTENSION INDUCIDA POR EL EMBARAZO",IF(AND(OR(O69&lt;&gt;"",R69&lt;&gt;""),CS69&lt;&gt;"",CV69&lt;&gt;"",CS69&lt;=CV69),"VIGILAR CIFRAS PRESION ARTERIAL",IF(AND(OR(O69&gt;0,R69&gt;0),AND(CU69&gt;120,CU69&lt;=139)),"PRE HTA SEGUIMIENTO",IF(AND(OR(O69&gt;0,R69&gt;0),AND(CU69&gt;1,CU69&lt;=70),AND(CV69&gt;1,CV69&lt;=40)),"HIPOTENSIÓN",IF(AND(OR(O69&lt;&gt;"",R69&lt;&gt;""),CS69&lt;&gt;"",CV69&lt;&gt;"",CS69&gt;CV69),"APARENTEMENTE NORMAL",IF(AND(OR(O69&gt;0,R69&gt;0),AND(CU69&gt;=80,CU69&lt;=120)),"APARENTEMENTE NORMAL",IF(AND(OR(O69&gt;0,R69&gt;0),AND(CV69&gt;=50,CV69&lt;=80)),"APARENTEMENTE NORMAL","")))))))))))))</f>
        <v>APARENTEMENTE NORMAL</v>
      </c>
      <c r="CX69" s="21">
        <v>100</v>
      </c>
      <c r="CY69" s="21">
        <v>70</v>
      </c>
      <c r="CZ69" s="216" t="str">
        <f t="shared" si="263"/>
        <v>APARENTEMENTE NORMAL</v>
      </c>
      <c r="DA69" s="21">
        <v>100</v>
      </c>
      <c r="DB69" s="21">
        <v>70</v>
      </c>
      <c r="DC69" s="217" t="str">
        <f t="shared" si="264"/>
        <v>APARENTEMENTE NORMAL</v>
      </c>
      <c r="DD69" s="22">
        <v>44910</v>
      </c>
      <c r="DE69" s="22">
        <v>44910</v>
      </c>
      <c r="DF69" s="22">
        <v>44960</v>
      </c>
      <c r="DG69" s="22">
        <v>44984</v>
      </c>
      <c r="DH69" s="22">
        <v>45050</v>
      </c>
      <c r="DI69" s="22">
        <v>45082</v>
      </c>
      <c r="DJ69" s="22"/>
      <c r="DK69" s="22"/>
      <c r="DL69" s="22"/>
      <c r="DM69" s="22"/>
      <c r="DN69" s="22"/>
      <c r="DO69" s="22"/>
      <c r="DP69" s="22"/>
      <c r="DQ69" s="22"/>
      <c r="DR69" s="28">
        <v>2</v>
      </c>
      <c r="DS69" s="22"/>
      <c r="DT69" s="22"/>
      <c r="DU69" s="216" t="str">
        <f t="shared" ca="1" si="265"/>
        <v>SALE SIN PLAN DE PARTO</v>
      </c>
      <c r="DV69" s="226" t="str">
        <f t="shared" si="197"/>
        <v>SALIO PROGRAMA</v>
      </c>
      <c r="DW69"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69" s="216" t="str">
        <f t="shared" ca="1" si="266"/>
        <v/>
      </c>
      <c r="DY69" s="212">
        <f>IF(R69="","",IF(R69&gt;0,MAX(Tabla1[[#This Row],[FECHA C2]:[FECHA C13]],Tabla1[[#This Row],[FECHA CONSULTA PRIMERA VEZ PROGRAMA CPN ]])))</f>
        <v>45082</v>
      </c>
      <c r="DZ69" s="216">
        <f t="shared" si="267"/>
        <v>31</v>
      </c>
      <c r="EA69" s="222">
        <f>IF(R69&gt;0,SUM(COUNTA(DF69:DQ69)+COUNTA(Tabla1[[#This Row],[FECHA CONSULTA PRIMERA VEZ PROGRAMA CPN ]])),"")</f>
        <v>5</v>
      </c>
      <c r="EB69" s="222" t="str">
        <f t="shared" si="268"/>
        <v>SI</v>
      </c>
      <c r="EC69" s="214">
        <f t="shared" si="269"/>
        <v>10</v>
      </c>
      <c r="ED69" s="227">
        <f t="shared" si="270"/>
        <v>0.5</v>
      </c>
      <c r="EE69" s="22">
        <v>44910</v>
      </c>
      <c r="EF69" s="22">
        <v>44960</v>
      </c>
      <c r="EG69" s="22">
        <v>44910</v>
      </c>
      <c r="EH69" s="22"/>
      <c r="EI69" s="22">
        <v>44910</v>
      </c>
      <c r="EJ69" s="22">
        <v>44959</v>
      </c>
      <c r="EK69" s="22">
        <v>44959</v>
      </c>
      <c r="EL69" s="21">
        <v>1</v>
      </c>
      <c r="EM69" s="21">
        <v>14.5</v>
      </c>
      <c r="EN69" s="22">
        <v>44960</v>
      </c>
      <c r="EO69" s="222">
        <f t="shared" si="271"/>
        <v>14.285714285714286</v>
      </c>
      <c r="EP69" s="214" t="str">
        <f t="shared" si="272"/>
        <v>NO DAR SULFATO FERROSO</v>
      </c>
      <c r="EQ69" s="216" t="str">
        <f t="shared" si="273"/>
        <v>II TRIM</v>
      </c>
      <c r="ER69" s="24"/>
      <c r="ES69" s="22"/>
      <c r="ET69" s="29" t="str">
        <f t="shared" ca="1" si="274"/>
        <v>SALE SIN TAMIZAJE HEMOGLOBINA SEM 28</v>
      </c>
      <c r="EU69" s="25" t="str">
        <f t="shared" si="275"/>
        <v/>
      </c>
      <c r="EV69" s="24" t="s">
        <v>866</v>
      </c>
      <c r="EW69" s="24">
        <v>44960</v>
      </c>
      <c r="EX69" s="22"/>
      <c r="EY69" s="29">
        <f t="shared" si="248"/>
        <v>14.285714285714286</v>
      </c>
      <c r="EZ69" s="25" t="str">
        <f t="shared" ca="1" si="249"/>
        <v/>
      </c>
      <c r="FA69" s="21">
        <v>75</v>
      </c>
      <c r="FB69" s="22">
        <v>44960</v>
      </c>
      <c r="FC69" s="29">
        <f t="shared" si="276"/>
        <v>14.285714285714286</v>
      </c>
      <c r="FD69" s="29"/>
      <c r="FE69" s="29"/>
      <c r="FF69" s="29"/>
      <c r="FG69" s="21" t="str">
        <f t="shared" ca="1" si="277"/>
        <v/>
      </c>
      <c r="FH69" s="31"/>
      <c r="FI69" s="29" t="str">
        <f t="shared" si="278"/>
        <v>TOMAR EXAMEN</v>
      </c>
      <c r="FJ69" s="22" t="s">
        <v>867</v>
      </c>
      <c r="FK69" s="22">
        <v>44960</v>
      </c>
      <c r="FL69" s="29" t="str">
        <f t="shared" si="279"/>
        <v>REGISTRAR EN II TRIMESTRE</v>
      </c>
      <c r="FM69" s="22" t="s">
        <v>867</v>
      </c>
      <c r="FN69" s="32">
        <v>44960</v>
      </c>
      <c r="FO69" s="29">
        <f ca="1">IF(AND(BT69="ERROR FUM O INGRESO",FN69&gt;0),"ERROR FUM O INGRESO",IF(AND(FN69="",R69="",O69=""),"",IF(AND(FN69&lt;&gt;"",FN69&lt;RW69), "INCOHERENCIA FUM Y FECHA TAMIZAJE",IF(AND(FN69="",DV69="ACTIVA INGRESO A CPN",AND(BU69&gt;0,BU69&lt;13)),"EN ESPERA-ESTÁ I TRIM", IF(AND(FN69="",AND(BS69&gt;0, BS69&lt;13),OR(O69&gt;0,R69&gt;0),AND(IP69&gt;0,IP69&lt;13)),"NO APLICA-SALIO DEL PROGRAMA I TRIM",IF(AND(FN69&lt;&gt;"",AND(SUM((FN69-RW69)/7)&gt;0,SUM((FN69-RW69)/7)&lt;13)),"REGISTRAR EN I TRIMESTRE",IF(AND(FN69&lt;&gt;"",AND(SUM((FN69-RW69)/7)&gt;=27,SUM((FN69-RW69)/7)&lt;44)),"REGISTRAR EN III TRIMESTRE",IF(AND(FN69="",OR(O69&gt;0,R69&gt;0),AND(BU69&gt;=13,BU69&lt;24),DV69="ACTIVA INGRESO A CPN"),"EN RANGO PARA TOMAR EXAMEN",IF(AND(FN69="",OR(O69&gt;0,R69&gt;0),AND(BU69&gt;=25,BU69&lt;27),DV69="ACTIVA INGRESO A CPN"),"TOMA INMEDIATA DE TAMIZAJE",IF(AND(FN69="",OR(O69&gt;0,R69&gt;0),AND(BS69&gt;=27,BS69&lt;44)),"NO APLICA-INGRESO TARDIO",IF(AND(FN69="",BS69&lt;27,OR(AND(IP69&gt;12,IP69&lt;44),BU69&gt;12)),"PIERDE TOMA DE TAMIZAJE",IF(FN69&gt;0,SUM(FN69-RW69)/7,""))))))))))))</f>
        <v>14.285714285714286</v>
      </c>
      <c r="FP69" s="22"/>
      <c r="FQ69" s="32"/>
      <c r="FR69" s="29" t="str">
        <f ca="1">IF(AND(BT69="ERROR FUM O INGRESO",FQ69&gt;0),"ERROR FUM O INGRESO",IF(AND(FQ69="",R69="",O69=""),"",IF(AND(FQ69&lt;&gt;"",FQ69&lt;RW69), "INCOHERENCIA FUM Y FECHA TAMIZAJE",IF(AND(FQ69="",DV69="ACTIVA INGRESO A CPN",AND(BU69&gt;0,BU69&lt;27)),"EN ESPERA-ESTÁ I TRIM O II TRIM", IF(AND(FQ69="",AND(BS69&gt;0, BS69&lt;27),OR(O69&gt;0,R69&gt;0),AND(IP69&gt;0,IP69&lt;27)),"NO APLICA-SALIO DEL PROGRAMA I O II TRIM",IF(AND(FQ69&lt;&gt;"",AND(SUM((FQ69-RW69)/7)&gt;0,SUM((FQ69-RW69)/7)&lt;13)),"REGISTAR EN I TRIMESTRE",IF(AND(FQ69&lt;&gt;"",AND(SUM((FQ69-RW69)/7)&gt;=13,SUM((FQ69-RW69)/7)&lt;27)),"REGISTRAR EN II TRIMESTRE",IF(AND(FQ69="",OR(O69&gt;0,R69&gt;0),AND(BU69&gt;=28,BU69&lt;35),DV69="ACTIVA INGRESO A CPN"),"EN RANGO PARA TOMAR EXAMEN",IF(AND(FQ69="",OR(O69&gt;0,R69&gt;0),BU69&gt;=35, DV69="ACTIVA INGRESO A CPN"),"TOMA INMEDIATA DE TAMIZAJE",IF(AND(FQ69="",DV69= "SALE SIN INGRESO CPN"),"NO APLICA-SIN CPN",IF(AND(FQ69="",AND(IP69&gt;26,IP69&lt;43)),"PIERDE TOMA DE TAMIZAJE",IF(FQ69&gt;0,SUM(FQ69-RW69)/7,""))))))))))))</f>
        <v>PIERDE TOMA DE TAMIZAJE</v>
      </c>
      <c r="FS69" s="22"/>
      <c r="FT69" s="32"/>
      <c r="FU69" s="29" t="str">
        <f>IF(AND(FJ69="",FM69="",FP69="",FS69=""),"",IF(OR(OR(Tabla1[[#This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69" s="28"/>
      <c r="FW69" s="22"/>
      <c r="FX69" s="29" t="str">
        <f t="shared" si="280"/>
        <v>TOMAR EXAMEN</v>
      </c>
      <c r="FY69" s="22">
        <v>44960</v>
      </c>
      <c r="FZ69" s="22">
        <v>44960</v>
      </c>
      <c r="GA69" s="29" t="str">
        <f t="shared" si="250"/>
        <v>REGISTRAR EN II TRIMESTRE</v>
      </c>
      <c r="GB69" s="22" t="s">
        <v>868</v>
      </c>
      <c r="GC69" s="22">
        <v>44960</v>
      </c>
      <c r="GD69" s="29">
        <f t="shared" ca="1" si="281"/>
        <v>14.285714285714286</v>
      </c>
      <c r="GE69" s="22"/>
      <c r="GF69" s="22"/>
      <c r="GG69" s="29" t="str">
        <f t="shared" ca="1" si="282"/>
        <v>PIERDE TOMA DE TAMIZAJE</v>
      </c>
      <c r="GH69" s="22"/>
      <c r="GI69" s="29"/>
      <c r="GJ69" s="22"/>
      <c r="GK69" s="22"/>
      <c r="GL69" s="22"/>
      <c r="GM69" s="22"/>
      <c r="GN69" s="28" t="s">
        <v>869</v>
      </c>
      <c r="GO69" s="22">
        <v>44960</v>
      </c>
      <c r="GP69" s="29">
        <f t="shared" si="283"/>
        <v>14.285714285714286</v>
      </c>
      <c r="GQ69" s="28" t="s">
        <v>869</v>
      </c>
      <c r="GR69" s="28" t="s">
        <v>880</v>
      </c>
      <c r="GS69" s="22" t="str">
        <f t="shared" si="284"/>
        <v>CONTROL Igm</v>
      </c>
      <c r="GT69" s="22">
        <v>44960</v>
      </c>
      <c r="GU69" s="29">
        <f t="shared" si="285"/>
        <v>14.285714285714286</v>
      </c>
      <c r="GV69" s="21" t="str">
        <f t="shared" si="286"/>
        <v>II TRIM</v>
      </c>
      <c r="GW69" s="28"/>
      <c r="GX69" s="30"/>
      <c r="GY69" s="21"/>
      <c r="GZ69" s="21"/>
      <c r="HA69" s="21"/>
      <c r="HB69" s="21"/>
      <c r="HC69" s="21"/>
      <c r="HD69" s="21"/>
      <c r="HE69" s="21"/>
      <c r="HF69" s="22"/>
      <c r="HG69" s="22" t="str">
        <f>IF(OR(O69&gt;0,R69&gt;0),CONCATENATE(IF(Tabla1[[#This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69" s="22" t="e">
        <f t="shared" si="287"/>
        <v>#REF!</v>
      </c>
      <c r="HI69" s="22" t="e">
        <f t="shared" ca="1" si="288"/>
        <v>#REF!</v>
      </c>
      <c r="HJ69" s="21" t="str">
        <f t="shared" ca="1" si="289"/>
        <v>*************************CESAREAS PREVIAS**************</v>
      </c>
      <c r="HK69" s="21" t="str">
        <f t="shared" si="290"/>
        <v>SIN ANTECEDENTES DE RIESGO</v>
      </c>
      <c r="HL69" s="24" t="str">
        <f t="shared" si="291"/>
        <v>APARENTEMENTE NORMAL</v>
      </c>
      <c r="HM69" s="21" t="str">
        <f t="shared" ca="1" si="292"/>
        <v/>
      </c>
      <c r="HN69" s="30" t="str">
        <f t="shared" si="207"/>
        <v>SALIO PROGRAMA</v>
      </c>
      <c r="HO69" s="21"/>
      <c r="HP69" s="21"/>
      <c r="HQ69" s="21">
        <v>44910</v>
      </c>
      <c r="HR69" s="21" t="str">
        <f>IF(R69="","",IF(Tabla1[[#This Row],[ALARMA FACTORES DE RIESGO COMPLICACIONES HIPERTENSIVAS3]]="SIN ANTECEDENTES DE RIESGO","No Aplica para suministro de ASA",IF(AND(Tabla1[[#This Row],[FECHA INICIO DE SUMINISTRO DE ASA]]&gt;0,RV69&lt;12),"Inicia ASA ANTES de Sem 12",IF(AND(RV69&gt;11,RV69&lt;17,OR(HK69="RIESGO ALTO DE COMPLICACIONES HIPERTENSIVAS VER MANEJO GUIA SUMINISTRO ASA Y CALCIO",HK69="RIESGO MODERADO (2 O MAS CRITERIOS) VER MANEJO GUIA SUMINISTRO ASA Y CALCIO")),"Inicio oportuno de ASA",IF(AND(RV69&gt;12,OR(HK69="RIESGO ALTO DE COMPLICACIONES HIPERTENSIVAS VER MANEJO GUIA SUMINISTRO ASA Y CALCIO",HK69="RIESGO MODERADO (2 O MAS CRITERIOS) VER MANEJO GUIA SUMINISTRO ASA Y CALCIO")),"Inicio no oportuno mayor a 16 semanas",IF(AND(BU69&lt;12,OR(HK69="RIESGO ALTO DE COMPLICACIONES HIPERTENSIVAS VER MANEJO GUIA SUMINISTRO ASA Y CALCIO",HK69="RIESGO MODERADO (2 O MAS CRITERIOS) VER MANEJO GUIA SUMINISTRO ASA Y CALCIO")),"Pendiente Inicio de ASA a la semana 12",IF(AND(BU69&gt;11,BU69&lt;17,OR(HK69="RIESGO ALTO DE COMPLICACIONES HIPERTENSIVAS VER MANEJO GUIA SUMINISTRO ASA Y CALCIO",HK69="RIESGO MODERADO (2 O MAS CRITERIOS) VER MANEJO GUIA SUMINISTRO ASA Y CALCIO")),"Iniciar de inmediato ASA",IF(AND(BU69&gt;16,OR(HK69="RIESGO ALTO DE COMPLICACIONES HIPERTENSIVAS VER MANEJO GUIA SUMINISTRO ASA Y CALCIO",HK69="RIESGO MODERADO (2 O MAS CRITERIOS) VER MANEJO GUIA SUMINISTRO ASA Y CALCIO")),"Pierde Oportunidad, Inicio tardío de ASA","XXXXX"))))))))</f>
        <v>No Aplica para suministro de ASA</v>
      </c>
      <c r="HS69" s="22">
        <v>44910</v>
      </c>
      <c r="HT69" s="22" t="s">
        <v>870</v>
      </c>
      <c r="HU69" s="22">
        <v>44910</v>
      </c>
      <c r="HV69" s="22" t="s">
        <v>870</v>
      </c>
      <c r="HW69" s="22">
        <v>44910</v>
      </c>
      <c r="HX69" s="22" t="s">
        <v>870</v>
      </c>
      <c r="HY69" s="22">
        <v>44910</v>
      </c>
      <c r="HZ69" s="28">
        <f t="shared" si="293"/>
        <v>7.1428571428571432</v>
      </c>
      <c r="IA69" s="26" t="s">
        <v>864</v>
      </c>
      <c r="IB69" s="26"/>
      <c r="IC69" s="111"/>
      <c r="ID69" s="22"/>
      <c r="IE69" s="22" t="str">
        <f t="shared" ca="1" si="294"/>
        <v>SALE SIN VACUNA</v>
      </c>
      <c r="IF69" s="22"/>
      <c r="IG69" s="22">
        <f t="shared" si="295"/>
        <v>45140</v>
      </c>
      <c r="IH69" s="29">
        <f t="shared" ca="1" si="296"/>
        <v>-92</v>
      </c>
      <c r="II69" s="22" t="str">
        <f t="shared" ca="1" si="297"/>
        <v>POSIBLEMENTE NACIO</v>
      </c>
      <c r="IJ69" s="22"/>
      <c r="IK69" s="21" t="s">
        <v>1652</v>
      </c>
      <c r="IL69" s="21"/>
      <c r="IM69" s="34"/>
      <c r="IN69" s="349">
        <v>45126</v>
      </c>
      <c r="IO69" s="21" t="s">
        <v>1186</v>
      </c>
      <c r="IP69" s="29">
        <f t="shared" si="298"/>
        <v>38</v>
      </c>
      <c r="IQ69" s="110" t="s">
        <v>1655</v>
      </c>
      <c r="IR69" s="21" t="s">
        <v>1649</v>
      </c>
      <c r="IS69" s="21" t="s">
        <v>1646</v>
      </c>
      <c r="IT69" s="21" t="s">
        <v>1642</v>
      </c>
      <c r="IU69" s="21"/>
      <c r="IV69" s="21"/>
      <c r="IW69" s="21"/>
      <c r="IX69" s="21"/>
      <c r="IY69" s="21"/>
      <c r="IZ69" s="21"/>
      <c r="JA69" s="21"/>
      <c r="JB69" s="30">
        <v>1</v>
      </c>
      <c r="JC69" s="21" t="s">
        <v>1643</v>
      </c>
      <c r="JD69" s="36">
        <v>3100</v>
      </c>
      <c r="JE69" s="21" t="str">
        <f t="shared" si="299"/>
        <v>PESO ADECUADO EDAD GESTACIONAL</v>
      </c>
      <c r="JF69" s="30"/>
      <c r="JG69" s="21"/>
      <c r="JH69" s="21"/>
      <c r="JI69" s="21" t="s">
        <v>854</v>
      </c>
      <c r="JJ69" s="30" t="s">
        <v>866</v>
      </c>
      <c r="JK69" s="22"/>
      <c r="JL69" s="22"/>
      <c r="JM69" s="21"/>
      <c r="JN69" s="36"/>
      <c r="JO69" s="21" t="str">
        <f t="shared" si="300"/>
        <v/>
      </c>
      <c r="JP69" s="22"/>
      <c r="JQ69" s="21"/>
      <c r="JR69" s="21"/>
      <c r="JS69" s="21"/>
      <c r="JT69" s="30"/>
      <c r="JU69" s="22"/>
      <c r="JV69" s="22"/>
      <c r="JW69" s="33"/>
      <c r="JX69" s="28" t="str">
        <f t="shared" si="301"/>
        <v>INASISTENTE</v>
      </c>
      <c r="JY69" s="33"/>
      <c r="JZ69" s="28" t="str">
        <f t="shared" si="302"/>
        <v>INASISTENTE</v>
      </c>
      <c r="KA69" s="21"/>
      <c r="KB69" s="21"/>
      <c r="KC69" s="21"/>
      <c r="KD69" s="37"/>
      <c r="KE69" s="28"/>
      <c r="KF69" s="28"/>
      <c r="KG69" s="28"/>
      <c r="KH69" s="39"/>
      <c r="KI69" s="39"/>
      <c r="KJ69" s="66"/>
      <c r="KK69" s="39"/>
      <c r="KL69" s="39"/>
      <c r="KM69" s="66"/>
      <c r="KN69" s="39"/>
      <c r="KO69" s="39"/>
      <c r="KP69" s="39"/>
      <c r="KQ69" s="39"/>
      <c r="KR69" s="39"/>
      <c r="KS69" s="39"/>
      <c r="KT69" s="39"/>
      <c r="KU69" s="38"/>
      <c r="KV69" s="38"/>
      <c r="KW69" s="38"/>
      <c r="KX69" s="38"/>
      <c r="KY69" s="38"/>
      <c r="KZ69" s="38"/>
      <c r="LA69" s="38"/>
      <c r="LB69" s="38"/>
      <c r="LC69" s="38"/>
      <c r="LD69" s="38"/>
      <c r="LE69" s="38"/>
      <c r="LF69" s="38"/>
      <c r="LG69" s="38"/>
      <c r="LH69" s="38"/>
      <c r="LI69" s="38"/>
      <c r="LJ69" s="38"/>
      <c r="LK69" s="38"/>
      <c r="LL69" s="38"/>
      <c r="LM69" s="38"/>
      <c r="LN69" s="38"/>
      <c r="LO69" s="38"/>
      <c r="LP69" s="38"/>
      <c r="LQ69" s="38"/>
      <c r="LR69" s="38"/>
      <c r="LS69" s="38"/>
      <c r="LT69" s="38"/>
      <c r="LU69" s="38"/>
      <c r="LV69" s="38"/>
      <c r="LW69" s="38"/>
      <c r="LX69" s="38"/>
      <c r="LY69" s="38"/>
      <c r="LZ69" s="38"/>
      <c r="MA69" s="38"/>
      <c r="MB69" s="38"/>
      <c r="MC69" s="38"/>
      <c r="MD69" s="38"/>
      <c r="ME69" s="38"/>
      <c r="MF69" s="38"/>
      <c r="MG69" s="38"/>
      <c r="MH69" s="43">
        <f t="shared" si="303"/>
        <v>0</v>
      </c>
      <c r="MI69" s="43" t="str">
        <f t="shared" si="304"/>
        <v/>
      </c>
      <c r="MJ69" s="43" t="str">
        <f t="shared" si="305"/>
        <v/>
      </c>
      <c r="MK69" s="43">
        <f t="shared" si="306"/>
        <v>0</v>
      </c>
      <c r="ML6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69" s="43">
        <f t="shared" si="307"/>
        <v>7.1428571428571432</v>
      </c>
      <c r="MN69" s="43">
        <f t="shared" si="308"/>
        <v>12</v>
      </c>
      <c r="MO69" s="43">
        <f t="shared" si="309"/>
        <v>2022</v>
      </c>
      <c r="MP69" s="43" t="str">
        <f t="shared" si="310"/>
        <v>IV TRIMESTRE AÑO</v>
      </c>
      <c r="MQ69" s="43">
        <f t="shared" si="311"/>
        <v>28.296101620674548</v>
      </c>
      <c r="MR69" s="43">
        <f t="shared" si="312"/>
        <v>0</v>
      </c>
      <c r="MS69" s="43" t="str">
        <f t="shared" si="313"/>
        <v xml:space="preserve"> DE 25 A 29 AÑOS</v>
      </c>
      <c r="MT69" s="43">
        <f t="shared" si="314"/>
        <v>0</v>
      </c>
      <c r="MU69" s="43">
        <f t="shared" si="315"/>
        <v>0</v>
      </c>
      <c r="MV69" s="43">
        <f t="shared" si="316"/>
        <v>1</v>
      </c>
      <c r="MW69" s="43">
        <f t="shared" si="317"/>
        <v>0</v>
      </c>
      <c r="MX69" s="43" t="str">
        <f t="shared" si="318"/>
        <v/>
      </c>
      <c r="MY69" s="43" t="str">
        <f t="shared" ca="1" si="229"/>
        <v/>
      </c>
      <c r="MZ69" s="43" t="str">
        <f t="shared" si="319"/>
        <v/>
      </c>
      <c r="NA69" s="43">
        <f t="shared" si="320"/>
        <v>0</v>
      </c>
      <c r="NB69" s="43" t="str">
        <f t="shared" si="321"/>
        <v/>
      </c>
      <c r="NC69" s="43" t="str">
        <f t="shared" si="322"/>
        <v/>
      </c>
      <c r="ND69" s="43">
        <f t="shared" ca="1" si="323"/>
        <v>1</v>
      </c>
      <c r="NE69" s="43">
        <f>IF(OR(O69&gt;0,R69&gt;0),SUM(COUNTIF(Tabla1[[#This Row],[AÑOS AL INICIO5 CPN]],"&gt;=40"),COUNTIF(AS69,"0"),COUNTIF(AR69,"SI"),COUNTIF(CC69,"SI"),COUNTIF(BQ69,"&gt;119"),COUNTIF(CI69,"&gt;=35")),"")</f>
        <v>1</v>
      </c>
      <c r="NF69" s="43" t="str">
        <f t="shared" si="324"/>
        <v/>
      </c>
      <c r="NG69" s="43">
        <f t="shared" si="325"/>
        <v>0</v>
      </c>
      <c r="NH69" s="43">
        <f t="shared" si="326"/>
        <v>99.399999999999991</v>
      </c>
      <c r="NI69"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CPN",P69="NO"),"Z",IF(AND(Tabla1[[#This Row],[CITA PROXIMO CONTROL]]="CITA MANUAL",Tabla1[[#This Row],[GESTANTES ACTUALES]]="ACTIVA INGRESO A CPN"),"W",IF(AND(Tabla1[[#This Row],[GESTANTES ACTUALES]]="SALIO PROGRAMA",IN69=""),"S",IF(AND(Tabla1[[#This Row],[CITA PROXIMO CONTROL]]&gt;0,IN69=""),(Tabla1[[#This Row],[CITA PROXIMO CONTROL]]-TODAY()),"SD"))))))))</f>
        <v>SD</v>
      </c>
      <c r="NJ69" s="43">
        <f>MONTH(Tabla1[[#This Row],[FECHA DE SALIDA  DEL PROGRAMA]])</f>
        <v>7</v>
      </c>
      <c r="NK69" s="43">
        <f>YEAR(Tabla1[[#This Row],[FECHA DE SALIDA  DEL PROGRAMA]])</f>
        <v>2023</v>
      </c>
      <c r="NL69" s="43">
        <f t="shared" si="327"/>
        <v>49</v>
      </c>
      <c r="NM69" s="43" t="str">
        <f t="shared" si="251"/>
        <v>NO</v>
      </c>
      <c r="NN69" s="43" t="str">
        <f ca="1">IF(AND(O69&gt;0,R69=""),"NO CPN",IF(AND(O69="",R69=""),"",IF(AND(R69&gt;0,Tabla1[[#This Row],[SEMANAS DE GESTACION ACTUALIZADAS]]&lt;=12),"NO APLICA",IF(AND(FH69&lt;&gt;"",FN69&lt;&gt;""),"SI","NO"))))</f>
        <v>NO</v>
      </c>
      <c r="NO69" s="43" t="str">
        <f ca="1">IF(AND(O69&gt;0,R69=""),"NO CPN",IF(AND(O69="",R69=""),"",IF(AND(R69&gt;0,Tabla1[[#This Row],[SEMANAS DE GESTACION ACTUALIZADAS]]&lt;=27),"NO APLICA",IF(AND(ES69&lt;&gt;"",FQ69&lt;&gt;"",GF69&lt;&gt;""),"SI","NO"))))</f>
        <v>NO</v>
      </c>
      <c r="NP69" s="204" t="str">
        <f t="shared" si="328"/>
        <v>I TRIM</v>
      </c>
      <c r="NQ69" s="21" t="str">
        <f t="shared" si="241"/>
        <v/>
      </c>
      <c r="NR69" s="21">
        <f t="shared" si="242"/>
        <v>3</v>
      </c>
      <c r="NS69" s="205">
        <f t="shared" ca="1" si="329"/>
        <v>1</v>
      </c>
      <c r="NT69" s="21">
        <f t="shared" ca="1" si="330"/>
        <v>1</v>
      </c>
      <c r="NU69" s="21" t="str">
        <f t="shared" ca="1" si="331"/>
        <v>INCOMPLETO</v>
      </c>
      <c r="NV69" s="21" t="str">
        <f t="shared" ca="1" si="332"/>
        <v>INCOMPLETO</v>
      </c>
      <c r="NW69" s="206" t="str">
        <f>IF(AND(O69="",R69=""),"",IF(OR(AND(Tabla1[[#This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69" s="207" t="str">
        <f t="shared" ca="1" si="333"/>
        <v>SIN VACUNAR</v>
      </c>
      <c r="NY69" s="43">
        <f>ROW(Tabla1[[#This Row],['# DE TAMIZAJES SIFILIS TOMADOS ]])</f>
        <v>69</v>
      </c>
      <c r="NZ69" s="43" t="str">
        <f t="shared" si="334"/>
        <v>Menor</v>
      </c>
      <c r="OA69" s="43" t="str">
        <f t="shared" si="335"/>
        <v>OBESIDAD</v>
      </c>
      <c r="OB69" s="43" t="str">
        <f t="shared" si="336"/>
        <v/>
      </c>
      <c r="OC69" s="43" t="str">
        <f t="shared" si="337"/>
        <v/>
      </c>
      <c r="OD69" s="43" t="str">
        <f t="shared" si="338"/>
        <v/>
      </c>
      <c r="OE69" s="43" t="str">
        <f t="shared" si="339"/>
        <v/>
      </c>
      <c r="OF69" s="43" t="str">
        <f t="shared" si="340"/>
        <v/>
      </c>
      <c r="OG69" s="43" t="str">
        <f t="shared" si="341"/>
        <v/>
      </c>
      <c r="OH69" s="43" t="str">
        <f t="shared" si="342"/>
        <v/>
      </c>
      <c r="OI69" s="43" t="str">
        <f t="shared" si="343"/>
        <v/>
      </c>
      <c r="OJ69" s="43" t="str">
        <f t="shared" si="344"/>
        <v/>
      </c>
      <c r="OK69" s="43" t="str">
        <f t="shared" si="345"/>
        <v/>
      </c>
      <c r="OL69" s="43" t="str">
        <f t="shared" si="346"/>
        <v/>
      </c>
      <c r="OM69" s="43" t="str">
        <f t="shared" si="347"/>
        <v/>
      </c>
      <c r="ON69" s="43" t="str">
        <f t="shared" si="348"/>
        <v/>
      </c>
      <c r="OO69" s="43" t="str">
        <f t="shared" si="349"/>
        <v/>
      </c>
      <c r="OP69" s="43" t="str">
        <f t="shared" si="350"/>
        <v/>
      </c>
      <c r="OQ69" s="43" t="str">
        <f t="shared" si="351"/>
        <v/>
      </c>
      <c r="OR69" s="43" t="str">
        <f t="shared" si="352"/>
        <v/>
      </c>
      <c r="OS69" s="43" t="str">
        <f t="shared" si="353"/>
        <v/>
      </c>
      <c r="OT69" s="43" t="str">
        <f t="shared" si="354"/>
        <v/>
      </c>
      <c r="OU69" s="43" t="str">
        <f t="shared" si="355"/>
        <v/>
      </c>
      <c r="OV69" s="110" t="str">
        <f t="shared" si="356"/>
        <v/>
      </c>
      <c r="OW69" s="43" t="str">
        <f t="shared" si="357"/>
        <v/>
      </c>
      <c r="OX69" s="43" t="str">
        <f t="shared" si="358"/>
        <v/>
      </c>
      <c r="OY69" s="43" t="str">
        <f t="shared" si="359"/>
        <v/>
      </c>
      <c r="OZ69" s="43" t="str">
        <f t="shared" si="360"/>
        <v/>
      </c>
      <c r="PA69" s="43" t="str">
        <f t="shared" si="361"/>
        <v/>
      </c>
      <c r="PB69" s="43" t="str">
        <f t="shared" si="362"/>
        <v/>
      </c>
      <c r="PC69" s="43" t="str">
        <f t="shared" si="363"/>
        <v/>
      </c>
      <c r="PD69" s="43" t="str">
        <f t="shared" si="364"/>
        <v/>
      </c>
      <c r="PE69" s="43" t="str">
        <f t="shared" si="365"/>
        <v/>
      </c>
      <c r="PF69" s="43" t="str">
        <f t="shared" si="366"/>
        <v/>
      </c>
      <c r="PG69" s="43" t="str">
        <f t="shared" si="367"/>
        <v/>
      </c>
      <c r="PH69" s="43" t="str">
        <f t="shared" si="368"/>
        <v/>
      </c>
      <c r="PI69" s="43">
        <f t="shared" si="369"/>
        <v>31</v>
      </c>
      <c r="PJ69" s="43" t="str">
        <f t="shared" si="370"/>
        <v/>
      </c>
      <c r="PK69" s="43" t="str">
        <f t="shared" si="371"/>
        <v/>
      </c>
      <c r="PL69" s="43" t="str">
        <f t="shared" si="372"/>
        <v/>
      </c>
      <c r="PM69" s="43" t="str">
        <f t="shared" si="373"/>
        <v/>
      </c>
      <c r="PN69" s="43" t="str">
        <f t="shared" si="374"/>
        <v/>
      </c>
      <c r="PO69" s="43" t="str">
        <f t="shared" si="375"/>
        <v/>
      </c>
      <c r="PP69" s="43" t="str">
        <f t="shared" si="376"/>
        <v/>
      </c>
      <c r="PQ69" s="43" t="str">
        <f t="shared" si="377"/>
        <v/>
      </c>
      <c r="PR69" s="43" t="str">
        <f t="shared" si="378"/>
        <v/>
      </c>
      <c r="PS69" s="43" t="str">
        <f t="shared" si="379"/>
        <v/>
      </c>
      <c r="PT69" s="43" t="str">
        <f t="shared" si="380"/>
        <v/>
      </c>
      <c r="PU69" s="43" t="str">
        <f t="shared" si="381"/>
        <v/>
      </c>
      <c r="PV69" s="43" t="str">
        <f t="shared" si="382"/>
        <v/>
      </c>
      <c r="PW69" s="43" t="str">
        <f t="shared" si="383"/>
        <v/>
      </c>
      <c r="PX69" s="43" t="str">
        <f t="shared" si="384"/>
        <v/>
      </c>
      <c r="PY69" s="43" t="str">
        <f t="shared" si="385"/>
        <v/>
      </c>
      <c r="PZ69" s="43" t="str">
        <f t="shared" si="386"/>
        <v/>
      </c>
      <c r="QA69" s="43" t="str">
        <f t="shared" si="387"/>
        <v/>
      </c>
      <c r="QB69" s="43" t="str">
        <f t="shared" si="388"/>
        <v/>
      </c>
      <c r="QC69" s="43" t="str">
        <f t="shared" si="389"/>
        <v/>
      </c>
      <c r="QD69" s="43" t="str">
        <f t="shared" si="390"/>
        <v/>
      </c>
      <c r="QE69" s="43" t="str">
        <f t="shared" si="391"/>
        <v/>
      </c>
      <c r="QF69" s="43" t="str">
        <f t="shared" si="392"/>
        <v>OBESIDAD</v>
      </c>
      <c r="QG69" s="43" t="str">
        <f t="shared" si="393"/>
        <v/>
      </c>
      <c r="QH69" s="43" t="str">
        <f t="shared" si="394"/>
        <v/>
      </c>
      <c r="QI69" s="43" t="str">
        <f t="shared" si="395"/>
        <v/>
      </c>
      <c r="QJ69" s="43" t="str">
        <f t="shared" si="396"/>
        <v/>
      </c>
      <c r="QK69" s="43" t="str">
        <f t="shared" si="397"/>
        <v/>
      </c>
      <c r="QL69" s="43" t="str">
        <f t="shared" si="398"/>
        <v/>
      </c>
      <c r="QM69" s="43" t="str">
        <f t="shared" si="399"/>
        <v/>
      </c>
      <c r="QN69" s="43" t="str">
        <f t="shared" si="400"/>
        <v/>
      </c>
      <c r="QO69" s="43" t="str">
        <f t="shared" si="401"/>
        <v/>
      </c>
      <c r="QP69" s="43" t="str">
        <f t="shared" si="402"/>
        <v/>
      </c>
      <c r="QQ69" s="43" t="str">
        <f t="shared" si="403"/>
        <v/>
      </c>
      <c r="QR69" s="43">
        <f t="shared" si="433"/>
        <v>31</v>
      </c>
      <c r="QS69" s="43"/>
      <c r="QT69" s="21" t="str">
        <f t="shared" si="404"/>
        <v/>
      </c>
      <c r="QU69" s="21" t="str">
        <f t="shared" si="405"/>
        <v/>
      </c>
      <c r="QV69" s="21" t="str">
        <f t="shared" si="406"/>
        <v/>
      </c>
      <c r="QW69" s="21" t="str">
        <f t="shared" si="407"/>
        <v/>
      </c>
      <c r="QX69" s="21" t="str">
        <f t="shared" si="408"/>
        <v/>
      </c>
      <c r="QY69" s="21" t="str">
        <f t="shared" si="409"/>
        <v/>
      </c>
      <c r="QZ69" s="21" t="str">
        <f t="shared" si="410"/>
        <v/>
      </c>
      <c r="RA69" s="21" t="str">
        <f t="shared" si="411"/>
        <v/>
      </c>
      <c r="RB69" s="21" t="str">
        <f t="shared" si="412"/>
        <v/>
      </c>
      <c r="RC69" s="21" t="str">
        <f t="shared" si="413"/>
        <v/>
      </c>
      <c r="RD69" s="21" t="str">
        <f t="shared" si="414"/>
        <v/>
      </c>
      <c r="RE69" s="21" t="str">
        <f t="shared" si="415"/>
        <v/>
      </c>
      <c r="RF69" s="21" t="str">
        <f t="shared" si="416"/>
        <v/>
      </c>
      <c r="RG69" s="21" t="str">
        <f t="shared" si="417"/>
        <v/>
      </c>
      <c r="RH69" s="21" t="str">
        <f t="shared" si="418"/>
        <v/>
      </c>
      <c r="RI69" s="21" t="str">
        <f t="shared" si="419"/>
        <v/>
      </c>
      <c r="RJ69" s="21" t="str">
        <f t="shared" si="420"/>
        <v/>
      </c>
      <c r="RK69" s="21" t="str">
        <f t="shared" si="421"/>
        <v/>
      </c>
      <c r="RL69" s="21" t="str">
        <f t="shared" si="422"/>
        <v>ADECUADO PARA EDAD GESTACIONAL</v>
      </c>
      <c r="RM69" s="21" t="str">
        <f t="shared" si="423"/>
        <v/>
      </c>
      <c r="RN69" s="21" t="str">
        <f t="shared" si="424"/>
        <v/>
      </c>
      <c r="RO69" s="21" t="str">
        <f t="shared" si="425"/>
        <v/>
      </c>
      <c r="RP69" s="21" t="str">
        <f t="shared" si="426"/>
        <v/>
      </c>
      <c r="RQ69" s="21" t="str">
        <f t="shared" si="427"/>
        <v/>
      </c>
      <c r="RR69" s="21" t="str">
        <f t="shared" si="428"/>
        <v/>
      </c>
      <c r="RS69" s="21" t="str">
        <f t="shared" si="429"/>
        <v/>
      </c>
      <c r="RT69" s="21" t="str">
        <f t="shared" si="430"/>
        <v/>
      </c>
      <c r="RU69" s="21" t="str">
        <f t="shared" si="431"/>
        <v/>
      </c>
      <c r="RV69" s="21">
        <f t="shared" si="432"/>
        <v>7.1428571428571432</v>
      </c>
      <c r="RW69" s="284">
        <f>IF(OR(Tabla1[[#This Row],[FUM FORMULA CONFIABLE]]="",Tabla1[[#This Row],[FUM FORMULA CONFIABLE]]="SD"),"",IF(Tabla1[[#This Row],[FUM FORMULA CONFIABLE]]="CORREGIDA",Tabla1[[#This Row],[FUM X ECO 1]],Tabla1[[#This Row],[FUM x AMENORREA]]))</f>
        <v>44860</v>
      </c>
      <c r="RX69" s="21">
        <f>IF(AND(Tabla1[[#This Row],[FUM X ECO 1]]="",Tabla1[[#This Row],[FUM x AMENORREA]]=""),"",IF(AND(Tabla1[[#This Row],[FUM X ECO 1]]="",Tabla1[[#This Row],[FUM x AMENORREA]]&lt;&gt;""),"X",SUM(Tabla1[[#This Row],[FUM X ECO 1]]-Tabla1[[#This Row],[FUM x AMENORREA]])))</f>
        <v>0.59999999999854481</v>
      </c>
      <c r="RY69" s="21">
        <f t="shared" si="434"/>
        <v>0</v>
      </c>
    </row>
    <row r="70" spans="1:493" ht="45" customHeight="1" x14ac:dyDescent="0.25">
      <c r="A70" s="109"/>
      <c r="B70" s="43" t="s">
        <v>946</v>
      </c>
      <c r="C70" s="43" t="s">
        <v>845</v>
      </c>
      <c r="D70" s="124" t="s">
        <v>846</v>
      </c>
      <c r="E70" s="43" t="s">
        <v>1211</v>
      </c>
      <c r="F70" s="43" t="s">
        <v>1170</v>
      </c>
      <c r="G70" s="43" t="s">
        <v>1212</v>
      </c>
      <c r="H70" s="43"/>
      <c r="I70" s="109" t="s">
        <v>851</v>
      </c>
      <c r="J70" s="110">
        <v>1059607085</v>
      </c>
      <c r="K70" s="43" t="s">
        <v>852</v>
      </c>
      <c r="L70" s="175" t="s">
        <v>853</v>
      </c>
      <c r="M70" s="22">
        <v>36331</v>
      </c>
      <c r="N70" s="213">
        <f t="shared" ca="1" si="252"/>
        <v>24.386301369863013</v>
      </c>
      <c r="O70" s="22">
        <v>44916</v>
      </c>
      <c r="P70" s="214" t="str">
        <f t="shared" si="253"/>
        <v>SI</v>
      </c>
      <c r="Q70" s="26" t="s">
        <v>855</v>
      </c>
      <c r="R70" s="22">
        <v>44916</v>
      </c>
      <c r="S70" s="21" t="s">
        <v>856</v>
      </c>
      <c r="T70" s="24" t="s">
        <v>690</v>
      </c>
      <c r="U70" s="21" t="s">
        <v>857</v>
      </c>
      <c r="V70" s="21" t="s">
        <v>858</v>
      </c>
      <c r="W70" s="21" t="s">
        <v>955</v>
      </c>
      <c r="X70" s="21" t="s">
        <v>955</v>
      </c>
      <c r="Y70" s="21" t="s">
        <v>859</v>
      </c>
      <c r="Z70" s="21">
        <v>3213105966</v>
      </c>
      <c r="AA70" s="21" t="s">
        <v>860</v>
      </c>
      <c r="AB70" s="27" t="s">
        <v>861</v>
      </c>
      <c r="AC70" s="26" t="s">
        <v>897</v>
      </c>
      <c r="AD70" s="38" t="s">
        <v>846</v>
      </c>
      <c r="AE70" s="26" t="s">
        <v>854</v>
      </c>
      <c r="AF70" s="26" t="s">
        <v>854</v>
      </c>
      <c r="AG70" s="23" t="s">
        <v>864</v>
      </c>
      <c r="AH70" s="23" t="s">
        <v>864</v>
      </c>
      <c r="AI70" s="24" t="s">
        <v>863</v>
      </c>
      <c r="AJ70" s="23" t="s">
        <v>864</v>
      </c>
      <c r="AK70" s="220" t="str">
        <f>IF(AND(AD70="",AE70="",AF70="",AG70="",AH70="",AI70="",AJ70=""),"",IF(OR(Tabla1[[#This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EVALUACIÓN",IF(AND(O70="",R70=""),"",IF(AND(OR(O70&gt;0,R70&gt;0),NG70&gt;=0,NG70&lt;2),"SIN RIESGO",IF(AND(OR(O70&gt;0,R70&gt;0),NG70&gt;=2),"CON RIESGO","ASD")))))</f>
        <v>SIN RIESGO</v>
      </c>
      <c r="AL70" s="23" t="s">
        <v>864</v>
      </c>
      <c r="AM70" s="26" t="s">
        <v>864</v>
      </c>
      <c r="AN70" s="26" t="s">
        <v>864</v>
      </c>
      <c r="AO70" s="26" t="s">
        <v>864</v>
      </c>
      <c r="AP70" s="26" t="s">
        <v>864</v>
      </c>
      <c r="AQ70" s="26" t="s">
        <v>864</v>
      </c>
      <c r="AR70" s="26" t="s">
        <v>864</v>
      </c>
      <c r="AS70" s="21">
        <v>2</v>
      </c>
      <c r="AT70" s="21">
        <v>1</v>
      </c>
      <c r="AU70" s="21">
        <v>0</v>
      </c>
      <c r="AV70" s="26" t="s">
        <v>864</v>
      </c>
      <c r="AW70" s="21">
        <v>0</v>
      </c>
      <c r="AX70" s="26" t="s">
        <v>864</v>
      </c>
      <c r="AY70" s="26" t="s">
        <v>864</v>
      </c>
      <c r="AZ70" s="26" t="s">
        <v>864</v>
      </c>
      <c r="BA70" s="26" t="s">
        <v>864</v>
      </c>
      <c r="BB70" s="26" t="s">
        <v>864</v>
      </c>
      <c r="BC70" s="26" t="s">
        <v>864</v>
      </c>
      <c r="BD70" s="26" t="s">
        <v>864</v>
      </c>
      <c r="BE70" s="26" t="s">
        <v>864</v>
      </c>
      <c r="BF70" s="26" t="s">
        <v>864</v>
      </c>
      <c r="BG70" s="26" t="s">
        <v>864</v>
      </c>
      <c r="BH70" s="26" t="s">
        <v>864</v>
      </c>
      <c r="BI70" s="26" t="s">
        <v>864</v>
      </c>
      <c r="BJ70" s="26"/>
      <c r="BK70" s="26"/>
      <c r="BL70" s="26" t="s">
        <v>864</v>
      </c>
      <c r="BM70" s="26" t="s">
        <v>864</v>
      </c>
      <c r="BN70" s="22">
        <v>43918</v>
      </c>
      <c r="BO70" s="22">
        <v>44792</v>
      </c>
      <c r="BP70" s="21" t="s">
        <v>854</v>
      </c>
      <c r="BQ70" s="222">
        <f t="shared" si="254"/>
        <v>29.133333333333333</v>
      </c>
      <c r="BR70" s="223">
        <f t="shared" si="255"/>
        <v>44792</v>
      </c>
      <c r="BS70" s="224">
        <f t="shared" si="256"/>
        <v>17.714285714285715</v>
      </c>
      <c r="BT70" s="216" t="str">
        <f t="shared" si="257"/>
        <v>II TRIM</v>
      </c>
      <c r="BU70" s="214" t="str">
        <f t="shared" ca="1" si="258"/>
        <v/>
      </c>
      <c r="BV70" s="25"/>
      <c r="BW70" s="22">
        <v>44918</v>
      </c>
      <c r="BX70" s="28">
        <v>18</v>
      </c>
      <c r="BY70" s="28"/>
      <c r="BZ70" s="22"/>
      <c r="CA70" s="21"/>
      <c r="CB70" s="26" t="s">
        <v>864</v>
      </c>
      <c r="CC70" s="26" t="s">
        <v>864</v>
      </c>
      <c r="CD70" s="26"/>
      <c r="CE70" s="26" t="s">
        <v>864</v>
      </c>
      <c r="CF70" s="22" t="s">
        <v>1517</v>
      </c>
      <c r="CG70" s="21">
        <v>1.53</v>
      </c>
      <c r="CH70" s="21">
        <v>70</v>
      </c>
      <c r="CI70" s="214">
        <f t="shared" si="259"/>
        <v>29.903028749626213</v>
      </c>
      <c r="CJ70" s="225" t="e">
        <f>IF(AND(CI70&lt;10,CH70="SD"),"SIN DATO PESO PREGESTACION O I TRIM",IF(AND(OR(R70&gt;0,O70&gt;0),CI70="X"),"INGRESAR DATO DE PESO",IF(CI70="SD","INGRESAR DATO DE TALLA Y PESO",IF(AND(OR(Tabla1[[#This Row],[MOMENTO EN QUE SE REALIZA EL PESO AL INGRESO A CPN]]="PREGESTACIÓN",NZ70="Menor"),CI70&lt;18.5),"BAJO PESO",IF(AND(OR(Tabla1[[#This Row],[MOMENTO EN QUE SE REALIZA EL PESO AL INGRESO A CPN]]="PREGESTACIÓN",NZ70="Menor"),CI70&lt;25),"NORMAL",IF(AND(OR(Tabla1[[#This Row],[MOMENTO EN QUE SE REALIZA EL PESO AL INGRESO A CPN]]="PREGESTACIÓN",NZ70="Menor"),CI70&lt;30),"SOBREPESO",IF(AND(OR(Tabla1[[#This Row],[MOMENTO EN QUE SE REALIZA EL PESO AL INGRESO A CPN]]="PREGESTACIÓN",NZ70="Menor"),CI70&gt;=30,CI70&lt;50),"OBESIDAD",IF(AND(BS70&gt;0,Tabla1[[#This Row],[MOMENTO EN QUE SE REALIZA EL PESO AL INGRESO A CPN]]="GESTACIÓN"),HLOOKUP(NZ70,$OA$2:PH70,NY70),""))))))))</f>
        <v>#REF!</v>
      </c>
      <c r="CK70" s="212">
        <f t="shared" si="260"/>
        <v>45065</v>
      </c>
      <c r="CL70" s="21">
        <v>76.099999999999994</v>
      </c>
      <c r="CM70" s="214">
        <f t="shared" si="261"/>
        <v>32.50886411209364</v>
      </c>
      <c r="CN70" s="216">
        <f t="shared" si="262"/>
        <v>39</v>
      </c>
      <c r="CO70" s="216" t="e">
        <f>IF(PI70="","",IF(PI70&gt;0,HLOOKUP(PI70,$PJ$2:QQ70,NY70),""))</f>
        <v>#REF!</v>
      </c>
      <c r="CP70" s="21"/>
      <c r="CQ70" s="216" t="e">
        <f>IF(QR70="Menor","NO APLICA-MENOR 13 SEM",IF(AND(CC70="SI",CN70&gt;23),"NO APLICA- GEMELAR",IF(QR70="","",IF(QR70&gt;0,HLOOKUP(QR70,$QS$2:RU70,NY70),""))))</f>
        <v>#REF!</v>
      </c>
      <c r="CR70" s="21">
        <v>110</v>
      </c>
      <c r="CS70" s="21">
        <v>80</v>
      </c>
      <c r="CT70" s="217" t="str">
        <f>IF(R70="","",IF(AND(BS70&gt;1,BS70&lt;12,Tabla1[[#This Row],[T.A. SISTOLICA - ANTES DE SEMANA 12]]="",Tabla1[[#This Row],[T.A. DIASTOLICA - ANTES DE SEMANA 12]]=""),"REGISTRE DATO TA ANTES SEMANA 12",IF(AND(BS70&gt;11,BS70&lt;43,Tabla1[[#This Row],[T.A. SISTOLICA - ANTES DE SEMANA 12]]="",Tabla1[[#This Row],[T.A. DIASTOLICA - ANTES DE SEMANA 12]]=""),"NO APLICA REGISTRO TA-INGRESO TARDIO",IF(AND(OR(O70&gt;0,R70&gt;0),OR(CR70&gt;=140,CS70&gt;=90)),"DEFINIR ESTADIO HTA",IF(AND(OR(O70&gt;0,R70&gt;0),AND(CR70&gt;120,CR70&lt;=139)),"PRE HTA SEGUIMIENTO",IF(AND(OR(O70&gt;0,R70&gt;0),AND(CS70&gt;80,CS70&lt;=89)),"PRE HTA SEGUIMIENTO",IF(AND(OR(O70&gt;0,R70&gt;0),AND(CR70&gt;=80,CR70&lt;=120)),"APARENTEMENTE NORMAL",IF(AND(OR(O70&gt;0,R70&gt;0),AND(CS70&gt;=50,CS70&lt;=80)),"APARENTEMENTE NORMAL",IF(AND(OR(O70&gt;0,R70&gt;0),AND(CR70&gt;1,CR70&lt;=70),AND(CS70&gt;1,CS70&lt;=40)),"HIPOTENSIÓN","")))))))))</f>
        <v>APARENTEMENTE NORMAL</v>
      </c>
      <c r="CU70" s="21">
        <v>100</v>
      </c>
      <c r="CV70" s="21">
        <v>70</v>
      </c>
      <c r="CW70" s="217" t="str">
        <f ca="1">IF(R70="","",IF(AND(CN70&gt;19,CN70&lt;27,Tabla1[[#This Row],[T.A. SISTOLICA (Entre semana 20 y 26)]]="",Tabla1[[#This Row],[T.A. DIATOLICA (Entre semana 20 y 26)]]=""),"ACUDE A CONTROL SEM 20 A 26 REGISTRE TA AHORA",IF(AND(BS70&gt;1,BS70&lt;27,BU70&gt;19,Tabla1[[#This Row],[T.A. SISTOLICA (Entre semana 20 y 26)]]="",Tabla1[[#This Row],[T.A. DIATOLICA (Entre semana 20 y 26)]]=""),"COMPLETE REGISTRO TA CONTROL SEM 20 A26 ",IF(AND(BS70&gt;26,BS70&lt;43,Tabla1[[#This Row],[T.A. SISTOLICA (Entre semana 20 y 26)]]="",Tabla1[[#This Row],[T.A. DIATOLICA (Entre semana 20 y 26)]]=""),"NO APLICA REGISTRO TA-INGRESO TARDIO",IF(AND(OR(O70&gt;0,R70&gt;0),OR(CU70&gt;=140,CV70&gt;=90)),"ALTO RIESGO PREECLAMPSIA,DEFINIR ESTADIO HTA",IF(AND(OR(O70&gt;0,R70&gt;0),AND(CU70&gt;120,CU70&lt;=139)),"PRE HTA SEGUIMIENTO,RIESGO HIPERTENSION INDUCIDA POR EL EMBARAZO",IF(AND(OR(O70&gt;0,R70&gt;0),AND(CV70&gt;80,CV70&lt;=89)),"PRE HTA SEGUIMIENTO, RIESGO HIPERTENSION INDUCIDA POR EL EMBARAZO",IF(AND(OR(O70&lt;&gt;"",R70&lt;&gt;""),CS70&lt;&gt;"",CV70&lt;&gt;"",CS70&lt;=CV70),"VIGILAR CIFRAS PRESION ARTERIAL",IF(AND(OR(O70&gt;0,R70&gt;0),AND(CU70&gt;120,CU70&lt;=139)),"PRE HTA SEGUIMIENTO",IF(AND(OR(O70&gt;0,R70&gt;0),AND(CU70&gt;1,CU70&lt;=70),AND(CV70&gt;1,CV70&lt;=40)),"HIPOTENSIÓN",IF(AND(OR(O70&lt;&gt;"",R70&lt;&gt;""),CS70&lt;&gt;"",CV70&lt;&gt;"",CS70&gt;CV70),"APARENTEMENTE NORMAL",IF(AND(OR(O70&gt;0,R70&gt;0),AND(CU70&gt;=80,CU70&lt;=120)),"APARENTEMENTE NORMAL",IF(AND(OR(O70&gt;0,R70&gt;0),AND(CV70&gt;=50,CV70&lt;=80)),"APARENTEMENTE NORMAL","")))))))))))))</f>
        <v>APARENTEMENTE NORMAL</v>
      </c>
      <c r="CX70" s="21"/>
      <c r="CY70" s="21"/>
      <c r="CZ70" s="216" t="str">
        <f t="shared" si="263"/>
        <v/>
      </c>
      <c r="DA70" s="21">
        <v>90</v>
      </c>
      <c r="DB70" s="21">
        <v>60</v>
      </c>
      <c r="DC70" s="217" t="str">
        <f t="shared" si="264"/>
        <v>APARENTEMENTE NORMAL</v>
      </c>
      <c r="DD70" s="22">
        <v>44916</v>
      </c>
      <c r="DE70" s="22">
        <v>44916</v>
      </c>
      <c r="DF70" s="22">
        <v>44957</v>
      </c>
      <c r="DG70" s="22">
        <v>44988</v>
      </c>
      <c r="DH70" s="22">
        <v>45033</v>
      </c>
      <c r="DI70" s="22">
        <v>45065</v>
      </c>
      <c r="DJ70" s="22"/>
      <c r="DK70" s="22"/>
      <c r="DL70" s="22"/>
      <c r="DM70" s="22"/>
      <c r="DN70" s="22"/>
      <c r="DO70" s="22"/>
      <c r="DP70" s="22"/>
      <c r="DQ70" s="22"/>
      <c r="DR70" s="28">
        <v>2</v>
      </c>
      <c r="DS70" s="22"/>
      <c r="DT70" s="22"/>
      <c r="DU70" s="216" t="str">
        <f t="shared" ca="1" si="265"/>
        <v>SALE SIN PLAN DE PARTO</v>
      </c>
      <c r="DV70" s="226" t="str">
        <f t="shared" si="197"/>
        <v>SALIO PROGRAMA</v>
      </c>
      <c r="DW70"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70" s="216" t="str">
        <f t="shared" ca="1" si="266"/>
        <v/>
      </c>
      <c r="DY70" s="212">
        <f>IF(R70="","",IF(R70&gt;0,MAX(Tabla1[[#This Row],[FECHA C2]:[FECHA C13]],Tabla1[[#This Row],[FECHA CONSULTA PRIMERA VEZ PROGRAMA CPN ]])))</f>
        <v>45065</v>
      </c>
      <c r="DZ70" s="216">
        <f t="shared" si="267"/>
        <v>39</v>
      </c>
      <c r="EA70" s="222">
        <f>IF(R70&gt;0,SUM(COUNTA(DF70:DQ70)+COUNTA(Tabla1[[#This Row],[FECHA CONSULTA PRIMERA VEZ PROGRAMA CPN ]])),"")</f>
        <v>5</v>
      </c>
      <c r="EB70" s="222" t="str">
        <f t="shared" si="268"/>
        <v>SI</v>
      </c>
      <c r="EC70" s="214">
        <f t="shared" si="269"/>
        <v>7</v>
      </c>
      <c r="ED70" s="227">
        <f t="shared" si="270"/>
        <v>0.7142857142857143</v>
      </c>
      <c r="EE70" s="22">
        <v>44916</v>
      </c>
      <c r="EF70" s="22">
        <v>44916</v>
      </c>
      <c r="EG70" s="22">
        <v>44916</v>
      </c>
      <c r="EH70" s="22"/>
      <c r="EI70" s="22">
        <v>44916</v>
      </c>
      <c r="EJ70" s="22"/>
      <c r="EK70" s="22"/>
      <c r="EL70" s="21"/>
      <c r="EM70" s="21">
        <v>12.6</v>
      </c>
      <c r="EN70" s="22">
        <v>44916</v>
      </c>
      <c r="EO70" s="222">
        <f t="shared" si="271"/>
        <v>17.714285714285715</v>
      </c>
      <c r="EP70" s="214" t="str">
        <f t="shared" si="272"/>
        <v>NORMAL- SUMINISTRAR SULFATO FERROSO</v>
      </c>
      <c r="EQ70" s="216" t="str">
        <f t="shared" si="273"/>
        <v>II TRIM</v>
      </c>
      <c r="ER70" s="24"/>
      <c r="ES70" s="22"/>
      <c r="ET70" s="29" t="str">
        <f t="shared" ca="1" si="274"/>
        <v>SALE SIN TAMIZAJE HEMOGLOBINA SEM 28</v>
      </c>
      <c r="EU70" s="25" t="str">
        <f t="shared" si="275"/>
        <v/>
      </c>
      <c r="EV70" s="24" t="s">
        <v>1510</v>
      </c>
      <c r="EW70" s="24">
        <v>44916</v>
      </c>
      <c r="EX70" s="22"/>
      <c r="EY70" s="29">
        <f t="shared" si="248"/>
        <v>17.714285714285715</v>
      </c>
      <c r="EZ70" s="25" t="str">
        <f t="shared" si="249"/>
        <v>SIN RIESGO DE ISOINMUNIZACIÓN</v>
      </c>
      <c r="FA70" s="21">
        <v>67</v>
      </c>
      <c r="FB70" s="22">
        <v>44916</v>
      </c>
      <c r="FC70" s="29">
        <f t="shared" si="276"/>
        <v>17.714285714285715</v>
      </c>
      <c r="FD70" s="29">
        <v>77</v>
      </c>
      <c r="FE70" s="29">
        <v>124</v>
      </c>
      <c r="FF70" s="29">
        <v>98</v>
      </c>
      <c r="FG70" s="21" t="str">
        <f t="shared" ca="1" si="277"/>
        <v>NORMAL</v>
      </c>
      <c r="FH70" s="31">
        <v>44988</v>
      </c>
      <c r="FI70" s="29">
        <f t="shared" si="278"/>
        <v>28</v>
      </c>
      <c r="FJ70" s="22"/>
      <c r="FK70" s="22"/>
      <c r="FL70" s="29" t="str">
        <f t="shared" ca="1" si="279"/>
        <v>NO APLICA-INGRESO TARDIO</v>
      </c>
      <c r="FM70" s="22" t="s">
        <v>867</v>
      </c>
      <c r="FN70" s="32">
        <v>44916</v>
      </c>
      <c r="FO70" s="29">
        <f ca="1">IF(AND(BT70="ERROR FUM O INGRESO",FN70&gt;0),"ERROR FUM O INGRESO",IF(AND(FN70="",R70="",O70=""),"",IF(AND(FN70&lt;&gt;"",FN70&lt;RW70), "INCOHERENCIA FUM Y FECHA TAMIZAJE",IF(AND(FN70="",DV70="ACTIVA INGRESO A CPN",AND(BU70&gt;0,BU70&lt;13)),"EN ESPERA-ESTÁ I TRIM", IF(AND(FN70="",AND(BS70&gt;0, BS70&lt;13),OR(O70&gt;0,R70&gt;0),AND(IP70&gt;0,IP70&lt;13)),"NO APLICA-SALIO DEL PROGRAMA I TRIM",IF(AND(FN70&lt;&gt;"",AND(SUM((FN70-RW70)/7)&gt;0,SUM((FN70-RW70)/7)&lt;13)),"REGISTRAR EN I TRIMESTRE",IF(AND(FN70&lt;&gt;"",AND(SUM((FN70-RW70)/7)&gt;=27,SUM((FN70-RW70)/7)&lt;44)),"REGISTRAR EN III TRIMESTRE",IF(AND(FN70="",OR(O70&gt;0,R70&gt;0),AND(BU70&gt;=13,BU70&lt;24),DV70="ACTIVA INGRESO A CPN"),"EN RANGO PARA TOMAR EXAMEN",IF(AND(FN70="",OR(O70&gt;0,R70&gt;0),AND(BU70&gt;=25,BU70&lt;27),DV70="ACTIVA INGRESO A CPN"),"TOMA INMEDIATA DE TAMIZAJE",IF(AND(FN70="",OR(O70&gt;0,R70&gt;0),AND(BS70&gt;=27,BS70&lt;44)),"NO APLICA-INGRESO TARDIO",IF(AND(FN70="",BS70&lt;27,OR(AND(IP70&gt;12,IP70&lt;44),BU70&gt;12)),"PIERDE TOMA DE TAMIZAJE",IF(FN70&gt;0,SUM(FN70-RW70)/7,""))))))))))))</f>
        <v>17.714285714285715</v>
      </c>
      <c r="FP70" s="22" t="s">
        <v>867</v>
      </c>
      <c r="FQ70" s="32">
        <v>45044</v>
      </c>
      <c r="FR70" s="29">
        <f ca="1">IF(AND(BT70="ERROR FUM O INGRESO",FQ70&gt;0),"ERROR FUM O INGRESO",IF(AND(FQ70="",R70="",O70=""),"",IF(AND(FQ70&lt;&gt;"",FQ70&lt;RW70), "INCOHERENCIA FUM Y FECHA TAMIZAJE",IF(AND(FQ70="",DV70="ACTIVA INGRESO A CPN",AND(BU70&gt;0,BU70&lt;27)),"EN ESPERA-ESTÁ I TRIM O II TRIM", IF(AND(FQ70="",AND(BS70&gt;0, BS70&lt;27),OR(O70&gt;0,R70&gt;0),AND(IP70&gt;0,IP70&lt;27)),"NO APLICA-SALIO DEL PROGRAMA I O II TRIM",IF(AND(FQ70&lt;&gt;"",AND(SUM((FQ70-RW70)/7)&gt;0,SUM((FQ70-RW70)/7)&lt;13)),"REGISTAR EN I TRIMESTRE",IF(AND(FQ70&lt;&gt;"",AND(SUM((FQ70-RW70)/7)&gt;=13,SUM((FQ70-RW70)/7)&lt;27)),"REGISTRAR EN II TRIMESTRE",IF(AND(FQ70="",OR(O70&gt;0,R70&gt;0),AND(BU70&gt;=28,BU70&lt;35),DV70="ACTIVA INGRESO A CPN"),"EN RANGO PARA TOMAR EXAMEN",IF(AND(FQ70="",OR(O70&gt;0,R70&gt;0),BU70&gt;=35, DV70="ACTIVA INGRESO A CPN"),"TOMA INMEDIATA DE TAMIZAJE",IF(AND(FQ70="",DV70= "SALE SIN INGRESO CPN"),"NO APLICA-SIN CPN",IF(AND(FQ70="",AND(IP70&gt;26,IP70&lt;43)),"PIERDE TOMA DE TAMIZAJE",IF(FQ70&gt;0,SUM(FQ70-RW70)/7,""))))))))))))</f>
        <v>36</v>
      </c>
      <c r="FS70" s="22"/>
      <c r="FT70" s="32"/>
      <c r="FU70" s="29" t="str">
        <f>IF(AND(FJ70="",FM70="",FP70="",FS70=""),"",IF(OR(OR(Tabla1[[#This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70" s="28"/>
      <c r="FW70" s="22"/>
      <c r="FX70" s="29" t="str">
        <f t="shared" si="280"/>
        <v>TOMAR EXAMEN</v>
      </c>
      <c r="FY70" s="22">
        <v>44916</v>
      </c>
      <c r="FZ70" s="22">
        <v>44916</v>
      </c>
      <c r="GA70" s="29" t="str">
        <f t="shared" si="250"/>
        <v>REGISTRAR EN II TRIMESTRE</v>
      </c>
      <c r="GB70" s="22" t="s">
        <v>868</v>
      </c>
      <c r="GC70" s="22">
        <v>44916</v>
      </c>
      <c r="GD70" s="29">
        <f t="shared" ca="1" si="281"/>
        <v>17.714285714285715</v>
      </c>
      <c r="GE70" s="22"/>
      <c r="GF70" s="22"/>
      <c r="GG70" s="29" t="str">
        <f t="shared" ca="1" si="282"/>
        <v>PIERDE TOMA DE TAMIZAJE</v>
      </c>
      <c r="GH70" s="22"/>
      <c r="GI70" s="29"/>
      <c r="GJ70" s="22"/>
      <c r="GK70" s="22"/>
      <c r="GL70" s="22"/>
      <c r="GM70" s="22"/>
      <c r="GN70" s="28" t="s">
        <v>869</v>
      </c>
      <c r="GO70" s="22">
        <v>44916</v>
      </c>
      <c r="GP70" s="29">
        <f t="shared" si="283"/>
        <v>17.714285714285715</v>
      </c>
      <c r="GQ70" s="28" t="s">
        <v>869</v>
      </c>
      <c r="GR70" s="28" t="s">
        <v>869</v>
      </c>
      <c r="GS70" s="22" t="str">
        <f t="shared" si="284"/>
        <v>CONTROL Igm</v>
      </c>
      <c r="GT70" s="22">
        <v>44916</v>
      </c>
      <c r="GU70" s="29">
        <f t="shared" si="285"/>
        <v>17.714285714285715</v>
      </c>
      <c r="GV70" s="21" t="str">
        <f t="shared" si="286"/>
        <v>II TRIM</v>
      </c>
      <c r="GW70" s="28" t="s">
        <v>869</v>
      </c>
      <c r="GX70" s="30"/>
      <c r="GY70" s="21"/>
      <c r="GZ70" s="21"/>
      <c r="HA70" s="21"/>
      <c r="HB70" s="21"/>
      <c r="HC70" s="21"/>
      <c r="HD70" s="21"/>
      <c r="HE70" s="21"/>
      <c r="HF70" s="22"/>
      <c r="HG70" s="22" t="str">
        <f>IF(OR(O70&gt;0,R70&gt;0),CONCATENATE(IF(Tabla1[[#This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70" s="22" t="e">
        <f t="shared" si="287"/>
        <v>#REF!</v>
      </c>
      <c r="HI70" s="22" t="e">
        <f t="shared" ca="1" si="288"/>
        <v>#REF!</v>
      </c>
      <c r="HJ70" s="21" t="str">
        <f t="shared" ca="1" si="289"/>
        <v>***************************************</v>
      </c>
      <c r="HK70" s="21" t="str">
        <f t="shared" si="290"/>
        <v>SIN ANTECEDENTES DE RIESGO</v>
      </c>
      <c r="HL70" s="24" t="str">
        <f t="shared" si="291"/>
        <v>APARENTEMENTE NORMAL</v>
      </c>
      <c r="HM70" s="21" t="str">
        <f t="shared" ca="1" si="292"/>
        <v/>
      </c>
      <c r="HN70" s="30" t="str">
        <f t="shared" si="207"/>
        <v>SALIO PROGRAMA</v>
      </c>
      <c r="HO70" s="21"/>
      <c r="HP70" s="21"/>
      <c r="HQ70" s="21">
        <v>44916</v>
      </c>
      <c r="HR70" s="21" t="str">
        <f>IF(R70="","",IF(Tabla1[[#This Row],[ALARMA FACTORES DE RIESGO COMPLICACIONES HIPERTENSIVAS3]]="SIN ANTECEDENTES DE RIESGO","No Aplica para suministro de ASA",IF(AND(Tabla1[[#This Row],[FECHA INICIO DE SUMINISTRO DE ASA]]&gt;0,RV70&lt;12),"Inicia ASA ANTES de Sem 12",IF(AND(RV70&gt;11,RV70&lt;17,OR(HK70="RIESGO ALTO DE COMPLICACIONES HIPERTENSIVAS VER MANEJO GUIA SUMINISTRO ASA Y CALCIO",HK70="RIESGO MODERADO (2 O MAS CRITERIOS) VER MANEJO GUIA SUMINISTRO ASA Y CALCIO")),"Inicio oportuno de ASA",IF(AND(RV70&gt;12,OR(HK70="RIESGO ALTO DE COMPLICACIONES HIPERTENSIVAS VER MANEJO GUIA SUMINISTRO ASA Y CALCIO",HK70="RIESGO MODERADO (2 O MAS CRITERIOS) VER MANEJO GUIA SUMINISTRO ASA Y CALCIO")),"Inicio no oportuno mayor a 16 semanas",IF(AND(BU70&lt;12,OR(HK70="RIESGO ALTO DE COMPLICACIONES HIPERTENSIVAS VER MANEJO GUIA SUMINISTRO ASA Y CALCIO",HK70="RIESGO MODERADO (2 O MAS CRITERIOS) VER MANEJO GUIA SUMINISTRO ASA Y CALCIO")),"Pendiente Inicio de ASA a la semana 12",IF(AND(BU70&gt;11,BU70&lt;17,OR(HK70="RIESGO ALTO DE COMPLICACIONES HIPERTENSIVAS VER MANEJO GUIA SUMINISTRO ASA Y CALCIO",HK70="RIESGO MODERADO (2 O MAS CRITERIOS) VER MANEJO GUIA SUMINISTRO ASA Y CALCIO")),"Iniciar de inmediato ASA",IF(AND(BU70&gt;16,OR(HK70="RIESGO ALTO DE COMPLICACIONES HIPERTENSIVAS VER MANEJO GUIA SUMINISTRO ASA Y CALCIO",HK70="RIESGO MODERADO (2 O MAS CRITERIOS) VER MANEJO GUIA SUMINISTRO ASA Y CALCIO")),"Pierde Oportunidad, Inicio tardío de ASA","XXXXX"))))))))</f>
        <v>No Aplica para suministro de ASA</v>
      </c>
      <c r="HS70" s="22">
        <v>44916</v>
      </c>
      <c r="HT70" s="22" t="s">
        <v>870</v>
      </c>
      <c r="HU70" s="22"/>
      <c r="HV70" s="22"/>
      <c r="HW70" s="22">
        <v>44916</v>
      </c>
      <c r="HX70" s="22" t="s">
        <v>870</v>
      </c>
      <c r="HY70" s="22">
        <v>44916</v>
      </c>
      <c r="HZ70" s="28">
        <f t="shared" si="293"/>
        <v>17.714285714285715</v>
      </c>
      <c r="IA70" s="26" t="s">
        <v>864</v>
      </c>
      <c r="IB70" s="26"/>
      <c r="IC70" s="111"/>
      <c r="ID70" s="22"/>
      <c r="IE70" s="22" t="str">
        <f t="shared" ca="1" si="294"/>
        <v>SALE SIN VACUNA</v>
      </c>
      <c r="IF70" s="22"/>
      <c r="IG70" s="22">
        <f t="shared" si="295"/>
        <v>45072</v>
      </c>
      <c r="IH70" s="29">
        <f t="shared" ca="1" si="296"/>
        <v>-160</v>
      </c>
      <c r="II70" s="22" t="str">
        <f t="shared" ca="1" si="297"/>
        <v>POSIBLEMENTE NACIO</v>
      </c>
      <c r="IJ70" s="22"/>
      <c r="IK70" s="21" t="s">
        <v>898</v>
      </c>
      <c r="IL70" s="21"/>
      <c r="IM70" s="34"/>
      <c r="IN70" s="349">
        <v>45083</v>
      </c>
      <c r="IO70" s="21" t="s">
        <v>1640</v>
      </c>
      <c r="IP70" s="29">
        <f t="shared" si="298"/>
        <v>41.571428571428569</v>
      </c>
      <c r="IQ70" s="110"/>
      <c r="IR70" s="21" t="s">
        <v>879</v>
      </c>
      <c r="IS70" s="21" t="s">
        <v>1641</v>
      </c>
      <c r="IT70" s="21" t="s">
        <v>1642</v>
      </c>
      <c r="IU70" s="21"/>
      <c r="IV70" s="21"/>
      <c r="IW70" s="21"/>
      <c r="IX70" s="21"/>
      <c r="IY70" s="21"/>
      <c r="IZ70" s="21"/>
      <c r="JA70" s="21"/>
      <c r="JB70" s="30">
        <v>1</v>
      </c>
      <c r="JC70" s="21" t="s">
        <v>1647</v>
      </c>
      <c r="JD70" s="36">
        <v>3490</v>
      </c>
      <c r="JE70" s="21" t="str">
        <f t="shared" si="299"/>
        <v>PESO ADECUADO EDAD GESTACIONAL</v>
      </c>
      <c r="JF70" s="30"/>
      <c r="JG70" s="21"/>
      <c r="JH70" s="21"/>
      <c r="JI70" s="21"/>
      <c r="JJ70" s="30"/>
      <c r="JK70" s="22"/>
      <c r="JL70" s="22"/>
      <c r="JM70" s="21"/>
      <c r="JN70" s="36"/>
      <c r="JO70" s="21" t="str">
        <f t="shared" si="300"/>
        <v/>
      </c>
      <c r="JP70" s="22"/>
      <c r="JQ70" s="21"/>
      <c r="JR70" s="21"/>
      <c r="JS70" s="21"/>
      <c r="JT70" s="30"/>
      <c r="JU70" s="22"/>
      <c r="JV70" s="22"/>
      <c r="JW70" s="33"/>
      <c r="JX70" s="28" t="str">
        <f t="shared" si="301"/>
        <v>INASISTENTE</v>
      </c>
      <c r="JY70" s="33"/>
      <c r="JZ70" s="28" t="str">
        <f t="shared" si="302"/>
        <v>INASISTENTE</v>
      </c>
      <c r="KA70" s="21"/>
      <c r="KB70" s="21"/>
      <c r="KC70" s="21"/>
      <c r="KD70" s="37"/>
      <c r="KE70" s="28"/>
      <c r="KF70" s="28"/>
      <c r="KG70" s="28"/>
      <c r="KH70" s="39"/>
      <c r="KI70" s="39"/>
      <c r="KJ70" s="66"/>
      <c r="KK70" s="39"/>
      <c r="KL70" s="39"/>
      <c r="KM70" s="66"/>
      <c r="KN70" s="39"/>
      <c r="KO70" s="39"/>
      <c r="KP70" s="39"/>
      <c r="KQ70" s="39"/>
      <c r="KR70" s="39"/>
      <c r="KS70" s="39"/>
      <c r="KT70" s="39"/>
      <c r="KU70" s="38"/>
      <c r="KV70" s="38"/>
      <c r="KW70" s="38"/>
      <c r="KX70" s="38"/>
      <c r="KY70" s="38"/>
      <c r="KZ70" s="38"/>
      <c r="LA70" s="38"/>
      <c r="LB70" s="38"/>
      <c r="LC70" s="38"/>
      <c r="LD70" s="38"/>
      <c r="LE70" s="38"/>
      <c r="LF70" s="38"/>
      <c r="LG70" s="38"/>
      <c r="LH70" s="38"/>
      <c r="LI70" s="38"/>
      <c r="LJ70" s="38"/>
      <c r="LK70" s="38"/>
      <c r="LL70" s="38"/>
      <c r="LM70" s="38"/>
      <c r="LN70" s="38"/>
      <c r="LO70" s="38"/>
      <c r="LP70" s="38"/>
      <c r="LQ70" s="38"/>
      <c r="LR70" s="38"/>
      <c r="LS70" s="38"/>
      <c r="LT70" s="38"/>
      <c r="LU70" s="38"/>
      <c r="LV70" s="38"/>
      <c r="LW70" s="38"/>
      <c r="LX70" s="38"/>
      <c r="LY70" s="38"/>
      <c r="LZ70" s="38"/>
      <c r="MA70" s="38"/>
      <c r="MB70" s="38"/>
      <c r="MC70" s="38"/>
      <c r="MD70" s="38"/>
      <c r="ME70" s="38"/>
      <c r="MF70" s="38"/>
      <c r="MG70" s="38"/>
      <c r="MH70" s="43">
        <f t="shared" si="303"/>
        <v>0</v>
      </c>
      <c r="MI70" s="43" t="str">
        <f t="shared" si="304"/>
        <v/>
      </c>
      <c r="MJ70" s="43" t="str">
        <f t="shared" si="305"/>
        <v/>
      </c>
      <c r="MK70" s="43">
        <f t="shared" si="306"/>
        <v>0</v>
      </c>
      <c r="ML7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70" s="43">
        <f t="shared" si="307"/>
        <v>17.714285714285715</v>
      </c>
      <c r="MN70" s="43">
        <f t="shared" si="308"/>
        <v>12</v>
      </c>
      <c r="MO70" s="43">
        <f t="shared" si="309"/>
        <v>2022</v>
      </c>
      <c r="MP70" s="43" t="str">
        <f t="shared" si="310"/>
        <v>IV TRIMESTRE AÑO</v>
      </c>
      <c r="MQ70" s="43">
        <f t="shared" si="311"/>
        <v>23.163053000438023</v>
      </c>
      <c r="MR70" s="43">
        <f t="shared" si="312"/>
        <v>0</v>
      </c>
      <c r="MS70" s="43" t="str">
        <f t="shared" si="313"/>
        <v xml:space="preserve"> DE 20 A 24 AÑOS</v>
      </c>
      <c r="MT70" s="43">
        <f t="shared" si="314"/>
        <v>0</v>
      </c>
      <c r="MU70" s="43">
        <f t="shared" si="315"/>
        <v>0</v>
      </c>
      <c r="MV70" s="43">
        <f t="shared" si="316"/>
        <v>0</v>
      </c>
      <c r="MW70" s="43">
        <f t="shared" si="317"/>
        <v>0</v>
      </c>
      <c r="MX70" s="43" t="str">
        <f t="shared" si="318"/>
        <v/>
      </c>
      <c r="MY70" s="43" t="str">
        <f t="shared" ca="1" si="229"/>
        <v/>
      </c>
      <c r="MZ70" s="43" t="str">
        <f t="shared" si="319"/>
        <v/>
      </c>
      <c r="NA70" s="43" t="str">
        <f t="shared" si="320"/>
        <v/>
      </c>
      <c r="NB70" s="43" t="str">
        <f t="shared" si="321"/>
        <v/>
      </c>
      <c r="NC70" s="43" t="str">
        <f t="shared" si="322"/>
        <v/>
      </c>
      <c r="ND70" s="43">
        <f t="shared" ca="1" si="323"/>
        <v>0</v>
      </c>
      <c r="NE70" s="43">
        <f>IF(OR(O70&gt;0,R70&gt;0),SUM(COUNTIF(Tabla1[[#This Row],[AÑOS AL INICIO5 CPN]],"&gt;=40"),COUNTIF(AS70,"0"),COUNTIF(AR70,"SI"),COUNTIF(CC70,"SI"),COUNTIF(BQ70,"&gt;119"),COUNTIF(CI70,"&gt;=35")),"")</f>
        <v>0</v>
      </c>
      <c r="NF70" s="43" t="str">
        <f t="shared" si="324"/>
        <v/>
      </c>
      <c r="NG70" s="43">
        <f t="shared" si="325"/>
        <v>0</v>
      </c>
      <c r="NH70" s="43">
        <f t="shared" si="326"/>
        <v>126</v>
      </c>
      <c r="NI70"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CPN",P70="NO"),"Z",IF(AND(Tabla1[[#This Row],[CITA PROXIMO CONTROL]]="CITA MANUAL",Tabla1[[#This Row],[GESTANTES ACTUALES]]="ACTIVA INGRESO A CPN"),"W",IF(AND(Tabla1[[#This Row],[GESTANTES ACTUALES]]="SALIO PROGRAMA",IN70=""),"S",IF(AND(Tabla1[[#This Row],[CITA PROXIMO CONTROL]]&gt;0,IN70=""),(Tabla1[[#This Row],[CITA PROXIMO CONTROL]]-TODAY()),"SD"))))))))</f>
        <v>SD</v>
      </c>
      <c r="NJ70" s="43">
        <f>MONTH(Tabla1[[#This Row],[FECHA DE SALIDA  DEL PROGRAMA]])</f>
        <v>6</v>
      </c>
      <c r="NK70" s="43">
        <f>YEAR(Tabla1[[#This Row],[FECHA DE SALIDA  DEL PROGRAMA]])</f>
        <v>2023</v>
      </c>
      <c r="NL70" s="43" t="str">
        <f t="shared" si="327"/>
        <v>X</v>
      </c>
      <c r="NM70" s="43" t="str">
        <f t="shared" si="251"/>
        <v>NO</v>
      </c>
      <c r="NN70" s="43" t="str">
        <f ca="1">IF(AND(O70&gt;0,R70=""),"NO CPN",IF(AND(O70="",R70=""),"",IF(AND(R70&gt;0,Tabla1[[#This Row],[SEMANAS DE GESTACION ACTUALIZADAS]]&lt;=12),"NO APLICA",IF(AND(FH70&lt;&gt;"",FN70&lt;&gt;""),"SI","NO"))))</f>
        <v>SI</v>
      </c>
      <c r="NO70" s="43" t="str">
        <f ca="1">IF(AND(O70&gt;0,R70=""),"NO CPN",IF(AND(O70="",R70=""),"",IF(AND(R70&gt;0,Tabla1[[#This Row],[SEMANAS DE GESTACION ACTUALIZADAS]]&lt;=27),"NO APLICA",IF(AND(ES70&lt;&gt;"",FQ70&lt;&gt;"",GF70&lt;&gt;""),"SI","NO"))))</f>
        <v>NO</v>
      </c>
      <c r="NP70" s="204" t="str">
        <f t="shared" si="328"/>
        <v>II TRIM</v>
      </c>
      <c r="NQ70" s="21" t="str">
        <f t="shared" si="241"/>
        <v/>
      </c>
      <c r="NR70" s="21">
        <f t="shared" si="242"/>
        <v>2</v>
      </c>
      <c r="NS70" s="205">
        <f t="shared" ca="1" si="329"/>
        <v>2</v>
      </c>
      <c r="NT70" s="21">
        <f t="shared" ca="1" si="330"/>
        <v>1</v>
      </c>
      <c r="NU70" s="21" t="str">
        <f t="shared" ca="1" si="331"/>
        <v>COMPLETO</v>
      </c>
      <c r="NV70" s="21" t="str">
        <f t="shared" ca="1" si="332"/>
        <v>INCOMPLETO</v>
      </c>
      <c r="NW70" s="206" t="str">
        <f>IF(AND(O70="",R70=""),"",IF(OR(AND(Tabla1[[#This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70" s="207" t="str">
        <f t="shared" ca="1" si="333"/>
        <v>SIN VACUNAR</v>
      </c>
      <c r="NY70" s="43">
        <f>ROW(Tabla1[[#This Row],['# DE TAMIZAJES SIFILIS TOMADOS ]])</f>
        <v>70</v>
      </c>
      <c r="NZ70" s="43">
        <f t="shared" si="334"/>
        <v>17</v>
      </c>
      <c r="OA70" s="43" t="str">
        <f t="shared" si="335"/>
        <v/>
      </c>
      <c r="OB70" s="43" t="str">
        <f t="shared" si="336"/>
        <v/>
      </c>
      <c r="OC70" s="43" t="str">
        <f t="shared" si="337"/>
        <v/>
      </c>
      <c r="OD70" s="43" t="str">
        <f t="shared" si="338"/>
        <v/>
      </c>
      <c r="OE70" s="43" t="str">
        <f t="shared" si="339"/>
        <v/>
      </c>
      <c r="OF70" s="43" t="str">
        <f t="shared" si="340"/>
        <v/>
      </c>
      <c r="OG70" s="43" t="str">
        <f t="shared" si="341"/>
        <v/>
      </c>
      <c r="OH70" s="43" t="str">
        <f t="shared" si="342"/>
        <v/>
      </c>
      <c r="OI70" s="43" t="str">
        <f t="shared" si="343"/>
        <v>SOBREPESO</v>
      </c>
      <c r="OJ70" s="43" t="str">
        <f t="shared" si="344"/>
        <v/>
      </c>
      <c r="OK70" s="43" t="str">
        <f t="shared" si="345"/>
        <v/>
      </c>
      <c r="OL70" s="43" t="str">
        <f t="shared" si="346"/>
        <v/>
      </c>
      <c r="OM70" s="43" t="str">
        <f t="shared" si="347"/>
        <v/>
      </c>
      <c r="ON70" s="43" t="str">
        <f t="shared" si="348"/>
        <v/>
      </c>
      <c r="OO70" s="43" t="str">
        <f t="shared" si="349"/>
        <v/>
      </c>
      <c r="OP70" s="43" t="str">
        <f t="shared" si="350"/>
        <v/>
      </c>
      <c r="OQ70" s="43" t="str">
        <f t="shared" si="351"/>
        <v/>
      </c>
      <c r="OR70" s="43" t="str">
        <f t="shared" si="352"/>
        <v/>
      </c>
      <c r="OS70" s="43" t="str">
        <f t="shared" si="353"/>
        <v/>
      </c>
      <c r="OT70" s="43" t="str">
        <f t="shared" si="354"/>
        <v/>
      </c>
      <c r="OU70" s="43" t="str">
        <f t="shared" si="355"/>
        <v/>
      </c>
      <c r="OV70" s="110" t="str">
        <f t="shared" si="356"/>
        <v/>
      </c>
      <c r="OW70" s="43" t="str">
        <f t="shared" si="357"/>
        <v/>
      </c>
      <c r="OX70" s="43" t="str">
        <f t="shared" si="358"/>
        <v/>
      </c>
      <c r="OY70" s="43" t="str">
        <f t="shared" si="359"/>
        <v/>
      </c>
      <c r="OZ70" s="43" t="str">
        <f t="shared" si="360"/>
        <v/>
      </c>
      <c r="PA70" s="43" t="str">
        <f t="shared" si="361"/>
        <v/>
      </c>
      <c r="PB70" s="43" t="str">
        <f t="shared" si="362"/>
        <v/>
      </c>
      <c r="PC70" s="43" t="str">
        <f t="shared" si="363"/>
        <v/>
      </c>
      <c r="PD70" s="43" t="str">
        <f t="shared" si="364"/>
        <v/>
      </c>
      <c r="PE70" s="43" t="str">
        <f t="shared" si="365"/>
        <v/>
      </c>
      <c r="PF70" s="43" t="str">
        <f t="shared" si="366"/>
        <v/>
      </c>
      <c r="PG70" s="43" t="str">
        <f t="shared" si="367"/>
        <v/>
      </c>
      <c r="PH70" s="43" t="str">
        <f t="shared" si="368"/>
        <v/>
      </c>
      <c r="PI70" s="43">
        <f t="shared" si="369"/>
        <v>39</v>
      </c>
      <c r="PJ70" s="43" t="str">
        <f t="shared" si="370"/>
        <v/>
      </c>
      <c r="PK70" s="43" t="str">
        <f t="shared" si="371"/>
        <v/>
      </c>
      <c r="PL70" s="43" t="str">
        <f t="shared" si="372"/>
        <v/>
      </c>
      <c r="PM70" s="43" t="str">
        <f t="shared" si="373"/>
        <v/>
      </c>
      <c r="PN70" s="43" t="str">
        <f t="shared" si="374"/>
        <v/>
      </c>
      <c r="PO70" s="43" t="str">
        <f t="shared" si="375"/>
        <v/>
      </c>
      <c r="PP70" s="43" t="str">
        <f t="shared" si="376"/>
        <v/>
      </c>
      <c r="PQ70" s="43" t="str">
        <f t="shared" si="377"/>
        <v/>
      </c>
      <c r="PR70" s="43" t="str">
        <f t="shared" si="378"/>
        <v/>
      </c>
      <c r="PS70" s="43" t="str">
        <f t="shared" si="379"/>
        <v/>
      </c>
      <c r="PT70" s="43" t="str">
        <f t="shared" si="380"/>
        <v/>
      </c>
      <c r="PU70" s="43" t="str">
        <f t="shared" si="381"/>
        <v/>
      </c>
      <c r="PV70" s="43" t="str">
        <f t="shared" si="382"/>
        <v/>
      </c>
      <c r="PW70" s="43" t="str">
        <f t="shared" si="383"/>
        <v/>
      </c>
      <c r="PX70" s="43" t="str">
        <f t="shared" si="384"/>
        <v/>
      </c>
      <c r="PY70" s="43" t="str">
        <f t="shared" si="385"/>
        <v/>
      </c>
      <c r="PZ70" s="43" t="str">
        <f t="shared" si="386"/>
        <v/>
      </c>
      <c r="QA70" s="43" t="str">
        <f t="shared" si="387"/>
        <v/>
      </c>
      <c r="QB70" s="43" t="str">
        <f t="shared" si="388"/>
        <v/>
      </c>
      <c r="QC70" s="43" t="str">
        <f t="shared" si="389"/>
        <v/>
      </c>
      <c r="QD70" s="43" t="str">
        <f t="shared" si="390"/>
        <v/>
      </c>
      <c r="QE70" s="43" t="str">
        <f t="shared" si="391"/>
        <v/>
      </c>
      <c r="QF70" s="43" t="str">
        <f t="shared" si="392"/>
        <v/>
      </c>
      <c r="QG70" s="43" t="str">
        <f t="shared" si="393"/>
        <v/>
      </c>
      <c r="QH70" s="43" t="str">
        <f t="shared" si="394"/>
        <v/>
      </c>
      <c r="QI70" s="43" t="str">
        <f t="shared" si="395"/>
        <v/>
      </c>
      <c r="QJ70" s="43" t="str">
        <f t="shared" si="396"/>
        <v/>
      </c>
      <c r="QK70" s="43" t="str">
        <f t="shared" si="397"/>
        <v/>
      </c>
      <c r="QL70" s="43" t="str">
        <f t="shared" si="398"/>
        <v/>
      </c>
      <c r="QM70" s="43" t="str">
        <f t="shared" si="399"/>
        <v/>
      </c>
      <c r="QN70" s="43" t="str">
        <f t="shared" si="400"/>
        <v>SOBREPESO</v>
      </c>
      <c r="QO70" s="43" t="str">
        <f t="shared" si="401"/>
        <v/>
      </c>
      <c r="QP70" s="43" t="str">
        <f t="shared" si="402"/>
        <v/>
      </c>
      <c r="QQ70" s="43" t="str">
        <f t="shared" si="403"/>
        <v/>
      </c>
      <c r="QR70" s="43">
        <f t="shared" si="433"/>
        <v>39</v>
      </c>
      <c r="QS70" s="43"/>
      <c r="QT70" s="21" t="str">
        <f t="shared" si="404"/>
        <v/>
      </c>
      <c r="QU70" s="21" t="str">
        <f t="shared" si="405"/>
        <v/>
      </c>
      <c r="QV70" s="21" t="str">
        <f t="shared" si="406"/>
        <v/>
      </c>
      <c r="QW70" s="21" t="str">
        <f t="shared" si="407"/>
        <v/>
      </c>
      <c r="QX70" s="21" t="str">
        <f t="shared" si="408"/>
        <v/>
      </c>
      <c r="QY70" s="21" t="str">
        <f t="shared" si="409"/>
        <v/>
      </c>
      <c r="QZ70" s="21" t="str">
        <f t="shared" si="410"/>
        <v/>
      </c>
      <c r="RA70" s="21" t="str">
        <f t="shared" si="411"/>
        <v/>
      </c>
      <c r="RB70" s="21" t="str">
        <f t="shared" si="412"/>
        <v/>
      </c>
      <c r="RC70" s="21" t="str">
        <f t="shared" si="413"/>
        <v/>
      </c>
      <c r="RD70" s="21" t="str">
        <f t="shared" si="414"/>
        <v/>
      </c>
      <c r="RE70" s="21" t="str">
        <f t="shared" si="415"/>
        <v/>
      </c>
      <c r="RF70" s="21" t="str">
        <f t="shared" si="416"/>
        <v/>
      </c>
      <c r="RG70" s="21" t="str">
        <f t="shared" si="417"/>
        <v/>
      </c>
      <c r="RH70" s="21" t="str">
        <f t="shared" si="418"/>
        <v/>
      </c>
      <c r="RI70" s="21" t="str">
        <f t="shared" si="419"/>
        <v/>
      </c>
      <c r="RJ70" s="21" t="str">
        <f t="shared" si="420"/>
        <v/>
      </c>
      <c r="RK70" s="21" t="str">
        <f t="shared" si="421"/>
        <v/>
      </c>
      <c r="RL70" s="21" t="str">
        <f t="shared" si="422"/>
        <v/>
      </c>
      <c r="RM70" s="21" t="str">
        <f t="shared" si="423"/>
        <v/>
      </c>
      <c r="RN70" s="21" t="str">
        <f t="shared" si="424"/>
        <v/>
      </c>
      <c r="RO70" s="21" t="str">
        <f t="shared" si="425"/>
        <v/>
      </c>
      <c r="RP70" s="21" t="str">
        <f t="shared" si="426"/>
        <v/>
      </c>
      <c r="RQ70" s="21" t="str">
        <f t="shared" si="427"/>
        <v/>
      </c>
      <c r="RR70" s="21" t="str">
        <f t="shared" si="428"/>
        <v/>
      </c>
      <c r="RS70" s="21" t="str">
        <f t="shared" si="429"/>
        <v/>
      </c>
      <c r="RT70" s="21" t="str">
        <f t="shared" si="430"/>
        <v/>
      </c>
      <c r="RU70" s="21" t="str">
        <f t="shared" si="431"/>
        <v/>
      </c>
      <c r="RV70" s="21">
        <f t="shared" si="432"/>
        <v>17.714285714285715</v>
      </c>
      <c r="RW70" s="284">
        <f>IF(OR(Tabla1[[#This Row],[FUM FORMULA CONFIABLE]]="",Tabla1[[#This Row],[FUM FORMULA CONFIABLE]]="SD"),"",IF(Tabla1[[#This Row],[FUM FORMULA CONFIABLE]]="CORREGIDA",Tabla1[[#This Row],[FUM X ECO 1]],Tabla1[[#This Row],[FUM x AMENORREA]]))</f>
        <v>44792</v>
      </c>
      <c r="RX70" s="21">
        <f>IF(AND(Tabla1[[#This Row],[FUM X ECO 1]]="",Tabla1[[#This Row],[FUM x AMENORREA]]=""),"",IF(AND(Tabla1[[#This Row],[FUM X ECO 1]]="",Tabla1[[#This Row],[FUM x AMENORREA]]&lt;&gt;""),"X",SUM(Tabla1[[#This Row],[FUM X ECO 1]]-Tabla1[[#This Row],[FUM x AMENORREA]])))</f>
        <v>0</v>
      </c>
      <c r="RY70" s="21">
        <f t="shared" si="434"/>
        <v>0</v>
      </c>
    </row>
    <row r="71" spans="1:493" ht="45" customHeight="1" x14ac:dyDescent="0.25">
      <c r="A71" s="109"/>
      <c r="B71" s="43" t="s">
        <v>1032</v>
      </c>
      <c r="C71" s="43" t="s">
        <v>845</v>
      </c>
      <c r="D71" s="124" t="s">
        <v>846</v>
      </c>
      <c r="E71" s="43" t="s">
        <v>992</v>
      </c>
      <c r="F71" s="43" t="s">
        <v>1213</v>
      </c>
      <c r="G71" s="43" t="s">
        <v>1214</v>
      </c>
      <c r="H71" s="43"/>
      <c r="I71" s="109" t="s">
        <v>1094</v>
      </c>
      <c r="J71" s="110">
        <v>1059596128</v>
      </c>
      <c r="K71" s="43" t="s">
        <v>852</v>
      </c>
      <c r="L71" s="175" t="s">
        <v>853</v>
      </c>
      <c r="M71" s="22">
        <v>38661</v>
      </c>
      <c r="N71" s="213">
        <f t="shared" ca="1" si="252"/>
        <v>18.002739726027396</v>
      </c>
      <c r="O71" s="22">
        <v>44911</v>
      </c>
      <c r="P71" s="214" t="str">
        <f t="shared" si="253"/>
        <v>SI</v>
      </c>
      <c r="Q71" s="26" t="s">
        <v>855</v>
      </c>
      <c r="R71" s="22">
        <v>44911</v>
      </c>
      <c r="S71" s="21" t="s">
        <v>856</v>
      </c>
      <c r="T71" s="24" t="s">
        <v>690</v>
      </c>
      <c r="U71" s="21" t="s">
        <v>857</v>
      </c>
      <c r="V71" s="21" t="s">
        <v>858</v>
      </c>
      <c r="W71" s="21" t="s">
        <v>970</v>
      </c>
      <c r="X71" s="21" t="s">
        <v>970</v>
      </c>
      <c r="Y71" s="21" t="s">
        <v>859</v>
      </c>
      <c r="Z71" s="21">
        <v>3147743501</v>
      </c>
      <c r="AA71" s="21" t="s">
        <v>860</v>
      </c>
      <c r="AB71" s="27" t="s">
        <v>861</v>
      </c>
      <c r="AC71" s="26" t="s">
        <v>897</v>
      </c>
      <c r="AD71" s="38" t="s">
        <v>846</v>
      </c>
      <c r="AE71" s="26" t="s">
        <v>854</v>
      </c>
      <c r="AF71" s="26" t="s">
        <v>854</v>
      </c>
      <c r="AG71" s="23" t="s">
        <v>864</v>
      </c>
      <c r="AH71" s="23" t="s">
        <v>864</v>
      </c>
      <c r="AI71" s="24" t="s">
        <v>863</v>
      </c>
      <c r="AJ71" s="23" t="s">
        <v>864</v>
      </c>
      <c r="AK71" s="220" t="str">
        <f>IF(AND(AD71="",AE71="",AF71="",AG71="",AH71="",AI71="",AJ71=""),"",IF(OR(Tabla1[[#This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EVALUACIÓN",IF(AND(O71="",R71=""),"",IF(AND(OR(O71&gt;0,R71&gt;0),NG71&gt;=0,NG71&lt;2),"SIN RIESGO",IF(AND(OR(O71&gt;0,R71&gt;0),NG71&gt;=2),"CON RIESGO","ASD")))))</f>
        <v>SIN RIESGO</v>
      </c>
      <c r="AL71" s="23" t="s">
        <v>864</v>
      </c>
      <c r="AM71" s="26" t="s">
        <v>864</v>
      </c>
      <c r="AN71" s="26" t="s">
        <v>864</v>
      </c>
      <c r="AO71" s="26" t="s">
        <v>864</v>
      </c>
      <c r="AP71" s="26" t="s">
        <v>864</v>
      </c>
      <c r="AQ71" s="26" t="s">
        <v>864</v>
      </c>
      <c r="AR71" s="26" t="s">
        <v>864</v>
      </c>
      <c r="AS71" s="21">
        <v>0</v>
      </c>
      <c r="AT71" s="21">
        <v>0</v>
      </c>
      <c r="AU71" s="21">
        <v>0</v>
      </c>
      <c r="AV71" s="26" t="s">
        <v>864</v>
      </c>
      <c r="AW71" s="21">
        <v>0</v>
      </c>
      <c r="AX71" s="26" t="s">
        <v>864</v>
      </c>
      <c r="AY71" s="26" t="s">
        <v>864</v>
      </c>
      <c r="AZ71" s="26" t="s">
        <v>864</v>
      </c>
      <c r="BA71" s="26" t="s">
        <v>864</v>
      </c>
      <c r="BB71" s="26" t="s">
        <v>864</v>
      </c>
      <c r="BC71" s="26" t="s">
        <v>864</v>
      </c>
      <c r="BD71" s="26" t="s">
        <v>864</v>
      </c>
      <c r="BE71" s="26" t="s">
        <v>864</v>
      </c>
      <c r="BF71" s="26" t="s">
        <v>864</v>
      </c>
      <c r="BG71" s="26" t="s">
        <v>864</v>
      </c>
      <c r="BH71" s="26" t="s">
        <v>864</v>
      </c>
      <c r="BI71" s="26" t="s">
        <v>864</v>
      </c>
      <c r="BJ71" s="26"/>
      <c r="BK71" s="26"/>
      <c r="BL71" s="26" t="s">
        <v>864</v>
      </c>
      <c r="BM71" s="26" t="s">
        <v>864</v>
      </c>
      <c r="BN71" s="22"/>
      <c r="BO71" s="22">
        <v>44876</v>
      </c>
      <c r="BP71" s="21" t="s">
        <v>854</v>
      </c>
      <c r="BQ71" s="222">
        <f t="shared" si="254"/>
        <v>0</v>
      </c>
      <c r="BR71" s="223">
        <f t="shared" si="255"/>
        <v>44876</v>
      </c>
      <c r="BS71" s="224">
        <f t="shared" si="256"/>
        <v>5</v>
      </c>
      <c r="BT71" s="216" t="str">
        <f t="shared" si="257"/>
        <v>I TRIM</v>
      </c>
      <c r="BU71" s="214" t="str">
        <f t="shared" ca="1" si="258"/>
        <v/>
      </c>
      <c r="BV71" s="25"/>
      <c r="BW71" s="22">
        <v>44918</v>
      </c>
      <c r="BX71" s="28">
        <v>6</v>
      </c>
      <c r="BY71" s="28"/>
      <c r="BZ71" s="22"/>
      <c r="CA71" s="21"/>
      <c r="CB71" s="26" t="s">
        <v>864</v>
      </c>
      <c r="CC71" s="26" t="s">
        <v>864</v>
      </c>
      <c r="CD71" s="26" t="s">
        <v>878</v>
      </c>
      <c r="CE71" s="26" t="s">
        <v>864</v>
      </c>
      <c r="CF71" s="22" t="s">
        <v>1517</v>
      </c>
      <c r="CG71" s="21">
        <v>1.55</v>
      </c>
      <c r="CH71" s="21">
        <v>58</v>
      </c>
      <c r="CI71" s="214">
        <f t="shared" si="259"/>
        <v>24.141519250780433</v>
      </c>
      <c r="CJ71" s="225" t="str">
        <f>IF(AND(CI71&lt;10,CH71="SD"),"SIN DATO PESO PREGESTACION O I TRIM",IF(AND(OR(R71&gt;0,O71&gt;0),CI71="X"),"INGRESAR DATO DE PESO",IF(CI71="SD","INGRESAR DATO DE TALLA Y PESO",IF(AND(OR(Tabla1[[#This Row],[MOMENTO EN QUE SE REALIZA EL PESO AL INGRESO A CPN]]="PREGESTACIÓN",NZ71="Menor"),CI71&lt;18.5),"BAJO PESO",IF(AND(OR(Tabla1[[#This Row],[MOMENTO EN QUE SE REALIZA EL PESO AL INGRESO A CPN]]="PREGESTACIÓN",NZ71="Menor"),CI71&lt;25),"NORMAL",IF(AND(OR(Tabla1[[#This Row],[MOMENTO EN QUE SE REALIZA EL PESO AL INGRESO A CPN]]="PREGESTACIÓN",NZ71="Menor"),CI71&lt;30),"SOBREPESO",IF(AND(OR(Tabla1[[#This Row],[MOMENTO EN QUE SE REALIZA EL PESO AL INGRESO A CPN]]="PREGESTACIÓN",NZ71="Menor"),CI71&gt;=30,CI71&lt;50),"OBESIDAD",IF(AND(BS71&gt;0,Tabla1[[#This Row],[MOMENTO EN QUE SE REALIZA EL PESO AL INGRESO A CPN]]="GESTACIÓN"),HLOOKUP(NZ71,$OA$2:PH71,NY71),""))))))))</f>
        <v>NORMAL</v>
      </c>
      <c r="CK71" s="212">
        <f t="shared" si="260"/>
        <v>44911</v>
      </c>
      <c r="CL71" s="21"/>
      <c r="CM71" s="214">
        <f t="shared" si="261"/>
        <v>0</v>
      </c>
      <c r="CN71" s="216">
        <f t="shared" si="262"/>
        <v>5</v>
      </c>
      <c r="CO71" s="216" t="e">
        <f>IF(PI71="","",IF(PI71&gt;0,HLOOKUP(PI71,$PJ$2:QQ71,NY71),""))</f>
        <v>#REF!</v>
      </c>
      <c r="CP71" s="21"/>
      <c r="CQ71" s="216" t="str">
        <f>IF(QR71="Menor","NO APLICA-MENOR 13 SEM",IF(AND(CC71="SI",CN71&gt;23),"NO APLICA- GEMELAR",IF(QR71="","",IF(QR71&gt;0,HLOOKUP(QR71,$QS$2:RU71,NY71),""))))</f>
        <v>NO APLICA-MENOR 13 SEM</v>
      </c>
      <c r="CR71" s="21">
        <v>90</v>
      </c>
      <c r="CS71" s="21">
        <v>60</v>
      </c>
      <c r="CT71" s="217" t="str">
        <f>IF(R71="","",IF(AND(BS71&gt;1,BS71&lt;12,Tabla1[[#This Row],[T.A. SISTOLICA - ANTES DE SEMANA 12]]="",Tabla1[[#This Row],[T.A. DIASTOLICA - ANTES DE SEMANA 12]]=""),"REGISTRE DATO TA ANTES SEMANA 12",IF(AND(BS71&gt;11,BS71&lt;43,Tabla1[[#This Row],[T.A. SISTOLICA - ANTES DE SEMANA 12]]="",Tabla1[[#This Row],[T.A. DIASTOLICA - ANTES DE SEMANA 12]]=""),"NO APLICA REGISTRO TA-INGRESO TARDIO",IF(AND(OR(O71&gt;0,R71&gt;0),OR(CR71&gt;=140,CS71&gt;=90)),"DEFINIR ESTADIO HTA",IF(AND(OR(O71&gt;0,R71&gt;0),AND(CR71&gt;120,CR71&lt;=139)),"PRE HTA SEGUIMIENTO",IF(AND(OR(O71&gt;0,R71&gt;0),AND(CS71&gt;80,CS71&lt;=89)),"PRE HTA SEGUIMIENTO",IF(AND(OR(O71&gt;0,R71&gt;0),AND(CR71&gt;=80,CR71&lt;=120)),"APARENTEMENTE NORMAL",IF(AND(OR(O71&gt;0,R71&gt;0),AND(CS71&gt;=50,CS71&lt;=80)),"APARENTEMENTE NORMAL",IF(AND(OR(O71&gt;0,R71&gt;0),AND(CR71&gt;1,CR71&lt;=70),AND(CS71&gt;1,CS71&lt;=40)),"HIPOTENSIÓN","")))))))))</f>
        <v>APARENTEMENTE NORMAL</v>
      </c>
      <c r="CU71" s="21"/>
      <c r="CV71" s="21"/>
      <c r="CW71" s="217" t="str">
        <f ca="1">IF(R71="","",IF(AND(CN71&gt;19,CN71&lt;27,Tabla1[[#This Row],[T.A. SISTOLICA (Entre semana 20 y 26)]]="",Tabla1[[#This Row],[T.A. DIATOLICA (Entre semana 20 y 26)]]=""),"ACUDE A CONTROL SEM 20 A 26 REGISTRE TA AHORA",IF(AND(BS71&gt;1,BS71&lt;27,BU71&gt;19,Tabla1[[#This Row],[T.A. SISTOLICA (Entre semana 20 y 26)]]="",Tabla1[[#This Row],[T.A. DIATOLICA (Entre semana 20 y 26)]]=""),"COMPLETE REGISTRO TA CONTROL SEM 20 A26 ",IF(AND(BS71&gt;26,BS71&lt;43,Tabla1[[#This Row],[T.A. SISTOLICA (Entre semana 20 y 26)]]="",Tabla1[[#This Row],[T.A. DIATOLICA (Entre semana 20 y 26)]]=""),"NO APLICA REGISTRO TA-INGRESO TARDIO",IF(AND(OR(O71&gt;0,R71&gt;0),OR(CU71&gt;=140,CV71&gt;=90)),"ALTO RIESGO PREECLAMPSIA,DEFINIR ESTADIO HTA",IF(AND(OR(O71&gt;0,R71&gt;0),AND(CU71&gt;120,CU71&lt;=139)),"PRE HTA SEGUIMIENTO,RIESGO HIPERTENSION INDUCIDA POR EL EMBARAZO",IF(AND(OR(O71&gt;0,R71&gt;0),AND(CV71&gt;80,CV71&lt;=89)),"PRE HTA SEGUIMIENTO, RIESGO HIPERTENSION INDUCIDA POR EL EMBARAZO",IF(AND(OR(O71&lt;&gt;"",R71&lt;&gt;""),CS71&lt;&gt;"",CV71&lt;&gt;"",CS71&lt;=CV71),"VIGILAR CIFRAS PRESION ARTERIAL",IF(AND(OR(O71&gt;0,R71&gt;0),AND(CU71&gt;120,CU71&lt;=139)),"PRE HTA SEGUIMIENTO",IF(AND(OR(O71&gt;0,R71&gt;0),AND(CU71&gt;1,CU71&lt;=70),AND(CV71&gt;1,CV71&lt;=40)),"HIPOTENSIÓN",IF(AND(OR(O71&lt;&gt;"",R71&lt;&gt;""),CS71&lt;&gt;"",CV71&lt;&gt;"",CS71&gt;CV71),"APARENTEMENTE NORMAL",IF(AND(OR(O71&gt;0,R71&gt;0),AND(CU71&gt;=80,CU71&lt;=120)),"APARENTEMENTE NORMAL",IF(AND(OR(O71&gt;0,R71&gt;0),AND(CV71&gt;=50,CV71&lt;=80)),"APARENTEMENTE NORMAL","")))))))))))))</f>
        <v xml:space="preserve">COMPLETE REGISTRO TA CONTROL SEM 20 A26 </v>
      </c>
      <c r="CX71" s="21"/>
      <c r="CY71" s="21"/>
      <c r="CZ71" s="216" t="str">
        <f t="shared" si="263"/>
        <v/>
      </c>
      <c r="DA71" s="21"/>
      <c r="DB71" s="21"/>
      <c r="DC71" s="217" t="str">
        <f t="shared" si="264"/>
        <v>REGISTRE DATO PRESIÓN ARTERIAL MENSUAL</v>
      </c>
      <c r="DD71" s="22">
        <v>44911</v>
      </c>
      <c r="DE71" s="22">
        <v>44911</v>
      </c>
      <c r="DF71" s="22"/>
      <c r="DG71" s="22"/>
      <c r="DH71" s="22"/>
      <c r="DI71" s="22"/>
      <c r="DJ71" s="22"/>
      <c r="DK71" s="22"/>
      <c r="DL71" s="22"/>
      <c r="DM71" s="22"/>
      <c r="DN71" s="22"/>
      <c r="DO71" s="22"/>
      <c r="DP71" s="22"/>
      <c r="DQ71" s="22"/>
      <c r="DR71" s="28">
        <v>1</v>
      </c>
      <c r="DS71" s="22"/>
      <c r="DT71" s="22"/>
      <c r="DU71" s="216" t="str">
        <f t="shared" ca="1" si="265"/>
        <v>CONCERTAR PLAN DE PARTO INMEDIATO</v>
      </c>
      <c r="DV71" s="226" t="str">
        <f t="shared" si="197"/>
        <v>ACTIVA INGRESO A CPN</v>
      </c>
      <c r="DW7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71" s="216" t="e">
        <f t="shared" ca="1" si="266"/>
        <v>#REF!</v>
      </c>
      <c r="DY71" s="212">
        <f>IF(R71="","",IF(R71&gt;0,MAX(Tabla1[[#This Row],[FECHA C2]:[FECHA C13]],Tabla1[[#This Row],[FECHA CONSULTA PRIMERA VEZ PROGRAMA CPN ]])))</f>
        <v>44911</v>
      </c>
      <c r="DZ71" s="216">
        <f t="shared" si="267"/>
        <v>5</v>
      </c>
      <c r="EA71" s="222">
        <f>IF(R71&gt;0,SUM(COUNTA(DF71:DQ71)+COUNTA(Tabla1[[#This Row],[FECHA CONSULTA PRIMERA VEZ PROGRAMA CPN ]])),"")</f>
        <v>1</v>
      </c>
      <c r="EB71" s="222" t="str">
        <f t="shared" si="268"/>
        <v>NO</v>
      </c>
      <c r="EC71" s="214">
        <f t="shared" si="269"/>
        <v>10</v>
      </c>
      <c r="ED71" s="227">
        <f t="shared" si="270"/>
        <v>0.1</v>
      </c>
      <c r="EE71" s="22">
        <v>44911</v>
      </c>
      <c r="EF71" s="22">
        <v>44911</v>
      </c>
      <c r="EG71" s="22">
        <v>44911</v>
      </c>
      <c r="EH71" s="22"/>
      <c r="EI71" s="22">
        <v>44911</v>
      </c>
      <c r="EJ71" s="22"/>
      <c r="EK71" s="22"/>
      <c r="EL71" s="21"/>
      <c r="EM71" s="21">
        <v>14.7</v>
      </c>
      <c r="EN71" s="22">
        <v>44911</v>
      </c>
      <c r="EO71" s="222">
        <f t="shared" si="271"/>
        <v>5</v>
      </c>
      <c r="EP71" s="214" t="str">
        <f t="shared" si="272"/>
        <v>NO DAR SULFATO FERROSO</v>
      </c>
      <c r="EQ71" s="216" t="str">
        <f t="shared" si="273"/>
        <v>I TRIM</v>
      </c>
      <c r="ER71" s="24"/>
      <c r="ES71" s="22"/>
      <c r="ET71" s="29" t="str">
        <f t="shared" ca="1" si="274"/>
        <v>TOMA DE HEMOGLOBINA TARDÍA</v>
      </c>
      <c r="EU71" s="25" t="str">
        <f t="shared" si="275"/>
        <v/>
      </c>
      <c r="EV71" s="24" t="s">
        <v>1030</v>
      </c>
      <c r="EW71" s="24">
        <v>44911</v>
      </c>
      <c r="EX71" s="22"/>
      <c r="EY71" s="29">
        <f t="shared" si="248"/>
        <v>5</v>
      </c>
      <c r="EZ71" s="25" t="str">
        <f t="shared" ca="1" si="249"/>
        <v/>
      </c>
      <c r="FA71" s="21">
        <v>75</v>
      </c>
      <c r="FB71" s="22">
        <v>44911</v>
      </c>
      <c r="FC71" s="29">
        <f t="shared" si="276"/>
        <v>5</v>
      </c>
      <c r="FD71" s="29"/>
      <c r="FE71" s="29"/>
      <c r="FF71" s="29"/>
      <c r="FG71" s="21" t="str">
        <f t="shared" ca="1" si="277"/>
        <v/>
      </c>
      <c r="FH71" s="31"/>
      <c r="FI71" s="29" t="str">
        <f t="shared" si="278"/>
        <v>TOMAR EXAMEN</v>
      </c>
      <c r="FJ71" s="22" t="s">
        <v>867</v>
      </c>
      <c r="FK71" s="22">
        <v>44911</v>
      </c>
      <c r="FL71" s="29">
        <f t="shared" ca="1" si="279"/>
        <v>5</v>
      </c>
      <c r="FM71" s="22"/>
      <c r="FN71" s="32"/>
      <c r="FO71" s="29" t="str">
        <f ca="1">IF(AND(BT71="ERROR FUM O INGRESO",FN71&gt;0),"ERROR FUM O INGRESO",IF(AND(FN71="",R71="",O71=""),"",IF(AND(FN71&lt;&gt;"",FN71&lt;RW71), "INCOHERENCIA FUM Y FECHA TAMIZAJE",IF(AND(FN71="",DV71="ACTIVA INGRESO A CPN",AND(BU71&gt;0,BU71&lt;13)),"EN ESPERA-ESTÁ I TRIM", IF(AND(FN71="",AND(BS71&gt;0, BS71&lt;13),OR(O71&gt;0,R71&gt;0),AND(IP71&gt;0,IP71&lt;13)),"NO APLICA-SALIO DEL PROGRAMA I TRIM",IF(AND(FN71&lt;&gt;"",AND(SUM((FN71-RW71)/7)&gt;0,SUM((FN71-RW71)/7)&lt;13)),"REGISTRAR EN I TRIMESTRE",IF(AND(FN71&lt;&gt;"",AND(SUM((FN71-RW71)/7)&gt;=27,SUM((FN71-RW71)/7)&lt;44)),"REGISTRAR EN III TRIMESTRE",IF(AND(FN71="",OR(O71&gt;0,R71&gt;0),AND(BU71&gt;=13,BU71&lt;24),DV71="ACTIVA INGRESO A CPN"),"EN RANGO PARA TOMAR EXAMEN",IF(AND(FN71="",OR(O71&gt;0,R71&gt;0),AND(BU71&gt;=25,BU71&lt;27),DV71="ACTIVA INGRESO A CPN"),"TOMA INMEDIATA DE TAMIZAJE",IF(AND(FN71="",OR(O71&gt;0,R71&gt;0),AND(BS71&gt;=27,BS71&lt;44)),"NO APLICA-INGRESO TARDIO",IF(AND(FN71="",BS71&lt;27,OR(AND(IP71&gt;12,IP71&lt;44),BU71&gt;12)),"PIERDE TOMA DE TAMIZAJE",IF(FN71&gt;0,SUM(FN71-RW71)/7,""))))))))))))</f>
        <v>PIERDE TOMA DE TAMIZAJE</v>
      </c>
      <c r="FP71" s="22"/>
      <c r="FQ71" s="32"/>
      <c r="FR71" s="29" t="str">
        <f ca="1">IF(AND(BT71="ERROR FUM O INGRESO",FQ71&gt;0),"ERROR FUM O INGRESO",IF(AND(FQ71="",R71="",O71=""),"",IF(AND(FQ71&lt;&gt;"",FQ71&lt;RW71), "INCOHERENCIA FUM Y FECHA TAMIZAJE",IF(AND(FQ71="",DV71="ACTIVA INGRESO A CPN",AND(BU71&gt;0,BU71&lt;27)),"EN ESPERA-ESTÁ I TRIM O II TRIM", IF(AND(FQ71="",AND(BS71&gt;0, BS71&lt;27),OR(O71&gt;0,R71&gt;0),AND(IP71&gt;0,IP71&lt;27)),"NO APLICA-SALIO DEL PROGRAMA I O II TRIM",IF(AND(FQ71&lt;&gt;"",AND(SUM((FQ71-RW71)/7)&gt;0,SUM((FQ71-RW71)/7)&lt;13)),"REGISTAR EN I TRIMESTRE",IF(AND(FQ71&lt;&gt;"",AND(SUM((FQ71-RW71)/7)&gt;=13,SUM((FQ71-RW71)/7)&lt;27)),"REGISTRAR EN II TRIMESTRE",IF(AND(FQ71="",OR(O71&gt;0,R71&gt;0),AND(BU71&gt;=28,BU71&lt;35),DV71="ACTIVA INGRESO A CPN"),"EN RANGO PARA TOMAR EXAMEN",IF(AND(FQ71="",OR(O71&gt;0,R71&gt;0),BU71&gt;=35, DV71="ACTIVA INGRESO A CPN"),"TOMA INMEDIATA DE TAMIZAJE",IF(AND(FQ71="",DV71= "SALE SIN INGRESO CPN"),"NO APLICA-SIN CPN",IF(AND(FQ71="",AND(IP71&gt;26,IP71&lt;43)),"PIERDE TOMA DE TAMIZAJE",IF(FQ71&gt;0,SUM(FQ71-RW71)/7,""))))))))))))</f>
        <v>TOMA INMEDIATA DE TAMIZAJE</v>
      </c>
      <c r="FS71" s="22"/>
      <c r="FT71" s="32"/>
      <c r="FU71" s="29" t="str">
        <f>IF(AND(FJ71="",FM71="",FP71="",FS71=""),"",IF(OR(OR(Tabla1[[#This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71" s="28"/>
      <c r="FW71" s="22"/>
      <c r="FX71" s="29" t="str">
        <f t="shared" si="280"/>
        <v>TOMAR EXAMEN</v>
      </c>
      <c r="FY71" s="22">
        <v>44911</v>
      </c>
      <c r="FZ71" s="22">
        <v>44911</v>
      </c>
      <c r="GA71" s="29">
        <f t="shared" ca="1" si="250"/>
        <v>5</v>
      </c>
      <c r="GB71" s="22"/>
      <c r="GC71" s="22"/>
      <c r="GD71" s="29" t="str">
        <f t="shared" ca="1" si="281"/>
        <v>PIERDE TOMA DE TAMIZAJE</v>
      </c>
      <c r="GE71" s="22"/>
      <c r="GF71" s="22"/>
      <c r="GG71" s="29" t="str">
        <f t="shared" ca="1" si="282"/>
        <v>TOMA INMEDIATA DE TAMIZAJE</v>
      </c>
      <c r="GH71" s="22"/>
      <c r="GI71" s="29"/>
      <c r="GJ71" s="22"/>
      <c r="GK71" s="22"/>
      <c r="GL71" s="22"/>
      <c r="GM71" s="22"/>
      <c r="GN71" s="28" t="s">
        <v>869</v>
      </c>
      <c r="GO71" s="22">
        <v>44911</v>
      </c>
      <c r="GP71" s="29">
        <f t="shared" si="283"/>
        <v>5</v>
      </c>
      <c r="GQ71" s="28" t="s">
        <v>869</v>
      </c>
      <c r="GR71" s="28" t="s">
        <v>869</v>
      </c>
      <c r="GS71" s="22" t="str">
        <f t="shared" si="284"/>
        <v>CONTROL Igm</v>
      </c>
      <c r="GT71" s="22">
        <v>44911</v>
      </c>
      <c r="GU71" s="29">
        <f t="shared" si="285"/>
        <v>5</v>
      </c>
      <c r="GV71" s="21" t="str">
        <f t="shared" si="286"/>
        <v>I TRIM</v>
      </c>
      <c r="GW71" s="28" t="s">
        <v>869</v>
      </c>
      <c r="GX71" s="30"/>
      <c r="GY71" s="21"/>
      <c r="GZ71" s="21"/>
      <c r="HA71" s="21"/>
      <c r="HB71" s="21"/>
      <c r="HC71" s="21"/>
      <c r="HD71" s="21"/>
      <c r="HE71" s="21"/>
      <c r="HF71" s="22"/>
      <c r="HG71" s="22" t="str">
        <f>IF(OR(O71&gt;0,R71&gt;0),CONCATENATE(IF(Tabla1[[#This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71" s="22" t="e">
        <f t="shared" si="287"/>
        <v>#REF!</v>
      </c>
      <c r="HI71" s="22" t="e">
        <f t="shared" ca="1" si="288"/>
        <v>#REF!</v>
      </c>
      <c r="HJ71" s="21" t="str">
        <f t="shared" ca="1" si="289"/>
        <v>**********************MULTIPARIDAD*****************</v>
      </c>
      <c r="HK71" s="21" t="str">
        <f t="shared" si="290"/>
        <v>SIN ANTECEDENTES DE RIESGO</v>
      </c>
      <c r="HL71" s="24" t="str">
        <f t="shared" si="291"/>
        <v>REGISTRE DATO PRESIÓN ARTERIAL MENSUAL</v>
      </c>
      <c r="HM71" s="21" t="e">
        <f t="shared" ca="1" si="292"/>
        <v>#REF!</v>
      </c>
      <c r="HN71" s="30" t="str">
        <f t="shared" si="207"/>
        <v>ACTIVA INGRESO A CPN</v>
      </c>
      <c r="HO71" s="21"/>
      <c r="HP71" s="21"/>
      <c r="HQ71" s="21"/>
      <c r="HR71" s="21" t="str">
        <f>IF(R71="","",IF(Tabla1[[#This Row],[ALARMA FACTORES DE RIESGO COMPLICACIONES HIPERTENSIVAS3]]="SIN ANTECEDENTES DE RIESGO","No Aplica para suministro de ASA",IF(AND(Tabla1[[#This Row],[FECHA INICIO DE SUMINISTRO DE ASA]]&gt;0,RV71&lt;12),"Inicia ASA ANTES de Sem 12",IF(AND(RV71&gt;11,RV71&lt;17,OR(HK71="RIESGO ALTO DE COMPLICACIONES HIPERTENSIVAS VER MANEJO GUIA SUMINISTRO ASA Y CALCIO",HK71="RIESGO MODERADO (2 O MAS CRITERIOS) VER MANEJO GUIA SUMINISTRO ASA Y CALCIO")),"Inicio oportuno de ASA",IF(AND(RV71&gt;12,OR(HK71="RIESGO ALTO DE COMPLICACIONES HIPERTENSIVAS VER MANEJO GUIA SUMINISTRO ASA Y CALCIO",HK71="RIESGO MODERADO (2 O MAS CRITERIOS) VER MANEJO GUIA SUMINISTRO ASA Y CALCIO")),"Inicio no oportuno mayor a 16 semanas",IF(AND(BU71&lt;12,OR(HK71="RIESGO ALTO DE COMPLICACIONES HIPERTENSIVAS VER MANEJO GUIA SUMINISTRO ASA Y CALCIO",HK71="RIESGO MODERADO (2 O MAS CRITERIOS) VER MANEJO GUIA SUMINISTRO ASA Y CALCIO")),"Pendiente Inicio de ASA a la semana 12",IF(AND(BU71&gt;11,BU71&lt;17,OR(HK71="RIESGO ALTO DE COMPLICACIONES HIPERTENSIVAS VER MANEJO GUIA SUMINISTRO ASA Y CALCIO",HK71="RIESGO MODERADO (2 O MAS CRITERIOS) VER MANEJO GUIA SUMINISTRO ASA Y CALCIO")),"Iniciar de inmediato ASA",IF(AND(BU71&gt;16,OR(HK71="RIESGO ALTO DE COMPLICACIONES HIPERTENSIVAS VER MANEJO GUIA SUMINISTRO ASA Y CALCIO",HK71="RIESGO MODERADO (2 O MAS CRITERIOS) VER MANEJO GUIA SUMINISTRO ASA Y CALCIO")),"Pierde Oportunidad, Inicio tardío de ASA","XXXXX"))))))))</f>
        <v>No Aplica para suministro de ASA</v>
      </c>
      <c r="HS71" s="22"/>
      <c r="HT71" s="22"/>
      <c r="HU71" s="22">
        <v>44911</v>
      </c>
      <c r="HV71" s="22" t="s">
        <v>870</v>
      </c>
      <c r="HW71" s="22">
        <v>44911</v>
      </c>
      <c r="HX71" s="22" t="s">
        <v>870</v>
      </c>
      <c r="HY71" s="22"/>
      <c r="HZ71" s="28" t="str">
        <f t="shared" si="293"/>
        <v>PENDIENTE CONSULTA</v>
      </c>
      <c r="IA71" s="26" t="s">
        <v>864</v>
      </c>
      <c r="IB71" s="26"/>
      <c r="IC71" s="111"/>
      <c r="ID71" s="22"/>
      <c r="IE71" s="22" t="str">
        <f t="shared" ca="1" si="294"/>
        <v/>
      </c>
      <c r="IF71" s="22"/>
      <c r="IG71" s="22">
        <f t="shared" si="295"/>
        <v>45156</v>
      </c>
      <c r="IH71" s="29">
        <f t="shared" ca="1" si="296"/>
        <v>-76</v>
      </c>
      <c r="II71" s="22" t="str">
        <f t="shared" ca="1" si="297"/>
        <v>POSIBLEMENTE NACIO</v>
      </c>
      <c r="IJ71" s="22"/>
      <c r="IK71" s="21"/>
      <c r="IL71" s="21"/>
      <c r="IM71" s="34"/>
      <c r="IN71" s="349"/>
      <c r="IO71" s="21"/>
      <c r="IP71" s="29" t="str">
        <f t="shared" si="298"/>
        <v/>
      </c>
      <c r="IQ71" s="110"/>
      <c r="IR71" s="21"/>
      <c r="IS71" s="21"/>
      <c r="IT71" s="21"/>
      <c r="IU71" s="21"/>
      <c r="IV71" s="21"/>
      <c r="IW71" s="21"/>
      <c r="IX71" s="21"/>
      <c r="IY71" s="21"/>
      <c r="IZ71" s="21"/>
      <c r="JA71" s="21"/>
      <c r="JB71" s="30"/>
      <c r="JC71" s="21"/>
      <c r="JD71" s="36"/>
      <c r="JE71" s="21" t="str">
        <f t="shared" si="299"/>
        <v/>
      </c>
      <c r="JF71" s="30"/>
      <c r="JG71" s="21"/>
      <c r="JH71" s="21"/>
      <c r="JI71" s="21"/>
      <c r="JJ71" s="30"/>
      <c r="JK71" s="22"/>
      <c r="JL71" s="22"/>
      <c r="JM71" s="21"/>
      <c r="JN71" s="36"/>
      <c r="JO71" s="21" t="str">
        <f t="shared" si="300"/>
        <v/>
      </c>
      <c r="JP71" s="22"/>
      <c r="JQ71" s="21"/>
      <c r="JR71" s="21"/>
      <c r="JS71" s="21"/>
      <c r="JT71" s="30"/>
      <c r="JU71" s="22"/>
      <c r="JV71" s="22"/>
      <c r="JW71" s="33"/>
      <c r="JX71" s="28" t="str">
        <f t="shared" si="301"/>
        <v/>
      </c>
      <c r="JY71" s="33"/>
      <c r="JZ71" s="28" t="str">
        <f t="shared" si="302"/>
        <v/>
      </c>
      <c r="KA71" s="21"/>
      <c r="KB71" s="21"/>
      <c r="KC71" s="21"/>
      <c r="KD71" s="37"/>
      <c r="KE71" s="28"/>
      <c r="KF71" s="28"/>
      <c r="KG71" s="28"/>
      <c r="KH71" s="39"/>
      <c r="KI71" s="39"/>
      <c r="KJ71" s="66"/>
      <c r="KK71" s="39"/>
      <c r="KL71" s="39"/>
      <c r="KM71" s="66"/>
      <c r="KN71" s="39"/>
      <c r="KO71" s="39"/>
      <c r="KP71" s="39"/>
      <c r="KQ71" s="39"/>
      <c r="KR71" s="39"/>
      <c r="KS71" s="39"/>
      <c r="KT71" s="39"/>
      <c r="KU71" s="38"/>
      <c r="KV71" s="38"/>
      <c r="KW71" s="38"/>
      <c r="KX71" s="38"/>
      <c r="KY71" s="38"/>
      <c r="KZ71" s="38"/>
      <c r="LA71" s="38"/>
      <c r="LB71" s="38"/>
      <c r="LC71" s="38"/>
      <c r="LD71" s="38"/>
      <c r="LE71" s="38"/>
      <c r="LF71" s="38"/>
      <c r="LG71" s="38"/>
      <c r="LH71" s="38"/>
      <c r="LI71" s="38"/>
      <c r="LJ71" s="38"/>
      <c r="LK71" s="38"/>
      <c r="LL71" s="38"/>
      <c r="LM71" s="38"/>
      <c r="LN71" s="38"/>
      <c r="LO71" s="38"/>
      <c r="LP71" s="38"/>
      <c r="LQ71" s="38"/>
      <c r="LR71" s="38"/>
      <c r="LS71" s="38"/>
      <c r="LT71" s="38"/>
      <c r="LU71" s="38"/>
      <c r="LV71" s="38"/>
      <c r="LW71" s="38"/>
      <c r="LX71" s="38"/>
      <c r="LY71" s="38"/>
      <c r="LZ71" s="38"/>
      <c r="MA71" s="38"/>
      <c r="MB71" s="38"/>
      <c r="MC71" s="38"/>
      <c r="MD71" s="38"/>
      <c r="ME71" s="38"/>
      <c r="MF71" s="38"/>
      <c r="MG71" s="38"/>
      <c r="MH71" s="43">
        <f t="shared" si="303"/>
        <v>0</v>
      </c>
      <c r="MI71" s="43" t="str">
        <f t="shared" si="304"/>
        <v/>
      </c>
      <c r="MJ71" s="43" t="str">
        <f t="shared" si="305"/>
        <v/>
      </c>
      <c r="MK71" s="43">
        <f t="shared" si="306"/>
        <v>0</v>
      </c>
      <c r="ML7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71" s="43">
        <f t="shared" si="307"/>
        <v>5</v>
      </c>
      <c r="MN71" s="43">
        <f t="shared" si="308"/>
        <v>12</v>
      </c>
      <c r="MO71" s="43">
        <f t="shared" si="309"/>
        <v>2022</v>
      </c>
      <c r="MP71" s="43" t="str">
        <f t="shared" si="310"/>
        <v>IV TRIMESTRE AÑO</v>
      </c>
      <c r="MQ71" s="43">
        <f t="shared" si="311"/>
        <v>16.86651335961454</v>
      </c>
      <c r="MR71" s="43">
        <f t="shared" si="312"/>
        <v>0</v>
      </c>
      <c r="MS71" s="43" t="str">
        <f t="shared" si="313"/>
        <v>DE 14 A 19AÑOS</v>
      </c>
      <c r="MT71" s="43">
        <f t="shared" si="314"/>
        <v>0</v>
      </c>
      <c r="MU71" s="43">
        <f t="shared" si="315"/>
        <v>1</v>
      </c>
      <c r="MV71" s="43">
        <f t="shared" si="316"/>
        <v>0</v>
      </c>
      <c r="MW71" s="43">
        <f t="shared" si="317"/>
        <v>0</v>
      </c>
      <c r="MX71" s="43" t="str">
        <f t="shared" si="318"/>
        <v/>
      </c>
      <c r="MY71" s="43" t="str">
        <f t="shared" ca="1" si="229"/>
        <v/>
      </c>
      <c r="MZ71" s="43" t="str">
        <f t="shared" si="319"/>
        <v/>
      </c>
      <c r="NA71" s="43">
        <f t="shared" si="320"/>
        <v>0</v>
      </c>
      <c r="NB71" s="43" t="str">
        <f t="shared" si="321"/>
        <v/>
      </c>
      <c r="NC71" s="43" t="str">
        <f t="shared" si="322"/>
        <v/>
      </c>
      <c r="ND71" s="43">
        <f t="shared" ca="1" si="323"/>
        <v>1</v>
      </c>
      <c r="NE71" s="43">
        <f>IF(OR(O71&gt;0,R71&gt;0),SUM(COUNTIF(Tabla1[[#This Row],[AÑOS AL INICIO5 CPN]],"&gt;=40"),COUNTIF(AS71,"0"),COUNTIF(AR71,"SI"),COUNTIF(CC71,"SI"),COUNTIF(BQ71,"&gt;119"),COUNTIF(CI71,"&gt;=35")),"")</f>
        <v>1</v>
      </c>
      <c r="NF71" s="43" t="str">
        <f t="shared" si="324"/>
        <v/>
      </c>
      <c r="NG71" s="43">
        <f t="shared" si="325"/>
        <v>0</v>
      </c>
      <c r="NH71" s="43">
        <f t="shared" si="326"/>
        <v>42</v>
      </c>
      <c r="NI7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CPN",P71="NO"),"Z",IF(AND(Tabla1[[#This Row],[CITA PROXIMO CONTROL]]="CITA MANUAL",Tabla1[[#This Row],[GESTANTES ACTUALES]]="ACTIVA INGRESO A CPN"),"W",IF(AND(Tabla1[[#This Row],[GESTANTES ACTUALES]]="SALIO PROGRAMA",IN71=""),"S",IF(AND(Tabla1[[#This Row],[CITA PROXIMO CONTROL]]&gt;0,IN71=""),(Tabla1[[#This Row],[CITA PROXIMO CONTROL]]-TODAY()),"SD"))))))))</f>
        <v>#REF!</v>
      </c>
      <c r="NJ71" s="43">
        <f>MONTH(Tabla1[[#This Row],[FECHA DE SALIDA  DEL PROGRAMA]])</f>
        <v>1</v>
      </c>
      <c r="NK71" s="43">
        <f>YEAR(Tabla1[[#This Row],[FECHA DE SALIDA  DEL PROGRAMA]])</f>
        <v>1900</v>
      </c>
      <c r="NL71" s="43" t="str">
        <f t="shared" si="327"/>
        <v>X</v>
      </c>
      <c r="NM71" s="43" t="str">
        <f t="shared" si="251"/>
        <v>NO</v>
      </c>
      <c r="NN71" s="43" t="str">
        <f ca="1">IF(AND(O71&gt;0,R71=""),"NO CPN",IF(AND(O71="",R71=""),"",IF(AND(R71&gt;0,Tabla1[[#This Row],[SEMANAS DE GESTACION ACTUALIZADAS]]&lt;=12),"NO APLICA",IF(AND(FH71&lt;&gt;"",FN71&lt;&gt;""),"SI","NO"))))</f>
        <v>NO</v>
      </c>
      <c r="NO71" s="43" t="str">
        <f ca="1">IF(AND(O71&gt;0,R71=""),"NO CPN",IF(AND(O71="",R71=""),"",IF(AND(R71&gt;0,Tabla1[[#This Row],[SEMANAS DE GESTACION ACTUALIZADAS]]&lt;=27),"NO APLICA",IF(AND(ES71&lt;&gt;"",FQ71&lt;&gt;"",GF71&lt;&gt;""),"SI","NO"))))</f>
        <v>NO</v>
      </c>
      <c r="NP71" s="204" t="str">
        <f t="shared" si="328"/>
        <v>I TRIM</v>
      </c>
      <c r="NQ71" s="21">
        <f>IF(AND(IP73&gt;0,IP73&lt;37),10,IF(OR(CD72="Transversa",CD72="Oblicua"),9,IF(CC72="SI",8,IF(AND(AT72=0,AW72=0,CC72="NO",CD72="Cefálica",IP73&gt;=37,IT73="INICIO ESPONTÁNEO"),1,IF(AND(AND(AT72=0,AW72=0,CC72="NO",CD72="Cefálica",IP73&gt;=37),OR(IT73="LE HACEN INDUCCIÓN",IT73="LE HACEN CESÁREA SIN INICIO TRABAJO DE PARTO")),2,IF(AND(AT72&gt;=1,AW72=0,CC72="NO",CD72="Cefálica",IP73&gt;=37,IT73="INICIO ESPONTÁNEO"),3,IF(AND(AND(AT72&gt;=1,AW72=0,CC72="NO",CD72="Cefálica",IP73&gt;=37),OR(IT73="LE HACEN INDUCCIÓN",IT73="LE HACEN CESÁREA SIN INICIO TRABAJO DE PARTO")),4,IF(AND(AND(AT72&gt;=1,AW72&gt;=1,CC72="NO",CD72="Cefálica",IP73&gt;=37),OR(IT73="LE HACEN INDUCCIÓN",IT73="LE HACEN CESÁREA SIN INICIO TRABAJO DE PARTO",IT73="INICIO ESPONTÁNEO")),5,IF(AND(AND(AT72=0,AW72=0,CC72="NO",CD72="Podálica",IP73&gt;=1),OR(IT73="LE HACEN INDUCCIÓN",IT73="LE HACEN CESÁREA SIN INICIO TRABAJO DE PARTO",IT73="INICIO ESPONTÁNEO")),6,IF(AND(AND(AT72&gt;=1,CC72="NO",CD72="Podálica",IP73&gt;=1),OR(IT73="LE HACEN INDUCCIÓN",IT73="LE HACEN CESÁREA SIN INICIO TRABAJO DE PARTO",IT73="INICIO ESPONTÁNEO"),OR(AW72=0,AW72&gt;=1)),7,""))))))))))</f>
        <v>10</v>
      </c>
      <c r="NR71" s="21" t="str">
        <f t="shared" ca="1" si="242"/>
        <v>REVISAR FUM O FECHA SALIDA PROGRAMA</v>
      </c>
      <c r="NS71" s="205">
        <f t="shared" ca="1" si="329"/>
        <v>1</v>
      </c>
      <c r="NT71" s="21">
        <f t="shared" ca="1" si="330"/>
        <v>1</v>
      </c>
      <c r="NU71" s="21" t="str">
        <f t="shared" ca="1" si="331"/>
        <v>POR DEFINIR</v>
      </c>
      <c r="NV71" s="21" t="str">
        <f t="shared" ca="1" si="332"/>
        <v>POR DEFINIR</v>
      </c>
      <c r="NW71" s="206" t="str">
        <f>IF(AND(O71="",R71=""),"",IF(OR(AND(Tabla1[[#This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71" s="207" t="str">
        <f t="shared" ca="1" si="333"/>
        <v>SIN VACUNAR</v>
      </c>
      <c r="NY71" s="43">
        <f>ROW(Tabla1[[#This Row],['# DE TAMIZAJES SIFILIS TOMADOS ]])</f>
        <v>71</v>
      </c>
      <c r="NZ71" s="43" t="str">
        <f t="shared" si="334"/>
        <v>Menor</v>
      </c>
      <c r="OA71" s="43" t="str">
        <f t="shared" si="335"/>
        <v>NORMAL</v>
      </c>
      <c r="OB71" s="43" t="str">
        <f t="shared" si="336"/>
        <v/>
      </c>
      <c r="OC71" s="43" t="str">
        <f t="shared" si="337"/>
        <v/>
      </c>
      <c r="OD71" s="43" t="str">
        <f t="shared" si="338"/>
        <v/>
      </c>
      <c r="OE71" s="43" t="str">
        <f t="shared" si="339"/>
        <v/>
      </c>
      <c r="OF71" s="43" t="str">
        <f t="shared" si="340"/>
        <v/>
      </c>
      <c r="OG71" s="43" t="str">
        <f t="shared" si="341"/>
        <v/>
      </c>
      <c r="OH71" s="43" t="str">
        <f t="shared" si="342"/>
        <v/>
      </c>
      <c r="OI71" s="43" t="str">
        <f t="shared" si="343"/>
        <v/>
      </c>
      <c r="OJ71" s="43" t="str">
        <f t="shared" si="344"/>
        <v/>
      </c>
      <c r="OK71" s="43" t="str">
        <f t="shared" si="345"/>
        <v/>
      </c>
      <c r="OL71" s="43" t="str">
        <f t="shared" si="346"/>
        <v/>
      </c>
      <c r="OM71" s="43" t="str">
        <f t="shared" si="347"/>
        <v/>
      </c>
      <c r="ON71" s="43" t="str">
        <f t="shared" si="348"/>
        <v/>
      </c>
      <c r="OO71" s="43" t="str">
        <f t="shared" si="349"/>
        <v/>
      </c>
      <c r="OP71" s="43" t="str">
        <f t="shared" si="350"/>
        <v/>
      </c>
      <c r="OQ71" s="43" t="str">
        <f t="shared" si="351"/>
        <v/>
      </c>
      <c r="OR71" s="43" t="str">
        <f t="shared" si="352"/>
        <v/>
      </c>
      <c r="OS71" s="43" t="str">
        <f t="shared" si="353"/>
        <v/>
      </c>
      <c r="OT71" s="43" t="str">
        <f t="shared" si="354"/>
        <v/>
      </c>
      <c r="OU71" s="43" t="str">
        <f t="shared" si="355"/>
        <v/>
      </c>
      <c r="OV71" s="110" t="str">
        <f t="shared" si="356"/>
        <v/>
      </c>
      <c r="OW71" s="43" t="str">
        <f t="shared" si="357"/>
        <v/>
      </c>
      <c r="OX71" s="43" t="str">
        <f t="shared" si="358"/>
        <v/>
      </c>
      <c r="OY71" s="43" t="str">
        <f t="shared" si="359"/>
        <v/>
      </c>
      <c r="OZ71" s="43" t="str">
        <f t="shared" si="360"/>
        <v/>
      </c>
      <c r="PA71" s="43" t="str">
        <f t="shared" si="361"/>
        <v/>
      </c>
      <c r="PB71" s="43" t="str">
        <f t="shared" si="362"/>
        <v/>
      </c>
      <c r="PC71" s="43" t="str">
        <f t="shared" si="363"/>
        <v/>
      </c>
      <c r="PD71" s="43" t="str">
        <f t="shared" si="364"/>
        <v/>
      </c>
      <c r="PE71" s="43" t="str">
        <f t="shared" si="365"/>
        <v/>
      </c>
      <c r="PF71" s="43" t="str">
        <f t="shared" si="366"/>
        <v/>
      </c>
      <c r="PG71" s="43" t="str">
        <f t="shared" si="367"/>
        <v/>
      </c>
      <c r="PH71" s="43" t="str">
        <f t="shared" si="368"/>
        <v/>
      </c>
      <c r="PI71" s="43" t="str">
        <f t="shared" si="369"/>
        <v>Menor</v>
      </c>
      <c r="PJ71" s="43" t="str">
        <f t="shared" si="370"/>
        <v/>
      </c>
      <c r="PK71" s="43" t="str">
        <f t="shared" si="371"/>
        <v/>
      </c>
      <c r="PL71" s="43" t="str">
        <f t="shared" si="372"/>
        <v/>
      </c>
      <c r="PM71" s="43" t="str">
        <f t="shared" si="373"/>
        <v/>
      </c>
      <c r="PN71" s="43" t="str">
        <f t="shared" si="374"/>
        <v/>
      </c>
      <c r="PO71" s="43" t="str">
        <f t="shared" si="375"/>
        <v/>
      </c>
      <c r="PP71" s="43" t="str">
        <f t="shared" si="376"/>
        <v/>
      </c>
      <c r="PQ71" s="43" t="str">
        <f t="shared" si="377"/>
        <v/>
      </c>
      <c r="PR71" s="43" t="str">
        <f t="shared" si="378"/>
        <v/>
      </c>
      <c r="PS71" s="43" t="str">
        <f t="shared" si="379"/>
        <v/>
      </c>
      <c r="PT71" s="43" t="str">
        <f t="shared" si="380"/>
        <v/>
      </c>
      <c r="PU71" s="43" t="str">
        <f t="shared" si="381"/>
        <v/>
      </c>
      <c r="PV71" s="43" t="str">
        <f t="shared" si="382"/>
        <v/>
      </c>
      <c r="PW71" s="43" t="str">
        <f t="shared" si="383"/>
        <v/>
      </c>
      <c r="PX71" s="43" t="str">
        <f t="shared" si="384"/>
        <v/>
      </c>
      <c r="PY71" s="43" t="str">
        <f t="shared" si="385"/>
        <v/>
      </c>
      <c r="PZ71" s="43" t="str">
        <f t="shared" si="386"/>
        <v/>
      </c>
      <c r="QA71" s="43" t="str">
        <f t="shared" si="387"/>
        <v/>
      </c>
      <c r="QB71" s="43" t="str">
        <f t="shared" si="388"/>
        <v/>
      </c>
      <c r="QC71" s="43" t="str">
        <f t="shared" si="389"/>
        <v/>
      </c>
      <c r="QD71" s="43" t="str">
        <f t="shared" si="390"/>
        <v/>
      </c>
      <c r="QE71" s="43" t="str">
        <f t="shared" si="391"/>
        <v/>
      </c>
      <c r="QF71" s="43" t="str">
        <f t="shared" si="392"/>
        <v/>
      </c>
      <c r="QG71" s="43" t="str">
        <f t="shared" si="393"/>
        <v/>
      </c>
      <c r="QH71" s="43" t="str">
        <f t="shared" si="394"/>
        <v/>
      </c>
      <c r="QI71" s="43" t="str">
        <f t="shared" si="395"/>
        <v/>
      </c>
      <c r="QJ71" s="43" t="str">
        <f t="shared" si="396"/>
        <v/>
      </c>
      <c r="QK71" s="43" t="str">
        <f t="shared" si="397"/>
        <v/>
      </c>
      <c r="QL71" s="43" t="str">
        <f t="shared" si="398"/>
        <v/>
      </c>
      <c r="QM71" s="43" t="str">
        <f t="shared" si="399"/>
        <v/>
      </c>
      <c r="QN71" s="43" t="str">
        <f t="shared" si="400"/>
        <v/>
      </c>
      <c r="QO71" s="43" t="str">
        <f t="shared" si="401"/>
        <v/>
      </c>
      <c r="QP71" s="43" t="str">
        <f t="shared" si="402"/>
        <v/>
      </c>
      <c r="QQ71" s="43" t="str">
        <f t="shared" si="403"/>
        <v/>
      </c>
      <c r="QR71" s="43" t="str">
        <f t="shared" si="433"/>
        <v>Menor</v>
      </c>
      <c r="QS71" s="43"/>
      <c r="QT71" s="21" t="str">
        <f t="shared" si="404"/>
        <v/>
      </c>
      <c r="QU71" s="21" t="str">
        <f t="shared" si="405"/>
        <v/>
      </c>
      <c r="QV71" s="21" t="str">
        <f t="shared" si="406"/>
        <v/>
      </c>
      <c r="QW71" s="21" t="str">
        <f t="shared" si="407"/>
        <v/>
      </c>
      <c r="QX71" s="21" t="str">
        <f t="shared" si="408"/>
        <v/>
      </c>
      <c r="QY71" s="21" t="str">
        <f t="shared" si="409"/>
        <v/>
      </c>
      <c r="QZ71" s="21" t="str">
        <f t="shared" si="410"/>
        <v/>
      </c>
      <c r="RA71" s="21" t="str">
        <f t="shared" si="411"/>
        <v/>
      </c>
      <c r="RB71" s="21" t="str">
        <f t="shared" si="412"/>
        <v/>
      </c>
      <c r="RC71" s="21" t="str">
        <f t="shared" si="413"/>
        <v/>
      </c>
      <c r="RD71" s="21" t="str">
        <f t="shared" si="414"/>
        <v/>
      </c>
      <c r="RE71" s="21" t="str">
        <f t="shared" si="415"/>
        <v/>
      </c>
      <c r="RF71" s="21" t="str">
        <f t="shared" si="416"/>
        <v/>
      </c>
      <c r="RG71" s="21" t="str">
        <f t="shared" si="417"/>
        <v/>
      </c>
      <c r="RH71" s="21" t="str">
        <f t="shared" si="418"/>
        <v/>
      </c>
      <c r="RI71" s="21" t="str">
        <f t="shared" si="419"/>
        <v/>
      </c>
      <c r="RJ71" s="21" t="str">
        <f t="shared" si="420"/>
        <v/>
      </c>
      <c r="RK71" s="21" t="str">
        <f t="shared" si="421"/>
        <v/>
      </c>
      <c r="RL71" s="21" t="str">
        <f t="shared" si="422"/>
        <v/>
      </c>
      <c r="RM71" s="21" t="str">
        <f t="shared" si="423"/>
        <v/>
      </c>
      <c r="RN71" s="21" t="str">
        <f t="shared" si="424"/>
        <v/>
      </c>
      <c r="RO71" s="21" t="str">
        <f t="shared" si="425"/>
        <v/>
      </c>
      <c r="RP71" s="21" t="str">
        <f t="shared" si="426"/>
        <v/>
      </c>
      <c r="RQ71" s="21" t="str">
        <f t="shared" si="427"/>
        <v/>
      </c>
      <c r="RR71" s="21" t="str">
        <f t="shared" si="428"/>
        <v/>
      </c>
      <c r="RS71" s="21" t="str">
        <f t="shared" si="429"/>
        <v/>
      </c>
      <c r="RT71" s="21" t="str">
        <f t="shared" si="430"/>
        <v/>
      </c>
      <c r="RU71" s="21" t="str">
        <f t="shared" si="431"/>
        <v/>
      </c>
      <c r="RV71" s="21">
        <f t="shared" si="432"/>
        <v>-1</v>
      </c>
      <c r="RW71" s="284">
        <f>IF(OR(Tabla1[[#This Row],[FUM FORMULA CONFIABLE]]="",Tabla1[[#This Row],[FUM FORMULA CONFIABLE]]="SD"),"",IF(Tabla1[[#This Row],[FUM FORMULA CONFIABLE]]="CORREGIDA",Tabla1[[#This Row],[FUM X ECO 1]],Tabla1[[#This Row],[FUM x AMENORREA]]))</f>
        <v>44876</v>
      </c>
      <c r="RX71" s="21">
        <f>IF(AND(Tabla1[[#This Row],[FUM X ECO 1]]="",Tabla1[[#This Row],[FUM x AMENORREA]]=""),"",IF(AND(Tabla1[[#This Row],[FUM X ECO 1]]="",Tabla1[[#This Row],[FUM x AMENORREA]]&lt;&gt;""),"X",SUM(Tabla1[[#This Row],[FUM X ECO 1]]-Tabla1[[#This Row],[FUM x AMENORREA]])))</f>
        <v>0</v>
      </c>
      <c r="RY71" s="21">
        <f t="shared" si="434"/>
        <v>0</v>
      </c>
    </row>
    <row r="72" spans="1:493" ht="45" customHeight="1" x14ac:dyDescent="0.25">
      <c r="A72" s="109"/>
      <c r="B72" s="43" t="s">
        <v>890</v>
      </c>
      <c r="C72" s="43" t="s">
        <v>845</v>
      </c>
      <c r="D72" s="124" t="s">
        <v>846</v>
      </c>
      <c r="E72" s="43" t="s">
        <v>979</v>
      </c>
      <c r="F72" s="43" t="s">
        <v>914</v>
      </c>
      <c r="G72" s="43" t="s">
        <v>1215</v>
      </c>
      <c r="H72" s="43"/>
      <c r="I72" s="109" t="s">
        <v>851</v>
      </c>
      <c r="J72" s="110">
        <v>1067461625</v>
      </c>
      <c r="K72" s="43" t="s">
        <v>852</v>
      </c>
      <c r="L72" s="175" t="s">
        <v>853</v>
      </c>
      <c r="M72" s="22">
        <v>31661</v>
      </c>
      <c r="N72" s="213">
        <f t="shared" ca="1" si="252"/>
        <v>37.180821917808217</v>
      </c>
      <c r="O72" s="22">
        <v>44918</v>
      </c>
      <c r="P72" s="214" t="str">
        <f>IF(AND(O72="",R72&gt;0),"ACUDE ESPONTANEAMENTE",IF(AND(AND(O72&gt;0,R72=""),OR(IN73&gt;0,IK72&lt;&gt;"")),"NA",IF(AND(O72&gt;0,IN73="",R72=""),"NO",IF(AND(O72&gt;0,R72&gt;0),"SI",""))))</f>
        <v>SI</v>
      </c>
      <c r="Q72" s="26" t="s">
        <v>855</v>
      </c>
      <c r="R72" s="22">
        <v>44918</v>
      </c>
      <c r="S72" s="21" t="s">
        <v>856</v>
      </c>
      <c r="T72" s="24" t="s">
        <v>690</v>
      </c>
      <c r="U72" s="21" t="s">
        <v>857</v>
      </c>
      <c r="V72" s="21" t="s">
        <v>858</v>
      </c>
      <c r="W72" s="21" t="s">
        <v>893</v>
      </c>
      <c r="X72" s="21" t="s">
        <v>893</v>
      </c>
      <c r="Y72" s="21" t="s">
        <v>859</v>
      </c>
      <c r="Z72" s="21" t="s">
        <v>1216</v>
      </c>
      <c r="AA72" s="21" t="s">
        <v>860</v>
      </c>
      <c r="AB72" s="27" t="s">
        <v>861</v>
      </c>
      <c r="AC72" s="26" t="s">
        <v>862</v>
      </c>
      <c r="AD72" s="38" t="s">
        <v>865</v>
      </c>
      <c r="AE72" s="26" t="s">
        <v>854</v>
      </c>
      <c r="AF72" s="26" t="s">
        <v>854</v>
      </c>
      <c r="AG72" s="23" t="s">
        <v>864</v>
      </c>
      <c r="AH72" s="23" t="s">
        <v>864</v>
      </c>
      <c r="AI72" s="24" t="s">
        <v>863</v>
      </c>
      <c r="AJ72" s="23" t="s">
        <v>864</v>
      </c>
      <c r="AK72" s="220" t="str">
        <f>IF(AND(AD72="",AE72="",AF72="",AG72="",AH72="",AI72="",AJ72=""),"",IF(OR(Tabla1[[#This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EVALUACIÓN",IF(AND(O72="",R72=""),"",IF(AND(OR(O72&gt;0,R72&gt;0),NG72&gt;=0,NG72&lt;2),"SIN RIESGO",IF(AND(OR(O72&gt;0,R72&gt;0),NG72&gt;=2),"CON RIESGO","ASD")))))</f>
        <v>COMPLETAR EVALUACIÓN</v>
      </c>
      <c r="AL72" s="23" t="s">
        <v>864</v>
      </c>
      <c r="AM72" s="26" t="s">
        <v>864</v>
      </c>
      <c r="AN72" s="26" t="s">
        <v>864</v>
      </c>
      <c r="AO72" s="26" t="s">
        <v>864</v>
      </c>
      <c r="AP72" s="26" t="s">
        <v>864</v>
      </c>
      <c r="AQ72" s="26" t="s">
        <v>864</v>
      </c>
      <c r="AR72" s="26" t="s">
        <v>864</v>
      </c>
      <c r="AS72" s="21">
        <v>4</v>
      </c>
      <c r="AT72" s="21">
        <v>4</v>
      </c>
      <c r="AU72" s="21">
        <v>0</v>
      </c>
      <c r="AV72" s="26" t="s">
        <v>864</v>
      </c>
      <c r="AW72" s="21">
        <v>0</v>
      </c>
      <c r="AX72" s="26" t="s">
        <v>864</v>
      </c>
      <c r="AY72" s="26" t="s">
        <v>864</v>
      </c>
      <c r="AZ72" s="26" t="s">
        <v>864</v>
      </c>
      <c r="BA72" s="26" t="s">
        <v>864</v>
      </c>
      <c r="BB72" s="26" t="s">
        <v>864</v>
      </c>
      <c r="BC72" s="26" t="s">
        <v>864</v>
      </c>
      <c r="BD72" s="26" t="s">
        <v>864</v>
      </c>
      <c r="BE72" s="26" t="s">
        <v>864</v>
      </c>
      <c r="BF72" s="26" t="s">
        <v>864</v>
      </c>
      <c r="BG72" s="26" t="s">
        <v>864</v>
      </c>
      <c r="BH72" s="26" t="s">
        <v>864</v>
      </c>
      <c r="BI72" s="26" t="s">
        <v>864</v>
      </c>
      <c r="BJ72" s="26"/>
      <c r="BK72" s="26"/>
      <c r="BL72" s="26" t="s">
        <v>864</v>
      </c>
      <c r="BM72" s="26" t="s">
        <v>864</v>
      </c>
      <c r="BN72" s="22"/>
      <c r="BO72" s="22">
        <v>44764</v>
      </c>
      <c r="BP72" s="21" t="s">
        <v>854</v>
      </c>
      <c r="BQ72" s="222">
        <f t="shared" si="254"/>
        <v>0</v>
      </c>
      <c r="BR72" s="223">
        <f t="shared" si="255"/>
        <v>44764</v>
      </c>
      <c r="BS72" s="224">
        <f t="shared" si="256"/>
        <v>22</v>
      </c>
      <c r="BT72" s="216" t="str">
        <f t="shared" si="257"/>
        <v>II TRIM</v>
      </c>
      <c r="BU72" s="214" t="str">
        <f t="shared" ca="1" si="258"/>
        <v/>
      </c>
      <c r="BV72" s="25" t="s">
        <v>988</v>
      </c>
      <c r="BW72" s="22">
        <v>44918</v>
      </c>
      <c r="BX72" s="28">
        <v>22</v>
      </c>
      <c r="BY72" s="28"/>
      <c r="BZ72" s="22"/>
      <c r="CA72" s="21"/>
      <c r="CB72" s="26" t="s">
        <v>864</v>
      </c>
      <c r="CC72" s="26" t="s">
        <v>864</v>
      </c>
      <c r="CD72" s="26" t="s">
        <v>865</v>
      </c>
      <c r="CE72" s="26" t="s">
        <v>864</v>
      </c>
      <c r="CF72" s="22" t="s">
        <v>1517</v>
      </c>
      <c r="CG72" s="21">
        <v>1.45</v>
      </c>
      <c r="CH72" s="21">
        <v>60</v>
      </c>
      <c r="CI72" s="214">
        <f t="shared" si="259"/>
        <v>28.53745541022592</v>
      </c>
      <c r="CJ72" s="225" t="e">
        <f>IF(AND(CI72&lt;10,CH72="SD"),"SIN DATO PESO PREGESTACION O I TRIM",IF(AND(OR(R72&gt;0,O72&gt;0),CI72="X"),"INGRESAR DATO DE PESO",IF(CI72="SD","INGRESAR DATO DE TALLA Y PESO",IF(AND(OR(Tabla1[[#This Row],[MOMENTO EN QUE SE REALIZA EL PESO AL INGRESO A CPN]]="PREGESTACIÓN",NZ72="Menor"),CI72&lt;18.5),"BAJO PESO",IF(AND(OR(Tabla1[[#This Row],[MOMENTO EN QUE SE REALIZA EL PESO AL INGRESO A CPN]]="PREGESTACIÓN",NZ72="Menor"),CI72&lt;25),"NORMAL",IF(AND(OR(Tabla1[[#This Row],[MOMENTO EN QUE SE REALIZA EL PESO AL INGRESO A CPN]]="PREGESTACIÓN",NZ72="Menor"),CI72&lt;30),"SOBREPESO",IF(AND(OR(Tabla1[[#This Row],[MOMENTO EN QUE SE REALIZA EL PESO AL INGRESO A CPN]]="PREGESTACIÓN",NZ72="Menor"),CI72&gt;=30,CI72&lt;50),"OBESIDAD",IF(AND(BS72&gt;0,Tabla1[[#This Row],[MOMENTO EN QUE SE REALIZA EL PESO AL INGRESO A CPN]]="GESTACIÓN"),HLOOKUP(NZ72,$OA$2:PH72,NY72),""))))))))</f>
        <v>#REF!</v>
      </c>
      <c r="CK72" s="212">
        <f t="shared" si="260"/>
        <v>45056</v>
      </c>
      <c r="CL72" s="21">
        <v>62.5</v>
      </c>
      <c r="CM72" s="214">
        <f t="shared" si="261"/>
        <v>29.726516052318669</v>
      </c>
      <c r="CN72" s="216">
        <f t="shared" si="262"/>
        <v>41</v>
      </c>
      <c r="CO72" s="216" t="e">
        <f>IF(PI72="","",IF(PI72&gt;0,HLOOKUP(PI72,$PJ$2:QQ72,NY72),""))</f>
        <v>#REF!</v>
      </c>
      <c r="CP72" s="21"/>
      <c r="CQ72" s="216" t="e">
        <f>IF(QR72="Menor","NO APLICA-MENOR 13 SEM",IF(AND(CC72="SI",CN72&gt;23),"NO APLICA- GEMELAR",IF(QR72="","",IF(QR72&gt;0,HLOOKUP(QR72,$QS$2:RU72,NY72),""))))</f>
        <v>#REF!</v>
      </c>
      <c r="CR72" s="21">
        <v>110</v>
      </c>
      <c r="CS72" s="21">
        <v>80</v>
      </c>
      <c r="CT72" s="217" t="str">
        <f>IF(R72="","",IF(AND(BS72&gt;1,BS72&lt;12,Tabla1[[#This Row],[T.A. SISTOLICA - ANTES DE SEMANA 12]]="",Tabla1[[#This Row],[T.A. DIASTOLICA - ANTES DE SEMANA 12]]=""),"REGISTRE DATO TA ANTES SEMANA 12",IF(AND(BS72&gt;11,BS72&lt;43,Tabla1[[#This Row],[T.A. SISTOLICA - ANTES DE SEMANA 12]]="",Tabla1[[#This Row],[T.A. DIASTOLICA - ANTES DE SEMANA 12]]=""),"NO APLICA REGISTRO TA-INGRESO TARDIO",IF(AND(OR(O72&gt;0,R72&gt;0),OR(CR72&gt;=140,CS72&gt;=90)),"DEFINIR ESTADIO HTA",IF(AND(OR(O72&gt;0,R72&gt;0),AND(CR72&gt;120,CR72&lt;=139)),"PRE HTA SEGUIMIENTO",IF(AND(OR(O72&gt;0,R72&gt;0),AND(CS72&gt;80,CS72&lt;=89)),"PRE HTA SEGUIMIENTO",IF(AND(OR(O72&gt;0,R72&gt;0),AND(CR72&gt;=80,CR72&lt;=120)),"APARENTEMENTE NORMAL",IF(AND(OR(O72&gt;0,R72&gt;0),AND(CS72&gt;=50,CS72&lt;=80)),"APARENTEMENTE NORMAL",IF(AND(OR(O72&gt;0,R72&gt;0),AND(CR72&gt;1,CR72&lt;=70),AND(CS72&gt;1,CS72&lt;=40)),"HIPOTENSIÓN","")))))))))</f>
        <v>APARENTEMENTE NORMAL</v>
      </c>
      <c r="CU72" s="21"/>
      <c r="CV72" s="21"/>
      <c r="CW72" s="217" t="str">
        <f ca="1">IF(R72="","",IF(AND(CN72&gt;19,CN72&lt;27,Tabla1[[#This Row],[T.A. SISTOLICA (Entre semana 20 y 26)]]="",Tabla1[[#This Row],[T.A. DIATOLICA (Entre semana 20 y 26)]]=""),"ACUDE A CONTROL SEM 20 A 26 REGISTRE TA AHORA",IF(AND(BS72&gt;1,BS72&lt;27,BU72&gt;19,Tabla1[[#This Row],[T.A. SISTOLICA (Entre semana 20 y 26)]]="",Tabla1[[#This Row],[T.A. DIATOLICA (Entre semana 20 y 26)]]=""),"COMPLETE REGISTRO TA CONTROL SEM 20 A26 ",IF(AND(BS72&gt;26,BS72&lt;43,Tabla1[[#This Row],[T.A. SISTOLICA (Entre semana 20 y 26)]]="",Tabla1[[#This Row],[T.A. DIATOLICA (Entre semana 20 y 26)]]=""),"NO APLICA REGISTRO TA-INGRESO TARDIO",IF(AND(OR(O72&gt;0,R72&gt;0),OR(CU72&gt;=140,CV72&gt;=90)),"ALTO RIESGO PREECLAMPSIA,DEFINIR ESTADIO HTA",IF(AND(OR(O72&gt;0,R72&gt;0),AND(CU72&gt;120,CU72&lt;=139)),"PRE HTA SEGUIMIENTO,RIESGO HIPERTENSION INDUCIDA POR EL EMBARAZO",IF(AND(OR(O72&gt;0,R72&gt;0),AND(CV72&gt;80,CV72&lt;=89)),"PRE HTA SEGUIMIENTO, RIESGO HIPERTENSION INDUCIDA POR EL EMBARAZO",IF(AND(OR(O72&lt;&gt;"",R72&lt;&gt;""),CS72&lt;&gt;"",CV72&lt;&gt;"",CS72&lt;=CV72),"VIGILAR CIFRAS PRESION ARTERIAL",IF(AND(OR(O72&gt;0,R72&gt;0),AND(CU72&gt;120,CU72&lt;=139)),"PRE HTA SEGUIMIENTO",IF(AND(OR(O72&gt;0,R72&gt;0),AND(CU72&gt;1,CU72&lt;=70),AND(CV72&gt;1,CV72&lt;=40)),"HIPOTENSIÓN",IF(AND(OR(O72&lt;&gt;"",R72&lt;&gt;""),CS72&lt;&gt;"",CV72&lt;&gt;"",CS72&gt;CV72),"APARENTEMENTE NORMAL",IF(AND(OR(O72&gt;0,R72&gt;0),AND(CU72&gt;=80,CU72&lt;=120)),"APARENTEMENTE NORMAL",IF(AND(OR(O72&gt;0,R72&gt;0),AND(CV72&gt;=50,CV72&lt;=80)),"APARENTEMENTE NORMAL","")))))))))))))</f>
        <v xml:space="preserve">COMPLETE REGISTRO TA CONTROL SEM 20 A26 </v>
      </c>
      <c r="CX72" s="21"/>
      <c r="CY72" s="21"/>
      <c r="CZ72" s="216" t="str">
        <f t="shared" si="263"/>
        <v/>
      </c>
      <c r="DA72" s="21">
        <v>110</v>
      </c>
      <c r="DB72" s="21">
        <v>85</v>
      </c>
      <c r="DC72" s="217" t="str">
        <f t="shared" si="264"/>
        <v>PRE HTA,RIESGO ALTO PREECLAMPSIA</v>
      </c>
      <c r="DD72" s="22">
        <v>44918</v>
      </c>
      <c r="DE72" s="22">
        <v>44918</v>
      </c>
      <c r="DF72" s="22">
        <v>45056</v>
      </c>
      <c r="DG72" s="22"/>
      <c r="DH72" s="22"/>
      <c r="DI72" s="22"/>
      <c r="DJ72" s="22"/>
      <c r="DK72" s="22"/>
      <c r="DL72" s="22"/>
      <c r="DM72" s="22"/>
      <c r="DN72" s="22"/>
      <c r="DO72" s="22"/>
      <c r="DP72" s="22"/>
      <c r="DQ72" s="22"/>
      <c r="DR72" s="28">
        <v>1</v>
      </c>
      <c r="DS72" s="22"/>
      <c r="DT72" s="22"/>
      <c r="DU72" s="216" t="str">
        <f ca="1">IF(AND(BT72="ERROR FUM O INGRESO",DS72&gt;0),"ERROR FUM O INGRESO",IF(AND(DS72="",R72="",O72=""),"",IF(OR(AND(DS72&lt;&gt;"",DS72&lt;RW72),AND(DS72&lt;&gt;"",AND(SUM((DS72-RW72)/7)&gt;0,SUM((DS72-RW72)/7)&lt;28))),"PLAN REALIZADO ANTES III TRIM", IF(AND(DS72="",OR(O72&gt;0,R72&gt;0),AND(BU72&gt;=28, BU72&lt;35,DV72="ACTIVA INGRESO A CPN")),"PLANEAR PLAN DE PARTO", IF(AND(DS72="",OR(O72&gt;0,R72&gt;0),BU72&gt;=35,DV72="ACTIVA INGRESO A CPN"),"CONCERTAR PLAN DE PARTO INMEDIATO", IF(AND(DS72="",OR(O72&gt;0,R72&gt;0),AND(BU72&gt;0, BU72&lt;28),OR(DV72="ACTIVA INGRESO A CPN", DV72=" ACTIVA SIN INGRESO CPN")),"EN ESPERA", IF(AND(DS72="",OR(O72&gt;0,R72&gt;0),AND(IP73&gt;0, IP73&lt;28)),"NO APLICA SALE PROGRAMA ANTES III TRIM", IF(AND(DS72="",OR(O72&gt;0,R72&gt;0),AND(IP73&gt;=28, IP73&lt;35)),"SALE PROGRAMA ANTES SEMANA 35", IF(AND(DS72="",OR(O72&gt;0,R72&gt;0),IP73&gt;35),"SALE SIN PLAN DE PARTO",IF(DS72&gt;0,SUM(DS72-BO72)/7,""))))))))))</f>
        <v>SALE PROGRAMA ANTES SEMANA 35</v>
      </c>
      <c r="DV72" s="226" t="str">
        <f>IF(AND(R72&lt;&gt;"",IK72="CAMBIO DE RESIDENCIA",IK72="CAMBIO DE IPS",IK72="CAMBIO DE EPS"),"SEGUIMIENTO REPORTE EPS",IF(IK72="IVE","IVE",IF(AND(R72&lt;&gt;"",OR(IK72&lt;&gt;"",IN73&lt;&gt;"")),"SALIO PROGRAMA",IF(AND(AND(R72="",O72&gt;0),OR(IK72&lt;&gt;"",IN73&lt;&gt;"")),"SALE SIN INGRESO CPN",IF(AND(R72="",O72&gt;0,IK72="",IN73=""),"ACTIVA SIN INGRESO CPN",IF(AND(R72&lt;&gt;"",OR(IK72="",IN73="")),"ACTIVA INGRESO A CPN",""))))))</f>
        <v>SALIO PROGRAMA</v>
      </c>
      <c r="DW72"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72" s="216" t="str">
        <f t="shared" ca="1" si="266"/>
        <v/>
      </c>
      <c r="DY72" s="212">
        <f>IF(R72="","",IF(R72&gt;0,MAX(Tabla1[[#This Row],[FECHA C2]:[FECHA C13]],Tabla1[[#This Row],[FECHA CONSULTA PRIMERA VEZ PROGRAMA CPN ]])))</f>
        <v>45056</v>
      </c>
      <c r="DZ72" s="216">
        <f t="shared" si="267"/>
        <v>41</v>
      </c>
      <c r="EA72" s="222">
        <f>IF(R72&gt;0,SUM(COUNTA(DF72:DQ72)+COUNTA(Tabla1[[#This Row],[FECHA CONSULTA PRIMERA VEZ PROGRAMA CPN ]])),"")</f>
        <v>2</v>
      </c>
      <c r="EB72" s="222" t="str">
        <f t="shared" si="268"/>
        <v>NO</v>
      </c>
      <c r="EC72" s="214">
        <f t="shared" si="269"/>
        <v>6</v>
      </c>
      <c r="ED72" s="227">
        <f t="shared" si="270"/>
        <v>0.33333333333333331</v>
      </c>
      <c r="EE72" s="22">
        <v>44918</v>
      </c>
      <c r="EF72" s="22">
        <v>44918</v>
      </c>
      <c r="EG72" s="22">
        <v>44918</v>
      </c>
      <c r="EH72" s="22"/>
      <c r="EI72" s="22">
        <v>44918</v>
      </c>
      <c r="EJ72" s="22"/>
      <c r="EK72" s="22"/>
      <c r="EL72" s="21"/>
      <c r="EM72" s="21">
        <v>14</v>
      </c>
      <c r="EN72" s="22">
        <v>44918</v>
      </c>
      <c r="EO72" s="222">
        <f t="shared" si="271"/>
        <v>22</v>
      </c>
      <c r="EP72" s="214" t="str">
        <f t="shared" si="272"/>
        <v>NORMAL- SUMINISTRAR SULFATO FERROSO</v>
      </c>
      <c r="EQ72" s="216" t="str">
        <f t="shared" si="273"/>
        <v>II TRIM</v>
      </c>
      <c r="ER72" s="24"/>
      <c r="ES72" s="22"/>
      <c r="ET72" s="29" t="str">
        <f ca="1">IF(AND(BT72="ERROR FUM O INGRESO",ES72&gt;0),"ERROR FUM O INGRESO",IF(AND(ES72="",R72="",O72=""),"",IF(OR(AND(ES72&lt;&gt;"",ES72&lt;RW72),AND(ES72&lt;&gt;"",SUM((ES72-RW72)/7)&gt;40)),"CORREGIR FECHA RESULTADO",IF(AND(BU72&gt;1,BU72&lt;23,ER72="",ES72=""),"EN ESPERA PARA TOMA EXAMEN",IF(AND(BU72&gt;22,BU72&lt;26,ER72="",ES72=""),"PROGRAMAR TOMA HEMOGLOBINA A SEM 28",IF(AND(BU72&gt;25,BU72&lt;28,ER72="",ES72=""),"TOMA HEMOGLOBINA A SEM 28 EN 1 SEMANA",IF(AND(BU72&gt;27,BU72&lt;31,ES72="",OR(O72&gt;0,R72&gt;0)),"EN SEMANA 28 TOMA INMEDIATA DE EXAMEN",IF(AND(IP73&gt;0,IP73&lt;28,ES72="",OR(O72&gt;0,R72&gt;0)),"NO APLICA-SALE ANTES SEM 28",IF(AND(IP73&gt;28,IP73&lt;43,ES72="",OR(O72&gt;0,R72&gt;0)),"SALE SIN TAMIZAJE HEMOGLOBINA SEM 28",IF(AND(BS72&gt;0,ES72="",OR(O72&gt;0,R72&gt;0)),"TOMA DE HEMOGLOBINA TARDÍA",IF(ES72&gt;0,SUM(ES72-RW72)/7,"")))))))))))</f>
        <v>SALE SIN TAMIZAJE HEMOGLOBINA SEM 28</v>
      </c>
      <c r="EU72" s="25" t="str">
        <f t="shared" si="275"/>
        <v/>
      </c>
      <c r="EV72" s="24" t="s">
        <v>1510</v>
      </c>
      <c r="EW72" s="32">
        <v>44918</v>
      </c>
      <c r="EX72" s="22"/>
      <c r="EY72" s="29">
        <f t="shared" si="248"/>
        <v>22</v>
      </c>
      <c r="EZ72" s="25" t="str">
        <f t="shared" si="249"/>
        <v>SIN RIESGO DE ISOINMUNIZACIÓN</v>
      </c>
      <c r="FA72" s="21">
        <v>105</v>
      </c>
      <c r="FB72" s="22">
        <v>44918</v>
      </c>
      <c r="FC72" s="29">
        <f t="shared" si="276"/>
        <v>22</v>
      </c>
      <c r="FD72" s="29"/>
      <c r="FE72" s="29"/>
      <c r="FF72" s="29"/>
      <c r="FG72" s="21" t="str">
        <f t="shared" ca="1" si="277"/>
        <v/>
      </c>
      <c r="FH72" s="31"/>
      <c r="FI72" s="29" t="str">
        <f t="shared" si="278"/>
        <v>TOMAR EXAMEN</v>
      </c>
      <c r="FJ72" s="22"/>
      <c r="FK72" s="22"/>
      <c r="FL72" s="29" t="str">
        <f t="shared" ca="1" si="279"/>
        <v>NO APLICA-INGRESO TARDIO</v>
      </c>
      <c r="FM72" s="22" t="s">
        <v>867</v>
      </c>
      <c r="FN72" s="32">
        <v>44918</v>
      </c>
      <c r="FO72" s="29">
        <f ca="1">IF(AND(BT72="ERROR FUM O INGRESO",FN72&gt;0),"ERROR FUM O INGRESO",IF(AND(FN72="",R72="",O72=""),"",IF(AND(FN72&lt;&gt;"",FN72&lt;RW72), "INCOHERENCIA FUM Y FECHA TAMIZAJE",IF(AND(FN72="",DV72="ACTIVA INGRESO A CPN",AND(BU72&gt;0,BU72&lt;13)),"EN ESPERA-ESTÁ I TRIM", IF(AND(FN72="",AND(BS72&gt;0, BS72&lt;13),OR(O72&gt;0,R72&gt;0),AND(IP73&gt;0,IP73&lt;13)),"NO APLICA-SALIO DEL PROGRAMA I TRIM",IF(AND(FN72&lt;&gt;"",AND(SUM((FN72-RW72)/7)&gt;0,SUM((FN72-RW72)/7)&lt;13)),"REGISTRAR EN I TRIMESTRE",IF(AND(FN72&lt;&gt;"",AND(SUM((FN72-RW72)/7)&gt;=27,SUM((FN72-RW72)/7)&lt;44)),"REGISTRAR EN III TRIMESTRE",IF(AND(FN72="",OR(O72&gt;0,R72&gt;0),AND(BU72&gt;=13,BU72&lt;24),DV72="ACTIVA INGRESO A CPN"),"EN RANGO PARA TOMAR EXAMEN",IF(AND(FN72="",OR(O72&gt;0,R72&gt;0),AND(BU72&gt;=25,BU72&lt;27),DV72="ACTIVA INGRESO A CPN"),"TOMA INMEDIATA DE TAMIZAJE",IF(AND(FN72="",OR(O72&gt;0,R72&gt;0),AND(BS72&gt;=27,BS72&lt;44)),"NO APLICA-INGRESO TARDIO",IF(AND(FN72="",BS72&lt;27,OR(AND(IP73&gt;12,IP73&lt;44),BU72&gt;12)),"PIERDE TOMA DE TAMIZAJE",IF(FN72&gt;0,SUM(FN72-RW72)/7,""))))))))))))</f>
        <v>22</v>
      </c>
      <c r="FP72" s="22"/>
      <c r="FQ72" s="32"/>
      <c r="FR72" s="29" t="str">
        <f ca="1">IF(AND(BT72="ERROR FUM O INGRESO",FQ72&gt;0),"ERROR FUM O INGRESO",IF(AND(FQ72="",R72="",O72=""),"",IF(AND(FQ72&lt;&gt;"",FQ72&lt;RW72), "INCOHERENCIA FUM Y FECHA TAMIZAJE",IF(AND(FQ72="",DV72="ACTIVA INGRESO A CPN",AND(BU72&gt;0,BU72&lt;27)),"EN ESPERA-ESTÁ I TRIM O II TRIM", IF(AND(FQ72="",AND(BS72&gt;0, BS72&lt;27),OR(O72&gt;0,R72&gt;0),AND(IP73&gt;0,IP73&lt;27)),"NO APLICA-SALIO DEL PROGRAMA I O II TRIM",IF(AND(FQ72&lt;&gt;"",AND(SUM((FQ72-RW72)/7)&gt;0,SUM((FQ72-RW72)/7)&lt;13)),"REGISTAR EN I TRIMESTRE",IF(AND(FQ72&lt;&gt;"",AND(SUM((FQ72-RW72)/7)&gt;=13,SUM((FQ72-RW72)/7)&lt;27)),"REGISTRAR EN II TRIMESTRE",IF(AND(FQ72="",OR(O72&gt;0,R72&gt;0),AND(BU72&gt;=28,BU72&lt;35),DV72="ACTIVA INGRESO A CPN"),"EN RANGO PARA TOMAR EXAMEN",IF(AND(FQ72="",OR(O72&gt;0,R72&gt;0),BU72&gt;=35, DV72="ACTIVA INGRESO A CPN"),"TOMA INMEDIATA DE TAMIZAJE",IF(AND(FQ72="",DV72= "SALE SIN INGRESO CPN"),"NO APLICA-SIN CPN",IF(AND(FQ72="",AND(IP73&gt;26,IP73&lt;43)),"PIERDE TOMA DE TAMIZAJE",IF(FQ72&gt;0,SUM(FQ72-RW72)/7,""))))))))))))</f>
        <v>PIERDE TOMA DE TAMIZAJE</v>
      </c>
      <c r="FS72" s="22"/>
      <c r="FT72" s="32"/>
      <c r="FU72" s="29" t="str">
        <f>IF(AND(FJ72="",FM72="",FP72="",FS72=""),"",IF(OR(OR(Tabla1[[#This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72" s="28"/>
      <c r="FW72" s="22"/>
      <c r="FX72" s="29" t="str">
        <f t="shared" si="280"/>
        <v>TOMAR EXAMEN</v>
      </c>
      <c r="FY72" s="22">
        <v>44918</v>
      </c>
      <c r="FZ72" s="22">
        <v>44918</v>
      </c>
      <c r="GA72" s="29" t="str">
        <f t="shared" si="250"/>
        <v>REGISTRAR EN II TRIMESTRE</v>
      </c>
      <c r="GB72" s="22" t="s">
        <v>868</v>
      </c>
      <c r="GC72" s="22">
        <v>44918</v>
      </c>
      <c r="GD72" s="29">
        <f ca="1">IF(AND(BT72="ERROR FUM O INGRESO",GC72&gt;0),"ERROR FUM O INGRESO",IF(AND(GC72="",R72="",O72=""),"",IF(AND(GC72&lt;&gt;"",GC72&lt;RW72), "INCOHERENCIA FUM Y FECHA TAMIZAJE",IF(AND(GC72="",DV72="ACTIVA INGRESO A CPN",AND(BU72&gt;0,BU72&lt;13)),"EN ESPERA-ESTÁ I TRIM", IF(AND(GC72="",AND(BS72&gt;0, BS72&lt;12),OR(O72&gt;0,R72&gt;0),AND(IP73&gt;0,IP73&lt;13)),"NO APLICA-SALIO DEL PROGRAMA I TRIM",IF(AND(GC72&lt;&gt;"",AND(SUM((GC72-RW72)/7)&gt;0,SUM((GC72-RW72)/7)&lt;13)),"REGISTRAR EN I TRIMESTRE",IF(AND(GC72&lt;&gt;"",AND(SUM((GC72-RW72)/7)&gt;=27,SUM((GC72-RW72)/7)&lt;44)),"REGISTRAR EN III TRIMESTRE",IF(AND(GC72="",OR(O72&gt;0,R72&gt;0),AND(BU72&gt;=12,BU72&lt;25),DV72="ACTIVA INGRESO A CPN"),"EN RANGO PARA TOMAR EXAMEN",IF(AND(GC72="",OR(O72&gt;0,R72&gt;0),AND(BU72&gt;=25,BU72&lt;27),DV72="ACTIVA INGRESO A CPN"),"TOMA INMEDIATA DE TAMIZAJE",IF(AND(GC72="",OR(O72&gt;0,R72&gt;0),AND(BS72&gt;=27,BS72&lt;43)),"NO APLICA-INGRESO TARDIO",IF(AND(GC72="",BS72&lt;27),"PIERDE TOMA DE TAMIZAJE",IF(GC72&gt;0,SUM(GC72-RW72)/7,""))))))))))))</f>
        <v>22</v>
      </c>
      <c r="GE72" s="22"/>
      <c r="GF72" s="22"/>
      <c r="GG72" s="29" t="str">
        <f ca="1">IF(AND(BT72="ERROR FUM O INGRESO",GF72&gt;0),"ERROR FUM O INGRESO",IF(AND(GF72="",R72="",O72=""),"",IF(AND(GF72&lt;&gt;"",GF72&lt;RW72), "INCOHERENCIA FUM Y FECHA TAMIZAJE",IF(AND(GF72="",DV72="ACTIVA INGRESO A CPN",AND(BU72&gt;0,BU72&lt;27)),"EN ESPERA-ESTÁ I TRIM O II TRIM", IF(AND(GF72="",AND(BS72&gt;0, BS72&lt;28),OR(O72&gt;0,R72&gt;0),AND(IP73&gt;0,IP73&lt;28)),"NO APLICA-SALIO DEL PROGRAMA I O II TRIM",IF(AND(GF72&lt;&gt;"",AND(SUM((GF72-RW72)/7)&gt;0,SUM((GF72-RW72)/7)&lt;13)),"REGISTAR EN I TRIMESTRE",IF(AND(GF72&lt;&gt;"",AND(SUM((GF72-RW72)/7)&gt;=13,SUM((GF72-RW72)/7)&lt;27)),"REGISTRAR EN II TRIMESTRE",IF(AND(GF72="",OR(O72&gt;0,R72&gt;0),AND(BU72&gt;=28,BU72&lt;35),DV72="ACTIVA INGRESO A CPN"),"EN RANGO PARA TOMAR EXAMEN",IF(AND(GF72="",OR(O72&gt;0,R72&gt;0),BU72&gt;=35, DV72="ACTIVA INGRESO A CPN"),"TOMA INMEDIATA DE TAMIZAJE",IF(AND(GF72="",DV72= "SALE SIN INGRESO CPN"),"NO APLICA-SIN CPN",IF(AND(GF72="",BS72&lt;44),"PIERDE TOMA DE TAMIZAJE",IF(GF72&gt;0,SUM(GF72-RW72)/7,""))))))))))))</f>
        <v>PIERDE TOMA DE TAMIZAJE</v>
      </c>
      <c r="GH72" s="22"/>
      <c r="GI72" s="29"/>
      <c r="GJ72" s="22"/>
      <c r="GK72" s="22"/>
      <c r="GL72" s="22"/>
      <c r="GM72" s="22"/>
      <c r="GN72" s="28" t="s">
        <v>869</v>
      </c>
      <c r="GO72" s="22">
        <v>44918</v>
      </c>
      <c r="GP72" s="29">
        <f t="shared" si="283"/>
        <v>22</v>
      </c>
      <c r="GQ72" s="28" t="s">
        <v>869</v>
      </c>
      <c r="GR72" s="28" t="s">
        <v>869</v>
      </c>
      <c r="GS72" s="22" t="str">
        <f t="shared" si="284"/>
        <v>CONTROL Igm</v>
      </c>
      <c r="GT72" s="22">
        <v>44918</v>
      </c>
      <c r="GU72" s="29">
        <f t="shared" si="285"/>
        <v>22</v>
      </c>
      <c r="GV72" s="21" t="str">
        <f t="shared" si="286"/>
        <v>II TRIM</v>
      </c>
      <c r="GW72" s="28" t="s">
        <v>869</v>
      </c>
      <c r="GX72" s="30"/>
      <c r="GY72" s="21"/>
      <c r="GZ72" s="21"/>
      <c r="HA72" s="21"/>
      <c r="HB72" s="21"/>
      <c r="HC72" s="21"/>
      <c r="HD72" s="21"/>
      <c r="HE72" s="21"/>
      <c r="HF72" s="22"/>
      <c r="HG72" s="22" t="str">
        <f>IF(OR(O72&gt;0,R72&gt;0),CONCATENATE(IF(Tabla1[[#This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72" s="22" t="e">
        <f t="shared" si="287"/>
        <v>#REF!</v>
      </c>
      <c r="HI72" s="22" t="e">
        <f t="shared" ca="1" si="288"/>
        <v>#REF!</v>
      </c>
      <c r="HJ72" s="21" t="str">
        <f t="shared" ca="1" si="289"/>
        <v>************************RIESGO POR EDAD***************</v>
      </c>
      <c r="HK72" s="21" t="str">
        <f t="shared" si="290"/>
        <v>SIN ANTECEDENTES DE RIESGO</v>
      </c>
      <c r="HL72" s="24" t="str">
        <f t="shared" si="291"/>
        <v>PRE HTA,RIESGO ALTO PREECLAMPSIA</v>
      </c>
      <c r="HM72" s="21" t="str">
        <f t="shared" ca="1" si="292"/>
        <v/>
      </c>
      <c r="HN72" s="30" t="str">
        <f>IF(AND(R72&lt;&gt;"",IK72="CAMBIO DE RESIDENCIA"),"SEGUIMIENTO REPORTE EPS",IF(AND(R72&lt;&gt;"",OR(IK72&lt;&gt;"",IN73&lt;&gt;"")),"SALIO PROGRAMA",IF(AND(AND(R72="",O72&gt;0),OR(IK72&lt;&gt;"",IN73&lt;&gt;"")),"SALE SIN INGRESO CPN",IF(AND(R72="",O72&gt;0,IK72="",IN73=""),"ACTIVA SIN INGRESO CPN",IF(AND(R72&lt;&gt;"",OR(IK72="",IN73="")),"ACTIVA INGRESO A CPN","")))))</f>
        <v>SALIO PROGRAMA</v>
      </c>
      <c r="HO72" s="21"/>
      <c r="HP72" s="21"/>
      <c r="HQ72" s="21">
        <v>44918</v>
      </c>
      <c r="HR72" s="21" t="str">
        <f>IF(R72="","",IF(Tabla1[[#This Row],[ALARMA FACTORES DE RIESGO COMPLICACIONES HIPERTENSIVAS3]]="SIN ANTECEDENTES DE RIESGO","No Aplica para suministro de ASA",IF(AND(Tabla1[[#This Row],[FECHA INICIO DE SUMINISTRO DE ASA]]&gt;0,RV72&lt;12),"Inicia ASA ANTES de Sem 12",IF(AND(RV72&gt;11,RV72&lt;17,OR(HK72="RIESGO ALTO DE COMPLICACIONES HIPERTENSIVAS VER MANEJO GUIA SUMINISTRO ASA Y CALCIO",HK72="RIESGO MODERADO (2 O MAS CRITERIOS) VER MANEJO GUIA SUMINISTRO ASA Y CALCIO")),"Inicio oportuno de ASA",IF(AND(RV72&gt;12,OR(HK72="RIESGO ALTO DE COMPLICACIONES HIPERTENSIVAS VER MANEJO GUIA SUMINISTRO ASA Y CALCIO",HK72="RIESGO MODERADO (2 O MAS CRITERIOS) VER MANEJO GUIA SUMINISTRO ASA Y CALCIO")),"Inicio no oportuno mayor a 16 semanas",IF(AND(BU72&lt;12,OR(HK72="RIESGO ALTO DE COMPLICACIONES HIPERTENSIVAS VER MANEJO GUIA SUMINISTRO ASA Y CALCIO",HK72="RIESGO MODERADO (2 O MAS CRITERIOS) VER MANEJO GUIA SUMINISTRO ASA Y CALCIO")),"Pendiente Inicio de ASA a la semana 12",IF(AND(BU72&gt;11,BU72&lt;17,OR(HK72="RIESGO ALTO DE COMPLICACIONES HIPERTENSIVAS VER MANEJO GUIA SUMINISTRO ASA Y CALCIO",HK72="RIESGO MODERADO (2 O MAS CRITERIOS) VER MANEJO GUIA SUMINISTRO ASA Y CALCIO")),"Iniciar de inmediato ASA",IF(AND(BU72&gt;16,OR(HK72="RIESGO ALTO DE COMPLICACIONES HIPERTENSIVAS VER MANEJO GUIA SUMINISTRO ASA Y CALCIO",HK72="RIESGO MODERADO (2 O MAS CRITERIOS) VER MANEJO GUIA SUMINISTRO ASA Y CALCIO")),"Pierde Oportunidad, Inicio tardío de ASA","XXXXX"))))))))</f>
        <v>No Aplica para suministro de ASA</v>
      </c>
      <c r="HS72" s="22">
        <v>44918</v>
      </c>
      <c r="HT72" s="22" t="s">
        <v>1532</v>
      </c>
      <c r="HU72" s="22"/>
      <c r="HV72" s="22"/>
      <c r="HW72" s="22">
        <v>44918</v>
      </c>
      <c r="HX72" s="22" t="s">
        <v>870</v>
      </c>
      <c r="HY72" s="22"/>
      <c r="HZ72" s="28" t="str">
        <f t="shared" si="293"/>
        <v>PENDIENTE CONSULTA</v>
      </c>
      <c r="IA72" s="26" t="s">
        <v>864</v>
      </c>
      <c r="IB72" s="26"/>
      <c r="IC72" s="111"/>
      <c r="ID72" s="22"/>
      <c r="IE72" s="22" t="str">
        <f t="shared" ca="1" si="294"/>
        <v>SALE SIN VACUNA</v>
      </c>
      <c r="IF72" s="22"/>
      <c r="IG72" s="22">
        <f t="shared" si="295"/>
        <v>45044</v>
      </c>
      <c r="IH72" s="29">
        <f t="shared" ca="1" si="296"/>
        <v>-188</v>
      </c>
      <c r="II72" s="22" t="str">
        <f t="shared" ca="1" si="297"/>
        <v>POSIBLEMENTE NACIO</v>
      </c>
      <c r="IJ72" s="22"/>
      <c r="IK72" s="21" t="s">
        <v>898</v>
      </c>
      <c r="IL72" s="21"/>
      <c r="IM72" s="34"/>
      <c r="IN72" s="352">
        <v>45060</v>
      </c>
      <c r="IO72" s="21" t="s">
        <v>1640</v>
      </c>
      <c r="IP72" s="29">
        <f t="shared" si="298"/>
        <v>42.285714285714285</v>
      </c>
      <c r="IQ72" s="110"/>
      <c r="IR72" s="21" t="s">
        <v>879</v>
      </c>
      <c r="IS72" s="21" t="s">
        <v>1641</v>
      </c>
      <c r="IT72" s="21" t="s">
        <v>1642</v>
      </c>
      <c r="IU72" s="21"/>
      <c r="IV72" s="21"/>
      <c r="IW72" s="21"/>
      <c r="IX72" s="21"/>
      <c r="IY72" s="21"/>
      <c r="IZ72" s="21"/>
      <c r="JA72" s="21"/>
      <c r="JB72" s="30">
        <v>1</v>
      </c>
      <c r="JC72" s="21" t="s">
        <v>1643</v>
      </c>
      <c r="JD72" s="36">
        <v>3800</v>
      </c>
      <c r="JE72" s="21" t="str">
        <f t="shared" ref="JE72:JE77" si="435">IF(AND(JD72&gt;700,JD72&lt;2500,IP73&gt;36),"BAJO PESO AL NACER",IF(AND(JD72&gt;500,JD72&lt;2500,IP73&lt;37),"PREMATURO",IF(AND(JD72&gt;2499,JD72&lt;5000,IP73&lt;37),"ERROR VERIFICAR DATO EDAD GESTACIONAL VS PESO",IF(AND(JD72&gt;2499,JD72&lt;4000,IP73&gt;36),"PESO ADECUADO EDAD GESTACIONAL",IF(AND(JD72&gt;3999,JD72&lt;6000,IP73&gt;36),"PESO GRANDE EDAD GESTACIONAL","")))))</f>
        <v>ERROR VERIFICAR DATO EDAD GESTACIONAL VS PESO</v>
      </c>
      <c r="JF72" s="30"/>
      <c r="JG72" s="21"/>
      <c r="JH72" s="21"/>
      <c r="JI72" s="21"/>
      <c r="JJ72" s="30"/>
      <c r="JK72" s="22"/>
      <c r="JL72" s="22"/>
      <c r="JM72" s="21"/>
      <c r="JN72" s="36"/>
      <c r="JO72" s="21" t="str">
        <f>IF(AND(JN72&gt;700,JN72&lt;2500,IP73&gt;36,IP73&lt;43),"BAJO PESO AL NACER",IF(AND(JN72&gt;700,JN72&lt;2500,IP73&lt;37),"PREMATURO",IF(AND(JN72&gt;2499,JN72&lt;5000,IP73&lt;37),"ERROR VERIFICAR DATO EDAD GESTACIONAL VS PESO",IF(AND(JN72&gt;2499,JN72&lt;4000,IP73&gt;36,IP73&lt;43),"PESO ADECUADO EDAD GESTACIONAL",IF(AND(JN72&gt;3999,JN72&lt;6000,IP73&gt;36,IP73&lt;43),"PESO GRANDE EDAD GESTACIONAL","")))))</f>
        <v/>
      </c>
      <c r="JP72" s="22"/>
      <c r="JQ72" s="21"/>
      <c r="JR72" s="21"/>
      <c r="JS72" s="21"/>
      <c r="JT72" s="30"/>
      <c r="JU72" s="22"/>
      <c r="JV72" s="22"/>
      <c r="JW72" s="33"/>
      <c r="JX72" s="28" t="str">
        <f>IF(AND(JW72&lt;&gt;"",JW72&lt;IN73),"INCONSISTENCIA FECHA CONTROL",IF(AND(OR(IK72="Parto",IK72="Cesarea"),JW72&gt;0,IN73&gt;0),SUM(JW72-IN73),IF(AND(OR(IK72="Parto",IK72="Cesarea"),JW72="",IN73&gt;0),"INASISTENTE","")))</f>
        <v>INASISTENTE</v>
      </c>
      <c r="JY72" s="33"/>
      <c r="JZ72" s="28" t="str">
        <f>IF(AND(JY72&lt;&gt;"",JY72&lt;IN73),"INCONSISTENCIA FECHA CONTROL",IF(AND(OR(IK72="Parto",IK72="Cesarea",IK72="Aborto Espontaneo",IK72="Aborto Inducido",IK72="IVE"),JY72&gt;0,IN73&gt;0),SUM(JY72-IN73),IF(AND(JY72&lt;&gt;"",JY72&lt;IN73),"INCONSISTENCIA FECHA CONTROL",IF(AND(OR(IK72="Parto",IK72="Cesarea",IK72="Aborto Espontaneo",IK72="Aborto Inducido",IK72="IVE"),JY72="",IN73&gt;0),"INASISTENTE",""))))</f>
        <v>INASISTENTE</v>
      </c>
      <c r="KA72" s="21"/>
      <c r="KB72" s="21"/>
      <c r="KC72" s="21"/>
      <c r="KD72" s="37"/>
      <c r="KE72" s="28"/>
      <c r="KF72" s="28"/>
      <c r="KG72" s="28"/>
      <c r="KH72" s="39"/>
      <c r="KI72" s="39"/>
      <c r="KJ72" s="66"/>
      <c r="KK72" s="39"/>
      <c r="KL72" s="39"/>
      <c r="KM72" s="66"/>
      <c r="KN72" s="39"/>
      <c r="KO72" s="39"/>
      <c r="KP72" s="39"/>
      <c r="KQ72" s="39"/>
      <c r="KR72" s="39"/>
      <c r="KS72" s="39"/>
      <c r="KT72" s="39"/>
      <c r="KU72" s="38"/>
      <c r="KV72" s="38"/>
      <c r="KW72" s="38"/>
      <c r="KX72" s="38"/>
      <c r="KY72" s="38"/>
      <c r="KZ72" s="38"/>
      <c r="LA72" s="38"/>
      <c r="LB72" s="38"/>
      <c r="LC72" s="38"/>
      <c r="LD72" s="38"/>
      <c r="LE72" s="38"/>
      <c r="LF72" s="38"/>
      <c r="LG72" s="38"/>
      <c r="LH72" s="38"/>
      <c r="LI72" s="38"/>
      <c r="LJ72" s="38"/>
      <c r="LK72" s="38"/>
      <c r="LL72" s="38"/>
      <c r="LM72" s="38"/>
      <c r="LN72" s="38"/>
      <c r="LO72" s="38"/>
      <c r="LP72" s="38"/>
      <c r="LQ72" s="38"/>
      <c r="LR72" s="38"/>
      <c r="LS72" s="38"/>
      <c r="LT72" s="38"/>
      <c r="LU72" s="38"/>
      <c r="LV72" s="38"/>
      <c r="LW72" s="38"/>
      <c r="LX72" s="38"/>
      <c r="LY72" s="38"/>
      <c r="LZ72" s="38"/>
      <c r="MA72" s="38"/>
      <c r="MB72" s="38"/>
      <c r="MC72" s="38"/>
      <c r="MD72" s="38"/>
      <c r="ME72" s="38"/>
      <c r="MF72" s="38"/>
      <c r="MG72" s="38"/>
      <c r="MH72" s="43">
        <f t="shared" si="303"/>
        <v>0</v>
      </c>
      <c r="MI72" s="43" t="str">
        <f t="shared" si="304"/>
        <v/>
      </c>
      <c r="MJ72" s="43" t="str">
        <f t="shared" si="305"/>
        <v/>
      </c>
      <c r="MK72" s="43">
        <f t="shared" si="306"/>
        <v>0</v>
      </c>
      <c r="ML7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72" s="43">
        <f t="shared" si="307"/>
        <v>22</v>
      </c>
      <c r="MN72" s="43">
        <f t="shared" si="308"/>
        <v>12</v>
      </c>
      <c r="MO72" s="43">
        <f t="shared" si="309"/>
        <v>2022</v>
      </c>
      <c r="MP72" s="43" t="str">
        <f t="shared" si="310"/>
        <v>IV TRIMESTRE AÑO</v>
      </c>
      <c r="MQ72" s="43">
        <f t="shared" si="311"/>
        <v>35.772558037669732</v>
      </c>
      <c r="MR72" s="43">
        <f t="shared" si="312"/>
        <v>2</v>
      </c>
      <c r="MS72" s="43" t="str">
        <f t="shared" si="313"/>
        <v xml:space="preserve"> DE 35 A 39 AÑOS</v>
      </c>
      <c r="MT72" s="43">
        <f t="shared" si="314"/>
        <v>0</v>
      </c>
      <c r="MU72" s="43">
        <f t="shared" si="315"/>
        <v>0</v>
      </c>
      <c r="MV72" s="43">
        <f t="shared" si="316"/>
        <v>0</v>
      </c>
      <c r="MW72" s="43">
        <f t="shared" si="317"/>
        <v>0</v>
      </c>
      <c r="MX72" s="43" t="str">
        <f t="shared" si="318"/>
        <v/>
      </c>
      <c r="MY72" s="43" t="str">
        <f ca="1">IF(AND(AND(BU72&gt;40.9,BU72&lt;43),IN73=""),1,"")</f>
        <v/>
      </c>
      <c r="MZ72" s="43" t="str">
        <f t="shared" si="319"/>
        <v/>
      </c>
      <c r="NA72" s="43">
        <f t="shared" si="320"/>
        <v>0</v>
      </c>
      <c r="NB72" s="43" t="str">
        <f t="shared" si="321"/>
        <v/>
      </c>
      <c r="NC72" s="43" t="str">
        <f t="shared" si="322"/>
        <v/>
      </c>
      <c r="ND72" s="43">
        <f t="shared" ca="1" si="323"/>
        <v>2</v>
      </c>
      <c r="NE72" s="43">
        <f>IF(OR(O72&gt;0,R72&gt;0),SUM(COUNTIF(Tabla1[[#This Row],[AÑOS AL INICIO5 CPN]],"&gt;=40"),COUNTIF(AS72,"0"),COUNTIF(AR72,"SI"),COUNTIF(CC72,"SI"),COUNTIF(BQ72,"&gt;119"),COUNTIF(CI72,"&gt;=35")),"")</f>
        <v>0</v>
      </c>
      <c r="NF72" s="43" t="str">
        <f t="shared" si="324"/>
        <v/>
      </c>
      <c r="NG72" s="43">
        <f t="shared" si="325"/>
        <v>0</v>
      </c>
      <c r="NH72" s="43">
        <f t="shared" si="326"/>
        <v>154</v>
      </c>
      <c r="NI72"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CPN",P72="NO"),"Z",IF(AND(Tabla1[[#This Row],[CITA PROXIMO CONTROL]]="CITA MANUAL",Tabla1[[#This Row],[GESTANTES ACTUALES]]="ACTIVA INGRESO A CPN"),"W",IF(AND(Tabla1[[#This Row],[GESTANTES ACTUALES]]="SALIO PROGRAMA",IN73=""),"S",IF(AND(Tabla1[[#This Row],[CITA PROXIMO CONTROL]]&gt;0,IN73=""),(Tabla1[[#This Row],[CITA PROXIMO CONTROL]]-TODAY()),"SD"))))))))</f>
        <v>SD</v>
      </c>
      <c r="NJ72" s="43">
        <f>MONTH(Tabla1[[#This Row],[FECHA DE SALIDA  DEL PROGRAMA]])</f>
        <v>5</v>
      </c>
      <c r="NK72" s="43">
        <f>YEAR(Tabla1[[#This Row],[FECHA DE SALIDA  DEL PROGRAMA]])</f>
        <v>2023</v>
      </c>
      <c r="NL72" s="43" t="str">
        <f t="shared" si="327"/>
        <v>X</v>
      </c>
      <c r="NM72" s="43" t="str">
        <f t="shared" si="251"/>
        <v>NO</v>
      </c>
      <c r="NN72" s="43" t="str">
        <f ca="1">IF(AND(O72&gt;0,R72=""),"NO CPN",IF(AND(O72="",R72=""),"",IF(AND(R72&gt;0,Tabla1[[#This Row],[SEMANAS DE GESTACION ACTUALIZADAS]]&lt;=12),"NO APLICA",IF(AND(FH72&lt;&gt;"",FN72&lt;&gt;""),"SI","NO"))))</f>
        <v>NO</v>
      </c>
      <c r="NO72" s="43" t="str">
        <f ca="1">IF(AND(O72&gt;0,R72=""),"NO CPN",IF(AND(O72="",R72=""),"",IF(AND(R72&gt;0,Tabla1[[#This Row],[SEMANAS DE GESTACION ACTUALIZADAS]]&lt;=27),"NO APLICA",IF(AND(ES72&lt;&gt;"",FQ72&lt;&gt;"",GF72&lt;&gt;""),"SI","NO"))))</f>
        <v>NO</v>
      </c>
      <c r="NP72" s="204" t="str">
        <f t="shared" si="328"/>
        <v>II TRIM</v>
      </c>
      <c r="NQ72" s="21">
        <f>IF(AND(IP74&gt;0,IP74&lt;37),10,IF(OR(CD73="Transversa",CD73="Oblicua"),9,IF(CC73="SI",8,IF(AND(AT73=0,AW73=0,CC73="NO",CD73="Cefálica",IP74&gt;=37,IT74="INICIO ESPONTÁNEO"),1,IF(AND(AND(AT73=0,AW73=0,CC73="NO",CD73="Cefálica",IP74&gt;=37),OR(IT74="LE HACEN INDUCCIÓN",IT74="LE HACEN CESÁREA SIN INICIO TRABAJO DE PARTO")),2,IF(AND(AT73&gt;=1,AW73=0,CC73="NO",CD73="Cefálica",IP74&gt;=37,IT74="INICIO ESPONTÁNEO"),3,IF(AND(AND(AT73&gt;=1,AW73=0,CC73="NO",CD73="Cefálica",IP74&gt;=37),OR(IT74="LE HACEN INDUCCIÓN",IT74="LE HACEN CESÁREA SIN INICIO TRABAJO DE PARTO")),4,IF(AND(AND(AT73&gt;=1,AW73&gt;=1,CC73="NO",CD73="Cefálica",IP74&gt;=37),OR(IT74="LE HACEN INDUCCIÓN",IT74="LE HACEN CESÁREA SIN INICIO TRABAJO DE PARTO",IT74="INICIO ESPONTÁNEO")),5,IF(AND(AND(AT73=0,AW73=0,CC73="NO",CD73="Podálica",IP74&gt;=1),OR(IT74="LE HACEN INDUCCIÓN",IT74="LE HACEN CESÁREA SIN INICIO TRABAJO DE PARTO",IT74="INICIO ESPONTÁNEO")),6,IF(AND(AND(AT73&gt;=1,CC73="NO",CD73="Podálica",IP74&gt;=1),OR(IT74="LE HACEN INDUCCIÓN",IT74="LE HACEN CESÁREA SIN INICIO TRABAJO DE PARTO",IT74="INICIO ESPONTÁNEO"),OR(AW73=0,AW73&gt;=1)),7,""))))))))))</f>
        <v>10</v>
      </c>
      <c r="NR72" s="21">
        <f>IF(AND(O72="",R72=""),"",IF(AND(BS72&gt;0,BS72&lt;12,IP73&gt;28,IP73&lt;44),3, IF(OR(AND(BS72&gt;=12,BS72&lt;28,IP73&gt;=28,IP73&lt;44),AND(BS72&gt;0,BS72&lt;12,IP73&gt;=12,IP73&lt;29)),2,IF(OR(AND(BS72&gt;=28,BS72&lt;44),AND(BS72&gt;0,BS72&lt;12,IP73&gt;0,IP73&lt;12),AND(BS72&gt;=12,BS72&lt;28,IP73&gt;=12,IP73&lt;28)),1,IF(AND(BS72&gt;0,BS72&lt;12,BU72&gt;=28,BU72&lt;44,DV72="ACTIVA INGRESO A CPN"),3,IF(OR(AND(BS72&gt;0,BS72&lt;12,BU72&gt;=12,BU72&lt;28,DV72="ACTIVA INGRESO A CPN"),AND(BS72&gt;=12,BS72&lt;28,BU72&gt;=28,BU72&lt;44,DV72="ACTIVA INGRESO A CPN")),2,IF(OR(AND(BS72&gt;0,BS72&lt;12,BU72&gt;0,BU72&lt;12,DV72="ACTIVA INGRESO A CPN"),AND(BS72&gt;=12,BS72&lt;28,BU72&gt;=12,BU72&lt;28,DV72="ACTIVA INGRESO A CPN")),1,"REVISAR FUM O FECHA SALIDA PROGRAMA")))))))</f>
        <v>2</v>
      </c>
      <c r="NS72" s="205">
        <f t="shared" ca="1" si="329"/>
        <v>1</v>
      </c>
      <c r="NT72" s="21">
        <f t="shared" ca="1" si="330"/>
        <v>1</v>
      </c>
      <c r="NU72" s="21" t="str">
        <f t="shared" ca="1" si="331"/>
        <v>INCOMPLETO</v>
      </c>
      <c r="NV72" s="21" t="str">
        <f t="shared" ca="1" si="332"/>
        <v>INCOMPLETO</v>
      </c>
      <c r="NW72" s="206" t="str">
        <f>IF(AND(O72="",R72=""),"",IF(OR(AND(Tabla1[[#This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72" s="207" t="str">
        <f t="shared" ca="1" si="333"/>
        <v>SIN VACUNAR</v>
      </c>
      <c r="NY72" s="43">
        <f>ROW(Tabla1[[#This Row],['# DE TAMIZAJES SIFILIS TOMADOS ]])</f>
        <v>72</v>
      </c>
      <c r="NZ72" s="43">
        <f t="shared" si="334"/>
        <v>22</v>
      </c>
      <c r="OA72" s="43" t="str">
        <f t="shared" si="335"/>
        <v/>
      </c>
      <c r="OB72" s="43" t="str">
        <f t="shared" si="336"/>
        <v/>
      </c>
      <c r="OC72" s="43" t="str">
        <f t="shared" si="337"/>
        <v/>
      </c>
      <c r="OD72" s="43" t="str">
        <f t="shared" si="338"/>
        <v/>
      </c>
      <c r="OE72" s="43" t="str">
        <f t="shared" si="339"/>
        <v/>
      </c>
      <c r="OF72" s="43" t="str">
        <f t="shared" si="340"/>
        <v/>
      </c>
      <c r="OG72" s="43" t="str">
        <f t="shared" si="341"/>
        <v/>
      </c>
      <c r="OH72" s="43" t="str">
        <f t="shared" si="342"/>
        <v/>
      </c>
      <c r="OI72" s="43" t="str">
        <f t="shared" si="343"/>
        <v/>
      </c>
      <c r="OJ72" s="43" t="str">
        <f t="shared" si="344"/>
        <v/>
      </c>
      <c r="OK72" s="43" t="str">
        <f t="shared" si="345"/>
        <v/>
      </c>
      <c r="OL72" s="43" t="str">
        <f t="shared" si="346"/>
        <v/>
      </c>
      <c r="OM72" s="43" t="str">
        <f t="shared" si="347"/>
        <v/>
      </c>
      <c r="ON72" s="43" t="str">
        <f t="shared" si="348"/>
        <v>SOBREPESO</v>
      </c>
      <c r="OO72" s="43" t="str">
        <f t="shared" si="349"/>
        <v/>
      </c>
      <c r="OP72" s="43" t="str">
        <f t="shared" si="350"/>
        <v/>
      </c>
      <c r="OQ72" s="43" t="str">
        <f t="shared" si="351"/>
        <v/>
      </c>
      <c r="OR72" s="43" t="str">
        <f t="shared" si="352"/>
        <v/>
      </c>
      <c r="OS72" s="43" t="str">
        <f t="shared" si="353"/>
        <v/>
      </c>
      <c r="OT72" s="43" t="str">
        <f t="shared" si="354"/>
        <v/>
      </c>
      <c r="OU72" s="43" t="str">
        <f t="shared" si="355"/>
        <v/>
      </c>
      <c r="OV72" s="110" t="str">
        <f t="shared" si="356"/>
        <v/>
      </c>
      <c r="OW72" s="43" t="str">
        <f t="shared" si="357"/>
        <v/>
      </c>
      <c r="OX72" s="43" t="str">
        <f t="shared" si="358"/>
        <v/>
      </c>
      <c r="OY72" s="43" t="str">
        <f t="shared" si="359"/>
        <v/>
      </c>
      <c r="OZ72" s="43" t="str">
        <f t="shared" si="360"/>
        <v/>
      </c>
      <c r="PA72" s="43" t="str">
        <f t="shared" si="361"/>
        <v/>
      </c>
      <c r="PB72" s="43" t="str">
        <f t="shared" si="362"/>
        <v/>
      </c>
      <c r="PC72" s="43" t="str">
        <f t="shared" si="363"/>
        <v/>
      </c>
      <c r="PD72" s="43" t="str">
        <f t="shared" si="364"/>
        <v/>
      </c>
      <c r="PE72" s="43" t="str">
        <f t="shared" si="365"/>
        <v/>
      </c>
      <c r="PF72" s="43" t="str">
        <f t="shared" si="366"/>
        <v/>
      </c>
      <c r="PG72" s="43" t="str">
        <f t="shared" si="367"/>
        <v/>
      </c>
      <c r="PH72" s="43" t="str">
        <f t="shared" si="368"/>
        <v/>
      </c>
      <c r="PI72" s="43">
        <f t="shared" si="369"/>
        <v>41</v>
      </c>
      <c r="PJ72" s="43" t="str">
        <f t="shared" si="370"/>
        <v/>
      </c>
      <c r="PK72" s="43" t="str">
        <f t="shared" si="371"/>
        <v/>
      </c>
      <c r="PL72" s="43" t="str">
        <f t="shared" si="372"/>
        <v/>
      </c>
      <c r="PM72" s="43" t="str">
        <f t="shared" si="373"/>
        <v/>
      </c>
      <c r="PN72" s="43" t="str">
        <f t="shared" si="374"/>
        <v/>
      </c>
      <c r="PO72" s="43" t="str">
        <f t="shared" si="375"/>
        <v/>
      </c>
      <c r="PP72" s="43" t="str">
        <f t="shared" si="376"/>
        <v/>
      </c>
      <c r="PQ72" s="43" t="str">
        <f t="shared" si="377"/>
        <v/>
      </c>
      <c r="PR72" s="43" t="str">
        <f t="shared" si="378"/>
        <v/>
      </c>
      <c r="PS72" s="43" t="str">
        <f t="shared" si="379"/>
        <v/>
      </c>
      <c r="PT72" s="43" t="str">
        <f t="shared" si="380"/>
        <v/>
      </c>
      <c r="PU72" s="43" t="str">
        <f t="shared" si="381"/>
        <v/>
      </c>
      <c r="PV72" s="43" t="str">
        <f t="shared" si="382"/>
        <v/>
      </c>
      <c r="PW72" s="43" t="str">
        <f t="shared" si="383"/>
        <v/>
      </c>
      <c r="PX72" s="43" t="str">
        <f t="shared" si="384"/>
        <v/>
      </c>
      <c r="PY72" s="43" t="str">
        <f t="shared" si="385"/>
        <v/>
      </c>
      <c r="PZ72" s="43" t="str">
        <f t="shared" si="386"/>
        <v/>
      </c>
      <c r="QA72" s="43" t="str">
        <f t="shared" si="387"/>
        <v/>
      </c>
      <c r="QB72" s="43" t="str">
        <f t="shared" si="388"/>
        <v/>
      </c>
      <c r="QC72" s="43" t="str">
        <f t="shared" si="389"/>
        <v/>
      </c>
      <c r="QD72" s="43" t="str">
        <f t="shared" si="390"/>
        <v/>
      </c>
      <c r="QE72" s="43" t="str">
        <f t="shared" si="391"/>
        <v/>
      </c>
      <c r="QF72" s="43" t="str">
        <f t="shared" si="392"/>
        <v/>
      </c>
      <c r="QG72" s="43" t="str">
        <f t="shared" si="393"/>
        <v/>
      </c>
      <c r="QH72" s="43" t="str">
        <f t="shared" si="394"/>
        <v/>
      </c>
      <c r="QI72" s="43" t="str">
        <f t="shared" si="395"/>
        <v/>
      </c>
      <c r="QJ72" s="43" t="str">
        <f t="shared" si="396"/>
        <v/>
      </c>
      <c r="QK72" s="43" t="str">
        <f t="shared" si="397"/>
        <v/>
      </c>
      <c r="QL72" s="43" t="str">
        <f t="shared" si="398"/>
        <v/>
      </c>
      <c r="QM72" s="43" t="str">
        <f t="shared" si="399"/>
        <v/>
      </c>
      <c r="QN72" s="43" t="str">
        <f t="shared" si="400"/>
        <v/>
      </c>
      <c r="QO72" s="43" t="str">
        <f t="shared" si="401"/>
        <v/>
      </c>
      <c r="QP72" s="43" t="str">
        <f t="shared" si="402"/>
        <v>SOBREPESO</v>
      </c>
      <c r="QQ72" s="43" t="str">
        <f t="shared" si="403"/>
        <v/>
      </c>
      <c r="QR72" s="43" t="str">
        <f t="shared" si="433"/>
        <v>Mayor</v>
      </c>
      <c r="QS72" s="43"/>
      <c r="QT72" s="21" t="str">
        <f t="shared" si="404"/>
        <v/>
      </c>
      <c r="QU72" s="21" t="str">
        <f t="shared" si="405"/>
        <v/>
      </c>
      <c r="QV72" s="21" t="str">
        <f t="shared" si="406"/>
        <v/>
      </c>
      <c r="QW72" s="21" t="str">
        <f t="shared" si="407"/>
        <v/>
      </c>
      <c r="QX72" s="21" t="str">
        <f t="shared" si="408"/>
        <v/>
      </c>
      <c r="QY72" s="21" t="str">
        <f t="shared" si="409"/>
        <v/>
      </c>
      <c r="QZ72" s="21" t="str">
        <f t="shared" si="410"/>
        <v/>
      </c>
      <c r="RA72" s="21" t="str">
        <f t="shared" si="411"/>
        <v/>
      </c>
      <c r="RB72" s="21" t="str">
        <f t="shared" si="412"/>
        <v/>
      </c>
      <c r="RC72" s="21" t="str">
        <f t="shared" si="413"/>
        <v/>
      </c>
      <c r="RD72" s="21" t="str">
        <f t="shared" si="414"/>
        <v/>
      </c>
      <c r="RE72" s="21" t="str">
        <f t="shared" si="415"/>
        <v/>
      </c>
      <c r="RF72" s="21" t="str">
        <f t="shared" si="416"/>
        <v/>
      </c>
      <c r="RG72" s="21" t="str">
        <f t="shared" si="417"/>
        <v/>
      </c>
      <c r="RH72" s="21" t="str">
        <f t="shared" si="418"/>
        <v/>
      </c>
      <c r="RI72" s="21" t="str">
        <f t="shared" si="419"/>
        <v/>
      </c>
      <c r="RJ72" s="21" t="str">
        <f t="shared" si="420"/>
        <v/>
      </c>
      <c r="RK72" s="21" t="str">
        <f t="shared" si="421"/>
        <v/>
      </c>
      <c r="RL72" s="21" t="str">
        <f t="shared" si="422"/>
        <v/>
      </c>
      <c r="RM72" s="21" t="str">
        <f t="shared" si="423"/>
        <v/>
      </c>
      <c r="RN72" s="21" t="str">
        <f t="shared" si="424"/>
        <v/>
      </c>
      <c r="RO72" s="21" t="str">
        <f t="shared" si="425"/>
        <v/>
      </c>
      <c r="RP72" s="21" t="str">
        <f t="shared" si="426"/>
        <v/>
      </c>
      <c r="RQ72" s="21" t="str">
        <f t="shared" si="427"/>
        <v/>
      </c>
      <c r="RR72" s="21" t="str">
        <f t="shared" si="428"/>
        <v/>
      </c>
      <c r="RS72" s="21" t="str">
        <f t="shared" si="429"/>
        <v/>
      </c>
      <c r="RT72" s="21" t="str">
        <f t="shared" si="430"/>
        <v/>
      </c>
      <c r="RU72" s="21" t="str">
        <f t="shared" si="431"/>
        <v/>
      </c>
      <c r="RV72" s="21">
        <f t="shared" si="432"/>
        <v>22</v>
      </c>
      <c r="RW72" s="284">
        <f>IF(OR(Tabla1[[#This Row],[FUM FORMULA CONFIABLE]]="",Tabla1[[#This Row],[FUM FORMULA CONFIABLE]]="SD"),"",IF(Tabla1[[#This Row],[FUM FORMULA CONFIABLE]]="CORREGIDA",Tabla1[[#This Row],[FUM X ECO 1]],Tabla1[[#This Row],[FUM x AMENORREA]]))</f>
        <v>44764</v>
      </c>
      <c r="RX72" s="21">
        <f>IF(AND(Tabla1[[#This Row],[FUM X ECO 1]]="",Tabla1[[#This Row],[FUM x AMENORREA]]=""),"",IF(AND(Tabla1[[#This Row],[FUM X ECO 1]]="",Tabla1[[#This Row],[FUM x AMENORREA]]&lt;&gt;""),"X",SUM(Tabla1[[#This Row],[FUM X ECO 1]]-Tabla1[[#This Row],[FUM x AMENORREA]])))</f>
        <v>0</v>
      </c>
      <c r="RY72" s="21">
        <f t="shared" si="434"/>
        <v>0</v>
      </c>
    </row>
    <row r="73" spans="1:493" ht="45" customHeight="1" x14ac:dyDescent="0.25">
      <c r="A73" s="109"/>
      <c r="B73" s="43" t="s">
        <v>983</v>
      </c>
      <c r="C73" s="43" t="s">
        <v>845</v>
      </c>
      <c r="D73" s="124" t="s">
        <v>846</v>
      </c>
      <c r="E73" s="43" t="s">
        <v>1127</v>
      </c>
      <c r="F73" s="43" t="s">
        <v>1127</v>
      </c>
      <c r="G73" s="43" t="s">
        <v>1217</v>
      </c>
      <c r="H73" s="43" t="s">
        <v>1218</v>
      </c>
      <c r="I73" s="109" t="s">
        <v>1094</v>
      </c>
      <c r="J73" s="110">
        <v>1059598378</v>
      </c>
      <c r="K73" s="43" t="s">
        <v>852</v>
      </c>
      <c r="L73" s="175" t="s">
        <v>853</v>
      </c>
      <c r="M73" s="22">
        <v>39404</v>
      </c>
      <c r="N73" s="213">
        <f t="shared" ca="1" si="252"/>
        <v>15.967123287671233</v>
      </c>
      <c r="O73" s="22">
        <v>44910</v>
      </c>
      <c r="P73" s="214" t="str">
        <f>IF(AND(O73="",R73&gt;0),"ACUDE ESPONTANEAMENTE",IF(AND(AND(O73&gt;0,R73=""),OR(IN74&gt;0,IK73&lt;&gt;"")),"NA",IF(AND(O73&gt;0,IN74="",R73=""),"NO",IF(AND(O73&gt;0,R73&gt;0),"SI",""))))</f>
        <v>SI</v>
      </c>
      <c r="Q73" s="26" t="s">
        <v>855</v>
      </c>
      <c r="R73" s="22">
        <v>44910</v>
      </c>
      <c r="S73" s="21" t="s">
        <v>856</v>
      </c>
      <c r="T73" s="24" t="s">
        <v>690</v>
      </c>
      <c r="U73" s="21" t="s">
        <v>857</v>
      </c>
      <c r="V73" s="21" t="s">
        <v>858</v>
      </c>
      <c r="W73" s="21" t="s">
        <v>987</v>
      </c>
      <c r="X73" s="21" t="s">
        <v>987</v>
      </c>
      <c r="Y73" s="21" t="s">
        <v>859</v>
      </c>
      <c r="Z73" s="21" t="s">
        <v>894</v>
      </c>
      <c r="AA73" s="21" t="s">
        <v>860</v>
      </c>
      <c r="AB73" s="27" t="s">
        <v>861</v>
      </c>
      <c r="AC73" s="26" t="s">
        <v>862</v>
      </c>
      <c r="AD73" s="38" t="s">
        <v>846</v>
      </c>
      <c r="AE73" s="26" t="s">
        <v>854</v>
      </c>
      <c r="AF73" s="26" t="s">
        <v>854</v>
      </c>
      <c r="AG73" s="23" t="s">
        <v>864</v>
      </c>
      <c r="AH73" s="23" t="s">
        <v>864</v>
      </c>
      <c r="AI73" s="24" t="s">
        <v>863</v>
      </c>
      <c r="AJ73" s="23" t="s">
        <v>864</v>
      </c>
      <c r="AK73" s="220" t="str">
        <f>IF(AND(AD73="",AE73="",AF73="",AG73="",AH73="",AI73="",AJ73=""),"",IF(OR(Tabla1[[#This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EVALUACIÓN",IF(AND(O73="",R73=""),"",IF(AND(OR(O73&gt;0,R73&gt;0),NG73&gt;=0,NG73&lt;2),"SIN RIESGO",IF(AND(OR(O73&gt;0,R73&gt;0),NG73&gt;=2),"CON RIESGO","ASD")))))</f>
        <v>SIN RIESGO</v>
      </c>
      <c r="AL73" s="23" t="s">
        <v>864</v>
      </c>
      <c r="AM73" s="26" t="s">
        <v>864</v>
      </c>
      <c r="AN73" s="26" t="s">
        <v>864</v>
      </c>
      <c r="AO73" s="26" t="s">
        <v>864</v>
      </c>
      <c r="AP73" s="26" t="s">
        <v>864</v>
      </c>
      <c r="AQ73" s="26" t="s">
        <v>864</v>
      </c>
      <c r="AR73" s="26" t="s">
        <v>864</v>
      </c>
      <c r="AS73" s="21">
        <v>0</v>
      </c>
      <c r="AT73" s="21">
        <v>0</v>
      </c>
      <c r="AU73" s="21">
        <v>0</v>
      </c>
      <c r="AV73" s="26" t="s">
        <v>864</v>
      </c>
      <c r="AW73" s="21">
        <v>0</v>
      </c>
      <c r="AX73" s="26" t="s">
        <v>864</v>
      </c>
      <c r="AY73" s="26" t="s">
        <v>864</v>
      </c>
      <c r="AZ73" s="26" t="s">
        <v>864</v>
      </c>
      <c r="BA73" s="26" t="s">
        <v>864</v>
      </c>
      <c r="BB73" s="26" t="s">
        <v>864</v>
      </c>
      <c r="BC73" s="26" t="s">
        <v>864</v>
      </c>
      <c r="BD73" s="26" t="s">
        <v>864</v>
      </c>
      <c r="BE73" s="26" t="s">
        <v>864</v>
      </c>
      <c r="BF73" s="26" t="s">
        <v>864</v>
      </c>
      <c r="BG73" s="26" t="s">
        <v>864</v>
      </c>
      <c r="BH73" s="26" t="s">
        <v>864</v>
      </c>
      <c r="BI73" s="26" t="s">
        <v>864</v>
      </c>
      <c r="BJ73" s="26"/>
      <c r="BK73" s="26"/>
      <c r="BL73" s="26" t="s">
        <v>864</v>
      </c>
      <c r="BM73" s="26" t="s">
        <v>864</v>
      </c>
      <c r="BN73" s="22"/>
      <c r="BO73" s="22">
        <v>44823</v>
      </c>
      <c r="BP73" s="21" t="s">
        <v>864</v>
      </c>
      <c r="BQ73" s="222">
        <f t="shared" si="254"/>
        <v>0</v>
      </c>
      <c r="BR73" s="223" t="str">
        <f t="shared" si="255"/>
        <v/>
      </c>
      <c r="BS73" s="224">
        <f t="shared" si="256"/>
        <v>12.428571428571429</v>
      </c>
      <c r="BT73" s="216" t="str">
        <f t="shared" si="257"/>
        <v>DEFINIR CON ECO</v>
      </c>
      <c r="BU73" s="214" t="str">
        <f t="shared" ca="1" si="258"/>
        <v/>
      </c>
      <c r="BV73" s="25"/>
      <c r="BW73" s="22"/>
      <c r="BX73" s="28"/>
      <c r="BY73" s="28"/>
      <c r="BZ73" s="22"/>
      <c r="CA73" s="21"/>
      <c r="CB73" s="26"/>
      <c r="CC73" s="26"/>
      <c r="CD73" s="26"/>
      <c r="CE73" s="26"/>
      <c r="CF73" s="22" t="s">
        <v>1517</v>
      </c>
      <c r="CG73" s="21">
        <v>1.48</v>
      </c>
      <c r="CH73" s="21">
        <v>52.3</v>
      </c>
      <c r="CI73" s="214">
        <f t="shared" si="259"/>
        <v>23.876917457998537</v>
      </c>
      <c r="CJ73" s="225" t="e">
        <f>IF(AND(CI73&lt;10,CH73="SD"),"SIN DATO PESO PREGESTACION O I TRIM",IF(AND(OR(R73&gt;0,O73&gt;0),CI73="X"),"INGRESAR DATO DE PESO",IF(CI73="SD","INGRESAR DATO DE TALLA Y PESO",IF(AND(OR(Tabla1[[#This Row],[MOMENTO EN QUE SE REALIZA EL PESO AL INGRESO A CPN]]="PREGESTACIÓN",NZ73="Menor"),CI73&lt;18.5),"BAJO PESO",IF(AND(OR(Tabla1[[#This Row],[MOMENTO EN QUE SE REALIZA EL PESO AL INGRESO A CPN]]="PREGESTACIÓN",NZ73="Menor"),CI73&lt;25),"NORMAL",IF(AND(OR(Tabla1[[#This Row],[MOMENTO EN QUE SE REALIZA EL PESO AL INGRESO A CPN]]="PREGESTACIÓN",NZ73="Menor"),CI73&lt;30),"SOBREPESO",IF(AND(OR(Tabla1[[#This Row],[MOMENTO EN QUE SE REALIZA EL PESO AL INGRESO A CPN]]="PREGESTACIÓN",NZ73="Menor"),CI73&gt;=30,CI73&lt;50),"OBESIDAD",IF(AND(BS73&gt;0,Tabla1[[#This Row],[MOMENTO EN QUE SE REALIZA EL PESO AL INGRESO A CPN]]="GESTACIÓN"),HLOOKUP(NZ73,$OA$2:PH73,NY73),""))))))))</f>
        <v>#REF!</v>
      </c>
      <c r="CK73" s="212">
        <f t="shared" si="260"/>
        <v>44985</v>
      </c>
      <c r="CL73" s="21"/>
      <c r="CM73" s="214">
        <f t="shared" si="261"/>
        <v>0</v>
      </c>
      <c r="CN73" s="216">
        <f t="shared" si="262"/>
        <v>23</v>
      </c>
      <c r="CO73" s="216" t="e">
        <f>IF(PI73="","",IF(PI73&gt;0,HLOOKUP(PI73,$PJ$2:QQ73,NY73),""))</f>
        <v>#REF!</v>
      </c>
      <c r="CP73" s="21"/>
      <c r="CQ73" s="216" t="e">
        <f>IF(QR73="Menor","NO APLICA-MENOR 13 SEM",IF(AND(CC73="SI",CN73&gt;23),"NO APLICA- GEMELAR",IF(QR73="","",IF(QR73&gt;0,HLOOKUP(QR73,$QS$2:RU73,NY73),""))))</f>
        <v>#REF!</v>
      </c>
      <c r="CR73" s="21">
        <v>100</v>
      </c>
      <c r="CS73" s="21">
        <v>60</v>
      </c>
      <c r="CT73" s="217" t="str">
        <f>IF(R73="","",IF(AND(BS73&gt;1,BS73&lt;12,Tabla1[[#This Row],[T.A. SISTOLICA - ANTES DE SEMANA 12]]="",Tabla1[[#This Row],[T.A. DIASTOLICA - ANTES DE SEMANA 12]]=""),"REGISTRE DATO TA ANTES SEMANA 12",IF(AND(BS73&gt;11,BS73&lt;43,Tabla1[[#This Row],[T.A. SISTOLICA - ANTES DE SEMANA 12]]="",Tabla1[[#This Row],[T.A. DIASTOLICA - ANTES DE SEMANA 12]]=""),"NO APLICA REGISTRO TA-INGRESO TARDIO",IF(AND(OR(O73&gt;0,R73&gt;0),OR(CR73&gt;=140,CS73&gt;=90)),"DEFINIR ESTADIO HTA",IF(AND(OR(O73&gt;0,R73&gt;0),AND(CR73&gt;120,CR73&lt;=139)),"PRE HTA SEGUIMIENTO",IF(AND(OR(O73&gt;0,R73&gt;0),AND(CS73&gt;80,CS73&lt;=89)),"PRE HTA SEGUIMIENTO",IF(AND(OR(O73&gt;0,R73&gt;0),AND(CR73&gt;=80,CR73&lt;=120)),"APARENTEMENTE NORMAL",IF(AND(OR(O73&gt;0,R73&gt;0),AND(CS73&gt;=50,CS73&lt;=80)),"APARENTEMENTE NORMAL",IF(AND(OR(O73&gt;0,R73&gt;0),AND(CR73&gt;1,CR73&lt;=70),AND(CS73&gt;1,CS73&lt;=40)),"HIPOTENSIÓN","")))))))))</f>
        <v>APARENTEMENTE NORMAL</v>
      </c>
      <c r="CU73" s="21">
        <v>100</v>
      </c>
      <c r="CV73" s="21">
        <v>60</v>
      </c>
      <c r="CW73" s="217" t="str">
        <f ca="1">IF(R73="","",IF(AND(CN73&gt;19,CN73&lt;27,Tabla1[[#This Row],[T.A. SISTOLICA (Entre semana 20 y 26)]]="",Tabla1[[#This Row],[T.A. DIATOLICA (Entre semana 20 y 26)]]=""),"ACUDE A CONTROL SEM 20 A 26 REGISTRE TA AHORA",IF(AND(BS73&gt;1,BS73&lt;27,BU73&gt;19,Tabla1[[#This Row],[T.A. SISTOLICA (Entre semana 20 y 26)]]="",Tabla1[[#This Row],[T.A. DIATOLICA (Entre semana 20 y 26)]]=""),"COMPLETE REGISTRO TA CONTROL SEM 20 A26 ",IF(AND(BS73&gt;26,BS73&lt;43,Tabla1[[#This Row],[T.A. SISTOLICA (Entre semana 20 y 26)]]="",Tabla1[[#This Row],[T.A. DIATOLICA (Entre semana 20 y 26)]]=""),"NO APLICA REGISTRO TA-INGRESO TARDIO",IF(AND(OR(O73&gt;0,R73&gt;0),OR(CU73&gt;=140,CV73&gt;=90)),"ALTO RIESGO PREECLAMPSIA,DEFINIR ESTADIO HTA",IF(AND(OR(O73&gt;0,R73&gt;0),AND(CU73&gt;120,CU73&lt;=139)),"PRE HTA SEGUIMIENTO,RIESGO HIPERTENSION INDUCIDA POR EL EMBARAZO",IF(AND(OR(O73&gt;0,R73&gt;0),AND(CV73&gt;80,CV73&lt;=89)),"PRE HTA SEGUIMIENTO, RIESGO HIPERTENSION INDUCIDA POR EL EMBARAZO",IF(AND(OR(O73&lt;&gt;"",R73&lt;&gt;""),CS73&lt;&gt;"",CV73&lt;&gt;"",CS73&lt;=CV73),"VIGILAR CIFRAS PRESION ARTERIAL",IF(AND(OR(O73&gt;0,R73&gt;0),AND(CU73&gt;120,CU73&lt;=139)),"PRE HTA SEGUIMIENTO",IF(AND(OR(O73&gt;0,R73&gt;0),AND(CU73&gt;1,CU73&lt;=70),AND(CV73&gt;1,CV73&lt;=40)),"HIPOTENSIÓN",IF(AND(OR(O73&lt;&gt;"",R73&lt;&gt;""),CS73&lt;&gt;"",CV73&lt;&gt;"",CS73&gt;CV73),"APARENTEMENTE NORMAL",IF(AND(OR(O73&gt;0,R73&gt;0),AND(CU73&gt;=80,CU73&lt;=120)),"APARENTEMENTE NORMAL",IF(AND(OR(O73&gt;0,R73&gt;0),AND(CV73&gt;=50,CV73&lt;=80)),"APARENTEMENTE NORMAL","")))))))))))))</f>
        <v>VIGILAR CIFRAS PRESION ARTERIAL</v>
      </c>
      <c r="CX73" s="21">
        <v>100</v>
      </c>
      <c r="CY73" s="21">
        <v>60</v>
      </c>
      <c r="CZ73" s="216" t="str">
        <f t="shared" si="263"/>
        <v>APARENTEMENTE NORMAL</v>
      </c>
      <c r="DA73" s="21"/>
      <c r="DB73" s="21"/>
      <c r="DC73" s="217" t="str">
        <f t="shared" si="264"/>
        <v>REGISTRE DATO PRESIÓN ARTERIAL MENSUAL</v>
      </c>
      <c r="DD73" s="22">
        <v>44910</v>
      </c>
      <c r="DE73" s="22">
        <v>44910</v>
      </c>
      <c r="DF73" s="22">
        <v>44985</v>
      </c>
      <c r="DG73" s="22"/>
      <c r="DH73" s="22"/>
      <c r="DI73" s="22"/>
      <c r="DJ73" s="22"/>
      <c r="DK73" s="22"/>
      <c r="DL73" s="22"/>
      <c r="DM73" s="22"/>
      <c r="DN73" s="22"/>
      <c r="DO73" s="22"/>
      <c r="DP73" s="22"/>
      <c r="DQ73" s="22"/>
      <c r="DR73" s="28">
        <v>1</v>
      </c>
      <c r="DS73" s="22"/>
      <c r="DT73" s="22"/>
      <c r="DU73" s="216" t="str">
        <f ca="1">IF(AND(BT73="ERROR FUM O INGRESO",DS73&gt;0),"ERROR FUM O INGRESO",IF(AND(DS73="",R73="",O73=""),"",IF(OR(AND(DS73&lt;&gt;"",DS73&lt;RW73),AND(DS73&lt;&gt;"",AND(SUM((DS73-RW73)/7)&gt;0,SUM((DS73-RW73)/7)&lt;28))),"PLAN REALIZADO ANTES III TRIM", IF(AND(DS73="",OR(O73&gt;0,R73&gt;0),AND(BU73&gt;=28, BU73&lt;35,DV73="ACTIVA INGRESO A CPN")),"PLANEAR PLAN DE PARTO", IF(AND(DS73="",OR(O73&gt;0,R73&gt;0),BU73&gt;=35,DV73="ACTIVA INGRESO A CPN"),"CONCERTAR PLAN DE PARTO INMEDIATO", IF(AND(DS73="",OR(O73&gt;0,R73&gt;0),AND(BU73&gt;0, BU73&lt;28),OR(DV73="ACTIVA INGRESO A CPN", DV73=" ACTIVA SIN INGRESO CPN")),"EN ESPERA", IF(AND(DS73="",OR(O73&gt;0,R73&gt;0),AND(IP74&gt;0, IP74&lt;28)),"NO APLICA SALE PROGRAMA ANTES III TRIM", IF(AND(DS73="",OR(O73&gt;0,R73&gt;0),AND(IP74&gt;=28, IP74&lt;35)),"SALE PROGRAMA ANTES SEMANA 35", IF(AND(DS73="",OR(O73&gt;0,R73&gt;0),IP74&gt;35),"SALE SIN PLAN DE PARTO",IF(DS73&gt;0,SUM(DS73-BO73)/7,""))))))))))</f>
        <v>SALE PROGRAMA ANTES SEMANA 35</v>
      </c>
      <c r="DV73" s="226" t="str">
        <f>IF(AND(R73&lt;&gt;"",IK73="CAMBIO DE RESIDENCIA",IK73="CAMBIO DE IPS",IK73="CAMBIO DE EPS"),"SEGUIMIENTO REPORTE EPS",IF(IK73="IVE","IVE",IF(AND(R73&lt;&gt;"",OR(IK73&lt;&gt;"",IN74&lt;&gt;"")),"SALIO PROGRAMA",IF(AND(AND(R73="",O73&gt;0),OR(IK73&lt;&gt;"",IN74&lt;&gt;"")),"SALE SIN INGRESO CPN",IF(AND(R73="",O73&gt;0,IK73="",IN74=""),"ACTIVA SIN INGRESO CPN",IF(AND(R73&lt;&gt;"",OR(IK73="",IN74="")),"ACTIVA INGRESO A CPN",""))))))</f>
        <v>SALIO PROGRAMA</v>
      </c>
      <c r="DW73"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73" s="216" t="str">
        <f t="shared" ca="1" si="266"/>
        <v/>
      </c>
      <c r="DY73" s="212">
        <f>IF(R73="","",IF(R73&gt;0,MAX(Tabla1[[#This Row],[FECHA C2]:[FECHA C13]],Tabla1[[#This Row],[FECHA CONSULTA PRIMERA VEZ PROGRAMA CPN ]])))</f>
        <v>44985</v>
      </c>
      <c r="DZ73" s="216">
        <f t="shared" si="267"/>
        <v>23</v>
      </c>
      <c r="EA73" s="222">
        <f>IF(R73&gt;0,SUM(COUNTA(DF73:DQ73)+COUNTA(Tabla1[[#This Row],[FECHA CONSULTA PRIMERA VEZ PROGRAMA CPN ]])),"")</f>
        <v>2</v>
      </c>
      <c r="EB73" s="222" t="str">
        <f t="shared" si="268"/>
        <v>NO</v>
      </c>
      <c r="EC73" s="214">
        <f t="shared" si="269"/>
        <v>8</v>
      </c>
      <c r="ED73" s="227">
        <f t="shared" si="270"/>
        <v>0.25</v>
      </c>
      <c r="EE73" s="22">
        <v>44910</v>
      </c>
      <c r="EF73" s="22"/>
      <c r="EG73" s="22">
        <v>44910</v>
      </c>
      <c r="EH73" s="22"/>
      <c r="EI73" s="22">
        <v>44910</v>
      </c>
      <c r="EJ73" s="22"/>
      <c r="EK73" s="22"/>
      <c r="EL73" s="21"/>
      <c r="EM73" s="21">
        <v>12.3</v>
      </c>
      <c r="EN73" s="22">
        <v>44907</v>
      </c>
      <c r="EO73" s="222">
        <f t="shared" si="271"/>
        <v>12</v>
      </c>
      <c r="EP73" s="214" t="str">
        <f t="shared" si="272"/>
        <v>NORMAL- SUMINISTRAR SULFATO FERROSO</v>
      </c>
      <c r="EQ73" s="216" t="str">
        <f t="shared" si="273"/>
        <v>I TRIM</v>
      </c>
      <c r="ER73" s="24"/>
      <c r="ES73" s="22"/>
      <c r="ET73" s="29" t="str">
        <f ca="1">IF(AND(BT73="ERROR FUM O INGRESO",ES73&gt;0),"ERROR FUM O INGRESO",IF(AND(ES73="",R73="",O73=""),"",IF(OR(AND(ES73&lt;&gt;"",ES73&lt;RW73),AND(ES73&lt;&gt;"",SUM((ES73-RW73)/7)&gt;40)),"CORREGIR FECHA RESULTADO",IF(AND(BU73&gt;1,BU73&lt;23,ER73="",ES73=""),"EN ESPERA PARA TOMA EXAMEN",IF(AND(BU73&gt;22,BU73&lt;26,ER73="",ES73=""),"PROGRAMAR TOMA HEMOGLOBINA A SEM 28",IF(AND(BU73&gt;25,BU73&lt;28,ER73="",ES73=""),"TOMA HEMOGLOBINA A SEM 28 EN 1 SEMANA",IF(AND(BU73&gt;27,BU73&lt;31,ES73="",OR(O73&gt;0,R73&gt;0)),"EN SEMANA 28 TOMA INMEDIATA DE EXAMEN",IF(AND(IP74&gt;0,IP74&lt;28,ES73="",OR(O73&gt;0,R73&gt;0)),"NO APLICA-SALE ANTES SEM 28",IF(AND(IP74&gt;28,IP74&lt;43,ES73="",OR(O73&gt;0,R73&gt;0)),"SALE SIN TAMIZAJE HEMOGLOBINA SEM 28",IF(AND(BS73&gt;0,ES73="",OR(O73&gt;0,R73&gt;0)),"TOMA DE HEMOGLOBINA TARDÍA",IF(ES73&gt;0,SUM(ES73-RW73)/7,"")))))))))))</f>
        <v>SALE SIN TAMIZAJE HEMOGLOBINA SEM 28</v>
      </c>
      <c r="EU73" s="25" t="str">
        <f t="shared" si="275"/>
        <v/>
      </c>
      <c r="EV73" s="24" t="s">
        <v>866</v>
      </c>
      <c r="EW73" s="24">
        <v>44907</v>
      </c>
      <c r="EX73" s="22"/>
      <c r="EY73" s="29">
        <f t="shared" si="248"/>
        <v>12</v>
      </c>
      <c r="EZ73" s="25" t="str">
        <f t="shared" ca="1" si="249"/>
        <v/>
      </c>
      <c r="FA73" s="21">
        <v>70</v>
      </c>
      <c r="FB73" s="22">
        <v>44907</v>
      </c>
      <c r="FC73" s="29">
        <f t="shared" si="276"/>
        <v>12</v>
      </c>
      <c r="FD73" s="29"/>
      <c r="FE73" s="29"/>
      <c r="FF73" s="29"/>
      <c r="FG73" s="21" t="str">
        <f t="shared" ca="1" si="277"/>
        <v/>
      </c>
      <c r="FH73" s="31"/>
      <c r="FI73" s="29" t="str">
        <f t="shared" si="278"/>
        <v>TOMAR EXAMEN</v>
      </c>
      <c r="FJ73" s="22"/>
      <c r="FK73" s="22"/>
      <c r="FL73" s="29" t="str">
        <f t="shared" ca="1" si="279"/>
        <v>PIERDE TOMA DE TAMIZAJE</v>
      </c>
      <c r="FM73" s="22"/>
      <c r="FN73" s="32"/>
      <c r="FO73" s="29" t="str">
        <f ca="1">IF(AND(BT73="ERROR FUM O INGRESO",FN73&gt;0),"ERROR FUM O INGRESO",IF(AND(FN73="",R73="",O73=""),"",IF(AND(FN73&lt;&gt;"",FN73&lt;RW73), "INCOHERENCIA FUM Y FECHA TAMIZAJE",IF(AND(FN73="",DV73="ACTIVA INGRESO A CPN",AND(BU73&gt;0,BU73&lt;13)),"EN ESPERA-ESTÁ I TRIM", IF(AND(FN73="",AND(BS73&gt;0, BS73&lt;13),OR(O73&gt;0,R73&gt;0),AND(IP74&gt;0,IP74&lt;13)),"NO APLICA-SALIO DEL PROGRAMA I TRIM",IF(AND(FN73&lt;&gt;"",AND(SUM((FN73-RW73)/7)&gt;0,SUM((FN73-RW73)/7)&lt;13)),"REGISTRAR EN I TRIMESTRE",IF(AND(FN73&lt;&gt;"",AND(SUM((FN73-RW73)/7)&gt;=27,SUM((FN73-RW73)/7)&lt;44)),"REGISTRAR EN III TRIMESTRE",IF(AND(FN73="",OR(O73&gt;0,R73&gt;0),AND(BU73&gt;=13,BU73&lt;24),DV73="ACTIVA INGRESO A CPN"),"EN RANGO PARA TOMAR EXAMEN",IF(AND(FN73="",OR(O73&gt;0,R73&gt;0),AND(BU73&gt;=25,BU73&lt;27),DV73="ACTIVA INGRESO A CPN"),"TOMA INMEDIATA DE TAMIZAJE",IF(AND(FN73="",OR(O73&gt;0,R73&gt;0),AND(BS73&gt;=27,BS73&lt;44)),"NO APLICA-INGRESO TARDIO",IF(AND(FN73="",BS73&lt;27,OR(AND(IP74&gt;12,IP74&lt;44),BU73&gt;12)),"PIERDE TOMA DE TAMIZAJE",IF(FN73&gt;0,SUM(FN73-RW73)/7,""))))))))))))</f>
        <v>PIERDE TOMA DE TAMIZAJE</v>
      </c>
      <c r="FP73" s="22"/>
      <c r="FQ73" s="32"/>
      <c r="FR73" s="29" t="str">
        <f ca="1">IF(AND(BT73="ERROR FUM O INGRESO",FQ73&gt;0),"ERROR FUM O INGRESO",IF(AND(FQ73="",R73="",O73=""),"",IF(AND(FQ73&lt;&gt;"",FQ73&lt;RW73), "INCOHERENCIA FUM Y FECHA TAMIZAJE",IF(AND(FQ73="",DV73="ACTIVA INGRESO A CPN",AND(BU73&gt;0,BU73&lt;27)),"EN ESPERA-ESTÁ I TRIM O II TRIM", IF(AND(FQ73="",AND(BS73&gt;0, BS73&lt;27),OR(O73&gt;0,R73&gt;0),AND(IP74&gt;0,IP74&lt;27)),"NO APLICA-SALIO DEL PROGRAMA I O II TRIM",IF(AND(FQ73&lt;&gt;"",AND(SUM((FQ73-RW73)/7)&gt;0,SUM((FQ73-RW73)/7)&lt;13)),"REGISTAR EN I TRIMESTRE",IF(AND(FQ73&lt;&gt;"",AND(SUM((FQ73-RW73)/7)&gt;=13,SUM((FQ73-RW73)/7)&lt;27)),"REGISTRAR EN II TRIMESTRE",IF(AND(FQ73="",OR(O73&gt;0,R73&gt;0),AND(BU73&gt;=28,BU73&lt;35),DV73="ACTIVA INGRESO A CPN"),"EN RANGO PARA TOMAR EXAMEN",IF(AND(FQ73="",OR(O73&gt;0,R73&gt;0),BU73&gt;=35, DV73="ACTIVA INGRESO A CPN"),"TOMA INMEDIATA DE TAMIZAJE",IF(AND(FQ73="",DV73= "SALE SIN INGRESO CPN"),"NO APLICA-SIN CPN",IF(AND(FQ73="",AND(IP74&gt;26,IP74&lt;43)),"PIERDE TOMA DE TAMIZAJE",IF(FQ73&gt;0,SUM(FQ73-RW73)/7,""))))))))))))</f>
        <v>PIERDE TOMA DE TAMIZAJE</v>
      </c>
      <c r="FS73" s="22"/>
      <c r="FT73" s="32"/>
      <c r="FU73" s="29" t="str">
        <f>IF(AND(FJ73="",FM73="",FP73="",FS73=""),"",IF(OR(OR(Tabla1[[#This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73" s="28"/>
      <c r="FW73" s="22"/>
      <c r="FX73" s="29" t="str">
        <f t="shared" si="280"/>
        <v>TOMAR EXAMEN</v>
      </c>
      <c r="FY73" s="22"/>
      <c r="FZ73" s="22"/>
      <c r="GA73" s="29" t="str">
        <f t="shared" ca="1" si="250"/>
        <v/>
      </c>
      <c r="GB73" s="22"/>
      <c r="GC73" s="22"/>
      <c r="GD73" s="29" t="str">
        <f ca="1">IF(AND(BT73="ERROR FUM O INGRESO",GC73&gt;0),"ERROR FUM O INGRESO",IF(AND(GC73="",R73="",O73=""),"",IF(AND(GC73&lt;&gt;"",GC73&lt;RW73), "INCOHERENCIA FUM Y FECHA TAMIZAJE",IF(AND(GC73="",DV73="ACTIVA INGRESO A CPN",AND(BU73&gt;0,BU73&lt;13)),"EN ESPERA-ESTÁ I TRIM", IF(AND(GC73="",AND(BS73&gt;0, BS73&lt;12),OR(O73&gt;0,R73&gt;0),AND(IP74&gt;0,IP74&lt;13)),"NO APLICA-SALIO DEL PROGRAMA I TRIM",IF(AND(GC73&lt;&gt;"",AND(SUM((GC73-RW73)/7)&gt;0,SUM((GC73-RW73)/7)&lt;13)),"REGISTRAR EN I TRIMESTRE",IF(AND(GC73&lt;&gt;"",AND(SUM((GC73-RW73)/7)&gt;=27,SUM((GC73-RW73)/7)&lt;44)),"REGISTRAR EN III TRIMESTRE",IF(AND(GC73="",OR(O73&gt;0,R73&gt;0),AND(BU73&gt;=12,BU73&lt;25),DV73="ACTIVA INGRESO A CPN"),"EN RANGO PARA TOMAR EXAMEN",IF(AND(GC73="",OR(O73&gt;0,R73&gt;0),AND(BU73&gt;=25,BU73&lt;27),DV73="ACTIVA INGRESO A CPN"),"TOMA INMEDIATA DE TAMIZAJE",IF(AND(GC73="",OR(O73&gt;0,R73&gt;0),AND(BS73&gt;=27,BS73&lt;43)),"NO APLICA-INGRESO TARDIO",IF(AND(GC73="",BS73&lt;27),"PIERDE TOMA DE TAMIZAJE",IF(GC73&gt;0,SUM(GC73-RW73)/7,""))))))))))))</f>
        <v>PIERDE TOMA DE TAMIZAJE</v>
      </c>
      <c r="GE73" s="22"/>
      <c r="GF73" s="22"/>
      <c r="GG73" s="29" t="str">
        <f ca="1">IF(AND(BT73="ERROR FUM O INGRESO",GF73&gt;0),"ERROR FUM O INGRESO",IF(AND(GF73="",R73="",O73=""),"",IF(AND(GF73&lt;&gt;"",GF73&lt;RW73), "INCOHERENCIA FUM Y FECHA TAMIZAJE",IF(AND(GF73="",DV73="ACTIVA INGRESO A CPN",AND(BU73&gt;0,BU73&lt;27)),"EN ESPERA-ESTÁ I TRIM O II TRIM", IF(AND(GF73="",AND(BS73&gt;0, BS73&lt;28),OR(O73&gt;0,R73&gt;0),AND(IP74&gt;0,IP74&lt;28)),"NO APLICA-SALIO DEL PROGRAMA I O II TRIM",IF(AND(GF73&lt;&gt;"",AND(SUM((GF73-RW73)/7)&gt;0,SUM((GF73-RW73)/7)&lt;13)),"REGISTAR EN I TRIMESTRE",IF(AND(GF73&lt;&gt;"",AND(SUM((GF73-RW73)/7)&gt;=13,SUM((GF73-RW73)/7)&lt;27)),"REGISTRAR EN II TRIMESTRE",IF(AND(GF73="",OR(O73&gt;0,R73&gt;0),AND(BU73&gt;=28,BU73&lt;35),DV73="ACTIVA INGRESO A CPN"),"EN RANGO PARA TOMAR EXAMEN",IF(AND(GF73="",OR(O73&gt;0,R73&gt;0),BU73&gt;=35, DV73="ACTIVA INGRESO A CPN"),"TOMA INMEDIATA DE TAMIZAJE",IF(AND(GF73="",DV73= "SALE SIN INGRESO CPN"),"NO APLICA-SIN CPN",IF(AND(GF73="",BS73&lt;44),"PIERDE TOMA DE TAMIZAJE",IF(GF73&gt;0,SUM(GF73-RW73)/7,""))))))))))))</f>
        <v>PIERDE TOMA DE TAMIZAJE</v>
      </c>
      <c r="GH73" s="22"/>
      <c r="GI73" s="29"/>
      <c r="GJ73" s="22"/>
      <c r="GK73" s="22"/>
      <c r="GL73" s="22"/>
      <c r="GM73" s="22"/>
      <c r="GN73" s="28"/>
      <c r="GO73" s="22"/>
      <c r="GP73" s="29" t="str">
        <f t="shared" si="283"/>
        <v>TOMAR EXAMEN</v>
      </c>
      <c r="GQ73" s="28"/>
      <c r="GR73" s="28"/>
      <c r="GS73" s="22" t="str">
        <f t="shared" si="284"/>
        <v/>
      </c>
      <c r="GT73" s="22"/>
      <c r="GU73" s="29" t="str">
        <f t="shared" si="285"/>
        <v>TOMAR EXAMEN</v>
      </c>
      <c r="GV73" s="21" t="str">
        <f t="shared" si="286"/>
        <v>POR DEFINIR</v>
      </c>
      <c r="GW73" s="28"/>
      <c r="GX73" s="30"/>
      <c r="GY73" s="21"/>
      <c r="GZ73" s="21"/>
      <c r="HA73" s="21"/>
      <c r="HB73" s="21"/>
      <c r="HC73" s="21"/>
      <c r="HD73" s="21"/>
      <c r="HE73" s="21"/>
      <c r="HF73" s="22"/>
      <c r="HG73" s="22" t="str">
        <f>IF(OR(O73&gt;0,R73&gt;0),CONCATENATE(IF(Tabla1[[#This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73" s="22" t="e">
        <f t="shared" si="287"/>
        <v>#REF!</v>
      </c>
      <c r="HI73" s="22" t="e">
        <f t="shared" ca="1" si="288"/>
        <v>#REF!</v>
      </c>
      <c r="HJ73" s="21" t="str">
        <f t="shared" ca="1" si="289"/>
        <v>**********************MULTIPARIDAD**RIESGO POR EDAD***************</v>
      </c>
      <c r="HK73" s="21" t="str">
        <f t="shared" si="290"/>
        <v>SIN ANTECEDENTES DE RIESGO</v>
      </c>
      <c r="HL73" s="24" t="str">
        <f t="shared" si="291"/>
        <v>REGISTRE DATO PRESIÓN ARTERIAL MENSUAL</v>
      </c>
      <c r="HM73" s="21" t="str">
        <f t="shared" ca="1" si="292"/>
        <v/>
      </c>
      <c r="HN73" s="30" t="str">
        <f>IF(AND(R73&lt;&gt;"",IK73="CAMBIO DE RESIDENCIA"),"SEGUIMIENTO REPORTE EPS",IF(AND(R73&lt;&gt;"",OR(IK73&lt;&gt;"",IN74&lt;&gt;"")),"SALIO PROGRAMA",IF(AND(AND(R73="",O73&gt;0),OR(IK73&lt;&gt;"",IN74&lt;&gt;"")),"SALE SIN INGRESO CPN",IF(AND(R73="",O73&gt;0,IK73="",IN74=""),"ACTIVA SIN INGRESO CPN",IF(AND(R73&lt;&gt;"",OR(IK73="",IN74="")),"ACTIVA INGRESO A CPN","")))))</f>
        <v>SALIO PROGRAMA</v>
      </c>
      <c r="HO73" s="21"/>
      <c r="HP73" s="21"/>
      <c r="HQ73" s="21">
        <v>44910</v>
      </c>
      <c r="HR73" s="21" t="str">
        <f>IF(R73="","",IF(Tabla1[[#This Row],[ALARMA FACTORES DE RIESGO COMPLICACIONES HIPERTENSIVAS3]]="SIN ANTECEDENTES DE RIESGO","No Aplica para suministro de ASA",IF(AND(Tabla1[[#This Row],[FECHA INICIO DE SUMINISTRO DE ASA]]&gt;0,RV73&lt;12),"Inicia ASA ANTES de Sem 12",IF(AND(RV73&gt;11,RV73&lt;17,OR(HK73="RIESGO ALTO DE COMPLICACIONES HIPERTENSIVAS VER MANEJO GUIA SUMINISTRO ASA Y CALCIO",HK73="RIESGO MODERADO (2 O MAS CRITERIOS) VER MANEJO GUIA SUMINISTRO ASA Y CALCIO")),"Inicio oportuno de ASA",IF(AND(RV73&gt;12,OR(HK73="RIESGO ALTO DE COMPLICACIONES HIPERTENSIVAS VER MANEJO GUIA SUMINISTRO ASA Y CALCIO",HK73="RIESGO MODERADO (2 O MAS CRITERIOS) VER MANEJO GUIA SUMINISTRO ASA Y CALCIO")),"Inicio no oportuno mayor a 16 semanas",IF(AND(BU73&lt;12,OR(HK73="RIESGO ALTO DE COMPLICACIONES HIPERTENSIVAS VER MANEJO GUIA SUMINISTRO ASA Y CALCIO",HK73="RIESGO MODERADO (2 O MAS CRITERIOS) VER MANEJO GUIA SUMINISTRO ASA Y CALCIO")),"Pendiente Inicio de ASA a la semana 12",IF(AND(BU73&gt;11,BU73&lt;17,OR(HK73="RIESGO ALTO DE COMPLICACIONES HIPERTENSIVAS VER MANEJO GUIA SUMINISTRO ASA Y CALCIO",HK73="RIESGO MODERADO (2 O MAS CRITERIOS) VER MANEJO GUIA SUMINISTRO ASA Y CALCIO")),"Iniciar de inmediato ASA",IF(AND(BU73&gt;16,OR(HK73="RIESGO ALTO DE COMPLICACIONES HIPERTENSIVAS VER MANEJO GUIA SUMINISTRO ASA Y CALCIO",HK73="RIESGO MODERADO (2 O MAS CRITERIOS) VER MANEJO GUIA SUMINISTRO ASA Y CALCIO")),"Pierde Oportunidad, Inicio tardío de ASA","XXXXX"))))))))</f>
        <v>No Aplica para suministro de ASA</v>
      </c>
      <c r="HS73" s="22">
        <v>44910</v>
      </c>
      <c r="HT73" s="22" t="s">
        <v>870</v>
      </c>
      <c r="HU73" s="22">
        <v>44910</v>
      </c>
      <c r="HV73" s="22" t="s">
        <v>870</v>
      </c>
      <c r="HW73" s="22">
        <v>44985</v>
      </c>
      <c r="HX73" s="22" t="s">
        <v>870</v>
      </c>
      <c r="HY73" s="22">
        <v>44910</v>
      </c>
      <c r="HZ73" s="28">
        <f t="shared" si="293"/>
        <v>12.428571428571429</v>
      </c>
      <c r="IA73" s="26" t="s">
        <v>864</v>
      </c>
      <c r="IB73" s="26"/>
      <c r="IC73" s="111"/>
      <c r="ID73" s="22"/>
      <c r="IE73" s="22" t="str">
        <f t="shared" ca="1" si="294"/>
        <v>SALE SIN VACUNA</v>
      </c>
      <c r="IF73" s="22"/>
      <c r="IG73" s="22">
        <f t="shared" si="295"/>
        <v>45103</v>
      </c>
      <c r="IH73" s="29">
        <f t="shared" ca="1" si="296"/>
        <v>-129</v>
      </c>
      <c r="II73" s="22" t="str">
        <f t="shared" ca="1" si="297"/>
        <v>POSIBLEMENTE NACIO</v>
      </c>
      <c r="IJ73" s="22"/>
      <c r="IK73" s="21" t="s">
        <v>898</v>
      </c>
      <c r="IL73" s="21"/>
      <c r="IM73" s="34"/>
      <c r="IN73" s="349">
        <v>45034</v>
      </c>
      <c r="IO73" s="21" t="s">
        <v>1640</v>
      </c>
      <c r="IP73" s="29">
        <f t="shared" si="298"/>
        <v>30.142857142857142</v>
      </c>
      <c r="IQ73" s="110"/>
      <c r="IR73" s="21" t="s">
        <v>879</v>
      </c>
      <c r="IS73" s="21" t="s">
        <v>1641</v>
      </c>
      <c r="IT73" s="21" t="s">
        <v>1642</v>
      </c>
      <c r="IU73" s="21"/>
      <c r="IV73" s="21"/>
      <c r="IW73" s="21"/>
      <c r="IX73" s="21"/>
      <c r="IY73" s="21"/>
      <c r="IZ73" s="21"/>
      <c r="JA73" s="21"/>
      <c r="JB73" s="30">
        <v>1</v>
      </c>
      <c r="JC73" s="21" t="s">
        <v>1643</v>
      </c>
      <c r="JD73" s="36">
        <v>2600</v>
      </c>
      <c r="JE73" s="21" t="str">
        <f t="shared" si="435"/>
        <v>ERROR VERIFICAR DATO EDAD GESTACIONAL VS PESO</v>
      </c>
      <c r="JF73" s="30"/>
      <c r="JG73" s="21"/>
      <c r="JH73" s="21"/>
      <c r="JI73" s="21"/>
      <c r="JJ73" s="30"/>
      <c r="JK73" s="22"/>
      <c r="JL73" s="22"/>
      <c r="JM73" s="21"/>
      <c r="JN73" s="36"/>
      <c r="JO73" s="21" t="str">
        <f>IF(AND(JN73&gt;700,JN73&lt;2500,IP74&gt;36,IP74&lt;43),"BAJO PESO AL NACER",IF(AND(JN73&gt;700,JN73&lt;2500,IP74&lt;37),"PREMATURO",IF(AND(JN73&gt;2499,JN73&lt;5000,IP74&lt;37),"ERROR VERIFICAR DATO EDAD GESTACIONAL VS PESO",IF(AND(JN73&gt;2499,JN73&lt;4000,IP74&gt;36,IP74&lt;43),"PESO ADECUADO EDAD GESTACIONAL",IF(AND(JN73&gt;3999,JN73&lt;6000,IP74&gt;36,IP74&lt;43),"PESO GRANDE EDAD GESTACIONAL","")))))</f>
        <v/>
      </c>
      <c r="JP73" s="22"/>
      <c r="JQ73" s="21"/>
      <c r="JR73" s="21"/>
      <c r="JS73" s="21"/>
      <c r="JT73" s="30"/>
      <c r="JU73" s="22"/>
      <c r="JV73" s="22"/>
      <c r="JW73" s="33"/>
      <c r="JX73" s="28" t="str">
        <f>IF(AND(JW73&lt;&gt;"",JW73&lt;IN74),"INCONSISTENCIA FECHA CONTROL",IF(AND(OR(IK73="Parto",IK73="Cesarea"),JW73&gt;0,IN74&gt;0),SUM(JW73-IN74),IF(AND(OR(IK73="Parto",IK73="Cesarea"),JW73="",IN74&gt;0),"INASISTENTE","")))</f>
        <v>INASISTENTE</v>
      </c>
      <c r="JY73" s="33"/>
      <c r="JZ73" s="28" t="str">
        <f>IF(AND(JY73&lt;&gt;"",JY73&lt;IN74),"INCONSISTENCIA FECHA CONTROL",IF(AND(OR(IK73="Parto",IK73="Cesarea",IK73="Aborto Espontaneo",IK73="Aborto Inducido",IK73="IVE"),JY73&gt;0,IN74&gt;0),SUM(JY73-IN74),IF(AND(JY73&lt;&gt;"",JY73&lt;IN74),"INCONSISTENCIA FECHA CONTROL",IF(AND(OR(IK73="Parto",IK73="Cesarea",IK73="Aborto Espontaneo",IK73="Aborto Inducido",IK73="IVE"),JY73="",IN74&gt;0),"INASISTENTE",""))))</f>
        <v>INASISTENTE</v>
      </c>
      <c r="KA73" s="21"/>
      <c r="KB73" s="21"/>
      <c r="KC73" s="21"/>
      <c r="KD73" s="37"/>
      <c r="KE73" s="28"/>
      <c r="KF73" s="28"/>
      <c r="KG73" s="28"/>
      <c r="KH73" s="39"/>
      <c r="KI73" s="39"/>
      <c r="KJ73" s="66"/>
      <c r="KK73" s="39"/>
      <c r="KL73" s="39"/>
      <c r="KM73" s="66"/>
      <c r="KN73" s="39"/>
      <c r="KO73" s="39"/>
      <c r="KP73" s="39"/>
      <c r="KQ73" s="39"/>
      <c r="KR73" s="39"/>
      <c r="KS73" s="39"/>
      <c r="KT73" s="39"/>
      <c r="KU73" s="38"/>
      <c r="KV73" s="38"/>
      <c r="KW73" s="38"/>
      <c r="KX73" s="38"/>
      <c r="KY73" s="38"/>
      <c r="KZ73" s="38"/>
      <c r="LA73" s="38"/>
      <c r="LB73" s="38"/>
      <c r="LC73" s="38"/>
      <c r="LD73" s="38"/>
      <c r="LE73" s="38"/>
      <c r="LF73" s="38"/>
      <c r="LG73" s="38"/>
      <c r="LH73" s="38"/>
      <c r="LI73" s="38"/>
      <c r="LJ73" s="38"/>
      <c r="LK73" s="38"/>
      <c r="LL73" s="38"/>
      <c r="LM73" s="38"/>
      <c r="LN73" s="38"/>
      <c r="LO73" s="38"/>
      <c r="LP73" s="38"/>
      <c r="LQ73" s="38"/>
      <c r="LR73" s="38"/>
      <c r="LS73" s="38"/>
      <c r="LT73" s="38"/>
      <c r="LU73" s="38"/>
      <c r="LV73" s="38"/>
      <c r="LW73" s="38"/>
      <c r="LX73" s="38"/>
      <c r="LY73" s="38"/>
      <c r="LZ73" s="38"/>
      <c r="MA73" s="38"/>
      <c r="MB73" s="38"/>
      <c r="MC73" s="38"/>
      <c r="MD73" s="38"/>
      <c r="ME73" s="38"/>
      <c r="MF73" s="38"/>
      <c r="MG73" s="38"/>
      <c r="MH73" s="43">
        <f t="shared" si="303"/>
        <v>0</v>
      </c>
      <c r="MI73" s="43" t="str">
        <f t="shared" si="304"/>
        <v/>
      </c>
      <c r="MJ73" s="43" t="str">
        <f t="shared" si="305"/>
        <v/>
      </c>
      <c r="MK73" s="43">
        <f t="shared" si="306"/>
        <v>0</v>
      </c>
      <c r="ML7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73" s="43">
        <f t="shared" si="307"/>
        <v>12.428571428571429</v>
      </c>
      <c r="MN73" s="43">
        <f t="shared" si="308"/>
        <v>12</v>
      </c>
      <c r="MO73" s="43">
        <f t="shared" si="309"/>
        <v>2022</v>
      </c>
      <c r="MP73" s="43" t="str">
        <f t="shared" si="310"/>
        <v>IV TRIMESTRE AÑO</v>
      </c>
      <c r="MQ73" s="43">
        <f t="shared" si="311"/>
        <v>14.857095926412613</v>
      </c>
      <c r="MR73" s="43">
        <f t="shared" si="312"/>
        <v>1</v>
      </c>
      <c r="MS73" s="43" t="str">
        <f t="shared" si="313"/>
        <v>DE 14 A 19AÑOS</v>
      </c>
      <c r="MT73" s="43">
        <f t="shared" si="314"/>
        <v>0</v>
      </c>
      <c r="MU73" s="43">
        <f t="shared" si="315"/>
        <v>1</v>
      </c>
      <c r="MV73" s="43">
        <f t="shared" si="316"/>
        <v>0</v>
      </c>
      <c r="MW73" s="43">
        <f t="shared" si="317"/>
        <v>0</v>
      </c>
      <c r="MX73" s="43" t="str">
        <f t="shared" si="318"/>
        <v/>
      </c>
      <c r="MY73" s="43" t="str">
        <f ca="1">IF(AND(AND(BU73&gt;40.9,BU73&lt;43),IN74=""),1,"")</f>
        <v/>
      </c>
      <c r="MZ73" s="43" t="str">
        <f t="shared" si="319"/>
        <v/>
      </c>
      <c r="NA73" s="43" t="str">
        <f t="shared" si="320"/>
        <v/>
      </c>
      <c r="NB73" s="43" t="str">
        <f t="shared" si="321"/>
        <v/>
      </c>
      <c r="NC73" s="43" t="str">
        <f t="shared" si="322"/>
        <v/>
      </c>
      <c r="ND73" s="43">
        <f t="shared" ca="1" si="323"/>
        <v>2</v>
      </c>
      <c r="NE73" s="43">
        <f>IF(OR(O73&gt;0,R73&gt;0),SUM(COUNTIF(Tabla1[[#This Row],[AÑOS AL INICIO5 CPN]],"&gt;=40"),COUNTIF(AS73,"0"),COUNTIF(AR73,"SI"),COUNTIF(CC73,"SI"),COUNTIF(BQ73,"&gt;119"),COUNTIF(CI73,"&gt;=35")),"")</f>
        <v>1</v>
      </c>
      <c r="NF73" s="43" t="str">
        <f t="shared" si="324"/>
        <v/>
      </c>
      <c r="NG73" s="43">
        <f t="shared" si="325"/>
        <v>0</v>
      </c>
      <c r="NH73" s="43" t="str">
        <f t="shared" si="326"/>
        <v/>
      </c>
      <c r="NI73"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CPN",P73="NO"),"Z",IF(AND(Tabla1[[#This Row],[CITA PROXIMO CONTROL]]="CITA MANUAL",Tabla1[[#This Row],[GESTANTES ACTUALES]]="ACTIVA INGRESO A CPN"),"W",IF(AND(Tabla1[[#This Row],[GESTANTES ACTUALES]]="SALIO PROGRAMA",IN74=""),"S",IF(AND(Tabla1[[#This Row],[CITA PROXIMO CONTROL]]&gt;0,IN74=""),(Tabla1[[#This Row],[CITA PROXIMO CONTROL]]-TODAY()),"SD"))))))))</f>
        <v>SD</v>
      </c>
      <c r="NJ73" s="43">
        <f>MONTH(Tabla1[[#This Row],[FECHA DE SALIDA  DEL PROGRAMA]])</f>
        <v>4</v>
      </c>
      <c r="NK73" s="43">
        <f>YEAR(Tabla1[[#This Row],[FECHA DE SALIDA  DEL PROGRAMA]])</f>
        <v>2023</v>
      </c>
      <c r="NL73" s="43" t="str">
        <f t="shared" si="327"/>
        <v>X</v>
      </c>
      <c r="NM73" s="43" t="str">
        <f t="shared" si="251"/>
        <v>NO</v>
      </c>
      <c r="NN73" s="43" t="str">
        <f ca="1">IF(AND(O73&gt;0,R73=""),"NO CPN",IF(AND(O73="",R73=""),"",IF(AND(R73&gt;0,Tabla1[[#This Row],[SEMANAS DE GESTACION ACTUALIZADAS]]&lt;=12),"NO APLICA",IF(AND(FH73&lt;&gt;"",FN73&lt;&gt;""),"SI","NO"))))</f>
        <v>NO</v>
      </c>
      <c r="NO73" s="43" t="str">
        <f ca="1">IF(AND(O73&gt;0,R73=""),"NO CPN",IF(AND(O73="",R73=""),"",IF(AND(R73&gt;0,Tabla1[[#This Row],[SEMANAS DE GESTACION ACTUALIZADAS]]&lt;=27),"NO APLICA",IF(AND(ES73&lt;&gt;"",FQ73&lt;&gt;"",GF73&lt;&gt;""),"SI","NO"))))</f>
        <v>NO</v>
      </c>
      <c r="NP73" s="204" t="str">
        <f t="shared" si="328"/>
        <v>DEFINIR CON ECO</v>
      </c>
      <c r="NQ73" s="21">
        <f>IF(AND(IP75&gt;0,IP75&lt;37),10,IF(OR(CD74="Transversa",CD74="Oblicua"),9,IF(CC74="SI",8,IF(AND(AT74=0,AW74=0,CC74="NO",CD74="Cefálica",IP75&gt;=37,IT75="INICIO ESPONTÁNEO"),1,IF(AND(AND(AT74=0,AW74=0,CC74="NO",CD74="Cefálica",IP75&gt;=37),OR(IT75="LE HACEN INDUCCIÓN",IT75="LE HACEN CESÁREA SIN INICIO TRABAJO DE PARTO")),2,IF(AND(AT74&gt;=1,AW74=0,CC74="NO",CD74="Cefálica",IP75&gt;=37,IT75="INICIO ESPONTÁNEO"),3,IF(AND(AND(AT74&gt;=1,AW74=0,CC74="NO",CD74="Cefálica",IP75&gt;=37),OR(IT75="LE HACEN INDUCCIÓN",IT75="LE HACEN CESÁREA SIN INICIO TRABAJO DE PARTO")),4,IF(AND(AND(AT74&gt;=1,AW74&gt;=1,CC74="NO",CD74="Cefálica",IP75&gt;=37),OR(IT75="LE HACEN INDUCCIÓN",IT75="LE HACEN CESÁREA SIN INICIO TRABAJO DE PARTO",IT75="INICIO ESPONTÁNEO")),5,IF(AND(AND(AT74=0,AW74=0,CC74="NO",CD74="Podálica",IP75&gt;=1),OR(IT75="LE HACEN INDUCCIÓN",IT75="LE HACEN CESÁREA SIN INICIO TRABAJO DE PARTO",IT75="INICIO ESPONTÁNEO")),6,IF(AND(AND(AT74&gt;=1,CC74="NO",CD74="Podálica",IP75&gt;=1),OR(IT75="LE HACEN INDUCCIÓN",IT75="LE HACEN CESÁREA SIN INICIO TRABAJO DE PARTO",IT75="INICIO ESPONTÁNEO"),OR(AW74=0,AW74&gt;=1)),7,""))))))))))</f>
        <v>10</v>
      </c>
      <c r="NR73" s="21">
        <f>IF(AND(O73="",R73=""),"",IF(AND(BS73&gt;0,BS73&lt;12,IP74&gt;28,IP74&lt;44),3, IF(OR(AND(BS73&gt;=12,BS73&lt;28,IP74&gt;=28,IP74&lt;44),AND(BS73&gt;0,BS73&lt;12,IP74&gt;=12,IP74&lt;29)),2,IF(OR(AND(BS73&gt;=28,BS73&lt;44),AND(BS73&gt;0,BS73&lt;12,IP74&gt;0,IP74&lt;12),AND(BS73&gt;=12,BS73&lt;28,IP74&gt;=12,IP74&lt;28)),1,IF(AND(BS73&gt;0,BS73&lt;12,BU73&gt;=28,BU73&lt;44,DV73="ACTIVA INGRESO A CPN"),3,IF(OR(AND(BS73&gt;0,BS73&lt;12,BU73&gt;=12,BU73&lt;28,DV73="ACTIVA INGRESO A CPN"),AND(BS73&gt;=12,BS73&lt;28,BU73&gt;=28,BU73&lt;44,DV73="ACTIVA INGRESO A CPN")),2,IF(OR(AND(BS73&gt;0,BS73&lt;12,BU73&gt;0,BU73&lt;12,DV73="ACTIVA INGRESO A CPN"),AND(BS73&gt;=12,BS73&lt;28,BU73&gt;=12,BU73&lt;28,DV73="ACTIVA INGRESO A CPN")),1,"REVISAR FUM O FECHA SALIDA PROGRAMA")))))))</f>
        <v>2</v>
      </c>
      <c r="NS73" s="205">
        <f t="shared" ca="1" si="329"/>
        <v>0</v>
      </c>
      <c r="NT73" s="21">
        <f t="shared" ca="1" si="330"/>
        <v>0</v>
      </c>
      <c r="NU73" s="21" t="str">
        <f t="shared" ca="1" si="331"/>
        <v>INCOMPLETO</v>
      </c>
      <c r="NV73" s="21" t="str">
        <f t="shared" ca="1" si="332"/>
        <v>INCOMPLETO</v>
      </c>
      <c r="NW73" s="206" t="str">
        <f>IF(AND(O73="",R73=""),"",IF(OR(AND(Tabla1[[#This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73" s="207" t="str">
        <f t="shared" ca="1" si="333"/>
        <v>SIN VACUNAR</v>
      </c>
      <c r="NY73" s="43">
        <f>ROW(Tabla1[[#This Row],['# DE TAMIZAJES SIFILIS TOMADOS ]])</f>
        <v>73</v>
      </c>
      <c r="NZ73" s="43">
        <f t="shared" si="334"/>
        <v>12</v>
      </c>
      <c r="OA73" s="43" t="str">
        <f t="shared" si="335"/>
        <v/>
      </c>
      <c r="OB73" s="43" t="str">
        <f t="shared" si="336"/>
        <v/>
      </c>
      <c r="OC73" s="43" t="str">
        <f t="shared" si="337"/>
        <v/>
      </c>
      <c r="OD73" s="43" t="str">
        <f t="shared" si="338"/>
        <v>NORMAL</v>
      </c>
      <c r="OE73" s="43" t="str">
        <f t="shared" si="339"/>
        <v/>
      </c>
      <c r="OF73" s="43" t="str">
        <f t="shared" si="340"/>
        <v/>
      </c>
      <c r="OG73" s="43" t="str">
        <f t="shared" si="341"/>
        <v/>
      </c>
      <c r="OH73" s="43" t="str">
        <f t="shared" si="342"/>
        <v/>
      </c>
      <c r="OI73" s="43" t="str">
        <f t="shared" si="343"/>
        <v/>
      </c>
      <c r="OJ73" s="43" t="str">
        <f t="shared" si="344"/>
        <v/>
      </c>
      <c r="OK73" s="43" t="str">
        <f t="shared" si="345"/>
        <v/>
      </c>
      <c r="OL73" s="43" t="str">
        <f t="shared" si="346"/>
        <v/>
      </c>
      <c r="OM73" s="43" t="str">
        <f t="shared" si="347"/>
        <v/>
      </c>
      <c r="ON73" s="43" t="str">
        <f t="shared" si="348"/>
        <v/>
      </c>
      <c r="OO73" s="43" t="str">
        <f t="shared" si="349"/>
        <v/>
      </c>
      <c r="OP73" s="43" t="str">
        <f t="shared" si="350"/>
        <v/>
      </c>
      <c r="OQ73" s="43" t="str">
        <f t="shared" si="351"/>
        <v/>
      </c>
      <c r="OR73" s="43" t="str">
        <f t="shared" si="352"/>
        <v/>
      </c>
      <c r="OS73" s="43" t="str">
        <f t="shared" si="353"/>
        <v/>
      </c>
      <c r="OT73" s="43" t="str">
        <f t="shared" si="354"/>
        <v/>
      </c>
      <c r="OU73" s="43" t="str">
        <f t="shared" si="355"/>
        <v/>
      </c>
      <c r="OV73" s="110" t="str">
        <f t="shared" si="356"/>
        <v/>
      </c>
      <c r="OW73" s="43" t="str">
        <f t="shared" si="357"/>
        <v/>
      </c>
      <c r="OX73" s="43" t="str">
        <f t="shared" si="358"/>
        <v/>
      </c>
      <c r="OY73" s="43" t="str">
        <f t="shared" si="359"/>
        <v/>
      </c>
      <c r="OZ73" s="43" t="str">
        <f t="shared" si="360"/>
        <v/>
      </c>
      <c r="PA73" s="43" t="str">
        <f t="shared" si="361"/>
        <v/>
      </c>
      <c r="PB73" s="43" t="str">
        <f t="shared" si="362"/>
        <v/>
      </c>
      <c r="PC73" s="43" t="str">
        <f t="shared" si="363"/>
        <v/>
      </c>
      <c r="PD73" s="43" t="str">
        <f t="shared" si="364"/>
        <v/>
      </c>
      <c r="PE73" s="43" t="str">
        <f t="shared" si="365"/>
        <v/>
      </c>
      <c r="PF73" s="43" t="str">
        <f t="shared" si="366"/>
        <v/>
      </c>
      <c r="PG73" s="43" t="str">
        <f t="shared" si="367"/>
        <v/>
      </c>
      <c r="PH73" s="43" t="str">
        <f t="shared" si="368"/>
        <v/>
      </c>
      <c r="PI73" s="43">
        <f t="shared" si="369"/>
        <v>23</v>
      </c>
      <c r="PJ73" s="43" t="str">
        <f t="shared" si="370"/>
        <v/>
      </c>
      <c r="PK73" s="43" t="str">
        <f t="shared" si="371"/>
        <v/>
      </c>
      <c r="PL73" s="43" t="str">
        <f t="shared" si="372"/>
        <v/>
      </c>
      <c r="PM73" s="43" t="str">
        <f t="shared" si="373"/>
        <v/>
      </c>
      <c r="PN73" s="43" t="str">
        <f t="shared" si="374"/>
        <v/>
      </c>
      <c r="PO73" s="43" t="str">
        <f t="shared" si="375"/>
        <v/>
      </c>
      <c r="PP73" s="43" t="str">
        <f t="shared" si="376"/>
        <v/>
      </c>
      <c r="PQ73" s="43" t="str">
        <f t="shared" si="377"/>
        <v/>
      </c>
      <c r="PR73" s="43" t="str">
        <f t="shared" si="378"/>
        <v/>
      </c>
      <c r="PS73" s="43" t="str">
        <f t="shared" si="379"/>
        <v/>
      </c>
      <c r="PT73" s="43" t="str">
        <f t="shared" si="380"/>
        <v/>
      </c>
      <c r="PU73" s="43" t="str">
        <f t="shared" si="381"/>
        <v/>
      </c>
      <c r="PV73" s="43" t="str">
        <f t="shared" si="382"/>
        <v/>
      </c>
      <c r="PW73" s="43" t="str">
        <f t="shared" si="383"/>
        <v/>
      </c>
      <c r="PX73" s="43" t="str">
        <f t="shared" si="384"/>
        <v/>
      </c>
      <c r="PY73" s="43" t="str">
        <f t="shared" si="385"/>
        <v/>
      </c>
      <c r="PZ73" s="43" t="str">
        <f t="shared" si="386"/>
        <v/>
      </c>
      <c r="QA73" s="43" t="str">
        <f t="shared" si="387"/>
        <v/>
      </c>
      <c r="QB73" s="43" t="str">
        <f t="shared" si="388"/>
        <v/>
      </c>
      <c r="QC73" s="43" t="str">
        <f t="shared" si="389"/>
        <v/>
      </c>
      <c r="QD73" s="43" t="str">
        <f t="shared" si="390"/>
        <v/>
      </c>
      <c r="QE73" s="43" t="str">
        <f t="shared" si="391"/>
        <v/>
      </c>
      <c r="QF73" s="43" t="str">
        <f t="shared" si="392"/>
        <v/>
      </c>
      <c r="QG73" s="43" t="str">
        <f t="shared" si="393"/>
        <v/>
      </c>
      <c r="QH73" s="43" t="str">
        <f t="shared" si="394"/>
        <v/>
      </c>
      <c r="QI73" s="43" t="str">
        <f t="shared" si="395"/>
        <v/>
      </c>
      <c r="QJ73" s="43" t="str">
        <f t="shared" si="396"/>
        <v/>
      </c>
      <c r="QK73" s="43" t="str">
        <f t="shared" si="397"/>
        <v/>
      </c>
      <c r="QL73" s="43" t="str">
        <f t="shared" si="398"/>
        <v/>
      </c>
      <c r="QM73" s="43" t="str">
        <f t="shared" si="399"/>
        <v/>
      </c>
      <c r="QN73" s="43" t="str">
        <f t="shared" si="400"/>
        <v/>
      </c>
      <c r="QO73" s="43" t="str">
        <f t="shared" si="401"/>
        <v/>
      </c>
      <c r="QP73" s="43" t="str">
        <f t="shared" si="402"/>
        <v/>
      </c>
      <c r="QQ73" s="43" t="str">
        <f t="shared" si="403"/>
        <v/>
      </c>
      <c r="QR73" s="43">
        <f t="shared" si="433"/>
        <v>23</v>
      </c>
      <c r="QS73" s="43"/>
      <c r="QT73" s="21" t="str">
        <f t="shared" si="404"/>
        <v/>
      </c>
      <c r="QU73" s="21" t="str">
        <f t="shared" si="405"/>
        <v/>
      </c>
      <c r="QV73" s="21" t="str">
        <f t="shared" si="406"/>
        <v/>
      </c>
      <c r="QW73" s="21" t="str">
        <f t="shared" si="407"/>
        <v/>
      </c>
      <c r="QX73" s="21" t="str">
        <f t="shared" si="408"/>
        <v/>
      </c>
      <c r="QY73" s="21" t="str">
        <f t="shared" si="409"/>
        <v/>
      </c>
      <c r="QZ73" s="21" t="str">
        <f t="shared" si="410"/>
        <v/>
      </c>
      <c r="RA73" s="21" t="str">
        <f t="shared" si="411"/>
        <v/>
      </c>
      <c r="RB73" s="21" t="str">
        <f t="shared" si="412"/>
        <v/>
      </c>
      <c r="RC73" s="21" t="str">
        <f t="shared" si="413"/>
        <v/>
      </c>
      <c r="RD73" s="21" t="str">
        <f t="shared" si="414"/>
        <v/>
      </c>
      <c r="RE73" s="21" t="str">
        <f t="shared" si="415"/>
        <v/>
      </c>
      <c r="RF73" s="21" t="str">
        <f t="shared" si="416"/>
        <v/>
      </c>
      <c r="RG73" s="21" t="str">
        <f t="shared" si="417"/>
        <v/>
      </c>
      <c r="RH73" s="21" t="str">
        <f t="shared" si="418"/>
        <v/>
      </c>
      <c r="RI73" s="21" t="str">
        <f t="shared" si="419"/>
        <v/>
      </c>
      <c r="RJ73" s="21" t="str">
        <f t="shared" si="420"/>
        <v/>
      </c>
      <c r="RK73" s="21" t="str">
        <f t="shared" si="421"/>
        <v/>
      </c>
      <c r="RL73" s="21" t="str">
        <f t="shared" si="422"/>
        <v/>
      </c>
      <c r="RM73" s="21" t="str">
        <f t="shared" si="423"/>
        <v/>
      </c>
      <c r="RN73" s="21" t="str">
        <f t="shared" si="424"/>
        <v/>
      </c>
      <c r="RO73" s="21" t="str">
        <f t="shared" si="425"/>
        <v/>
      </c>
      <c r="RP73" s="21" t="str">
        <f t="shared" si="426"/>
        <v/>
      </c>
      <c r="RQ73" s="21" t="str">
        <f t="shared" si="427"/>
        <v/>
      </c>
      <c r="RR73" s="21" t="str">
        <f t="shared" si="428"/>
        <v/>
      </c>
      <c r="RS73" s="21" t="str">
        <f t="shared" si="429"/>
        <v/>
      </c>
      <c r="RT73" s="21" t="str">
        <f t="shared" si="430"/>
        <v/>
      </c>
      <c r="RU73" s="21" t="str">
        <f t="shared" si="431"/>
        <v/>
      </c>
      <c r="RV73" s="21">
        <f t="shared" si="432"/>
        <v>12.428571428571429</v>
      </c>
      <c r="RW73" s="284">
        <f>IF(OR(Tabla1[[#This Row],[FUM FORMULA CONFIABLE]]="",Tabla1[[#This Row],[FUM FORMULA CONFIABLE]]="SD"),"",IF(Tabla1[[#This Row],[FUM FORMULA CONFIABLE]]="CORREGIDA",Tabla1[[#This Row],[FUM X ECO 1]],Tabla1[[#This Row],[FUM x AMENORREA]]))</f>
        <v>44823</v>
      </c>
      <c r="RX73" s="21" t="str">
        <f>IF(AND(Tabla1[[#This Row],[FUM X ECO 1]]="",Tabla1[[#This Row],[FUM x AMENORREA]]=""),"",IF(AND(Tabla1[[#This Row],[FUM X ECO 1]]="",Tabla1[[#This Row],[FUM x AMENORREA]]&lt;&gt;""),"X",SUM(Tabla1[[#This Row],[FUM X ECO 1]]-Tabla1[[#This Row],[FUM x AMENORREA]])))</f>
        <v>X</v>
      </c>
      <c r="RY73" s="21" t="str">
        <f t="shared" si="434"/>
        <v>x</v>
      </c>
    </row>
    <row r="74" spans="1:493" ht="45" customHeight="1" x14ac:dyDescent="0.25">
      <c r="A74" s="109"/>
      <c r="B74" s="43"/>
      <c r="C74" s="43" t="s">
        <v>845</v>
      </c>
      <c r="D74" s="124" t="s">
        <v>846</v>
      </c>
      <c r="E74" s="43" t="s">
        <v>1219</v>
      </c>
      <c r="F74" s="43" t="s">
        <v>1091</v>
      </c>
      <c r="G74" s="43" t="s">
        <v>1192</v>
      </c>
      <c r="H74" s="43" t="s">
        <v>1220</v>
      </c>
      <c r="I74" s="109" t="s">
        <v>1094</v>
      </c>
      <c r="J74" s="110">
        <v>1059598103</v>
      </c>
      <c r="K74" s="43" t="s">
        <v>852</v>
      </c>
      <c r="L74" s="175" t="s">
        <v>853</v>
      </c>
      <c r="M74" s="22">
        <v>39130</v>
      </c>
      <c r="N74" s="213">
        <f t="shared" ca="1" si="252"/>
        <v>16.717808219178082</v>
      </c>
      <c r="O74" s="22">
        <v>44910</v>
      </c>
      <c r="P74" s="214" t="str">
        <f>IF(AND(O74="",R74&gt;0),"ACUDE ESPONTANEAMENTE",IF(AND(AND(O74&gt;0,R74=""),OR(IN75&gt;0,IK74&lt;&gt;"")),"NA",IF(AND(O74&gt;0,IN75="",R74=""),"NO",IF(AND(O74&gt;0,R74&gt;0),"SI",""))))</f>
        <v>SI</v>
      </c>
      <c r="Q74" s="26" t="s">
        <v>855</v>
      </c>
      <c r="R74" s="22">
        <v>44910</v>
      </c>
      <c r="S74" s="21" t="s">
        <v>856</v>
      </c>
      <c r="T74" s="24" t="s">
        <v>690</v>
      </c>
      <c r="U74" s="21" t="s">
        <v>857</v>
      </c>
      <c r="V74" s="21" t="s">
        <v>858</v>
      </c>
      <c r="W74" s="21" t="s">
        <v>1221</v>
      </c>
      <c r="X74" s="21" t="s">
        <v>1221</v>
      </c>
      <c r="Y74" s="21" t="s">
        <v>859</v>
      </c>
      <c r="Z74" s="21">
        <v>3127884593</v>
      </c>
      <c r="AA74" s="21" t="s">
        <v>860</v>
      </c>
      <c r="AB74" s="27" t="s">
        <v>861</v>
      </c>
      <c r="AC74" s="26" t="s">
        <v>862</v>
      </c>
      <c r="AD74" s="38" t="s">
        <v>846</v>
      </c>
      <c r="AE74" s="26" t="s">
        <v>854</v>
      </c>
      <c r="AF74" s="26" t="s">
        <v>854</v>
      </c>
      <c r="AG74" s="23" t="s">
        <v>864</v>
      </c>
      <c r="AH74" s="23" t="s">
        <v>864</v>
      </c>
      <c r="AI74" s="24" t="s">
        <v>863</v>
      </c>
      <c r="AJ74" s="23" t="s">
        <v>864</v>
      </c>
      <c r="AK74" s="220" t="str">
        <f>IF(AND(AD74="",AE74="",AF74="",AG74="",AH74="",AI74="",AJ74=""),"",IF(OR(Tabla1[[#This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EVALUACIÓN",IF(AND(O74="",R74=""),"",IF(AND(OR(O74&gt;0,R74&gt;0),NG74&gt;=0,NG74&lt;2),"SIN RIESGO",IF(AND(OR(O74&gt;0,R74&gt;0),NG74&gt;=2),"CON RIESGO","ASD")))))</f>
        <v>SIN RIESGO</v>
      </c>
      <c r="AL74" s="23" t="s">
        <v>864</v>
      </c>
      <c r="AM74" s="26" t="s">
        <v>864</v>
      </c>
      <c r="AN74" s="26" t="s">
        <v>864</v>
      </c>
      <c r="AO74" s="26" t="s">
        <v>864</v>
      </c>
      <c r="AP74" s="26" t="s">
        <v>864</v>
      </c>
      <c r="AQ74" s="26" t="s">
        <v>864</v>
      </c>
      <c r="AR74" s="26" t="s">
        <v>864</v>
      </c>
      <c r="AS74" s="21">
        <v>0</v>
      </c>
      <c r="AT74" s="21">
        <v>0</v>
      </c>
      <c r="AU74" s="21">
        <v>0</v>
      </c>
      <c r="AV74" s="26" t="s">
        <v>864</v>
      </c>
      <c r="AW74" s="21">
        <v>1</v>
      </c>
      <c r="AX74" s="26" t="s">
        <v>864</v>
      </c>
      <c r="AY74" s="26" t="s">
        <v>864</v>
      </c>
      <c r="AZ74" s="26" t="s">
        <v>864</v>
      </c>
      <c r="BA74" s="26" t="s">
        <v>864</v>
      </c>
      <c r="BB74" s="26" t="s">
        <v>864</v>
      </c>
      <c r="BC74" s="26" t="s">
        <v>864</v>
      </c>
      <c r="BD74" s="26" t="s">
        <v>864</v>
      </c>
      <c r="BE74" s="26" t="s">
        <v>864</v>
      </c>
      <c r="BF74" s="26" t="s">
        <v>864</v>
      </c>
      <c r="BG74" s="26" t="s">
        <v>864</v>
      </c>
      <c r="BH74" s="26" t="s">
        <v>864</v>
      </c>
      <c r="BI74" s="26" t="s">
        <v>864</v>
      </c>
      <c r="BJ74" s="26"/>
      <c r="BK74" s="26"/>
      <c r="BL74" s="26" t="s">
        <v>864</v>
      </c>
      <c r="BM74" s="26" t="s">
        <v>864</v>
      </c>
      <c r="BN74" s="22"/>
      <c r="BO74" s="22">
        <v>44789</v>
      </c>
      <c r="BP74" s="21" t="s">
        <v>854</v>
      </c>
      <c r="BQ74" s="222">
        <f t="shared" si="254"/>
        <v>0</v>
      </c>
      <c r="BR74" s="223">
        <f t="shared" si="255"/>
        <v>44789.9</v>
      </c>
      <c r="BS74" s="224">
        <f t="shared" si="256"/>
        <v>17.285714285714285</v>
      </c>
      <c r="BT74" s="216" t="str">
        <f t="shared" si="257"/>
        <v>II TRIM</v>
      </c>
      <c r="BU74" s="214" t="str">
        <f t="shared" ca="1" si="258"/>
        <v/>
      </c>
      <c r="BV74" s="25"/>
      <c r="BW74" s="22">
        <v>44960</v>
      </c>
      <c r="BX74" s="28">
        <v>24.3</v>
      </c>
      <c r="BY74" s="28"/>
      <c r="BZ74" s="22"/>
      <c r="CA74" s="21"/>
      <c r="CB74" s="26" t="s">
        <v>864</v>
      </c>
      <c r="CC74" s="26" t="s">
        <v>864</v>
      </c>
      <c r="CD74" s="26" t="s">
        <v>972</v>
      </c>
      <c r="CE74" s="26" t="s">
        <v>864</v>
      </c>
      <c r="CF74" s="22" t="s">
        <v>1517</v>
      </c>
      <c r="CG74" s="21">
        <v>1.45</v>
      </c>
      <c r="CH74" s="21">
        <v>45</v>
      </c>
      <c r="CI74" s="214">
        <f t="shared" si="259"/>
        <v>21.403091557669441</v>
      </c>
      <c r="CJ74" s="225" t="e">
        <f>IF(AND(CI74&lt;10,CH74="SD"),"SIN DATO PESO PREGESTACION O I TRIM",IF(AND(OR(R74&gt;0,O74&gt;0),CI74="X"),"INGRESAR DATO DE PESO",IF(CI74="SD","INGRESAR DATO DE TALLA Y PESO",IF(AND(OR(Tabla1[[#This Row],[MOMENTO EN QUE SE REALIZA EL PESO AL INGRESO A CPN]]="PREGESTACIÓN",NZ74="Menor"),CI74&lt;18.5),"BAJO PESO",IF(AND(OR(Tabla1[[#This Row],[MOMENTO EN QUE SE REALIZA EL PESO AL INGRESO A CPN]]="PREGESTACIÓN",NZ74="Menor"),CI74&lt;25),"NORMAL",IF(AND(OR(Tabla1[[#This Row],[MOMENTO EN QUE SE REALIZA EL PESO AL INGRESO A CPN]]="PREGESTACIÓN",NZ74="Menor"),CI74&lt;30),"SOBREPESO",IF(AND(OR(Tabla1[[#This Row],[MOMENTO EN QUE SE REALIZA EL PESO AL INGRESO A CPN]]="PREGESTACIÓN",NZ74="Menor"),CI74&gt;=30,CI74&lt;50),"OBESIDAD",IF(AND(BS74&gt;0,Tabla1[[#This Row],[MOMENTO EN QUE SE REALIZA EL PESO AL INGRESO A CPN]]="GESTACIÓN"),HLOOKUP(NZ74,$OA$2:PH74,NY74),""))))))))</f>
        <v>#REF!</v>
      </c>
      <c r="CK74" s="212">
        <f t="shared" si="260"/>
        <v>45026</v>
      </c>
      <c r="CL74" s="21"/>
      <c r="CM74" s="214">
        <f t="shared" si="261"/>
        <v>0</v>
      </c>
      <c r="CN74" s="216">
        <f t="shared" si="262"/>
        <v>33</v>
      </c>
      <c r="CO74" s="216" t="e">
        <f>IF(PI74="","",IF(PI74&gt;0,HLOOKUP(PI74,$PJ$2:QQ74,NY74),""))</f>
        <v>#REF!</v>
      </c>
      <c r="CP74" s="21"/>
      <c r="CQ74" s="216" t="e">
        <f>IF(QR74="Menor","NO APLICA-MENOR 13 SEM",IF(AND(CC74="SI",CN74&gt;23),"NO APLICA- GEMELAR",IF(QR74="","",IF(QR74&gt;0,HLOOKUP(QR74,$QS$2:RU74,NY74),""))))</f>
        <v>#REF!</v>
      </c>
      <c r="CR74" s="21">
        <v>100</v>
      </c>
      <c r="CS74" s="21">
        <v>60</v>
      </c>
      <c r="CT74" s="217" t="str">
        <f>IF(R74="","",IF(AND(BS74&gt;1,BS74&lt;12,Tabla1[[#This Row],[T.A. SISTOLICA - ANTES DE SEMANA 12]]="",Tabla1[[#This Row],[T.A. DIASTOLICA - ANTES DE SEMANA 12]]=""),"REGISTRE DATO TA ANTES SEMANA 12",IF(AND(BS74&gt;11,BS74&lt;43,Tabla1[[#This Row],[T.A. SISTOLICA - ANTES DE SEMANA 12]]="",Tabla1[[#This Row],[T.A. DIASTOLICA - ANTES DE SEMANA 12]]=""),"NO APLICA REGISTRO TA-INGRESO TARDIO",IF(AND(OR(O74&gt;0,R74&gt;0),OR(CR74&gt;=140,CS74&gt;=90)),"DEFINIR ESTADIO HTA",IF(AND(OR(O74&gt;0,R74&gt;0),AND(CR74&gt;120,CR74&lt;=139)),"PRE HTA SEGUIMIENTO",IF(AND(OR(O74&gt;0,R74&gt;0),AND(CS74&gt;80,CS74&lt;=89)),"PRE HTA SEGUIMIENTO",IF(AND(OR(O74&gt;0,R74&gt;0),AND(CR74&gt;=80,CR74&lt;=120)),"APARENTEMENTE NORMAL",IF(AND(OR(O74&gt;0,R74&gt;0),AND(CS74&gt;=50,CS74&lt;=80)),"APARENTEMENTE NORMAL",IF(AND(OR(O74&gt;0,R74&gt;0),AND(CR74&gt;1,CR74&lt;=70),AND(CS74&gt;1,CS74&lt;=40)),"HIPOTENSIÓN","")))))))))</f>
        <v>APARENTEMENTE NORMAL</v>
      </c>
      <c r="CU74" s="21">
        <v>90</v>
      </c>
      <c r="CV74" s="21">
        <v>70</v>
      </c>
      <c r="CW74" s="217" t="str">
        <f ca="1">IF(R74="","",IF(AND(CN74&gt;19,CN74&lt;27,Tabla1[[#This Row],[T.A. SISTOLICA (Entre semana 20 y 26)]]="",Tabla1[[#This Row],[T.A. DIATOLICA (Entre semana 20 y 26)]]=""),"ACUDE A CONTROL SEM 20 A 26 REGISTRE TA AHORA",IF(AND(BS74&gt;1,BS74&lt;27,BU74&gt;19,Tabla1[[#This Row],[T.A. SISTOLICA (Entre semana 20 y 26)]]="",Tabla1[[#This Row],[T.A. DIATOLICA (Entre semana 20 y 26)]]=""),"COMPLETE REGISTRO TA CONTROL SEM 20 A26 ",IF(AND(BS74&gt;26,BS74&lt;43,Tabla1[[#This Row],[T.A. SISTOLICA (Entre semana 20 y 26)]]="",Tabla1[[#This Row],[T.A. DIATOLICA (Entre semana 20 y 26)]]=""),"NO APLICA REGISTRO TA-INGRESO TARDIO",IF(AND(OR(O74&gt;0,R74&gt;0),OR(CU74&gt;=140,CV74&gt;=90)),"ALTO RIESGO PREECLAMPSIA,DEFINIR ESTADIO HTA",IF(AND(OR(O74&gt;0,R74&gt;0),AND(CU74&gt;120,CU74&lt;=139)),"PRE HTA SEGUIMIENTO,RIESGO HIPERTENSION INDUCIDA POR EL EMBARAZO",IF(AND(OR(O74&gt;0,R74&gt;0),AND(CV74&gt;80,CV74&lt;=89)),"PRE HTA SEGUIMIENTO, RIESGO HIPERTENSION INDUCIDA POR EL EMBARAZO",IF(AND(OR(O74&lt;&gt;"",R74&lt;&gt;""),CS74&lt;&gt;"",CV74&lt;&gt;"",CS74&lt;=CV74),"VIGILAR CIFRAS PRESION ARTERIAL",IF(AND(OR(O74&gt;0,R74&gt;0),AND(CU74&gt;120,CU74&lt;=139)),"PRE HTA SEGUIMIENTO",IF(AND(OR(O74&gt;0,R74&gt;0),AND(CU74&gt;1,CU74&lt;=70),AND(CV74&gt;1,CV74&lt;=40)),"HIPOTENSIÓN",IF(AND(OR(O74&lt;&gt;"",R74&lt;&gt;""),CS74&lt;&gt;"",CV74&lt;&gt;"",CS74&gt;CV74),"APARENTEMENTE NORMAL",IF(AND(OR(O74&gt;0,R74&gt;0),AND(CU74&gt;=80,CU74&lt;=120)),"APARENTEMENTE NORMAL",IF(AND(OR(O74&gt;0,R74&gt;0),AND(CV74&gt;=50,CV74&lt;=80)),"APARENTEMENTE NORMAL","")))))))))))))</f>
        <v>VIGILAR CIFRAS PRESION ARTERIAL</v>
      </c>
      <c r="CX74" s="21">
        <v>90</v>
      </c>
      <c r="CY74" s="21">
        <v>60</v>
      </c>
      <c r="CZ74" s="216" t="str">
        <f t="shared" si="263"/>
        <v>APARENTEMENTE NORMAL</v>
      </c>
      <c r="DA74" s="21"/>
      <c r="DB74" s="21"/>
      <c r="DC74" s="217" t="str">
        <f t="shared" si="264"/>
        <v>REGISTRE DATO PRESIÓN ARTERIAL MENSUAL</v>
      </c>
      <c r="DD74" s="22">
        <v>44910</v>
      </c>
      <c r="DE74" s="22">
        <v>44910</v>
      </c>
      <c r="DF74" s="22">
        <v>44958</v>
      </c>
      <c r="DG74" s="22"/>
      <c r="DH74" s="22">
        <v>45026</v>
      </c>
      <c r="DI74" s="22"/>
      <c r="DJ74" s="22"/>
      <c r="DK74" s="22"/>
      <c r="DL74" s="22"/>
      <c r="DM74" s="22"/>
      <c r="DN74" s="22"/>
      <c r="DO74" s="22"/>
      <c r="DP74" s="22"/>
      <c r="DQ74" s="22"/>
      <c r="DR74" s="28">
        <v>1</v>
      </c>
      <c r="DS74" s="22"/>
      <c r="DT74" s="22"/>
      <c r="DU74" s="216" t="str">
        <f ca="1">IF(AND(BT74="ERROR FUM O INGRESO",DS74&gt;0),"ERROR FUM O INGRESO",IF(AND(DS74="",R74="",O74=""),"",IF(OR(AND(DS74&lt;&gt;"",DS74&lt;RW74),AND(DS74&lt;&gt;"",AND(SUM((DS74-RW74)/7)&gt;0,SUM((DS74-RW74)/7)&lt;28))),"PLAN REALIZADO ANTES III TRIM", IF(AND(DS74="",OR(O74&gt;0,R74&gt;0),AND(BU74&gt;=28, BU74&lt;35,DV74="ACTIVA INGRESO A CPN")),"PLANEAR PLAN DE PARTO", IF(AND(DS74="",OR(O74&gt;0,R74&gt;0),BU74&gt;=35,DV74="ACTIVA INGRESO A CPN"),"CONCERTAR PLAN DE PARTO INMEDIATO", IF(AND(DS74="",OR(O74&gt;0,R74&gt;0),AND(BU74&gt;0, BU74&lt;28),OR(DV74="ACTIVA INGRESO A CPN", DV74=" ACTIVA SIN INGRESO CPN")),"EN ESPERA", IF(AND(DS74="",OR(O74&gt;0,R74&gt;0),AND(IP75&gt;0, IP75&lt;28)),"NO APLICA SALE PROGRAMA ANTES III TRIM", IF(AND(DS74="",OR(O74&gt;0,R74&gt;0),AND(IP75&gt;=28, IP75&lt;35)),"SALE PROGRAMA ANTES SEMANA 35", IF(AND(DS74="",OR(O74&gt;0,R74&gt;0),IP75&gt;35),"SALE SIN PLAN DE PARTO",IF(DS74&gt;0,SUM(DS74-BO74)/7,""))))))))))</f>
        <v>SALE SIN PLAN DE PARTO</v>
      </c>
      <c r="DV74" s="226" t="str">
        <f>IF(AND(R74&lt;&gt;"",IK74="CAMBIO DE RESIDENCIA",IK74="CAMBIO DE IPS",IK74="CAMBIO DE EPS"),"SEGUIMIENTO REPORTE EPS",IF(IK74="IVE","IVE",IF(AND(R74&lt;&gt;"",OR(IK74&lt;&gt;"",IN75&lt;&gt;"")),"SALIO PROGRAMA",IF(AND(AND(R74="",O74&gt;0),OR(IK74&lt;&gt;"",IN75&lt;&gt;"")),"SALE SIN INGRESO CPN",IF(AND(R74="",O74&gt;0,IK74="",IN75=""),"ACTIVA SIN INGRESO CPN",IF(AND(R74&lt;&gt;"",OR(IK74="",IN75="")),"ACTIVA INGRESO A CPN",""))))))</f>
        <v>SALIO PROGRAMA</v>
      </c>
      <c r="DW74"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74" s="216" t="str">
        <f t="shared" ca="1" si="266"/>
        <v/>
      </c>
      <c r="DY74" s="212">
        <f>IF(R74="","",IF(R74&gt;0,MAX(Tabla1[[#This Row],[FECHA C2]:[FECHA C13]],Tabla1[[#This Row],[FECHA CONSULTA PRIMERA VEZ PROGRAMA CPN ]])))</f>
        <v>45026</v>
      </c>
      <c r="DZ74" s="216">
        <f t="shared" si="267"/>
        <v>33</v>
      </c>
      <c r="EA74" s="222">
        <f>IF(R74&gt;0,SUM(COUNTA(DF74:DQ74)+COUNTA(Tabla1[[#This Row],[FECHA CONSULTA PRIMERA VEZ PROGRAMA CPN ]])),"")</f>
        <v>3</v>
      </c>
      <c r="EB74" s="222" t="str">
        <f t="shared" si="268"/>
        <v>NO</v>
      </c>
      <c r="EC74" s="214">
        <f t="shared" si="269"/>
        <v>7</v>
      </c>
      <c r="ED74" s="227">
        <f t="shared" si="270"/>
        <v>0.42857142857142855</v>
      </c>
      <c r="EE74" s="22">
        <v>44910</v>
      </c>
      <c r="EF74" s="22">
        <v>44960</v>
      </c>
      <c r="EG74" s="22">
        <v>44910</v>
      </c>
      <c r="EH74" s="22"/>
      <c r="EI74" s="22">
        <v>44910</v>
      </c>
      <c r="EJ74" s="22"/>
      <c r="EK74" s="22"/>
      <c r="EL74" s="21"/>
      <c r="EM74" s="21">
        <v>13.6</v>
      </c>
      <c r="EN74" s="22">
        <v>44960</v>
      </c>
      <c r="EO74" s="222">
        <f t="shared" si="271"/>
        <v>24.428571428571427</v>
      </c>
      <c r="EP74" s="214" t="str">
        <f t="shared" si="272"/>
        <v>NORMAL- SUMINISTRAR SULFATO FERROSO</v>
      </c>
      <c r="EQ74" s="216" t="str">
        <f t="shared" si="273"/>
        <v>II TRIM</v>
      </c>
      <c r="ER74" s="24"/>
      <c r="ES74" s="22"/>
      <c r="ET74" s="29" t="str">
        <f ca="1">IF(AND(BT74="ERROR FUM O INGRESO",ES74&gt;0),"ERROR FUM O INGRESO",IF(AND(ES74="",R74="",O74=""),"",IF(OR(AND(ES74&lt;&gt;"",ES74&lt;RW74),AND(ES74&lt;&gt;"",SUM((ES74-RW74)/7)&gt;40)),"CORREGIR FECHA RESULTADO",IF(AND(BU74&gt;1,BU74&lt;23,ER74="",ES74=""),"EN ESPERA PARA TOMA EXAMEN",IF(AND(BU74&gt;22,BU74&lt;26,ER74="",ES74=""),"PROGRAMAR TOMA HEMOGLOBINA A SEM 28",IF(AND(BU74&gt;25,BU74&lt;28,ER74="",ES74=""),"TOMA HEMOGLOBINA A SEM 28 EN 1 SEMANA",IF(AND(BU74&gt;27,BU74&lt;31,ES74="",OR(O74&gt;0,R74&gt;0)),"EN SEMANA 28 TOMA INMEDIATA DE EXAMEN",IF(AND(IP75&gt;0,IP75&lt;28,ES74="",OR(O74&gt;0,R74&gt;0)),"NO APLICA-SALE ANTES SEM 28",IF(AND(IP75&gt;28,IP75&lt;43,ES74="",OR(O74&gt;0,R74&gt;0)),"SALE SIN TAMIZAJE HEMOGLOBINA SEM 28",IF(AND(BS74&gt;0,ES74="",OR(O74&gt;0,R74&gt;0)),"TOMA DE HEMOGLOBINA TARDÍA",IF(ES74&gt;0,SUM(ES74-RW74)/7,"")))))))))))</f>
        <v>SALE SIN TAMIZAJE HEMOGLOBINA SEM 28</v>
      </c>
      <c r="EU74" s="25" t="str">
        <f t="shared" si="275"/>
        <v/>
      </c>
      <c r="EV74" s="24" t="s">
        <v>866</v>
      </c>
      <c r="EW74" s="24">
        <v>44960</v>
      </c>
      <c r="EX74" s="22"/>
      <c r="EY74" s="29">
        <f t="shared" si="248"/>
        <v>24.428571428571427</v>
      </c>
      <c r="EZ74" s="25" t="str">
        <f t="shared" ca="1" si="249"/>
        <v/>
      </c>
      <c r="FA74" s="21"/>
      <c r="FB74" s="22"/>
      <c r="FC74" s="29" t="str">
        <f t="shared" si="276"/>
        <v>TOMAR EXAMEN</v>
      </c>
      <c r="FD74" s="29">
        <v>60</v>
      </c>
      <c r="FE74" s="29">
        <v>140</v>
      </c>
      <c r="FF74" s="29">
        <v>70</v>
      </c>
      <c r="FG74" s="21" t="str">
        <f t="shared" ca="1" si="277"/>
        <v>NORMAL</v>
      </c>
      <c r="FH74" s="31">
        <v>44960</v>
      </c>
      <c r="FI74" s="29">
        <f t="shared" si="278"/>
        <v>24.428571428571427</v>
      </c>
      <c r="FJ74" s="22"/>
      <c r="FK74" s="22"/>
      <c r="FL74" s="29" t="str">
        <f t="shared" ca="1" si="279"/>
        <v>NO APLICA-INGRESO TARDIO</v>
      </c>
      <c r="FM74" s="22" t="s">
        <v>867</v>
      </c>
      <c r="FN74" s="32">
        <v>44960</v>
      </c>
      <c r="FO74" s="29">
        <f ca="1">IF(AND(BT74="ERROR FUM O INGRESO",FN74&gt;0),"ERROR FUM O INGRESO",IF(AND(FN74="",R74="",O74=""),"",IF(AND(FN74&lt;&gt;"",FN74&lt;RW74), "INCOHERENCIA FUM Y FECHA TAMIZAJE",IF(AND(FN74="",DV74="ACTIVA INGRESO A CPN",AND(BU74&gt;0,BU74&lt;13)),"EN ESPERA-ESTÁ I TRIM", IF(AND(FN74="",AND(BS74&gt;0, BS74&lt;13),OR(O74&gt;0,R74&gt;0),AND(IP75&gt;0,IP75&lt;13)),"NO APLICA-SALIO DEL PROGRAMA I TRIM",IF(AND(FN74&lt;&gt;"",AND(SUM((FN74-RW74)/7)&gt;0,SUM((FN74-RW74)/7)&lt;13)),"REGISTRAR EN I TRIMESTRE",IF(AND(FN74&lt;&gt;"",AND(SUM((FN74-RW74)/7)&gt;=27,SUM((FN74-RW74)/7)&lt;44)),"REGISTRAR EN III TRIMESTRE",IF(AND(FN74="",OR(O74&gt;0,R74&gt;0),AND(BU74&gt;=13,BU74&lt;24),DV74="ACTIVA INGRESO A CPN"),"EN RANGO PARA TOMAR EXAMEN",IF(AND(FN74="",OR(O74&gt;0,R74&gt;0),AND(BU74&gt;=25,BU74&lt;27),DV74="ACTIVA INGRESO A CPN"),"TOMA INMEDIATA DE TAMIZAJE",IF(AND(FN74="",OR(O74&gt;0,R74&gt;0),AND(BS74&gt;=27,BS74&lt;44)),"NO APLICA-INGRESO TARDIO",IF(AND(FN74="",BS74&lt;27,OR(AND(IP75&gt;12,IP75&lt;44),BU74&gt;12)),"PIERDE TOMA DE TAMIZAJE",IF(FN74&gt;0,SUM(FN74-RW74)/7,""))))))))))))</f>
        <v>24.428571428571427</v>
      </c>
      <c r="FP74" s="22"/>
      <c r="FQ74" s="32"/>
      <c r="FR74" s="29" t="str">
        <f ca="1">IF(AND(BT74="ERROR FUM O INGRESO",FQ74&gt;0),"ERROR FUM O INGRESO",IF(AND(FQ74="",R74="",O74=""),"",IF(AND(FQ74&lt;&gt;"",FQ74&lt;RW74), "INCOHERENCIA FUM Y FECHA TAMIZAJE",IF(AND(FQ74="",DV74="ACTIVA INGRESO A CPN",AND(BU74&gt;0,BU74&lt;27)),"EN ESPERA-ESTÁ I TRIM O II TRIM", IF(AND(FQ74="",AND(BS74&gt;0, BS74&lt;27),OR(O74&gt;0,R74&gt;0),AND(IP75&gt;0,IP75&lt;27)),"NO APLICA-SALIO DEL PROGRAMA I O II TRIM",IF(AND(FQ74&lt;&gt;"",AND(SUM((FQ74-RW74)/7)&gt;0,SUM((FQ74-RW74)/7)&lt;13)),"REGISTAR EN I TRIMESTRE",IF(AND(FQ74&lt;&gt;"",AND(SUM((FQ74-RW74)/7)&gt;=13,SUM((FQ74-RW74)/7)&lt;27)),"REGISTRAR EN II TRIMESTRE",IF(AND(FQ74="",OR(O74&gt;0,R74&gt;0),AND(BU74&gt;=28,BU74&lt;35),DV74="ACTIVA INGRESO A CPN"),"EN RANGO PARA TOMAR EXAMEN",IF(AND(FQ74="",OR(O74&gt;0,R74&gt;0),BU74&gt;=35, DV74="ACTIVA INGRESO A CPN"),"TOMA INMEDIATA DE TAMIZAJE",IF(AND(FQ74="",DV74= "SALE SIN INGRESO CPN"),"NO APLICA-SIN CPN",IF(AND(FQ74="",AND(IP75&gt;26,IP75&lt;43)),"PIERDE TOMA DE TAMIZAJE",IF(FQ74&gt;0,SUM(FQ74-RW74)/7,""))))))))))))</f>
        <v>PIERDE TOMA DE TAMIZAJE</v>
      </c>
      <c r="FS74" s="22"/>
      <c r="FT74" s="32"/>
      <c r="FU74" s="29" t="str">
        <f>IF(AND(FJ74="",FM74="",FP74="",FS74=""),"",IF(OR(OR(Tabla1[[#This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74" s="28"/>
      <c r="FW74" s="22"/>
      <c r="FX74" s="29" t="str">
        <f t="shared" si="280"/>
        <v>TOMAR EXAMEN</v>
      </c>
      <c r="FY74" s="22">
        <v>44960</v>
      </c>
      <c r="FZ74" s="22">
        <v>44960</v>
      </c>
      <c r="GA74" s="29" t="str">
        <f t="shared" si="250"/>
        <v>REGISTRAR EN II TRIMESTRE</v>
      </c>
      <c r="GB74" s="22" t="s">
        <v>868</v>
      </c>
      <c r="GC74" s="22">
        <v>44960</v>
      </c>
      <c r="GD74" s="29">
        <f ca="1">IF(AND(BT74="ERROR FUM O INGRESO",GC74&gt;0),"ERROR FUM O INGRESO",IF(AND(GC74="",R74="",O74=""),"",IF(AND(GC74&lt;&gt;"",GC74&lt;RW74), "INCOHERENCIA FUM Y FECHA TAMIZAJE",IF(AND(GC74="",DV74="ACTIVA INGRESO A CPN",AND(BU74&gt;0,BU74&lt;13)),"EN ESPERA-ESTÁ I TRIM", IF(AND(GC74="",AND(BS74&gt;0, BS74&lt;12),OR(O74&gt;0,R74&gt;0),AND(IP75&gt;0,IP75&lt;13)),"NO APLICA-SALIO DEL PROGRAMA I TRIM",IF(AND(GC74&lt;&gt;"",AND(SUM((GC74-RW74)/7)&gt;0,SUM((GC74-RW74)/7)&lt;13)),"REGISTRAR EN I TRIMESTRE",IF(AND(GC74&lt;&gt;"",AND(SUM((GC74-RW74)/7)&gt;=27,SUM((GC74-RW74)/7)&lt;44)),"REGISTRAR EN III TRIMESTRE",IF(AND(GC74="",OR(O74&gt;0,R74&gt;0),AND(BU74&gt;=12,BU74&lt;25),DV74="ACTIVA INGRESO A CPN"),"EN RANGO PARA TOMAR EXAMEN",IF(AND(GC74="",OR(O74&gt;0,R74&gt;0),AND(BU74&gt;=25,BU74&lt;27),DV74="ACTIVA INGRESO A CPN"),"TOMA INMEDIATA DE TAMIZAJE",IF(AND(GC74="",OR(O74&gt;0,R74&gt;0),AND(BS74&gt;=27,BS74&lt;43)),"NO APLICA-INGRESO TARDIO",IF(AND(GC74="",BS74&lt;27),"PIERDE TOMA DE TAMIZAJE",IF(GC74&gt;0,SUM(GC74-RW74)/7,""))))))))))))</f>
        <v>24.428571428571427</v>
      </c>
      <c r="GE74" s="22"/>
      <c r="GF74" s="22"/>
      <c r="GG74" s="29" t="str">
        <f ca="1">IF(AND(BT74="ERROR FUM O INGRESO",GF74&gt;0),"ERROR FUM O INGRESO",IF(AND(GF74="",R74="",O74=""),"",IF(AND(GF74&lt;&gt;"",GF74&lt;RW74), "INCOHERENCIA FUM Y FECHA TAMIZAJE",IF(AND(GF74="",DV74="ACTIVA INGRESO A CPN",AND(BU74&gt;0,BU74&lt;27)),"EN ESPERA-ESTÁ I TRIM O II TRIM", IF(AND(GF74="",AND(BS74&gt;0, BS74&lt;28),OR(O74&gt;0,R74&gt;0),AND(IP75&gt;0,IP75&lt;28)),"NO APLICA-SALIO DEL PROGRAMA I O II TRIM",IF(AND(GF74&lt;&gt;"",AND(SUM((GF74-RW74)/7)&gt;0,SUM((GF74-RW74)/7)&lt;13)),"REGISTAR EN I TRIMESTRE",IF(AND(GF74&lt;&gt;"",AND(SUM((GF74-RW74)/7)&gt;=13,SUM((GF74-RW74)/7)&lt;27)),"REGISTRAR EN II TRIMESTRE",IF(AND(GF74="",OR(O74&gt;0,R74&gt;0),AND(BU74&gt;=28,BU74&lt;35),DV74="ACTIVA INGRESO A CPN"),"EN RANGO PARA TOMAR EXAMEN",IF(AND(GF74="",OR(O74&gt;0,R74&gt;0),BU74&gt;=35, DV74="ACTIVA INGRESO A CPN"),"TOMA INMEDIATA DE TAMIZAJE",IF(AND(GF74="",DV74= "SALE SIN INGRESO CPN"),"NO APLICA-SIN CPN",IF(AND(GF74="",BS74&lt;44),"PIERDE TOMA DE TAMIZAJE",IF(GF74&gt;0,SUM(GF74-RW74)/7,""))))))))))))</f>
        <v>PIERDE TOMA DE TAMIZAJE</v>
      </c>
      <c r="GH74" s="22"/>
      <c r="GI74" s="29"/>
      <c r="GJ74" s="22"/>
      <c r="GK74" s="22"/>
      <c r="GL74" s="22"/>
      <c r="GM74" s="22"/>
      <c r="GN74" s="28" t="s">
        <v>869</v>
      </c>
      <c r="GO74" s="22">
        <v>44960</v>
      </c>
      <c r="GP74" s="29">
        <f t="shared" si="283"/>
        <v>24.428571428571427</v>
      </c>
      <c r="GQ74" s="28" t="s">
        <v>869</v>
      </c>
      <c r="GR74" s="28" t="s">
        <v>869</v>
      </c>
      <c r="GS74" s="22" t="str">
        <f t="shared" si="284"/>
        <v>CONTROL Igm</v>
      </c>
      <c r="GT74" s="22">
        <v>44960</v>
      </c>
      <c r="GU74" s="29">
        <f t="shared" si="285"/>
        <v>24.428571428571427</v>
      </c>
      <c r="GV74" s="21" t="str">
        <f t="shared" si="286"/>
        <v>II TRIM</v>
      </c>
      <c r="GW74" s="28" t="s">
        <v>869</v>
      </c>
      <c r="GX74" s="30"/>
      <c r="GY74" s="21"/>
      <c r="GZ74" s="21"/>
      <c r="HA74" s="21"/>
      <c r="HB74" s="21"/>
      <c r="HC74" s="21"/>
      <c r="HD74" s="21"/>
      <c r="HE74" s="21"/>
      <c r="HF74" s="22"/>
      <c r="HG74" s="22" t="str">
        <f>IF(OR(O74&gt;0,R74&gt;0),CONCATENATE(IF(Tabla1[[#This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74" s="22" t="e">
        <f t="shared" si="287"/>
        <v>#REF!</v>
      </c>
      <c r="HI74" s="22" t="e">
        <f t="shared" ca="1" si="288"/>
        <v>#REF!</v>
      </c>
      <c r="HJ74" s="21" t="str">
        <f t="shared" ca="1" si="289"/>
        <v>**********************MULTIPARIDAD**RIESGO POR EDAD*CESAREAS PREVIAS**************</v>
      </c>
      <c r="HK74" s="21" t="str">
        <f t="shared" si="290"/>
        <v>SIN ANTECEDENTES DE RIESGO</v>
      </c>
      <c r="HL74" s="24" t="str">
        <f t="shared" si="291"/>
        <v>REGISTRE DATO PRESIÓN ARTERIAL MENSUAL</v>
      </c>
      <c r="HM74" s="21" t="str">
        <f t="shared" ca="1" si="292"/>
        <v/>
      </c>
      <c r="HN74" s="30" t="str">
        <f>IF(AND(R74&lt;&gt;"",IK74="CAMBIO DE RESIDENCIA"),"SEGUIMIENTO REPORTE EPS",IF(AND(R74&lt;&gt;"",OR(IK74&lt;&gt;"",IN75&lt;&gt;"")),"SALIO PROGRAMA",IF(AND(AND(R74="",O74&gt;0),OR(IK74&lt;&gt;"",IN75&lt;&gt;"")),"SALE SIN INGRESO CPN",IF(AND(R74="",O74&gt;0,IK74="",IN75=""),"ACTIVA SIN INGRESO CPN",IF(AND(R74&lt;&gt;"",OR(IK74="",IN75="")),"ACTIVA INGRESO A CPN","")))))</f>
        <v>SALIO PROGRAMA</v>
      </c>
      <c r="HO74" s="21"/>
      <c r="HP74" s="21"/>
      <c r="HQ74" s="21">
        <v>44910</v>
      </c>
      <c r="HR74" s="21" t="str">
        <f>IF(R74="","",IF(Tabla1[[#This Row],[ALARMA FACTORES DE RIESGO COMPLICACIONES HIPERTENSIVAS3]]="SIN ANTECEDENTES DE RIESGO","No Aplica para suministro de ASA",IF(AND(Tabla1[[#This Row],[FECHA INICIO DE SUMINISTRO DE ASA]]&gt;0,RV74&lt;12),"Inicia ASA ANTES de Sem 12",IF(AND(RV74&gt;11,RV74&lt;17,OR(HK74="RIESGO ALTO DE COMPLICACIONES HIPERTENSIVAS VER MANEJO GUIA SUMINISTRO ASA Y CALCIO",HK74="RIESGO MODERADO (2 O MAS CRITERIOS) VER MANEJO GUIA SUMINISTRO ASA Y CALCIO")),"Inicio oportuno de ASA",IF(AND(RV74&gt;12,OR(HK74="RIESGO ALTO DE COMPLICACIONES HIPERTENSIVAS VER MANEJO GUIA SUMINISTRO ASA Y CALCIO",HK74="RIESGO MODERADO (2 O MAS CRITERIOS) VER MANEJO GUIA SUMINISTRO ASA Y CALCIO")),"Inicio no oportuno mayor a 16 semanas",IF(AND(BU74&lt;12,OR(HK74="RIESGO ALTO DE COMPLICACIONES HIPERTENSIVAS VER MANEJO GUIA SUMINISTRO ASA Y CALCIO",HK74="RIESGO MODERADO (2 O MAS CRITERIOS) VER MANEJO GUIA SUMINISTRO ASA Y CALCIO")),"Pendiente Inicio de ASA a la semana 12",IF(AND(BU74&gt;11,BU74&lt;17,OR(HK74="RIESGO ALTO DE COMPLICACIONES HIPERTENSIVAS VER MANEJO GUIA SUMINISTRO ASA Y CALCIO",HK74="RIESGO MODERADO (2 O MAS CRITERIOS) VER MANEJO GUIA SUMINISTRO ASA Y CALCIO")),"Iniciar de inmediato ASA",IF(AND(BU74&gt;16,OR(HK74="RIESGO ALTO DE COMPLICACIONES HIPERTENSIVAS VER MANEJO GUIA SUMINISTRO ASA Y CALCIO",HK74="RIESGO MODERADO (2 O MAS CRITERIOS) VER MANEJO GUIA SUMINISTRO ASA Y CALCIO")),"Pierde Oportunidad, Inicio tardío de ASA","XXXXX"))))))))</f>
        <v>No Aplica para suministro de ASA</v>
      </c>
      <c r="HS74" s="22">
        <v>44910</v>
      </c>
      <c r="HT74" s="22" t="s">
        <v>935</v>
      </c>
      <c r="HU74" s="22">
        <v>44910</v>
      </c>
      <c r="HV74" s="22" t="s">
        <v>870</v>
      </c>
      <c r="HW74" s="22">
        <v>44910</v>
      </c>
      <c r="HX74" s="22" t="s">
        <v>870</v>
      </c>
      <c r="HY74" s="22">
        <v>44910</v>
      </c>
      <c r="HZ74" s="28">
        <f t="shared" si="293"/>
        <v>17.285714285714285</v>
      </c>
      <c r="IA74" s="26" t="s">
        <v>864</v>
      </c>
      <c r="IB74" s="26"/>
      <c r="IC74" s="111">
        <v>44960</v>
      </c>
      <c r="ID74" s="22">
        <v>44960</v>
      </c>
      <c r="IE74" s="22" t="str">
        <f t="shared" ca="1" si="294"/>
        <v>VACUNA APLICADA ENTRE SEMANA 20 Y SEMANA 26</v>
      </c>
      <c r="IF74" s="22"/>
      <c r="IG74" s="22">
        <f t="shared" si="295"/>
        <v>45069</v>
      </c>
      <c r="IH74" s="29">
        <f t="shared" ca="1" si="296"/>
        <v>-163</v>
      </c>
      <c r="II74" s="22" t="str">
        <f t="shared" ca="1" si="297"/>
        <v>POSIBLEMENTE NACIO</v>
      </c>
      <c r="IJ74" s="22"/>
      <c r="IK74" s="21" t="s">
        <v>898</v>
      </c>
      <c r="IL74" s="21"/>
      <c r="IM74" s="34"/>
      <c r="IN74" s="349">
        <v>45054</v>
      </c>
      <c r="IO74" s="21" t="s">
        <v>1640</v>
      </c>
      <c r="IP74" s="29">
        <f>IF(AND(IN74&gt;0,IK73&lt;&gt;""),SUM(IN74-RW73)/7,"")</f>
        <v>33</v>
      </c>
      <c r="IQ74" s="110"/>
      <c r="IR74" s="21" t="s">
        <v>879</v>
      </c>
      <c r="IS74" s="21" t="s">
        <v>1641</v>
      </c>
      <c r="IT74" s="21" t="s">
        <v>1642</v>
      </c>
      <c r="IU74" s="21"/>
      <c r="IV74" s="21"/>
      <c r="IW74" s="21"/>
      <c r="IX74" s="21"/>
      <c r="IY74" s="21"/>
      <c r="IZ74" s="21"/>
      <c r="JA74" s="21"/>
      <c r="JB74" s="30">
        <v>1</v>
      </c>
      <c r="JC74" s="21" t="s">
        <v>1643</v>
      </c>
      <c r="JD74" s="36">
        <v>2635</v>
      </c>
      <c r="JE74" s="21" t="str">
        <f t="shared" si="435"/>
        <v>ERROR VERIFICAR DATO EDAD GESTACIONAL VS PESO</v>
      </c>
      <c r="JF74" s="30"/>
      <c r="JG74" s="21"/>
      <c r="JH74" s="21"/>
      <c r="JI74" s="21"/>
      <c r="JJ74" s="30"/>
      <c r="JK74" s="22"/>
      <c r="JL74" s="22"/>
      <c r="JM74" s="21"/>
      <c r="JN74" s="36"/>
      <c r="JO74" s="21" t="str">
        <f>IF(AND(JN74&gt;700,JN74&lt;2500,IP75&gt;36,IP75&lt;43),"BAJO PESO AL NACER",IF(AND(JN74&gt;700,JN74&lt;2500,IP75&lt;37),"PREMATURO",IF(AND(JN74&gt;2499,JN74&lt;5000,IP75&lt;37),"ERROR VERIFICAR DATO EDAD GESTACIONAL VS PESO",IF(AND(JN74&gt;2499,JN74&lt;4000,IP75&gt;36,IP75&lt;43),"PESO ADECUADO EDAD GESTACIONAL",IF(AND(JN74&gt;3999,JN74&lt;6000,IP75&gt;36,IP75&lt;43),"PESO GRANDE EDAD GESTACIONAL","")))))</f>
        <v/>
      </c>
      <c r="JP74" s="22"/>
      <c r="JQ74" s="21"/>
      <c r="JR74" s="21"/>
      <c r="JS74" s="21"/>
      <c r="JT74" s="30"/>
      <c r="JU74" s="22"/>
      <c r="JV74" s="22"/>
      <c r="JW74" s="33"/>
      <c r="JX74" s="28" t="str">
        <f>IF(AND(JW74&lt;&gt;"",JW74&lt;IN75),"INCONSISTENCIA FECHA CONTROL",IF(AND(OR(IK74="Parto",IK74="Cesarea"),JW74&gt;0,IN75&gt;0),SUM(JW74-IN75),IF(AND(OR(IK74="Parto",IK74="Cesarea"),JW74="",IN75&gt;0),"INASISTENTE","")))</f>
        <v>INASISTENTE</v>
      </c>
      <c r="JY74" s="33"/>
      <c r="JZ74" s="28" t="str">
        <f>IF(AND(JY74&lt;&gt;"",JY74&lt;IN75),"INCONSISTENCIA FECHA CONTROL",IF(AND(OR(IK74="Parto",IK74="Cesarea",IK74="Aborto Espontaneo",IK74="Aborto Inducido",IK74="IVE"),JY74&gt;0,IN75&gt;0),SUM(JY74-IN75),IF(AND(JY74&lt;&gt;"",JY74&lt;IN75),"INCONSISTENCIA FECHA CONTROL",IF(AND(OR(IK74="Parto",IK74="Cesarea",IK74="Aborto Espontaneo",IK74="Aborto Inducido",IK74="IVE"),JY74="",IN75&gt;0),"INASISTENTE",""))))</f>
        <v>INASISTENTE</v>
      </c>
      <c r="KA74" s="21"/>
      <c r="KB74" s="21"/>
      <c r="KC74" s="21"/>
      <c r="KD74" s="37"/>
      <c r="KE74" s="28"/>
      <c r="KF74" s="28"/>
      <c r="KG74" s="28"/>
      <c r="KH74" s="39"/>
      <c r="KI74" s="39"/>
      <c r="KJ74" s="66"/>
      <c r="KK74" s="39"/>
      <c r="KL74" s="39"/>
      <c r="KM74" s="66"/>
      <c r="KN74" s="39"/>
      <c r="KO74" s="39"/>
      <c r="KP74" s="39"/>
      <c r="KQ74" s="39"/>
      <c r="KR74" s="39"/>
      <c r="KS74" s="39"/>
      <c r="KT74" s="39"/>
      <c r="KU74" s="38"/>
      <c r="KV74" s="38"/>
      <c r="KW74" s="38"/>
      <c r="KX74" s="38"/>
      <c r="KY74" s="38"/>
      <c r="KZ74" s="38"/>
      <c r="LA74" s="38"/>
      <c r="LB74" s="38"/>
      <c r="LC74" s="38"/>
      <c r="LD74" s="38"/>
      <c r="LE74" s="38"/>
      <c r="LF74" s="38"/>
      <c r="LG74" s="38"/>
      <c r="LH74" s="38"/>
      <c r="LI74" s="38"/>
      <c r="LJ74" s="38"/>
      <c r="LK74" s="38"/>
      <c r="LL74" s="38"/>
      <c r="LM74" s="38"/>
      <c r="LN74" s="38"/>
      <c r="LO74" s="38"/>
      <c r="LP74" s="38"/>
      <c r="LQ74" s="38"/>
      <c r="LR74" s="38"/>
      <c r="LS74" s="38"/>
      <c r="LT74" s="38"/>
      <c r="LU74" s="38"/>
      <c r="LV74" s="38"/>
      <c r="LW74" s="38"/>
      <c r="LX74" s="38"/>
      <c r="LY74" s="38"/>
      <c r="LZ74" s="38"/>
      <c r="MA74" s="38"/>
      <c r="MB74" s="38"/>
      <c r="MC74" s="38"/>
      <c r="MD74" s="38"/>
      <c r="ME74" s="38"/>
      <c r="MF74" s="38"/>
      <c r="MG74" s="38"/>
      <c r="MH74" s="43">
        <f t="shared" si="303"/>
        <v>0</v>
      </c>
      <c r="MI74" s="43" t="str">
        <f t="shared" si="304"/>
        <v/>
      </c>
      <c r="MJ74" s="43" t="str">
        <f t="shared" si="305"/>
        <v/>
      </c>
      <c r="MK74" s="43">
        <f t="shared" si="306"/>
        <v>0</v>
      </c>
      <c r="ML7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74" s="43">
        <f t="shared" si="307"/>
        <v>17.285714285714285</v>
      </c>
      <c r="MN74" s="43">
        <f t="shared" si="308"/>
        <v>12</v>
      </c>
      <c r="MO74" s="43">
        <f t="shared" si="309"/>
        <v>2022</v>
      </c>
      <c r="MP74" s="43" t="str">
        <f t="shared" si="310"/>
        <v>IV TRIMESTRE AÑO</v>
      </c>
      <c r="MQ74" s="43">
        <f t="shared" si="311"/>
        <v>15.598992553657467</v>
      </c>
      <c r="MR74" s="43">
        <f t="shared" si="312"/>
        <v>1</v>
      </c>
      <c r="MS74" s="43" t="str">
        <f t="shared" si="313"/>
        <v>DE 14 A 19AÑOS</v>
      </c>
      <c r="MT74" s="43">
        <f t="shared" si="314"/>
        <v>0</v>
      </c>
      <c r="MU74" s="43">
        <f t="shared" si="315"/>
        <v>1</v>
      </c>
      <c r="MV74" s="43">
        <f t="shared" si="316"/>
        <v>1</v>
      </c>
      <c r="MW74" s="43">
        <f t="shared" si="317"/>
        <v>0</v>
      </c>
      <c r="MX74" s="43" t="str">
        <f t="shared" si="318"/>
        <v/>
      </c>
      <c r="MY74" s="43" t="str">
        <f ca="1">IF(AND(AND(BU74&gt;40.9,BU74&lt;43),IN75=""),1,"")</f>
        <v/>
      </c>
      <c r="MZ74" s="43" t="str">
        <f t="shared" si="319"/>
        <v/>
      </c>
      <c r="NA74" s="43" t="str">
        <f t="shared" si="320"/>
        <v/>
      </c>
      <c r="NB74" s="43" t="str">
        <f t="shared" si="321"/>
        <v/>
      </c>
      <c r="NC74" s="43" t="str">
        <f t="shared" si="322"/>
        <v/>
      </c>
      <c r="ND74" s="43">
        <f t="shared" ca="1" si="323"/>
        <v>3</v>
      </c>
      <c r="NE74" s="43">
        <f>IF(OR(O74&gt;0,R74&gt;0),SUM(COUNTIF(Tabla1[[#This Row],[AÑOS AL INICIO5 CPN]],"&gt;=40"),COUNTIF(AS74,"0"),COUNTIF(AR74,"SI"),COUNTIF(CC74,"SI"),COUNTIF(BQ74,"&gt;119"),COUNTIF(CI74,"&gt;=35")),"")</f>
        <v>1</v>
      </c>
      <c r="NF74" s="43">
        <f t="shared" si="324"/>
        <v>24.428571428571427</v>
      </c>
      <c r="NG74" s="43">
        <f t="shared" si="325"/>
        <v>0</v>
      </c>
      <c r="NH74" s="43">
        <f t="shared" si="326"/>
        <v>170.1</v>
      </c>
      <c r="NI74"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CPN",P74="NO"),"Z",IF(AND(Tabla1[[#This Row],[CITA PROXIMO CONTROL]]="CITA MANUAL",Tabla1[[#This Row],[GESTANTES ACTUALES]]="ACTIVA INGRESO A CPN"),"W",IF(AND(Tabla1[[#This Row],[GESTANTES ACTUALES]]="SALIO PROGRAMA",IN75=""),"S",IF(AND(Tabla1[[#This Row],[CITA PROXIMO CONTROL]]&gt;0,IN75=""),(Tabla1[[#This Row],[CITA PROXIMO CONTROL]]-TODAY()),"SD"))))))))</f>
        <v>SD</v>
      </c>
      <c r="NJ74" s="43">
        <f>MONTH(Tabla1[[#This Row],[FECHA DE SALIDA  DEL PROGRAMA]])</f>
        <v>5</v>
      </c>
      <c r="NK74" s="43">
        <f>YEAR(Tabla1[[#This Row],[FECHA DE SALIDA  DEL PROGRAMA]])</f>
        <v>2023</v>
      </c>
      <c r="NL74" s="43" t="str">
        <f t="shared" si="327"/>
        <v>X</v>
      </c>
      <c r="NM74" s="43" t="str">
        <f t="shared" si="251"/>
        <v>NO</v>
      </c>
      <c r="NN74" s="43" t="str">
        <f ca="1">IF(AND(O74&gt;0,R74=""),"NO CPN",IF(AND(O74="",R74=""),"",IF(AND(R74&gt;0,Tabla1[[#This Row],[SEMANAS DE GESTACION ACTUALIZADAS]]&lt;=12),"NO APLICA",IF(AND(FH74&lt;&gt;"",FN74&lt;&gt;""),"SI","NO"))))</f>
        <v>SI</v>
      </c>
      <c r="NO74" s="43" t="str">
        <f ca="1">IF(AND(O74&gt;0,R74=""),"NO CPN",IF(AND(O74="",R74=""),"",IF(AND(R74&gt;0,Tabla1[[#This Row],[SEMANAS DE GESTACION ACTUALIZADAS]]&lt;=27),"NO APLICA",IF(AND(ES74&lt;&gt;"",FQ74&lt;&gt;"",GF74&lt;&gt;""),"SI","NO"))))</f>
        <v>NO</v>
      </c>
      <c r="NP74" s="204" t="str">
        <f t="shared" si="328"/>
        <v>II TRIM</v>
      </c>
      <c r="NQ74" s="21">
        <f>IF(AND(IP76&gt;0,IP76&lt;37),10,IF(OR(CD75="Transversa",CD75="Oblicua"),9,IF(CC75="SI",8,IF(AND(AT75=0,AW75=0,CC75="NO",CD75="Cefálica",IP76&gt;=37,IT76="INICIO ESPONTÁNEO"),1,IF(AND(AND(AT75=0,AW75=0,CC75="NO",CD75="Cefálica",IP76&gt;=37),OR(IT76="LE HACEN INDUCCIÓN",IT76="LE HACEN CESÁREA SIN INICIO TRABAJO DE PARTO")),2,IF(AND(AT75&gt;=1,AW75=0,CC75="NO",CD75="Cefálica",IP76&gt;=37,IT76="INICIO ESPONTÁNEO"),3,IF(AND(AND(AT75&gt;=1,AW75=0,CC75="NO",CD75="Cefálica",IP76&gt;=37),OR(IT76="LE HACEN INDUCCIÓN",IT76="LE HACEN CESÁREA SIN INICIO TRABAJO DE PARTO")),4,IF(AND(AND(AT75&gt;=1,AW75&gt;=1,CC75="NO",CD75="Cefálica",IP76&gt;=37),OR(IT76="LE HACEN INDUCCIÓN",IT76="LE HACEN CESÁREA SIN INICIO TRABAJO DE PARTO",IT76="INICIO ESPONTÁNEO")),5,IF(AND(AND(AT75=0,AW75=0,CC75="NO",CD75="Podálica",IP76&gt;=1),OR(IT76="LE HACEN INDUCCIÓN",IT76="LE HACEN CESÁREA SIN INICIO TRABAJO DE PARTO",IT76="INICIO ESPONTÁNEO")),6,IF(AND(AND(AT75&gt;=1,CC75="NO",CD75="Podálica",IP76&gt;=1),OR(IT76="LE HACEN INDUCCIÓN",IT76="LE HACEN CESÁREA SIN INICIO TRABAJO DE PARTO",IT76="INICIO ESPONTÁNEO"),OR(AW75=0,AW75&gt;=1)),7,""))))))))))</f>
        <v>1</v>
      </c>
      <c r="NR74" s="21">
        <f>IF(AND(O74="",R74=""),"",IF(AND(BS74&gt;0,BS74&lt;12,IP75&gt;28,IP75&lt;44),3, IF(OR(AND(BS74&gt;=12,BS74&lt;28,IP75&gt;=28,IP75&lt;44),AND(BS74&gt;0,BS74&lt;12,IP75&gt;=12,IP75&lt;29)),2,IF(OR(AND(BS74&gt;=28,BS74&lt;44),AND(BS74&gt;0,BS74&lt;12,IP75&gt;0,IP75&lt;12),AND(BS74&gt;=12,BS74&lt;28,IP75&gt;=12,IP75&lt;28)),1,IF(AND(BS74&gt;0,BS74&lt;12,BU74&gt;=28,BU74&lt;44,DV74="ACTIVA INGRESO A CPN"),3,IF(OR(AND(BS74&gt;0,BS74&lt;12,BU74&gt;=12,BU74&lt;28,DV74="ACTIVA INGRESO A CPN"),AND(BS74&gt;=12,BS74&lt;28,BU74&gt;=28,BU74&lt;44,DV74="ACTIVA INGRESO A CPN")),2,IF(OR(AND(BS74&gt;0,BS74&lt;12,BU74&gt;0,BU74&lt;12,DV74="ACTIVA INGRESO A CPN"),AND(BS74&gt;=12,BS74&lt;28,BU74&gt;=12,BU74&lt;28,DV74="ACTIVA INGRESO A CPN")),1,"REVISAR FUM O FECHA SALIDA PROGRAMA")))))))</f>
        <v>2</v>
      </c>
      <c r="NS74" s="205">
        <f t="shared" ca="1" si="329"/>
        <v>1</v>
      </c>
      <c r="NT74" s="21">
        <f t="shared" ca="1" si="330"/>
        <v>1</v>
      </c>
      <c r="NU74" s="21" t="str">
        <f t="shared" ca="1" si="331"/>
        <v>INCOMPLETO</v>
      </c>
      <c r="NV74" s="21" t="str">
        <f t="shared" ca="1" si="332"/>
        <v>INCOMPLETO</v>
      </c>
      <c r="NW74" s="206" t="str">
        <f>IF(AND(O74="",R74=""),"",IF(OR(AND(Tabla1[[#This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74" s="207" t="str">
        <f t="shared" ca="1" si="333"/>
        <v>VACUNADA</v>
      </c>
      <c r="NY74" s="43">
        <f>ROW(Tabla1[[#This Row],['# DE TAMIZAJES SIFILIS TOMADOS ]])</f>
        <v>74</v>
      </c>
      <c r="NZ74" s="43">
        <f t="shared" si="334"/>
        <v>17</v>
      </c>
      <c r="OA74" s="43" t="str">
        <f t="shared" si="335"/>
        <v/>
      </c>
      <c r="OB74" s="43" t="str">
        <f t="shared" si="336"/>
        <v/>
      </c>
      <c r="OC74" s="43" t="str">
        <f t="shared" si="337"/>
        <v/>
      </c>
      <c r="OD74" s="43" t="str">
        <f t="shared" si="338"/>
        <v/>
      </c>
      <c r="OE74" s="43" t="str">
        <f t="shared" si="339"/>
        <v/>
      </c>
      <c r="OF74" s="43" t="str">
        <f t="shared" si="340"/>
        <v/>
      </c>
      <c r="OG74" s="43" t="str">
        <f t="shared" si="341"/>
        <v/>
      </c>
      <c r="OH74" s="43" t="str">
        <f t="shared" si="342"/>
        <v/>
      </c>
      <c r="OI74" s="43" t="str">
        <f t="shared" si="343"/>
        <v>NORMAL</v>
      </c>
      <c r="OJ74" s="43" t="str">
        <f t="shared" si="344"/>
        <v/>
      </c>
      <c r="OK74" s="43" t="str">
        <f t="shared" si="345"/>
        <v/>
      </c>
      <c r="OL74" s="43" t="str">
        <f t="shared" si="346"/>
        <v/>
      </c>
      <c r="OM74" s="43" t="str">
        <f t="shared" si="347"/>
        <v/>
      </c>
      <c r="ON74" s="43" t="str">
        <f t="shared" si="348"/>
        <v/>
      </c>
      <c r="OO74" s="43" t="str">
        <f t="shared" si="349"/>
        <v/>
      </c>
      <c r="OP74" s="43" t="str">
        <f t="shared" si="350"/>
        <v/>
      </c>
      <c r="OQ74" s="43" t="str">
        <f t="shared" si="351"/>
        <v/>
      </c>
      <c r="OR74" s="43" t="str">
        <f t="shared" si="352"/>
        <v/>
      </c>
      <c r="OS74" s="43" t="str">
        <f t="shared" si="353"/>
        <v/>
      </c>
      <c r="OT74" s="43" t="str">
        <f t="shared" si="354"/>
        <v/>
      </c>
      <c r="OU74" s="43" t="str">
        <f t="shared" si="355"/>
        <v/>
      </c>
      <c r="OV74" s="110" t="str">
        <f t="shared" si="356"/>
        <v/>
      </c>
      <c r="OW74" s="43" t="str">
        <f t="shared" si="357"/>
        <v/>
      </c>
      <c r="OX74" s="43" t="str">
        <f t="shared" si="358"/>
        <v/>
      </c>
      <c r="OY74" s="43" t="str">
        <f t="shared" si="359"/>
        <v/>
      </c>
      <c r="OZ74" s="43" t="str">
        <f t="shared" si="360"/>
        <v/>
      </c>
      <c r="PA74" s="43" t="str">
        <f t="shared" si="361"/>
        <v/>
      </c>
      <c r="PB74" s="43" t="str">
        <f t="shared" si="362"/>
        <v/>
      </c>
      <c r="PC74" s="43" t="str">
        <f t="shared" si="363"/>
        <v/>
      </c>
      <c r="PD74" s="43" t="str">
        <f t="shared" si="364"/>
        <v/>
      </c>
      <c r="PE74" s="43" t="str">
        <f t="shared" si="365"/>
        <v/>
      </c>
      <c r="PF74" s="43" t="str">
        <f t="shared" si="366"/>
        <v/>
      </c>
      <c r="PG74" s="43" t="str">
        <f t="shared" si="367"/>
        <v/>
      </c>
      <c r="PH74" s="43" t="str">
        <f t="shared" si="368"/>
        <v/>
      </c>
      <c r="PI74" s="43">
        <f t="shared" si="369"/>
        <v>33</v>
      </c>
      <c r="PJ74" s="43" t="str">
        <f t="shared" si="370"/>
        <v/>
      </c>
      <c r="PK74" s="43" t="str">
        <f t="shared" si="371"/>
        <v/>
      </c>
      <c r="PL74" s="43" t="str">
        <f t="shared" si="372"/>
        <v/>
      </c>
      <c r="PM74" s="43" t="str">
        <f t="shared" si="373"/>
        <v/>
      </c>
      <c r="PN74" s="43" t="str">
        <f t="shared" si="374"/>
        <v/>
      </c>
      <c r="PO74" s="43" t="str">
        <f t="shared" si="375"/>
        <v/>
      </c>
      <c r="PP74" s="43" t="str">
        <f t="shared" si="376"/>
        <v/>
      </c>
      <c r="PQ74" s="43" t="str">
        <f t="shared" si="377"/>
        <v/>
      </c>
      <c r="PR74" s="43" t="str">
        <f t="shared" si="378"/>
        <v/>
      </c>
      <c r="PS74" s="43" t="str">
        <f t="shared" si="379"/>
        <v/>
      </c>
      <c r="PT74" s="43" t="str">
        <f t="shared" si="380"/>
        <v/>
      </c>
      <c r="PU74" s="43" t="str">
        <f t="shared" si="381"/>
        <v/>
      </c>
      <c r="PV74" s="43" t="str">
        <f t="shared" si="382"/>
        <v/>
      </c>
      <c r="PW74" s="43" t="str">
        <f t="shared" si="383"/>
        <v/>
      </c>
      <c r="PX74" s="43" t="str">
        <f t="shared" si="384"/>
        <v/>
      </c>
      <c r="PY74" s="43" t="str">
        <f t="shared" si="385"/>
        <v/>
      </c>
      <c r="PZ74" s="43" t="str">
        <f t="shared" si="386"/>
        <v/>
      </c>
      <c r="QA74" s="43" t="str">
        <f t="shared" si="387"/>
        <v/>
      </c>
      <c r="QB74" s="43" t="str">
        <f t="shared" si="388"/>
        <v/>
      </c>
      <c r="QC74" s="43" t="str">
        <f t="shared" si="389"/>
        <v/>
      </c>
      <c r="QD74" s="43" t="str">
        <f t="shared" si="390"/>
        <v/>
      </c>
      <c r="QE74" s="43" t="str">
        <f t="shared" si="391"/>
        <v/>
      </c>
      <c r="QF74" s="43" t="str">
        <f t="shared" si="392"/>
        <v/>
      </c>
      <c r="QG74" s="43" t="str">
        <f t="shared" si="393"/>
        <v/>
      </c>
      <c r="QH74" s="43" t="str">
        <f t="shared" si="394"/>
        <v/>
      </c>
      <c r="QI74" s="43" t="str">
        <f t="shared" si="395"/>
        <v/>
      </c>
      <c r="QJ74" s="43" t="str">
        <f t="shared" si="396"/>
        <v/>
      </c>
      <c r="QK74" s="43" t="str">
        <f t="shared" si="397"/>
        <v/>
      </c>
      <c r="QL74" s="43" t="str">
        <f t="shared" si="398"/>
        <v/>
      </c>
      <c r="QM74" s="43" t="str">
        <f t="shared" si="399"/>
        <v/>
      </c>
      <c r="QN74" s="43" t="str">
        <f t="shared" si="400"/>
        <v/>
      </c>
      <c r="QO74" s="43" t="str">
        <f t="shared" si="401"/>
        <v/>
      </c>
      <c r="QP74" s="43" t="str">
        <f t="shared" si="402"/>
        <v/>
      </c>
      <c r="QQ74" s="43" t="str">
        <f t="shared" si="403"/>
        <v/>
      </c>
      <c r="QR74" s="43">
        <f t="shared" si="433"/>
        <v>33</v>
      </c>
      <c r="QS74" s="43"/>
      <c r="QT74" s="21" t="str">
        <f t="shared" si="404"/>
        <v/>
      </c>
      <c r="QU74" s="21" t="str">
        <f t="shared" si="405"/>
        <v/>
      </c>
      <c r="QV74" s="21" t="str">
        <f t="shared" si="406"/>
        <v/>
      </c>
      <c r="QW74" s="21" t="str">
        <f t="shared" si="407"/>
        <v/>
      </c>
      <c r="QX74" s="21" t="str">
        <f t="shared" si="408"/>
        <v/>
      </c>
      <c r="QY74" s="21" t="str">
        <f t="shared" si="409"/>
        <v/>
      </c>
      <c r="QZ74" s="21" t="str">
        <f t="shared" si="410"/>
        <v/>
      </c>
      <c r="RA74" s="21" t="str">
        <f t="shared" si="411"/>
        <v/>
      </c>
      <c r="RB74" s="21" t="str">
        <f t="shared" si="412"/>
        <v/>
      </c>
      <c r="RC74" s="21" t="str">
        <f t="shared" si="413"/>
        <v/>
      </c>
      <c r="RD74" s="21" t="str">
        <f t="shared" si="414"/>
        <v/>
      </c>
      <c r="RE74" s="21" t="str">
        <f t="shared" si="415"/>
        <v/>
      </c>
      <c r="RF74" s="21" t="str">
        <f t="shared" si="416"/>
        <v/>
      </c>
      <c r="RG74" s="21" t="str">
        <f t="shared" si="417"/>
        <v/>
      </c>
      <c r="RH74" s="21" t="str">
        <f t="shared" si="418"/>
        <v/>
      </c>
      <c r="RI74" s="21" t="str">
        <f t="shared" si="419"/>
        <v/>
      </c>
      <c r="RJ74" s="21" t="str">
        <f t="shared" si="420"/>
        <v/>
      </c>
      <c r="RK74" s="21" t="str">
        <f t="shared" si="421"/>
        <v/>
      </c>
      <c r="RL74" s="21" t="str">
        <f t="shared" si="422"/>
        <v/>
      </c>
      <c r="RM74" s="21" t="str">
        <f t="shared" si="423"/>
        <v/>
      </c>
      <c r="RN74" s="21" t="str">
        <f t="shared" si="424"/>
        <v/>
      </c>
      <c r="RO74" s="21" t="str">
        <f t="shared" si="425"/>
        <v/>
      </c>
      <c r="RP74" s="21" t="str">
        <f t="shared" si="426"/>
        <v/>
      </c>
      <c r="RQ74" s="21" t="str">
        <f t="shared" si="427"/>
        <v/>
      </c>
      <c r="RR74" s="21" t="str">
        <f t="shared" si="428"/>
        <v/>
      </c>
      <c r="RS74" s="21" t="str">
        <f t="shared" si="429"/>
        <v/>
      </c>
      <c r="RT74" s="21" t="str">
        <f t="shared" si="430"/>
        <v/>
      </c>
      <c r="RU74" s="21" t="str">
        <f t="shared" si="431"/>
        <v/>
      </c>
      <c r="RV74" s="21">
        <f t="shared" si="432"/>
        <v>17.285714285714285</v>
      </c>
      <c r="RW74" s="284">
        <f>IF(OR(Tabla1[[#This Row],[FUM FORMULA CONFIABLE]]="",Tabla1[[#This Row],[FUM FORMULA CONFIABLE]]="SD"),"",IF(Tabla1[[#This Row],[FUM FORMULA CONFIABLE]]="CORREGIDA",Tabla1[[#This Row],[FUM X ECO 1]],Tabla1[[#This Row],[FUM x AMENORREA]]))</f>
        <v>44789</v>
      </c>
      <c r="RX74" s="21">
        <f>IF(AND(Tabla1[[#This Row],[FUM X ECO 1]]="",Tabla1[[#This Row],[FUM x AMENORREA]]=""),"",IF(AND(Tabla1[[#This Row],[FUM X ECO 1]]="",Tabla1[[#This Row],[FUM x AMENORREA]]&lt;&gt;""),"X",SUM(Tabla1[[#This Row],[FUM X ECO 1]]-Tabla1[[#This Row],[FUM x AMENORREA]])))</f>
        <v>0.90000000000145519</v>
      </c>
      <c r="RY74" s="21">
        <f t="shared" si="434"/>
        <v>0</v>
      </c>
    </row>
    <row r="75" spans="1:493" ht="45" customHeight="1" x14ac:dyDescent="0.25">
      <c r="A75" s="109" t="s">
        <v>1222</v>
      </c>
      <c r="B75" s="43"/>
      <c r="C75" s="43" t="s">
        <v>845</v>
      </c>
      <c r="D75" s="124" t="s">
        <v>846</v>
      </c>
      <c r="E75" s="43" t="s">
        <v>1223</v>
      </c>
      <c r="F75" s="43" t="s">
        <v>1224</v>
      </c>
      <c r="G75" s="43" t="s">
        <v>1225</v>
      </c>
      <c r="H75" s="43" t="s">
        <v>1226</v>
      </c>
      <c r="I75" s="109" t="s">
        <v>851</v>
      </c>
      <c r="J75" s="110">
        <v>1061537002</v>
      </c>
      <c r="K75" s="43" t="s">
        <v>852</v>
      </c>
      <c r="L75" s="175" t="s">
        <v>853</v>
      </c>
      <c r="M75" s="22">
        <v>33653</v>
      </c>
      <c r="N75" s="213">
        <f t="shared" ca="1" si="252"/>
        <v>31.723287671232878</v>
      </c>
      <c r="O75" s="22">
        <v>44917</v>
      </c>
      <c r="P75" s="214" t="str">
        <f>IF(AND(O75="",R75&gt;0),"ACUDE ESPONTANEAMENTE",IF(AND(AND(O75&gt;0,R75=""),OR(IN76&gt;0,IK75&lt;&gt;"")),"NA",IF(AND(O75&gt;0,IN76="",R75=""),"NO",IF(AND(O75&gt;0,R75&gt;0),"SI",""))))</f>
        <v>SI</v>
      </c>
      <c r="Q75" s="26" t="s">
        <v>855</v>
      </c>
      <c r="R75" s="22">
        <v>44917</v>
      </c>
      <c r="S75" s="21" t="s">
        <v>856</v>
      </c>
      <c r="T75" s="24" t="s">
        <v>690</v>
      </c>
      <c r="U75" s="21" t="s">
        <v>857</v>
      </c>
      <c r="V75" s="21" t="s">
        <v>858</v>
      </c>
      <c r="W75" s="21" t="s">
        <v>1227</v>
      </c>
      <c r="X75" s="21" t="s">
        <v>1227</v>
      </c>
      <c r="Y75" s="21" t="s">
        <v>859</v>
      </c>
      <c r="Z75" s="21" t="s">
        <v>894</v>
      </c>
      <c r="AA75" s="21" t="s">
        <v>860</v>
      </c>
      <c r="AB75" s="27" t="s">
        <v>861</v>
      </c>
      <c r="AC75" s="26" t="s">
        <v>897</v>
      </c>
      <c r="AD75" s="38" t="s">
        <v>846</v>
      </c>
      <c r="AE75" s="26" t="s">
        <v>854</v>
      </c>
      <c r="AF75" s="26" t="s">
        <v>854</v>
      </c>
      <c r="AG75" s="23" t="s">
        <v>864</v>
      </c>
      <c r="AH75" s="23" t="s">
        <v>864</v>
      </c>
      <c r="AI75" s="24" t="s">
        <v>863</v>
      </c>
      <c r="AJ75" s="23" t="s">
        <v>864</v>
      </c>
      <c r="AK75" s="220" t="str">
        <f>IF(AND(AD75="",AE75="",AF75="",AG75="",AH75="",AI75="",AJ75=""),"",IF(OR(Tabla1[[#This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EVALUACIÓN",IF(AND(O75="",R75=""),"",IF(AND(OR(O75&gt;0,R75&gt;0),NG75&gt;=0,NG75&lt;2),"SIN RIESGO",IF(AND(OR(O75&gt;0,R75&gt;0),NG75&gt;=2),"CON RIESGO","ASD")))))</f>
        <v>SIN RIESGO</v>
      </c>
      <c r="AL75" s="23" t="s">
        <v>864</v>
      </c>
      <c r="AM75" s="26" t="s">
        <v>864</v>
      </c>
      <c r="AN75" s="26" t="s">
        <v>864</v>
      </c>
      <c r="AO75" s="26" t="s">
        <v>864</v>
      </c>
      <c r="AP75" s="26" t="s">
        <v>864</v>
      </c>
      <c r="AQ75" s="26" t="s">
        <v>864</v>
      </c>
      <c r="AR75" s="26" t="s">
        <v>864</v>
      </c>
      <c r="AS75" s="21">
        <v>0</v>
      </c>
      <c r="AT75" s="21">
        <v>0</v>
      </c>
      <c r="AU75" s="21">
        <v>0</v>
      </c>
      <c r="AV75" s="26" t="s">
        <v>864</v>
      </c>
      <c r="AW75" s="21">
        <v>0</v>
      </c>
      <c r="AX75" s="26" t="s">
        <v>864</v>
      </c>
      <c r="AY75" s="26" t="s">
        <v>864</v>
      </c>
      <c r="AZ75" s="26" t="s">
        <v>864</v>
      </c>
      <c r="BA75" s="26" t="s">
        <v>864</v>
      </c>
      <c r="BB75" s="26" t="s">
        <v>864</v>
      </c>
      <c r="BC75" s="26" t="s">
        <v>864</v>
      </c>
      <c r="BD75" s="26" t="s">
        <v>864</v>
      </c>
      <c r="BE75" s="26" t="s">
        <v>864</v>
      </c>
      <c r="BF75" s="26" t="s">
        <v>864</v>
      </c>
      <c r="BG75" s="26" t="s">
        <v>864</v>
      </c>
      <c r="BH75" s="26" t="s">
        <v>864</v>
      </c>
      <c r="BI75" s="26" t="s">
        <v>864</v>
      </c>
      <c r="BJ75" s="26"/>
      <c r="BK75" s="26"/>
      <c r="BL75" s="26" t="s">
        <v>864</v>
      </c>
      <c r="BM75" s="26" t="s">
        <v>864</v>
      </c>
      <c r="BN75" s="22"/>
      <c r="BO75" s="22">
        <v>44821</v>
      </c>
      <c r="BP75" s="21" t="s">
        <v>854</v>
      </c>
      <c r="BQ75" s="222">
        <f t="shared" si="254"/>
        <v>0</v>
      </c>
      <c r="BR75" s="223">
        <f t="shared" si="255"/>
        <v>44794.8</v>
      </c>
      <c r="BS75" s="224">
        <f t="shared" si="256"/>
        <v>13.714285714285714</v>
      </c>
      <c r="BT75" s="216" t="str">
        <f t="shared" si="257"/>
        <v>II TRIM</v>
      </c>
      <c r="BU75" s="214" t="str">
        <f t="shared" ca="1" si="258"/>
        <v/>
      </c>
      <c r="BV75" s="25"/>
      <c r="BW75" s="22">
        <v>44946</v>
      </c>
      <c r="BX75" s="28">
        <v>21.6</v>
      </c>
      <c r="BY75" s="28"/>
      <c r="BZ75" s="22">
        <v>44995</v>
      </c>
      <c r="CA75" s="21">
        <v>28.6</v>
      </c>
      <c r="CB75" s="26" t="s">
        <v>864</v>
      </c>
      <c r="CC75" s="26" t="s">
        <v>864</v>
      </c>
      <c r="CD75" s="26" t="s">
        <v>878</v>
      </c>
      <c r="CE75" s="26" t="s">
        <v>864</v>
      </c>
      <c r="CF75" s="22" t="s">
        <v>1517</v>
      </c>
      <c r="CG75" s="21">
        <v>1.55</v>
      </c>
      <c r="CH75" s="21">
        <v>69.900000000000006</v>
      </c>
      <c r="CI75" s="214">
        <f t="shared" si="259"/>
        <v>29.094693028095733</v>
      </c>
      <c r="CJ75" s="225" t="e">
        <f>IF(AND(CI75&lt;10,CH75="SD"),"SIN DATO PESO PREGESTACION O I TRIM",IF(AND(OR(R75&gt;0,O75&gt;0),CI75="X"),"INGRESAR DATO DE PESO",IF(CI75="SD","INGRESAR DATO DE TALLA Y PESO",IF(AND(OR(Tabla1[[#This Row],[MOMENTO EN QUE SE REALIZA EL PESO AL INGRESO A CPN]]="PREGESTACIÓN",NZ75="Menor"),CI75&lt;18.5),"BAJO PESO",IF(AND(OR(Tabla1[[#This Row],[MOMENTO EN QUE SE REALIZA EL PESO AL INGRESO A CPN]]="PREGESTACIÓN",NZ75="Menor"),CI75&lt;25),"NORMAL",IF(AND(OR(Tabla1[[#This Row],[MOMENTO EN QUE SE REALIZA EL PESO AL INGRESO A CPN]]="PREGESTACIÓN",NZ75="Menor"),CI75&lt;30),"SOBREPESO",IF(AND(OR(Tabla1[[#This Row],[MOMENTO EN QUE SE REALIZA EL PESO AL INGRESO A CPN]]="PREGESTACIÓN",NZ75="Menor"),CI75&gt;=30,CI75&lt;50),"OBESIDAD",IF(AND(BS75&gt;0,Tabla1[[#This Row],[MOMENTO EN QUE SE REALIZA EL PESO AL INGRESO A CPN]]="GESTACIÓN"),HLOOKUP(NZ75,$OA$2:PH75,NY75),""))))))))</f>
        <v>#REF!</v>
      </c>
      <c r="CK75" s="212">
        <f t="shared" si="260"/>
        <v>45064</v>
      </c>
      <c r="CL75" s="21">
        <v>75.7</v>
      </c>
      <c r="CM75" s="214">
        <f t="shared" si="261"/>
        <v>31.508844953173774</v>
      </c>
      <c r="CN75" s="216">
        <f t="shared" si="262"/>
        <v>34</v>
      </c>
      <c r="CO75" s="216" t="e">
        <f>IF(PI75="","",IF(PI75&gt;0,HLOOKUP(PI75,$PJ$2:QQ75,NY75),""))</f>
        <v>#REF!</v>
      </c>
      <c r="CP75" s="21"/>
      <c r="CQ75" s="216" t="e">
        <f>IF(QR75="Menor","NO APLICA-MENOR 13 SEM",IF(AND(CC75="SI",CN75&gt;23),"NO APLICA- GEMELAR",IF(QR75="","",IF(QR75&gt;0,HLOOKUP(QR75,$QS$2:RU75,NY75),""))))</f>
        <v>#REF!</v>
      </c>
      <c r="CR75" s="21">
        <v>100</v>
      </c>
      <c r="CS75" s="21">
        <v>60</v>
      </c>
      <c r="CT75" s="217" t="str">
        <f>IF(R75="","",IF(AND(BS75&gt;1,BS75&lt;12,Tabla1[[#This Row],[T.A. SISTOLICA - ANTES DE SEMANA 12]]="",Tabla1[[#This Row],[T.A. DIASTOLICA - ANTES DE SEMANA 12]]=""),"REGISTRE DATO TA ANTES SEMANA 12",IF(AND(BS75&gt;11,BS75&lt;43,Tabla1[[#This Row],[T.A. SISTOLICA - ANTES DE SEMANA 12]]="",Tabla1[[#This Row],[T.A. DIASTOLICA - ANTES DE SEMANA 12]]=""),"NO APLICA REGISTRO TA-INGRESO TARDIO",IF(AND(OR(O75&gt;0,R75&gt;0),OR(CR75&gt;=140,CS75&gt;=90)),"DEFINIR ESTADIO HTA",IF(AND(OR(O75&gt;0,R75&gt;0),AND(CR75&gt;120,CR75&lt;=139)),"PRE HTA SEGUIMIENTO",IF(AND(OR(O75&gt;0,R75&gt;0),AND(CS75&gt;80,CS75&lt;=89)),"PRE HTA SEGUIMIENTO",IF(AND(OR(O75&gt;0,R75&gt;0),AND(CR75&gt;=80,CR75&lt;=120)),"APARENTEMENTE NORMAL",IF(AND(OR(O75&gt;0,R75&gt;0),AND(CS75&gt;=50,CS75&lt;=80)),"APARENTEMENTE NORMAL",IF(AND(OR(O75&gt;0,R75&gt;0),AND(CR75&gt;1,CR75&lt;=70),AND(CS75&gt;1,CS75&lt;=40)),"HIPOTENSIÓN","")))))))))</f>
        <v>APARENTEMENTE NORMAL</v>
      </c>
      <c r="CU75" s="21">
        <v>100</v>
      </c>
      <c r="CV75" s="21">
        <v>70</v>
      </c>
      <c r="CW75" s="217" t="str">
        <f ca="1">IF(R75="","",IF(AND(CN75&gt;19,CN75&lt;27,Tabla1[[#This Row],[T.A. SISTOLICA (Entre semana 20 y 26)]]="",Tabla1[[#This Row],[T.A. DIATOLICA (Entre semana 20 y 26)]]=""),"ACUDE A CONTROL SEM 20 A 26 REGISTRE TA AHORA",IF(AND(BS75&gt;1,BS75&lt;27,BU75&gt;19,Tabla1[[#This Row],[T.A. SISTOLICA (Entre semana 20 y 26)]]="",Tabla1[[#This Row],[T.A. DIATOLICA (Entre semana 20 y 26)]]=""),"COMPLETE REGISTRO TA CONTROL SEM 20 A26 ",IF(AND(BS75&gt;26,BS75&lt;43,Tabla1[[#This Row],[T.A. SISTOLICA (Entre semana 20 y 26)]]="",Tabla1[[#This Row],[T.A. DIATOLICA (Entre semana 20 y 26)]]=""),"NO APLICA REGISTRO TA-INGRESO TARDIO",IF(AND(OR(O75&gt;0,R75&gt;0),OR(CU75&gt;=140,CV75&gt;=90)),"ALTO RIESGO PREECLAMPSIA,DEFINIR ESTADIO HTA",IF(AND(OR(O75&gt;0,R75&gt;0),AND(CU75&gt;120,CU75&lt;=139)),"PRE HTA SEGUIMIENTO,RIESGO HIPERTENSION INDUCIDA POR EL EMBARAZO",IF(AND(OR(O75&gt;0,R75&gt;0),AND(CV75&gt;80,CV75&lt;=89)),"PRE HTA SEGUIMIENTO, RIESGO HIPERTENSION INDUCIDA POR EL EMBARAZO",IF(AND(OR(O75&lt;&gt;"",R75&lt;&gt;""),CS75&lt;&gt;"",CV75&lt;&gt;"",CS75&lt;=CV75),"VIGILAR CIFRAS PRESION ARTERIAL",IF(AND(OR(O75&gt;0,R75&gt;0),AND(CU75&gt;120,CU75&lt;=139)),"PRE HTA SEGUIMIENTO",IF(AND(OR(O75&gt;0,R75&gt;0),AND(CU75&gt;1,CU75&lt;=70),AND(CV75&gt;1,CV75&lt;=40)),"HIPOTENSIÓN",IF(AND(OR(O75&lt;&gt;"",R75&lt;&gt;""),CS75&lt;&gt;"",CV75&lt;&gt;"",CS75&gt;CV75),"APARENTEMENTE NORMAL",IF(AND(OR(O75&gt;0,R75&gt;0),AND(CU75&gt;=80,CU75&lt;=120)),"APARENTEMENTE NORMAL",IF(AND(OR(O75&gt;0,R75&gt;0),AND(CV75&gt;=50,CV75&lt;=80)),"APARENTEMENTE NORMAL","")))))))))))))</f>
        <v>VIGILAR CIFRAS PRESION ARTERIAL</v>
      </c>
      <c r="CX75" s="21">
        <v>90</v>
      </c>
      <c r="CY75" s="21">
        <v>60</v>
      </c>
      <c r="CZ75" s="216" t="str">
        <f t="shared" si="263"/>
        <v>APARENTEMENTE NORMAL</v>
      </c>
      <c r="DA75" s="21">
        <v>100</v>
      </c>
      <c r="DB75" s="21">
        <v>60</v>
      </c>
      <c r="DC75" s="217" t="str">
        <f t="shared" si="264"/>
        <v>APARENTEMENTE NORMAL</v>
      </c>
      <c r="DD75" s="22">
        <v>44917</v>
      </c>
      <c r="DE75" s="22">
        <v>44917</v>
      </c>
      <c r="DF75" s="22">
        <v>44950</v>
      </c>
      <c r="DG75" s="22">
        <v>44981</v>
      </c>
      <c r="DH75" s="22">
        <v>45009</v>
      </c>
      <c r="DI75" s="22">
        <v>45042</v>
      </c>
      <c r="DJ75" s="22">
        <v>45064</v>
      </c>
      <c r="DK75" s="22"/>
      <c r="DL75" s="22"/>
      <c r="DM75" s="22"/>
      <c r="DN75" s="22"/>
      <c r="DO75" s="22"/>
      <c r="DP75" s="22"/>
      <c r="DQ75" s="22"/>
      <c r="DR75" s="28">
        <v>1</v>
      </c>
      <c r="DS75" s="22"/>
      <c r="DT75" s="22"/>
      <c r="DU75" s="216" t="str">
        <f ca="1">IF(AND(BT75="ERROR FUM O INGRESO",DS75&gt;0),"ERROR FUM O INGRESO",IF(AND(DS75="",R75="",O75=""),"",IF(OR(AND(DS75&lt;&gt;"",DS75&lt;RW75),AND(DS75&lt;&gt;"",AND(SUM((DS75-RW75)/7)&gt;0,SUM((DS75-RW75)/7)&lt;28))),"PLAN REALIZADO ANTES III TRIM", IF(AND(DS75="",OR(O75&gt;0,R75&gt;0),AND(BU75&gt;=28, BU75&lt;35,DV75="ACTIVA INGRESO A CPN")),"PLANEAR PLAN DE PARTO", IF(AND(DS75="",OR(O75&gt;0,R75&gt;0),BU75&gt;=35,DV75="ACTIVA INGRESO A CPN"),"CONCERTAR PLAN DE PARTO INMEDIATO", IF(AND(DS75="",OR(O75&gt;0,R75&gt;0),AND(BU75&gt;0, BU75&lt;28),OR(DV75="ACTIVA INGRESO A CPN", DV75=" ACTIVA SIN INGRESO CPN")),"EN ESPERA", IF(AND(DS75="",OR(O75&gt;0,R75&gt;0),AND(IP76&gt;0, IP76&lt;28)),"NO APLICA SALE PROGRAMA ANTES III TRIM", IF(AND(DS75="",OR(O75&gt;0,R75&gt;0),AND(IP76&gt;=28, IP76&lt;35)),"SALE PROGRAMA ANTES SEMANA 35", IF(AND(DS75="",OR(O75&gt;0,R75&gt;0),IP76&gt;35),"SALE SIN PLAN DE PARTO",IF(DS75&gt;0,SUM(DS75-BO75)/7,""))))))))))</f>
        <v>SALE SIN PLAN DE PARTO</v>
      </c>
      <c r="DV75" s="226" t="str">
        <f>IF(AND(R75&lt;&gt;"",IK75="CAMBIO DE RESIDENCIA",IK75="CAMBIO DE IPS",IK75="CAMBIO DE EPS"),"SEGUIMIENTO REPORTE EPS",IF(IK75="IVE","IVE",IF(AND(R75&lt;&gt;"",OR(IK75&lt;&gt;"",IN76&lt;&gt;"")),"SALIO PROGRAMA",IF(AND(AND(R75="",O75&gt;0),OR(IK75&lt;&gt;"",IN76&lt;&gt;"")),"SALE SIN INGRESO CPN",IF(AND(R75="",O75&gt;0,IK75="",IN76=""),"ACTIVA SIN INGRESO CPN",IF(AND(R75&lt;&gt;"",OR(IK75="",IN76="")),"ACTIVA INGRESO A CPN",""))))))</f>
        <v>SALIO PROGRAMA</v>
      </c>
      <c r="DW75"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75" s="216" t="str">
        <f t="shared" ca="1" si="266"/>
        <v/>
      </c>
      <c r="DY75" s="212">
        <f>IF(R75="","",IF(R75&gt;0,MAX(Tabla1[[#This Row],[FECHA C2]:[FECHA C13]],Tabla1[[#This Row],[FECHA CONSULTA PRIMERA VEZ PROGRAMA CPN ]])))</f>
        <v>45064</v>
      </c>
      <c r="DZ75" s="216">
        <f t="shared" si="267"/>
        <v>34</v>
      </c>
      <c r="EA75" s="222">
        <f>IF(R75&gt;0,SUM(COUNTA(DF75:DQ75)+COUNTA(Tabla1[[#This Row],[FECHA CONSULTA PRIMERA VEZ PROGRAMA CPN ]])),"")</f>
        <v>6</v>
      </c>
      <c r="EB75" s="222" t="str">
        <f t="shared" si="268"/>
        <v>SI</v>
      </c>
      <c r="EC75" s="214">
        <f t="shared" si="269"/>
        <v>8</v>
      </c>
      <c r="ED75" s="227">
        <f t="shared" si="270"/>
        <v>0.75</v>
      </c>
      <c r="EE75" s="22">
        <v>44917</v>
      </c>
      <c r="EF75" s="22">
        <v>44918</v>
      </c>
      <c r="EG75" s="22">
        <v>44917</v>
      </c>
      <c r="EH75" s="22">
        <v>44946</v>
      </c>
      <c r="EI75" s="22">
        <v>44917</v>
      </c>
      <c r="EJ75" s="22">
        <v>44917</v>
      </c>
      <c r="EK75" s="22">
        <v>45029</v>
      </c>
      <c r="EL75" s="21">
        <v>2</v>
      </c>
      <c r="EM75" s="21">
        <v>13.5</v>
      </c>
      <c r="EN75" s="22">
        <v>44918</v>
      </c>
      <c r="EO75" s="222">
        <f t="shared" si="271"/>
        <v>13.857142857142858</v>
      </c>
      <c r="EP75" s="214" t="str">
        <f t="shared" si="272"/>
        <v>NORMAL- SUMINISTRAR SULFATO FERROSO</v>
      </c>
      <c r="EQ75" s="216" t="str">
        <f t="shared" si="273"/>
        <v>II TRIM</v>
      </c>
      <c r="ER75" s="24"/>
      <c r="ES75" s="22"/>
      <c r="ET75" s="29" t="str">
        <f ca="1">IF(AND(BT75="ERROR FUM O INGRESO",ES75&gt;0),"ERROR FUM O INGRESO",IF(AND(ES75="",R75="",O75=""),"",IF(OR(AND(ES75&lt;&gt;"",ES75&lt;RW75),AND(ES75&lt;&gt;"",SUM((ES75-RW75)/7)&gt;40)),"CORREGIR FECHA RESULTADO",IF(AND(BU75&gt;1,BU75&lt;23,ER75="",ES75=""),"EN ESPERA PARA TOMA EXAMEN",IF(AND(BU75&gt;22,BU75&lt;26,ER75="",ES75=""),"PROGRAMAR TOMA HEMOGLOBINA A SEM 28",IF(AND(BU75&gt;25,BU75&lt;28,ER75="",ES75=""),"TOMA HEMOGLOBINA A SEM 28 EN 1 SEMANA",IF(AND(BU75&gt;27,BU75&lt;31,ES75="",OR(O75&gt;0,R75&gt;0)),"EN SEMANA 28 TOMA INMEDIATA DE EXAMEN",IF(AND(IP76&gt;0,IP76&lt;28,ES75="",OR(O75&gt;0,R75&gt;0)),"NO APLICA-SALE ANTES SEM 28",IF(AND(IP76&gt;28,IP76&lt;43,ES75="",OR(O75&gt;0,R75&gt;0)),"SALE SIN TAMIZAJE HEMOGLOBINA SEM 28",IF(AND(BS75&gt;0,ES75="",OR(O75&gt;0,R75&gt;0)),"TOMA DE HEMOGLOBINA TARDÍA",IF(ES75&gt;0,SUM(ES75-RW75)/7,"")))))))))))</f>
        <v>TOMA DE HEMOGLOBINA TARDÍA</v>
      </c>
      <c r="EU75" s="25" t="str">
        <f t="shared" si="275"/>
        <v/>
      </c>
      <c r="EV75" s="24" t="s">
        <v>866</v>
      </c>
      <c r="EW75" s="24">
        <v>44918</v>
      </c>
      <c r="EX75" s="22"/>
      <c r="EY75" s="29">
        <f t="shared" si="248"/>
        <v>13.857142857142858</v>
      </c>
      <c r="EZ75" s="25" t="str">
        <f t="shared" ca="1" si="249"/>
        <v/>
      </c>
      <c r="FA75" s="21">
        <v>72</v>
      </c>
      <c r="FB75" s="22">
        <v>44918</v>
      </c>
      <c r="FC75" s="29">
        <f t="shared" si="276"/>
        <v>13.857142857142858</v>
      </c>
      <c r="FD75" s="29">
        <v>66</v>
      </c>
      <c r="FE75" s="29">
        <v>98</v>
      </c>
      <c r="FF75" s="29">
        <v>61</v>
      </c>
      <c r="FG75" s="21" t="str">
        <f t="shared" ca="1" si="277"/>
        <v>NORMAL</v>
      </c>
      <c r="FH75" s="31">
        <v>45009</v>
      </c>
      <c r="FI75" s="29">
        <f t="shared" si="278"/>
        <v>26.857142857142858</v>
      </c>
      <c r="FJ75" s="22"/>
      <c r="FK75" s="22"/>
      <c r="FL75" s="29" t="str">
        <f t="shared" ca="1" si="279"/>
        <v>NO APLICA-INGRESO TARDIO</v>
      </c>
      <c r="FM75" s="22" t="s">
        <v>867</v>
      </c>
      <c r="FN75" s="32">
        <v>44918</v>
      </c>
      <c r="FO75" s="29">
        <f ca="1">IF(AND(BT75="ERROR FUM O INGRESO",FN75&gt;0),"ERROR FUM O INGRESO",IF(AND(FN75="",R75="",O75=""),"",IF(AND(FN75&lt;&gt;"",FN75&lt;RW75), "INCOHERENCIA FUM Y FECHA TAMIZAJE",IF(AND(FN75="",DV75="ACTIVA INGRESO A CPN",AND(BU75&gt;0,BU75&lt;13)),"EN ESPERA-ESTÁ I TRIM", IF(AND(FN75="",AND(BS75&gt;0, BS75&lt;13),OR(O75&gt;0,R75&gt;0),AND(IP76&gt;0,IP76&lt;13)),"NO APLICA-SALIO DEL PROGRAMA I TRIM",IF(AND(FN75&lt;&gt;"",AND(SUM((FN75-RW75)/7)&gt;0,SUM((FN75-RW75)/7)&lt;13)),"REGISTRAR EN I TRIMESTRE",IF(AND(FN75&lt;&gt;"",AND(SUM((FN75-RW75)/7)&gt;=27,SUM((FN75-RW75)/7)&lt;44)),"REGISTRAR EN III TRIMESTRE",IF(AND(FN75="",OR(O75&gt;0,R75&gt;0),AND(BU75&gt;=13,BU75&lt;24),DV75="ACTIVA INGRESO A CPN"),"EN RANGO PARA TOMAR EXAMEN",IF(AND(FN75="",OR(O75&gt;0,R75&gt;0),AND(BU75&gt;=25,BU75&lt;27),DV75="ACTIVA INGRESO A CPN"),"TOMA INMEDIATA DE TAMIZAJE",IF(AND(FN75="",OR(O75&gt;0,R75&gt;0),AND(BS75&gt;=27,BS75&lt;44)),"NO APLICA-INGRESO TARDIO",IF(AND(FN75="",BS75&lt;27,OR(AND(IP76&gt;12,IP76&lt;44),BU75&gt;12)),"PIERDE TOMA DE TAMIZAJE",IF(FN75&gt;0,SUM(FN75-RW75)/7,""))))))))))))</f>
        <v>13.857142857142858</v>
      </c>
      <c r="FP75" s="22" t="s">
        <v>867</v>
      </c>
      <c r="FQ75" s="32">
        <v>45064</v>
      </c>
      <c r="FR75" s="29">
        <f ca="1">IF(AND(BT75="ERROR FUM O INGRESO",FQ75&gt;0),"ERROR FUM O INGRESO",IF(AND(FQ75="",R75="",O75=""),"",IF(AND(FQ75&lt;&gt;"",FQ75&lt;RW75), "INCOHERENCIA FUM Y FECHA TAMIZAJE",IF(AND(FQ75="",DV75="ACTIVA INGRESO A CPN",AND(BU75&gt;0,BU75&lt;27)),"EN ESPERA-ESTÁ I TRIM O II TRIM", IF(AND(FQ75="",AND(BS75&gt;0, BS75&lt;27),OR(O75&gt;0,R75&gt;0),AND(IP76&gt;0,IP76&lt;27)),"NO APLICA-SALIO DEL PROGRAMA I O II TRIM",IF(AND(FQ75&lt;&gt;"",AND(SUM((FQ75-RW75)/7)&gt;0,SUM((FQ75-RW75)/7)&lt;13)),"REGISTAR EN I TRIMESTRE",IF(AND(FQ75&lt;&gt;"",AND(SUM((FQ75-RW75)/7)&gt;=13,SUM((FQ75-RW75)/7)&lt;27)),"REGISTRAR EN II TRIMESTRE",IF(AND(FQ75="",OR(O75&gt;0,R75&gt;0),AND(BU75&gt;=28,BU75&lt;35),DV75="ACTIVA INGRESO A CPN"),"EN RANGO PARA TOMAR EXAMEN",IF(AND(FQ75="",OR(O75&gt;0,R75&gt;0),BU75&gt;=35, DV75="ACTIVA INGRESO A CPN"),"TOMA INMEDIATA DE TAMIZAJE",IF(AND(FQ75="",DV75= "SALE SIN INGRESO CPN"),"NO APLICA-SIN CPN",IF(AND(FQ75="",AND(IP76&gt;26,IP76&lt;43)),"PIERDE TOMA DE TAMIZAJE",IF(FQ75&gt;0,SUM(FQ75-RW75)/7,""))))))))))))</f>
        <v>34.714285714285715</v>
      </c>
      <c r="FS75" s="22"/>
      <c r="FT75" s="32"/>
      <c r="FU75" s="29" t="str">
        <f>IF(AND(FJ75="",FM75="",FP75="",FS75=""),"",IF(OR(OR(Tabla1[[#This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75" s="28"/>
      <c r="FW75" s="22"/>
      <c r="FX75" s="29" t="str">
        <f t="shared" si="280"/>
        <v>TOMAR EXAMEN</v>
      </c>
      <c r="FY75" s="22">
        <v>44918</v>
      </c>
      <c r="FZ75" s="22">
        <v>44918</v>
      </c>
      <c r="GA75" s="29" t="str">
        <f t="shared" si="250"/>
        <v>REGISTRAR EN II TRIMESTRE</v>
      </c>
      <c r="GB75" s="22" t="s">
        <v>868</v>
      </c>
      <c r="GC75" s="22">
        <v>44918</v>
      </c>
      <c r="GD75" s="29">
        <f ca="1">IF(AND(BT75="ERROR FUM O INGRESO",GC75&gt;0),"ERROR FUM O INGRESO",IF(AND(GC75="",R75="",O75=""),"",IF(AND(GC75&lt;&gt;"",GC75&lt;RW75), "INCOHERENCIA FUM Y FECHA TAMIZAJE",IF(AND(GC75="",DV75="ACTIVA INGRESO A CPN",AND(BU75&gt;0,BU75&lt;13)),"EN ESPERA-ESTÁ I TRIM", IF(AND(GC75="",AND(BS75&gt;0, BS75&lt;12),OR(O75&gt;0,R75&gt;0),AND(IP76&gt;0,IP76&lt;13)),"NO APLICA-SALIO DEL PROGRAMA I TRIM",IF(AND(GC75&lt;&gt;"",AND(SUM((GC75-RW75)/7)&gt;0,SUM((GC75-RW75)/7)&lt;13)),"REGISTRAR EN I TRIMESTRE",IF(AND(GC75&lt;&gt;"",AND(SUM((GC75-RW75)/7)&gt;=27,SUM((GC75-RW75)/7)&lt;44)),"REGISTRAR EN III TRIMESTRE",IF(AND(GC75="",OR(O75&gt;0,R75&gt;0),AND(BU75&gt;=12,BU75&lt;25),DV75="ACTIVA INGRESO A CPN"),"EN RANGO PARA TOMAR EXAMEN",IF(AND(GC75="",OR(O75&gt;0,R75&gt;0),AND(BU75&gt;=25,BU75&lt;27),DV75="ACTIVA INGRESO A CPN"),"TOMA INMEDIATA DE TAMIZAJE",IF(AND(GC75="",OR(O75&gt;0,R75&gt;0),AND(BS75&gt;=27,BS75&lt;43)),"NO APLICA-INGRESO TARDIO",IF(AND(GC75="",BS75&lt;27),"PIERDE TOMA DE TAMIZAJE",IF(GC75&gt;0,SUM(GC75-RW75)/7,""))))))))))))</f>
        <v>13.857142857142858</v>
      </c>
      <c r="GE75" s="22"/>
      <c r="GF75" s="22"/>
      <c r="GG75" s="29" t="str">
        <f ca="1">IF(AND(BT75="ERROR FUM O INGRESO",GF75&gt;0),"ERROR FUM O INGRESO",IF(AND(GF75="",R75="",O75=""),"",IF(AND(GF75&lt;&gt;"",GF75&lt;RW75), "INCOHERENCIA FUM Y FECHA TAMIZAJE",IF(AND(GF75="",DV75="ACTIVA INGRESO A CPN",AND(BU75&gt;0,BU75&lt;27)),"EN ESPERA-ESTÁ I TRIM O II TRIM", IF(AND(GF75="",AND(BS75&gt;0, BS75&lt;28),OR(O75&gt;0,R75&gt;0),AND(IP76&gt;0,IP76&lt;28)),"NO APLICA-SALIO DEL PROGRAMA I O II TRIM",IF(AND(GF75&lt;&gt;"",AND(SUM((GF75-RW75)/7)&gt;0,SUM((GF75-RW75)/7)&lt;13)),"REGISTAR EN I TRIMESTRE",IF(AND(GF75&lt;&gt;"",AND(SUM((GF75-RW75)/7)&gt;=13,SUM((GF75-RW75)/7)&lt;27)),"REGISTRAR EN II TRIMESTRE",IF(AND(GF75="",OR(O75&gt;0,R75&gt;0),AND(BU75&gt;=28,BU75&lt;35),DV75="ACTIVA INGRESO A CPN"),"EN RANGO PARA TOMAR EXAMEN",IF(AND(GF75="",OR(O75&gt;0,R75&gt;0),BU75&gt;=35, DV75="ACTIVA INGRESO A CPN"),"TOMA INMEDIATA DE TAMIZAJE",IF(AND(GF75="",DV75= "SALE SIN INGRESO CPN"),"NO APLICA-SIN CPN",IF(AND(GF75="",BS75&lt;44),"PIERDE TOMA DE TAMIZAJE",IF(GF75&gt;0,SUM(GF75-RW75)/7,""))))))))))))</f>
        <v>PIERDE TOMA DE TAMIZAJE</v>
      </c>
      <c r="GH75" s="22"/>
      <c r="GI75" s="29"/>
      <c r="GJ75" s="22"/>
      <c r="GK75" s="22"/>
      <c r="GL75" s="22"/>
      <c r="GM75" s="22"/>
      <c r="GN75" s="28" t="s">
        <v>869</v>
      </c>
      <c r="GO75" s="22">
        <v>44918</v>
      </c>
      <c r="GP75" s="29">
        <f t="shared" si="283"/>
        <v>13.857142857142858</v>
      </c>
      <c r="GQ75" s="28" t="s">
        <v>869</v>
      </c>
      <c r="GR75" s="28" t="s">
        <v>869</v>
      </c>
      <c r="GS75" s="22" t="str">
        <f t="shared" si="284"/>
        <v>CONTROL Igm</v>
      </c>
      <c r="GT75" s="22">
        <v>44918</v>
      </c>
      <c r="GU75" s="29">
        <f t="shared" si="285"/>
        <v>13.857142857142858</v>
      </c>
      <c r="GV75" s="21" t="str">
        <f t="shared" si="286"/>
        <v>II TRIM</v>
      </c>
      <c r="GW75" s="28" t="s">
        <v>869</v>
      </c>
      <c r="GX75" s="30"/>
      <c r="GY75" s="21"/>
      <c r="GZ75" s="21"/>
      <c r="HA75" s="21"/>
      <c r="HB75" s="21"/>
      <c r="HC75" s="21"/>
      <c r="HD75" s="21"/>
      <c r="HE75" s="21"/>
      <c r="HF75" s="22"/>
      <c r="HG75" s="22" t="str">
        <f>IF(OR(O75&gt;0,R75&gt;0),CONCATENATE(IF(Tabla1[[#This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75" s="22" t="e">
        <f t="shared" si="287"/>
        <v>#REF!</v>
      </c>
      <c r="HI75" s="22" t="e">
        <f t="shared" ca="1" si="288"/>
        <v>#REF!</v>
      </c>
      <c r="HJ75" s="21" t="str">
        <f t="shared" ca="1" si="289"/>
        <v>**********************MULTIPARIDAD*****************</v>
      </c>
      <c r="HK75" s="21" t="str">
        <f t="shared" si="290"/>
        <v>SIN ANTECEDENTES DE RIESGO</v>
      </c>
      <c r="HL75" s="24" t="str">
        <f t="shared" si="291"/>
        <v>APARENTEMENTE NORMAL</v>
      </c>
      <c r="HM75" s="21" t="str">
        <f t="shared" ca="1" si="292"/>
        <v/>
      </c>
      <c r="HN75" s="30" t="str">
        <f>IF(AND(R75&lt;&gt;"",IK75="CAMBIO DE RESIDENCIA"),"SEGUIMIENTO REPORTE EPS",IF(AND(R75&lt;&gt;"",OR(IK75&lt;&gt;"",IN76&lt;&gt;"")),"SALIO PROGRAMA",IF(AND(AND(R75="",O75&gt;0),OR(IK75&lt;&gt;"",IN76&lt;&gt;"")),"SALE SIN INGRESO CPN",IF(AND(R75="",O75&gt;0,IK75="",IN76=""),"ACTIVA SIN INGRESO CPN",IF(AND(R75&lt;&gt;"",OR(IK75="",IN76="")),"ACTIVA INGRESO A CPN","")))))</f>
        <v>SALIO PROGRAMA</v>
      </c>
      <c r="HO75" s="21"/>
      <c r="HP75" s="21"/>
      <c r="HQ75" s="21">
        <v>44917</v>
      </c>
      <c r="HR75" s="21" t="str">
        <f>IF(R75="","",IF(Tabla1[[#This Row],[ALARMA FACTORES DE RIESGO COMPLICACIONES HIPERTENSIVAS3]]="SIN ANTECEDENTES DE RIESGO","No Aplica para suministro de ASA",IF(AND(Tabla1[[#This Row],[FECHA INICIO DE SUMINISTRO DE ASA]]&gt;0,RV75&lt;12),"Inicia ASA ANTES de Sem 12",IF(AND(RV75&gt;11,RV75&lt;17,OR(HK75="RIESGO ALTO DE COMPLICACIONES HIPERTENSIVAS VER MANEJO GUIA SUMINISTRO ASA Y CALCIO",HK75="RIESGO MODERADO (2 O MAS CRITERIOS) VER MANEJO GUIA SUMINISTRO ASA Y CALCIO")),"Inicio oportuno de ASA",IF(AND(RV75&gt;12,OR(HK75="RIESGO ALTO DE COMPLICACIONES HIPERTENSIVAS VER MANEJO GUIA SUMINISTRO ASA Y CALCIO",HK75="RIESGO MODERADO (2 O MAS CRITERIOS) VER MANEJO GUIA SUMINISTRO ASA Y CALCIO")),"Inicio no oportuno mayor a 16 semanas",IF(AND(BU75&lt;12,OR(HK75="RIESGO ALTO DE COMPLICACIONES HIPERTENSIVAS VER MANEJO GUIA SUMINISTRO ASA Y CALCIO",HK75="RIESGO MODERADO (2 O MAS CRITERIOS) VER MANEJO GUIA SUMINISTRO ASA Y CALCIO")),"Pendiente Inicio de ASA a la semana 12",IF(AND(BU75&gt;11,BU75&lt;17,OR(HK75="RIESGO ALTO DE COMPLICACIONES HIPERTENSIVAS VER MANEJO GUIA SUMINISTRO ASA Y CALCIO",HK75="RIESGO MODERADO (2 O MAS CRITERIOS) VER MANEJO GUIA SUMINISTRO ASA Y CALCIO")),"Iniciar de inmediato ASA",IF(AND(BU75&gt;16,OR(HK75="RIESGO ALTO DE COMPLICACIONES HIPERTENSIVAS VER MANEJO GUIA SUMINISTRO ASA Y CALCIO",HK75="RIESGO MODERADO (2 O MAS CRITERIOS) VER MANEJO GUIA SUMINISTRO ASA Y CALCIO")),"Pierde Oportunidad, Inicio tardío de ASA","XXXXX"))))))))</f>
        <v>No Aplica para suministro de ASA</v>
      </c>
      <c r="HS75" s="22">
        <v>44917</v>
      </c>
      <c r="HT75" s="22" t="s">
        <v>870</v>
      </c>
      <c r="HU75" s="22">
        <v>44917</v>
      </c>
      <c r="HV75" s="22" t="s">
        <v>870</v>
      </c>
      <c r="HW75" s="22">
        <v>44917</v>
      </c>
      <c r="HX75" s="22" t="s">
        <v>870</v>
      </c>
      <c r="HY75" s="22">
        <v>44917</v>
      </c>
      <c r="HZ75" s="28">
        <f t="shared" si="293"/>
        <v>13.714285714285714</v>
      </c>
      <c r="IA75" s="26" t="s">
        <v>864</v>
      </c>
      <c r="IB75" s="26"/>
      <c r="IC75" s="111"/>
      <c r="ID75" s="22"/>
      <c r="IE75" s="22" t="str">
        <f t="shared" ca="1" si="294"/>
        <v>SALE SIN VACUNA</v>
      </c>
      <c r="IF75" s="22"/>
      <c r="IG75" s="22">
        <f t="shared" si="295"/>
        <v>45101</v>
      </c>
      <c r="IH75" s="29">
        <f t="shared" ca="1" si="296"/>
        <v>-131</v>
      </c>
      <c r="II75" s="22" t="str">
        <f t="shared" ca="1" si="297"/>
        <v>POSIBLEMENTE NACIO</v>
      </c>
      <c r="IJ75" s="22"/>
      <c r="IK75" s="21" t="s">
        <v>898</v>
      </c>
      <c r="IL75" s="21"/>
      <c r="IM75" s="34"/>
      <c r="IN75" s="352">
        <v>45067</v>
      </c>
      <c r="IO75" s="339" t="s">
        <v>1186</v>
      </c>
      <c r="IP75" s="29">
        <f t="shared" ref="IP75:IP106" si="436">IF(AND(IN75&gt;0,IK75&lt;&gt;""),SUM(IN75-RW75)/7,"")</f>
        <v>35.142857142857146</v>
      </c>
      <c r="IQ75" s="290" t="s">
        <v>1654</v>
      </c>
      <c r="IR75" s="290" t="s">
        <v>1651</v>
      </c>
      <c r="IS75" s="290" t="s">
        <v>1646</v>
      </c>
      <c r="IT75" s="290" t="s">
        <v>1642</v>
      </c>
      <c r="IU75" s="21"/>
      <c r="IV75" s="21"/>
      <c r="IW75" s="21"/>
      <c r="IX75" s="21"/>
      <c r="IY75" s="21"/>
      <c r="IZ75" s="21"/>
      <c r="JA75" s="21"/>
      <c r="JB75" s="30">
        <v>1</v>
      </c>
      <c r="JC75" s="21" t="s">
        <v>1647</v>
      </c>
      <c r="JD75" s="36">
        <v>2620</v>
      </c>
      <c r="JE75" s="21" t="str">
        <f t="shared" si="435"/>
        <v>PESO ADECUADO EDAD GESTACIONAL</v>
      </c>
      <c r="JF75" s="30"/>
      <c r="JG75" s="21"/>
      <c r="JH75" s="21"/>
      <c r="JI75" s="21" t="s">
        <v>854</v>
      </c>
      <c r="JJ75" s="30" t="s">
        <v>866</v>
      </c>
      <c r="JK75" s="22"/>
      <c r="JL75" s="22"/>
      <c r="JM75" s="21"/>
      <c r="JN75" s="36"/>
      <c r="JO75" s="21" t="str">
        <f>IF(AND(JN75&gt;700,JN75&lt;2500,IP76&gt;36,IP76&lt;43),"BAJO PESO AL NACER",IF(AND(JN75&gt;700,JN75&lt;2500,IP76&lt;37),"PREMATURO",IF(AND(JN75&gt;2499,JN75&lt;5000,IP76&lt;37),"ERROR VERIFICAR DATO EDAD GESTACIONAL VS PESO",IF(AND(JN75&gt;2499,JN75&lt;4000,IP76&gt;36,IP76&lt;43),"PESO ADECUADO EDAD GESTACIONAL",IF(AND(JN75&gt;3999,JN75&lt;6000,IP76&gt;36,IP76&lt;43),"PESO GRANDE EDAD GESTACIONAL","")))))</f>
        <v/>
      </c>
      <c r="JP75" s="22"/>
      <c r="JQ75" s="21"/>
      <c r="JR75" s="21"/>
      <c r="JS75" s="21"/>
      <c r="JT75" s="30"/>
      <c r="JU75" s="22"/>
      <c r="JV75" s="22"/>
      <c r="JW75" s="33"/>
      <c r="JX75" s="28" t="str">
        <f>IF(AND(JW75&lt;&gt;"",JW75&lt;IN76),"INCONSISTENCIA FECHA CONTROL",IF(AND(OR(IK75="Parto",IK75="Cesarea"),JW75&gt;0,IN76&gt;0),SUM(JW75-IN76),IF(AND(OR(IK75="Parto",IK75="Cesarea"),JW75="",IN76&gt;0),"INASISTENTE","")))</f>
        <v>INASISTENTE</v>
      </c>
      <c r="JY75" s="33"/>
      <c r="JZ75" s="28" t="str">
        <f>IF(AND(JY75&lt;&gt;"",JY75&lt;IN76),"INCONSISTENCIA FECHA CONTROL",IF(AND(OR(IK75="Parto",IK75="Cesarea",IK75="Aborto Espontaneo",IK75="Aborto Inducido",IK75="IVE"),JY75&gt;0,IN76&gt;0),SUM(JY75-IN76),IF(AND(JY75&lt;&gt;"",JY75&lt;IN76),"INCONSISTENCIA FECHA CONTROL",IF(AND(OR(IK75="Parto",IK75="Cesarea",IK75="Aborto Espontaneo",IK75="Aborto Inducido",IK75="IVE"),JY75="",IN76&gt;0),"INASISTENTE",""))))</f>
        <v>INASISTENTE</v>
      </c>
      <c r="KA75" s="21"/>
      <c r="KB75" s="21"/>
      <c r="KC75" s="21"/>
      <c r="KD75" s="37"/>
      <c r="KE75" s="28"/>
      <c r="KF75" s="28"/>
      <c r="KG75" s="28"/>
      <c r="KH75" s="39"/>
      <c r="KI75" s="39"/>
      <c r="KJ75" s="66"/>
      <c r="KK75" s="39"/>
      <c r="KL75" s="39"/>
      <c r="KM75" s="66"/>
      <c r="KN75" s="39"/>
      <c r="KO75" s="39"/>
      <c r="KP75" s="39"/>
      <c r="KQ75" s="39"/>
      <c r="KR75" s="39"/>
      <c r="KS75" s="39"/>
      <c r="KT75" s="39"/>
      <c r="KU75" s="38"/>
      <c r="KV75" s="38"/>
      <c r="KW75" s="38"/>
      <c r="KX75" s="38"/>
      <c r="KY75" s="38"/>
      <c r="KZ75" s="38"/>
      <c r="LA75" s="38"/>
      <c r="LB75" s="38"/>
      <c r="LC75" s="38"/>
      <c r="LD75" s="38"/>
      <c r="LE75" s="38"/>
      <c r="LF75" s="38"/>
      <c r="LG75" s="38"/>
      <c r="LH75" s="38"/>
      <c r="LI75" s="38"/>
      <c r="LJ75" s="38"/>
      <c r="LK75" s="38"/>
      <c r="LL75" s="38"/>
      <c r="LM75" s="38"/>
      <c r="LN75" s="38"/>
      <c r="LO75" s="38"/>
      <c r="LP75" s="38"/>
      <c r="LQ75" s="38"/>
      <c r="LR75" s="38"/>
      <c r="LS75" s="38"/>
      <c r="LT75" s="38"/>
      <c r="LU75" s="38"/>
      <c r="LV75" s="38"/>
      <c r="LW75" s="38"/>
      <c r="LX75" s="38"/>
      <c r="LY75" s="38"/>
      <c r="LZ75" s="38"/>
      <c r="MA75" s="38"/>
      <c r="MB75" s="38"/>
      <c r="MC75" s="38"/>
      <c r="MD75" s="38"/>
      <c r="ME75" s="38"/>
      <c r="MF75" s="38"/>
      <c r="MG75" s="38"/>
      <c r="MH75" s="43">
        <f t="shared" si="303"/>
        <v>0</v>
      </c>
      <c r="MI75" s="43" t="str">
        <f t="shared" si="304"/>
        <v/>
      </c>
      <c r="MJ75" s="43" t="str">
        <f t="shared" si="305"/>
        <v/>
      </c>
      <c r="MK75" s="43">
        <f t="shared" si="306"/>
        <v>0</v>
      </c>
      <c r="ML7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75" s="43">
        <f t="shared" si="307"/>
        <v>13.714285714285714</v>
      </c>
      <c r="MN75" s="43">
        <f t="shared" si="308"/>
        <v>12</v>
      </c>
      <c r="MO75" s="43">
        <f t="shared" si="309"/>
        <v>2022</v>
      </c>
      <c r="MP75" s="43" t="str">
        <f t="shared" si="310"/>
        <v>IV TRIMESTRE AÑO</v>
      </c>
      <c r="MQ75" s="43">
        <f t="shared" si="311"/>
        <v>30.39586070959264</v>
      </c>
      <c r="MR75" s="43">
        <f t="shared" si="312"/>
        <v>0</v>
      </c>
      <c r="MS75" s="43" t="str">
        <f t="shared" si="313"/>
        <v xml:space="preserve"> DE 30 A 34 AÑOS</v>
      </c>
      <c r="MT75" s="43">
        <f t="shared" si="314"/>
        <v>0</v>
      </c>
      <c r="MU75" s="43">
        <f t="shared" si="315"/>
        <v>1</v>
      </c>
      <c r="MV75" s="43">
        <f t="shared" si="316"/>
        <v>0</v>
      </c>
      <c r="MW75" s="43">
        <f t="shared" si="317"/>
        <v>0</v>
      </c>
      <c r="MX75" s="43" t="str">
        <f t="shared" si="318"/>
        <v/>
      </c>
      <c r="MY75" s="43" t="str">
        <f ca="1">IF(AND(AND(BU75&gt;40.9,BU75&lt;43),IN76=""),1,"")</f>
        <v/>
      </c>
      <c r="MZ75" s="43" t="str">
        <f t="shared" si="319"/>
        <v/>
      </c>
      <c r="NA75" s="43">
        <f t="shared" si="320"/>
        <v>0</v>
      </c>
      <c r="NB75" s="43" t="str">
        <f t="shared" si="321"/>
        <v/>
      </c>
      <c r="NC75" s="43" t="str">
        <f t="shared" si="322"/>
        <v/>
      </c>
      <c r="ND75" s="43">
        <f t="shared" ca="1" si="323"/>
        <v>1</v>
      </c>
      <c r="NE75" s="43">
        <f>IF(OR(O75&gt;0,R75&gt;0),SUM(COUNTIF(Tabla1[[#This Row],[AÑOS AL INICIO5 CPN]],"&gt;=40"),COUNTIF(AS75,"0"),COUNTIF(AR75,"SI"),COUNTIF(CC75,"SI"),COUNTIF(BQ75,"&gt;119"),COUNTIF(CI75,"&gt;=35")),"")</f>
        <v>1</v>
      </c>
      <c r="NF75" s="43" t="str">
        <f t="shared" si="324"/>
        <v/>
      </c>
      <c r="NG75" s="43">
        <f t="shared" si="325"/>
        <v>0</v>
      </c>
      <c r="NH75" s="43">
        <f t="shared" si="326"/>
        <v>151.20000000000002</v>
      </c>
      <c r="NI75"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CPN",P75="NO"),"Z",IF(AND(Tabla1[[#This Row],[CITA PROXIMO CONTROL]]="CITA MANUAL",Tabla1[[#This Row],[GESTANTES ACTUALES]]="ACTIVA INGRESO A CPN"),"W",IF(AND(Tabla1[[#This Row],[GESTANTES ACTUALES]]="SALIO PROGRAMA",IN76=""),"S",IF(AND(Tabla1[[#This Row],[CITA PROXIMO CONTROL]]&gt;0,IN76=""),(Tabla1[[#This Row],[CITA PROXIMO CONTROL]]-TODAY()),"SD"))))))))</f>
        <v>SD</v>
      </c>
      <c r="NJ75" s="43">
        <f>MONTH(Tabla1[[#This Row],[FECHA DE SALIDA  DEL PROGRAMA]])</f>
        <v>5</v>
      </c>
      <c r="NK75" s="43">
        <f>YEAR(Tabla1[[#This Row],[FECHA DE SALIDA  DEL PROGRAMA]])</f>
        <v>2023</v>
      </c>
      <c r="NL75" s="43">
        <f t="shared" si="327"/>
        <v>0</v>
      </c>
      <c r="NM75" s="43" t="str">
        <f t="shared" si="251"/>
        <v>NO</v>
      </c>
      <c r="NN75" s="43" t="str">
        <f ca="1">IF(AND(O75&gt;0,R75=""),"NO CPN",IF(AND(O75="",R75=""),"",IF(AND(R75&gt;0,Tabla1[[#This Row],[SEMANAS DE GESTACION ACTUALIZADAS]]&lt;=12),"NO APLICA",IF(AND(FH75&lt;&gt;"",FN75&lt;&gt;""),"SI","NO"))))</f>
        <v>SI</v>
      </c>
      <c r="NO75" s="43" t="str">
        <f ca="1">IF(AND(O75&gt;0,R75=""),"NO CPN",IF(AND(O75="",R75=""),"",IF(AND(R75&gt;0,Tabla1[[#This Row],[SEMANAS DE GESTACION ACTUALIZADAS]]&lt;=27),"NO APLICA",IF(AND(ES75&lt;&gt;"",FQ75&lt;&gt;"",GF75&lt;&gt;""),"SI","NO"))))</f>
        <v>NO</v>
      </c>
      <c r="NP75" s="204" t="str">
        <f t="shared" si="328"/>
        <v>II TRIM</v>
      </c>
      <c r="NQ75" s="21">
        <f>IF(AND(IP77&gt;0,IP77&lt;37),10,IF(OR(CD76="Transversa",CD76="Oblicua"),9,IF(CC76="SI",8,IF(AND(AT76=0,AW76=0,CC76="NO",CD76="Cefálica",IP77&gt;=37,IT77="INICIO ESPONTÁNEO"),1,IF(AND(AND(AT76=0,AW76=0,CC76="NO",CD76="Cefálica",IP77&gt;=37),OR(IT77="LE HACEN INDUCCIÓN",IT77="LE HACEN CESÁREA SIN INICIO TRABAJO DE PARTO")),2,IF(AND(AT76&gt;=1,AW76=0,CC76="NO",CD76="Cefálica",IP77&gt;=37,IT77="INICIO ESPONTÁNEO"),3,IF(AND(AND(AT76&gt;=1,AW76=0,CC76="NO",CD76="Cefálica",IP77&gt;=37),OR(IT77="LE HACEN INDUCCIÓN",IT77="LE HACEN CESÁREA SIN INICIO TRABAJO DE PARTO")),4,IF(AND(AND(AT76&gt;=1,AW76&gt;=1,CC76="NO",CD76="Cefálica",IP77&gt;=37),OR(IT77="LE HACEN INDUCCIÓN",IT77="LE HACEN CESÁREA SIN INICIO TRABAJO DE PARTO",IT77="INICIO ESPONTÁNEO")),5,IF(AND(AND(AT76=0,AW76=0,CC76="NO",CD76="Podálica",IP77&gt;=1),OR(IT77="LE HACEN INDUCCIÓN",IT77="LE HACEN CESÁREA SIN INICIO TRABAJO DE PARTO",IT77="INICIO ESPONTÁNEO")),6,IF(AND(AND(AT76&gt;=1,CC76="NO",CD76="Podálica",IP77&gt;=1),OR(IT77="LE HACEN INDUCCIÓN",IT77="LE HACEN CESÁREA SIN INICIO TRABAJO DE PARTO",IT77="INICIO ESPONTÁNEO"),OR(AW76=0,AW76&gt;=1)),7,""))))))))))</f>
        <v>7</v>
      </c>
      <c r="NR75" s="21">
        <f>IF(AND(O75="",R75=""),"",IF(AND(BS75&gt;0,BS75&lt;12,IP76&gt;28,IP76&lt;44),3, IF(OR(AND(BS75&gt;=12,BS75&lt;28,IP76&gt;=28,IP76&lt;44),AND(BS75&gt;0,BS75&lt;12,IP76&gt;=12,IP76&lt;29)),2,IF(OR(AND(BS75&gt;=28,BS75&lt;44),AND(BS75&gt;0,BS75&lt;12,IP76&gt;0,IP76&lt;12),AND(BS75&gt;=12,BS75&lt;28,IP76&gt;=12,IP76&lt;28)),1,IF(AND(BS75&gt;0,BS75&lt;12,BU75&gt;=28,BU75&lt;44,DV75="ACTIVA INGRESO A CPN"),3,IF(OR(AND(BS75&gt;0,BS75&lt;12,BU75&gt;=12,BU75&lt;28,DV75="ACTIVA INGRESO A CPN"),AND(BS75&gt;=12,BS75&lt;28,BU75&gt;=28,BU75&lt;44,DV75="ACTIVA INGRESO A CPN")),2,IF(OR(AND(BS75&gt;0,BS75&lt;12,BU75&gt;0,BU75&lt;12,DV75="ACTIVA INGRESO A CPN"),AND(BS75&gt;=12,BS75&lt;28,BU75&gt;=12,BU75&lt;28,DV75="ACTIVA INGRESO A CPN")),1,"REVISAR FUM O FECHA SALIDA PROGRAMA")))))))</f>
        <v>2</v>
      </c>
      <c r="NS75" s="205">
        <f t="shared" ca="1" si="329"/>
        <v>2</v>
      </c>
      <c r="NT75" s="21">
        <f t="shared" ca="1" si="330"/>
        <v>1</v>
      </c>
      <c r="NU75" s="21" t="str">
        <f t="shared" ca="1" si="331"/>
        <v>COMPLETO</v>
      </c>
      <c r="NV75" s="21" t="str">
        <f t="shared" ca="1" si="332"/>
        <v>INCOMPLETO</v>
      </c>
      <c r="NW75" s="206" t="str">
        <f>IF(AND(O75="",R75=""),"",IF(OR(AND(Tabla1[[#This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75" s="207" t="str">
        <f t="shared" ca="1" si="333"/>
        <v>SIN VACUNAR</v>
      </c>
      <c r="NY75" s="43">
        <f>ROW(Tabla1[[#This Row],['# DE TAMIZAJES SIFILIS TOMADOS ]])</f>
        <v>75</v>
      </c>
      <c r="NZ75" s="43">
        <f t="shared" si="334"/>
        <v>13</v>
      </c>
      <c r="OA75" s="43" t="str">
        <f t="shared" si="335"/>
        <v/>
      </c>
      <c r="OB75" s="43" t="str">
        <f t="shared" si="336"/>
        <v/>
      </c>
      <c r="OC75" s="43" t="str">
        <f t="shared" si="337"/>
        <v/>
      </c>
      <c r="OD75" s="43" t="str">
        <f t="shared" si="338"/>
        <v/>
      </c>
      <c r="OE75" s="43" t="str">
        <f t="shared" si="339"/>
        <v>SOBREPESO</v>
      </c>
      <c r="OF75" s="43" t="str">
        <f t="shared" si="340"/>
        <v/>
      </c>
      <c r="OG75" s="43" t="str">
        <f t="shared" si="341"/>
        <v/>
      </c>
      <c r="OH75" s="43" t="str">
        <f t="shared" si="342"/>
        <v/>
      </c>
      <c r="OI75" s="43" t="str">
        <f t="shared" si="343"/>
        <v/>
      </c>
      <c r="OJ75" s="43" t="str">
        <f t="shared" si="344"/>
        <v/>
      </c>
      <c r="OK75" s="43" t="str">
        <f t="shared" si="345"/>
        <v/>
      </c>
      <c r="OL75" s="43" t="str">
        <f t="shared" si="346"/>
        <v/>
      </c>
      <c r="OM75" s="43" t="str">
        <f t="shared" si="347"/>
        <v/>
      </c>
      <c r="ON75" s="43" t="str">
        <f t="shared" si="348"/>
        <v/>
      </c>
      <c r="OO75" s="43" t="str">
        <f t="shared" si="349"/>
        <v/>
      </c>
      <c r="OP75" s="43" t="str">
        <f t="shared" si="350"/>
        <v/>
      </c>
      <c r="OQ75" s="43" t="str">
        <f t="shared" si="351"/>
        <v/>
      </c>
      <c r="OR75" s="43" t="str">
        <f t="shared" si="352"/>
        <v/>
      </c>
      <c r="OS75" s="43" t="str">
        <f t="shared" si="353"/>
        <v/>
      </c>
      <c r="OT75" s="43" t="str">
        <f t="shared" si="354"/>
        <v/>
      </c>
      <c r="OU75" s="43" t="str">
        <f t="shared" si="355"/>
        <v/>
      </c>
      <c r="OV75" s="110" t="str">
        <f t="shared" si="356"/>
        <v/>
      </c>
      <c r="OW75" s="43" t="str">
        <f t="shared" si="357"/>
        <v/>
      </c>
      <c r="OX75" s="43" t="str">
        <f t="shared" si="358"/>
        <v/>
      </c>
      <c r="OY75" s="43" t="str">
        <f t="shared" si="359"/>
        <v/>
      </c>
      <c r="OZ75" s="43" t="str">
        <f t="shared" si="360"/>
        <v/>
      </c>
      <c r="PA75" s="43" t="str">
        <f t="shared" si="361"/>
        <v/>
      </c>
      <c r="PB75" s="43" t="str">
        <f t="shared" si="362"/>
        <v/>
      </c>
      <c r="PC75" s="43" t="str">
        <f t="shared" si="363"/>
        <v/>
      </c>
      <c r="PD75" s="43" t="str">
        <f t="shared" si="364"/>
        <v/>
      </c>
      <c r="PE75" s="43" t="str">
        <f t="shared" si="365"/>
        <v/>
      </c>
      <c r="PF75" s="43" t="str">
        <f t="shared" si="366"/>
        <v/>
      </c>
      <c r="PG75" s="43" t="str">
        <f t="shared" si="367"/>
        <v/>
      </c>
      <c r="PH75" s="43" t="str">
        <f t="shared" si="368"/>
        <v/>
      </c>
      <c r="PI75" s="43">
        <f t="shared" si="369"/>
        <v>34</v>
      </c>
      <c r="PJ75" s="43" t="str">
        <f t="shared" si="370"/>
        <v/>
      </c>
      <c r="PK75" s="43" t="str">
        <f t="shared" si="371"/>
        <v/>
      </c>
      <c r="PL75" s="43" t="str">
        <f t="shared" si="372"/>
        <v/>
      </c>
      <c r="PM75" s="43" t="str">
        <f t="shared" si="373"/>
        <v/>
      </c>
      <c r="PN75" s="43" t="str">
        <f t="shared" si="374"/>
        <v/>
      </c>
      <c r="PO75" s="43" t="str">
        <f t="shared" si="375"/>
        <v/>
      </c>
      <c r="PP75" s="43" t="str">
        <f t="shared" si="376"/>
        <v/>
      </c>
      <c r="PQ75" s="43" t="str">
        <f t="shared" si="377"/>
        <v/>
      </c>
      <c r="PR75" s="43" t="str">
        <f t="shared" si="378"/>
        <v/>
      </c>
      <c r="PS75" s="43" t="str">
        <f t="shared" si="379"/>
        <v/>
      </c>
      <c r="PT75" s="43" t="str">
        <f t="shared" si="380"/>
        <v/>
      </c>
      <c r="PU75" s="43" t="str">
        <f t="shared" si="381"/>
        <v/>
      </c>
      <c r="PV75" s="43" t="str">
        <f t="shared" si="382"/>
        <v/>
      </c>
      <c r="PW75" s="43" t="str">
        <f t="shared" si="383"/>
        <v/>
      </c>
      <c r="PX75" s="43" t="str">
        <f t="shared" si="384"/>
        <v/>
      </c>
      <c r="PY75" s="43" t="str">
        <f t="shared" si="385"/>
        <v/>
      </c>
      <c r="PZ75" s="43" t="str">
        <f t="shared" si="386"/>
        <v/>
      </c>
      <c r="QA75" s="43" t="str">
        <f t="shared" si="387"/>
        <v/>
      </c>
      <c r="QB75" s="43" t="str">
        <f t="shared" si="388"/>
        <v/>
      </c>
      <c r="QC75" s="43" t="str">
        <f t="shared" si="389"/>
        <v/>
      </c>
      <c r="QD75" s="43" t="str">
        <f t="shared" si="390"/>
        <v/>
      </c>
      <c r="QE75" s="43" t="str">
        <f t="shared" si="391"/>
        <v/>
      </c>
      <c r="QF75" s="43" t="str">
        <f t="shared" si="392"/>
        <v/>
      </c>
      <c r="QG75" s="43" t="str">
        <f t="shared" si="393"/>
        <v/>
      </c>
      <c r="QH75" s="43" t="str">
        <f t="shared" si="394"/>
        <v/>
      </c>
      <c r="QI75" s="43" t="str">
        <f t="shared" si="395"/>
        <v>SOBREPESO</v>
      </c>
      <c r="QJ75" s="43" t="str">
        <f t="shared" si="396"/>
        <v/>
      </c>
      <c r="QK75" s="43" t="str">
        <f t="shared" si="397"/>
        <v/>
      </c>
      <c r="QL75" s="43" t="str">
        <f t="shared" si="398"/>
        <v/>
      </c>
      <c r="QM75" s="43" t="str">
        <f t="shared" si="399"/>
        <v/>
      </c>
      <c r="QN75" s="43" t="str">
        <f t="shared" si="400"/>
        <v/>
      </c>
      <c r="QO75" s="43" t="str">
        <f t="shared" si="401"/>
        <v/>
      </c>
      <c r="QP75" s="43" t="str">
        <f t="shared" si="402"/>
        <v/>
      </c>
      <c r="QQ75" s="43" t="str">
        <f t="shared" si="403"/>
        <v/>
      </c>
      <c r="QR75" s="43">
        <f t="shared" si="433"/>
        <v>34</v>
      </c>
      <c r="QS75" s="43"/>
      <c r="QT75" s="21" t="str">
        <f t="shared" si="404"/>
        <v/>
      </c>
      <c r="QU75" s="21" t="str">
        <f t="shared" si="405"/>
        <v/>
      </c>
      <c r="QV75" s="21" t="str">
        <f t="shared" si="406"/>
        <v/>
      </c>
      <c r="QW75" s="21" t="str">
        <f t="shared" si="407"/>
        <v/>
      </c>
      <c r="QX75" s="21" t="str">
        <f t="shared" si="408"/>
        <v/>
      </c>
      <c r="QY75" s="21" t="str">
        <f t="shared" si="409"/>
        <v/>
      </c>
      <c r="QZ75" s="21" t="str">
        <f t="shared" si="410"/>
        <v/>
      </c>
      <c r="RA75" s="21" t="str">
        <f t="shared" si="411"/>
        <v/>
      </c>
      <c r="RB75" s="21" t="str">
        <f t="shared" si="412"/>
        <v/>
      </c>
      <c r="RC75" s="21" t="str">
        <f t="shared" si="413"/>
        <v/>
      </c>
      <c r="RD75" s="21" t="str">
        <f t="shared" si="414"/>
        <v/>
      </c>
      <c r="RE75" s="21" t="str">
        <f t="shared" si="415"/>
        <v/>
      </c>
      <c r="RF75" s="21" t="str">
        <f t="shared" si="416"/>
        <v/>
      </c>
      <c r="RG75" s="21" t="str">
        <f t="shared" si="417"/>
        <v/>
      </c>
      <c r="RH75" s="21" t="str">
        <f t="shared" si="418"/>
        <v/>
      </c>
      <c r="RI75" s="21" t="str">
        <f t="shared" si="419"/>
        <v/>
      </c>
      <c r="RJ75" s="21" t="str">
        <f t="shared" si="420"/>
        <v/>
      </c>
      <c r="RK75" s="21" t="str">
        <f t="shared" si="421"/>
        <v/>
      </c>
      <c r="RL75" s="21" t="str">
        <f t="shared" si="422"/>
        <v/>
      </c>
      <c r="RM75" s="21" t="str">
        <f t="shared" si="423"/>
        <v/>
      </c>
      <c r="RN75" s="21" t="str">
        <f t="shared" si="424"/>
        <v/>
      </c>
      <c r="RO75" s="21" t="str">
        <f t="shared" si="425"/>
        <v/>
      </c>
      <c r="RP75" s="21" t="str">
        <f t="shared" si="426"/>
        <v/>
      </c>
      <c r="RQ75" s="21" t="str">
        <f t="shared" si="427"/>
        <v/>
      </c>
      <c r="RR75" s="21" t="str">
        <f t="shared" si="428"/>
        <v/>
      </c>
      <c r="RS75" s="21" t="str">
        <f t="shared" si="429"/>
        <v/>
      </c>
      <c r="RT75" s="21" t="str">
        <f t="shared" si="430"/>
        <v/>
      </c>
      <c r="RU75" s="21" t="str">
        <f t="shared" si="431"/>
        <v/>
      </c>
      <c r="RV75" s="21">
        <f t="shared" si="432"/>
        <v>13.714285714285714</v>
      </c>
      <c r="RW75" s="284">
        <f>IF(OR(Tabla1[[#This Row],[FUM FORMULA CONFIABLE]]="",Tabla1[[#This Row],[FUM FORMULA CONFIABLE]]="SD"),"",IF(Tabla1[[#This Row],[FUM FORMULA CONFIABLE]]="CORREGIDA",Tabla1[[#This Row],[FUM X ECO 1]],Tabla1[[#This Row],[FUM x AMENORREA]]))</f>
        <v>44821</v>
      </c>
      <c r="RX75" s="21">
        <f>IF(AND(Tabla1[[#This Row],[FUM X ECO 1]]="",Tabla1[[#This Row],[FUM x AMENORREA]]=""),"",IF(AND(Tabla1[[#This Row],[FUM X ECO 1]]="",Tabla1[[#This Row],[FUM x AMENORREA]]&lt;&gt;""),"X",SUM(Tabla1[[#This Row],[FUM X ECO 1]]-Tabla1[[#This Row],[FUM x AMENORREA]])))</f>
        <v>-26.19999999999709</v>
      </c>
      <c r="RY75" s="21">
        <f t="shared" si="434"/>
        <v>1</v>
      </c>
    </row>
    <row r="76" spans="1:493" ht="45" customHeight="1" x14ac:dyDescent="0.25">
      <c r="A76" s="109"/>
      <c r="B76" s="43" t="s">
        <v>1159</v>
      </c>
      <c r="C76" s="43" t="s">
        <v>845</v>
      </c>
      <c r="D76" s="124" t="s">
        <v>846</v>
      </c>
      <c r="E76" s="43" t="s">
        <v>1219</v>
      </c>
      <c r="F76" s="43" t="s">
        <v>1228</v>
      </c>
      <c r="G76" s="43" t="s">
        <v>1229</v>
      </c>
      <c r="H76" s="43" t="s">
        <v>1230</v>
      </c>
      <c r="I76" s="109" t="s">
        <v>851</v>
      </c>
      <c r="J76" s="110">
        <v>1062780402</v>
      </c>
      <c r="K76" s="43" t="s">
        <v>852</v>
      </c>
      <c r="L76" s="175" t="s">
        <v>853</v>
      </c>
      <c r="M76" s="22">
        <v>35597</v>
      </c>
      <c r="N76" s="213">
        <f t="shared" ca="1" si="252"/>
        <v>26.397260273972602</v>
      </c>
      <c r="O76" s="22">
        <v>44922</v>
      </c>
      <c r="P76" s="214" t="str">
        <f>IF(AND(O76="",R76&gt;0),"ACUDE ESPONTANEAMENTE",IF(AND(AND(O76&gt;0,R76=""),OR(IN77&gt;0,IK76&lt;&gt;"")),"NA",IF(AND(O76&gt;0,IN77="",R76=""),"NO",IF(AND(O76&gt;0,R76&gt;0),"SI",""))))</f>
        <v>SI</v>
      </c>
      <c r="Q76" s="26" t="s">
        <v>855</v>
      </c>
      <c r="R76" s="22">
        <v>44922</v>
      </c>
      <c r="S76" s="21" t="s">
        <v>856</v>
      </c>
      <c r="T76" s="24" t="s">
        <v>690</v>
      </c>
      <c r="U76" s="21" t="s">
        <v>857</v>
      </c>
      <c r="V76" s="21" t="s">
        <v>858</v>
      </c>
      <c r="W76" s="21" t="s">
        <v>1231</v>
      </c>
      <c r="X76" s="21" t="s">
        <v>1231</v>
      </c>
      <c r="Y76" s="21" t="s">
        <v>859</v>
      </c>
      <c r="Z76" s="21">
        <v>3235954842</v>
      </c>
      <c r="AA76" s="21" t="s">
        <v>860</v>
      </c>
      <c r="AB76" s="27" t="s">
        <v>861</v>
      </c>
      <c r="AC76" s="26" t="s">
        <v>897</v>
      </c>
      <c r="AD76" s="38" t="s">
        <v>846</v>
      </c>
      <c r="AE76" s="26" t="s">
        <v>854</v>
      </c>
      <c r="AF76" s="26" t="s">
        <v>854</v>
      </c>
      <c r="AG76" s="23" t="s">
        <v>864</v>
      </c>
      <c r="AH76" s="23" t="s">
        <v>864</v>
      </c>
      <c r="AI76" s="24" t="s">
        <v>863</v>
      </c>
      <c r="AJ76" s="23" t="s">
        <v>864</v>
      </c>
      <c r="AK76" s="220" t="str">
        <f>IF(AND(AD76="",AE76="",AF76="",AG76="",AH76="",AI76="",AJ76=""),"",IF(OR(Tabla1[[#This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EVALUACIÓN",IF(AND(O76="",R76=""),"",IF(AND(OR(O76&gt;0,R76&gt;0),NG76&gt;=0,NG76&lt;2),"SIN RIESGO",IF(AND(OR(O76&gt;0,R76&gt;0),NG76&gt;=2),"CON RIESGO","ASD")))))</f>
        <v>SIN RIESGO</v>
      </c>
      <c r="AL76" s="23" t="s">
        <v>864</v>
      </c>
      <c r="AM76" s="26" t="s">
        <v>864</v>
      </c>
      <c r="AN76" s="26" t="s">
        <v>864</v>
      </c>
      <c r="AO76" s="26" t="s">
        <v>864</v>
      </c>
      <c r="AP76" s="26" t="s">
        <v>864</v>
      </c>
      <c r="AQ76" s="26" t="s">
        <v>864</v>
      </c>
      <c r="AR76" s="26" t="s">
        <v>864</v>
      </c>
      <c r="AS76" s="21">
        <v>2</v>
      </c>
      <c r="AT76" s="21">
        <v>2</v>
      </c>
      <c r="AU76" s="21">
        <v>0</v>
      </c>
      <c r="AV76" s="26" t="s">
        <v>864</v>
      </c>
      <c r="AW76" s="21">
        <v>0</v>
      </c>
      <c r="AX76" s="26" t="s">
        <v>864</v>
      </c>
      <c r="AY76" s="26" t="s">
        <v>864</v>
      </c>
      <c r="AZ76" s="26" t="s">
        <v>864</v>
      </c>
      <c r="BA76" s="26" t="s">
        <v>864</v>
      </c>
      <c r="BB76" s="26" t="s">
        <v>864</v>
      </c>
      <c r="BC76" s="26" t="s">
        <v>864</v>
      </c>
      <c r="BD76" s="26" t="s">
        <v>864</v>
      </c>
      <c r="BE76" s="26" t="s">
        <v>864</v>
      </c>
      <c r="BF76" s="26" t="s">
        <v>864</v>
      </c>
      <c r="BG76" s="26" t="s">
        <v>864</v>
      </c>
      <c r="BH76" s="26" t="s">
        <v>864</v>
      </c>
      <c r="BI76" s="26" t="s">
        <v>864</v>
      </c>
      <c r="BJ76" s="26"/>
      <c r="BK76" s="26"/>
      <c r="BL76" s="26" t="s">
        <v>864</v>
      </c>
      <c r="BM76" s="26" t="s">
        <v>864</v>
      </c>
      <c r="BN76" s="22"/>
      <c r="BO76" s="22">
        <v>44732</v>
      </c>
      <c r="BP76" s="21" t="s">
        <v>864</v>
      </c>
      <c r="BQ76" s="222">
        <f t="shared" si="254"/>
        <v>0</v>
      </c>
      <c r="BR76" s="223">
        <f t="shared" si="255"/>
        <v>44762.6</v>
      </c>
      <c r="BS76" s="224">
        <f t="shared" si="256"/>
        <v>27.142857142857142</v>
      </c>
      <c r="BT76" s="216" t="str">
        <f t="shared" si="257"/>
        <v>DEFINIR CON ECO</v>
      </c>
      <c r="BU76" s="214" t="str">
        <f t="shared" ca="1" si="258"/>
        <v/>
      </c>
      <c r="BV76" s="25"/>
      <c r="BW76" s="22">
        <v>44995</v>
      </c>
      <c r="BX76" s="28">
        <v>33.200000000000003</v>
      </c>
      <c r="BY76" s="28"/>
      <c r="BZ76" s="22"/>
      <c r="CA76" s="21"/>
      <c r="CB76" s="26" t="s">
        <v>864</v>
      </c>
      <c r="CC76" s="26" t="s">
        <v>864</v>
      </c>
      <c r="CD76" s="26" t="s">
        <v>1087</v>
      </c>
      <c r="CE76" s="26" t="s">
        <v>864</v>
      </c>
      <c r="CF76" s="22" t="s">
        <v>1517</v>
      </c>
      <c r="CG76" s="21">
        <v>1.57</v>
      </c>
      <c r="CH76" s="21">
        <v>62</v>
      </c>
      <c r="CI76" s="214">
        <f t="shared" si="259"/>
        <v>25.153150229218223</v>
      </c>
      <c r="CJ76" s="225" t="e">
        <f>IF(AND(CI76&lt;10,CH76="SD"),"SIN DATO PESO PREGESTACION O I TRIM",IF(AND(OR(R76&gt;0,O76&gt;0),CI76="X"),"INGRESAR DATO DE PESO",IF(CI76="SD","INGRESAR DATO DE TALLA Y PESO",IF(AND(OR(Tabla1[[#This Row],[MOMENTO EN QUE SE REALIZA EL PESO AL INGRESO A CPN]]="PREGESTACIÓN",NZ76="Menor"),CI76&lt;18.5),"BAJO PESO",IF(AND(OR(Tabla1[[#This Row],[MOMENTO EN QUE SE REALIZA EL PESO AL INGRESO A CPN]]="PREGESTACIÓN",NZ76="Menor"),CI76&lt;25),"NORMAL",IF(AND(OR(Tabla1[[#This Row],[MOMENTO EN QUE SE REALIZA EL PESO AL INGRESO A CPN]]="PREGESTACIÓN",NZ76="Menor"),CI76&lt;30),"SOBREPESO",IF(AND(OR(Tabla1[[#This Row],[MOMENTO EN QUE SE REALIZA EL PESO AL INGRESO A CPN]]="PREGESTACIÓN",NZ76="Menor"),CI76&gt;=30,CI76&lt;50),"OBESIDAD",IF(AND(BS76&gt;0,Tabla1[[#This Row],[MOMENTO EN QUE SE REALIZA EL PESO AL INGRESO A CPN]]="GESTACIÓN"),HLOOKUP(NZ76,$OA$2:PH76,NY76),""))))))))</f>
        <v>#REF!</v>
      </c>
      <c r="CK76" s="212">
        <f t="shared" si="260"/>
        <v>44995</v>
      </c>
      <c r="CL76" s="21"/>
      <c r="CM76" s="214">
        <f t="shared" si="261"/>
        <v>0</v>
      </c>
      <c r="CN76" s="216">
        <f t="shared" si="262"/>
        <v>37</v>
      </c>
      <c r="CO76" s="216" t="e">
        <f>IF(PI76="","",IF(PI76&gt;0,HLOOKUP(PI76,$PJ$2:QQ76,NY76),""))</f>
        <v>#REF!</v>
      </c>
      <c r="CP76" s="21"/>
      <c r="CQ76" s="216" t="e">
        <f>IF(QR76="Menor","NO APLICA-MENOR 13 SEM",IF(AND(CC76="SI",CN76&gt;23),"NO APLICA- GEMELAR",IF(QR76="","",IF(QR76&gt;0,HLOOKUP(QR76,$QS$2:RU76,NY76),""))))</f>
        <v>#REF!</v>
      </c>
      <c r="CR76" s="21">
        <v>100</v>
      </c>
      <c r="CS76" s="21">
        <v>60</v>
      </c>
      <c r="CT76" s="217" t="str">
        <f>IF(R76="","",IF(AND(BS76&gt;1,BS76&lt;12,Tabla1[[#This Row],[T.A. SISTOLICA - ANTES DE SEMANA 12]]="",Tabla1[[#This Row],[T.A. DIASTOLICA - ANTES DE SEMANA 12]]=""),"REGISTRE DATO TA ANTES SEMANA 12",IF(AND(BS76&gt;11,BS76&lt;43,Tabla1[[#This Row],[T.A. SISTOLICA - ANTES DE SEMANA 12]]="",Tabla1[[#This Row],[T.A. DIASTOLICA - ANTES DE SEMANA 12]]=""),"NO APLICA REGISTRO TA-INGRESO TARDIO",IF(AND(OR(O76&gt;0,R76&gt;0),OR(CR76&gt;=140,CS76&gt;=90)),"DEFINIR ESTADIO HTA",IF(AND(OR(O76&gt;0,R76&gt;0),AND(CR76&gt;120,CR76&lt;=139)),"PRE HTA SEGUIMIENTO",IF(AND(OR(O76&gt;0,R76&gt;0),AND(CS76&gt;80,CS76&lt;=89)),"PRE HTA SEGUIMIENTO",IF(AND(OR(O76&gt;0,R76&gt;0),AND(CR76&gt;=80,CR76&lt;=120)),"APARENTEMENTE NORMAL",IF(AND(OR(O76&gt;0,R76&gt;0),AND(CS76&gt;=50,CS76&lt;=80)),"APARENTEMENTE NORMAL",IF(AND(OR(O76&gt;0,R76&gt;0),AND(CR76&gt;1,CR76&lt;=70),AND(CS76&gt;1,CS76&lt;=40)),"HIPOTENSIÓN","")))))))))</f>
        <v>APARENTEMENTE NORMAL</v>
      </c>
      <c r="CU76" s="21"/>
      <c r="CV76" s="21"/>
      <c r="CW76" s="217" t="str">
        <f ca="1">IF(R76="","",IF(AND(CN76&gt;19,CN76&lt;27,Tabla1[[#This Row],[T.A. SISTOLICA (Entre semana 20 y 26)]]="",Tabla1[[#This Row],[T.A. DIATOLICA (Entre semana 20 y 26)]]=""),"ACUDE A CONTROL SEM 20 A 26 REGISTRE TA AHORA",IF(AND(BS76&gt;1,BS76&lt;27,BU76&gt;19,Tabla1[[#This Row],[T.A. SISTOLICA (Entre semana 20 y 26)]]="",Tabla1[[#This Row],[T.A. DIATOLICA (Entre semana 20 y 26)]]=""),"COMPLETE REGISTRO TA CONTROL SEM 20 A26 ",IF(AND(BS76&gt;26,BS76&lt;43,Tabla1[[#This Row],[T.A. SISTOLICA (Entre semana 20 y 26)]]="",Tabla1[[#This Row],[T.A. DIATOLICA (Entre semana 20 y 26)]]=""),"NO APLICA REGISTRO TA-INGRESO TARDIO",IF(AND(OR(O76&gt;0,R76&gt;0),OR(CU76&gt;=140,CV76&gt;=90)),"ALTO RIESGO PREECLAMPSIA,DEFINIR ESTADIO HTA",IF(AND(OR(O76&gt;0,R76&gt;0),AND(CU76&gt;120,CU76&lt;=139)),"PRE HTA SEGUIMIENTO,RIESGO HIPERTENSION INDUCIDA POR EL EMBARAZO",IF(AND(OR(O76&gt;0,R76&gt;0),AND(CV76&gt;80,CV76&lt;=89)),"PRE HTA SEGUIMIENTO, RIESGO HIPERTENSION INDUCIDA POR EL EMBARAZO",IF(AND(OR(O76&lt;&gt;"",R76&lt;&gt;""),CS76&lt;&gt;"",CV76&lt;&gt;"",CS76&lt;=CV76),"VIGILAR CIFRAS PRESION ARTERIAL",IF(AND(OR(O76&gt;0,R76&gt;0),AND(CU76&gt;120,CU76&lt;=139)),"PRE HTA SEGUIMIENTO",IF(AND(OR(O76&gt;0,R76&gt;0),AND(CU76&gt;1,CU76&lt;=70),AND(CV76&gt;1,CV76&lt;=40)),"HIPOTENSIÓN",IF(AND(OR(O76&lt;&gt;"",R76&lt;&gt;""),CS76&lt;&gt;"",CV76&lt;&gt;"",CS76&gt;CV76),"APARENTEMENTE NORMAL",IF(AND(OR(O76&gt;0,R76&gt;0),AND(CU76&gt;=80,CU76&lt;=120)),"APARENTEMENTE NORMAL",IF(AND(OR(O76&gt;0,R76&gt;0),AND(CV76&gt;=50,CV76&lt;=80)),"APARENTEMENTE NORMAL","")))))))))))))</f>
        <v>NO APLICA REGISTRO TA-INGRESO TARDIO</v>
      </c>
      <c r="CX76" s="21">
        <v>100</v>
      </c>
      <c r="CY76" s="21">
        <v>60</v>
      </c>
      <c r="CZ76" s="216" t="str">
        <f t="shared" si="263"/>
        <v>APARENTEMENTE NORMAL</v>
      </c>
      <c r="DA76" s="21"/>
      <c r="DB76" s="21"/>
      <c r="DC76" s="217" t="str">
        <f t="shared" si="264"/>
        <v>REGISTRE DATO PRESIÓN ARTERIAL MENSUAL</v>
      </c>
      <c r="DD76" s="22">
        <v>44922</v>
      </c>
      <c r="DE76" s="22">
        <v>44922</v>
      </c>
      <c r="DF76" s="22">
        <v>44964</v>
      </c>
      <c r="DG76" s="22">
        <v>44995</v>
      </c>
      <c r="DH76" s="22"/>
      <c r="DI76" s="22"/>
      <c r="DJ76" s="22"/>
      <c r="DK76" s="22"/>
      <c r="DL76" s="22"/>
      <c r="DM76" s="22"/>
      <c r="DN76" s="22"/>
      <c r="DO76" s="22"/>
      <c r="DP76" s="22"/>
      <c r="DQ76" s="22"/>
      <c r="DR76" s="28">
        <v>1</v>
      </c>
      <c r="DS76" s="22"/>
      <c r="DT76" s="22"/>
      <c r="DU76" s="216" t="str">
        <f ca="1">IF(AND(BT76="ERROR FUM O INGRESO",DS76&gt;0),"ERROR FUM O INGRESO",IF(AND(DS76="",R76="",O76=""),"",IF(OR(AND(DS76&lt;&gt;"",DS76&lt;RW76),AND(DS76&lt;&gt;"",AND(SUM((DS76-RW76)/7)&gt;0,SUM((DS76-RW76)/7)&lt;28))),"PLAN REALIZADO ANTES III TRIM", IF(AND(DS76="",OR(O76&gt;0,R76&gt;0),AND(BU76&gt;=28, BU76&lt;35,DV76="ACTIVA INGRESO A CPN")),"PLANEAR PLAN DE PARTO", IF(AND(DS76="",OR(O76&gt;0,R76&gt;0),BU76&gt;=35,DV76="ACTIVA INGRESO A CPN"),"CONCERTAR PLAN DE PARTO INMEDIATO", IF(AND(DS76="",OR(O76&gt;0,R76&gt;0),AND(BU76&gt;0, BU76&lt;28),OR(DV76="ACTIVA INGRESO A CPN", DV76=" ACTIVA SIN INGRESO CPN")),"EN ESPERA", IF(AND(DS76="",OR(O76&gt;0,R76&gt;0),AND(IP77&gt;0, IP77&lt;28)),"NO APLICA SALE PROGRAMA ANTES III TRIM", IF(AND(DS76="",OR(O76&gt;0,R76&gt;0),AND(IP77&gt;=28, IP77&lt;35)),"SALE PROGRAMA ANTES SEMANA 35", IF(AND(DS76="",OR(O76&gt;0,R76&gt;0),IP77&gt;35),"SALE SIN PLAN DE PARTO",IF(DS76&gt;0,SUM(DS76-BO76)/7,""))))))))))</f>
        <v>SALE SIN PLAN DE PARTO</v>
      </c>
      <c r="DV76" s="226" t="str">
        <f>IF(AND(R76&lt;&gt;"",IK76="CAMBIO DE RESIDENCIA",IK76="CAMBIO DE IPS",IK76="CAMBIO DE EPS"),"SEGUIMIENTO REPORTE EPS",IF(IK76="IVE","IVE",IF(AND(R76&lt;&gt;"",OR(IK76&lt;&gt;"",IN77&lt;&gt;"")),"SALIO PROGRAMA",IF(AND(AND(R76="",O76&gt;0),OR(IK76&lt;&gt;"",IN77&lt;&gt;"")),"SALE SIN INGRESO CPN",IF(AND(R76="",O76&gt;0,IK76="",IN77=""),"ACTIVA SIN INGRESO CPN",IF(AND(R76&lt;&gt;"",OR(IK76="",IN77="")),"ACTIVA INGRESO A CPN",""))))))</f>
        <v>SALIO PROGRAMA</v>
      </c>
      <c r="DW76"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76" s="216" t="str">
        <f t="shared" ca="1" si="266"/>
        <v/>
      </c>
      <c r="DY76" s="212">
        <f>IF(R76="","",IF(R76&gt;0,MAX(Tabla1[[#This Row],[FECHA C2]:[FECHA C13]],Tabla1[[#This Row],[FECHA CONSULTA PRIMERA VEZ PROGRAMA CPN ]])))</f>
        <v>44995</v>
      </c>
      <c r="DZ76" s="216">
        <f t="shared" si="267"/>
        <v>37</v>
      </c>
      <c r="EA76" s="222">
        <f>IF(R76&gt;0,SUM(COUNTA(DF76:DQ76)+COUNTA(Tabla1[[#This Row],[FECHA CONSULTA PRIMERA VEZ PROGRAMA CPN ]])),"")</f>
        <v>3</v>
      </c>
      <c r="EB76" s="222" t="str">
        <f t="shared" si="268"/>
        <v>NO</v>
      </c>
      <c r="EC76" s="214">
        <f t="shared" si="269"/>
        <v>5</v>
      </c>
      <c r="ED76" s="227">
        <f t="shared" si="270"/>
        <v>0.6</v>
      </c>
      <c r="EE76" s="22">
        <v>44922</v>
      </c>
      <c r="EF76" s="22"/>
      <c r="EG76" s="22">
        <v>44922</v>
      </c>
      <c r="EH76" s="22"/>
      <c r="EI76" s="22">
        <v>44922</v>
      </c>
      <c r="EJ76" s="22"/>
      <c r="EK76" s="22"/>
      <c r="EL76" s="21"/>
      <c r="EM76" s="21"/>
      <c r="EN76" s="22"/>
      <c r="EO76" s="222" t="str">
        <f t="shared" si="271"/>
        <v>TOMAR EXAMEN</v>
      </c>
      <c r="EP76" s="214" t="str">
        <f t="shared" si="272"/>
        <v/>
      </c>
      <c r="EQ76" s="216" t="str">
        <f t="shared" si="273"/>
        <v>POR DEFINIR</v>
      </c>
      <c r="ER76" s="24"/>
      <c r="ES76" s="22"/>
      <c r="ET76" s="29" t="str">
        <f ca="1">IF(AND(BT76="ERROR FUM O INGRESO",ES76&gt;0),"ERROR FUM O INGRESO",IF(AND(ES76="",R76="",O76=""),"",IF(OR(AND(ES76&lt;&gt;"",ES76&lt;RW76),AND(ES76&lt;&gt;"",SUM((ES76-RW76)/7)&gt;40)),"CORREGIR FECHA RESULTADO",IF(AND(BU76&gt;1,BU76&lt;23,ER76="",ES76=""),"EN ESPERA PARA TOMA EXAMEN",IF(AND(BU76&gt;22,BU76&lt;26,ER76="",ES76=""),"PROGRAMAR TOMA HEMOGLOBINA A SEM 28",IF(AND(BU76&gt;25,BU76&lt;28,ER76="",ES76=""),"TOMA HEMOGLOBINA A SEM 28 EN 1 SEMANA",IF(AND(BU76&gt;27,BU76&lt;31,ES76="",OR(O76&gt;0,R76&gt;0)),"EN SEMANA 28 TOMA INMEDIATA DE EXAMEN",IF(AND(IP77&gt;0,IP77&lt;28,ES76="",OR(O76&gt;0,R76&gt;0)),"NO APLICA-SALE ANTES SEM 28",IF(AND(IP77&gt;28,IP77&lt;43,ES76="",OR(O76&gt;0,R76&gt;0)),"SALE SIN TAMIZAJE HEMOGLOBINA SEM 28",IF(AND(BS76&gt;0,ES76="",OR(O76&gt;0,R76&gt;0)),"TOMA DE HEMOGLOBINA TARDÍA",IF(ES76&gt;0,SUM(ES76-RW76)/7,"")))))))))))</f>
        <v>SALE SIN TAMIZAJE HEMOGLOBINA SEM 28</v>
      </c>
      <c r="EU76" s="25" t="str">
        <f t="shared" si="275"/>
        <v/>
      </c>
      <c r="EV76" s="24"/>
      <c r="EW76" s="24"/>
      <c r="EX76" s="22"/>
      <c r="EY76" s="29" t="str">
        <f t="shared" si="248"/>
        <v>TOMAR EXAMEN</v>
      </c>
      <c r="EZ76" s="25" t="str">
        <f t="shared" ca="1" si="249"/>
        <v/>
      </c>
      <c r="FA76" s="21">
        <v>70</v>
      </c>
      <c r="FB76" s="22">
        <v>44922</v>
      </c>
      <c r="FC76" s="29" t="str">
        <f t="shared" si="276"/>
        <v>NO APLICA &gt; 23 SEM -TOMAR PTOG</v>
      </c>
      <c r="FD76" s="29"/>
      <c r="FE76" s="29"/>
      <c r="FF76" s="29"/>
      <c r="FG76" s="21" t="str">
        <f t="shared" ca="1" si="277"/>
        <v/>
      </c>
      <c r="FH76" s="31"/>
      <c r="FI76" s="29" t="str">
        <f t="shared" si="278"/>
        <v>TOMAR EXAMEN</v>
      </c>
      <c r="FJ76" s="22" t="s">
        <v>867</v>
      </c>
      <c r="FK76" s="22"/>
      <c r="FL76" s="29" t="str">
        <f t="shared" ca="1" si="279"/>
        <v>NO APLICA-INGRESO TARDIO</v>
      </c>
      <c r="FM76" s="22"/>
      <c r="FN76" s="32"/>
      <c r="FO76" s="29" t="str">
        <f ca="1">IF(AND(BT76="ERROR FUM O INGRESO",FN76&gt;0),"ERROR FUM O INGRESO",IF(AND(FN76="",R76="",O76=""),"",IF(AND(FN76&lt;&gt;"",FN76&lt;RW76), "INCOHERENCIA FUM Y FECHA TAMIZAJE",IF(AND(FN76="",DV76="ACTIVA INGRESO A CPN",AND(BU76&gt;0,BU76&lt;13)),"EN ESPERA-ESTÁ I TRIM", IF(AND(FN76="",AND(BS76&gt;0, BS76&lt;13),OR(O76&gt;0,R76&gt;0),AND(IP77&gt;0,IP77&lt;13)),"NO APLICA-SALIO DEL PROGRAMA I TRIM",IF(AND(FN76&lt;&gt;"",AND(SUM((FN76-RW76)/7)&gt;0,SUM((FN76-RW76)/7)&lt;13)),"REGISTRAR EN I TRIMESTRE",IF(AND(FN76&lt;&gt;"",AND(SUM((FN76-RW76)/7)&gt;=27,SUM((FN76-RW76)/7)&lt;44)),"REGISTRAR EN III TRIMESTRE",IF(AND(FN76="",OR(O76&gt;0,R76&gt;0),AND(BU76&gt;=13,BU76&lt;24),DV76="ACTIVA INGRESO A CPN"),"EN RANGO PARA TOMAR EXAMEN",IF(AND(FN76="",OR(O76&gt;0,R76&gt;0),AND(BU76&gt;=25,BU76&lt;27),DV76="ACTIVA INGRESO A CPN"),"TOMA INMEDIATA DE TAMIZAJE",IF(AND(FN76="",OR(O76&gt;0,R76&gt;0),AND(BS76&gt;=27,BS76&lt;44)),"NO APLICA-INGRESO TARDIO",IF(AND(FN76="",BS76&lt;27,OR(AND(IP77&gt;12,IP77&lt;44),BU76&gt;12)),"PIERDE TOMA DE TAMIZAJE",IF(FN76&gt;0,SUM(FN76-RW76)/7,""))))))))))))</f>
        <v>NO APLICA-INGRESO TARDIO</v>
      </c>
      <c r="FP76" s="22" t="s">
        <v>867</v>
      </c>
      <c r="FQ76" s="32">
        <v>44922</v>
      </c>
      <c r="FR76" s="29">
        <f ca="1">IF(AND(BT76="ERROR FUM O INGRESO",FQ76&gt;0),"ERROR FUM O INGRESO",IF(AND(FQ76="",R76="",O76=""),"",IF(AND(FQ76&lt;&gt;"",FQ76&lt;RW76), "INCOHERENCIA FUM Y FECHA TAMIZAJE",IF(AND(FQ76="",DV76="ACTIVA INGRESO A CPN",AND(BU76&gt;0,BU76&lt;27)),"EN ESPERA-ESTÁ I TRIM O II TRIM", IF(AND(FQ76="",AND(BS76&gt;0, BS76&lt;27),OR(O76&gt;0,R76&gt;0),AND(IP77&gt;0,IP77&lt;27)),"NO APLICA-SALIO DEL PROGRAMA I O II TRIM",IF(AND(FQ76&lt;&gt;"",AND(SUM((FQ76-RW76)/7)&gt;0,SUM((FQ76-RW76)/7)&lt;13)),"REGISTAR EN I TRIMESTRE",IF(AND(FQ76&lt;&gt;"",AND(SUM((FQ76-RW76)/7)&gt;=13,SUM((FQ76-RW76)/7)&lt;27)),"REGISTRAR EN II TRIMESTRE",IF(AND(FQ76="",OR(O76&gt;0,R76&gt;0),AND(BU76&gt;=28,BU76&lt;35),DV76="ACTIVA INGRESO A CPN"),"EN RANGO PARA TOMAR EXAMEN",IF(AND(FQ76="",OR(O76&gt;0,R76&gt;0),BU76&gt;=35, DV76="ACTIVA INGRESO A CPN"),"TOMA INMEDIATA DE TAMIZAJE",IF(AND(FQ76="",DV76= "SALE SIN INGRESO CPN"),"NO APLICA-SIN CPN",IF(AND(FQ76="",AND(IP77&gt;26,IP77&lt;43)),"PIERDE TOMA DE TAMIZAJE",IF(FQ76&gt;0,SUM(FQ76-RW76)/7,""))))))))))))</f>
        <v>27.142857142857142</v>
      </c>
      <c r="FS76" s="22"/>
      <c r="FT76" s="32"/>
      <c r="FU76" s="29" t="str">
        <f>IF(AND(FJ76="",FM76="",FP76="",FS76=""),"",IF(OR(OR(Tabla1[[#This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76" s="28"/>
      <c r="FW76" s="22"/>
      <c r="FX76" s="29" t="str">
        <f t="shared" si="280"/>
        <v>TOMAR EXAMEN</v>
      </c>
      <c r="FY76" s="22"/>
      <c r="FZ76" s="22"/>
      <c r="GA76" s="29" t="str">
        <f t="shared" ca="1" si="250"/>
        <v>NO APLICA-INGRESO TARDIO</v>
      </c>
      <c r="GB76" s="22"/>
      <c r="GC76" s="22"/>
      <c r="GD76" s="29" t="str">
        <f ca="1">IF(AND(BT76="ERROR FUM O INGRESO",GC76&gt;0),"ERROR FUM O INGRESO",IF(AND(GC76="",R76="",O76=""),"",IF(AND(GC76&lt;&gt;"",GC76&lt;RW76), "INCOHERENCIA FUM Y FECHA TAMIZAJE",IF(AND(GC76="",DV76="ACTIVA INGRESO A CPN",AND(BU76&gt;0,BU76&lt;13)),"EN ESPERA-ESTÁ I TRIM", IF(AND(GC76="",AND(BS76&gt;0, BS76&lt;12),OR(O76&gt;0,R76&gt;0),AND(IP77&gt;0,IP77&lt;13)),"NO APLICA-SALIO DEL PROGRAMA I TRIM",IF(AND(GC76&lt;&gt;"",AND(SUM((GC76-RW76)/7)&gt;0,SUM((GC76-RW76)/7)&lt;13)),"REGISTRAR EN I TRIMESTRE",IF(AND(GC76&lt;&gt;"",AND(SUM((GC76-RW76)/7)&gt;=27,SUM((GC76-RW76)/7)&lt;44)),"REGISTRAR EN III TRIMESTRE",IF(AND(GC76="",OR(O76&gt;0,R76&gt;0),AND(BU76&gt;=12,BU76&lt;25),DV76="ACTIVA INGRESO A CPN"),"EN RANGO PARA TOMAR EXAMEN",IF(AND(GC76="",OR(O76&gt;0,R76&gt;0),AND(BU76&gt;=25,BU76&lt;27),DV76="ACTIVA INGRESO A CPN"),"TOMA INMEDIATA DE TAMIZAJE",IF(AND(GC76="",OR(O76&gt;0,R76&gt;0),AND(BS76&gt;=27,BS76&lt;43)),"NO APLICA-INGRESO TARDIO",IF(AND(GC76="",BS76&lt;27),"PIERDE TOMA DE TAMIZAJE",IF(GC76&gt;0,SUM(GC76-RW76)/7,""))))))))))))</f>
        <v>NO APLICA-INGRESO TARDIO</v>
      </c>
      <c r="GE76" s="22" t="s">
        <v>868</v>
      </c>
      <c r="GF76" s="22">
        <v>45287</v>
      </c>
      <c r="GG76" s="29">
        <f ca="1">IF(AND(BT76="ERROR FUM O INGRESO",GF76&gt;0),"ERROR FUM O INGRESO",IF(AND(GF76="",R76="",O76=""),"",IF(AND(GF76&lt;&gt;"",GF76&lt;RW76), "INCOHERENCIA FUM Y FECHA TAMIZAJE",IF(AND(GF76="",DV76="ACTIVA INGRESO A CPN",AND(BU76&gt;0,BU76&lt;27)),"EN ESPERA-ESTÁ I TRIM O II TRIM", IF(AND(GF76="",AND(BS76&gt;0, BS76&lt;28),OR(O76&gt;0,R76&gt;0),AND(IP77&gt;0,IP77&lt;28)),"NO APLICA-SALIO DEL PROGRAMA I O II TRIM",IF(AND(GF76&lt;&gt;"",AND(SUM((GF76-RW76)/7)&gt;0,SUM((GF76-RW76)/7)&lt;13)),"REGISTAR EN I TRIMESTRE",IF(AND(GF76&lt;&gt;"",AND(SUM((GF76-RW76)/7)&gt;=13,SUM((GF76-RW76)/7)&lt;27)),"REGISTRAR EN II TRIMESTRE",IF(AND(GF76="",OR(O76&gt;0,R76&gt;0),AND(BU76&gt;=28,BU76&lt;35),DV76="ACTIVA INGRESO A CPN"),"EN RANGO PARA TOMAR EXAMEN",IF(AND(GF76="",OR(O76&gt;0,R76&gt;0),BU76&gt;=35, DV76="ACTIVA INGRESO A CPN"),"TOMA INMEDIATA DE TAMIZAJE",IF(AND(GF76="",DV76= "SALE SIN INGRESO CPN"),"NO APLICA-SIN CPN",IF(AND(GF76="",BS76&lt;44),"PIERDE TOMA DE TAMIZAJE",IF(GF76&gt;0,SUM(GF76-RW76)/7,""))))))))))))</f>
        <v>79.285714285714292</v>
      </c>
      <c r="GH76" s="22"/>
      <c r="GI76" s="29"/>
      <c r="GJ76" s="22"/>
      <c r="GK76" s="22"/>
      <c r="GL76" s="22"/>
      <c r="GM76" s="22"/>
      <c r="GN76" s="28" t="s">
        <v>869</v>
      </c>
      <c r="GO76" s="22">
        <v>45287</v>
      </c>
      <c r="GP76" s="29" t="str">
        <f t="shared" si="283"/>
        <v>CORREGIR FECHA RESULTADO</v>
      </c>
      <c r="GQ76" s="28" t="s">
        <v>869</v>
      </c>
      <c r="GR76" s="28">
        <v>45287</v>
      </c>
      <c r="GS76" s="22" t="str">
        <f t="shared" si="284"/>
        <v>CONTROL Igm</v>
      </c>
      <c r="GT76" s="22"/>
      <c r="GU76" s="29" t="str">
        <f t="shared" si="285"/>
        <v>TOMAR EXAMEN</v>
      </c>
      <c r="GV76" s="21" t="str">
        <f t="shared" si="286"/>
        <v>POR DEFINIR</v>
      </c>
      <c r="GW76" s="28">
        <v>45287</v>
      </c>
      <c r="GX76" s="30"/>
      <c r="GY76" s="21"/>
      <c r="GZ76" s="21"/>
      <c r="HA76" s="21"/>
      <c r="HB76" s="21"/>
      <c r="HC76" s="21"/>
      <c r="HD76" s="21"/>
      <c r="HE76" s="21"/>
      <c r="HF76" s="22"/>
      <c r="HG76" s="22" t="str">
        <f>IF(OR(O76&gt;0,R76&gt;0),CONCATENATE(IF(Tabla1[[#This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76" s="22" t="e">
        <f t="shared" si="287"/>
        <v>#REF!</v>
      </c>
      <c r="HI76" s="22" t="e">
        <f t="shared" ca="1" si="288"/>
        <v>#REF!</v>
      </c>
      <c r="HJ76" s="21" t="str">
        <f t="shared" ca="1" si="289"/>
        <v>***************PRESENTACIÓN FETAL PODALICA O TRANSVERSA************************</v>
      </c>
      <c r="HK76" s="21" t="str">
        <f t="shared" si="290"/>
        <v>SIN ANTECEDENTES DE RIESGO</v>
      </c>
      <c r="HL76" s="24" t="str">
        <f t="shared" si="291"/>
        <v>REGISTRE DATO PRESIÓN ARTERIAL MENSUAL</v>
      </c>
      <c r="HM76" s="21" t="str">
        <f t="shared" ca="1" si="292"/>
        <v/>
      </c>
      <c r="HN76" s="30" t="str">
        <f>IF(AND(R76&lt;&gt;"",IK76="CAMBIO DE RESIDENCIA"),"SEGUIMIENTO REPORTE EPS",IF(AND(R76&lt;&gt;"",OR(IK76&lt;&gt;"",IN77&lt;&gt;"")),"SALIO PROGRAMA",IF(AND(AND(R76="",O76&gt;0),OR(IK76&lt;&gt;"",IN77&lt;&gt;"")),"SALE SIN INGRESO CPN",IF(AND(R76="",O76&gt;0,IK76="",IN77=""),"ACTIVA SIN INGRESO CPN",IF(AND(R76&lt;&gt;"",OR(IK76="",IN77="")),"ACTIVA INGRESO A CPN","")))))</f>
        <v>SALIO PROGRAMA</v>
      </c>
      <c r="HO76" s="21"/>
      <c r="HP76" s="21"/>
      <c r="HQ76" s="21">
        <v>44922</v>
      </c>
      <c r="HR76" s="21" t="str">
        <f>IF(R76="","",IF(Tabla1[[#This Row],[ALARMA FACTORES DE RIESGO COMPLICACIONES HIPERTENSIVAS3]]="SIN ANTECEDENTES DE RIESGO","No Aplica para suministro de ASA",IF(AND(Tabla1[[#This Row],[FECHA INICIO DE SUMINISTRO DE ASA]]&gt;0,RV76&lt;12),"Inicia ASA ANTES de Sem 12",IF(AND(RV76&gt;11,RV76&lt;17,OR(HK76="RIESGO ALTO DE COMPLICACIONES HIPERTENSIVAS VER MANEJO GUIA SUMINISTRO ASA Y CALCIO",HK76="RIESGO MODERADO (2 O MAS CRITERIOS) VER MANEJO GUIA SUMINISTRO ASA Y CALCIO")),"Inicio oportuno de ASA",IF(AND(RV76&gt;12,OR(HK76="RIESGO ALTO DE COMPLICACIONES HIPERTENSIVAS VER MANEJO GUIA SUMINISTRO ASA Y CALCIO",HK76="RIESGO MODERADO (2 O MAS CRITERIOS) VER MANEJO GUIA SUMINISTRO ASA Y CALCIO")),"Inicio no oportuno mayor a 16 semanas",IF(AND(BU76&lt;12,OR(HK76="RIESGO ALTO DE COMPLICACIONES HIPERTENSIVAS VER MANEJO GUIA SUMINISTRO ASA Y CALCIO",HK76="RIESGO MODERADO (2 O MAS CRITERIOS) VER MANEJO GUIA SUMINISTRO ASA Y CALCIO")),"Pendiente Inicio de ASA a la semana 12",IF(AND(BU76&gt;11,BU76&lt;17,OR(HK76="RIESGO ALTO DE COMPLICACIONES HIPERTENSIVAS VER MANEJO GUIA SUMINISTRO ASA Y CALCIO",HK76="RIESGO MODERADO (2 O MAS CRITERIOS) VER MANEJO GUIA SUMINISTRO ASA Y CALCIO")),"Iniciar de inmediato ASA",IF(AND(BU76&gt;16,OR(HK76="RIESGO ALTO DE COMPLICACIONES HIPERTENSIVAS VER MANEJO GUIA SUMINISTRO ASA Y CALCIO",HK76="RIESGO MODERADO (2 O MAS CRITERIOS) VER MANEJO GUIA SUMINISTRO ASA Y CALCIO")),"Pierde Oportunidad, Inicio tardío de ASA","XXXXX"))))))))</f>
        <v>No Aplica para suministro de ASA</v>
      </c>
      <c r="HS76" s="22">
        <v>44922</v>
      </c>
      <c r="HT76" s="22" t="s">
        <v>870</v>
      </c>
      <c r="HU76" s="22"/>
      <c r="HV76" s="22"/>
      <c r="HW76" s="22">
        <v>44922</v>
      </c>
      <c r="HX76" s="22" t="s">
        <v>870</v>
      </c>
      <c r="HY76" s="22">
        <v>44922</v>
      </c>
      <c r="HZ76" s="28">
        <f t="shared" si="293"/>
        <v>27.142857142857142</v>
      </c>
      <c r="IA76" s="26" t="s">
        <v>864</v>
      </c>
      <c r="IB76" s="26"/>
      <c r="IC76" s="111"/>
      <c r="ID76" s="22"/>
      <c r="IE76" s="22" t="str">
        <f t="shared" ca="1" si="294"/>
        <v>SALE SIN VACUNA</v>
      </c>
      <c r="IF76" s="22"/>
      <c r="IG76" s="22">
        <f t="shared" si="295"/>
        <v>45012</v>
      </c>
      <c r="IH76" s="29">
        <f t="shared" ca="1" si="296"/>
        <v>-220</v>
      </c>
      <c r="II76" s="22" t="str">
        <f t="shared" ca="1" si="297"/>
        <v>POSIBLEMENTE NACIO</v>
      </c>
      <c r="IJ76" s="22"/>
      <c r="IK76" s="21" t="s">
        <v>898</v>
      </c>
      <c r="IL76" s="21"/>
      <c r="IM76" s="34"/>
      <c r="IN76" s="352">
        <v>45033</v>
      </c>
      <c r="IO76" s="339" t="s">
        <v>1186</v>
      </c>
      <c r="IP76" s="29">
        <f t="shared" si="436"/>
        <v>43</v>
      </c>
      <c r="IQ76" s="290" t="s">
        <v>1656</v>
      </c>
      <c r="IR76" s="290" t="s">
        <v>1645</v>
      </c>
      <c r="IS76" s="290" t="s">
        <v>1646</v>
      </c>
      <c r="IT76" s="290" t="s">
        <v>1642</v>
      </c>
      <c r="IU76" s="21"/>
      <c r="IV76" s="21"/>
      <c r="IW76" s="21"/>
      <c r="IX76" s="21"/>
      <c r="IY76" s="21"/>
      <c r="IZ76" s="21"/>
      <c r="JA76" s="21"/>
      <c r="JB76" s="30">
        <v>1</v>
      </c>
      <c r="JC76" s="21" t="s">
        <v>1647</v>
      </c>
      <c r="JD76" s="36">
        <v>3330</v>
      </c>
      <c r="JE76" s="21" t="str">
        <f t="shared" si="435"/>
        <v>PESO ADECUADO EDAD GESTACIONAL</v>
      </c>
      <c r="JF76" s="30"/>
      <c r="JG76" s="21"/>
      <c r="JH76" s="21"/>
      <c r="JI76" s="21" t="s">
        <v>854</v>
      </c>
      <c r="JJ76" s="30" t="s">
        <v>866</v>
      </c>
      <c r="JK76" s="22"/>
      <c r="JL76" s="22"/>
      <c r="JM76" s="21"/>
      <c r="JN76" s="36"/>
      <c r="JO76" s="21" t="str">
        <f>IF(AND(JN76&gt;700,JN76&lt;2500,IP77&gt;36,IP77&lt;43),"BAJO PESO AL NACER",IF(AND(JN76&gt;700,JN76&lt;2500,IP77&lt;37),"PREMATURO",IF(AND(JN76&gt;2499,JN76&lt;5000,IP77&lt;37),"ERROR VERIFICAR DATO EDAD GESTACIONAL VS PESO",IF(AND(JN76&gt;2499,JN76&lt;4000,IP77&gt;36,IP77&lt;43),"PESO ADECUADO EDAD GESTACIONAL",IF(AND(JN76&gt;3999,JN76&lt;6000,IP77&gt;36,IP77&lt;43),"PESO GRANDE EDAD GESTACIONAL","")))))</f>
        <v/>
      </c>
      <c r="JP76" s="22"/>
      <c r="JQ76" s="21"/>
      <c r="JR76" s="21"/>
      <c r="JS76" s="21"/>
      <c r="JT76" s="30"/>
      <c r="JU76" s="22"/>
      <c r="JV76" s="22"/>
      <c r="JW76" s="33"/>
      <c r="JX76" s="28" t="str">
        <f>IF(AND(JW76&lt;&gt;"",JW76&lt;IN77),"INCONSISTENCIA FECHA CONTROL",IF(AND(OR(IK76="Parto",IK76="Cesarea"),JW76&gt;0,IN77&gt;0),SUM(JW76-IN77),IF(AND(OR(IK76="Parto",IK76="Cesarea"),JW76="",IN77&gt;0),"INASISTENTE","")))</f>
        <v>INASISTENTE</v>
      </c>
      <c r="JY76" s="33"/>
      <c r="JZ76" s="28" t="str">
        <f>IF(AND(JY76&lt;&gt;"",JY76&lt;IN77),"INCONSISTENCIA FECHA CONTROL",IF(AND(OR(IK76="Parto",IK76="Cesarea",IK76="Aborto Espontaneo",IK76="Aborto Inducido",IK76="IVE"),JY76&gt;0,IN77&gt;0),SUM(JY76-IN77),IF(AND(JY76&lt;&gt;"",JY76&lt;IN77),"INCONSISTENCIA FECHA CONTROL",IF(AND(OR(IK76="Parto",IK76="Cesarea",IK76="Aborto Espontaneo",IK76="Aborto Inducido",IK76="IVE"),JY76="",IN77&gt;0),"INASISTENTE",""))))</f>
        <v>INASISTENTE</v>
      </c>
      <c r="KA76" s="21"/>
      <c r="KB76" s="21"/>
      <c r="KC76" s="21"/>
      <c r="KD76" s="37"/>
      <c r="KE76" s="28"/>
      <c r="KF76" s="28"/>
      <c r="KG76" s="28"/>
      <c r="KH76" s="39"/>
      <c r="KI76" s="39"/>
      <c r="KJ76" s="66"/>
      <c r="KK76" s="39"/>
      <c r="KL76" s="39"/>
      <c r="KM76" s="66"/>
      <c r="KN76" s="39"/>
      <c r="KO76" s="39"/>
      <c r="KP76" s="39"/>
      <c r="KQ76" s="39"/>
      <c r="KR76" s="39"/>
      <c r="KS76" s="39"/>
      <c r="KT76" s="39"/>
      <c r="KU76" s="38"/>
      <c r="KV76" s="38"/>
      <c r="KW76" s="38"/>
      <c r="KX76" s="38"/>
      <c r="KY76" s="38"/>
      <c r="KZ76" s="38"/>
      <c r="LA76" s="38"/>
      <c r="LB76" s="38"/>
      <c r="LC76" s="38"/>
      <c r="LD76" s="38"/>
      <c r="LE76" s="38"/>
      <c r="LF76" s="38"/>
      <c r="LG76" s="38"/>
      <c r="LH76" s="38"/>
      <c r="LI76" s="38"/>
      <c r="LJ76" s="38"/>
      <c r="LK76" s="38"/>
      <c r="LL76" s="38"/>
      <c r="LM76" s="38"/>
      <c r="LN76" s="38"/>
      <c r="LO76" s="38"/>
      <c r="LP76" s="38"/>
      <c r="LQ76" s="38"/>
      <c r="LR76" s="38"/>
      <c r="LS76" s="38"/>
      <c r="LT76" s="38"/>
      <c r="LU76" s="38"/>
      <c r="LV76" s="38"/>
      <c r="LW76" s="38"/>
      <c r="LX76" s="38"/>
      <c r="LY76" s="38"/>
      <c r="LZ76" s="38"/>
      <c r="MA76" s="38"/>
      <c r="MB76" s="38"/>
      <c r="MC76" s="38"/>
      <c r="MD76" s="38"/>
      <c r="ME76" s="38"/>
      <c r="MF76" s="38"/>
      <c r="MG76" s="38"/>
      <c r="MH76" s="43">
        <f t="shared" si="303"/>
        <v>0</v>
      </c>
      <c r="MI76" s="43" t="str">
        <f t="shared" si="304"/>
        <v/>
      </c>
      <c r="MJ76" s="43" t="str">
        <f t="shared" si="305"/>
        <v/>
      </c>
      <c r="MK76" s="43">
        <f t="shared" si="306"/>
        <v>0</v>
      </c>
      <c r="ML7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76" s="43">
        <f t="shared" si="307"/>
        <v>27.142857142857142</v>
      </c>
      <c r="MN76" s="43">
        <f t="shared" si="308"/>
        <v>12</v>
      </c>
      <c r="MO76" s="43">
        <f t="shared" si="309"/>
        <v>2022</v>
      </c>
      <c r="MP76" s="43" t="str">
        <f t="shared" si="310"/>
        <v>IV TRIMESTRE AÑO</v>
      </c>
      <c r="MQ76" s="43">
        <f t="shared" si="311"/>
        <v>25.161519929916775</v>
      </c>
      <c r="MR76" s="43">
        <f t="shared" si="312"/>
        <v>0</v>
      </c>
      <c r="MS76" s="43" t="str">
        <f t="shared" si="313"/>
        <v xml:space="preserve"> DE 25 A 29 AÑOS</v>
      </c>
      <c r="MT76" s="43">
        <f t="shared" si="314"/>
        <v>0</v>
      </c>
      <c r="MU76" s="43">
        <f t="shared" si="315"/>
        <v>0</v>
      </c>
      <c r="MV76" s="43">
        <f t="shared" si="316"/>
        <v>0</v>
      </c>
      <c r="MW76" s="43">
        <f t="shared" si="317"/>
        <v>0</v>
      </c>
      <c r="MX76" s="43" t="str">
        <f t="shared" si="318"/>
        <v/>
      </c>
      <c r="MY76" s="43" t="str">
        <f ca="1">IF(AND(AND(BU76&gt;40.9,BU76&lt;43),IN77=""),1,"")</f>
        <v/>
      </c>
      <c r="MZ76" s="43" t="str">
        <f t="shared" si="319"/>
        <v/>
      </c>
      <c r="NA76" s="43">
        <f t="shared" si="320"/>
        <v>3</v>
      </c>
      <c r="NB76" s="43" t="str">
        <f t="shared" si="321"/>
        <v/>
      </c>
      <c r="NC76" s="43" t="str">
        <f t="shared" si="322"/>
        <v/>
      </c>
      <c r="ND76" s="43">
        <f t="shared" ca="1" si="323"/>
        <v>3</v>
      </c>
      <c r="NE76" s="43">
        <f>IF(OR(O76&gt;0,R76&gt;0),SUM(COUNTIF(Tabla1[[#This Row],[AÑOS AL INICIO5 CPN]],"&gt;=40"),COUNTIF(AS76,"0"),COUNTIF(AR76,"SI"),COUNTIF(CC76,"SI"),COUNTIF(BQ76,"&gt;119"),COUNTIF(CI76,"&gt;=35")),"")</f>
        <v>0</v>
      </c>
      <c r="NF76" s="43" t="str">
        <f t="shared" si="324"/>
        <v/>
      </c>
      <c r="NG76" s="43">
        <f t="shared" si="325"/>
        <v>0</v>
      </c>
      <c r="NH76" s="43">
        <f t="shared" si="326"/>
        <v>232.40000000000003</v>
      </c>
      <c r="NI76"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CPN",P76="NO"),"Z",IF(AND(Tabla1[[#This Row],[CITA PROXIMO CONTROL]]="CITA MANUAL",Tabla1[[#This Row],[GESTANTES ACTUALES]]="ACTIVA INGRESO A CPN"),"W",IF(AND(Tabla1[[#This Row],[GESTANTES ACTUALES]]="SALIO PROGRAMA",IN77=""),"S",IF(AND(Tabla1[[#This Row],[CITA PROXIMO CONTROL]]&gt;0,IN77=""),(Tabla1[[#This Row],[CITA PROXIMO CONTROL]]-TODAY()),"SD"))))))))</f>
        <v>SD</v>
      </c>
      <c r="NJ76" s="43">
        <f>MONTH(Tabla1[[#This Row],[FECHA DE SALIDA  DEL PROGRAMA]])</f>
        <v>4</v>
      </c>
      <c r="NK76" s="43">
        <f>YEAR(Tabla1[[#This Row],[FECHA DE SALIDA  DEL PROGRAMA]])</f>
        <v>2023</v>
      </c>
      <c r="NL76" s="43" t="str">
        <f t="shared" si="327"/>
        <v>X</v>
      </c>
      <c r="NM76" s="43" t="str">
        <f t="shared" si="251"/>
        <v>NO</v>
      </c>
      <c r="NN76" s="43" t="str">
        <f ca="1">IF(AND(O76&gt;0,R76=""),"NO CPN",IF(AND(O76="",R76=""),"",IF(AND(R76&gt;0,Tabla1[[#This Row],[SEMANAS DE GESTACION ACTUALIZADAS]]&lt;=12),"NO APLICA",IF(AND(FH76&lt;&gt;"",FN76&lt;&gt;""),"SI","NO"))))</f>
        <v>NO</v>
      </c>
      <c r="NO76" s="43" t="str">
        <f ca="1">IF(AND(O76&gt;0,R76=""),"NO CPN",IF(AND(O76="",R76=""),"",IF(AND(R76&gt;0,Tabla1[[#This Row],[SEMANAS DE GESTACION ACTUALIZADAS]]&lt;=27),"NO APLICA",IF(AND(ES76&lt;&gt;"",FQ76&lt;&gt;"",GF76&lt;&gt;""),"SI","NO"))))</f>
        <v>NO</v>
      </c>
      <c r="NP76" s="204" t="str">
        <f t="shared" si="328"/>
        <v>DEFINIR CON ECO</v>
      </c>
      <c r="NQ76" s="21" t="e">
        <f>IF(AND(#REF!&gt;0,#REF!&lt;37),10,IF(OR(CD77="Transversa",CD77="Oblicua"),9,IF(CC77="SI",8,IF(AND(AT77=0,AW77=0,CC77="NO",CD77="Cefálica",#REF!&gt;=37,#REF!="INICIO ESPONTÁNEO"),1,IF(AND(AND(AT77=0,AW77=0,CC77="NO",CD77="Cefálica",#REF!&gt;=37),OR(#REF!="LE HACEN INDUCCIÓN",#REF!="LE HACEN CESÁREA SIN INICIO TRABAJO DE PARTO")),2,IF(AND(AT77&gt;=1,AW77=0,CC77="NO",CD77="Cefálica",#REF!&gt;=37,#REF!="INICIO ESPONTÁNEO"),3,IF(AND(AND(AT77&gt;=1,AW77=0,CC77="NO",CD77="Cefálica",#REF!&gt;=37),OR(#REF!="LE HACEN INDUCCIÓN",#REF!="LE HACEN CESÁREA SIN INICIO TRABAJO DE PARTO")),4,IF(AND(AND(AT77&gt;=1,AW77&gt;=1,CC77="NO",CD77="Cefálica",#REF!&gt;=37),OR(#REF!="LE HACEN INDUCCIÓN",#REF!="LE HACEN CESÁREA SIN INICIO TRABAJO DE PARTO",#REF!="INICIO ESPONTÁNEO")),5,IF(AND(AND(AT77=0,AW77=0,CC77="NO",CD77="Podálica",#REF!&gt;=1),OR(#REF!="LE HACEN INDUCCIÓN",#REF!="LE HACEN CESÁREA SIN INICIO TRABAJO DE PARTO",#REF!="INICIO ESPONTÁNEO")),6,IF(AND(AND(AT77&gt;=1,CC77="NO",CD77="Podálica",#REF!&gt;=1),OR(#REF!="LE HACEN INDUCCIÓN",#REF!="LE HACEN CESÁREA SIN INICIO TRABAJO DE PARTO",#REF!="INICIO ESPONTÁNEO"),OR(AW77=0,AW77&gt;=1)),7,""))))))))))</f>
        <v>#REF!</v>
      </c>
      <c r="NR76" s="21">
        <f>IF(AND(O76="",R76=""),"",IF(AND(BS76&gt;0,BS76&lt;12,IP77&gt;28,IP77&lt;44),3, IF(OR(AND(BS76&gt;=12,BS76&lt;28,IP77&gt;=28,IP77&lt;44),AND(BS76&gt;0,BS76&lt;12,IP77&gt;=12,IP77&lt;29)),2,IF(OR(AND(BS76&gt;=28,BS76&lt;44),AND(BS76&gt;0,BS76&lt;12,IP77&gt;0,IP77&lt;12),AND(BS76&gt;=12,BS76&lt;28,IP77&gt;=12,IP77&lt;28)),1,IF(AND(BS76&gt;0,BS76&lt;12,BU76&gt;=28,BU76&lt;44,DV76="ACTIVA INGRESO A CPN"),3,IF(OR(AND(BS76&gt;0,BS76&lt;12,BU76&gt;=12,BU76&lt;28,DV76="ACTIVA INGRESO A CPN"),AND(BS76&gt;=12,BS76&lt;28,BU76&gt;=28,BU76&lt;44,DV76="ACTIVA INGRESO A CPN")),2,IF(OR(AND(BS76&gt;0,BS76&lt;12,BU76&gt;0,BU76&lt;12,DV76="ACTIVA INGRESO A CPN"),AND(BS76&gt;=12,BS76&lt;28,BU76&gt;=12,BU76&lt;28,DV76="ACTIVA INGRESO A CPN")),1,"REVISAR FUM O FECHA SALIDA PROGRAMA")))))))</f>
        <v>2</v>
      </c>
      <c r="NS76" s="205">
        <f t="shared" ca="1" si="329"/>
        <v>1</v>
      </c>
      <c r="NT76" s="21">
        <f t="shared" ca="1" si="330"/>
        <v>1</v>
      </c>
      <c r="NU76" s="21" t="str">
        <f t="shared" ca="1" si="331"/>
        <v>INCOMPLETO</v>
      </c>
      <c r="NV76" s="21" t="str">
        <f t="shared" ca="1" si="332"/>
        <v>INCOMPLETO</v>
      </c>
      <c r="NW76" s="206" t="str">
        <f>IF(AND(O76="",R76=""),"",IF(OR(AND(Tabla1[[#This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76" s="207" t="str">
        <f t="shared" ca="1" si="333"/>
        <v>SIN VACUNAR</v>
      </c>
      <c r="NY76" s="43">
        <f>ROW(Tabla1[[#This Row],['# DE TAMIZAJES SIFILIS TOMADOS ]])</f>
        <v>76</v>
      </c>
      <c r="NZ76" s="43">
        <f t="shared" si="334"/>
        <v>27</v>
      </c>
      <c r="OA76" s="43" t="str">
        <f t="shared" si="335"/>
        <v/>
      </c>
      <c r="OB76" s="43" t="str">
        <f t="shared" si="336"/>
        <v/>
      </c>
      <c r="OC76" s="43" t="str">
        <f t="shared" si="337"/>
        <v/>
      </c>
      <c r="OD76" s="43" t="str">
        <f t="shared" si="338"/>
        <v/>
      </c>
      <c r="OE76" s="43" t="str">
        <f t="shared" si="339"/>
        <v/>
      </c>
      <c r="OF76" s="43" t="str">
        <f t="shared" si="340"/>
        <v/>
      </c>
      <c r="OG76" s="43" t="str">
        <f t="shared" si="341"/>
        <v/>
      </c>
      <c r="OH76" s="43" t="str">
        <f t="shared" si="342"/>
        <v/>
      </c>
      <c r="OI76" s="43" t="str">
        <f t="shared" si="343"/>
        <v/>
      </c>
      <c r="OJ76" s="43" t="str">
        <f t="shared" si="344"/>
        <v/>
      </c>
      <c r="OK76" s="43" t="str">
        <f t="shared" si="345"/>
        <v/>
      </c>
      <c r="OL76" s="43" t="str">
        <f t="shared" si="346"/>
        <v/>
      </c>
      <c r="OM76" s="43" t="str">
        <f t="shared" si="347"/>
        <v/>
      </c>
      <c r="ON76" s="43" t="str">
        <f t="shared" si="348"/>
        <v/>
      </c>
      <c r="OO76" s="43" t="str">
        <f t="shared" si="349"/>
        <v/>
      </c>
      <c r="OP76" s="43" t="str">
        <f t="shared" si="350"/>
        <v/>
      </c>
      <c r="OQ76" s="43" t="str">
        <f t="shared" si="351"/>
        <v/>
      </c>
      <c r="OR76" s="43" t="str">
        <f t="shared" si="352"/>
        <v/>
      </c>
      <c r="OS76" s="43" t="str">
        <f t="shared" si="353"/>
        <v>NORMAL</v>
      </c>
      <c r="OT76" s="43" t="str">
        <f t="shared" si="354"/>
        <v/>
      </c>
      <c r="OU76" s="43" t="str">
        <f t="shared" si="355"/>
        <v/>
      </c>
      <c r="OV76" s="110" t="str">
        <f t="shared" si="356"/>
        <v/>
      </c>
      <c r="OW76" s="43" t="str">
        <f t="shared" si="357"/>
        <v/>
      </c>
      <c r="OX76" s="43" t="str">
        <f t="shared" si="358"/>
        <v/>
      </c>
      <c r="OY76" s="43" t="str">
        <f t="shared" si="359"/>
        <v/>
      </c>
      <c r="OZ76" s="43" t="str">
        <f t="shared" si="360"/>
        <v/>
      </c>
      <c r="PA76" s="43" t="str">
        <f t="shared" si="361"/>
        <v/>
      </c>
      <c r="PB76" s="43" t="str">
        <f t="shared" si="362"/>
        <v/>
      </c>
      <c r="PC76" s="43" t="str">
        <f t="shared" si="363"/>
        <v/>
      </c>
      <c r="PD76" s="43" t="str">
        <f t="shared" si="364"/>
        <v/>
      </c>
      <c r="PE76" s="43" t="str">
        <f t="shared" si="365"/>
        <v/>
      </c>
      <c r="PF76" s="43" t="str">
        <f t="shared" si="366"/>
        <v/>
      </c>
      <c r="PG76" s="43" t="str">
        <f t="shared" si="367"/>
        <v/>
      </c>
      <c r="PH76" s="43" t="str">
        <f t="shared" si="368"/>
        <v/>
      </c>
      <c r="PI76" s="43">
        <f t="shared" si="369"/>
        <v>37</v>
      </c>
      <c r="PJ76" s="43" t="str">
        <f t="shared" si="370"/>
        <v/>
      </c>
      <c r="PK76" s="43" t="str">
        <f t="shared" si="371"/>
        <v/>
      </c>
      <c r="PL76" s="43" t="str">
        <f t="shared" si="372"/>
        <v/>
      </c>
      <c r="PM76" s="43" t="str">
        <f t="shared" si="373"/>
        <v/>
      </c>
      <c r="PN76" s="43" t="str">
        <f t="shared" si="374"/>
        <v/>
      </c>
      <c r="PO76" s="43" t="str">
        <f t="shared" si="375"/>
        <v/>
      </c>
      <c r="PP76" s="43" t="str">
        <f t="shared" si="376"/>
        <v/>
      </c>
      <c r="PQ76" s="43" t="str">
        <f t="shared" si="377"/>
        <v/>
      </c>
      <c r="PR76" s="43" t="str">
        <f t="shared" si="378"/>
        <v/>
      </c>
      <c r="PS76" s="43" t="str">
        <f t="shared" si="379"/>
        <v/>
      </c>
      <c r="PT76" s="43" t="str">
        <f t="shared" si="380"/>
        <v/>
      </c>
      <c r="PU76" s="43" t="str">
        <f t="shared" si="381"/>
        <v/>
      </c>
      <c r="PV76" s="43" t="str">
        <f t="shared" si="382"/>
        <v/>
      </c>
      <c r="PW76" s="43" t="str">
        <f t="shared" si="383"/>
        <v/>
      </c>
      <c r="PX76" s="43" t="str">
        <f t="shared" si="384"/>
        <v/>
      </c>
      <c r="PY76" s="43" t="str">
        <f t="shared" si="385"/>
        <v/>
      </c>
      <c r="PZ76" s="43" t="str">
        <f t="shared" si="386"/>
        <v/>
      </c>
      <c r="QA76" s="43" t="str">
        <f t="shared" si="387"/>
        <v/>
      </c>
      <c r="QB76" s="43" t="str">
        <f t="shared" si="388"/>
        <v/>
      </c>
      <c r="QC76" s="43" t="str">
        <f t="shared" si="389"/>
        <v/>
      </c>
      <c r="QD76" s="43" t="str">
        <f t="shared" si="390"/>
        <v/>
      </c>
      <c r="QE76" s="43" t="str">
        <f t="shared" si="391"/>
        <v/>
      </c>
      <c r="QF76" s="43" t="str">
        <f t="shared" si="392"/>
        <v/>
      </c>
      <c r="QG76" s="43" t="str">
        <f t="shared" si="393"/>
        <v/>
      </c>
      <c r="QH76" s="43" t="str">
        <f t="shared" si="394"/>
        <v/>
      </c>
      <c r="QI76" s="43" t="str">
        <f t="shared" si="395"/>
        <v/>
      </c>
      <c r="QJ76" s="43" t="str">
        <f t="shared" si="396"/>
        <v/>
      </c>
      <c r="QK76" s="43" t="str">
        <f t="shared" si="397"/>
        <v/>
      </c>
      <c r="QL76" s="43" t="str">
        <f t="shared" si="398"/>
        <v/>
      </c>
      <c r="QM76" s="43" t="str">
        <f t="shared" si="399"/>
        <v/>
      </c>
      <c r="QN76" s="43" t="str">
        <f t="shared" si="400"/>
        <v/>
      </c>
      <c r="QO76" s="43" t="str">
        <f t="shared" si="401"/>
        <v/>
      </c>
      <c r="QP76" s="43" t="str">
        <f t="shared" si="402"/>
        <v/>
      </c>
      <c r="QQ76" s="43" t="str">
        <f t="shared" si="403"/>
        <v/>
      </c>
      <c r="QR76" s="43">
        <f t="shared" si="433"/>
        <v>37</v>
      </c>
      <c r="QS76" s="43"/>
      <c r="QT76" s="21" t="str">
        <f t="shared" si="404"/>
        <v/>
      </c>
      <c r="QU76" s="21" t="str">
        <f t="shared" si="405"/>
        <v/>
      </c>
      <c r="QV76" s="21" t="str">
        <f t="shared" si="406"/>
        <v/>
      </c>
      <c r="QW76" s="21" t="str">
        <f t="shared" si="407"/>
        <v/>
      </c>
      <c r="QX76" s="21" t="str">
        <f t="shared" si="408"/>
        <v/>
      </c>
      <c r="QY76" s="21" t="str">
        <f t="shared" si="409"/>
        <v/>
      </c>
      <c r="QZ76" s="21" t="str">
        <f t="shared" si="410"/>
        <v/>
      </c>
      <c r="RA76" s="21" t="str">
        <f t="shared" si="411"/>
        <v/>
      </c>
      <c r="RB76" s="21" t="str">
        <f t="shared" si="412"/>
        <v/>
      </c>
      <c r="RC76" s="21" t="str">
        <f t="shared" si="413"/>
        <v/>
      </c>
      <c r="RD76" s="21" t="str">
        <f t="shared" si="414"/>
        <v/>
      </c>
      <c r="RE76" s="21" t="str">
        <f t="shared" si="415"/>
        <v/>
      </c>
      <c r="RF76" s="21" t="str">
        <f t="shared" si="416"/>
        <v/>
      </c>
      <c r="RG76" s="21" t="str">
        <f t="shared" si="417"/>
        <v/>
      </c>
      <c r="RH76" s="21" t="str">
        <f t="shared" si="418"/>
        <v/>
      </c>
      <c r="RI76" s="21" t="str">
        <f t="shared" si="419"/>
        <v/>
      </c>
      <c r="RJ76" s="21" t="str">
        <f t="shared" si="420"/>
        <v/>
      </c>
      <c r="RK76" s="21" t="str">
        <f t="shared" si="421"/>
        <v/>
      </c>
      <c r="RL76" s="21" t="str">
        <f t="shared" si="422"/>
        <v/>
      </c>
      <c r="RM76" s="21" t="str">
        <f t="shared" si="423"/>
        <v/>
      </c>
      <c r="RN76" s="21" t="str">
        <f t="shared" si="424"/>
        <v/>
      </c>
      <c r="RO76" s="21" t="str">
        <f t="shared" si="425"/>
        <v/>
      </c>
      <c r="RP76" s="21" t="str">
        <f t="shared" si="426"/>
        <v/>
      </c>
      <c r="RQ76" s="21" t="str">
        <f t="shared" si="427"/>
        <v/>
      </c>
      <c r="RR76" s="21" t="str">
        <f t="shared" si="428"/>
        <v/>
      </c>
      <c r="RS76" s="21" t="str">
        <f t="shared" si="429"/>
        <v/>
      </c>
      <c r="RT76" s="21" t="str">
        <f t="shared" si="430"/>
        <v/>
      </c>
      <c r="RU76" s="21" t="str">
        <f t="shared" si="431"/>
        <v/>
      </c>
      <c r="RV76" s="21">
        <f t="shared" si="432"/>
        <v>27.142857142857142</v>
      </c>
      <c r="RW76" s="284">
        <f>IF(OR(Tabla1[[#This Row],[FUM FORMULA CONFIABLE]]="",Tabla1[[#This Row],[FUM FORMULA CONFIABLE]]="SD"),"",IF(Tabla1[[#This Row],[FUM FORMULA CONFIABLE]]="CORREGIDA",Tabla1[[#This Row],[FUM X ECO 1]],Tabla1[[#This Row],[FUM x AMENORREA]]))</f>
        <v>44732</v>
      </c>
      <c r="RX76" s="21">
        <f>IF(AND(Tabla1[[#This Row],[FUM X ECO 1]]="",Tabla1[[#This Row],[FUM x AMENORREA]]=""),"",IF(AND(Tabla1[[#This Row],[FUM X ECO 1]]="",Tabla1[[#This Row],[FUM x AMENORREA]]&lt;&gt;""),"X",SUM(Tabla1[[#This Row],[FUM X ECO 1]]-Tabla1[[#This Row],[FUM x AMENORREA]])))</f>
        <v>30.599999999998545</v>
      </c>
      <c r="RY76" s="21">
        <f t="shared" si="434"/>
        <v>1</v>
      </c>
    </row>
    <row r="77" spans="1:493" ht="45" customHeight="1" x14ac:dyDescent="0.25">
      <c r="A77" s="109"/>
      <c r="B77" s="43"/>
      <c r="C77" s="43" t="s">
        <v>845</v>
      </c>
      <c r="D77" s="124" t="s">
        <v>846</v>
      </c>
      <c r="E77" s="43" t="s">
        <v>1144</v>
      </c>
      <c r="F77" s="43" t="s">
        <v>953</v>
      </c>
      <c r="G77" s="43" t="s">
        <v>1232</v>
      </c>
      <c r="H77" s="43"/>
      <c r="I77" s="109" t="s">
        <v>851</v>
      </c>
      <c r="J77" s="110">
        <v>1059594268</v>
      </c>
      <c r="K77" s="43" t="s">
        <v>852</v>
      </c>
      <c r="L77" s="175" t="s">
        <v>853</v>
      </c>
      <c r="M77" s="22">
        <v>36323</v>
      </c>
      <c r="N77" s="213">
        <f t="shared" ca="1" si="252"/>
        <v>24.408219178082192</v>
      </c>
      <c r="O77" s="22">
        <v>44930</v>
      </c>
      <c r="P77" s="214" t="e">
        <f>IF(AND(O77="",R77&gt;0),"ACUDE ESPONTANEAMENTE",IF(AND(AND(O77&gt;0,R77=""),OR(#REF!&gt;0,IK77&lt;&gt;"")),"NA",IF(AND(O77&gt;0,#REF!="",R77=""),"NO",IF(AND(O77&gt;0,R77&gt;0),"SI",""))))</f>
        <v>#REF!</v>
      </c>
      <c r="Q77" s="26" t="s">
        <v>855</v>
      </c>
      <c r="R77" s="22">
        <v>44930</v>
      </c>
      <c r="S77" s="21" t="s">
        <v>856</v>
      </c>
      <c r="T77" s="24" t="s">
        <v>690</v>
      </c>
      <c r="U77" s="21" t="s">
        <v>857</v>
      </c>
      <c r="V77" s="21" t="s">
        <v>858</v>
      </c>
      <c r="W77" s="21" t="s">
        <v>1233</v>
      </c>
      <c r="X77" s="21" t="s">
        <v>859</v>
      </c>
      <c r="Y77" s="21" t="s">
        <v>859</v>
      </c>
      <c r="Z77" s="21">
        <v>3137076197</v>
      </c>
      <c r="AA77" s="21" t="s">
        <v>860</v>
      </c>
      <c r="AB77" s="27" t="s">
        <v>861</v>
      </c>
      <c r="AC77" s="26" t="s">
        <v>862</v>
      </c>
      <c r="AD77" s="38" t="s">
        <v>846</v>
      </c>
      <c r="AE77" s="26" t="s">
        <v>854</v>
      </c>
      <c r="AF77" s="26" t="s">
        <v>854</v>
      </c>
      <c r="AG77" s="23" t="s">
        <v>864</v>
      </c>
      <c r="AH77" s="23" t="s">
        <v>864</v>
      </c>
      <c r="AI77" s="24" t="s">
        <v>863</v>
      </c>
      <c r="AJ77" s="23" t="s">
        <v>864</v>
      </c>
      <c r="AK77" s="220" t="str">
        <f>IF(AND(AD77="",AE77="",AF77="",AG77="",AH77="",AI77="",AJ77=""),"",IF(OR(Tabla1[[#This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EVALUACIÓN",IF(AND(O77="",R77=""),"",IF(AND(OR(O77&gt;0,R77&gt;0),NG77&gt;=0,NG77&lt;2),"SIN RIESGO",IF(AND(OR(O77&gt;0,R77&gt;0),NG77&gt;=2),"CON RIESGO","ASD")))))</f>
        <v>SIN RIESGO</v>
      </c>
      <c r="AL77" s="23" t="s">
        <v>864</v>
      </c>
      <c r="AM77" s="26" t="s">
        <v>864</v>
      </c>
      <c r="AN77" s="26" t="s">
        <v>864</v>
      </c>
      <c r="AO77" s="26" t="s">
        <v>864</v>
      </c>
      <c r="AP77" s="26" t="s">
        <v>864</v>
      </c>
      <c r="AQ77" s="26" t="s">
        <v>864</v>
      </c>
      <c r="AR77" s="26" t="s">
        <v>864</v>
      </c>
      <c r="AS77" s="21">
        <v>2</v>
      </c>
      <c r="AT77" s="21">
        <v>2</v>
      </c>
      <c r="AU77" s="21">
        <v>0</v>
      </c>
      <c r="AV77" s="26" t="s">
        <v>864</v>
      </c>
      <c r="AW77" s="21">
        <v>0</v>
      </c>
      <c r="AX77" s="26" t="s">
        <v>864</v>
      </c>
      <c r="AY77" s="26" t="s">
        <v>864</v>
      </c>
      <c r="AZ77" s="26" t="s">
        <v>864</v>
      </c>
      <c r="BA77" s="26" t="s">
        <v>864</v>
      </c>
      <c r="BB77" s="26" t="s">
        <v>864</v>
      </c>
      <c r="BC77" s="26" t="s">
        <v>864</v>
      </c>
      <c r="BD77" s="26" t="s">
        <v>864</v>
      </c>
      <c r="BE77" s="26" t="s">
        <v>864</v>
      </c>
      <c r="BF77" s="26" t="s">
        <v>864</v>
      </c>
      <c r="BG77" s="26" t="s">
        <v>864</v>
      </c>
      <c r="BH77" s="26" t="s">
        <v>864</v>
      </c>
      <c r="BI77" s="26" t="s">
        <v>864</v>
      </c>
      <c r="BJ77" s="26"/>
      <c r="BK77" s="26"/>
      <c r="BL77" s="26" t="s">
        <v>864</v>
      </c>
      <c r="BM77" s="26" t="s">
        <v>864</v>
      </c>
      <c r="BN77" s="22">
        <v>44117</v>
      </c>
      <c r="BO77" s="22">
        <v>44738</v>
      </c>
      <c r="BP77" s="21" t="s">
        <v>854</v>
      </c>
      <c r="BQ77" s="222">
        <f t="shared" si="254"/>
        <v>20.7</v>
      </c>
      <c r="BR77" s="223">
        <f t="shared" si="255"/>
        <v>44739.3</v>
      </c>
      <c r="BS77" s="224">
        <f t="shared" si="256"/>
        <v>27.428571428571427</v>
      </c>
      <c r="BT77" s="216" t="str">
        <f t="shared" si="257"/>
        <v>III TRIM</v>
      </c>
      <c r="BU77" s="214" t="str">
        <f t="shared" ca="1" si="258"/>
        <v/>
      </c>
      <c r="BV77" s="25"/>
      <c r="BW77" s="22">
        <v>44957</v>
      </c>
      <c r="BX77" s="28">
        <v>31.1</v>
      </c>
      <c r="BY77" s="28"/>
      <c r="BZ77" s="22">
        <v>34.5</v>
      </c>
      <c r="CA77" s="21"/>
      <c r="CB77" s="26"/>
      <c r="CC77" s="26"/>
      <c r="CD77" s="26" t="s">
        <v>878</v>
      </c>
      <c r="CE77" s="26"/>
      <c r="CF77" s="22" t="s">
        <v>1517</v>
      </c>
      <c r="CG77" s="21">
        <v>1.48</v>
      </c>
      <c r="CH77" s="21"/>
      <c r="CI77" s="214" t="str">
        <f t="shared" si="259"/>
        <v>X</v>
      </c>
      <c r="CJ77" s="225" t="str">
        <f>IF(AND(CI77&lt;10,CH77="SD"),"SIN DATO PESO PREGESTACION O I TRIM",IF(AND(OR(R77&gt;0,O77&gt;0),CI77="X"),"INGRESAR DATO DE PESO",IF(CI77="SD","INGRESAR DATO DE TALLA Y PESO",IF(AND(OR(Tabla1[[#This Row],[MOMENTO EN QUE SE REALIZA EL PESO AL INGRESO A CPN]]="PREGESTACIÓN",NZ77="Menor"),CI77&lt;18.5),"BAJO PESO",IF(AND(OR(Tabla1[[#This Row],[MOMENTO EN QUE SE REALIZA EL PESO AL INGRESO A CPN]]="PREGESTACIÓN",NZ77="Menor"),CI77&lt;25),"NORMAL",IF(AND(OR(Tabla1[[#This Row],[MOMENTO EN QUE SE REALIZA EL PESO AL INGRESO A CPN]]="PREGESTACIÓN",NZ77="Menor"),CI77&lt;30),"SOBREPESO",IF(AND(OR(Tabla1[[#This Row],[MOMENTO EN QUE SE REALIZA EL PESO AL INGRESO A CPN]]="PREGESTACIÓN",NZ77="Menor"),CI77&gt;=30,CI77&lt;50),"OBESIDAD",IF(AND(BS77&gt;0,Tabla1[[#This Row],[MOMENTO EN QUE SE REALIZA EL PESO AL INGRESO A CPN]]="GESTACIÓN"),HLOOKUP(NZ77,$OA$2:PH77,NY77),""))))))))</f>
        <v>INGRESAR DATO DE PESO</v>
      </c>
      <c r="CK77" s="212">
        <f t="shared" si="260"/>
        <v>45016</v>
      </c>
      <c r="CL77" s="21"/>
      <c r="CM77" s="214">
        <f t="shared" si="261"/>
        <v>0</v>
      </c>
      <c r="CN77" s="216">
        <f t="shared" si="262"/>
        <v>39</v>
      </c>
      <c r="CO77" s="216" t="e">
        <f>IF(PI77="","",IF(PI77&gt;0,HLOOKUP(PI77,$PJ$2:QQ77,NY77),""))</f>
        <v>#REF!</v>
      </c>
      <c r="CP77" s="21"/>
      <c r="CQ77" s="216" t="e">
        <f>IF(QR77="Menor","NO APLICA-MENOR 13 SEM",IF(AND(CC77="SI",CN77&gt;23),"NO APLICA- GEMELAR",IF(QR77="","",IF(QR77&gt;0,HLOOKUP(QR77,$QS$2:RU77,NY77),""))))</f>
        <v>#REF!</v>
      </c>
      <c r="CR77" s="21"/>
      <c r="CS77" s="21"/>
      <c r="CT77" s="217" t="str">
        <f>IF(R77="","",IF(AND(BS77&gt;1,BS77&lt;12,Tabla1[[#This Row],[T.A. SISTOLICA - ANTES DE SEMANA 12]]="",Tabla1[[#This Row],[T.A. DIASTOLICA - ANTES DE SEMANA 12]]=""),"REGISTRE DATO TA ANTES SEMANA 12",IF(AND(BS77&gt;11,BS77&lt;43,Tabla1[[#This Row],[T.A. SISTOLICA - ANTES DE SEMANA 12]]="",Tabla1[[#This Row],[T.A. DIASTOLICA - ANTES DE SEMANA 12]]=""),"NO APLICA REGISTRO TA-INGRESO TARDIO",IF(AND(OR(O77&gt;0,R77&gt;0),OR(CR77&gt;=140,CS77&gt;=90)),"DEFINIR ESTADIO HTA",IF(AND(OR(O77&gt;0,R77&gt;0),AND(CR77&gt;120,CR77&lt;=139)),"PRE HTA SEGUIMIENTO",IF(AND(OR(O77&gt;0,R77&gt;0),AND(CS77&gt;80,CS77&lt;=89)),"PRE HTA SEGUIMIENTO",IF(AND(OR(O77&gt;0,R77&gt;0),AND(CR77&gt;=80,CR77&lt;=120)),"APARENTEMENTE NORMAL",IF(AND(OR(O77&gt;0,R77&gt;0),AND(CS77&gt;=50,CS77&lt;=80)),"APARENTEMENTE NORMAL",IF(AND(OR(O77&gt;0,R77&gt;0),AND(CR77&gt;1,CR77&lt;=70),AND(CS77&gt;1,CS77&lt;=40)),"HIPOTENSIÓN","")))))))))</f>
        <v>NO APLICA REGISTRO TA-INGRESO TARDIO</v>
      </c>
      <c r="CU77" s="21">
        <v>90</v>
      </c>
      <c r="CV77" s="21">
        <v>60</v>
      </c>
      <c r="CW77" s="217" t="str">
        <f ca="1">IF(R77="","",IF(AND(CN77&gt;19,CN77&lt;27,Tabla1[[#This Row],[T.A. SISTOLICA (Entre semana 20 y 26)]]="",Tabla1[[#This Row],[T.A. DIATOLICA (Entre semana 20 y 26)]]=""),"ACUDE A CONTROL SEM 20 A 26 REGISTRE TA AHORA",IF(AND(BS77&gt;1,BS77&lt;27,BU77&gt;19,Tabla1[[#This Row],[T.A. SISTOLICA (Entre semana 20 y 26)]]="",Tabla1[[#This Row],[T.A. DIATOLICA (Entre semana 20 y 26)]]=""),"COMPLETE REGISTRO TA CONTROL SEM 20 A26 ",IF(AND(BS77&gt;26,BS77&lt;43,Tabla1[[#This Row],[T.A. SISTOLICA (Entre semana 20 y 26)]]="",Tabla1[[#This Row],[T.A. DIATOLICA (Entre semana 20 y 26)]]=""),"NO APLICA REGISTRO TA-INGRESO TARDIO",IF(AND(OR(O77&gt;0,R77&gt;0),OR(CU77&gt;=140,CV77&gt;=90)),"ALTO RIESGO PREECLAMPSIA,DEFINIR ESTADIO HTA",IF(AND(OR(O77&gt;0,R77&gt;0),AND(CU77&gt;120,CU77&lt;=139)),"PRE HTA SEGUIMIENTO,RIESGO HIPERTENSION INDUCIDA POR EL EMBARAZO",IF(AND(OR(O77&gt;0,R77&gt;0),AND(CV77&gt;80,CV77&lt;=89)),"PRE HTA SEGUIMIENTO, RIESGO HIPERTENSION INDUCIDA POR EL EMBARAZO",IF(AND(OR(O77&lt;&gt;"",R77&lt;&gt;""),CS77&lt;&gt;"",CV77&lt;&gt;"",CS77&lt;=CV77),"VIGILAR CIFRAS PRESION ARTERIAL",IF(AND(OR(O77&gt;0,R77&gt;0),AND(CU77&gt;120,CU77&lt;=139)),"PRE HTA SEGUIMIENTO",IF(AND(OR(O77&gt;0,R77&gt;0),AND(CU77&gt;1,CU77&lt;=70),AND(CV77&gt;1,CV77&lt;=40)),"HIPOTENSIÓN",IF(AND(OR(O77&lt;&gt;"",R77&lt;&gt;""),CS77&lt;&gt;"",CV77&lt;&gt;"",CS77&gt;CV77),"APARENTEMENTE NORMAL",IF(AND(OR(O77&gt;0,R77&gt;0),AND(CU77&gt;=80,CU77&lt;=120)),"APARENTEMENTE NORMAL",IF(AND(OR(O77&gt;0,R77&gt;0),AND(CV77&gt;=50,CV77&lt;=80)),"APARENTEMENTE NORMAL","")))))))))))))</f>
        <v>APARENTEMENTE NORMAL</v>
      </c>
      <c r="CX77" s="21"/>
      <c r="CY77" s="21"/>
      <c r="CZ77" s="216" t="str">
        <f t="shared" si="263"/>
        <v/>
      </c>
      <c r="DA77" s="21"/>
      <c r="DB77" s="21"/>
      <c r="DC77" s="217" t="str">
        <f t="shared" si="264"/>
        <v>REGISTRE DATO PRESIÓN ARTERIAL MENSUAL</v>
      </c>
      <c r="DD77" s="22">
        <v>44930</v>
      </c>
      <c r="DE77" s="22">
        <v>44930</v>
      </c>
      <c r="DF77" s="22">
        <v>44958</v>
      </c>
      <c r="DG77" s="22">
        <v>45016</v>
      </c>
      <c r="DH77" s="22"/>
      <c r="DI77" s="22"/>
      <c r="DJ77" s="22"/>
      <c r="DK77" s="22"/>
      <c r="DL77" s="22"/>
      <c r="DM77" s="22"/>
      <c r="DN77" s="22"/>
      <c r="DO77" s="22"/>
      <c r="DP77" s="22"/>
      <c r="DQ77" s="22"/>
      <c r="DR77" s="28">
        <v>1</v>
      </c>
      <c r="DS77" s="22"/>
      <c r="DT77" s="22"/>
      <c r="DU77" s="216" t="e">
        <f ca="1">IF(AND(BT77="ERROR FUM O INGRESO",DS77&gt;0),"ERROR FUM O INGRESO",IF(AND(DS77="",R77="",O77=""),"",IF(OR(AND(DS77&lt;&gt;"",DS77&lt;RW77),AND(DS77&lt;&gt;"",AND(SUM((DS77-RW77)/7)&gt;0,SUM((DS77-RW77)/7)&lt;28))),"PLAN REALIZADO ANTES III TRIM", IF(AND(DS77="",OR(O77&gt;0,R77&gt;0),AND(BU77&gt;=28, BU77&lt;35,DV77="ACTIVA INGRESO A CPN")),"PLANEAR PLAN DE PARTO", IF(AND(DS77="",OR(O77&gt;0,R77&gt;0),BU77&gt;=35,DV77="ACTIVA INGRESO A CPN"),"CONCERTAR PLAN DE PARTO INMEDIATO", IF(AND(DS77="",OR(O77&gt;0,R77&gt;0),AND(BU77&gt;0, BU77&lt;28),OR(DV77="ACTIVA INGRESO A CPN", DV77=" ACTIVA SIN INGRESO CPN")),"EN ESPERA", IF(AND(DS77="",OR(O77&gt;0,R77&gt;0),AND(#REF!&gt;0,#REF!&lt; 28)),"NO APLICA SALE PROGRAMA ANTES III TRIM", IF(AND(DS77="",OR(O77&gt;0,R77&gt;0),AND(#REF!&gt;=28,#REF!&lt; 35)),"SALE PROGRAMA ANTES SEMANA 35", IF(AND(DS77="",OR(O77&gt;0,R77&gt;0),#REF!&gt;35),"SALE SIN PLAN DE PARTO",IF(DS77&gt;0,SUM(DS77-BO77)/7,""))))))))))</f>
        <v>#REF!</v>
      </c>
      <c r="DV77" s="226" t="e">
        <f>IF(AND(R77&lt;&gt;"",IK77="CAMBIO DE RESIDENCIA",IK77="CAMBIO DE IPS",IK77="CAMBIO DE EPS"),"SEGUIMIENTO REPORTE EPS",IF(IK77="IVE","IVE",IF(AND(R77&lt;&gt;"",OR(IK77&lt;&gt;"",#REF!&lt;&gt;"")),"SALIO PROGRAMA",IF(AND(AND(R77="",O77&gt;0),OR(IK77&lt;&gt;"",#REF!&lt;&gt;"")),"SALE SIN INGRESO CPN",IF(AND(R77="",O77&gt;0,IK77="",#REF!=""),"ACTIVA SIN INGRESO CPN",IF(AND(R77&lt;&gt;"",OR(IK77="",#REF!="")),"ACTIVA INGRESO A CPN",""))))))</f>
        <v>#REF!</v>
      </c>
      <c r="DW7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77" s="216" t="e">
        <f t="shared" ca="1" si="266"/>
        <v>#REF!</v>
      </c>
      <c r="DY77" s="212">
        <f>IF(R77="","",IF(R77&gt;0,MAX(Tabla1[[#This Row],[FECHA C2]:[FECHA C13]],Tabla1[[#This Row],[FECHA CONSULTA PRIMERA VEZ PROGRAMA CPN ]])))</f>
        <v>45016</v>
      </c>
      <c r="DZ77" s="216">
        <f t="shared" si="267"/>
        <v>39</v>
      </c>
      <c r="EA77" s="222">
        <f>IF(R77&gt;0,SUM(COUNTA(DF77:DQ77)+COUNTA(Tabla1[[#This Row],[FECHA CONSULTA PRIMERA VEZ PROGRAMA CPN ]])),"")</f>
        <v>3</v>
      </c>
      <c r="EB77" s="222" t="str">
        <f t="shared" si="268"/>
        <v>NO</v>
      </c>
      <c r="EC77" s="214">
        <f t="shared" si="269"/>
        <v>5</v>
      </c>
      <c r="ED77" s="227">
        <f t="shared" si="270"/>
        <v>0.6</v>
      </c>
      <c r="EE77" s="22">
        <v>44930</v>
      </c>
      <c r="EF77" s="22">
        <v>44930</v>
      </c>
      <c r="EG77" s="22">
        <v>44930</v>
      </c>
      <c r="EH77" s="22"/>
      <c r="EI77" s="22">
        <v>44930</v>
      </c>
      <c r="EJ77" s="22">
        <v>44927</v>
      </c>
      <c r="EK77" s="22">
        <v>44927</v>
      </c>
      <c r="EL77" s="21">
        <v>1</v>
      </c>
      <c r="EM77" s="21">
        <v>10.7</v>
      </c>
      <c r="EN77" s="22">
        <v>44931</v>
      </c>
      <c r="EO77" s="222">
        <f t="shared" si="271"/>
        <v>27.571428571428573</v>
      </c>
      <c r="EP77" s="214" t="str">
        <f t="shared" si="272"/>
        <v>MANEJO MD POR ANEMIA FERROPENICA</v>
      </c>
      <c r="EQ77" s="216" t="str">
        <f t="shared" si="273"/>
        <v>II TRIM</v>
      </c>
      <c r="ER77" s="24"/>
      <c r="ES77" s="22"/>
      <c r="ET77" s="29" t="e">
        <f ca="1">IF(AND(BT77="ERROR FUM O INGRESO",ES77&gt;0),"ERROR FUM O INGRESO",IF(AND(ES77="",R77="",O77=""),"",IF(OR(AND(ES77&lt;&gt;"",ES77&lt;RW77),AND(ES77&lt;&gt;"",SUM((ES77-RW77)/7)&gt;40)),"CORREGIR FECHA RESULTADO",IF(AND(BU77&gt;1,BU77&lt;23,ER77="",ES77=""),"EN ESPERA PARA TOMA EXAMEN",IF(AND(BU77&gt;22,BU77&lt;26,ER77="",ES77=""),"PROGRAMAR TOMA HEMOGLOBINA A SEM 28",IF(AND(BU77&gt;25,BU77&lt;28,ER77="",ES77=""),"TOMA HEMOGLOBINA A SEM 28 EN 1 SEMANA",IF(AND(BU77&gt;27,BU77&lt;31,ES77="",OR(O77&gt;0,R77&gt;0)),"EN SEMANA 28 TOMA INMEDIATA DE EXAMEN",IF(AND(#REF!&gt;0,#REF!&lt;28,ES77="",OR(O77&gt;0,R77&gt;0)),"NO APLICA-SALE ANTES SEM 28",IF(AND(#REF!&gt;28,#REF!&lt;43,ES77="",OR(O77&gt;0,R77&gt;0)),"SALE SIN TAMIZAJE HEMOGLOBINA SEM 28",IF(AND(BS77&gt;0,ES77="",OR(O77&gt;0,R77&gt;0)),"TOMA DE HEMOGLOBINA TARDÍA",IF(ES77&gt;0,SUM(ES77-RW77)/7,"")))))))))))</f>
        <v>#REF!</v>
      </c>
      <c r="EU77" s="25" t="str">
        <f t="shared" si="275"/>
        <v/>
      </c>
      <c r="EV77" s="24" t="s">
        <v>866</v>
      </c>
      <c r="EW77" s="24">
        <v>44931</v>
      </c>
      <c r="EX77" s="22"/>
      <c r="EY77" s="29">
        <f t="shared" si="248"/>
        <v>27.571428571428573</v>
      </c>
      <c r="EZ77" s="25" t="str">
        <f t="shared" ca="1" si="249"/>
        <v/>
      </c>
      <c r="FA77" s="21">
        <v>63</v>
      </c>
      <c r="FB77" s="22">
        <v>44931</v>
      </c>
      <c r="FC77" s="29" t="str">
        <f t="shared" si="276"/>
        <v>NO APLICA &gt; 23 SEM -TOMAR PTOG</v>
      </c>
      <c r="FD77" s="29">
        <v>70</v>
      </c>
      <c r="FE77" s="29">
        <v>115</v>
      </c>
      <c r="FF77" s="29">
        <v>106</v>
      </c>
      <c r="FG77" s="21" t="str">
        <f t="shared" ca="1" si="277"/>
        <v>NORMAL</v>
      </c>
      <c r="FH77" s="31">
        <v>44958</v>
      </c>
      <c r="FI77" s="29">
        <f t="shared" si="278"/>
        <v>31.428571428571427</v>
      </c>
      <c r="FJ77" s="22"/>
      <c r="FK77" s="22"/>
      <c r="FL77" s="29" t="str">
        <f t="shared" ca="1" si="279"/>
        <v>NO APLICA-INGRESO TARDIO</v>
      </c>
      <c r="FM77" s="22"/>
      <c r="FN77" s="32"/>
      <c r="FO77" s="29" t="e">
        <f ca="1">IF(AND(BT77="ERROR FUM O INGRESO",FN77&gt;0),"ERROR FUM O INGRESO",IF(AND(FN77="",R77="",O77=""),"",IF(AND(FN77&lt;&gt;"",FN77&lt;RW77), "INCOHERENCIA FUM Y FECHA TAMIZAJE",IF(AND(FN77="",DV77="ACTIVA INGRESO A CPN",AND(BU77&gt;0,BU77&lt;13)),"EN ESPERA-ESTÁ I TRIM", IF(AND(FN77="",AND(BS77&gt;0, BS77&lt;13),OR(O77&gt;0,R77&gt;0),AND(#REF!&gt;0,#REF!&lt;13)),"NO APLICA-SALIO DEL PROGRAMA I TRIM",IF(AND(FN77&lt;&gt;"",AND(SUM((FN77-RW77)/7)&gt;0,SUM((FN77-RW77)/7)&lt;13)),"REGISTRAR EN I TRIMESTRE",IF(AND(FN77&lt;&gt;"",AND(SUM((FN77-RW77)/7)&gt;=27,SUM((FN77-RW77)/7)&lt;44)),"REGISTRAR EN III TRIMESTRE",IF(AND(FN77="",OR(O77&gt;0,R77&gt;0),AND(BU77&gt;=13,BU77&lt;24),DV77="ACTIVA INGRESO A CPN"),"EN RANGO PARA TOMAR EXAMEN",IF(AND(FN77="",OR(O77&gt;0,R77&gt;0),AND(BU77&gt;=25,BU77&lt;27),DV77="ACTIVA INGRESO A CPN"),"TOMA INMEDIATA DE TAMIZAJE",IF(AND(FN77="",OR(O77&gt;0,R77&gt;0),AND(BS77&gt;=27,BS77&lt;44)),"NO APLICA-INGRESO TARDIO",IF(AND(FN77="",BS77&lt;27,OR(AND(#REF!&gt;12,#REF!&lt;44),BU77&gt;12)),"PIERDE TOMA DE TAMIZAJE",IF(FN77&gt;0,SUM(FN77-RW77)/7,""))))))))))))</f>
        <v>#REF!</v>
      </c>
      <c r="FP77" s="22" t="s">
        <v>867</v>
      </c>
      <c r="FQ77" s="32">
        <v>44931</v>
      </c>
      <c r="FR77" s="29" t="e">
        <f ca="1">IF(AND(BT77="ERROR FUM O INGRESO",FQ77&gt;0),"ERROR FUM O INGRESO",IF(AND(FQ77="",R77="",O77=""),"",IF(AND(FQ77&lt;&gt;"",FQ77&lt;RW77), "INCOHERENCIA FUM Y FECHA TAMIZAJE",IF(AND(FQ77="",DV77="ACTIVA INGRESO A CPN",AND(BU77&gt;0,BU77&lt;27)),"EN ESPERA-ESTÁ I TRIM O II TRIM", IF(AND(FQ77="",AND(BS77&gt;0, BS77&lt;27),OR(O77&gt;0,R77&gt;0),AND(#REF!&gt;0,#REF!&lt;27)),"NO APLICA-SALIO DEL PROGRAMA I O II TRIM",IF(AND(FQ77&lt;&gt;"",AND(SUM((FQ77-RW77)/7)&gt;0,SUM((FQ77-RW77)/7)&lt;13)),"REGISTAR EN I TRIMESTRE",IF(AND(FQ77&lt;&gt;"",AND(SUM((FQ77-RW77)/7)&gt;=13,SUM((FQ77-RW77)/7)&lt;27)),"REGISTRAR EN II TRIMESTRE",IF(AND(FQ77="",OR(O77&gt;0,R77&gt;0),AND(BU77&gt;=28,BU77&lt;35),DV77="ACTIVA INGRESO A CPN"),"EN RANGO PARA TOMAR EXAMEN",IF(AND(FQ77="",OR(O77&gt;0,R77&gt;0),BU77&gt;=35, DV77="ACTIVA INGRESO A CPN"),"TOMA INMEDIATA DE TAMIZAJE",IF(AND(FQ77="",DV77= "SALE SIN INGRESO CPN"),"NO APLICA-SIN CPN",IF(AND(FQ77="",AND(#REF!&gt;26,#REF!&lt;43)),"PIERDE TOMA DE TAMIZAJE",IF(FQ77&gt;0,SUM(FQ77-RW77)/7,""))))))))))))</f>
        <v>#REF!</v>
      </c>
      <c r="FS77" s="22"/>
      <c r="FT77" s="32"/>
      <c r="FU77" s="29" t="str">
        <f>IF(AND(FJ77="",FM77="",FP77="",FS77=""),"",IF(OR(OR(Tabla1[[#This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77" s="28"/>
      <c r="FW77" s="22"/>
      <c r="FX77" s="29" t="str">
        <f t="shared" si="280"/>
        <v>TOMAR EXAMEN</v>
      </c>
      <c r="FY77" s="22"/>
      <c r="FZ77" s="22"/>
      <c r="GA77" s="29" t="str">
        <f t="shared" ca="1" si="250"/>
        <v>NO APLICA-INGRESO TARDIO</v>
      </c>
      <c r="GB77" s="22"/>
      <c r="GC77" s="22"/>
      <c r="GD77" s="29" t="e">
        <f ca="1">IF(AND(BT77="ERROR FUM O INGRESO",GC77&gt;0),"ERROR FUM O INGRESO",IF(AND(GC77="",R77="",O77=""),"",IF(AND(GC77&lt;&gt;"",GC77&lt;RW77), "INCOHERENCIA FUM Y FECHA TAMIZAJE",IF(AND(GC77="",DV77="ACTIVA INGRESO A CPN",AND(BU77&gt;0,BU77&lt;13)),"EN ESPERA-ESTÁ I TRIM", IF(AND(GC77="",AND(BS77&gt;0, BS77&lt;12),OR(O77&gt;0,R77&gt;0),AND(#REF!&gt;0,#REF!&lt;13)),"NO APLICA-SALIO DEL PROGRAMA I TRIM",IF(AND(GC77&lt;&gt;"",AND(SUM((GC77-RW77)/7)&gt;0,SUM((GC77-RW77)/7)&lt;13)),"REGISTRAR EN I TRIMESTRE",IF(AND(GC77&lt;&gt;"",AND(SUM((GC77-RW77)/7)&gt;=27,SUM((GC77-RW77)/7)&lt;44)),"REGISTRAR EN III TRIMESTRE",IF(AND(GC77="",OR(O77&gt;0,R77&gt;0),AND(BU77&gt;=12,BU77&lt;25),DV77="ACTIVA INGRESO A CPN"),"EN RANGO PARA TOMAR EXAMEN",IF(AND(GC77="",OR(O77&gt;0,R77&gt;0),AND(BU77&gt;=25,BU77&lt;27),DV77="ACTIVA INGRESO A CPN"),"TOMA INMEDIATA DE TAMIZAJE",IF(AND(GC77="",OR(O77&gt;0,R77&gt;0),AND(BS77&gt;=27,BS77&lt;43)),"NO APLICA-INGRESO TARDIO",IF(AND(GC77="",BS77&lt;27),"PIERDE TOMA DE TAMIZAJE",IF(GC77&gt;0,SUM(GC77-RW77)/7,""))))))))))))</f>
        <v>#REF!</v>
      </c>
      <c r="GE77" s="22" t="s">
        <v>868</v>
      </c>
      <c r="GF77" s="22">
        <v>44958</v>
      </c>
      <c r="GG77" s="29" t="e">
        <f ca="1">IF(AND(BT77="ERROR FUM O INGRESO",GF77&gt;0),"ERROR FUM O INGRESO",IF(AND(GF77="",R77="",O77=""),"",IF(AND(GF77&lt;&gt;"",GF77&lt;RW77), "INCOHERENCIA FUM Y FECHA TAMIZAJE",IF(AND(GF77="",DV77="ACTIVA INGRESO A CPN",AND(BU77&gt;0,BU77&lt;27)),"EN ESPERA-ESTÁ I TRIM O II TRIM", IF(AND(GF77="",AND(BS77&gt;0, BS77&lt;28),OR(O77&gt;0,R77&gt;0),AND(#REF!&gt;0,#REF!&lt;28)),"NO APLICA-SALIO DEL PROGRAMA I O II TRIM",IF(AND(GF77&lt;&gt;"",AND(SUM((GF77-RW77)/7)&gt;0,SUM((GF77-RW77)/7)&lt;13)),"REGISTAR EN I TRIMESTRE",IF(AND(GF77&lt;&gt;"",AND(SUM((GF77-RW77)/7)&gt;=13,SUM((GF77-RW77)/7)&lt;27)),"REGISTRAR EN II TRIMESTRE",IF(AND(GF77="",OR(O77&gt;0,R77&gt;0),AND(BU77&gt;=28,BU77&lt;35),DV77="ACTIVA INGRESO A CPN"),"EN RANGO PARA TOMAR EXAMEN",IF(AND(GF77="",OR(O77&gt;0,R77&gt;0),BU77&gt;=35, DV77="ACTIVA INGRESO A CPN"),"TOMA INMEDIATA DE TAMIZAJE",IF(AND(GF77="",DV77= "SALE SIN INGRESO CPN"),"NO APLICA-SIN CPN",IF(AND(GF77="",BS77&lt;44),"PIERDE TOMA DE TAMIZAJE",IF(GF77&gt;0,SUM(GF77-RW77)/7,""))))))))))))</f>
        <v>#REF!</v>
      </c>
      <c r="GH77" s="22"/>
      <c r="GI77" s="29"/>
      <c r="GJ77" s="22"/>
      <c r="GK77" s="22"/>
      <c r="GL77" s="22"/>
      <c r="GM77" s="22"/>
      <c r="GN77" s="28"/>
      <c r="GO77" s="22"/>
      <c r="GP77" s="29" t="str">
        <f t="shared" si="283"/>
        <v>TOMAR EXAMEN</v>
      </c>
      <c r="GQ77" s="28" t="s">
        <v>869</v>
      </c>
      <c r="GR77" s="28" t="s">
        <v>869</v>
      </c>
      <c r="GS77" s="22" t="str">
        <f t="shared" si="284"/>
        <v>CONTROL Igm</v>
      </c>
      <c r="GT77" s="22">
        <v>44931</v>
      </c>
      <c r="GU77" s="29">
        <f t="shared" si="285"/>
        <v>27.571428571428573</v>
      </c>
      <c r="GV77" s="21" t="str">
        <f t="shared" si="286"/>
        <v>II TRIM</v>
      </c>
      <c r="GW77" s="28" t="s">
        <v>869</v>
      </c>
      <c r="GX77" s="30"/>
      <c r="GY77" s="21"/>
      <c r="GZ77" s="21"/>
      <c r="HA77" s="21"/>
      <c r="HB77" s="21"/>
      <c r="HC77" s="21"/>
      <c r="HD77" s="21"/>
      <c r="HE77" s="21"/>
      <c r="HF77" s="22"/>
      <c r="HG77" s="22" t="str">
        <f>IF(OR(O77&gt;0,R77&gt;0),CONCATENATE(IF(Tabla1[[#This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77" s="22" t="e">
        <f t="shared" si="287"/>
        <v>#REF!</v>
      </c>
      <c r="HI77" s="22" t="e">
        <f t="shared" ca="1" si="288"/>
        <v>#REF!</v>
      </c>
      <c r="HJ77" s="21" t="e">
        <f t="shared" ca="1" si="289"/>
        <v>#REF!</v>
      </c>
      <c r="HK77" s="21" t="str">
        <f t="shared" si="290"/>
        <v>SIN ANTECEDENTES DE RIESGO</v>
      </c>
      <c r="HL77" s="24" t="str">
        <f t="shared" si="291"/>
        <v>REGISTRE DATO PRESIÓN ARTERIAL MENSUAL</v>
      </c>
      <c r="HM77" s="21" t="e">
        <f t="shared" ca="1" si="292"/>
        <v>#REF!</v>
      </c>
      <c r="HN77" s="30" t="e">
        <f>IF(AND(R77&lt;&gt;"",IK77="CAMBIO DE RESIDENCIA"),"SEGUIMIENTO REPORTE EPS",IF(AND(R77&lt;&gt;"",OR(IK77&lt;&gt;"",#REF!&lt;&gt;"")),"SALIO PROGRAMA",IF(AND(AND(R77="",O77&gt;0),OR(IK77&lt;&gt;"",#REF!&lt;&gt;"")),"SALE SIN INGRESO CPN",IF(AND(R77="",O77&gt;0,IK77="",#REF!=""),"ACTIVA SIN INGRESO CPN",IF(AND(R77&lt;&gt;"",OR(IK77="",#REF!="")),"ACTIVA INGRESO A CPN","")))))</f>
        <v>#REF!</v>
      </c>
      <c r="HO77" s="21"/>
      <c r="HP77" s="21"/>
      <c r="HQ77" s="21">
        <v>45016</v>
      </c>
      <c r="HR77" s="21" t="str">
        <f>IF(R77="","",IF(Tabla1[[#This Row],[ALARMA FACTORES DE RIESGO COMPLICACIONES HIPERTENSIVAS3]]="SIN ANTECEDENTES DE RIESGO","No Aplica para suministro de ASA",IF(AND(Tabla1[[#This Row],[FECHA INICIO DE SUMINISTRO DE ASA]]&gt;0,RV77&lt;12),"Inicia ASA ANTES de Sem 12",IF(AND(RV77&gt;11,RV77&lt;17,OR(HK77="RIESGO ALTO DE COMPLICACIONES HIPERTENSIVAS VER MANEJO GUIA SUMINISTRO ASA Y CALCIO",HK77="RIESGO MODERADO (2 O MAS CRITERIOS) VER MANEJO GUIA SUMINISTRO ASA Y CALCIO")),"Inicio oportuno de ASA",IF(AND(RV77&gt;12,OR(HK77="RIESGO ALTO DE COMPLICACIONES HIPERTENSIVAS VER MANEJO GUIA SUMINISTRO ASA Y CALCIO",HK77="RIESGO MODERADO (2 O MAS CRITERIOS) VER MANEJO GUIA SUMINISTRO ASA Y CALCIO")),"Inicio no oportuno mayor a 16 semanas",IF(AND(BU77&lt;12,OR(HK77="RIESGO ALTO DE COMPLICACIONES HIPERTENSIVAS VER MANEJO GUIA SUMINISTRO ASA Y CALCIO",HK77="RIESGO MODERADO (2 O MAS CRITERIOS) VER MANEJO GUIA SUMINISTRO ASA Y CALCIO")),"Pendiente Inicio de ASA a la semana 12",IF(AND(BU77&gt;11,BU77&lt;17,OR(HK77="RIESGO ALTO DE COMPLICACIONES HIPERTENSIVAS VER MANEJO GUIA SUMINISTRO ASA Y CALCIO",HK77="RIESGO MODERADO (2 O MAS CRITERIOS) VER MANEJO GUIA SUMINISTRO ASA Y CALCIO")),"Iniciar de inmediato ASA",IF(AND(BU77&gt;16,OR(HK77="RIESGO ALTO DE COMPLICACIONES HIPERTENSIVAS VER MANEJO GUIA SUMINISTRO ASA Y CALCIO",HK77="RIESGO MODERADO (2 O MAS CRITERIOS) VER MANEJO GUIA SUMINISTRO ASA Y CALCIO")),"Pierde Oportunidad, Inicio tardío de ASA","XXXXX"))))))))</f>
        <v>No Aplica para suministro de ASA</v>
      </c>
      <c r="HS77" s="22">
        <v>45016</v>
      </c>
      <c r="HT77" s="22" t="s">
        <v>870</v>
      </c>
      <c r="HU77" s="22"/>
      <c r="HV77" s="22"/>
      <c r="HW77" s="22">
        <v>45016</v>
      </c>
      <c r="HX77" s="22" t="s">
        <v>870</v>
      </c>
      <c r="HY77" s="22">
        <v>44922</v>
      </c>
      <c r="HZ77" s="28">
        <f t="shared" si="293"/>
        <v>26.285714285714285</v>
      </c>
      <c r="IA77" s="26" t="s">
        <v>864</v>
      </c>
      <c r="IB77" s="26"/>
      <c r="IC77" s="111"/>
      <c r="ID77" s="22"/>
      <c r="IE77" s="22" t="str">
        <f t="shared" ca="1" si="294"/>
        <v>SALE SIN VACUNA</v>
      </c>
      <c r="IF77" s="22"/>
      <c r="IG77" s="22">
        <f t="shared" si="295"/>
        <v>45018</v>
      </c>
      <c r="IH77" s="29">
        <f t="shared" ca="1" si="296"/>
        <v>-214</v>
      </c>
      <c r="II77" s="22" t="str">
        <f t="shared" ca="1" si="297"/>
        <v>POSIBLEMENTE NACIO</v>
      </c>
      <c r="IJ77" s="22"/>
      <c r="IK77" s="21" t="s">
        <v>898</v>
      </c>
      <c r="IL77" s="21"/>
      <c r="IM77" s="34"/>
      <c r="IN77" s="349">
        <v>45037</v>
      </c>
      <c r="IO77" s="21" t="s">
        <v>1186</v>
      </c>
      <c r="IP77" s="29">
        <f t="shared" si="436"/>
        <v>42.714285714285715</v>
      </c>
      <c r="IQ77" s="110" t="s">
        <v>1644</v>
      </c>
      <c r="IR77" s="21" t="s">
        <v>1645</v>
      </c>
      <c r="IS77" s="21" t="s">
        <v>1646</v>
      </c>
      <c r="IT77" s="21" t="s">
        <v>1642</v>
      </c>
      <c r="IU77" s="21"/>
      <c r="IV77" s="21"/>
      <c r="IW77" s="21"/>
      <c r="IX77" s="21"/>
      <c r="IY77" s="21"/>
      <c r="IZ77" s="21"/>
      <c r="JA77" s="21"/>
      <c r="JB77" s="30">
        <v>1</v>
      </c>
      <c r="JC77" s="21" t="s">
        <v>1647</v>
      </c>
      <c r="JD77" s="36">
        <v>3390</v>
      </c>
      <c r="JE77" s="21" t="str">
        <f t="shared" si="435"/>
        <v>PESO ADECUADO EDAD GESTACIONAL</v>
      </c>
      <c r="JF77" s="30"/>
      <c r="JG77" s="21"/>
      <c r="JH77" s="21"/>
      <c r="JI77" s="21" t="s">
        <v>854</v>
      </c>
      <c r="JJ77" s="30" t="s">
        <v>866</v>
      </c>
      <c r="JK77" s="22"/>
      <c r="JL77" s="22"/>
      <c r="JM77" s="21"/>
      <c r="JN77" s="36"/>
      <c r="JO77" s="21" t="e">
        <f>IF(AND(JN77&gt;700,JN77&lt;2500,#REF!&gt;36,#REF!&lt;43),"BAJO PESO AL NACER",IF(AND(JN77&gt;700,JN77&lt;2500,#REF!&lt;37),"PREMATURO",IF(AND(JN77&gt;2499,JN77&lt;5000,#REF!&lt;37),"ERROR VERIFICAR DATO EDAD GESTACIONAL VS PESO",IF(AND(JN77&gt;2499,JN77&lt;4000,#REF!&gt;36,#REF!&lt;43),"PESO ADECUADO EDAD GESTACIONAL",IF(AND(JN77&gt;3999,JN77&lt;6000,#REF!&gt;36,#REF!&lt;43),"PESO GRANDE EDAD GESTACIONAL","")))))</f>
        <v>#REF!</v>
      </c>
      <c r="JP77" s="22"/>
      <c r="JQ77" s="21"/>
      <c r="JR77" s="21"/>
      <c r="JS77" s="21"/>
      <c r="JT77" s="30"/>
      <c r="JU77" s="22"/>
      <c r="JV77" s="22"/>
      <c r="JW77" s="33"/>
      <c r="JX77" s="28" t="e">
        <f>IF(AND(JW77&lt;&gt;"",JW77&lt;#REF!),"INCONSISTENCIA FECHA CONTROL",IF(AND(OR(IK77="Parto",IK77="Cesarea"),JW77&gt;0,#REF!&gt;0),SUM(JW77-#REF!),IF(AND(OR(IK77="Parto",IK77="Cesarea"),JW77="",#REF!&gt;0),"INASISTENTE","")))</f>
        <v>#REF!</v>
      </c>
      <c r="JY77" s="33"/>
      <c r="JZ77" s="28" t="e">
        <f>IF(AND(JY77&lt;&gt;"",JY77&lt;#REF!),"INCONSISTENCIA FECHA CONTROL",IF(AND(OR(IK77="Parto",IK77="Cesarea",IK77="Aborto Espontaneo",IK77="Aborto Inducido",IK77="IVE"),JY77&gt;0,#REF!&gt;0),SUM(JY77-#REF!),IF(AND(JY77&lt;&gt;"",JY77&lt;#REF!),"INCONSISTENCIA FECHA CONTROL",IF(AND(OR(IK77="Parto",IK77="Cesarea",IK77="Aborto Espontaneo",IK77="Aborto Inducido",IK77="IVE"),JY77="",#REF!&gt;0),"INASISTENTE",""))))</f>
        <v>#REF!</v>
      </c>
      <c r="KA77" s="21"/>
      <c r="KB77" s="21"/>
      <c r="KC77" s="21"/>
      <c r="KD77" s="37"/>
      <c r="KE77" s="28"/>
      <c r="KF77" s="28"/>
      <c r="KG77" s="28"/>
      <c r="KH77" s="39"/>
      <c r="KI77" s="39"/>
      <c r="KJ77" s="66"/>
      <c r="KK77" s="39"/>
      <c r="KL77" s="39"/>
      <c r="KM77" s="66"/>
      <c r="KN77" s="39"/>
      <c r="KO77" s="39"/>
      <c r="KP77" s="39"/>
      <c r="KQ77" s="39"/>
      <c r="KR77" s="39"/>
      <c r="KS77" s="39"/>
      <c r="KT77" s="39"/>
      <c r="KU77" s="38"/>
      <c r="KV77" s="38"/>
      <c r="KW77" s="38"/>
      <c r="KX77" s="38"/>
      <c r="KY77" s="38"/>
      <c r="KZ77" s="38"/>
      <c r="LA77" s="38"/>
      <c r="LB77" s="38"/>
      <c r="LC77" s="38"/>
      <c r="LD77" s="38"/>
      <c r="LE77" s="38"/>
      <c r="LF77" s="38"/>
      <c r="LG77" s="38"/>
      <c r="LH77" s="38"/>
      <c r="LI77" s="38"/>
      <c r="LJ77" s="38"/>
      <c r="LK77" s="38"/>
      <c r="LL77" s="38"/>
      <c r="LM77" s="38"/>
      <c r="LN77" s="38"/>
      <c r="LO77" s="38"/>
      <c r="LP77" s="38"/>
      <c r="LQ77" s="38"/>
      <c r="LR77" s="38"/>
      <c r="LS77" s="38"/>
      <c r="LT77" s="38"/>
      <c r="LU77" s="38"/>
      <c r="LV77" s="38"/>
      <c r="LW77" s="38"/>
      <c r="LX77" s="38"/>
      <c r="LY77" s="38"/>
      <c r="LZ77" s="38"/>
      <c r="MA77" s="38"/>
      <c r="MB77" s="38"/>
      <c r="MC77" s="38"/>
      <c r="MD77" s="38"/>
      <c r="ME77" s="38"/>
      <c r="MF77" s="38"/>
      <c r="MG77" s="38"/>
      <c r="MH77" s="43">
        <f t="shared" si="303"/>
        <v>0</v>
      </c>
      <c r="MI77" s="43" t="str">
        <f t="shared" si="304"/>
        <v/>
      </c>
      <c r="MJ77" s="43" t="str">
        <f t="shared" si="305"/>
        <v/>
      </c>
      <c r="MK77" s="43">
        <f t="shared" si="306"/>
        <v>0</v>
      </c>
      <c r="ML7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77" s="43">
        <f t="shared" si="307"/>
        <v>27.428571428571427</v>
      </c>
      <c r="MN77" s="43">
        <f t="shared" si="308"/>
        <v>1</v>
      </c>
      <c r="MO77" s="43">
        <f t="shared" si="309"/>
        <v>2023</v>
      </c>
      <c r="MP77" s="43" t="str">
        <f t="shared" si="310"/>
        <v>I TRIMESTRE AÑO</v>
      </c>
      <c r="MQ77" s="43">
        <f t="shared" si="311"/>
        <v>23.220543144984671</v>
      </c>
      <c r="MR77" s="43">
        <f t="shared" si="312"/>
        <v>0</v>
      </c>
      <c r="MS77" s="43" t="str">
        <f t="shared" si="313"/>
        <v xml:space="preserve"> DE 20 A 24 AÑOS</v>
      </c>
      <c r="MT77" s="43">
        <f t="shared" si="314"/>
        <v>0</v>
      </c>
      <c r="MU77" s="43">
        <f t="shared" si="315"/>
        <v>0</v>
      </c>
      <c r="MV77" s="43">
        <f t="shared" si="316"/>
        <v>0</v>
      </c>
      <c r="MW77" s="43">
        <f t="shared" si="317"/>
        <v>0</v>
      </c>
      <c r="MX77" s="43">
        <f t="shared" si="318"/>
        <v>1</v>
      </c>
      <c r="MY77" s="43" t="e">
        <f ca="1">IF(AND(AND(BU77&gt;40.9,BU77&lt;43),#REF!=""),1,"")</f>
        <v>#REF!</v>
      </c>
      <c r="MZ77" s="43" t="str">
        <f t="shared" si="319"/>
        <v/>
      </c>
      <c r="NA77" s="43">
        <f t="shared" si="320"/>
        <v>0</v>
      </c>
      <c r="NB77" s="43" t="str">
        <f t="shared" si="321"/>
        <v/>
      </c>
      <c r="NC77" s="43" t="str">
        <f t="shared" si="322"/>
        <v/>
      </c>
      <c r="ND77" s="43" t="e">
        <f t="shared" ca="1" si="323"/>
        <v>#REF!</v>
      </c>
      <c r="NE77" s="43">
        <f>IF(OR(O77&gt;0,R77&gt;0),SUM(COUNTIF(Tabla1[[#This Row],[AÑOS AL INICIO5 CPN]],"&gt;=40"),COUNTIF(AS77,"0"),COUNTIF(AR77,"SI"),COUNTIF(CC77,"SI"),COUNTIF(BQ77,"&gt;119"),COUNTIF(CI77,"&gt;=35")),"")</f>
        <v>0</v>
      </c>
      <c r="NF77" s="43" t="str">
        <f t="shared" si="324"/>
        <v/>
      </c>
      <c r="NG77" s="43">
        <f t="shared" si="325"/>
        <v>0</v>
      </c>
      <c r="NH77" s="43">
        <f t="shared" si="326"/>
        <v>217.70000000000002</v>
      </c>
      <c r="NI7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CPN",P77="NO"),"Z",IF(AND(Tabla1[[#This Row],[CITA PROXIMO CONTROL]]="CITA MANUAL",Tabla1[[#This Row],[GESTANTES ACTUALES]]="ACTIVA INGRESO A CPN"),"W",IF(AND(Tabla1[[#This Row],[GESTANTES ACTUALES]]="SALIO PROGRAMA",#REF!=""),"S",IF(AND(Tabla1[[#This Row],[CITA PROXIMO CONTROL]]&gt;0,#REF!=""),(Tabla1[[#This Row],[CITA PROXIMO CONTROL]]-TODAY()),"SD"))))))))</f>
        <v>#REF!</v>
      </c>
      <c r="NJ77" s="43">
        <f>MONTH(Tabla1[[#This Row],[FECHA DE SALIDA  DEL PROGRAMA]])</f>
        <v>4</v>
      </c>
      <c r="NK77" s="43">
        <f>YEAR(Tabla1[[#This Row],[FECHA DE SALIDA  DEL PROGRAMA]])</f>
        <v>2023</v>
      </c>
      <c r="NL77" s="43">
        <f t="shared" si="327"/>
        <v>-3</v>
      </c>
      <c r="NM77" s="43" t="str">
        <f t="shared" si="251"/>
        <v>NO</v>
      </c>
      <c r="NN77" s="43" t="str">
        <f ca="1">IF(AND(O77&gt;0,R77=""),"NO CPN",IF(AND(O77="",R77=""),"",IF(AND(R77&gt;0,Tabla1[[#This Row],[SEMANAS DE GESTACION ACTUALIZADAS]]&lt;=12),"NO APLICA",IF(AND(FH77&lt;&gt;"",FN77&lt;&gt;""),"SI","NO"))))</f>
        <v>NO</v>
      </c>
      <c r="NO77" s="43" t="str">
        <f ca="1">IF(AND(O77&gt;0,R77=""),"NO CPN",IF(AND(O77="",R77=""),"",IF(AND(R77&gt;0,Tabla1[[#This Row],[SEMANAS DE GESTACION ACTUALIZADAS]]&lt;=27),"NO APLICA",IF(AND(ES77&lt;&gt;"",FQ77&lt;&gt;"",GF77&lt;&gt;""),"SI","NO"))))</f>
        <v>NO</v>
      </c>
      <c r="NP77" s="204" t="str">
        <f t="shared" si="328"/>
        <v>III TRIM</v>
      </c>
      <c r="NQ77" s="21" t="str">
        <f t="shared" ref="NQ77:NQ124" si="437">IF(AND(IP78&gt;0,IP78&lt;37),10,IF(OR(CD78="Transversa",CD78="Oblicua"),9,IF(CC78="SI",8,IF(AND(AT78=0,AW78=0,CC78="NO",CD78="Cefálica",IP78&gt;=37,IT78="INICIO ESPONTÁNEO"),1,IF(AND(AND(AT78=0,AW78=0,CC78="NO",CD78="Cefálica",IP78&gt;=37),OR(IT78="LE HACEN INDUCCIÓN",IT78="LE HACEN CESÁREA SIN INICIO TRABAJO DE PARTO")),2,IF(AND(AT78&gt;=1,AW78=0,CC78="NO",CD78="Cefálica",IP78&gt;=37,IT78="INICIO ESPONTÁNEO"),3,IF(AND(AND(AT78&gt;=1,AW78=0,CC78="NO",CD78="Cefálica",IP78&gt;=37),OR(IT78="LE HACEN INDUCCIÓN",IT78="LE HACEN CESÁREA SIN INICIO TRABAJO DE PARTO")),4,IF(AND(AND(AT78&gt;=1,AW78&gt;=1,CC78="NO",CD78="Cefálica",IP78&gt;=37),OR(IT78="LE HACEN INDUCCIÓN",IT78="LE HACEN CESÁREA SIN INICIO TRABAJO DE PARTO",IT78="INICIO ESPONTÁNEO")),5,IF(AND(AND(AT78=0,AW78=0,CC78="NO",CD78="Podálica",IP78&gt;=1),OR(IT78="LE HACEN INDUCCIÓN",IT78="LE HACEN CESÁREA SIN INICIO TRABAJO DE PARTO",IT78="INICIO ESPONTÁNEO")),6,IF(AND(AND(AT78&gt;=1,CC78="NO",CD78="Podálica",IP78&gt;=1),OR(IT78="LE HACEN INDUCCIÓN",IT78="LE HACEN CESÁREA SIN INICIO TRABAJO DE PARTO",IT78="INICIO ESPONTÁNEO"),OR(AW78=0,AW78&gt;=1)),7,""))))))))))</f>
        <v/>
      </c>
      <c r="NR77" s="21" t="e">
        <f>IF(AND(O77="",R77=""),"",IF(AND(BS77&gt;0,BS77&lt;12,#REF!&gt;28,#REF!&lt;44),3, IF(OR(AND(BS77&gt;=12,BS77&lt;28,#REF!&gt;=28,#REF!&lt;44),AND(BS77&gt;0,BS77&lt;12,#REF!&gt;=12,#REF!&lt;29)),2,IF(OR(AND(BS77&gt;=28,BS77&lt;44),AND(BS77&gt;0,BS77&lt;12,#REF!&gt;0,#REF!&lt;12),AND(BS77&gt;=12,BS77&lt;28,#REF!&gt;=12,#REF!&lt;28)),1,IF(AND(BS77&gt;0,BS77&lt;12,BU77&gt;=28,BU77&lt;44,DV77="ACTIVA INGRESO A CPN"),3,IF(OR(AND(BS77&gt;0,BS77&lt;12,BU77&gt;=12,BU77&lt;28,DV77="ACTIVA INGRESO A CPN"),AND(BS77&gt;=12,BS77&lt;28,BU77&gt;=28,BU77&lt;44,DV77="ACTIVA INGRESO A CPN")),2,IF(OR(AND(BS77&gt;0,BS77&lt;12,BU77&gt;0,BU77&lt;12,DV77="ACTIVA INGRESO A CPN"),AND(BS77&gt;=12,BS77&lt;28,BU77&gt;=12,BU77&lt;28,DV77="ACTIVA INGRESO A CPN")),1,"REVISAR FUM O FECHA SALIDA PROGRAMA")))))))</f>
        <v>#REF!</v>
      </c>
      <c r="NS77" s="205">
        <f t="shared" ca="1" si="329"/>
        <v>0</v>
      </c>
      <c r="NT77" s="21">
        <f t="shared" ca="1" si="330"/>
        <v>0</v>
      </c>
      <c r="NU77" s="21" t="e">
        <f t="shared" si="331"/>
        <v>#REF!</v>
      </c>
      <c r="NV77" s="21" t="e">
        <f t="shared" si="332"/>
        <v>#REF!</v>
      </c>
      <c r="NW77" s="206" t="str">
        <f>IF(AND(O77="",R77=""),"",IF(OR(AND(Tabla1[[#This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77" s="207" t="str">
        <f t="shared" ca="1" si="333"/>
        <v>SIN VACUNAR</v>
      </c>
      <c r="NY77" s="43">
        <f>ROW(Tabla1[[#This Row],['# DE TAMIZAJES SIFILIS TOMADOS ]])</f>
        <v>77</v>
      </c>
      <c r="NZ77" s="43">
        <f t="shared" si="334"/>
        <v>27</v>
      </c>
      <c r="OA77" s="43" t="str">
        <f t="shared" si="335"/>
        <v/>
      </c>
      <c r="OB77" s="43" t="str">
        <f t="shared" si="336"/>
        <v/>
      </c>
      <c r="OC77" s="43" t="str">
        <f t="shared" si="337"/>
        <v/>
      </c>
      <c r="OD77" s="43" t="str">
        <f t="shared" si="338"/>
        <v/>
      </c>
      <c r="OE77" s="43" t="str">
        <f t="shared" si="339"/>
        <v/>
      </c>
      <c r="OF77" s="43" t="str">
        <f t="shared" si="340"/>
        <v/>
      </c>
      <c r="OG77" s="43" t="str">
        <f t="shared" si="341"/>
        <v/>
      </c>
      <c r="OH77" s="43" t="str">
        <f t="shared" si="342"/>
        <v/>
      </c>
      <c r="OI77" s="43" t="str">
        <f t="shared" si="343"/>
        <v/>
      </c>
      <c r="OJ77" s="43" t="str">
        <f t="shared" si="344"/>
        <v/>
      </c>
      <c r="OK77" s="43" t="str">
        <f t="shared" si="345"/>
        <v/>
      </c>
      <c r="OL77" s="43" t="str">
        <f t="shared" si="346"/>
        <v/>
      </c>
      <c r="OM77" s="43" t="str">
        <f t="shared" si="347"/>
        <v/>
      </c>
      <c r="ON77" s="43" t="str">
        <f t="shared" si="348"/>
        <v/>
      </c>
      <c r="OO77" s="43" t="str">
        <f t="shared" si="349"/>
        <v/>
      </c>
      <c r="OP77" s="43" t="str">
        <f t="shared" si="350"/>
        <v/>
      </c>
      <c r="OQ77" s="43" t="str">
        <f t="shared" si="351"/>
        <v/>
      </c>
      <c r="OR77" s="43" t="str">
        <f t="shared" si="352"/>
        <v/>
      </c>
      <c r="OS77" s="43" t="str">
        <f t="shared" si="353"/>
        <v/>
      </c>
      <c r="OT77" s="43" t="str">
        <f t="shared" si="354"/>
        <v/>
      </c>
      <c r="OU77" s="43" t="str">
        <f t="shared" si="355"/>
        <v/>
      </c>
      <c r="OV77" s="110" t="str">
        <f t="shared" si="356"/>
        <v/>
      </c>
      <c r="OW77" s="43" t="str">
        <f t="shared" si="357"/>
        <v/>
      </c>
      <c r="OX77" s="43" t="str">
        <f t="shared" si="358"/>
        <v/>
      </c>
      <c r="OY77" s="43" t="str">
        <f t="shared" si="359"/>
        <v/>
      </c>
      <c r="OZ77" s="43" t="str">
        <f t="shared" si="360"/>
        <v/>
      </c>
      <c r="PA77" s="43" t="str">
        <f t="shared" si="361"/>
        <v/>
      </c>
      <c r="PB77" s="43" t="str">
        <f t="shared" si="362"/>
        <v/>
      </c>
      <c r="PC77" s="43" t="str">
        <f t="shared" si="363"/>
        <v/>
      </c>
      <c r="PD77" s="43" t="str">
        <f t="shared" si="364"/>
        <v/>
      </c>
      <c r="PE77" s="43" t="str">
        <f t="shared" si="365"/>
        <v/>
      </c>
      <c r="PF77" s="43" t="str">
        <f t="shared" si="366"/>
        <v/>
      </c>
      <c r="PG77" s="43" t="str">
        <f t="shared" si="367"/>
        <v/>
      </c>
      <c r="PH77" s="43" t="str">
        <f t="shared" si="368"/>
        <v/>
      </c>
      <c r="PI77" s="43">
        <f t="shared" si="369"/>
        <v>39</v>
      </c>
      <c r="PJ77" s="43" t="str">
        <f t="shared" si="370"/>
        <v/>
      </c>
      <c r="PK77" s="43" t="str">
        <f t="shared" si="371"/>
        <v/>
      </c>
      <c r="PL77" s="43" t="str">
        <f t="shared" si="372"/>
        <v/>
      </c>
      <c r="PM77" s="43" t="str">
        <f t="shared" si="373"/>
        <v/>
      </c>
      <c r="PN77" s="43" t="str">
        <f t="shared" si="374"/>
        <v/>
      </c>
      <c r="PO77" s="43" t="str">
        <f t="shared" si="375"/>
        <v/>
      </c>
      <c r="PP77" s="43" t="str">
        <f t="shared" si="376"/>
        <v/>
      </c>
      <c r="PQ77" s="43" t="str">
        <f t="shared" si="377"/>
        <v/>
      </c>
      <c r="PR77" s="43" t="str">
        <f t="shared" si="378"/>
        <v/>
      </c>
      <c r="PS77" s="43" t="str">
        <f t="shared" si="379"/>
        <v/>
      </c>
      <c r="PT77" s="43" t="str">
        <f t="shared" si="380"/>
        <v/>
      </c>
      <c r="PU77" s="43" t="str">
        <f t="shared" si="381"/>
        <v/>
      </c>
      <c r="PV77" s="43" t="str">
        <f t="shared" si="382"/>
        <v/>
      </c>
      <c r="PW77" s="43" t="str">
        <f t="shared" si="383"/>
        <v/>
      </c>
      <c r="PX77" s="43" t="str">
        <f t="shared" si="384"/>
        <v/>
      </c>
      <c r="PY77" s="43" t="str">
        <f t="shared" si="385"/>
        <v/>
      </c>
      <c r="PZ77" s="43" t="str">
        <f t="shared" si="386"/>
        <v/>
      </c>
      <c r="QA77" s="43" t="str">
        <f t="shared" si="387"/>
        <v/>
      </c>
      <c r="QB77" s="43" t="str">
        <f t="shared" si="388"/>
        <v/>
      </c>
      <c r="QC77" s="43" t="str">
        <f t="shared" si="389"/>
        <v/>
      </c>
      <c r="QD77" s="43" t="str">
        <f t="shared" si="390"/>
        <v/>
      </c>
      <c r="QE77" s="43" t="str">
        <f t="shared" si="391"/>
        <v/>
      </c>
      <c r="QF77" s="43" t="str">
        <f t="shared" si="392"/>
        <v/>
      </c>
      <c r="QG77" s="43" t="str">
        <f t="shared" si="393"/>
        <v/>
      </c>
      <c r="QH77" s="43" t="str">
        <f t="shared" si="394"/>
        <v/>
      </c>
      <c r="QI77" s="43" t="str">
        <f t="shared" si="395"/>
        <v/>
      </c>
      <c r="QJ77" s="43" t="str">
        <f t="shared" si="396"/>
        <v/>
      </c>
      <c r="QK77" s="43" t="str">
        <f t="shared" si="397"/>
        <v/>
      </c>
      <c r="QL77" s="43" t="str">
        <f t="shared" si="398"/>
        <v/>
      </c>
      <c r="QM77" s="43" t="str">
        <f t="shared" si="399"/>
        <v/>
      </c>
      <c r="QN77" s="43" t="str">
        <f t="shared" si="400"/>
        <v/>
      </c>
      <c r="QO77" s="43" t="str">
        <f t="shared" si="401"/>
        <v/>
      </c>
      <c r="QP77" s="43" t="str">
        <f t="shared" si="402"/>
        <v/>
      </c>
      <c r="QQ77" s="43" t="str">
        <f t="shared" si="403"/>
        <v/>
      </c>
      <c r="QR77" s="43">
        <f t="shared" si="433"/>
        <v>39</v>
      </c>
      <c r="QS77" s="43"/>
      <c r="QT77" s="21" t="str">
        <f t="shared" si="404"/>
        <v/>
      </c>
      <c r="QU77" s="21" t="str">
        <f t="shared" si="405"/>
        <v/>
      </c>
      <c r="QV77" s="21" t="str">
        <f t="shared" si="406"/>
        <v/>
      </c>
      <c r="QW77" s="21" t="str">
        <f t="shared" si="407"/>
        <v/>
      </c>
      <c r="QX77" s="21" t="str">
        <f t="shared" si="408"/>
        <v/>
      </c>
      <c r="QY77" s="21" t="str">
        <f t="shared" si="409"/>
        <v/>
      </c>
      <c r="QZ77" s="21" t="str">
        <f t="shared" si="410"/>
        <v/>
      </c>
      <c r="RA77" s="21" t="str">
        <f t="shared" si="411"/>
        <v/>
      </c>
      <c r="RB77" s="21" t="str">
        <f t="shared" si="412"/>
        <v/>
      </c>
      <c r="RC77" s="21" t="str">
        <f t="shared" si="413"/>
        <v/>
      </c>
      <c r="RD77" s="21" t="str">
        <f t="shared" si="414"/>
        <v/>
      </c>
      <c r="RE77" s="21" t="str">
        <f t="shared" si="415"/>
        <v/>
      </c>
      <c r="RF77" s="21" t="str">
        <f t="shared" si="416"/>
        <v/>
      </c>
      <c r="RG77" s="21" t="str">
        <f t="shared" si="417"/>
        <v/>
      </c>
      <c r="RH77" s="21" t="str">
        <f t="shared" si="418"/>
        <v/>
      </c>
      <c r="RI77" s="21" t="str">
        <f t="shared" si="419"/>
        <v/>
      </c>
      <c r="RJ77" s="21" t="str">
        <f t="shared" si="420"/>
        <v/>
      </c>
      <c r="RK77" s="21" t="str">
        <f t="shared" si="421"/>
        <v/>
      </c>
      <c r="RL77" s="21" t="str">
        <f t="shared" si="422"/>
        <v/>
      </c>
      <c r="RM77" s="21" t="str">
        <f t="shared" si="423"/>
        <v/>
      </c>
      <c r="RN77" s="21" t="str">
        <f t="shared" si="424"/>
        <v/>
      </c>
      <c r="RO77" s="21" t="str">
        <f t="shared" si="425"/>
        <v/>
      </c>
      <c r="RP77" s="21" t="str">
        <f t="shared" si="426"/>
        <v/>
      </c>
      <c r="RQ77" s="21" t="str">
        <f t="shared" si="427"/>
        <v/>
      </c>
      <c r="RR77" s="21" t="str">
        <f t="shared" si="428"/>
        <v/>
      </c>
      <c r="RS77" s="21" t="str">
        <f t="shared" si="429"/>
        <v/>
      </c>
      <c r="RT77" s="21" t="str">
        <f t="shared" si="430"/>
        <v/>
      </c>
      <c r="RU77" s="21" t="str">
        <f t="shared" si="431"/>
        <v/>
      </c>
      <c r="RV77" s="21">
        <f t="shared" si="432"/>
        <v>39.714285714285715</v>
      </c>
      <c r="RW77" s="284">
        <f>IF(OR(Tabla1[[#This Row],[FUM FORMULA CONFIABLE]]="",Tabla1[[#This Row],[FUM FORMULA CONFIABLE]]="SD"),"",IF(Tabla1[[#This Row],[FUM FORMULA CONFIABLE]]="CORREGIDA",Tabla1[[#This Row],[FUM X ECO 1]],Tabla1[[#This Row],[FUM x AMENORREA]]))</f>
        <v>44738</v>
      </c>
      <c r="RX77" s="21">
        <f>IF(AND(Tabla1[[#This Row],[FUM X ECO 1]]="",Tabla1[[#This Row],[FUM x AMENORREA]]=""),"",IF(AND(Tabla1[[#This Row],[FUM X ECO 1]]="",Tabla1[[#This Row],[FUM x AMENORREA]]&lt;&gt;""),"X",SUM(Tabla1[[#This Row],[FUM X ECO 1]]-Tabla1[[#This Row],[FUM x AMENORREA]])))</f>
        <v>1.3000000000029104</v>
      </c>
      <c r="RY77" s="21">
        <f t="shared" si="434"/>
        <v>0</v>
      </c>
    </row>
    <row r="78" spans="1:493" ht="45" customHeight="1" x14ac:dyDescent="0.25">
      <c r="A78" s="109" t="s">
        <v>1234</v>
      </c>
      <c r="B78" s="43"/>
      <c r="C78" s="43" t="s">
        <v>845</v>
      </c>
      <c r="D78" s="124" t="s">
        <v>846</v>
      </c>
      <c r="E78" s="43" t="s">
        <v>909</v>
      </c>
      <c r="F78" s="43" t="s">
        <v>1235</v>
      </c>
      <c r="G78" s="43" t="s">
        <v>981</v>
      </c>
      <c r="H78" s="43" t="s">
        <v>1129</v>
      </c>
      <c r="I78" s="109" t="s">
        <v>851</v>
      </c>
      <c r="J78" s="110">
        <v>1002847053</v>
      </c>
      <c r="K78" s="43" t="s">
        <v>852</v>
      </c>
      <c r="L78" s="175" t="s">
        <v>853</v>
      </c>
      <c r="M78" s="22">
        <v>36852</v>
      </c>
      <c r="N78" s="213">
        <f t="shared" ca="1" si="252"/>
        <v>22.958904109589042</v>
      </c>
      <c r="O78" s="22">
        <v>44931</v>
      </c>
      <c r="P78" s="214" t="str">
        <f t="shared" ref="P78:P141" si="438">IF(AND(O78="",R78&gt;0),"ACUDE ESPONTANEAMENTE",IF(AND(AND(O78&gt;0,R78=""),OR(IN78&gt;0,IK78&lt;&gt;"")),"NA",IF(AND(O78&gt;0,IN78="",R78=""),"NO",IF(AND(O78&gt;0,R78&gt;0),"SI",""))))</f>
        <v>SI</v>
      </c>
      <c r="Q78" s="26" t="s">
        <v>855</v>
      </c>
      <c r="R78" s="22">
        <v>44931</v>
      </c>
      <c r="S78" s="21" t="s">
        <v>856</v>
      </c>
      <c r="T78" s="24" t="s">
        <v>690</v>
      </c>
      <c r="U78" s="21" t="s">
        <v>857</v>
      </c>
      <c r="V78" s="21" t="s">
        <v>858</v>
      </c>
      <c r="W78" s="21" t="s">
        <v>1236</v>
      </c>
      <c r="X78" s="21"/>
      <c r="Y78" s="21" t="s">
        <v>859</v>
      </c>
      <c r="Z78" s="21">
        <v>3127855734</v>
      </c>
      <c r="AA78" s="21" t="s">
        <v>860</v>
      </c>
      <c r="AB78" s="27" t="s">
        <v>861</v>
      </c>
      <c r="AC78" s="26" t="s">
        <v>888</v>
      </c>
      <c r="AD78" s="38" t="s">
        <v>846</v>
      </c>
      <c r="AE78" s="26" t="s">
        <v>854</v>
      </c>
      <c r="AF78" s="26" t="s">
        <v>854</v>
      </c>
      <c r="AG78" s="23" t="s">
        <v>864</v>
      </c>
      <c r="AH78" s="23" t="s">
        <v>864</v>
      </c>
      <c r="AI78" s="24" t="s">
        <v>863</v>
      </c>
      <c r="AJ78" s="23" t="s">
        <v>864</v>
      </c>
      <c r="AK78" s="220" t="str">
        <f>IF(AND(AD78="",AE78="",AF78="",AG78="",AH78="",AI78="",AJ78=""),"",IF(OR(Tabla1[[#This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EVALUACIÓN",IF(AND(O78="",R78=""),"",IF(AND(OR(O78&gt;0,R78&gt;0),NG78&gt;=0,NG78&lt;2),"SIN RIESGO",IF(AND(OR(O78&gt;0,R78&gt;0),NG78&gt;=2),"CON RIESGO","ASD")))))</f>
        <v>SIN RIESGO</v>
      </c>
      <c r="AL78" s="23" t="s">
        <v>864</v>
      </c>
      <c r="AM78" s="26" t="s">
        <v>864</v>
      </c>
      <c r="AN78" s="26" t="s">
        <v>864</v>
      </c>
      <c r="AO78" s="26" t="s">
        <v>864</v>
      </c>
      <c r="AP78" s="26" t="s">
        <v>864</v>
      </c>
      <c r="AQ78" s="26" t="s">
        <v>864</v>
      </c>
      <c r="AR78" s="26" t="s">
        <v>864</v>
      </c>
      <c r="AS78" s="21">
        <v>0</v>
      </c>
      <c r="AT78" s="21">
        <v>0</v>
      </c>
      <c r="AU78" s="21">
        <v>0</v>
      </c>
      <c r="AV78" s="26" t="s">
        <v>864</v>
      </c>
      <c r="AW78" s="21">
        <v>0</v>
      </c>
      <c r="AX78" s="26" t="s">
        <v>864</v>
      </c>
      <c r="AY78" s="26" t="s">
        <v>864</v>
      </c>
      <c r="AZ78" s="26" t="s">
        <v>864</v>
      </c>
      <c r="BA78" s="26" t="s">
        <v>854</v>
      </c>
      <c r="BB78" s="26" t="s">
        <v>864</v>
      </c>
      <c r="BC78" s="26" t="s">
        <v>864</v>
      </c>
      <c r="BD78" s="26" t="s">
        <v>864</v>
      </c>
      <c r="BE78" s="26" t="s">
        <v>864</v>
      </c>
      <c r="BF78" s="26" t="s">
        <v>864</v>
      </c>
      <c r="BG78" s="26" t="s">
        <v>864</v>
      </c>
      <c r="BH78" s="26" t="s">
        <v>864</v>
      </c>
      <c r="BI78" s="26" t="s">
        <v>864</v>
      </c>
      <c r="BJ78" s="26"/>
      <c r="BK78" s="26"/>
      <c r="BL78" s="26" t="s">
        <v>864</v>
      </c>
      <c r="BM78" s="26" t="s">
        <v>864</v>
      </c>
      <c r="BN78" s="22"/>
      <c r="BO78" s="22">
        <v>44875</v>
      </c>
      <c r="BP78" s="21" t="s">
        <v>854</v>
      </c>
      <c r="BQ78" s="222">
        <f t="shared" si="254"/>
        <v>0</v>
      </c>
      <c r="BR78" s="223">
        <f t="shared" si="255"/>
        <v>44876</v>
      </c>
      <c r="BS78" s="224">
        <f t="shared" si="256"/>
        <v>8</v>
      </c>
      <c r="BT78" s="216" t="str">
        <f t="shared" si="257"/>
        <v>I TRIM</v>
      </c>
      <c r="BU78" s="214" t="str">
        <f t="shared" ca="1" si="258"/>
        <v/>
      </c>
      <c r="BV78" s="25"/>
      <c r="BW78" s="22">
        <v>44960</v>
      </c>
      <c r="BX78" s="28">
        <v>12</v>
      </c>
      <c r="BY78" s="28"/>
      <c r="BZ78" s="22"/>
      <c r="CA78" s="21"/>
      <c r="CB78" s="26" t="s">
        <v>864</v>
      </c>
      <c r="CC78" s="26" t="s">
        <v>864</v>
      </c>
      <c r="CD78" s="26"/>
      <c r="CE78" s="26" t="s">
        <v>864</v>
      </c>
      <c r="CF78" s="22" t="s">
        <v>1517</v>
      </c>
      <c r="CG78" s="21">
        <v>1.64</v>
      </c>
      <c r="CH78" s="21">
        <v>77.400000000000006</v>
      </c>
      <c r="CI78" s="214">
        <f t="shared" si="259"/>
        <v>28.777513384889954</v>
      </c>
      <c r="CJ78" s="225" t="str">
        <f>IF(AND(CI78&lt;10,CH78="SD"),"SIN DATO PESO PREGESTACION O I TRIM",IF(AND(OR(R78&gt;0,O78&gt;0),CI78="X"),"INGRESAR DATO DE PESO",IF(CI78="SD","INGRESAR DATO DE TALLA Y PESO",IF(AND(OR(Tabla1[[#This Row],[MOMENTO EN QUE SE REALIZA EL PESO AL INGRESO A CPN]]="PREGESTACIÓN",NZ78="Menor"),CI78&lt;18.5),"BAJO PESO",IF(AND(OR(Tabla1[[#This Row],[MOMENTO EN QUE SE REALIZA EL PESO AL INGRESO A CPN]]="PREGESTACIÓN",NZ78="Menor"),CI78&lt;25),"NORMAL",IF(AND(OR(Tabla1[[#This Row],[MOMENTO EN QUE SE REALIZA EL PESO AL INGRESO A CPN]]="PREGESTACIÓN",NZ78="Menor"),CI78&lt;30),"SOBREPESO",IF(AND(OR(Tabla1[[#This Row],[MOMENTO EN QUE SE REALIZA EL PESO AL INGRESO A CPN]]="PREGESTACIÓN",NZ78="Menor"),CI78&gt;=30,CI78&lt;50),"OBESIDAD",IF(AND(BS78&gt;0,Tabla1[[#This Row],[MOMENTO EN QUE SE REALIZA EL PESO AL INGRESO A CPN]]="GESTACIÓN"),HLOOKUP(NZ78,$OA$2:PH78,NY78),""))))))))</f>
        <v>SOBREPESO</v>
      </c>
      <c r="CK78" s="212">
        <f t="shared" si="260"/>
        <v>45072</v>
      </c>
      <c r="CL78" s="21">
        <v>84.6</v>
      </c>
      <c r="CM78" s="214">
        <f t="shared" si="261"/>
        <v>31.454491374182037</v>
      </c>
      <c r="CN78" s="216">
        <f t="shared" si="262"/>
        <v>28</v>
      </c>
      <c r="CO78" s="216" t="e">
        <f>IF(PI78="","",IF(PI78&gt;0,HLOOKUP(PI78,$PJ$2:QQ78,NY78),""))</f>
        <v>#REF!</v>
      </c>
      <c r="CP78" s="21">
        <v>26</v>
      </c>
      <c r="CQ78" s="216" t="e">
        <f>IF(QR78="Menor","NO APLICA-MENOR 13 SEM",IF(AND(CC78="SI",CN78&gt;23),"NO APLICA- GEMELAR",IF(QR78="","",IF(QR78&gt;0,HLOOKUP(QR78,$QS$2:RU78,NY78),""))))</f>
        <v>#REF!</v>
      </c>
      <c r="CR78" s="21">
        <v>90</v>
      </c>
      <c r="CS78" s="21">
        <v>60</v>
      </c>
      <c r="CT78" s="217" t="str">
        <f>IF(R78="","",IF(AND(BS78&gt;1,BS78&lt;12,Tabla1[[#This Row],[T.A. SISTOLICA - ANTES DE SEMANA 12]]="",Tabla1[[#This Row],[T.A. DIASTOLICA - ANTES DE SEMANA 12]]=""),"REGISTRE DATO TA ANTES SEMANA 12",IF(AND(BS78&gt;11,BS78&lt;43,Tabla1[[#This Row],[T.A. SISTOLICA - ANTES DE SEMANA 12]]="",Tabla1[[#This Row],[T.A. DIASTOLICA - ANTES DE SEMANA 12]]=""),"NO APLICA REGISTRO TA-INGRESO TARDIO",IF(AND(OR(O78&gt;0,R78&gt;0),OR(CR78&gt;=140,CS78&gt;=90)),"DEFINIR ESTADIO HTA",IF(AND(OR(O78&gt;0,R78&gt;0),AND(CR78&gt;120,CR78&lt;=139)),"PRE HTA SEGUIMIENTO",IF(AND(OR(O78&gt;0,R78&gt;0),AND(CS78&gt;80,CS78&lt;=89)),"PRE HTA SEGUIMIENTO",IF(AND(OR(O78&gt;0,R78&gt;0),AND(CR78&gt;=80,CR78&lt;=120)),"APARENTEMENTE NORMAL",IF(AND(OR(O78&gt;0,R78&gt;0),AND(CS78&gt;=50,CS78&lt;=80)),"APARENTEMENTE NORMAL",IF(AND(OR(O78&gt;0,R78&gt;0),AND(CR78&gt;1,CR78&lt;=70),AND(CS78&gt;1,CS78&lt;=40)),"HIPOTENSIÓN","")))))))))</f>
        <v>APARENTEMENTE NORMAL</v>
      </c>
      <c r="CU78" s="21">
        <v>90</v>
      </c>
      <c r="CV78" s="21">
        <v>60</v>
      </c>
      <c r="CW78" s="217" t="str">
        <f ca="1">IF(R78="","",IF(AND(CN78&gt;19,CN78&lt;27,Tabla1[[#This Row],[T.A. SISTOLICA (Entre semana 20 y 26)]]="",Tabla1[[#This Row],[T.A. DIATOLICA (Entre semana 20 y 26)]]=""),"ACUDE A CONTROL SEM 20 A 26 REGISTRE TA AHORA",IF(AND(BS78&gt;1,BS78&lt;27,BU78&gt;19,Tabla1[[#This Row],[T.A. SISTOLICA (Entre semana 20 y 26)]]="",Tabla1[[#This Row],[T.A. DIATOLICA (Entre semana 20 y 26)]]=""),"COMPLETE REGISTRO TA CONTROL SEM 20 A26 ",IF(AND(BS78&gt;26,BS78&lt;43,Tabla1[[#This Row],[T.A. SISTOLICA (Entre semana 20 y 26)]]="",Tabla1[[#This Row],[T.A. DIATOLICA (Entre semana 20 y 26)]]=""),"NO APLICA REGISTRO TA-INGRESO TARDIO",IF(AND(OR(O78&gt;0,R78&gt;0),OR(CU78&gt;=140,CV78&gt;=90)),"ALTO RIESGO PREECLAMPSIA,DEFINIR ESTADIO HTA",IF(AND(OR(O78&gt;0,R78&gt;0),AND(CU78&gt;120,CU78&lt;=139)),"PRE HTA SEGUIMIENTO,RIESGO HIPERTENSION INDUCIDA POR EL EMBARAZO",IF(AND(OR(O78&gt;0,R78&gt;0),AND(CV78&gt;80,CV78&lt;=89)),"PRE HTA SEGUIMIENTO, RIESGO HIPERTENSION INDUCIDA POR EL EMBARAZO",IF(AND(OR(O78&lt;&gt;"",R78&lt;&gt;""),CS78&lt;&gt;"",CV78&lt;&gt;"",CS78&lt;=CV78),"VIGILAR CIFRAS PRESION ARTERIAL",IF(AND(OR(O78&gt;0,R78&gt;0),AND(CU78&gt;120,CU78&lt;=139)),"PRE HTA SEGUIMIENTO",IF(AND(OR(O78&gt;0,R78&gt;0),AND(CU78&gt;1,CU78&lt;=70),AND(CV78&gt;1,CV78&lt;=40)),"HIPOTENSIÓN",IF(AND(OR(O78&lt;&gt;"",R78&lt;&gt;""),CS78&lt;&gt;"",CV78&lt;&gt;"",CS78&gt;CV78),"APARENTEMENTE NORMAL",IF(AND(OR(O78&gt;0,R78&gt;0),AND(CU78&gt;=80,CU78&lt;=120)),"APARENTEMENTE NORMAL",IF(AND(OR(O78&gt;0,R78&gt;0),AND(CV78&gt;=50,CV78&lt;=80)),"APARENTEMENTE NORMAL","")))))))))))))</f>
        <v>VIGILAR CIFRAS PRESION ARTERIAL</v>
      </c>
      <c r="CX78" s="21"/>
      <c r="CY78" s="21"/>
      <c r="CZ78" s="216" t="str">
        <f t="shared" si="263"/>
        <v/>
      </c>
      <c r="DA78" s="21">
        <v>110</v>
      </c>
      <c r="DB78" s="21">
        <v>60</v>
      </c>
      <c r="DC78" s="217" t="str">
        <f t="shared" si="264"/>
        <v>APARENTEMENTE NORMAL</v>
      </c>
      <c r="DD78" s="22">
        <v>44931</v>
      </c>
      <c r="DE78" s="22">
        <v>44931</v>
      </c>
      <c r="DF78" s="22">
        <v>44961</v>
      </c>
      <c r="DG78" s="22">
        <v>44999</v>
      </c>
      <c r="DH78" s="22">
        <v>45038</v>
      </c>
      <c r="DI78" s="22">
        <v>45072</v>
      </c>
      <c r="DJ78" s="22"/>
      <c r="DK78" s="22"/>
      <c r="DL78" s="22"/>
      <c r="DM78" s="22"/>
      <c r="DN78" s="22"/>
      <c r="DO78" s="22"/>
      <c r="DP78" s="22"/>
      <c r="DQ78" s="22"/>
      <c r="DR78" s="28">
        <v>2</v>
      </c>
      <c r="DS78" s="22"/>
      <c r="DT78" s="22"/>
      <c r="DU78" s="216" t="str">
        <f t="shared" ref="DU78:DU141" ca="1" si="439">IF(AND(BT78="ERROR FUM O INGRESO",DS78&gt;0),"ERROR FUM O INGRESO",IF(AND(DS78="",R78="",O78=""),"",IF(OR(AND(DS78&lt;&gt;"",DS78&lt;RW78),AND(DS78&lt;&gt;"",AND(SUM((DS78-RW78)/7)&gt;0,SUM((DS78-RW78)/7)&lt;28))),"PLAN REALIZADO ANTES III TRIM", IF(AND(DS78="",OR(O78&gt;0,R78&gt;0),AND(BU78&gt;=28, BU78&lt;35,DV78="ACTIVA INGRESO A CPN")),"PLANEAR PLAN DE PARTO", IF(AND(DS78="",OR(O78&gt;0,R78&gt;0),BU78&gt;=35,DV78="ACTIVA INGRESO A CPN"),"CONCERTAR PLAN DE PARTO INMEDIATO", IF(AND(DS78="",OR(O78&gt;0,R78&gt;0),AND(BU78&gt;0, BU78&lt;28),OR(DV78="ACTIVA INGRESO A CPN", DV78=" ACTIVA SIN INGRESO CPN")),"EN ESPERA", IF(AND(DS78="",OR(O78&gt;0,R78&gt;0),AND(IP78&gt;0, IP78&lt;28)),"NO APLICA SALE PROGRAMA ANTES III TRIM", IF(AND(DS78="",OR(O78&gt;0,R78&gt;0),AND(IP78&gt;=28, IP78&lt;35)),"SALE PROGRAMA ANTES SEMANA 35", IF(AND(DS78="",OR(O78&gt;0,R78&gt;0),IP78&gt;35),"SALE SIN PLAN DE PARTO",IF(DS78&gt;0,SUM(DS78-BO78)/7,""))))))))))</f>
        <v>CONCERTAR PLAN DE PARTO INMEDIATO</v>
      </c>
      <c r="DV78" s="226" t="str">
        <f t="shared" ref="DV78:DV141" si="440">IF(AND(R78&lt;&gt;"",IK78="CAMBIO DE RESIDENCIA",IK78="CAMBIO DE IPS",IK78="CAMBIO DE EPS"),"SEGUIMIENTO REPORTE EPS",IF(IK78="IVE","IVE",IF(AND(R78&lt;&gt;"",OR(IK78&lt;&gt;"",IN78&lt;&gt;"")),"SALIO PROGRAMA",IF(AND(AND(R78="",O78&gt;0),OR(IK78&lt;&gt;"",IN78&lt;&gt;"")),"SALE SIN INGRESO CPN",IF(AND(R78="",O78&gt;0,IK78="",IN78=""),"ACTIVA SIN INGRESO CPN",IF(AND(R78&lt;&gt;"",OR(IK78="",IN78="")),"ACTIVA INGRESO A CPN",""))))))</f>
        <v>ACTIVA INGRESO A CPN</v>
      </c>
      <c r="DW7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78" s="216" t="e">
        <f t="shared" ca="1" si="266"/>
        <v>#REF!</v>
      </c>
      <c r="DY78" s="212">
        <f>IF(R78="","",IF(R78&gt;0,MAX(Tabla1[[#This Row],[FECHA C2]:[FECHA C13]],Tabla1[[#This Row],[FECHA CONSULTA PRIMERA VEZ PROGRAMA CPN ]])))</f>
        <v>45072</v>
      </c>
      <c r="DZ78" s="216">
        <f t="shared" si="267"/>
        <v>28</v>
      </c>
      <c r="EA78" s="222">
        <f>IF(R78&gt;0,SUM(COUNTA(DF78:DQ78)+COUNTA(Tabla1[[#This Row],[FECHA CONSULTA PRIMERA VEZ PROGRAMA CPN ]])),"")</f>
        <v>5</v>
      </c>
      <c r="EB78" s="222" t="str">
        <f t="shared" si="268"/>
        <v>SI</v>
      </c>
      <c r="EC78" s="214">
        <f t="shared" si="269"/>
        <v>10</v>
      </c>
      <c r="ED78" s="227">
        <f t="shared" si="270"/>
        <v>0.5</v>
      </c>
      <c r="EE78" s="22">
        <v>44931</v>
      </c>
      <c r="EF78" s="22">
        <v>44931</v>
      </c>
      <c r="EG78" s="22">
        <v>44931</v>
      </c>
      <c r="EH78" s="22">
        <v>44956</v>
      </c>
      <c r="EI78" s="22">
        <v>44931</v>
      </c>
      <c r="EJ78" s="22">
        <v>44956</v>
      </c>
      <c r="EK78" s="22">
        <v>45043</v>
      </c>
      <c r="EL78" s="21">
        <v>1</v>
      </c>
      <c r="EM78" s="21">
        <v>14</v>
      </c>
      <c r="EN78" s="22">
        <v>44957</v>
      </c>
      <c r="EO78" s="222">
        <f t="shared" si="271"/>
        <v>11.714285714285714</v>
      </c>
      <c r="EP78" s="214" t="str">
        <f t="shared" si="272"/>
        <v>NORMAL- SUMINISTRAR SULFATO FERROSO</v>
      </c>
      <c r="EQ78" s="216" t="str">
        <f t="shared" si="273"/>
        <v>I TRIM</v>
      </c>
      <c r="ER78" s="24"/>
      <c r="ES78" s="22"/>
      <c r="ET78" s="29" t="str">
        <f t="shared" ref="ET78:ET141" ca="1" si="441">IF(AND(BT78="ERROR FUM O INGRESO",ES78&gt;0),"ERROR FUM O INGRESO",IF(AND(ES78="",R78="",O78=""),"",IF(OR(AND(ES78&lt;&gt;"",ES78&lt;RW78),AND(ES78&lt;&gt;"",SUM((ES78-RW78)/7)&gt;40)),"CORREGIR FECHA RESULTADO",IF(AND(BU78&gt;1,BU78&lt;23,ER78="",ES78=""),"EN ESPERA PARA TOMA EXAMEN",IF(AND(BU78&gt;22,BU78&lt;26,ER78="",ES78=""),"PROGRAMAR TOMA HEMOGLOBINA A SEM 28",IF(AND(BU78&gt;25,BU78&lt;28,ER78="",ES78=""),"TOMA HEMOGLOBINA A SEM 28 EN 1 SEMANA",IF(AND(BU78&gt;27,BU78&lt;31,ES78="",OR(O78&gt;0,R78&gt;0)),"EN SEMANA 28 TOMA INMEDIATA DE EXAMEN",IF(AND(IP78&gt;0,IP78&lt;28,ES78="",OR(O78&gt;0,R78&gt;0)),"NO APLICA-SALE ANTES SEM 28",IF(AND(IP78&gt;28,IP78&lt;43,ES78="",OR(O78&gt;0,R78&gt;0)),"SALE SIN TAMIZAJE HEMOGLOBINA SEM 28",IF(AND(BS78&gt;0,ES78="",OR(O78&gt;0,R78&gt;0)),"TOMA DE HEMOGLOBINA TARDÍA",IF(ES78&gt;0,SUM(ES78-RW78)/7,"")))))))))))</f>
        <v>TOMA DE HEMOGLOBINA TARDÍA</v>
      </c>
      <c r="EU78" s="25" t="str">
        <f t="shared" si="275"/>
        <v/>
      </c>
      <c r="EV78" s="24" t="s">
        <v>1510</v>
      </c>
      <c r="EW78" s="24">
        <v>44957</v>
      </c>
      <c r="EX78" s="22"/>
      <c r="EY78" s="29">
        <f t="shared" si="248"/>
        <v>11.714285714285714</v>
      </c>
      <c r="EZ78" s="25" t="str">
        <f t="shared" si="249"/>
        <v>SIN RIESGO DE ISOINMUNIZACIÓN</v>
      </c>
      <c r="FA78" s="21">
        <v>85</v>
      </c>
      <c r="FB78" s="22">
        <v>44957</v>
      </c>
      <c r="FC78" s="29">
        <f t="shared" si="276"/>
        <v>11.714285714285714</v>
      </c>
      <c r="FD78" s="29">
        <v>76</v>
      </c>
      <c r="FE78" s="29">
        <v>113</v>
      </c>
      <c r="FF78" s="29">
        <v>123</v>
      </c>
      <c r="FG78" s="21" t="str">
        <f t="shared" ca="1" si="277"/>
        <v>NORMAL</v>
      </c>
      <c r="FH78" s="31">
        <v>45064</v>
      </c>
      <c r="FI78" s="29">
        <f t="shared" si="278"/>
        <v>27</v>
      </c>
      <c r="FJ78" s="22" t="s">
        <v>867</v>
      </c>
      <c r="FK78" s="22">
        <v>44957</v>
      </c>
      <c r="FL78" s="29">
        <f t="shared" ca="1" si="279"/>
        <v>11.714285714285714</v>
      </c>
      <c r="FM78" s="22"/>
      <c r="FN78" s="32"/>
      <c r="FO78" s="29" t="str">
        <f t="shared" ref="FO78:FO141" ca="1" si="442">IF(AND(BT78="ERROR FUM O INGRESO",FN78&gt;0),"ERROR FUM O INGRESO",IF(AND(FN78="",R78="",O78=""),"",IF(AND(FN78&lt;&gt;"",FN78&lt;RW78), "INCOHERENCIA FUM Y FECHA TAMIZAJE",IF(AND(FN78="",DV78="ACTIVA INGRESO A CPN",AND(BU78&gt;0,BU78&lt;13)),"EN ESPERA-ESTÁ I TRIM", IF(AND(FN78="",AND(BS78&gt;0, BS78&lt;13),OR(O78&gt;0,R78&gt;0),AND(IP78&gt;0,IP78&lt;13)),"NO APLICA-SALIO DEL PROGRAMA I TRIM",IF(AND(FN78&lt;&gt;"",AND(SUM((FN78-RW78)/7)&gt;0,SUM((FN78-RW78)/7)&lt;13)),"REGISTRAR EN I TRIMESTRE",IF(AND(FN78&lt;&gt;"",AND(SUM((FN78-RW78)/7)&gt;=27,SUM((FN78-RW78)/7)&lt;44)),"REGISTRAR EN III TRIMESTRE",IF(AND(FN78="",OR(O78&gt;0,R78&gt;0),AND(BU78&gt;=13,BU78&lt;24),DV78="ACTIVA INGRESO A CPN"),"EN RANGO PARA TOMAR EXAMEN",IF(AND(FN78="",OR(O78&gt;0,R78&gt;0),AND(BU78&gt;=25,BU78&lt;27),DV78="ACTIVA INGRESO A CPN"),"TOMA INMEDIATA DE TAMIZAJE",IF(AND(FN78="",OR(O78&gt;0,R78&gt;0),AND(BS78&gt;=27,BS78&lt;44)),"NO APLICA-INGRESO TARDIO",IF(AND(FN78="",BS78&lt;27,OR(AND(IP78&gt;12,IP78&lt;44),BU78&gt;12)),"PIERDE TOMA DE TAMIZAJE",IF(FN78&gt;0,SUM(FN78-RW78)/7,""))))))))))))</f>
        <v>PIERDE TOMA DE TAMIZAJE</v>
      </c>
      <c r="FP78" s="22" t="s">
        <v>867</v>
      </c>
      <c r="FQ78" s="32">
        <v>45064</v>
      </c>
      <c r="FR78" s="29">
        <f t="shared" ref="FR78:FR141" ca="1" si="443">IF(AND(BT78="ERROR FUM O INGRESO",FQ78&gt;0),"ERROR FUM O INGRESO",IF(AND(FQ78="",R78="",O78=""),"",IF(AND(FQ78&lt;&gt;"",FQ78&lt;RW78), "INCOHERENCIA FUM Y FECHA TAMIZAJE",IF(AND(FQ78="",DV78="ACTIVA INGRESO A CPN",AND(BU78&gt;0,BU78&lt;27)),"EN ESPERA-ESTÁ I TRIM O II TRIM", IF(AND(FQ78="",AND(BS78&gt;0, BS78&lt;27),OR(O78&gt;0,R78&gt;0),AND(IP78&gt;0,IP78&lt;27)),"NO APLICA-SALIO DEL PROGRAMA I O II TRIM",IF(AND(FQ78&lt;&gt;"",AND(SUM((FQ78-RW78)/7)&gt;0,SUM((FQ78-RW78)/7)&lt;13)),"REGISTAR EN I TRIMESTRE",IF(AND(FQ78&lt;&gt;"",AND(SUM((FQ78-RW78)/7)&gt;=13,SUM((FQ78-RW78)/7)&lt;27)),"REGISTRAR EN II TRIMESTRE",IF(AND(FQ78="",OR(O78&gt;0,R78&gt;0),AND(BU78&gt;=28,BU78&lt;35),DV78="ACTIVA INGRESO A CPN"),"EN RANGO PARA TOMAR EXAMEN",IF(AND(FQ78="",OR(O78&gt;0,R78&gt;0),BU78&gt;=35, DV78="ACTIVA INGRESO A CPN"),"TOMA INMEDIATA DE TAMIZAJE",IF(AND(FQ78="",DV78= "SALE SIN INGRESO CPN"),"NO APLICA-SIN CPN",IF(AND(FQ78="",AND(IP78&gt;26,IP78&lt;43)),"PIERDE TOMA DE TAMIZAJE",IF(FQ78&gt;0,SUM(FQ78-RW78)/7,""))))))))))))</f>
        <v>27</v>
      </c>
      <c r="FS78" s="22"/>
      <c r="FT78" s="32"/>
      <c r="FU78" s="29" t="str">
        <f>IF(AND(FJ78="",FM78="",FP78="",FS78=""),"",IF(OR(OR(Tabla1[[#This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78" s="28"/>
      <c r="FW78" s="22"/>
      <c r="FX78" s="29" t="str">
        <f t="shared" si="280"/>
        <v>TOMAR EXAMEN</v>
      </c>
      <c r="FY78" s="22">
        <v>44957</v>
      </c>
      <c r="FZ78" s="22">
        <v>44957</v>
      </c>
      <c r="GA78" s="29">
        <f t="shared" ca="1" si="250"/>
        <v>11.714285714285714</v>
      </c>
      <c r="GB78" s="22"/>
      <c r="GC78" s="22"/>
      <c r="GD78" s="29" t="str">
        <f t="shared" ref="GD78:GD109" ca="1" si="444">IF(AND(BT78="ERROR FUM O INGRESO",GC78&gt;0),"ERROR FUM O INGRESO",IF(AND(GC78="",R78="",O78=""),"",IF(AND(GC78&lt;&gt;"",GC78&lt;RW78), "INCOHERENCIA FUM Y FECHA TAMIZAJE",IF(AND(GC78="",DV78="ACTIVA INGRESO A CPN",AND(BU78&gt;0,BU78&lt;13)),"EN ESPERA-ESTÁ I TRIM", IF(AND(GC78="",AND(BS78&gt;0, BS78&lt;12),OR(O78&gt;0,R78&gt;0),AND(IP78&gt;0,IP78&lt;13)),"NO APLICA-SALIO DEL PROGRAMA I TRIM",IF(AND(GC78&lt;&gt;"",AND(SUM((GC78-RW78)/7)&gt;0,SUM((GC78-RW78)/7)&lt;13)),"REGISTRAR EN I TRIMESTRE",IF(AND(GC78&lt;&gt;"",AND(SUM((GC78-RW78)/7)&gt;=27,SUM((GC78-RW78)/7)&lt;44)),"REGISTRAR EN III TRIMESTRE",IF(AND(GC78="",OR(O78&gt;0,R78&gt;0),AND(BU78&gt;=12,BU78&lt;25),DV78="ACTIVA INGRESO A CPN"),"EN RANGO PARA TOMAR EXAMEN",IF(AND(GC78="",OR(O78&gt;0,R78&gt;0),AND(BU78&gt;=25,BU78&lt;27),DV78="ACTIVA INGRESO A CPN"),"TOMA INMEDIATA DE TAMIZAJE",IF(AND(GC78="",OR(O78&gt;0,R78&gt;0),AND(BS78&gt;=27,BS78&lt;43)),"NO APLICA-INGRESO TARDIO",IF(AND(GC78="",BS78&lt;27),"PIERDE TOMA DE TAMIZAJE",IF(GC78&gt;0,SUM(GC78-RW78)/7,""))))))))))))</f>
        <v>PIERDE TOMA DE TAMIZAJE</v>
      </c>
      <c r="GE78" s="22" t="s">
        <v>1533</v>
      </c>
      <c r="GF78" s="22">
        <v>45064</v>
      </c>
      <c r="GG78" s="29">
        <f t="shared" ref="GG78:GG141" ca="1" si="445">IF(AND(BT78="ERROR FUM O INGRESO",GF78&gt;0),"ERROR FUM O INGRESO",IF(AND(GF78="",R78="",O78=""),"",IF(AND(GF78&lt;&gt;"",GF78&lt;RW78), "INCOHERENCIA FUM Y FECHA TAMIZAJE",IF(AND(GF78="",DV78="ACTIVA INGRESO A CPN",AND(BU78&gt;0,BU78&lt;27)),"EN ESPERA-ESTÁ I TRIM O II TRIM", IF(AND(GF78="",AND(BS78&gt;0, BS78&lt;28),OR(O78&gt;0,R78&gt;0),AND(IP78&gt;0,IP78&lt;28)),"NO APLICA-SALIO DEL PROGRAMA I O II TRIM",IF(AND(GF78&lt;&gt;"",AND(SUM((GF78-RW78)/7)&gt;0,SUM((GF78-RW78)/7)&lt;13)),"REGISTAR EN I TRIMESTRE",IF(AND(GF78&lt;&gt;"",AND(SUM((GF78-RW78)/7)&gt;=13,SUM((GF78-RW78)/7)&lt;27)),"REGISTRAR EN II TRIMESTRE",IF(AND(GF78="",OR(O78&gt;0,R78&gt;0),AND(BU78&gt;=28,BU78&lt;35),DV78="ACTIVA INGRESO A CPN"),"EN RANGO PARA TOMAR EXAMEN",IF(AND(GF78="",OR(O78&gt;0,R78&gt;0),BU78&gt;=35, DV78="ACTIVA INGRESO A CPN"),"TOMA INMEDIATA DE TAMIZAJE",IF(AND(GF78="",DV78= "SALE SIN INGRESO CPN"),"NO APLICA-SIN CPN",IF(AND(GF78="",BS78&lt;44),"PIERDE TOMA DE TAMIZAJE",IF(GF78&gt;0,SUM(GF78-RW78)/7,""))))))))))))</f>
        <v>27</v>
      </c>
      <c r="GH78" s="22"/>
      <c r="GI78" s="29"/>
      <c r="GJ78" s="22"/>
      <c r="GK78" s="22"/>
      <c r="GL78" s="22"/>
      <c r="GM78" s="22"/>
      <c r="GN78" s="28" t="s">
        <v>869</v>
      </c>
      <c r="GO78" s="22">
        <v>44957</v>
      </c>
      <c r="GP78" s="29">
        <f t="shared" si="283"/>
        <v>11.714285714285714</v>
      </c>
      <c r="GQ78" s="28" t="s">
        <v>869</v>
      </c>
      <c r="GR78" s="28" t="s">
        <v>869</v>
      </c>
      <c r="GS78" s="22" t="str">
        <f t="shared" si="284"/>
        <v>CONTROL Igm</v>
      </c>
      <c r="GT78" s="22">
        <v>44957</v>
      </c>
      <c r="GU78" s="29">
        <f t="shared" si="285"/>
        <v>11.714285714285714</v>
      </c>
      <c r="GV78" s="21" t="str">
        <f t="shared" si="286"/>
        <v>I TRIM</v>
      </c>
      <c r="GW78" s="28" t="s">
        <v>869</v>
      </c>
      <c r="GX78" s="30"/>
      <c r="GY78" s="21"/>
      <c r="GZ78" s="21"/>
      <c r="HA78" s="21"/>
      <c r="HB78" s="21"/>
      <c r="HC78" s="21"/>
      <c r="HD78" s="21"/>
      <c r="HE78" s="21"/>
      <c r="HF78" s="22"/>
      <c r="HG78" s="22" t="str">
        <f>IF(OR(O78&gt;0,R78&gt;0),CONCATENATE(IF(Tabla1[[#This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78" s="22" t="e">
        <f t="shared" si="287"/>
        <v>#REF!</v>
      </c>
      <c r="HI78" s="22" t="e">
        <f t="shared" ca="1" si="288"/>
        <v>#REF!</v>
      </c>
      <c r="HJ78" s="21" t="str">
        <f t="shared" ca="1" si="289"/>
        <v>**********************MULTIPARIDAD*ANTECEDENTE MUERTE PERINATAL****************</v>
      </c>
      <c r="HK78" s="21" t="str">
        <f t="shared" si="290"/>
        <v>SIN ANTECEDENTES DE RIESGO</v>
      </c>
      <c r="HL78" s="24" t="str">
        <f t="shared" si="291"/>
        <v>APARENTEMENTE NORMAL</v>
      </c>
      <c r="HM78" s="21" t="e">
        <f t="shared" ca="1" si="292"/>
        <v>#REF!</v>
      </c>
      <c r="HN78" s="30" t="str">
        <f t="shared" ref="HN78:HN141" si="446">IF(AND(R78&lt;&gt;"",IK78="CAMBIO DE RESIDENCIA"),"SEGUIMIENTO REPORTE EPS",IF(AND(R78&lt;&gt;"",OR(IK78&lt;&gt;"",IN78&lt;&gt;"")),"SALIO PROGRAMA",IF(AND(AND(R78="",O78&gt;0),OR(IK78&lt;&gt;"",IN78&lt;&gt;"")),"SALE SIN INGRESO CPN",IF(AND(R78="",O78&gt;0,IK78="",IN78=""),"ACTIVA SIN INGRESO CPN",IF(AND(R78&lt;&gt;"",OR(IK78="",IN78="")),"ACTIVA INGRESO A CPN","")))))</f>
        <v>ACTIVA INGRESO A CPN</v>
      </c>
      <c r="HO78" s="21"/>
      <c r="HP78" s="21"/>
      <c r="HQ78" s="21">
        <v>44931</v>
      </c>
      <c r="HR78" s="21" t="str">
        <f>IF(R78="","",IF(Tabla1[[#This Row],[ALARMA FACTORES DE RIESGO COMPLICACIONES HIPERTENSIVAS3]]="SIN ANTECEDENTES DE RIESGO","No Aplica para suministro de ASA",IF(AND(Tabla1[[#This Row],[FECHA INICIO DE SUMINISTRO DE ASA]]&gt;0,RV78&lt;12),"Inicia ASA ANTES de Sem 12",IF(AND(RV78&gt;11,RV78&lt;17,OR(HK78="RIESGO ALTO DE COMPLICACIONES HIPERTENSIVAS VER MANEJO GUIA SUMINISTRO ASA Y CALCIO",HK78="RIESGO MODERADO (2 O MAS CRITERIOS) VER MANEJO GUIA SUMINISTRO ASA Y CALCIO")),"Inicio oportuno de ASA",IF(AND(RV78&gt;12,OR(HK78="RIESGO ALTO DE COMPLICACIONES HIPERTENSIVAS VER MANEJO GUIA SUMINISTRO ASA Y CALCIO",HK78="RIESGO MODERADO (2 O MAS CRITERIOS) VER MANEJO GUIA SUMINISTRO ASA Y CALCIO")),"Inicio no oportuno mayor a 16 semanas",IF(AND(BU78&lt;12,OR(HK78="RIESGO ALTO DE COMPLICACIONES HIPERTENSIVAS VER MANEJO GUIA SUMINISTRO ASA Y CALCIO",HK78="RIESGO MODERADO (2 O MAS CRITERIOS) VER MANEJO GUIA SUMINISTRO ASA Y CALCIO")),"Pendiente Inicio de ASA a la semana 12",IF(AND(BU78&gt;11,BU78&lt;17,OR(HK78="RIESGO ALTO DE COMPLICACIONES HIPERTENSIVAS VER MANEJO GUIA SUMINISTRO ASA Y CALCIO",HK78="RIESGO MODERADO (2 O MAS CRITERIOS) VER MANEJO GUIA SUMINISTRO ASA Y CALCIO")),"Iniciar de inmediato ASA",IF(AND(BU78&gt;16,OR(HK78="RIESGO ALTO DE COMPLICACIONES HIPERTENSIVAS VER MANEJO GUIA SUMINISTRO ASA Y CALCIO",HK78="RIESGO MODERADO (2 O MAS CRITERIOS) VER MANEJO GUIA SUMINISTRO ASA Y CALCIO")),"Pierde Oportunidad, Inicio tardío de ASA","XXXXX"))))))))</f>
        <v>No Aplica para suministro de ASA</v>
      </c>
      <c r="HS78" s="22">
        <v>44931</v>
      </c>
      <c r="HT78" s="22" t="s">
        <v>935</v>
      </c>
      <c r="HU78" s="22"/>
      <c r="HV78" s="22" t="s">
        <v>870</v>
      </c>
      <c r="HW78" s="22">
        <v>44931</v>
      </c>
      <c r="HX78" s="22" t="s">
        <v>870</v>
      </c>
      <c r="HY78" s="22">
        <v>44931</v>
      </c>
      <c r="HZ78" s="28">
        <f t="shared" si="293"/>
        <v>8</v>
      </c>
      <c r="IA78" s="26"/>
      <c r="IB78" s="26"/>
      <c r="IC78" s="111"/>
      <c r="ID78" s="22"/>
      <c r="IE78" s="22" t="str">
        <f t="shared" ca="1" si="294"/>
        <v/>
      </c>
      <c r="IF78" s="22"/>
      <c r="IG78" s="22">
        <f t="shared" si="295"/>
        <v>45155</v>
      </c>
      <c r="IH78" s="29">
        <f t="shared" ca="1" si="296"/>
        <v>-77</v>
      </c>
      <c r="II78" s="22" t="str">
        <f t="shared" ca="1" si="297"/>
        <v>POSIBLEMENTE NACIO</v>
      </c>
      <c r="IJ78" s="22"/>
      <c r="IK78" s="21"/>
      <c r="IL78" s="21"/>
      <c r="IM78" s="34"/>
      <c r="IN78" s="349"/>
      <c r="IO78" s="21"/>
      <c r="IP78" s="29" t="str">
        <f t="shared" si="436"/>
        <v/>
      </c>
      <c r="IQ78" s="110"/>
      <c r="IR78" s="21"/>
      <c r="IS78" s="21"/>
      <c r="IT78" s="21"/>
      <c r="IU78" s="21"/>
      <c r="IV78" s="21"/>
      <c r="IW78" s="21"/>
      <c r="IX78" s="21"/>
      <c r="IY78" s="21"/>
      <c r="IZ78" s="21"/>
      <c r="JA78" s="21"/>
      <c r="JB78" s="30"/>
      <c r="JC78" s="21"/>
      <c r="JD78" s="36"/>
      <c r="JE78" s="21" t="str">
        <f t="shared" ref="JE78:JE109" si="447">IF(AND(JD78&gt;700,JD78&lt;2500,IP78&gt;36),"BAJO PESO AL NACER",IF(AND(JD78&gt;500,JD78&lt;2500,IP78&lt;37),"PREMATURO",IF(AND(JD78&gt;2499,JD78&lt;5000,IP78&lt;37),"ERROR VERIFICAR DATO EDAD GESTACIONAL VS PESO",IF(AND(JD78&gt;2499,JD78&lt;4000,IP78&gt;36),"PESO ADECUADO EDAD GESTACIONAL",IF(AND(JD78&gt;3999,JD78&lt;6000,IP78&gt;36),"PESO GRANDE EDAD GESTACIONAL","")))))</f>
        <v/>
      </c>
      <c r="JF78" s="30"/>
      <c r="JG78" s="21"/>
      <c r="JH78" s="21"/>
      <c r="JI78" s="21"/>
      <c r="JJ78" s="30"/>
      <c r="JK78" s="22"/>
      <c r="JL78" s="22"/>
      <c r="JM78" s="21"/>
      <c r="JN78" s="36"/>
      <c r="JO78" s="21" t="str">
        <f t="shared" ref="JO78:JO109" si="448">IF(AND(JN78&gt;700,JN78&lt;2500,IP78&gt;36,IP78&lt;43),"BAJO PESO AL NACER",IF(AND(JN78&gt;700,JN78&lt;2500,IP78&lt;37),"PREMATURO",IF(AND(JN78&gt;2499,JN78&lt;5000,IP78&lt;37),"ERROR VERIFICAR DATO EDAD GESTACIONAL VS PESO",IF(AND(JN78&gt;2499,JN78&lt;4000,IP78&gt;36,IP78&lt;43),"PESO ADECUADO EDAD GESTACIONAL",IF(AND(JN78&gt;3999,JN78&lt;6000,IP78&gt;36,IP78&lt;43),"PESO GRANDE EDAD GESTACIONAL","")))))</f>
        <v/>
      </c>
      <c r="JP78" s="22"/>
      <c r="JQ78" s="21"/>
      <c r="JR78" s="21"/>
      <c r="JS78" s="21"/>
      <c r="JT78" s="30"/>
      <c r="JU78" s="22"/>
      <c r="JV78" s="22"/>
      <c r="JW78" s="33"/>
      <c r="JX78" s="28" t="str">
        <f t="shared" ref="JX78:JX109" si="449">IF(AND(JW78&lt;&gt;"",JW78&lt;IN78),"INCONSISTENCIA FECHA CONTROL",IF(AND(OR(IK78="Parto",IK78="Cesarea"),JW78&gt;0,IN78&gt;0),SUM(JW78-IN78),IF(AND(OR(IK78="Parto",IK78="Cesarea"),JW78="",IN78&gt;0),"INASISTENTE","")))</f>
        <v/>
      </c>
      <c r="JY78" s="33"/>
      <c r="JZ78" s="28" t="str">
        <f t="shared" ref="JZ78:JZ109" si="450">IF(AND(JY78&lt;&gt;"",JY78&lt;IN78),"INCONSISTENCIA FECHA CONTROL",IF(AND(OR(IK78="Parto",IK78="Cesarea",IK78="Aborto Espontaneo",IK78="Aborto Inducido",IK78="IVE"),JY78&gt;0,IN78&gt;0),SUM(JY78-IN78),IF(AND(JY78&lt;&gt;"",JY78&lt;IN78),"INCONSISTENCIA FECHA CONTROL",IF(AND(OR(IK78="Parto",IK78="Cesarea",IK78="Aborto Espontaneo",IK78="Aborto Inducido",IK78="IVE"),JY78="",IN78&gt;0),"INASISTENTE",""))))</f>
        <v/>
      </c>
      <c r="KA78" s="21"/>
      <c r="KB78" s="21"/>
      <c r="KC78" s="21"/>
      <c r="KD78" s="37"/>
      <c r="KE78" s="28"/>
      <c r="KF78" s="28"/>
      <c r="KG78" s="28"/>
      <c r="KH78" s="39"/>
      <c r="KI78" s="39"/>
      <c r="KJ78" s="66"/>
      <c r="KK78" s="39"/>
      <c r="KL78" s="39"/>
      <c r="KM78" s="66"/>
      <c r="KN78" s="39"/>
      <c r="KO78" s="39"/>
      <c r="KP78" s="39"/>
      <c r="KQ78" s="39"/>
      <c r="KR78" s="39"/>
      <c r="KS78" s="39"/>
      <c r="KT78" s="39"/>
      <c r="KU78" s="38"/>
      <c r="KV78" s="38"/>
      <c r="KW78" s="38"/>
      <c r="KX78" s="38"/>
      <c r="KY78" s="38"/>
      <c r="KZ78" s="38"/>
      <c r="LA78" s="38"/>
      <c r="LB78" s="38"/>
      <c r="LC78" s="38"/>
      <c r="LD78" s="38"/>
      <c r="LE78" s="38"/>
      <c r="LF78" s="38"/>
      <c r="LG78" s="38"/>
      <c r="LH78" s="38"/>
      <c r="LI78" s="38"/>
      <c r="LJ78" s="38"/>
      <c r="LK78" s="38"/>
      <c r="LL78" s="38"/>
      <c r="LM78" s="38"/>
      <c r="LN78" s="38"/>
      <c r="LO78" s="38"/>
      <c r="LP78" s="38"/>
      <c r="LQ78" s="38"/>
      <c r="LR78" s="38"/>
      <c r="LS78" s="38"/>
      <c r="LT78" s="38"/>
      <c r="LU78" s="38"/>
      <c r="LV78" s="38"/>
      <c r="LW78" s="38"/>
      <c r="LX78" s="38"/>
      <c r="LY78" s="38"/>
      <c r="LZ78" s="38"/>
      <c r="MA78" s="38"/>
      <c r="MB78" s="38"/>
      <c r="MC78" s="38"/>
      <c r="MD78" s="38"/>
      <c r="ME78" s="38"/>
      <c r="MF78" s="38"/>
      <c r="MG78" s="38"/>
      <c r="MH78" s="43">
        <f t="shared" si="303"/>
        <v>0</v>
      </c>
      <c r="MI78" s="43" t="str">
        <f t="shared" si="304"/>
        <v/>
      </c>
      <c r="MJ78" s="43" t="str">
        <f t="shared" si="305"/>
        <v/>
      </c>
      <c r="MK78" s="43">
        <f t="shared" si="306"/>
        <v>0</v>
      </c>
      <c r="ML7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78" s="43">
        <f t="shared" si="307"/>
        <v>8</v>
      </c>
      <c r="MN78" s="43">
        <f t="shared" si="308"/>
        <v>1</v>
      </c>
      <c r="MO78" s="43">
        <f t="shared" si="309"/>
        <v>2023</v>
      </c>
      <c r="MP78" s="43" t="str">
        <f t="shared" si="310"/>
        <v>I TRIMESTRE AÑO</v>
      </c>
      <c r="MQ78" s="43">
        <f t="shared" si="311"/>
        <v>21.799715286903197</v>
      </c>
      <c r="MR78" s="43">
        <f t="shared" si="312"/>
        <v>0</v>
      </c>
      <c r="MS78" s="43" t="str">
        <f t="shared" si="313"/>
        <v xml:space="preserve"> DE 20 A 24 AÑOS</v>
      </c>
      <c r="MT78" s="43">
        <f t="shared" si="314"/>
        <v>1</v>
      </c>
      <c r="MU78" s="43">
        <f t="shared" si="315"/>
        <v>1</v>
      </c>
      <c r="MV78" s="43">
        <f t="shared" si="316"/>
        <v>0</v>
      </c>
      <c r="MW78" s="43">
        <f t="shared" si="317"/>
        <v>0</v>
      </c>
      <c r="MX78" s="43" t="str">
        <f t="shared" si="318"/>
        <v/>
      </c>
      <c r="MY78" s="43" t="str">
        <f t="shared" ref="MY78:MY109" ca="1" si="451">IF(AND(AND(BU78&gt;40.9,BU78&lt;43),IN78=""),1,"")</f>
        <v/>
      </c>
      <c r="MZ78" s="43" t="str">
        <f t="shared" si="319"/>
        <v/>
      </c>
      <c r="NA78" s="43" t="str">
        <f t="shared" si="320"/>
        <v/>
      </c>
      <c r="NB78" s="43" t="str">
        <f t="shared" si="321"/>
        <v/>
      </c>
      <c r="NC78" s="43" t="str">
        <f t="shared" si="322"/>
        <v/>
      </c>
      <c r="ND78" s="43">
        <f t="shared" ca="1" si="323"/>
        <v>2</v>
      </c>
      <c r="NE78" s="43">
        <f>IF(OR(O78&gt;0,R78&gt;0),SUM(COUNTIF(Tabla1[[#This Row],[AÑOS AL INICIO5 CPN]],"&gt;=40"),COUNTIF(AS78,"0"),COUNTIF(AR78,"SI"),COUNTIF(CC78,"SI"),COUNTIF(BQ78,"&gt;119"),COUNTIF(CI78,"&gt;=35")),"")</f>
        <v>1</v>
      </c>
      <c r="NF78" s="43" t="str">
        <f t="shared" si="324"/>
        <v/>
      </c>
      <c r="NG78" s="43">
        <f t="shared" si="325"/>
        <v>0</v>
      </c>
      <c r="NH78" s="43">
        <f t="shared" si="326"/>
        <v>84</v>
      </c>
      <c r="NI7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CPN",P78="NO"),"Z",IF(AND(Tabla1[[#This Row],[CITA PROXIMO CONTROL]]="CITA MANUAL",Tabla1[[#This Row],[GESTANTES ACTUALES]]="ACTIVA INGRESO A CPN"),"W",IF(AND(Tabla1[[#This Row],[GESTANTES ACTUALES]]="SALIO PROGRAMA",IN78=""),"S",IF(AND(Tabla1[[#This Row],[CITA PROXIMO CONTROL]]&gt;0,IN78=""),(Tabla1[[#This Row],[CITA PROXIMO CONTROL]]-TODAY()),"SD"))))))))</f>
        <v>#REF!</v>
      </c>
      <c r="NJ78" s="43">
        <f>MONTH(Tabla1[[#This Row],[FECHA DE SALIDA  DEL PROGRAMA]])</f>
        <v>1</v>
      </c>
      <c r="NK78" s="43">
        <f>YEAR(Tabla1[[#This Row],[FECHA DE SALIDA  DEL PROGRAMA]])</f>
        <v>1900</v>
      </c>
      <c r="NL78" s="43">
        <f t="shared" si="327"/>
        <v>25</v>
      </c>
      <c r="NM78" s="43" t="str">
        <f t="shared" si="251"/>
        <v>NO</v>
      </c>
      <c r="NN78" s="43" t="str">
        <f ca="1">IF(AND(O78&gt;0,R78=""),"NO CPN",IF(AND(O78="",R78=""),"",IF(AND(R78&gt;0,Tabla1[[#This Row],[SEMANAS DE GESTACION ACTUALIZADAS]]&lt;=12),"NO APLICA",IF(AND(FH78&lt;&gt;"",FN78&lt;&gt;""),"SI","NO"))))</f>
        <v>NO</v>
      </c>
      <c r="NO78" s="43" t="str">
        <f ca="1">IF(AND(O78&gt;0,R78=""),"NO CPN",IF(AND(O78="",R78=""),"",IF(AND(R78&gt;0,Tabla1[[#This Row],[SEMANAS DE GESTACION ACTUALIZADAS]]&lt;=27),"NO APLICA",IF(AND(ES78&lt;&gt;"",FQ78&lt;&gt;"",GF78&lt;&gt;""),"SI","NO"))))</f>
        <v>NO</v>
      </c>
      <c r="NP78" s="204" t="str">
        <f t="shared" si="328"/>
        <v>I TRIM</v>
      </c>
      <c r="NQ78" s="21">
        <f t="shared" si="437"/>
        <v>10</v>
      </c>
      <c r="NR78" s="21" t="str">
        <f t="shared" ref="NR78:NR109" ca="1" si="452">IF(AND(O78="",R78=""),"",IF(AND(BS78&gt;0,BS78&lt;12,IP78&gt;28,IP78&lt;44),3, IF(OR(AND(BS78&gt;=12,BS78&lt;28,IP78&gt;=28,IP78&lt;44),AND(BS78&gt;0,BS78&lt;12,IP78&gt;=12,IP78&lt;29)),2,IF(OR(AND(BS78&gt;=28,BS78&lt;44),AND(BS78&gt;0,BS78&lt;12,IP78&gt;0,IP78&lt;12),AND(BS78&gt;=12,BS78&lt;28,IP78&gt;=12,IP78&lt;28)),1,IF(AND(BS78&gt;0,BS78&lt;12,BU78&gt;=28,BU78&lt;44,DV78="ACTIVA INGRESO A CPN"),3,IF(OR(AND(BS78&gt;0,BS78&lt;12,BU78&gt;=12,BU78&lt;28,DV78="ACTIVA INGRESO A CPN"),AND(BS78&gt;=12,BS78&lt;28,BU78&gt;=28,BU78&lt;44,DV78="ACTIVA INGRESO A CPN")),2,IF(OR(AND(BS78&gt;0,BS78&lt;12,BU78&gt;0,BU78&lt;12,DV78="ACTIVA INGRESO A CPN"),AND(BS78&gt;=12,BS78&lt;28,BU78&gt;=12,BU78&lt;28,DV78="ACTIVA INGRESO A CPN")),1,"REVISAR FUM O FECHA SALIDA PROGRAMA")))))))</f>
        <v>REVISAR FUM O FECHA SALIDA PROGRAMA</v>
      </c>
      <c r="NS78" s="205">
        <f t="shared" ca="1" si="329"/>
        <v>2</v>
      </c>
      <c r="NT78" s="21">
        <f t="shared" ca="1" si="330"/>
        <v>2</v>
      </c>
      <c r="NU78" s="21" t="str">
        <f t="shared" ca="1" si="331"/>
        <v>POR DEFINIR</v>
      </c>
      <c r="NV78" s="21" t="str">
        <f t="shared" ca="1" si="332"/>
        <v>POR DEFINIR</v>
      </c>
      <c r="NW78" s="206" t="str">
        <f>IF(AND(O78="",R78=""),"",IF(OR(AND(Tabla1[[#This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78" s="207" t="str">
        <f t="shared" ca="1" si="333"/>
        <v>SIN VACUNAR</v>
      </c>
      <c r="NY78" s="43">
        <f>ROW(Tabla1[[#This Row],['# DE TAMIZAJES SIFILIS TOMADOS ]])</f>
        <v>78</v>
      </c>
      <c r="NZ78" s="43" t="str">
        <f t="shared" si="334"/>
        <v>Menor</v>
      </c>
      <c r="OA78" s="43" t="str">
        <f t="shared" si="335"/>
        <v>SOBREPESO</v>
      </c>
      <c r="OB78" s="43" t="str">
        <f t="shared" si="336"/>
        <v/>
      </c>
      <c r="OC78" s="43" t="str">
        <f t="shared" si="337"/>
        <v/>
      </c>
      <c r="OD78" s="43" t="str">
        <f t="shared" si="338"/>
        <v/>
      </c>
      <c r="OE78" s="43" t="str">
        <f t="shared" si="339"/>
        <v/>
      </c>
      <c r="OF78" s="43" t="str">
        <f t="shared" si="340"/>
        <v/>
      </c>
      <c r="OG78" s="43" t="str">
        <f t="shared" si="341"/>
        <v/>
      </c>
      <c r="OH78" s="43" t="str">
        <f t="shared" si="342"/>
        <v/>
      </c>
      <c r="OI78" s="43" t="str">
        <f t="shared" si="343"/>
        <v/>
      </c>
      <c r="OJ78" s="43" t="str">
        <f t="shared" si="344"/>
        <v/>
      </c>
      <c r="OK78" s="43" t="str">
        <f t="shared" si="345"/>
        <v/>
      </c>
      <c r="OL78" s="43" t="str">
        <f t="shared" si="346"/>
        <v/>
      </c>
      <c r="OM78" s="43" t="str">
        <f t="shared" si="347"/>
        <v/>
      </c>
      <c r="ON78" s="43" t="str">
        <f t="shared" si="348"/>
        <v/>
      </c>
      <c r="OO78" s="43" t="str">
        <f t="shared" si="349"/>
        <v/>
      </c>
      <c r="OP78" s="43" t="str">
        <f t="shared" si="350"/>
        <v/>
      </c>
      <c r="OQ78" s="43" t="str">
        <f t="shared" si="351"/>
        <v/>
      </c>
      <c r="OR78" s="43" t="str">
        <f t="shared" si="352"/>
        <v/>
      </c>
      <c r="OS78" s="43" t="str">
        <f t="shared" si="353"/>
        <v/>
      </c>
      <c r="OT78" s="43" t="str">
        <f t="shared" si="354"/>
        <v/>
      </c>
      <c r="OU78" s="43" t="str">
        <f t="shared" si="355"/>
        <v/>
      </c>
      <c r="OV78" s="110" t="str">
        <f t="shared" si="356"/>
        <v/>
      </c>
      <c r="OW78" s="43" t="str">
        <f t="shared" si="357"/>
        <v/>
      </c>
      <c r="OX78" s="43" t="str">
        <f t="shared" si="358"/>
        <v/>
      </c>
      <c r="OY78" s="43" t="str">
        <f t="shared" si="359"/>
        <v/>
      </c>
      <c r="OZ78" s="43" t="str">
        <f t="shared" si="360"/>
        <v/>
      </c>
      <c r="PA78" s="43" t="str">
        <f t="shared" si="361"/>
        <v/>
      </c>
      <c r="PB78" s="43" t="str">
        <f t="shared" si="362"/>
        <v/>
      </c>
      <c r="PC78" s="43" t="str">
        <f t="shared" si="363"/>
        <v/>
      </c>
      <c r="PD78" s="43" t="str">
        <f t="shared" si="364"/>
        <v/>
      </c>
      <c r="PE78" s="43" t="str">
        <f t="shared" si="365"/>
        <v/>
      </c>
      <c r="PF78" s="43" t="str">
        <f t="shared" si="366"/>
        <v/>
      </c>
      <c r="PG78" s="43" t="str">
        <f t="shared" si="367"/>
        <v/>
      </c>
      <c r="PH78" s="43" t="str">
        <f t="shared" si="368"/>
        <v/>
      </c>
      <c r="PI78" s="43">
        <f t="shared" si="369"/>
        <v>28</v>
      </c>
      <c r="PJ78" s="43" t="str">
        <f t="shared" si="370"/>
        <v/>
      </c>
      <c r="PK78" s="43" t="str">
        <f t="shared" si="371"/>
        <v/>
      </c>
      <c r="PL78" s="43" t="str">
        <f t="shared" si="372"/>
        <v/>
      </c>
      <c r="PM78" s="43" t="str">
        <f t="shared" si="373"/>
        <v/>
      </c>
      <c r="PN78" s="43" t="str">
        <f t="shared" si="374"/>
        <v/>
      </c>
      <c r="PO78" s="43" t="str">
        <f t="shared" si="375"/>
        <v/>
      </c>
      <c r="PP78" s="43" t="str">
        <f t="shared" si="376"/>
        <v/>
      </c>
      <c r="PQ78" s="43" t="str">
        <f t="shared" si="377"/>
        <v/>
      </c>
      <c r="PR78" s="43" t="str">
        <f t="shared" si="378"/>
        <v/>
      </c>
      <c r="PS78" s="43" t="str">
        <f t="shared" si="379"/>
        <v/>
      </c>
      <c r="PT78" s="43" t="str">
        <f t="shared" si="380"/>
        <v/>
      </c>
      <c r="PU78" s="43" t="str">
        <f t="shared" si="381"/>
        <v/>
      </c>
      <c r="PV78" s="43" t="str">
        <f t="shared" si="382"/>
        <v/>
      </c>
      <c r="PW78" s="43" t="str">
        <f t="shared" si="383"/>
        <v/>
      </c>
      <c r="PX78" s="43" t="str">
        <f t="shared" si="384"/>
        <v/>
      </c>
      <c r="PY78" s="43" t="str">
        <f t="shared" si="385"/>
        <v/>
      </c>
      <c r="PZ78" s="43" t="str">
        <f t="shared" si="386"/>
        <v/>
      </c>
      <c r="QA78" s="43" t="str">
        <f t="shared" si="387"/>
        <v/>
      </c>
      <c r="QB78" s="43" t="str">
        <f t="shared" si="388"/>
        <v/>
      </c>
      <c r="QC78" s="43" t="str">
        <f t="shared" si="389"/>
        <v>SOBREPESO</v>
      </c>
      <c r="QD78" s="43" t="str">
        <f t="shared" si="390"/>
        <v/>
      </c>
      <c r="QE78" s="43" t="str">
        <f t="shared" si="391"/>
        <v/>
      </c>
      <c r="QF78" s="43" t="str">
        <f t="shared" si="392"/>
        <v/>
      </c>
      <c r="QG78" s="43" t="str">
        <f t="shared" si="393"/>
        <v/>
      </c>
      <c r="QH78" s="43" t="str">
        <f t="shared" si="394"/>
        <v/>
      </c>
      <c r="QI78" s="43" t="str">
        <f t="shared" si="395"/>
        <v/>
      </c>
      <c r="QJ78" s="43" t="str">
        <f t="shared" si="396"/>
        <v/>
      </c>
      <c r="QK78" s="43" t="str">
        <f t="shared" si="397"/>
        <v/>
      </c>
      <c r="QL78" s="43" t="str">
        <f t="shared" si="398"/>
        <v/>
      </c>
      <c r="QM78" s="43" t="str">
        <f t="shared" si="399"/>
        <v/>
      </c>
      <c r="QN78" s="43" t="str">
        <f t="shared" si="400"/>
        <v/>
      </c>
      <c r="QO78" s="43" t="str">
        <f t="shared" si="401"/>
        <v/>
      </c>
      <c r="QP78" s="43" t="str">
        <f t="shared" si="402"/>
        <v/>
      </c>
      <c r="QQ78" s="43" t="str">
        <f t="shared" si="403"/>
        <v/>
      </c>
      <c r="QR78" s="43">
        <f t="shared" si="433"/>
        <v>28</v>
      </c>
      <c r="QS78" s="43"/>
      <c r="QT78" s="21" t="str">
        <f t="shared" si="404"/>
        <v/>
      </c>
      <c r="QU78" s="21" t="str">
        <f t="shared" si="405"/>
        <v/>
      </c>
      <c r="QV78" s="21" t="str">
        <f t="shared" si="406"/>
        <v/>
      </c>
      <c r="QW78" s="21" t="str">
        <f t="shared" si="407"/>
        <v/>
      </c>
      <c r="QX78" s="21" t="str">
        <f t="shared" si="408"/>
        <v/>
      </c>
      <c r="QY78" s="21" t="str">
        <f t="shared" si="409"/>
        <v/>
      </c>
      <c r="QZ78" s="21" t="str">
        <f t="shared" si="410"/>
        <v/>
      </c>
      <c r="RA78" s="21" t="str">
        <f t="shared" si="411"/>
        <v/>
      </c>
      <c r="RB78" s="21" t="str">
        <f t="shared" si="412"/>
        <v/>
      </c>
      <c r="RC78" s="21" t="str">
        <f t="shared" si="413"/>
        <v/>
      </c>
      <c r="RD78" s="21" t="str">
        <f t="shared" si="414"/>
        <v/>
      </c>
      <c r="RE78" s="21" t="str">
        <f t="shared" si="415"/>
        <v/>
      </c>
      <c r="RF78" s="21" t="str">
        <f t="shared" si="416"/>
        <v/>
      </c>
      <c r="RG78" s="21" t="str">
        <f t="shared" si="417"/>
        <v/>
      </c>
      <c r="RH78" s="21" t="str">
        <f t="shared" si="418"/>
        <v/>
      </c>
      <c r="RI78" s="21" t="str">
        <f t="shared" si="419"/>
        <v>ADECUADO PARA EDAD GESTACIONAL</v>
      </c>
      <c r="RJ78" s="21" t="str">
        <f t="shared" si="420"/>
        <v/>
      </c>
      <c r="RK78" s="21" t="str">
        <f t="shared" si="421"/>
        <v/>
      </c>
      <c r="RL78" s="21" t="str">
        <f t="shared" si="422"/>
        <v/>
      </c>
      <c r="RM78" s="21" t="str">
        <f t="shared" si="423"/>
        <v/>
      </c>
      <c r="RN78" s="21" t="str">
        <f t="shared" si="424"/>
        <v/>
      </c>
      <c r="RO78" s="21" t="str">
        <f t="shared" si="425"/>
        <v/>
      </c>
      <c r="RP78" s="21" t="str">
        <f t="shared" si="426"/>
        <v/>
      </c>
      <c r="RQ78" s="21" t="str">
        <f t="shared" si="427"/>
        <v/>
      </c>
      <c r="RR78" s="21" t="str">
        <f t="shared" si="428"/>
        <v/>
      </c>
      <c r="RS78" s="21" t="str">
        <f t="shared" si="429"/>
        <v/>
      </c>
      <c r="RT78" s="21" t="str">
        <f t="shared" si="430"/>
        <v/>
      </c>
      <c r="RU78" s="21" t="str">
        <f t="shared" si="431"/>
        <v/>
      </c>
      <c r="RV78" s="21">
        <f t="shared" si="432"/>
        <v>8</v>
      </c>
      <c r="RW78" s="284">
        <f>IF(OR(Tabla1[[#This Row],[FUM FORMULA CONFIABLE]]="",Tabla1[[#This Row],[FUM FORMULA CONFIABLE]]="SD"),"",IF(Tabla1[[#This Row],[FUM FORMULA CONFIABLE]]="CORREGIDA",Tabla1[[#This Row],[FUM X ECO 1]],Tabla1[[#This Row],[FUM x AMENORREA]]))</f>
        <v>44875</v>
      </c>
      <c r="RX78" s="21">
        <f>IF(AND(Tabla1[[#This Row],[FUM X ECO 1]]="",Tabla1[[#This Row],[FUM x AMENORREA]]=""),"",IF(AND(Tabla1[[#This Row],[FUM X ECO 1]]="",Tabla1[[#This Row],[FUM x AMENORREA]]&lt;&gt;""),"X",SUM(Tabla1[[#This Row],[FUM X ECO 1]]-Tabla1[[#This Row],[FUM x AMENORREA]])))</f>
        <v>1</v>
      </c>
      <c r="RY78" s="21">
        <f t="shared" si="434"/>
        <v>0</v>
      </c>
    </row>
    <row r="79" spans="1:493" ht="45" customHeight="1" x14ac:dyDescent="0.25">
      <c r="A79" s="109"/>
      <c r="B79" s="43"/>
      <c r="C79" s="43" t="s">
        <v>845</v>
      </c>
      <c r="D79" s="124" t="s">
        <v>846</v>
      </c>
      <c r="E79" s="43" t="s">
        <v>1237</v>
      </c>
      <c r="F79" s="43" t="s">
        <v>1238</v>
      </c>
      <c r="G79" s="43" t="s">
        <v>1239</v>
      </c>
      <c r="H79" s="43" t="s">
        <v>1240</v>
      </c>
      <c r="I79" s="109" t="s">
        <v>851</v>
      </c>
      <c r="J79" s="110">
        <v>1002846466</v>
      </c>
      <c r="K79" s="43" t="s">
        <v>852</v>
      </c>
      <c r="L79" s="175" t="s">
        <v>853</v>
      </c>
      <c r="M79" s="22">
        <v>35195</v>
      </c>
      <c r="N79" s="213">
        <f t="shared" ca="1" si="252"/>
        <v>27.4986301369863</v>
      </c>
      <c r="O79" s="22">
        <v>44939</v>
      </c>
      <c r="P79" s="214" t="str">
        <f t="shared" si="438"/>
        <v>SI</v>
      </c>
      <c r="Q79" s="26" t="s">
        <v>855</v>
      </c>
      <c r="R79" s="22">
        <v>44939</v>
      </c>
      <c r="S79" s="21" t="s">
        <v>856</v>
      </c>
      <c r="T79" s="24" t="s">
        <v>690</v>
      </c>
      <c r="U79" s="21" t="s">
        <v>857</v>
      </c>
      <c r="V79" s="21" t="s">
        <v>858</v>
      </c>
      <c r="W79" s="21" t="s">
        <v>1241</v>
      </c>
      <c r="X79" s="21" t="s">
        <v>1241</v>
      </c>
      <c r="Y79" s="21" t="s">
        <v>859</v>
      </c>
      <c r="Z79" s="21">
        <v>3188323562</v>
      </c>
      <c r="AA79" s="21" t="s">
        <v>860</v>
      </c>
      <c r="AB79" s="27" t="s">
        <v>861</v>
      </c>
      <c r="AC79" s="26" t="s">
        <v>862</v>
      </c>
      <c r="AD79" s="38" t="s">
        <v>846</v>
      </c>
      <c r="AE79" s="26" t="s">
        <v>854</v>
      </c>
      <c r="AF79" s="26" t="s">
        <v>854</v>
      </c>
      <c r="AG79" s="23" t="s">
        <v>864</v>
      </c>
      <c r="AH79" s="23" t="s">
        <v>864</v>
      </c>
      <c r="AI79" s="24" t="s">
        <v>863</v>
      </c>
      <c r="AJ79" s="23" t="s">
        <v>864</v>
      </c>
      <c r="AK79" s="220" t="str">
        <f>IF(AND(AD79="",AE79="",AF79="",AG79="",AH79="",AI79="",AJ79=""),"",IF(OR(Tabla1[[#This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EVALUACIÓN",IF(AND(O79="",R79=""),"",IF(AND(OR(O79&gt;0,R79&gt;0),NG79&gt;=0,NG79&lt;2),"SIN RIESGO",IF(AND(OR(O79&gt;0,R79&gt;0),NG79&gt;=2),"CON RIESGO","ASD")))))</f>
        <v>SIN RIESGO</v>
      </c>
      <c r="AL79" s="23" t="s">
        <v>864</v>
      </c>
      <c r="AM79" s="26" t="s">
        <v>864</v>
      </c>
      <c r="AN79" s="26" t="s">
        <v>864</v>
      </c>
      <c r="AO79" s="26" t="s">
        <v>864</v>
      </c>
      <c r="AP79" s="26" t="s">
        <v>864</v>
      </c>
      <c r="AQ79" s="26" t="s">
        <v>864</v>
      </c>
      <c r="AR79" s="26" t="s">
        <v>864</v>
      </c>
      <c r="AS79" s="21">
        <v>2</v>
      </c>
      <c r="AT79" s="21">
        <v>2</v>
      </c>
      <c r="AU79" s="21">
        <v>0</v>
      </c>
      <c r="AV79" s="26" t="s">
        <v>864</v>
      </c>
      <c r="AW79" s="21">
        <v>0</v>
      </c>
      <c r="AX79" s="26" t="s">
        <v>864</v>
      </c>
      <c r="AY79" s="26" t="s">
        <v>864</v>
      </c>
      <c r="AZ79" s="26" t="s">
        <v>864</v>
      </c>
      <c r="BA79" s="26" t="s">
        <v>864</v>
      </c>
      <c r="BB79" s="26" t="s">
        <v>864</v>
      </c>
      <c r="BC79" s="26" t="s">
        <v>864</v>
      </c>
      <c r="BD79" s="26" t="s">
        <v>864</v>
      </c>
      <c r="BE79" s="26" t="s">
        <v>864</v>
      </c>
      <c r="BF79" s="26" t="s">
        <v>864</v>
      </c>
      <c r="BG79" s="26" t="s">
        <v>864</v>
      </c>
      <c r="BH79" s="26" t="s">
        <v>864</v>
      </c>
      <c r="BI79" s="26" t="s">
        <v>864</v>
      </c>
      <c r="BJ79" s="26"/>
      <c r="BK79" s="26"/>
      <c r="BL79" s="26" t="s">
        <v>864</v>
      </c>
      <c r="BM79" s="26" t="s">
        <v>864</v>
      </c>
      <c r="BN79" s="22"/>
      <c r="BO79" s="22">
        <v>44842</v>
      </c>
      <c r="BP79" s="21" t="s">
        <v>854</v>
      </c>
      <c r="BQ79" s="222">
        <f t="shared" si="254"/>
        <v>0</v>
      </c>
      <c r="BR79" s="223">
        <f t="shared" si="255"/>
        <v>44838.2</v>
      </c>
      <c r="BS79" s="224">
        <f t="shared" si="256"/>
        <v>13.857142857142858</v>
      </c>
      <c r="BT79" s="216" t="str">
        <f t="shared" si="257"/>
        <v>II TRIM</v>
      </c>
      <c r="BU79" s="214" t="str">
        <f t="shared" ca="1" si="258"/>
        <v/>
      </c>
      <c r="BV79" s="25"/>
      <c r="BW79" s="22">
        <v>44995</v>
      </c>
      <c r="BX79" s="28">
        <v>22.4</v>
      </c>
      <c r="BY79" s="28" t="s">
        <v>989</v>
      </c>
      <c r="BZ79" s="22">
        <v>45021</v>
      </c>
      <c r="CA79" s="21">
        <v>25.4</v>
      </c>
      <c r="CB79" s="26" t="s">
        <v>864</v>
      </c>
      <c r="CC79" s="26" t="s">
        <v>864</v>
      </c>
      <c r="CD79" s="26"/>
      <c r="CE79" s="26" t="s">
        <v>864</v>
      </c>
      <c r="CF79" s="22" t="s">
        <v>1517</v>
      </c>
      <c r="CG79" s="21">
        <v>1.46</v>
      </c>
      <c r="CH79" s="21">
        <v>49.6</v>
      </c>
      <c r="CI79" s="214">
        <f t="shared" si="259"/>
        <v>23.268905986113722</v>
      </c>
      <c r="CJ79" s="225" t="e">
        <f>IF(AND(CI79&lt;10,CH79="SD"),"SIN DATO PESO PREGESTACION O I TRIM",IF(AND(OR(R79&gt;0,O79&gt;0),CI79="X"),"INGRESAR DATO DE PESO",IF(CI79="SD","INGRESAR DATO DE TALLA Y PESO",IF(AND(OR(Tabla1[[#This Row],[MOMENTO EN QUE SE REALIZA EL PESO AL INGRESO A CPN]]="PREGESTACIÓN",NZ79="Menor"),CI79&lt;18.5),"BAJO PESO",IF(AND(OR(Tabla1[[#This Row],[MOMENTO EN QUE SE REALIZA EL PESO AL INGRESO A CPN]]="PREGESTACIÓN",NZ79="Menor"),CI79&lt;25),"NORMAL",IF(AND(OR(Tabla1[[#This Row],[MOMENTO EN QUE SE REALIZA EL PESO AL INGRESO A CPN]]="PREGESTACIÓN",NZ79="Menor"),CI79&lt;30),"SOBREPESO",IF(AND(OR(Tabla1[[#This Row],[MOMENTO EN QUE SE REALIZA EL PESO AL INGRESO A CPN]]="PREGESTACIÓN",NZ79="Menor"),CI79&gt;=30,CI79&lt;50),"OBESIDAD",IF(AND(BS79&gt;0,Tabla1[[#This Row],[MOMENTO EN QUE SE REALIZA EL PESO AL INGRESO A CPN]]="GESTACIÓN"),HLOOKUP(NZ79,$OA$2:PH79,NY79),""))))))))</f>
        <v>#REF!</v>
      </c>
      <c r="CK79" s="212">
        <f t="shared" si="260"/>
        <v>45070</v>
      </c>
      <c r="CL79" s="21">
        <v>54.9</v>
      </c>
      <c r="CM79" s="214">
        <f t="shared" si="261"/>
        <v>25.755301182210548</v>
      </c>
      <c r="CN79" s="216">
        <f t="shared" si="262"/>
        <v>32</v>
      </c>
      <c r="CO79" s="216" t="e">
        <f>IF(PI79="","",IF(PI79&gt;0,HLOOKUP(PI79,$PJ$2:QQ79,NY79),""))</f>
        <v>#REF!</v>
      </c>
      <c r="CP79" s="21">
        <v>30</v>
      </c>
      <c r="CQ79" s="216" t="e">
        <f>IF(QR79="Menor","NO APLICA-MENOR 13 SEM",IF(AND(CC79="SI",CN79&gt;23),"NO APLICA- GEMELAR",IF(QR79="","",IF(QR79&gt;0,HLOOKUP(QR79,$QS$2:RU79,NY79),""))))</f>
        <v>#REF!</v>
      </c>
      <c r="CR79" s="21">
        <v>100</v>
      </c>
      <c r="CS79" s="21">
        <v>70</v>
      </c>
      <c r="CT79" s="217" t="str">
        <f>IF(R79="","",IF(AND(BS79&gt;1,BS79&lt;12,Tabla1[[#This Row],[T.A. SISTOLICA - ANTES DE SEMANA 12]]="",Tabla1[[#This Row],[T.A. DIASTOLICA - ANTES DE SEMANA 12]]=""),"REGISTRE DATO TA ANTES SEMANA 12",IF(AND(BS79&gt;11,BS79&lt;43,Tabla1[[#This Row],[T.A. SISTOLICA - ANTES DE SEMANA 12]]="",Tabla1[[#This Row],[T.A. DIASTOLICA - ANTES DE SEMANA 12]]=""),"NO APLICA REGISTRO TA-INGRESO TARDIO",IF(AND(OR(O79&gt;0,R79&gt;0),OR(CR79&gt;=140,CS79&gt;=90)),"DEFINIR ESTADIO HTA",IF(AND(OR(O79&gt;0,R79&gt;0),AND(CR79&gt;120,CR79&lt;=139)),"PRE HTA SEGUIMIENTO",IF(AND(OR(O79&gt;0,R79&gt;0),AND(CS79&gt;80,CS79&lt;=89)),"PRE HTA SEGUIMIENTO",IF(AND(OR(O79&gt;0,R79&gt;0),AND(CR79&gt;=80,CR79&lt;=120)),"APARENTEMENTE NORMAL",IF(AND(OR(O79&gt;0,R79&gt;0),AND(CS79&gt;=50,CS79&lt;=80)),"APARENTEMENTE NORMAL",IF(AND(OR(O79&gt;0,R79&gt;0),AND(CR79&gt;1,CR79&lt;=70),AND(CS79&gt;1,CS79&lt;=40)),"HIPOTENSIÓN","")))))))))</f>
        <v>APARENTEMENTE NORMAL</v>
      </c>
      <c r="CU79" s="21"/>
      <c r="CV79" s="21"/>
      <c r="CW79" s="217" t="str">
        <f ca="1">IF(R79="","",IF(AND(CN79&gt;19,CN79&lt;27,Tabla1[[#This Row],[T.A. SISTOLICA (Entre semana 20 y 26)]]="",Tabla1[[#This Row],[T.A. DIATOLICA (Entre semana 20 y 26)]]=""),"ACUDE A CONTROL SEM 20 A 26 REGISTRE TA AHORA",IF(AND(BS79&gt;1,BS79&lt;27,BU79&gt;19,Tabla1[[#This Row],[T.A. SISTOLICA (Entre semana 20 y 26)]]="",Tabla1[[#This Row],[T.A. DIATOLICA (Entre semana 20 y 26)]]=""),"COMPLETE REGISTRO TA CONTROL SEM 20 A26 ",IF(AND(BS79&gt;26,BS79&lt;43,Tabla1[[#This Row],[T.A. SISTOLICA (Entre semana 20 y 26)]]="",Tabla1[[#This Row],[T.A. DIATOLICA (Entre semana 20 y 26)]]=""),"NO APLICA REGISTRO TA-INGRESO TARDIO",IF(AND(OR(O79&gt;0,R79&gt;0),OR(CU79&gt;=140,CV79&gt;=90)),"ALTO RIESGO PREECLAMPSIA,DEFINIR ESTADIO HTA",IF(AND(OR(O79&gt;0,R79&gt;0),AND(CU79&gt;120,CU79&lt;=139)),"PRE HTA SEGUIMIENTO,RIESGO HIPERTENSION INDUCIDA POR EL EMBARAZO",IF(AND(OR(O79&gt;0,R79&gt;0),AND(CV79&gt;80,CV79&lt;=89)),"PRE HTA SEGUIMIENTO, RIESGO HIPERTENSION INDUCIDA POR EL EMBARAZO",IF(AND(OR(O79&lt;&gt;"",R79&lt;&gt;""),CS79&lt;&gt;"",CV79&lt;&gt;"",CS79&lt;=CV79),"VIGILAR CIFRAS PRESION ARTERIAL",IF(AND(OR(O79&gt;0,R79&gt;0),AND(CU79&gt;120,CU79&lt;=139)),"PRE HTA SEGUIMIENTO",IF(AND(OR(O79&gt;0,R79&gt;0),AND(CU79&gt;1,CU79&lt;=70),AND(CV79&gt;1,CV79&lt;=40)),"HIPOTENSIÓN",IF(AND(OR(O79&lt;&gt;"",R79&lt;&gt;""),CS79&lt;&gt;"",CV79&lt;&gt;"",CS79&gt;CV79),"APARENTEMENTE NORMAL",IF(AND(OR(O79&gt;0,R79&gt;0),AND(CU79&gt;=80,CU79&lt;=120)),"APARENTEMENTE NORMAL",IF(AND(OR(O79&gt;0,R79&gt;0),AND(CV79&gt;=50,CV79&lt;=80)),"APARENTEMENTE NORMAL","")))))))))))))</f>
        <v xml:space="preserve">COMPLETE REGISTRO TA CONTROL SEM 20 A26 </v>
      </c>
      <c r="CX79" s="21">
        <v>90</v>
      </c>
      <c r="CY79" s="21">
        <v>60</v>
      </c>
      <c r="CZ79" s="216" t="str">
        <f t="shared" si="263"/>
        <v>APARENTEMENTE NORMAL</v>
      </c>
      <c r="DA79" s="21">
        <v>90</v>
      </c>
      <c r="DB79" s="21">
        <v>60</v>
      </c>
      <c r="DC79" s="217" t="str">
        <f t="shared" si="264"/>
        <v>APARENTEMENTE NORMAL</v>
      </c>
      <c r="DD79" s="22">
        <v>44939</v>
      </c>
      <c r="DE79" s="22">
        <v>44939</v>
      </c>
      <c r="DF79" s="22">
        <v>44973</v>
      </c>
      <c r="DG79" s="22">
        <v>45001</v>
      </c>
      <c r="DH79" s="22">
        <v>45037</v>
      </c>
      <c r="DI79" s="22">
        <v>45070</v>
      </c>
      <c r="DJ79" s="22"/>
      <c r="DK79" s="22"/>
      <c r="DL79" s="22"/>
      <c r="DM79" s="22"/>
      <c r="DN79" s="22"/>
      <c r="DO79" s="22"/>
      <c r="DP79" s="22"/>
      <c r="DQ79" s="22"/>
      <c r="DR79" s="28">
        <v>1</v>
      </c>
      <c r="DS79" s="22"/>
      <c r="DT79" s="22"/>
      <c r="DU79" s="216" t="str">
        <f t="shared" ca="1" si="439"/>
        <v>SALE PROGRAMA ANTES SEMANA 35</v>
      </c>
      <c r="DV79" s="226" t="str">
        <f t="shared" si="440"/>
        <v>SALIO PROGRAMA</v>
      </c>
      <c r="DW79"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79" s="216" t="str">
        <f t="shared" ca="1" si="266"/>
        <v/>
      </c>
      <c r="DY79" s="212">
        <f>IF(R79="","",IF(R79&gt;0,MAX(Tabla1[[#This Row],[FECHA C2]:[FECHA C13]],Tabla1[[#This Row],[FECHA CONSULTA PRIMERA VEZ PROGRAMA CPN ]])))</f>
        <v>45070</v>
      </c>
      <c r="DZ79" s="216">
        <f t="shared" si="267"/>
        <v>32</v>
      </c>
      <c r="EA79" s="222">
        <f>IF(R79&gt;0,SUM(COUNTA(DF79:DQ79)+COUNTA(Tabla1[[#This Row],[FECHA CONSULTA PRIMERA VEZ PROGRAMA CPN ]])),"")</f>
        <v>5</v>
      </c>
      <c r="EB79" s="222" t="str">
        <f t="shared" si="268"/>
        <v>SI</v>
      </c>
      <c r="EC79" s="214">
        <f t="shared" si="269"/>
        <v>8</v>
      </c>
      <c r="ED79" s="227">
        <f t="shared" si="270"/>
        <v>0.625</v>
      </c>
      <c r="EE79" s="22">
        <v>44939</v>
      </c>
      <c r="EF79" s="22">
        <v>44939</v>
      </c>
      <c r="EG79" s="22">
        <v>44939</v>
      </c>
      <c r="EH79" s="22"/>
      <c r="EI79" s="22">
        <v>44939</v>
      </c>
      <c r="EJ79" s="22">
        <v>45016</v>
      </c>
      <c r="EK79" s="22"/>
      <c r="EL79" s="21"/>
      <c r="EM79" s="21">
        <v>13</v>
      </c>
      <c r="EN79" s="22">
        <v>44995</v>
      </c>
      <c r="EO79" s="222">
        <f t="shared" si="271"/>
        <v>21.857142857142858</v>
      </c>
      <c r="EP79" s="214" t="str">
        <f t="shared" si="272"/>
        <v>NORMAL- SUMINISTRAR SULFATO FERROSO</v>
      </c>
      <c r="EQ79" s="216" t="str">
        <f t="shared" si="273"/>
        <v>II TRIM</v>
      </c>
      <c r="ER79" s="24"/>
      <c r="ES79" s="22"/>
      <c r="ET79" s="29" t="str">
        <f t="shared" ca="1" si="441"/>
        <v>SALE SIN TAMIZAJE HEMOGLOBINA SEM 28</v>
      </c>
      <c r="EU79" s="25" t="str">
        <f t="shared" si="275"/>
        <v/>
      </c>
      <c r="EV79" s="24" t="s">
        <v>1510</v>
      </c>
      <c r="EW79" s="24">
        <v>44995</v>
      </c>
      <c r="EX79" s="22"/>
      <c r="EY79" s="29">
        <f t="shared" si="248"/>
        <v>21.857142857142858</v>
      </c>
      <c r="EZ79" s="25" t="str">
        <f t="shared" si="249"/>
        <v>SIN RIESGO DE ISOINMUNIZACIÓN</v>
      </c>
      <c r="FA79" s="21">
        <v>69</v>
      </c>
      <c r="FB79" s="22">
        <v>44995</v>
      </c>
      <c r="FC79" s="29">
        <f t="shared" si="276"/>
        <v>21.857142857142858</v>
      </c>
      <c r="FD79" s="29"/>
      <c r="FE79" s="29"/>
      <c r="FF79" s="29"/>
      <c r="FG79" s="21" t="str">
        <f t="shared" ca="1" si="277"/>
        <v/>
      </c>
      <c r="FH79" s="31"/>
      <c r="FI79" s="29" t="str">
        <f t="shared" si="278"/>
        <v>TOMAR EXAMEN</v>
      </c>
      <c r="FJ79" s="22"/>
      <c r="FK79" s="22"/>
      <c r="FL79" s="29" t="str">
        <f t="shared" ca="1" si="279"/>
        <v>NO APLICA-INGRESO TARDIO</v>
      </c>
      <c r="FM79" s="22" t="s">
        <v>867</v>
      </c>
      <c r="FN79" s="32">
        <v>44973</v>
      </c>
      <c r="FO79" s="29">
        <f t="shared" ca="1" si="442"/>
        <v>18.714285714285715</v>
      </c>
      <c r="FP79" s="22" t="s">
        <v>867</v>
      </c>
      <c r="FQ79" s="32">
        <v>45072</v>
      </c>
      <c r="FR79" s="29">
        <f t="shared" ca="1" si="443"/>
        <v>32.857142857142854</v>
      </c>
      <c r="FS79" s="22"/>
      <c r="FT79" s="32"/>
      <c r="FU79" s="29" t="str">
        <f>IF(AND(FJ79="",FM79="",FP79="",FS79=""),"",IF(OR(OR(Tabla1[[#This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79" s="28"/>
      <c r="FW79" s="22"/>
      <c r="FX79" s="29" t="str">
        <f t="shared" si="280"/>
        <v>TOMAR EXAMEN</v>
      </c>
      <c r="FY79" s="22">
        <v>44939</v>
      </c>
      <c r="FZ79" s="22">
        <v>44939</v>
      </c>
      <c r="GA79" s="29" t="str">
        <f t="shared" si="250"/>
        <v>REGISTRAR EN II TRIMESTRE</v>
      </c>
      <c r="GB79" s="22" t="s">
        <v>868</v>
      </c>
      <c r="GC79" s="22">
        <v>44995</v>
      </c>
      <c r="GD79" s="29">
        <f t="shared" ca="1" si="444"/>
        <v>21.857142857142858</v>
      </c>
      <c r="GE79" s="22" t="s">
        <v>868</v>
      </c>
      <c r="GF79" s="22">
        <v>45072</v>
      </c>
      <c r="GG79" s="29">
        <f t="shared" ca="1" si="445"/>
        <v>32.857142857142854</v>
      </c>
      <c r="GH79" s="22"/>
      <c r="GI79" s="29"/>
      <c r="GJ79" s="22"/>
      <c r="GK79" s="22"/>
      <c r="GL79" s="22"/>
      <c r="GM79" s="22"/>
      <c r="GN79" s="28" t="s">
        <v>869</v>
      </c>
      <c r="GO79" s="22">
        <v>44995</v>
      </c>
      <c r="GP79" s="29">
        <f t="shared" si="283"/>
        <v>21.857142857142858</v>
      </c>
      <c r="GQ79" s="28" t="s">
        <v>869</v>
      </c>
      <c r="GR79" s="28" t="s">
        <v>869</v>
      </c>
      <c r="GS79" s="22" t="str">
        <f t="shared" si="284"/>
        <v>CONTROL Igm</v>
      </c>
      <c r="GT79" s="22">
        <v>44995</v>
      </c>
      <c r="GU79" s="29">
        <f t="shared" si="285"/>
        <v>21.857142857142858</v>
      </c>
      <c r="GV79" s="21" t="str">
        <f t="shared" si="286"/>
        <v>II TRIM</v>
      </c>
      <c r="GW79" s="28" t="s">
        <v>869</v>
      </c>
      <c r="GX79" s="30"/>
      <c r="GY79" s="21"/>
      <c r="GZ79" s="21"/>
      <c r="HA79" s="21"/>
      <c r="HB79" s="21"/>
      <c r="HC79" s="21"/>
      <c r="HD79" s="21"/>
      <c r="HE79" s="21"/>
      <c r="HF79" s="22"/>
      <c r="HG79" s="22" t="str">
        <f>IF(OR(O79&gt;0,R79&gt;0),CONCATENATE(IF(Tabla1[[#This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79" s="22" t="e">
        <f t="shared" si="287"/>
        <v>#REF!</v>
      </c>
      <c r="HI79" s="22" t="e">
        <f t="shared" ca="1" si="288"/>
        <v>#REF!</v>
      </c>
      <c r="HJ79" s="21" t="str">
        <f t="shared" ca="1" si="289"/>
        <v>***************************************</v>
      </c>
      <c r="HK79" s="21" t="str">
        <f t="shared" si="290"/>
        <v>SIN ANTECEDENTES DE RIESGO</v>
      </c>
      <c r="HL79" s="24" t="str">
        <f t="shared" si="291"/>
        <v>APARENTEMENTE NORMAL</v>
      </c>
      <c r="HM79" s="21" t="str">
        <f t="shared" ca="1" si="292"/>
        <v/>
      </c>
      <c r="HN79" s="30" t="str">
        <f t="shared" si="446"/>
        <v>SALIO PROGRAMA</v>
      </c>
      <c r="HO79" s="21"/>
      <c r="HP79" s="21"/>
      <c r="HQ79" s="21">
        <v>44939</v>
      </c>
      <c r="HR79" s="21" t="str">
        <f>IF(R79="","",IF(Tabla1[[#This Row],[ALARMA FACTORES DE RIESGO COMPLICACIONES HIPERTENSIVAS3]]="SIN ANTECEDENTES DE RIESGO","No Aplica para suministro de ASA",IF(AND(Tabla1[[#This Row],[FECHA INICIO DE SUMINISTRO DE ASA]]&gt;0,RV79&lt;12),"Inicia ASA ANTES de Sem 12",IF(AND(RV79&gt;11,RV79&lt;17,OR(HK79="RIESGO ALTO DE COMPLICACIONES HIPERTENSIVAS VER MANEJO GUIA SUMINISTRO ASA Y CALCIO",HK79="RIESGO MODERADO (2 O MAS CRITERIOS) VER MANEJO GUIA SUMINISTRO ASA Y CALCIO")),"Inicio oportuno de ASA",IF(AND(RV79&gt;12,OR(HK79="RIESGO ALTO DE COMPLICACIONES HIPERTENSIVAS VER MANEJO GUIA SUMINISTRO ASA Y CALCIO",HK79="RIESGO MODERADO (2 O MAS CRITERIOS) VER MANEJO GUIA SUMINISTRO ASA Y CALCIO")),"Inicio no oportuno mayor a 16 semanas",IF(AND(BU79&lt;12,OR(HK79="RIESGO ALTO DE COMPLICACIONES HIPERTENSIVAS VER MANEJO GUIA SUMINISTRO ASA Y CALCIO",HK79="RIESGO MODERADO (2 O MAS CRITERIOS) VER MANEJO GUIA SUMINISTRO ASA Y CALCIO")),"Pendiente Inicio de ASA a la semana 12",IF(AND(BU79&gt;11,BU79&lt;17,OR(HK79="RIESGO ALTO DE COMPLICACIONES HIPERTENSIVAS VER MANEJO GUIA SUMINISTRO ASA Y CALCIO",HK79="RIESGO MODERADO (2 O MAS CRITERIOS) VER MANEJO GUIA SUMINISTRO ASA Y CALCIO")),"Iniciar de inmediato ASA",IF(AND(BU79&gt;16,OR(HK79="RIESGO ALTO DE COMPLICACIONES HIPERTENSIVAS VER MANEJO GUIA SUMINISTRO ASA Y CALCIO",HK79="RIESGO MODERADO (2 O MAS CRITERIOS) VER MANEJO GUIA SUMINISTRO ASA Y CALCIO")),"Pierde Oportunidad, Inicio tardío de ASA","XXXXX"))))))))</f>
        <v>No Aplica para suministro de ASA</v>
      </c>
      <c r="HS79" s="22">
        <v>44939</v>
      </c>
      <c r="HT79" s="22" t="s">
        <v>870</v>
      </c>
      <c r="HU79" s="22">
        <v>44939</v>
      </c>
      <c r="HV79" s="22" t="s">
        <v>870</v>
      </c>
      <c r="HW79" s="22">
        <v>44939</v>
      </c>
      <c r="HX79" s="22" t="s">
        <v>870</v>
      </c>
      <c r="HY79" s="22">
        <v>44939</v>
      </c>
      <c r="HZ79" s="28">
        <f t="shared" si="293"/>
        <v>13.857142857142858</v>
      </c>
      <c r="IA79" s="26" t="s">
        <v>864</v>
      </c>
      <c r="IB79" s="26"/>
      <c r="IC79" s="111"/>
      <c r="ID79" s="22">
        <v>44995</v>
      </c>
      <c r="IE79" s="22" t="str">
        <f t="shared" ca="1" si="294"/>
        <v>VACUNA APLICADA ENTRE SEMANA 20 Y SEMANA 26</v>
      </c>
      <c r="IF79" s="22"/>
      <c r="IG79" s="22">
        <f t="shared" si="295"/>
        <v>45122</v>
      </c>
      <c r="IH79" s="29">
        <f t="shared" ca="1" si="296"/>
        <v>-110</v>
      </c>
      <c r="II79" s="22" t="str">
        <f t="shared" ca="1" si="297"/>
        <v>POSIBLEMENTE NACIO</v>
      </c>
      <c r="IJ79" s="22"/>
      <c r="IK79" s="21" t="s">
        <v>1652</v>
      </c>
      <c r="IL79" s="21"/>
      <c r="IM79" s="34"/>
      <c r="IN79" s="349">
        <v>45074</v>
      </c>
      <c r="IO79" s="21" t="s">
        <v>1186</v>
      </c>
      <c r="IP79" s="29">
        <f t="shared" si="436"/>
        <v>33.142857142857146</v>
      </c>
      <c r="IQ79" s="35" t="s">
        <v>1650</v>
      </c>
      <c r="IR79" s="21" t="s">
        <v>1651</v>
      </c>
      <c r="IS79" s="21" t="s">
        <v>1646</v>
      </c>
      <c r="IT79" s="21" t="s">
        <v>1642</v>
      </c>
      <c r="IU79" s="21"/>
      <c r="IV79" s="21"/>
      <c r="IW79" s="21"/>
      <c r="IX79" s="21"/>
      <c r="IY79" s="21"/>
      <c r="IZ79" s="21"/>
      <c r="JA79" s="21"/>
      <c r="JB79" s="30">
        <v>1</v>
      </c>
      <c r="JC79" s="21" t="s">
        <v>1647</v>
      </c>
      <c r="JD79" s="36">
        <v>2000</v>
      </c>
      <c r="JE79" s="21" t="str">
        <f t="shared" si="447"/>
        <v>PREMATURO</v>
      </c>
      <c r="JF79" s="30"/>
      <c r="JG79" s="21"/>
      <c r="JH79" s="21"/>
      <c r="JI79" s="21" t="s">
        <v>854</v>
      </c>
      <c r="JJ79" s="30" t="s">
        <v>866</v>
      </c>
      <c r="JK79" s="22"/>
      <c r="JL79" s="22"/>
      <c r="JM79" s="21"/>
      <c r="JN79" s="36"/>
      <c r="JO79" s="21" t="str">
        <f t="shared" si="448"/>
        <v/>
      </c>
      <c r="JP79" s="22"/>
      <c r="JQ79" s="21"/>
      <c r="JR79" s="21"/>
      <c r="JS79" s="21"/>
      <c r="JT79" s="30"/>
      <c r="JU79" s="22"/>
      <c r="JV79" s="22"/>
      <c r="JW79" s="33"/>
      <c r="JX79" s="28" t="str">
        <f t="shared" si="449"/>
        <v>INASISTENTE</v>
      </c>
      <c r="JY79" s="33"/>
      <c r="JZ79" s="28" t="str">
        <f t="shared" si="450"/>
        <v>INASISTENTE</v>
      </c>
      <c r="KA79" s="21"/>
      <c r="KB79" s="21"/>
      <c r="KC79" s="21"/>
      <c r="KD79" s="37"/>
      <c r="KE79" s="28"/>
      <c r="KF79" s="28"/>
      <c r="KG79" s="28"/>
      <c r="KH79" s="39"/>
      <c r="KI79" s="39"/>
      <c r="KJ79" s="66"/>
      <c r="KK79" s="39"/>
      <c r="KL79" s="39"/>
      <c r="KM79" s="66"/>
      <c r="KN79" s="39"/>
      <c r="KO79" s="39"/>
      <c r="KP79" s="39"/>
      <c r="KQ79" s="39"/>
      <c r="KR79" s="39"/>
      <c r="KS79" s="39"/>
      <c r="KT79" s="39"/>
      <c r="KU79" s="38"/>
      <c r="KV79" s="38"/>
      <c r="KW79" s="38"/>
      <c r="KX79" s="38"/>
      <c r="KY79" s="38"/>
      <c r="KZ79" s="38"/>
      <c r="LA79" s="38"/>
      <c r="LB79" s="38"/>
      <c r="LC79" s="38"/>
      <c r="LD79" s="38"/>
      <c r="LE79" s="38"/>
      <c r="LF79" s="38"/>
      <c r="LG79" s="38"/>
      <c r="LH79" s="38"/>
      <c r="LI79" s="38"/>
      <c r="LJ79" s="38"/>
      <c r="LK79" s="38"/>
      <c r="LL79" s="38"/>
      <c r="LM79" s="38"/>
      <c r="LN79" s="38"/>
      <c r="LO79" s="38"/>
      <c r="LP79" s="38"/>
      <c r="LQ79" s="38"/>
      <c r="LR79" s="38"/>
      <c r="LS79" s="38"/>
      <c r="LT79" s="38"/>
      <c r="LU79" s="38"/>
      <c r="LV79" s="38"/>
      <c r="LW79" s="38"/>
      <c r="LX79" s="38"/>
      <c r="LY79" s="38"/>
      <c r="LZ79" s="38"/>
      <c r="MA79" s="38"/>
      <c r="MB79" s="38"/>
      <c r="MC79" s="38"/>
      <c r="MD79" s="38"/>
      <c r="ME79" s="38"/>
      <c r="MF79" s="38"/>
      <c r="MG79" s="38"/>
      <c r="MH79" s="43">
        <f t="shared" si="303"/>
        <v>0</v>
      </c>
      <c r="MI79" s="43" t="str">
        <f t="shared" si="304"/>
        <v/>
      </c>
      <c r="MJ79" s="43" t="str">
        <f t="shared" si="305"/>
        <v/>
      </c>
      <c r="MK79" s="43">
        <f t="shared" si="306"/>
        <v>0</v>
      </c>
      <c r="ML7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79" s="43">
        <f t="shared" si="307"/>
        <v>13.857142857142858</v>
      </c>
      <c r="MN79" s="43">
        <f t="shared" si="308"/>
        <v>1</v>
      </c>
      <c r="MO79" s="43">
        <f t="shared" si="309"/>
        <v>2023</v>
      </c>
      <c r="MP79" s="43" t="str">
        <f t="shared" si="310"/>
        <v>I TRIMESTRE AÑO</v>
      </c>
      <c r="MQ79" s="43">
        <f t="shared" si="311"/>
        <v>26.289421813403418</v>
      </c>
      <c r="MR79" s="43">
        <f t="shared" si="312"/>
        <v>0</v>
      </c>
      <c r="MS79" s="43" t="str">
        <f t="shared" si="313"/>
        <v xml:space="preserve"> DE 25 A 29 AÑOS</v>
      </c>
      <c r="MT79" s="43">
        <f t="shared" si="314"/>
        <v>0</v>
      </c>
      <c r="MU79" s="43">
        <f t="shared" si="315"/>
        <v>0</v>
      </c>
      <c r="MV79" s="43">
        <f t="shared" si="316"/>
        <v>0</v>
      </c>
      <c r="MW79" s="43">
        <f t="shared" si="317"/>
        <v>0</v>
      </c>
      <c r="MX79" s="43" t="str">
        <f t="shared" si="318"/>
        <v/>
      </c>
      <c r="MY79" s="43" t="str">
        <f t="shared" ca="1" si="451"/>
        <v/>
      </c>
      <c r="MZ79" s="43" t="str">
        <f t="shared" si="319"/>
        <v/>
      </c>
      <c r="NA79" s="43" t="str">
        <f t="shared" si="320"/>
        <v/>
      </c>
      <c r="NB79" s="43" t="str">
        <f t="shared" si="321"/>
        <v/>
      </c>
      <c r="NC79" s="43" t="str">
        <f t="shared" si="322"/>
        <v/>
      </c>
      <c r="ND79" s="43">
        <f t="shared" ca="1" si="323"/>
        <v>0</v>
      </c>
      <c r="NE79" s="43">
        <f>IF(OR(O79&gt;0,R79&gt;0),SUM(COUNTIF(Tabla1[[#This Row],[AÑOS AL INICIO5 CPN]],"&gt;=40"),COUNTIF(AS79,"0"),COUNTIF(AR79,"SI"),COUNTIF(CC79,"SI"),COUNTIF(BQ79,"&gt;119"),COUNTIF(CI79,"&gt;=35")),"")</f>
        <v>0</v>
      </c>
      <c r="NF79" s="43">
        <f t="shared" si="324"/>
        <v>21.857142857142858</v>
      </c>
      <c r="NG79" s="43">
        <f t="shared" si="325"/>
        <v>0</v>
      </c>
      <c r="NH79" s="43">
        <f t="shared" si="326"/>
        <v>156.79999999999998</v>
      </c>
      <c r="NI79"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CPN",P79="NO"),"Z",IF(AND(Tabla1[[#This Row],[CITA PROXIMO CONTROL]]="CITA MANUAL",Tabla1[[#This Row],[GESTANTES ACTUALES]]="ACTIVA INGRESO A CPN"),"W",IF(AND(Tabla1[[#This Row],[GESTANTES ACTUALES]]="SALIO PROGRAMA",IN79=""),"S",IF(AND(Tabla1[[#This Row],[CITA PROXIMO CONTROL]]&gt;0,IN79=""),(Tabla1[[#This Row],[CITA PROXIMO CONTROL]]-TODAY()),"SD"))))))))</f>
        <v>SD</v>
      </c>
      <c r="NJ79" s="43">
        <f>MONTH(Tabla1[[#This Row],[FECHA DE SALIDA  DEL PROGRAMA]])</f>
        <v>5</v>
      </c>
      <c r="NK79" s="43">
        <f>YEAR(Tabla1[[#This Row],[FECHA DE SALIDA  DEL PROGRAMA]])</f>
        <v>2023</v>
      </c>
      <c r="NL79" s="43">
        <f t="shared" si="327"/>
        <v>77</v>
      </c>
      <c r="NM79" s="43" t="str">
        <f t="shared" si="251"/>
        <v>NO</v>
      </c>
      <c r="NN79" s="43" t="str">
        <f ca="1">IF(AND(O79&gt;0,R79=""),"NO CPN",IF(AND(O79="",R79=""),"",IF(AND(R79&gt;0,Tabla1[[#This Row],[SEMANAS DE GESTACION ACTUALIZADAS]]&lt;=12),"NO APLICA",IF(AND(FH79&lt;&gt;"",FN79&lt;&gt;""),"SI","NO"))))</f>
        <v>NO</v>
      </c>
      <c r="NO79" s="43" t="str">
        <f ca="1">IF(AND(O79&gt;0,R79=""),"NO CPN",IF(AND(O79="",R79=""),"",IF(AND(R79&gt;0,Tabla1[[#This Row],[SEMANAS DE GESTACION ACTUALIZADAS]]&lt;=27),"NO APLICA",IF(AND(ES79&lt;&gt;"",FQ79&lt;&gt;"",GF79&lt;&gt;""),"SI","NO"))))</f>
        <v>NO</v>
      </c>
      <c r="NP79" s="204" t="str">
        <f t="shared" si="328"/>
        <v>II TRIM</v>
      </c>
      <c r="NQ79" s="21" t="str">
        <f t="shared" si="437"/>
        <v/>
      </c>
      <c r="NR79" s="21">
        <f t="shared" si="452"/>
        <v>2</v>
      </c>
      <c r="NS79" s="205">
        <f t="shared" ca="1" si="329"/>
        <v>2</v>
      </c>
      <c r="NT79" s="21">
        <f t="shared" ca="1" si="330"/>
        <v>2</v>
      </c>
      <c r="NU79" s="21" t="str">
        <f t="shared" ca="1" si="331"/>
        <v>COMPLETO</v>
      </c>
      <c r="NV79" s="21" t="str">
        <f t="shared" ca="1" si="332"/>
        <v>COMPLETO</v>
      </c>
      <c r="NW79" s="206" t="str">
        <f>IF(AND(O79="",R79=""),"",IF(OR(AND(Tabla1[[#This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79" s="207" t="str">
        <f t="shared" ca="1" si="333"/>
        <v>VACUNADA</v>
      </c>
      <c r="NY79" s="43">
        <f>ROW(Tabla1[[#This Row],['# DE TAMIZAJES SIFILIS TOMADOS ]])</f>
        <v>79</v>
      </c>
      <c r="NZ79" s="43">
        <f t="shared" si="334"/>
        <v>13</v>
      </c>
      <c r="OA79" s="43" t="str">
        <f t="shared" si="335"/>
        <v/>
      </c>
      <c r="OB79" s="43" t="str">
        <f t="shared" si="336"/>
        <v/>
      </c>
      <c r="OC79" s="43" t="str">
        <f t="shared" si="337"/>
        <v/>
      </c>
      <c r="OD79" s="43" t="str">
        <f t="shared" si="338"/>
        <v/>
      </c>
      <c r="OE79" s="43" t="str">
        <f t="shared" si="339"/>
        <v>NORMAL</v>
      </c>
      <c r="OF79" s="43" t="str">
        <f t="shared" si="340"/>
        <v/>
      </c>
      <c r="OG79" s="43" t="str">
        <f t="shared" si="341"/>
        <v/>
      </c>
      <c r="OH79" s="43" t="str">
        <f t="shared" si="342"/>
        <v/>
      </c>
      <c r="OI79" s="43" t="str">
        <f t="shared" si="343"/>
        <v/>
      </c>
      <c r="OJ79" s="43" t="str">
        <f t="shared" si="344"/>
        <v/>
      </c>
      <c r="OK79" s="43" t="str">
        <f t="shared" si="345"/>
        <v/>
      </c>
      <c r="OL79" s="43" t="str">
        <f t="shared" si="346"/>
        <v/>
      </c>
      <c r="OM79" s="43" t="str">
        <f t="shared" si="347"/>
        <v/>
      </c>
      <c r="ON79" s="43" t="str">
        <f t="shared" si="348"/>
        <v/>
      </c>
      <c r="OO79" s="43" t="str">
        <f t="shared" si="349"/>
        <v/>
      </c>
      <c r="OP79" s="43" t="str">
        <f t="shared" si="350"/>
        <v/>
      </c>
      <c r="OQ79" s="43" t="str">
        <f t="shared" si="351"/>
        <v/>
      </c>
      <c r="OR79" s="43" t="str">
        <f t="shared" si="352"/>
        <v/>
      </c>
      <c r="OS79" s="43" t="str">
        <f t="shared" si="353"/>
        <v/>
      </c>
      <c r="OT79" s="43" t="str">
        <f t="shared" si="354"/>
        <v/>
      </c>
      <c r="OU79" s="43" t="str">
        <f t="shared" si="355"/>
        <v/>
      </c>
      <c r="OV79" s="110" t="str">
        <f t="shared" si="356"/>
        <v/>
      </c>
      <c r="OW79" s="43" t="str">
        <f t="shared" si="357"/>
        <v/>
      </c>
      <c r="OX79" s="43" t="str">
        <f t="shared" si="358"/>
        <v/>
      </c>
      <c r="OY79" s="43" t="str">
        <f t="shared" si="359"/>
        <v/>
      </c>
      <c r="OZ79" s="43" t="str">
        <f t="shared" si="360"/>
        <v/>
      </c>
      <c r="PA79" s="43" t="str">
        <f t="shared" si="361"/>
        <v/>
      </c>
      <c r="PB79" s="43" t="str">
        <f t="shared" si="362"/>
        <v/>
      </c>
      <c r="PC79" s="43" t="str">
        <f t="shared" si="363"/>
        <v/>
      </c>
      <c r="PD79" s="43" t="str">
        <f t="shared" si="364"/>
        <v/>
      </c>
      <c r="PE79" s="43" t="str">
        <f t="shared" si="365"/>
        <v/>
      </c>
      <c r="PF79" s="43" t="str">
        <f t="shared" si="366"/>
        <v/>
      </c>
      <c r="PG79" s="43" t="str">
        <f t="shared" si="367"/>
        <v/>
      </c>
      <c r="PH79" s="43" t="str">
        <f t="shared" si="368"/>
        <v/>
      </c>
      <c r="PI79" s="43">
        <f t="shared" si="369"/>
        <v>32</v>
      </c>
      <c r="PJ79" s="43" t="str">
        <f t="shared" si="370"/>
        <v/>
      </c>
      <c r="PK79" s="43" t="str">
        <f t="shared" si="371"/>
        <v/>
      </c>
      <c r="PL79" s="43" t="str">
        <f t="shared" si="372"/>
        <v/>
      </c>
      <c r="PM79" s="43" t="str">
        <f t="shared" si="373"/>
        <v/>
      </c>
      <c r="PN79" s="43" t="str">
        <f t="shared" si="374"/>
        <v/>
      </c>
      <c r="PO79" s="43" t="str">
        <f t="shared" si="375"/>
        <v/>
      </c>
      <c r="PP79" s="43" t="str">
        <f t="shared" si="376"/>
        <v/>
      </c>
      <c r="PQ79" s="43" t="str">
        <f t="shared" si="377"/>
        <v/>
      </c>
      <c r="PR79" s="43" t="str">
        <f t="shared" si="378"/>
        <v/>
      </c>
      <c r="PS79" s="43" t="str">
        <f t="shared" si="379"/>
        <v/>
      </c>
      <c r="PT79" s="43" t="str">
        <f t="shared" si="380"/>
        <v/>
      </c>
      <c r="PU79" s="43" t="str">
        <f t="shared" si="381"/>
        <v/>
      </c>
      <c r="PV79" s="43" t="str">
        <f t="shared" si="382"/>
        <v/>
      </c>
      <c r="PW79" s="43" t="str">
        <f t="shared" si="383"/>
        <v/>
      </c>
      <c r="PX79" s="43" t="str">
        <f t="shared" si="384"/>
        <v/>
      </c>
      <c r="PY79" s="43" t="str">
        <f t="shared" si="385"/>
        <v/>
      </c>
      <c r="PZ79" s="43" t="str">
        <f t="shared" si="386"/>
        <v/>
      </c>
      <c r="QA79" s="43" t="str">
        <f t="shared" si="387"/>
        <v/>
      </c>
      <c r="QB79" s="43" t="str">
        <f t="shared" si="388"/>
        <v/>
      </c>
      <c r="QC79" s="43" t="str">
        <f t="shared" si="389"/>
        <v/>
      </c>
      <c r="QD79" s="43" t="str">
        <f t="shared" si="390"/>
        <v/>
      </c>
      <c r="QE79" s="43" t="str">
        <f t="shared" si="391"/>
        <v/>
      </c>
      <c r="QF79" s="43" t="str">
        <f t="shared" si="392"/>
        <v/>
      </c>
      <c r="QG79" s="43" t="str">
        <f t="shared" si="393"/>
        <v>NORMAL</v>
      </c>
      <c r="QH79" s="43" t="str">
        <f t="shared" si="394"/>
        <v/>
      </c>
      <c r="QI79" s="43" t="str">
        <f t="shared" si="395"/>
        <v/>
      </c>
      <c r="QJ79" s="43" t="str">
        <f t="shared" si="396"/>
        <v/>
      </c>
      <c r="QK79" s="43" t="str">
        <f t="shared" si="397"/>
        <v/>
      </c>
      <c r="QL79" s="43" t="str">
        <f t="shared" si="398"/>
        <v/>
      </c>
      <c r="QM79" s="43" t="str">
        <f t="shared" si="399"/>
        <v/>
      </c>
      <c r="QN79" s="43" t="str">
        <f t="shared" si="400"/>
        <v/>
      </c>
      <c r="QO79" s="43" t="str">
        <f t="shared" si="401"/>
        <v/>
      </c>
      <c r="QP79" s="43" t="str">
        <f t="shared" si="402"/>
        <v/>
      </c>
      <c r="QQ79" s="43" t="str">
        <f t="shared" si="403"/>
        <v/>
      </c>
      <c r="QR79" s="43">
        <f t="shared" si="433"/>
        <v>32</v>
      </c>
      <c r="QS79" s="43"/>
      <c r="QT79" s="21" t="str">
        <f t="shared" si="404"/>
        <v/>
      </c>
      <c r="QU79" s="21" t="str">
        <f t="shared" si="405"/>
        <v/>
      </c>
      <c r="QV79" s="21" t="str">
        <f t="shared" si="406"/>
        <v/>
      </c>
      <c r="QW79" s="21" t="str">
        <f t="shared" si="407"/>
        <v/>
      </c>
      <c r="QX79" s="21" t="str">
        <f t="shared" si="408"/>
        <v/>
      </c>
      <c r="QY79" s="21" t="str">
        <f t="shared" si="409"/>
        <v/>
      </c>
      <c r="QZ79" s="21" t="str">
        <f t="shared" si="410"/>
        <v/>
      </c>
      <c r="RA79" s="21" t="str">
        <f t="shared" si="411"/>
        <v/>
      </c>
      <c r="RB79" s="21" t="str">
        <f t="shared" si="412"/>
        <v/>
      </c>
      <c r="RC79" s="21" t="str">
        <f t="shared" si="413"/>
        <v/>
      </c>
      <c r="RD79" s="21" t="str">
        <f t="shared" si="414"/>
        <v/>
      </c>
      <c r="RE79" s="21" t="str">
        <f t="shared" si="415"/>
        <v/>
      </c>
      <c r="RF79" s="21" t="str">
        <f t="shared" si="416"/>
        <v/>
      </c>
      <c r="RG79" s="21" t="str">
        <f t="shared" si="417"/>
        <v/>
      </c>
      <c r="RH79" s="21" t="str">
        <f t="shared" si="418"/>
        <v/>
      </c>
      <c r="RI79" s="21" t="str">
        <f t="shared" si="419"/>
        <v/>
      </c>
      <c r="RJ79" s="21" t="str">
        <f t="shared" si="420"/>
        <v/>
      </c>
      <c r="RK79" s="21" t="str">
        <f t="shared" si="421"/>
        <v/>
      </c>
      <c r="RL79" s="21" t="str">
        <f t="shared" si="422"/>
        <v/>
      </c>
      <c r="RM79" s="21" t="str">
        <f t="shared" si="423"/>
        <v>ADECUADO PARA EDAD GESTACIONAL</v>
      </c>
      <c r="RN79" s="21" t="str">
        <f t="shared" si="424"/>
        <v/>
      </c>
      <c r="RO79" s="21" t="str">
        <f t="shared" si="425"/>
        <v/>
      </c>
      <c r="RP79" s="21" t="str">
        <f t="shared" si="426"/>
        <v/>
      </c>
      <c r="RQ79" s="21" t="str">
        <f t="shared" si="427"/>
        <v/>
      </c>
      <c r="RR79" s="21" t="str">
        <f t="shared" si="428"/>
        <v/>
      </c>
      <c r="RS79" s="21" t="str">
        <f t="shared" si="429"/>
        <v/>
      </c>
      <c r="RT79" s="21" t="str">
        <f t="shared" si="430"/>
        <v/>
      </c>
      <c r="RU79" s="21" t="str">
        <f t="shared" si="431"/>
        <v/>
      </c>
      <c r="RV79" s="21">
        <f t="shared" si="432"/>
        <v>13.857142857142858</v>
      </c>
      <c r="RW79" s="284">
        <f>IF(OR(Tabla1[[#This Row],[FUM FORMULA CONFIABLE]]="",Tabla1[[#This Row],[FUM FORMULA CONFIABLE]]="SD"),"",IF(Tabla1[[#This Row],[FUM FORMULA CONFIABLE]]="CORREGIDA",Tabla1[[#This Row],[FUM X ECO 1]],Tabla1[[#This Row],[FUM x AMENORREA]]))</f>
        <v>44842</v>
      </c>
      <c r="RX79" s="21">
        <f>IF(AND(Tabla1[[#This Row],[FUM X ECO 1]]="",Tabla1[[#This Row],[FUM x AMENORREA]]=""),"",IF(AND(Tabla1[[#This Row],[FUM X ECO 1]]="",Tabla1[[#This Row],[FUM x AMENORREA]]&lt;&gt;""),"X",SUM(Tabla1[[#This Row],[FUM X ECO 1]]-Tabla1[[#This Row],[FUM x AMENORREA]])))</f>
        <v>-3.8000000000029104</v>
      </c>
      <c r="RY79" s="21">
        <f t="shared" si="434"/>
        <v>0</v>
      </c>
    </row>
    <row r="80" spans="1:493" ht="45" customHeight="1" x14ac:dyDescent="0.25">
      <c r="A80" s="109"/>
      <c r="B80" s="43"/>
      <c r="C80" s="43" t="s">
        <v>845</v>
      </c>
      <c r="D80" s="124" t="s">
        <v>846</v>
      </c>
      <c r="E80" s="43" t="s">
        <v>1242</v>
      </c>
      <c r="F80" s="43" t="s">
        <v>1135</v>
      </c>
      <c r="G80" s="43" t="s">
        <v>985</v>
      </c>
      <c r="H80" s="43" t="s">
        <v>1243</v>
      </c>
      <c r="I80" s="109" t="s">
        <v>851</v>
      </c>
      <c r="J80" s="110">
        <v>1002848594</v>
      </c>
      <c r="K80" s="43" t="s">
        <v>852</v>
      </c>
      <c r="L80" s="175" t="s">
        <v>853</v>
      </c>
      <c r="M80" s="22">
        <v>31849</v>
      </c>
      <c r="N80" s="213">
        <f t="shared" ca="1" si="252"/>
        <v>36.665753424657531</v>
      </c>
      <c r="O80" s="22">
        <v>44940</v>
      </c>
      <c r="P80" s="214" t="str">
        <f t="shared" si="438"/>
        <v>SI</v>
      </c>
      <c r="Q80" s="26" t="s">
        <v>855</v>
      </c>
      <c r="R80" s="22">
        <v>44940</v>
      </c>
      <c r="S80" s="21" t="s">
        <v>856</v>
      </c>
      <c r="T80" s="24" t="s">
        <v>690</v>
      </c>
      <c r="U80" s="21" t="s">
        <v>857</v>
      </c>
      <c r="V80" s="21" t="s">
        <v>858</v>
      </c>
      <c r="W80" s="21" t="s">
        <v>1241</v>
      </c>
      <c r="X80" s="21" t="s">
        <v>1241</v>
      </c>
      <c r="Y80" s="21" t="s">
        <v>859</v>
      </c>
      <c r="Z80" s="21">
        <v>3156060139</v>
      </c>
      <c r="AA80" s="21" t="s">
        <v>860</v>
      </c>
      <c r="AB80" s="27" t="s">
        <v>861</v>
      </c>
      <c r="AC80" s="26" t="s">
        <v>862</v>
      </c>
      <c r="AD80" s="38" t="s">
        <v>846</v>
      </c>
      <c r="AE80" s="26" t="s">
        <v>854</v>
      </c>
      <c r="AF80" s="26" t="s">
        <v>854</v>
      </c>
      <c r="AG80" s="23" t="s">
        <v>864</v>
      </c>
      <c r="AH80" s="23" t="s">
        <v>864</v>
      </c>
      <c r="AI80" s="24" t="s">
        <v>863</v>
      </c>
      <c r="AJ80" s="23" t="s">
        <v>864</v>
      </c>
      <c r="AK80" s="220" t="str">
        <f>IF(AND(AD80="",AE80="",AF80="",AG80="",AH80="",AI80="",AJ80=""),"",IF(OR(Tabla1[[#This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EVALUACIÓN",IF(AND(O80="",R80=""),"",IF(AND(OR(O80&gt;0,R80&gt;0),NG80&gt;=0,NG80&lt;2),"SIN RIESGO",IF(AND(OR(O80&gt;0,R80&gt;0),NG80&gt;=2),"CON RIESGO","ASD")))))</f>
        <v>SIN RIESGO</v>
      </c>
      <c r="AL80" s="23" t="s">
        <v>864</v>
      </c>
      <c r="AM80" s="26" t="s">
        <v>864</v>
      </c>
      <c r="AN80" s="26" t="s">
        <v>864</v>
      </c>
      <c r="AO80" s="26" t="s">
        <v>864</v>
      </c>
      <c r="AP80" s="26" t="s">
        <v>864</v>
      </c>
      <c r="AQ80" s="26" t="s">
        <v>864</v>
      </c>
      <c r="AR80" s="26" t="s">
        <v>864</v>
      </c>
      <c r="AS80" s="21">
        <v>5</v>
      </c>
      <c r="AT80" s="21">
        <v>4</v>
      </c>
      <c r="AU80" s="21">
        <v>1</v>
      </c>
      <c r="AV80" s="26" t="s">
        <v>864</v>
      </c>
      <c r="AW80" s="21">
        <v>0</v>
      </c>
      <c r="AX80" s="26" t="s">
        <v>864</v>
      </c>
      <c r="AY80" s="26" t="s">
        <v>864</v>
      </c>
      <c r="AZ80" s="26" t="s">
        <v>864</v>
      </c>
      <c r="BA80" s="26" t="s">
        <v>864</v>
      </c>
      <c r="BB80" s="26" t="s">
        <v>864</v>
      </c>
      <c r="BC80" s="26" t="s">
        <v>864</v>
      </c>
      <c r="BD80" s="26" t="s">
        <v>864</v>
      </c>
      <c r="BE80" s="26" t="s">
        <v>864</v>
      </c>
      <c r="BF80" s="26" t="s">
        <v>864</v>
      </c>
      <c r="BG80" s="26" t="s">
        <v>864</v>
      </c>
      <c r="BH80" s="26" t="s">
        <v>864</v>
      </c>
      <c r="BI80" s="26" t="s">
        <v>864</v>
      </c>
      <c r="BJ80" s="26"/>
      <c r="BK80" s="26"/>
      <c r="BL80" s="26" t="s">
        <v>864</v>
      </c>
      <c r="BM80" s="26" t="s">
        <v>864</v>
      </c>
      <c r="BN80" s="22"/>
      <c r="BO80" s="22">
        <v>44796</v>
      </c>
      <c r="BP80" s="21" t="s">
        <v>854</v>
      </c>
      <c r="BQ80" s="222">
        <f t="shared" si="254"/>
        <v>0</v>
      </c>
      <c r="BR80" s="223">
        <f t="shared" si="255"/>
        <v>44803.9</v>
      </c>
      <c r="BS80" s="224">
        <f t="shared" si="256"/>
        <v>20.571428571428573</v>
      </c>
      <c r="BT80" s="216" t="str">
        <f t="shared" si="257"/>
        <v>II TRIM</v>
      </c>
      <c r="BU80" s="214" t="str">
        <f t="shared" ca="1" si="258"/>
        <v/>
      </c>
      <c r="BV80" s="25" t="s">
        <v>988</v>
      </c>
      <c r="BW80" s="22">
        <v>45051</v>
      </c>
      <c r="BX80" s="28">
        <v>35.299999999999997</v>
      </c>
      <c r="BY80" s="28"/>
      <c r="BZ80" s="22"/>
      <c r="CA80" s="21"/>
      <c r="CB80" s="26" t="s">
        <v>864</v>
      </c>
      <c r="CC80" s="26" t="s">
        <v>864</v>
      </c>
      <c r="CD80" s="26"/>
      <c r="CE80" s="26" t="s">
        <v>864</v>
      </c>
      <c r="CF80" s="22" t="s">
        <v>1517</v>
      </c>
      <c r="CG80" s="21">
        <v>1.41</v>
      </c>
      <c r="CH80" s="21">
        <v>61</v>
      </c>
      <c r="CI80" s="214">
        <f t="shared" si="259"/>
        <v>30.68256123937428</v>
      </c>
      <c r="CJ80" s="225" t="e">
        <f>IF(AND(CI80&lt;10,CH80="SD"),"SIN DATO PESO PREGESTACION O I TRIM",IF(AND(OR(R80&gt;0,O80&gt;0),CI80="X"),"INGRESAR DATO DE PESO",IF(CI80="SD","INGRESAR DATO DE TALLA Y PESO",IF(AND(OR(Tabla1[[#This Row],[MOMENTO EN QUE SE REALIZA EL PESO AL INGRESO A CPN]]="PREGESTACIÓN",NZ80="Menor"),CI80&lt;18.5),"BAJO PESO",IF(AND(OR(Tabla1[[#This Row],[MOMENTO EN QUE SE REALIZA EL PESO AL INGRESO A CPN]]="PREGESTACIÓN",NZ80="Menor"),CI80&lt;25),"NORMAL",IF(AND(OR(Tabla1[[#This Row],[MOMENTO EN QUE SE REALIZA EL PESO AL INGRESO A CPN]]="PREGESTACIÓN",NZ80="Menor"),CI80&lt;30),"SOBREPESO",IF(AND(OR(Tabla1[[#This Row],[MOMENTO EN QUE SE REALIZA EL PESO AL INGRESO A CPN]]="PREGESTACIÓN",NZ80="Menor"),CI80&gt;=30,CI80&lt;50),"OBESIDAD",IF(AND(BS80&gt;0,Tabla1[[#This Row],[MOMENTO EN QUE SE REALIZA EL PESO AL INGRESO A CPN]]="GESTACIÓN"),HLOOKUP(NZ80,$OA$2:PH80,NY80),""))))))))</f>
        <v>#REF!</v>
      </c>
      <c r="CK80" s="212">
        <f t="shared" si="260"/>
        <v>45051</v>
      </c>
      <c r="CL80" s="21">
        <v>64.900000000000006</v>
      </c>
      <c r="CM80" s="214">
        <f t="shared" si="261"/>
        <v>32.644233187465424</v>
      </c>
      <c r="CN80" s="216">
        <f t="shared" si="262"/>
        <v>36</v>
      </c>
      <c r="CO80" s="216" t="e">
        <f>IF(PI80="","",IF(PI80&gt;0,HLOOKUP(PI80,$PJ$2:QQ80,NY80),""))</f>
        <v>#REF!</v>
      </c>
      <c r="CP80" s="21">
        <v>32</v>
      </c>
      <c r="CQ80" s="216" t="e">
        <f>IF(QR80="Menor","NO APLICA-MENOR 13 SEM",IF(AND(CC80="SI",CN80&gt;23),"NO APLICA- GEMELAR",IF(QR80="","",IF(QR80&gt;0,HLOOKUP(QR80,$QS$2:RU80,NY80),""))))</f>
        <v>#REF!</v>
      </c>
      <c r="CR80" s="21"/>
      <c r="CS80" s="21"/>
      <c r="CT80" s="217" t="str">
        <f>IF(R80="","",IF(AND(BS80&gt;1,BS80&lt;12,Tabla1[[#This Row],[T.A. SISTOLICA - ANTES DE SEMANA 12]]="",Tabla1[[#This Row],[T.A. DIASTOLICA - ANTES DE SEMANA 12]]=""),"REGISTRE DATO TA ANTES SEMANA 12",IF(AND(BS80&gt;11,BS80&lt;43,Tabla1[[#This Row],[T.A. SISTOLICA - ANTES DE SEMANA 12]]="",Tabla1[[#This Row],[T.A. DIASTOLICA - ANTES DE SEMANA 12]]=""),"NO APLICA REGISTRO TA-INGRESO TARDIO",IF(AND(OR(O80&gt;0,R80&gt;0),OR(CR80&gt;=140,CS80&gt;=90)),"DEFINIR ESTADIO HTA",IF(AND(OR(O80&gt;0,R80&gt;0),AND(CR80&gt;120,CR80&lt;=139)),"PRE HTA SEGUIMIENTO",IF(AND(OR(O80&gt;0,R80&gt;0),AND(CS80&gt;80,CS80&lt;=89)),"PRE HTA SEGUIMIENTO",IF(AND(OR(O80&gt;0,R80&gt;0),AND(CR80&gt;=80,CR80&lt;=120)),"APARENTEMENTE NORMAL",IF(AND(OR(O80&gt;0,R80&gt;0),AND(CS80&gt;=50,CS80&lt;=80)),"APARENTEMENTE NORMAL",IF(AND(OR(O80&gt;0,R80&gt;0),AND(CR80&gt;1,CR80&lt;=70),AND(CS80&gt;1,CS80&lt;=40)),"HIPOTENSIÓN","")))))))))</f>
        <v>NO APLICA REGISTRO TA-INGRESO TARDIO</v>
      </c>
      <c r="CU80" s="21">
        <v>100</v>
      </c>
      <c r="CV80" s="21">
        <v>70</v>
      </c>
      <c r="CW80" s="217" t="str">
        <f ca="1">IF(R80="","",IF(AND(CN80&gt;19,CN80&lt;27,Tabla1[[#This Row],[T.A. SISTOLICA (Entre semana 20 y 26)]]="",Tabla1[[#This Row],[T.A. DIATOLICA (Entre semana 20 y 26)]]=""),"ACUDE A CONTROL SEM 20 A 26 REGISTRE TA AHORA",IF(AND(BS80&gt;1,BS80&lt;27,BU80&gt;19,Tabla1[[#This Row],[T.A. SISTOLICA (Entre semana 20 y 26)]]="",Tabla1[[#This Row],[T.A. DIATOLICA (Entre semana 20 y 26)]]=""),"COMPLETE REGISTRO TA CONTROL SEM 20 A26 ",IF(AND(BS80&gt;26,BS80&lt;43,Tabla1[[#This Row],[T.A. SISTOLICA (Entre semana 20 y 26)]]="",Tabla1[[#This Row],[T.A. DIATOLICA (Entre semana 20 y 26)]]=""),"NO APLICA REGISTRO TA-INGRESO TARDIO",IF(AND(OR(O80&gt;0,R80&gt;0),OR(CU80&gt;=140,CV80&gt;=90)),"ALTO RIESGO PREECLAMPSIA,DEFINIR ESTADIO HTA",IF(AND(OR(O80&gt;0,R80&gt;0),AND(CU80&gt;120,CU80&lt;=139)),"PRE HTA SEGUIMIENTO,RIESGO HIPERTENSION INDUCIDA POR EL EMBARAZO",IF(AND(OR(O80&gt;0,R80&gt;0),AND(CV80&gt;80,CV80&lt;=89)),"PRE HTA SEGUIMIENTO, RIESGO HIPERTENSION INDUCIDA POR EL EMBARAZO",IF(AND(OR(O80&lt;&gt;"",R80&lt;&gt;""),CS80&lt;&gt;"",CV80&lt;&gt;"",CS80&lt;=CV80),"VIGILAR CIFRAS PRESION ARTERIAL",IF(AND(OR(O80&gt;0,R80&gt;0),AND(CU80&gt;120,CU80&lt;=139)),"PRE HTA SEGUIMIENTO",IF(AND(OR(O80&gt;0,R80&gt;0),AND(CU80&gt;1,CU80&lt;=70),AND(CV80&gt;1,CV80&lt;=40)),"HIPOTENSIÓN",IF(AND(OR(O80&lt;&gt;"",R80&lt;&gt;""),CS80&lt;&gt;"",CV80&lt;&gt;"",CS80&gt;CV80),"APARENTEMENTE NORMAL",IF(AND(OR(O80&gt;0,R80&gt;0),AND(CU80&gt;=80,CU80&lt;=120)),"APARENTEMENTE NORMAL",IF(AND(OR(O80&gt;0,R80&gt;0),AND(CV80&gt;=50,CV80&lt;=80)),"APARENTEMENTE NORMAL","")))))))))))))</f>
        <v>APARENTEMENTE NORMAL</v>
      </c>
      <c r="CX80" s="21"/>
      <c r="CY80" s="21"/>
      <c r="CZ80" s="216" t="str">
        <f t="shared" si="263"/>
        <v/>
      </c>
      <c r="DA80" s="21">
        <v>100</v>
      </c>
      <c r="DB80" s="21">
        <v>60</v>
      </c>
      <c r="DC80" s="217" t="str">
        <f t="shared" si="264"/>
        <v>VIGILAR CIFRAS PRESION ARTERIAL</v>
      </c>
      <c r="DD80" s="22">
        <v>44940</v>
      </c>
      <c r="DE80" s="22">
        <v>44940</v>
      </c>
      <c r="DF80" s="22">
        <v>44999</v>
      </c>
      <c r="DG80" s="22">
        <v>45044</v>
      </c>
      <c r="DH80" s="22">
        <v>45051</v>
      </c>
      <c r="DI80" s="22"/>
      <c r="DJ80" s="22"/>
      <c r="DK80" s="22"/>
      <c r="DL80" s="22"/>
      <c r="DM80" s="22"/>
      <c r="DN80" s="22"/>
      <c r="DO80" s="22"/>
      <c r="DP80" s="22"/>
      <c r="DQ80" s="22"/>
      <c r="DR80" s="28">
        <v>1</v>
      </c>
      <c r="DS80" s="22"/>
      <c r="DT80" s="22"/>
      <c r="DU80" s="216" t="str">
        <f t="shared" ca="1" si="439"/>
        <v>SALE SIN PLAN DE PARTO</v>
      </c>
      <c r="DV80" s="226" t="str">
        <f t="shared" si="440"/>
        <v>SALIO PROGRAMA</v>
      </c>
      <c r="DW80"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80" s="216" t="str">
        <f t="shared" ca="1" si="266"/>
        <v/>
      </c>
      <c r="DY80" s="212">
        <f>IF(R80="","",IF(R80&gt;0,MAX(Tabla1[[#This Row],[FECHA C2]:[FECHA C13]],Tabla1[[#This Row],[FECHA CONSULTA PRIMERA VEZ PROGRAMA CPN ]])))</f>
        <v>45051</v>
      </c>
      <c r="DZ80" s="216">
        <f t="shared" si="267"/>
        <v>36</v>
      </c>
      <c r="EA80" s="222">
        <f>IF(R80&gt;0,SUM(COUNTA(DF80:DQ80)+COUNTA(Tabla1[[#This Row],[FECHA CONSULTA PRIMERA VEZ PROGRAMA CPN ]])),"")</f>
        <v>4</v>
      </c>
      <c r="EB80" s="222" t="str">
        <f t="shared" si="268"/>
        <v>SI</v>
      </c>
      <c r="EC80" s="214">
        <f t="shared" si="269"/>
        <v>6</v>
      </c>
      <c r="ED80" s="227">
        <f t="shared" si="270"/>
        <v>0.66666666666666663</v>
      </c>
      <c r="EE80" s="22">
        <v>44940</v>
      </c>
      <c r="EF80" s="22">
        <v>44939</v>
      </c>
      <c r="EG80" s="22">
        <v>44940</v>
      </c>
      <c r="EH80" s="22"/>
      <c r="EI80" s="22">
        <v>44940</v>
      </c>
      <c r="EJ80" s="22"/>
      <c r="EK80" s="22"/>
      <c r="EL80" s="21"/>
      <c r="EM80" s="21">
        <v>13.9</v>
      </c>
      <c r="EN80" s="22">
        <v>44876</v>
      </c>
      <c r="EO80" s="222">
        <f t="shared" si="271"/>
        <v>11.428571428571429</v>
      </c>
      <c r="EP80" s="214" t="str">
        <f t="shared" si="272"/>
        <v>NORMAL- SUMINISTRAR SULFATO FERROSO</v>
      </c>
      <c r="EQ80" s="216" t="str">
        <f t="shared" si="273"/>
        <v>I TRIM</v>
      </c>
      <c r="ER80" s="24"/>
      <c r="ES80" s="22"/>
      <c r="ET80" s="29" t="str">
        <f t="shared" ca="1" si="441"/>
        <v>SALE SIN TAMIZAJE HEMOGLOBINA SEM 28</v>
      </c>
      <c r="EU80" s="25" t="str">
        <f t="shared" si="275"/>
        <v/>
      </c>
      <c r="EV80" s="24" t="s">
        <v>926</v>
      </c>
      <c r="EW80" s="24">
        <v>45002</v>
      </c>
      <c r="EX80" s="22"/>
      <c r="EY80" s="29">
        <f t="shared" si="248"/>
        <v>29.428571428571427</v>
      </c>
      <c r="EZ80" s="25" t="str">
        <f t="shared" ca="1" si="249"/>
        <v/>
      </c>
      <c r="FA80" s="21">
        <v>64</v>
      </c>
      <c r="FB80" s="22">
        <v>44876</v>
      </c>
      <c r="FC80" s="29">
        <f t="shared" si="276"/>
        <v>11.428571428571429</v>
      </c>
      <c r="FD80" s="29"/>
      <c r="FE80" s="29"/>
      <c r="FF80" s="29"/>
      <c r="FG80" s="21" t="str">
        <f t="shared" ca="1" si="277"/>
        <v/>
      </c>
      <c r="FH80" s="31"/>
      <c r="FI80" s="29" t="str">
        <f t="shared" si="278"/>
        <v>TOMAR EXAMEN</v>
      </c>
      <c r="FJ80" s="22"/>
      <c r="FK80" s="22"/>
      <c r="FL80" s="29" t="str">
        <f t="shared" ca="1" si="279"/>
        <v>NO APLICA-INGRESO TARDIO</v>
      </c>
      <c r="FM80" s="22"/>
      <c r="FN80" s="32"/>
      <c r="FO80" s="29" t="str">
        <f t="shared" ca="1" si="442"/>
        <v>PIERDE TOMA DE TAMIZAJE</v>
      </c>
      <c r="FP80" s="22" t="s">
        <v>867</v>
      </c>
      <c r="FQ80" s="32">
        <v>45002</v>
      </c>
      <c r="FR80" s="29">
        <f t="shared" ca="1" si="443"/>
        <v>29.428571428571427</v>
      </c>
      <c r="FS80" s="22"/>
      <c r="FT80" s="32"/>
      <c r="FU80" s="29" t="str">
        <f>IF(AND(FJ80="",FM80="",FP80="",FS80=""),"",IF(OR(OR(Tabla1[[#This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80" s="28"/>
      <c r="FW80" s="22"/>
      <c r="FX80" s="29" t="str">
        <f t="shared" si="280"/>
        <v>TOMAR EXAMEN</v>
      </c>
      <c r="FY80" s="22">
        <v>45002</v>
      </c>
      <c r="FZ80" s="22">
        <v>45002</v>
      </c>
      <c r="GA80" s="29" t="str">
        <f t="shared" si="250"/>
        <v>REGISTRAR EN III TRIMESTRE</v>
      </c>
      <c r="GB80" s="22"/>
      <c r="GC80" s="22"/>
      <c r="GD80" s="29" t="str">
        <f t="shared" ca="1" si="444"/>
        <v>PIERDE TOMA DE TAMIZAJE</v>
      </c>
      <c r="GE80" s="22" t="s">
        <v>868</v>
      </c>
      <c r="GF80" s="22">
        <v>45002</v>
      </c>
      <c r="GG80" s="29">
        <f t="shared" ca="1" si="445"/>
        <v>29.428571428571427</v>
      </c>
      <c r="GH80" s="22"/>
      <c r="GI80" s="29"/>
      <c r="GJ80" s="22"/>
      <c r="GK80" s="22"/>
      <c r="GL80" s="22"/>
      <c r="GM80" s="22"/>
      <c r="GN80" s="28" t="s">
        <v>869</v>
      </c>
      <c r="GO80" s="22">
        <v>45002</v>
      </c>
      <c r="GP80" s="29">
        <f t="shared" si="283"/>
        <v>29.428571428571427</v>
      </c>
      <c r="GQ80" s="28"/>
      <c r="GR80" s="28"/>
      <c r="GS80" s="22" t="str">
        <f t="shared" si="284"/>
        <v/>
      </c>
      <c r="GT80" s="22"/>
      <c r="GU80" s="29" t="str">
        <f t="shared" si="285"/>
        <v>TOMAR EXAMEN</v>
      </c>
      <c r="GV80" s="21" t="str">
        <f t="shared" si="286"/>
        <v>POR DEFINIR</v>
      </c>
      <c r="GW80" s="28"/>
      <c r="GX80" s="30"/>
      <c r="GY80" s="21"/>
      <c r="GZ80" s="21"/>
      <c r="HA80" s="21"/>
      <c r="HB80" s="21"/>
      <c r="HC80" s="21"/>
      <c r="HD80" s="21"/>
      <c r="HE80" s="21"/>
      <c r="HF80" s="22"/>
      <c r="HG80" s="22" t="str">
        <f>IF(OR(O80&gt;0,R80&gt;0),CONCATENATE(IF(Tabla1[[#This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80" s="22" t="e">
        <f t="shared" si="287"/>
        <v>#REF!</v>
      </c>
      <c r="HI80" s="22" t="e">
        <f t="shared" ca="1" si="288"/>
        <v>#REF!</v>
      </c>
      <c r="HJ80" s="21" t="str">
        <f t="shared" ca="1" si="289"/>
        <v>************************RIESGO POR EDAD***************</v>
      </c>
      <c r="HK80" s="21" t="str">
        <f t="shared" si="290"/>
        <v>SIN ANTECEDENTES DE RIESGO</v>
      </c>
      <c r="HL80" s="24" t="str">
        <f t="shared" si="291"/>
        <v>VIGILAR CIFRAS PRESION ARTERIAL</v>
      </c>
      <c r="HM80" s="21" t="str">
        <f t="shared" ca="1" si="292"/>
        <v/>
      </c>
      <c r="HN80" s="30" t="str">
        <f t="shared" si="446"/>
        <v>SALIO PROGRAMA</v>
      </c>
      <c r="HO80" s="21"/>
      <c r="HP80" s="21"/>
      <c r="HQ80" s="21">
        <v>45045</v>
      </c>
      <c r="HR80" s="21" t="str">
        <f>IF(R80="","",IF(Tabla1[[#This Row],[ALARMA FACTORES DE RIESGO COMPLICACIONES HIPERTENSIVAS3]]="SIN ANTECEDENTES DE RIESGO","No Aplica para suministro de ASA",IF(AND(Tabla1[[#This Row],[FECHA INICIO DE SUMINISTRO DE ASA]]&gt;0,RV80&lt;12),"Inicia ASA ANTES de Sem 12",IF(AND(RV80&gt;11,RV80&lt;17,OR(HK80="RIESGO ALTO DE COMPLICACIONES HIPERTENSIVAS VER MANEJO GUIA SUMINISTRO ASA Y CALCIO",HK80="RIESGO MODERADO (2 O MAS CRITERIOS) VER MANEJO GUIA SUMINISTRO ASA Y CALCIO")),"Inicio oportuno de ASA",IF(AND(RV80&gt;12,OR(HK80="RIESGO ALTO DE COMPLICACIONES HIPERTENSIVAS VER MANEJO GUIA SUMINISTRO ASA Y CALCIO",HK80="RIESGO MODERADO (2 O MAS CRITERIOS) VER MANEJO GUIA SUMINISTRO ASA Y CALCIO")),"Inicio no oportuno mayor a 16 semanas",IF(AND(BU80&lt;12,OR(HK80="RIESGO ALTO DE COMPLICACIONES HIPERTENSIVAS VER MANEJO GUIA SUMINISTRO ASA Y CALCIO",HK80="RIESGO MODERADO (2 O MAS CRITERIOS) VER MANEJO GUIA SUMINISTRO ASA Y CALCIO")),"Pendiente Inicio de ASA a la semana 12",IF(AND(BU80&gt;11,BU80&lt;17,OR(HK80="RIESGO ALTO DE COMPLICACIONES HIPERTENSIVAS VER MANEJO GUIA SUMINISTRO ASA Y CALCIO",HK80="RIESGO MODERADO (2 O MAS CRITERIOS) VER MANEJO GUIA SUMINISTRO ASA Y CALCIO")),"Iniciar de inmediato ASA",IF(AND(BU80&gt;16,OR(HK80="RIESGO ALTO DE COMPLICACIONES HIPERTENSIVAS VER MANEJO GUIA SUMINISTRO ASA Y CALCIO",HK80="RIESGO MODERADO (2 O MAS CRITERIOS) VER MANEJO GUIA SUMINISTRO ASA Y CALCIO")),"Pierde Oportunidad, Inicio tardío de ASA","XXXXX"))))))))</f>
        <v>No Aplica para suministro de ASA</v>
      </c>
      <c r="HS80" s="22">
        <v>45045</v>
      </c>
      <c r="HT80" s="22" t="s">
        <v>870</v>
      </c>
      <c r="HU80" s="22"/>
      <c r="HV80" s="22"/>
      <c r="HW80" s="22">
        <v>45045</v>
      </c>
      <c r="HX80" s="22" t="s">
        <v>870</v>
      </c>
      <c r="HY80" s="22">
        <v>44939</v>
      </c>
      <c r="HZ80" s="28">
        <f t="shared" si="293"/>
        <v>20.428571428571427</v>
      </c>
      <c r="IA80" s="26"/>
      <c r="IB80" s="26"/>
      <c r="IC80" s="111"/>
      <c r="ID80" s="22">
        <v>45041</v>
      </c>
      <c r="IE80" s="22" t="str">
        <f t="shared" ca="1" si="294"/>
        <v>VACUNA APLICADA ENTRE SEMANA 27 Y EL PARTO</v>
      </c>
      <c r="IF80" s="22"/>
      <c r="IG80" s="22">
        <f t="shared" si="295"/>
        <v>45076</v>
      </c>
      <c r="IH80" s="29">
        <f t="shared" ca="1" si="296"/>
        <v>-156</v>
      </c>
      <c r="II80" s="22" t="str">
        <f t="shared" ca="1" si="297"/>
        <v>POSIBLEMENTE NACIO</v>
      </c>
      <c r="IJ80" s="22"/>
      <c r="IK80" s="21" t="s">
        <v>898</v>
      </c>
      <c r="IL80" s="21"/>
      <c r="IM80" s="34"/>
      <c r="IN80" s="349">
        <v>45074</v>
      </c>
      <c r="IO80" s="21" t="s">
        <v>1640</v>
      </c>
      <c r="IP80" s="29">
        <f t="shared" si="436"/>
        <v>39.714285714285715</v>
      </c>
      <c r="IQ80" s="110"/>
      <c r="IR80" s="21" t="s">
        <v>879</v>
      </c>
      <c r="IS80" s="21" t="s">
        <v>1641</v>
      </c>
      <c r="IT80" s="21" t="s">
        <v>1642</v>
      </c>
      <c r="IU80" s="21"/>
      <c r="IV80" s="21"/>
      <c r="IW80" s="21"/>
      <c r="IX80" s="21"/>
      <c r="IY80" s="21"/>
      <c r="IZ80" s="21"/>
      <c r="JA80" s="21"/>
      <c r="JB80" s="30">
        <v>1</v>
      </c>
      <c r="JC80" s="21" t="s">
        <v>1647</v>
      </c>
      <c r="JD80" s="36">
        <v>3500</v>
      </c>
      <c r="JE80" s="21" t="str">
        <f t="shared" si="447"/>
        <v>PESO ADECUADO EDAD GESTACIONAL</v>
      </c>
      <c r="JF80" s="30"/>
      <c r="JG80" s="21"/>
      <c r="JH80" s="21"/>
      <c r="JI80" s="21"/>
      <c r="JJ80" s="30"/>
      <c r="JK80" s="22"/>
      <c r="JL80" s="22"/>
      <c r="JM80" s="21"/>
      <c r="JN80" s="36"/>
      <c r="JO80" s="21" t="str">
        <f t="shared" si="448"/>
        <v/>
      </c>
      <c r="JP80" s="22"/>
      <c r="JQ80" s="21"/>
      <c r="JR80" s="21"/>
      <c r="JS80" s="21"/>
      <c r="JT80" s="30"/>
      <c r="JU80" s="22"/>
      <c r="JV80" s="22"/>
      <c r="JW80" s="33"/>
      <c r="JX80" s="28" t="str">
        <f t="shared" si="449"/>
        <v>INASISTENTE</v>
      </c>
      <c r="JY80" s="33"/>
      <c r="JZ80" s="28" t="str">
        <f t="shared" si="450"/>
        <v>INASISTENTE</v>
      </c>
      <c r="KA80" s="21"/>
      <c r="KB80" s="21"/>
      <c r="KC80" s="21"/>
      <c r="KD80" s="37"/>
      <c r="KE80" s="28"/>
      <c r="KF80" s="28"/>
      <c r="KG80" s="28"/>
      <c r="KH80" s="39"/>
      <c r="KI80" s="39"/>
      <c r="KJ80" s="66"/>
      <c r="KK80" s="39"/>
      <c r="KL80" s="39"/>
      <c r="KM80" s="66"/>
      <c r="KN80" s="39"/>
      <c r="KO80" s="39"/>
      <c r="KP80" s="39"/>
      <c r="KQ80" s="39"/>
      <c r="KR80" s="39"/>
      <c r="KS80" s="39"/>
      <c r="KT80" s="39"/>
      <c r="KU80" s="38"/>
      <c r="KV80" s="38"/>
      <c r="KW80" s="38"/>
      <c r="KX80" s="38"/>
      <c r="KY80" s="38"/>
      <c r="KZ80" s="38"/>
      <c r="LA80" s="38"/>
      <c r="LB80" s="38"/>
      <c r="LC80" s="38"/>
      <c r="LD80" s="38"/>
      <c r="LE80" s="38"/>
      <c r="LF80" s="38"/>
      <c r="LG80" s="38"/>
      <c r="LH80" s="38"/>
      <c r="LI80" s="38"/>
      <c r="LJ80" s="38"/>
      <c r="LK80" s="38"/>
      <c r="LL80" s="38"/>
      <c r="LM80" s="38"/>
      <c r="LN80" s="38"/>
      <c r="LO80" s="38"/>
      <c r="LP80" s="38"/>
      <c r="LQ80" s="38"/>
      <c r="LR80" s="38"/>
      <c r="LS80" s="38"/>
      <c r="LT80" s="38"/>
      <c r="LU80" s="38"/>
      <c r="LV80" s="38"/>
      <c r="LW80" s="38"/>
      <c r="LX80" s="38"/>
      <c r="LY80" s="38"/>
      <c r="LZ80" s="38"/>
      <c r="MA80" s="38"/>
      <c r="MB80" s="38"/>
      <c r="MC80" s="38"/>
      <c r="MD80" s="38"/>
      <c r="ME80" s="38"/>
      <c r="MF80" s="38"/>
      <c r="MG80" s="38"/>
      <c r="MH80" s="43">
        <f t="shared" si="303"/>
        <v>0</v>
      </c>
      <c r="MI80" s="43" t="str">
        <f t="shared" si="304"/>
        <v/>
      </c>
      <c r="MJ80" s="43" t="str">
        <f t="shared" si="305"/>
        <v/>
      </c>
      <c r="MK80" s="43">
        <f t="shared" si="306"/>
        <v>0</v>
      </c>
      <c r="ML8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80" s="43">
        <f t="shared" si="307"/>
        <v>20.571428571428573</v>
      </c>
      <c r="MN80" s="43">
        <f t="shared" si="308"/>
        <v>1</v>
      </c>
      <c r="MO80" s="43">
        <f t="shared" si="309"/>
        <v>2023</v>
      </c>
      <c r="MP80" s="43" t="str">
        <f t="shared" si="310"/>
        <v>I TRIMESTRE AÑO</v>
      </c>
      <c r="MQ80" s="43">
        <f t="shared" si="311"/>
        <v>35.318112133158124</v>
      </c>
      <c r="MR80" s="43">
        <f t="shared" si="312"/>
        <v>2</v>
      </c>
      <c r="MS80" s="43" t="str">
        <f t="shared" si="313"/>
        <v xml:space="preserve"> DE 35 A 39 AÑOS</v>
      </c>
      <c r="MT80" s="43">
        <f t="shared" si="314"/>
        <v>0</v>
      </c>
      <c r="MU80" s="43">
        <f t="shared" si="315"/>
        <v>0</v>
      </c>
      <c r="MV80" s="43">
        <f t="shared" si="316"/>
        <v>0</v>
      </c>
      <c r="MW80" s="43">
        <f t="shared" si="317"/>
        <v>0</v>
      </c>
      <c r="MX80" s="43" t="str">
        <f t="shared" si="318"/>
        <v/>
      </c>
      <c r="MY80" s="43" t="str">
        <f t="shared" ca="1" si="451"/>
        <v/>
      </c>
      <c r="MZ80" s="43" t="str">
        <f t="shared" si="319"/>
        <v/>
      </c>
      <c r="NA80" s="43" t="str">
        <f t="shared" si="320"/>
        <v/>
      </c>
      <c r="NB80" s="43" t="str">
        <f t="shared" si="321"/>
        <v/>
      </c>
      <c r="NC80" s="43" t="str">
        <f t="shared" si="322"/>
        <v/>
      </c>
      <c r="ND80" s="43">
        <f t="shared" ca="1" si="323"/>
        <v>2</v>
      </c>
      <c r="NE80" s="43">
        <f>IF(OR(O80&gt;0,R80&gt;0),SUM(COUNTIF(Tabla1[[#This Row],[AÑOS AL INICIO5 CPN]],"&gt;=40"),COUNTIF(AS80,"0"),COUNTIF(AR80,"SI"),COUNTIF(CC80,"SI"),COUNTIF(BQ80,"&gt;119"),COUNTIF(CI80,"&gt;=35")),"")</f>
        <v>0</v>
      </c>
      <c r="NF80" s="43">
        <f t="shared" si="324"/>
        <v>35</v>
      </c>
      <c r="NG80" s="43">
        <f t="shared" si="325"/>
        <v>0</v>
      </c>
      <c r="NH80" s="43">
        <f t="shared" si="326"/>
        <v>247.09999999999997</v>
      </c>
      <c r="NI80"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CPN",P80="NO"),"Z",IF(AND(Tabla1[[#This Row],[CITA PROXIMO CONTROL]]="CITA MANUAL",Tabla1[[#This Row],[GESTANTES ACTUALES]]="ACTIVA INGRESO A CPN"),"W",IF(AND(Tabla1[[#This Row],[GESTANTES ACTUALES]]="SALIO PROGRAMA",IN80=""),"S",IF(AND(Tabla1[[#This Row],[CITA PROXIMO CONTROL]]&gt;0,IN80=""),(Tabla1[[#This Row],[CITA PROXIMO CONTROL]]-TODAY()),"SD"))))))))</f>
        <v>SD</v>
      </c>
      <c r="NJ80" s="43">
        <f>MONTH(Tabla1[[#This Row],[FECHA DE SALIDA  DEL PROGRAMA]])</f>
        <v>5</v>
      </c>
      <c r="NK80" s="43">
        <f>YEAR(Tabla1[[#This Row],[FECHA DE SALIDA  DEL PROGRAMA]])</f>
        <v>2023</v>
      </c>
      <c r="NL80" s="43" t="str">
        <f t="shared" si="327"/>
        <v>X</v>
      </c>
      <c r="NM80" s="43" t="str">
        <f t="shared" si="251"/>
        <v>NO</v>
      </c>
      <c r="NN80" s="43" t="str">
        <f ca="1">IF(AND(O80&gt;0,R80=""),"NO CPN",IF(AND(O80="",R80=""),"",IF(AND(R80&gt;0,Tabla1[[#This Row],[SEMANAS DE GESTACION ACTUALIZADAS]]&lt;=12),"NO APLICA",IF(AND(FH80&lt;&gt;"",FN80&lt;&gt;""),"SI","NO"))))</f>
        <v>NO</v>
      </c>
      <c r="NO80" s="43" t="str">
        <f ca="1">IF(AND(O80&gt;0,R80=""),"NO CPN",IF(AND(O80="",R80=""),"",IF(AND(R80&gt;0,Tabla1[[#This Row],[SEMANAS DE GESTACION ACTUALIZADAS]]&lt;=27),"NO APLICA",IF(AND(ES80&lt;&gt;"",FQ80&lt;&gt;"",GF80&lt;&gt;""),"SI","NO"))))</f>
        <v>NO</v>
      </c>
      <c r="NP80" s="204" t="str">
        <f t="shared" si="328"/>
        <v>II TRIM</v>
      </c>
      <c r="NQ80" s="21">
        <f t="shared" si="437"/>
        <v>1</v>
      </c>
      <c r="NR80" s="21">
        <f t="shared" si="452"/>
        <v>2</v>
      </c>
      <c r="NS80" s="205">
        <f t="shared" ca="1" si="329"/>
        <v>1</v>
      </c>
      <c r="NT80" s="21">
        <f t="shared" ca="1" si="330"/>
        <v>1</v>
      </c>
      <c r="NU80" s="21" t="str">
        <f t="shared" ca="1" si="331"/>
        <v>INCOMPLETO</v>
      </c>
      <c r="NV80" s="21" t="str">
        <f t="shared" ca="1" si="332"/>
        <v>INCOMPLETO</v>
      </c>
      <c r="NW80" s="206" t="str">
        <f>IF(AND(O80="",R80=""),"",IF(OR(AND(Tabla1[[#This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80" s="207" t="str">
        <f t="shared" ca="1" si="333"/>
        <v>VACUNADA</v>
      </c>
      <c r="NY80" s="43">
        <f>ROW(Tabla1[[#This Row],['# DE TAMIZAJES SIFILIS TOMADOS ]])</f>
        <v>80</v>
      </c>
      <c r="NZ80" s="43">
        <f t="shared" si="334"/>
        <v>20</v>
      </c>
      <c r="OA80" s="43" t="str">
        <f t="shared" si="335"/>
        <v/>
      </c>
      <c r="OB80" s="43" t="str">
        <f t="shared" si="336"/>
        <v/>
      </c>
      <c r="OC80" s="43" t="str">
        <f t="shared" si="337"/>
        <v/>
      </c>
      <c r="OD80" s="43" t="str">
        <f t="shared" si="338"/>
        <v/>
      </c>
      <c r="OE80" s="43" t="str">
        <f t="shared" si="339"/>
        <v/>
      </c>
      <c r="OF80" s="43" t="str">
        <f t="shared" si="340"/>
        <v/>
      </c>
      <c r="OG80" s="43" t="str">
        <f t="shared" si="341"/>
        <v/>
      </c>
      <c r="OH80" s="43" t="str">
        <f t="shared" si="342"/>
        <v/>
      </c>
      <c r="OI80" s="43" t="str">
        <f t="shared" si="343"/>
        <v/>
      </c>
      <c r="OJ80" s="43" t="str">
        <f t="shared" si="344"/>
        <v/>
      </c>
      <c r="OK80" s="43" t="str">
        <f t="shared" si="345"/>
        <v/>
      </c>
      <c r="OL80" s="43" t="str">
        <f t="shared" si="346"/>
        <v>SOBREPESO</v>
      </c>
      <c r="OM80" s="43" t="str">
        <f t="shared" si="347"/>
        <v/>
      </c>
      <c r="ON80" s="43" t="str">
        <f t="shared" si="348"/>
        <v/>
      </c>
      <c r="OO80" s="43" t="str">
        <f t="shared" si="349"/>
        <v/>
      </c>
      <c r="OP80" s="43" t="str">
        <f t="shared" si="350"/>
        <v/>
      </c>
      <c r="OQ80" s="43" t="str">
        <f t="shared" si="351"/>
        <v/>
      </c>
      <c r="OR80" s="43" t="str">
        <f t="shared" si="352"/>
        <v/>
      </c>
      <c r="OS80" s="43" t="str">
        <f t="shared" si="353"/>
        <v/>
      </c>
      <c r="OT80" s="43" t="str">
        <f t="shared" si="354"/>
        <v/>
      </c>
      <c r="OU80" s="43" t="str">
        <f t="shared" si="355"/>
        <v/>
      </c>
      <c r="OV80" s="110" t="str">
        <f t="shared" si="356"/>
        <v/>
      </c>
      <c r="OW80" s="43" t="str">
        <f t="shared" si="357"/>
        <v/>
      </c>
      <c r="OX80" s="43" t="str">
        <f t="shared" si="358"/>
        <v/>
      </c>
      <c r="OY80" s="43" t="str">
        <f t="shared" si="359"/>
        <v/>
      </c>
      <c r="OZ80" s="43" t="str">
        <f t="shared" si="360"/>
        <v/>
      </c>
      <c r="PA80" s="43" t="str">
        <f t="shared" si="361"/>
        <v/>
      </c>
      <c r="PB80" s="43" t="str">
        <f t="shared" si="362"/>
        <v/>
      </c>
      <c r="PC80" s="43" t="str">
        <f t="shared" si="363"/>
        <v/>
      </c>
      <c r="PD80" s="43" t="str">
        <f t="shared" si="364"/>
        <v/>
      </c>
      <c r="PE80" s="43" t="str">
        <f t="shared" si="365"/>
        <v/>
      </c>
      <c r="PF80" s="43" t="str">
        <f t="shared" si="366"/>
        <v/>
      </c>
      <c r="PG80" s="43" t="str">
        <f t="shared" si="367"/>
        <v/>
      </c>
      <c r="PH80" s="43" t="str">
        <f t="shared" si="368"/>
        <v/>
      </c>
      <c r="PI80" s="43">
        <f t="shared" si="369"/>
        <v>36</v>
      </c>
      <c r="PJ80" s="43" t="str">
        <f t="shared" si="370"/>
        <v/>
      </c>
      <c r="PK80" s="43" t="str">
        <f t="shared" si="371"/>
        <v/>
      </c>
      <c r="PL80" s="43" t="str">
        <f t="shared" si="372"/>
        <v/>
      </c>
      <c r="PM80" s="43" t="str">
        <f t="shared" si="373"/>
        <v/>
      </c>
      <c r="PN80" s="43" t="str">
        <f t="shared" si="374"/>
        <v/>
      </c>
      <c r="PO80" s="43" t="str">
        <f t="shared" si="375"/>
        <v/>
      </c>
      <c r="PP80" s="43" t="str">
        <f t="shared" si="376"/>
        <v/>
      </c>
      <c r="PQ80" s="43" t="str">
        <f t="shared" si="377"/>
        <v/>
      </c>
      <c r="PR80" s="43" t="str">
        <f t="shared" si="378"/>
        <v/>
      </c>
      <c r="PS80" s="43" t="str">
        <f t="shared" si="379"/>
        <v/>
      </c>
      <c r="PT80" s="43" t="str">
        <f t="shared" si="380"/>
        <v/>
      </c>
      <c r="PU80" s="43" t="str">
        <f t="shared" si="381"/>
        <v/>
      </c>
      <c r="PV80" s="43" t="str">
        <f t="shared" si="382"/>
        <v/>
      </c>
      <c r="PW80" s="43" t="str">
        <f t="shared" si="383"/>
        <v/>
      </c>
      <c r="PX80" s="43" t="str">
        <f t="shared" si="384"/>
        <v/>
      </c>
      <c r="PY80" s="43" t="str">
        <f t="shared" si="385"/>
        <v/>
      </c>
      <c r="PZ80" s="43" t="str">
        <f t="shared" si="386"/>
        <v/>
      </c>
      <c r="QA80" s="43" t="str">
        <f t="shared" si="387"/>
        <v/>
      </c>
      <c r="QB80" s="43" t="str">
        <f t="shared" si="388"/>
        <v/>
      </c>
      <c r="QC80" s="43" t="str">
        <f t="shared" si="389"/>
        <v/>
      </c>
      <c r="QD80" s="43" t="str">
        <f t="shared" si="390"/>
        <v/>
      </c>
      <c r="QE80" s="43" t="str">
        <f t="shared" si="391"/>
        <v/>
      </c>
      <c r="QF80" s="43" t="str">
        <f t="shared" si="392"/>
        <v/>
      </c>
      <c r="QG80" s="43" t="str">
        <f t="shared" si="393"/>
        <v/>
      </c>
      <c r="QH80" s="43" t="str">
        <f t="shared" si="394"/>
        <v/>
      </c>
      <c r="QI80" s="43" t="str">
        <f t="shared" si="395"/>
        <v/>
      </c>
      <c r="QJ80" s="43" t="str">
        <f t="shared" si="396"/>
        <v/>
      </c>
      <c r="QK80" s="43" t="str">
        <f t="shared" si="397"/>
        <v>SOBREPESO</v>
      </c>
      <c r="QL80" s="43" t="str">
        <f t="shared" si="398"/>
        <v/>
      </c>
      <c r="QM80" s="43" t="str">
        <f t="shared" si="399"/>
        <v/>
      </c>
      <c r="QN80" s="43" t="str">
        <f t="shared" si="400"/>
        <v/>
      </c>
      <c r="QO80" s="43" t="str">
        <f t="shared" si="401"/>
        <v/>
      </c>
      <c r="QP80" s="43" t="str">
        <f t="shared" si="402"/>
        <v/>
      </c>
      <c r="QQ80" s="43" t="str">
        <f t="shared" si="403"/>
        <v/>
      </c>
      <c r="QR80" s="43">
        <f t="shared" si="433"/>
        <v>36</v>
      </c>
      <c r="QS80" s="43"/>
      <c r="QT80" s="21" t="str">
        <f t="shared" si="404"/>
        <v/>
      </c>
      <c r="QU80" s="21" t="str">
        <f t="shared" si="405"/>
        <v/>
      </c>
      <c r="QV80" s="21" t="str">
        <f t="shared" si="406"/>
        <v/>
      </c>
      <c r="QW80" s="21" t="str">
        <f t="shared" si="407"/>
        <v/>
      </c>
      <c r="QX80" s="21" t="str">
        <f t="shared" si="408"/>
        <v/>
      </c>
      <c r="QY80" s="21" t="str">
        <f t="shared" si="409"/>
        <v/>
      </c>
      <c r="QZ80" s="21" t="str">
        <f t="shared" si="410"/>
        <v/>
      </c>
      <c r="RA80" s="21" t="str">
        <f t="shared" si="411"/>
        <v/>
      </c>
      <c r="RB80" s="21" t="str">
        <f t="shared" si="412"/>
        <v/>
      </c>
      <c r="RC80" s="21" t="str">
        <f t="shared" si="413"/>
        <v/>
      </c>
      <c r="RD80" s="21" t="str">
        <f t="shared" si="414"/>
        <v/>
      </c>
      <c r="RE80" s="21" t="str">
        <f t="shared" si="415"/>
        <v/>
      </c>
      <c r="RF80" s="21" t="str">
        <f t="shared" si="416"/>
        <v/>
      </c>
      <c r="RG80" s="21" t="str">
        <f t="shared" si="417"/>
        <v/>
      </c>
      <c r="RH80" s="21" t="str">
        <f t="shared" si="418"/>
        <v/>
      </c>
      <c r="RI80" s="21" t="str">
        <f t="shared" si="419"/>
        <v/>
      </c>
      <c r="RJ80" s="21" t="str">
        <f t="shared" si="420"/>
        <v/>
      </c>
      <c r="RK80" s="21" t="str">
        <f t="shared" si="421"/>
        <v/>
      </c>
      <c r="RL80" s="21" t="str">
        <f t="shared" si="422"/>
        <v/>
      </c>
      <c r="RM80" s="21" t="str">
        <f t="shared" si="423"/>
        <v/>
      </c>
      <c r="RN80" s="21" t="str">
        <f t="shared" si="424"/>
        <v/>
      </c>
      <c r="RO80" s="21" t="str">
        <f t="shared" si="425"/>
        <v/>
      </c>
      <c r="RP80" s="21" t="str">
        <f t="shared" si="426"/>
        <v/>
      </c>
      <c r="RQ80" s="21" t="str">
        <f t="shared" si="427"/>
        <v>ADECUADO PARA EDAD GESTACIONAL</v>
      </c>
      <c r="RR80" s="21" t="str">
        <f t="shared" si="428"/>
        <v/>
      </c>
      <c r="RS80" s="21" t="str">
        <f t="shared" si="429"/>
        <v/>
      </c>
      <c r="RT80" s="21" t="str">
        <f t="shared" si="430"/>
        <v/>
      </c>
      <c r="RU80" s="21" t="str">
        <f t="shared" si="431"/>
        <v/>
      </c>
      <c r="RV80" s="21">
        <f t="shared" si="432"/>
        <v>35.571428571428569</v>
      </c>
      <c r="RW80" s="284">
        <f>IF(OR(Tabla1[[#This Row],[FUM FORMULA CONFIABLE]]="",Tabla1[[#This Row],[FUM FORMULA CONFIABLE]]="SD"),"",IF(Tabla1[[#This Row],[FUM FORMULA CONFIABLE]]="CORREGIDA",Tabla1[[#This Row],[FUM X ECO 1]],Tabla1[[#This Row],[FUM x AMENORREA]]))</f>
        <v>44796</v>
      </c>
      <c r="RX80" s="21">
        <f>IF(AND(Tabla1[[#This Row],[FUM X ECO 1]]="",Tabla1[[#This Row],[FUM x AMENORREA]]=""),"",IF(AND(Tabla1[[#This Row],[FUM X ECO 1]]="",Tabla1[[#This Row],[FUM x AMENORREA]]&lt;&gt;""),"X",SUM(Tabla1[[#This Row],[FUM X ECO 1]]-Tabla1[[#This Row],[FUM x AMENORREA]])))</f>
        <v>7.9000000000014552</v>
      </c>
      <c r="RY80" s="21">
        <f t="shared" si="434"/>
        <v>1</v>
      </c>
    </row>
    <row r="81" spans="1:493" ht="45" customHeight="1" x14ac:dyDescent="0.25">
      <c r="A81" s="109"/>
      <c r="B81" s="43"/>
      <c r="C81" s="43" t="s">
        <v>845</v>
      </c>
      <c r="D81" s="124" t="s">
        <v>846</v>
      </c>
      <c r="E81" s="43" t="s">
        <v>1202</v>
      </c>
      <c r="F81" s="43" t="s">
        <v>1244</v>
      </c>
      <c r="G81" s="43" t="s">
        <v>1245</v>
      </c>
      <c r="H81" s="43" t="s">
        <v>848</v>
      </c>
      <c r="I81" s="109" t="s">
        <v>851</v>
      </c>
      <c r="J81" s="110">
        <v>1059596197</v>
      </c>
      <c r="K81" s="43" t="s">
        <v>852</v>
      </c>
      <c r="L81" s="175" t="s">
        <v>853</v>
      </c>
      <c r="M81" s="22">
        <v>38748</v>
      </c>
      <c r="N81" s="213">
        <f t="shared" ca="1" si="252"/>
        <v>17.764383561643836</v>
      </c>
      <c r="O81" s="22">
        <v>44943</v>
      </c>
      <c r="P81" s="214" t="str">
        <f t="shared" si="438"/>
        <v>SI</v>
      </c>
      <c r="Q81" s="26" t="s">
        <v>855</v>
      </c>
      <c r="R81" s="22">
        <v>44943</v>
      </c>
      <c r="S81" s="21" t="s">
        <v>856</v>
      </c>
      <c r="T81" s="24" t="s">
        <v>690</v>
      </c>
      <c r="U81" s="21" t="s">
        <v>857</v>
      </c>
      <c r="V81" s="21" t="s">
        <v>858</v>
      </c>
      <c r="W81" s="21" t="s">
        <v>1062</v>
      </c>
      <c r="X81" s="21" t="s">
        <v>1062</v>
      </c>
      <c r="Y81" s="21" t="s">
        <v>859</v>
      </c>
      <c r="Z81" s="21" t="s">
        <v>894</v>
      </c>
      <c r="AA81" s="21" t="s">
        <v>860</v>
      </c>
      <c r="AB81" s="27" t="s">
        <v>861</v>
      </c>
      <c r="AC81" s="26" t="s">
        <v>846</v>
      </c>
      <c r="AD81" s="38" t="s">
        <v>846</v>
      </c>
      <c r="AE81" s="26" t="s">
        <v>854</v>
      </c>
      <c r="AF81" s="26" t="s">
        <v>854</v>
      </c>
      <c r="AG81" s="23" t="s">
        <v>864</v>
      </c>
      <c r="AH81" s="23" t="s">
        <v>864</v>
      </c>
      <c r="AI81" s="24" t="s">
        <v>863</v>
      </c>
      <c r="AJ81" s="23" t="s">
        <v>864</v>
      </c>
      <c r="AK81" s="220" t="str">
        <f>IF(AND(AD81="",AE81="",AF81="",AG81="",AH81="",AI81="",AJ81=""),"",IF(OR(Tabla1[[#This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EVALUACIÓN",IF(AND(O81="",R81=""),"",IF(AND(OR(O81&gt;0,R81&gt;0),NG81&gt;=0,NG81&lt;2),"SIN RIESGO",IF(AND(OR(O81&gt;0,R81&gt;0),NG81&gt;=2),"CON RIESGO","ASD")))))</f>
        <v>SIN RIESGO</v>
      </c>
      <c r="AL81" s="23" t="s">
        <v>864</v>
      </c>
      <c r="AM81" s="26" t="s">
        <v>864</v>
      </c>
      <c r="AN81" s="26" t="s">
        <v>864</v>
      </c>
      <c r="AO81" s="26" t="s">
        <v>864</v>
      </c>
      <c r="AP81" s="26" t="s">
        <v>864</v>
      </c>
      <c r="AQ81" s="26" t="s">
        <v>864</v>
      </c>
      <c r="AR81" s="26" t="s">
        <v>864</v>
      </c>
      <c r="AS81" s="21">
        <v>0</v>
      </c>
      <c r="AT81" s="21">
        <v>0</v>
      </c>
      <c r="AU81" s="21">
        <v>0</v>
      </c>
      <c r="AV81" s="26" t="s">
        <v>864</v>
      </c>
      <c r="AW81" s="21">
        <v>0</v>
      </c>
      <c r="AX81" s="26" t="s">
        <v>864</v>
      </c>
      <c r="AY81" s="26" t="s">
        <v>864</v>
      </c>
      <c r="AZ81" s="26" t="s">
        <v>864</v>
      </c>
      <c r="BA81" s="26" t="s">
        <v>864</v>
      </c>
      <c r="BB81" s="26" t="s">
        <v>864</v>
      </c>
      <c r="BC81" s="26" t="s">
        <v>864</v>
      </c>
      <c r="BD81" s="26" t="s">
        <v>864</v>
      </c>
      <c r="BE81" s="26" t="s">
        <v>864</v>
      </c>
      <c r="BF81" s="26" t="s">
        <v>864</v>
      </c>
      <c r="BG81" s="26" t="s">
        <v>864</v>
      </c>
      <c r="BH81" s="26" t="s">
        <v>864</v>
      </c>
      <c r="BI81" s="26" t="s">
        <v>864</v>
      </c>
      <c r="BJ81" s="26"/>
      <c r="BK81" s="26"/>
      <c r="BL81" s="26" t="s">
        <v>864</v>
      </c>
      <c r="BM81" s="26" t="s">
        <v>864</v>
      </c>
      <c r="BN81" s="22"/>
      <c r="BO81" s="22">
        <v>44811</v>
      </c>
      <c r="BP81" s="21" t="s">
        <v>864</v>
      </c>
      <c r="BQ81" s="222">
        <f t="shared" si="254"/>
        <v>0</v>
      </c>
      <c r="BR81" s="223">
        <f t="shared" si="255"/>
        <v>44817.9</v>
      </c>
      <c r="BS81" s="224">
        <f t="shared" si="256"/>
        <v>18.857142857142858</v>
      </c>
      <c r="BT81" s="216" t="str">
        <f t="shared" si="257"/>
        <v>DEFINIR CON ECO</v>
      </c>
      <c r="BU81" s="214" t="str">
        <f t="shared" ca="1" si="258"/>
        <v/>
      </c>
      <c r="BV81" s="25"/>
      <c r="BW81" s="22">
        <v>44960</v>
      </c>
      <c r="BX81" s="28">
        <v>20.3</v>
      </c>
      <c r="BY81" s="28"/>
      <c r="BZ81" s="22"/>
      <c r="CA81" s="21"/>
      <c r="CB81" s="26"/>
      <c r="CC81" s="26" t="s">
        <v>864</v>
      </c>
      <c r="CD81" s="26" t="s">
        <v>878</v>
      </c>
      <c r="CE81" s="26" t="s">
        <v>864</v>
      </c>
      <c r="CF81" s="22" t="s">
        <v>1517</v>
      </c>
      <c r="CG81" s="21">
        <v>1.46</v>
      </c>
      <c r="CH81" s="21">
        <v>51</v>
      </c>
      <c r="CI81" s="214">
        <f t="shared" si="259"/>
        <v>23.925689622818542</v>
      </c>
      <c r="CJ81" s="225" t="e">
        <f>IF(AND(CI81&lt;10,CH81="SD"),"SIN DATO PESO PREGESTACION O I TRIM",IF(AND(OR(R81&gt;0,O81&gt;0),CI81="X"),"INGRESAR DATO DE PESO",IF(CI81="SD","INGRESAR DATO DE TALLA Y PESO",IF(AND(OR(Tabla1[[#This Row],[MOMENTO EN QUE SE REALIZA EL PESO AL INGRESO A CPN]]="PREGESTACIÓN",NZ81="Menor"),CI81&lt;18.5),"BAJO PESO",IF(AND(OR(Tabla1[[#This Row],[MOMENTO EN QUE SE REALIZA EL PESO AL INGRESO A CPN]]="PREGESTACIÓN",NZ81="Menor"),CI81&lt;25),"NORMAL",IF(AND(OR(Tabla1[[#This Row],[MOMENTO EN QUE SE REALIZA EL PESO AL INGRESO A CPN]]="PREGESTACIÓN",NZ81="Menor"),CI81&lt;30),"SOBREPESO",IF(AND(OR(Tabla1[[#This Row],[MOMENTO EN QUE SE REALIZA EL PESO AL INGRESO A CPN]]="PREGESTACIÓN",NZ81="Menor"),CI81&gt;=30,CI81&lt;50),"OBESIDAD",IF(AND(BS81&gt;0,Tabla1[[#This Row],[MOMENTO EN QUE SE REALIZA EL PESO AL INGRESO A CPN]]="GESTACIÓN"),HLOOKUP(NZ81,$OA$2:PH81,NY81),""))))))))</f>
        <v>#REF!</v>
      </c>
      <c r="CK81" s="212">
        <f t="shared" si="260"/>
        <v>45065</v>
      </c>
      <c r="CL81" s="21">
        <v>54.5</v>
      </c>
      <c r="CM81" s="214">
        <f t="shared" si="261"/>
        <v>25.567648714580599</v>
      </c>
      <c r="CN81" s="216">
        <f t="shared" si="262"/>
        <v>36</v>
      </c>
      <c r="CO81" s="216" t="e">
        <f>IF(PI81="","",IF(PI81&gt;0,HLOOKUP(PI81,$PJ$2:QQ81,NY81),""))</f>
        <v>#REF!</v>
      </c>
      <c r="CP81" s="21">
        <v>32</v>
      </c>
      <c r="CQ81" s="216" t="e">
        <f>IF(QR81="Menor","NO APLICA-MENOR 13 SEM",IF(AND(CC81="SI",CN81&gt;23),"NO APLICA- GEMELAR",IF(QR81="","",IF(QR81&gt;0,HLOOKUP(QR81,$QS$2:RU81,NY81),""))))</f>
        <v>#REF!</v>
      </c>
      <c r="CR81" s="21">
        <v>90</v>
      </c>
      <c r="CS81" s="21">
        <v>60</v>
      </c>
      <c r="CT81" s="217" t="str">
        <f>IF(R81="","",IF(AND(BS81&gt;1,BS81&lt;12,Tabla1[[#This Row],[T.A. SISTOLICA - ANTES DE SEMANA 12]]="",Tabla1[[#This Row],[T.A. DIASTOLICA - ANTES DE SEMANA 12]]=""),"REGISTRE DATO TA ANTES SEMANA 12",IF(AND(BS81&gt;11,BS81&lt;43,Tabla1[[#This Row],[T.A. SISTOLICA - ANTES DE SEMANA 12]]="",Tabla1[[#This Row],[T.A. DIASTOLICA - ANTES DE SEMANA 12]]=""),"NO APLICA REGISTRO TA-INGRESO TARDIO",IF(AND(OR(O81&gt;0,R81&gt;0),OR(CR81&gt;=140,CS81&gt;=90)),"DEFINIR ESTADIO HTA",IF(AND(OR(O81&gt;0,R81&gt;0),AND(CR81&gt;120,CR81&lt;=139)),"PRE HTA SEGUIMIENTO",IF(AND(OR(O81&gt;0,R81&gt;0),AND(CS81&gt;80,CS81&lt;=89)),"PRE HTA SEGUIMIENTO",IF(AND(OR(O81&gt;0,R81&gt;0),AND(CR81&gt;=80,CR81&lt;=120)),"APARENTEMENTE NORMAL",IF(AND(OR(O81&gt;0,R81&gt;0),AND(CS81&gt;=50,CS81&lt;=80)),"APARENTEMENTE NORMAL",IF(AND(OR(O81&gt;0,R81&gt;0),AND(CR81&gt;1,CR81&lt;=70),AND(CS81&gt;1,CS81&lt;=40)),"HIPOTENSIÓN","")))))))))</f>
        <v>APARENTEMENTE NORMAL</v>
      </c>
      <c r="CU81" s="21">
        <v>90</v>
      </c>
      <c r="CV81" s="21">
        <v>60</v>
      </c>
      <c r="CW81" s="217" t="str">
        <f ca="1">IF(R81="","",IF(AND(CN81&gt;19,CN81&lt;27,Tabla1[[#This Row],[T.A. SISTOLICA (Entre semana 20 y 26)]]="",Tabla1[[#This Row],[T.A. DIATOLICA (Entre semana 20 y 26)]]=""),"ACUDE A CONTROL SEM 20 A 26 REGISTRE TA AHORA",IF(AND(BS81&gt;1,BS81&lt;27,BU81&gt;19,Tabla1[[#This Row],[T.A. SISTOLICA (Entre semana 20 y 26)]]="",Tabla1[[#This Row],[T.A. DIATOLICA (Entre semana 20 y 26)]]=""),"COMPLETE REGISTRO TA CONTROL SEM 20 A26 ",IF(AND(BS81&gt;26,BS81&lt;43,Tabla1[[#This Row],[T.A. SISTOLICA (Entre semana 20 y 26)]]="",Tabla1[[#This Row],[T.A. DIATOLICA (Entre semana 20 y 26)]]=""),"NO APLICA REGISTRO TA-INGRESO TARDIO",IF(AND(OR(O81&gt;0,R81&gt;0),OR(CU81&gt;=140,CV81&gt;=90)),"ALTO RIESGO PREECLAMPSIA,DEFINIR ESTADIO HTA",IF(AND(OR(O81&gt;0,R81&gt;0),AND(CU81&gt;120,CU81&lt;=139)),"PRE HTA SEGUIMIENTO,RIESGO HIPERTENSION INDUCIDA POR EL EMBARAZO",IF(AND(OR(O81&gt;0,R81&gt;0),AND(CV81&gt;80,CV81&lt;=89)),"PRE HTA SEGUIMIENTO, RIESGO HIPERTENSION INDUCIDA POR EL EMBARAZO",IF(AND(OR(O81&lt;&gt;"",R81&lt;&gt;""),CS81&lt;&gt;"",CV81&lt;&gt;"",CS81&lt;=CV81),"VIGILAR CIFRAS PRESION ARTERIAL",IF(AND(OR(O81&gt;0,R81&gt;0),AND(CU81&gt;120,CU81&lt;=139)),"PRE HTA SEGUIMIENTO",IF(AND(OR(O81&gt;0,R81&gt;0),AND(CU81&gt;1,CU81&lt;=70),AND(CV81&gt;1,CV81&lt;=40)),"HIPOTENSIÓN",IF(AND(OR(O81&lt;&gt;"",R81&lt;&gt;""),CS81&lt;&gt;"",CV81&lt;&gt;"",CS81&gt;CV81),"APARENTEMENTE NORMAL",IF(AND(OR(O81&gt;0,R81&gt;0),AND(CU81&gt;=80,CU81&lt;=120)),"APARENTEMENTE NORMAL",IF(AND(OR(O81&gt;0,R81&gt;0),AND(CV81&gt;=50,CV81&lt;=80)),"APARENTEMENTE NORMAL","")))))))))))))</f>
        <v>VIGILAR CIFRAS PRESION ARTERIAL</v>
      </c>
      <c r="CX81" s="21"/>
      <c r="CY81" s="21"/>
      <c r="CZ81" s="216" t="str">
        <f t="shared" si="263"/>
        <v/>
      </c>
      <c r="DA81" s="21">
        <v>90</v>
      </c>
      <c r="DB81" s="21">
        <v>60</v>
      </c>
      <c r="DC81" s="217" t="str">
        <f t="shared" si="264"/>
        <v>APARENTEMENTE NORMAL</v>
      </c>
      <c r="DD81" s="22">
        <v>44943</v>
      </c>
      <c r="DE81" s="22">
        <v>44943</v>
      </c>
      <c r="DF81" s="22">
        <v>44975</v>
      </c>
      <c r="DG81" s="22">
        <v>45003</v>
      </c>
      <c r="DH81" s="22">
        <v>45065</v>
      </c>
      <c r="DI81" s="22"/>
      <c r="DJ81" s="22"/>
      <c r="DK81" s="22"/>
      <c r="DL81" s="22"/>
      <c r="DM81" s="22"/>
      <c r="DN81" s="22"/>
      <c r="DO81" s="22"/>
      <c r="DP81" s="22"/>
      <c r="DQ81" s="22"/>
      <c r="DR81" s="28">
        <v>2</v>
      </c>
      <c r="DS81" s="22"/>
      <c r="DT81" s="22"/>
      <c r="DU81" s="216" t="str">
        <f t="shared" ca="1" si="439"/>
        <v>SALE SIN PLAN DE PARTO</v>
      </c>
      <c r="DV81" s="226" t="str">
        <f t="shared" si="440"/>
        <v>SALIO PROGRAMA</v>
      </c>
      <c r="DW81"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81" s="216" t="str">
        <f t="shared" ca="1" si="266"/>
        <v/>
      </c>
      <c r="DY81" s="212">
        <f>IF(R81="","",IF(R81&gt;0,MAX(Tabla1[[#This Row],[FECHA C2]:[FECHA C13]],Tabla1[[#This Row],[FECHA CONSULTA PRIMERA VEZ PROGRAMA CPN ]])))</f>
        <v>45065</v>
      </c>
      <c r="DZ81" s="216">
        <f t="shared" si="267"/>
        <v>36</v>
      </c>
      <c r="EA81" s="222">
        <f>IF(R81&gt;0,SUM(COUNTA(DF81:DQ81)+COUNTA(Tabla1[[#This Row],[FECHA CONSULTA PRIMERA VEZ PROGRAMA CPN ]])),"")</f>
        <v>4</v>
      </c>
      <c r="EB81" s="222" t="str">
        <f t="shared" si="268"/>
        <v>SI</v>
      </c>
      <c r="EC81" s="214">
        <f t="shared" si="269"/>
        <v>7</v>
      </c>
      <c r="ED81" s="227">
        <f t="shared" si="270"/>
        <v>0.5714285714285714</v>
      </c>
      <c r="EE81" s="22">
        <v>44943</v>
      </c>
      <c r="EF81" s="22">
        <v>44943</v>
      </c>
      <c r="EG81" s="22">
        <v>44943</v>
      </c>
      <c r="EH81" s="22"/>
      <c r="EI81" s="22">
        <v>44943</v>
      </c>
      <c r="EJ81" s="22"/>
      <c r="EK81" s="22"/>
      <c r="EL81" s="21"/>
      <c r="EM81" s="21">
        <v>14.2</v>
      </c>
      <c r="EN81" s="22">
        <v>44960</v>
      </c>
      <c r="EO81" s="222">
        <f t="shared" si="271"/>
        <v>21.285714285714285</v>
      </c>
      <c r="EP81" s="214" t="str">
        <f t="shared" si="272"/>
        <v>NO DAR SULFATO FERROSO</v>
      </c>
      <c r="EQ81" s="216" t="str">
        <f t="shared" si="273"/>
        <v>II TRIM</v>
      </c>
      <c r="ER81" s="24"/>
      <c r="ES81" s="22"/>
      <c r="ET81" s="29" t="str">
        <f t="shared" ca="1" si="441"/>
        <v>SALE SIN TAMIZAJE HEMOGLOBINA SEM 28</v>
      </c>
      <c r="EU81" s="25" t="str">
        <f t="shared" si="275"/>
        <v/>
      </c>
      <c r="EV81" s="24" t="s">
        <v>866</v>
      </c>
      <c r="EW81" s="24">
        <v>44960</v>
      </c>
      <c r="EX81" s="22"/>
      <c r="EY81" s="29">
        <f t="shared" si="248"/>
        <v>21.285714285714285</v>
      </c>
      <c r="EZ81" s="25" t="str">
        <f t="shared" ca="1" si="249"/>
        <v/>
      </c>
      <c r="FA81" s="21">
        <v>63</v>
      </c>
      <c r="FB81" s="22">
        <v>44960</v>
      </c>
      <c r="FC81" s="29">
        <f t="shared" si="276"/>
        <v>21.285714285714285</v>
      </c>
      <c r="FD81" s="29">
        <v>54</v>
      </c>
      <c r="FE81" s="29">
        <v>72</v>
      </c>
      <c r="FF81" s="29">
        <v>108</v>
      </c>
      <c r="FG81" s="21" t="str">
        <f t="shared" ca="1" si="277"/>
        <v>NORMAL</v>
      </c>
      <c r="FH81" s="31">
        <v>45013</v>
      </c>
      <c r="FI81" s="29">
        <f t="shared" si="278"/>
        <v>28.857142857142858</v>
      </c>
      <c r="FJ81" s="22"/>
      <c r="FK81" s="22"/>
      <c r="FL81" s="29" t="str">
        <f t="shared" ca="1" si="279"/>
        <v>NO APLICA-INGRESO TARDIO</v>
      </c>
      <c r="FM81" s="22" t="s">
        <v>867</v>
      </c>
      <c r="FN81" s="32">
        <v>44960</v>
      </c>
      <c r="FO81" s="29">
        <f t="shared" ca="1" si="442"/>
        <v>21.285714285714285</v>
      </c>
      <c r="FP81" s="22"/>
      <c r="FQ81" s="32"/>
      <c r="FR81" s="29" t="str">
        <f t="shared" ca="1" si="443"/>
        <v>PIERDE TOMA DE TAMIZAJE</v>
      </c>
      <c r="FS81" s="22"/>
      <c r="FT81" s="32"/>
      <c r="FU81" s="29" t="str">
        <f>IF(AND(FJ81="",FM81="",FP81="",FS81=""),"",IF(OR(OR(Tabla1[[#This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81" s="28"/>
      <c r="FW81" s="22"/>
      <c r="FX81" s="29" t="str">
        <f t="shared" si="280"/>
        <v>TOMAR EXAMEN</v>
      </c>
      <c r="FY81" s="22">
        <v>44943</v>
      </c>
      <c r="FZ81" s="22">
        <v>44943</v>
      </c>
      <c r="GA81" s="29" t="str">
        <f t="shared" si="250"/>
        <v>REGISTRAR EN II TRIMESTRE</v>
      </c>
      <c r="GB81" s="22" t="s">
        <v>868</v>
      </c>
      <c r="GC81" s="22">
        <v>44960</v>
      </c>
      <c r="GD81" s="29">
        <f t="shared" ca="1" si="444"/>
        <v>21.285714285714285</v>
      </c>
      <c r="GE81" s="22" t="s">
        <v>868</v>
      </c>
      <c r="GF81" s="22">
        <v>45066</v>
      </c>
      <c r="GG81" s="29">
        <f t="shared" ca="1" si="445"/>
        <v>36.428571428571431</v>
      </c>
      <c r="GH81" s="22"/>
      <c r="GI81" s="29"/>
      <c r="GJ81" s="22"/>
      <c r="GK81" s="22"/>
      <c r="GL81" s="22"/>
      <c r="GM81" s="22"/>
      <c r="GN81" s="28" t="s">
        <v>869</v>
      </c>
      <c r="GO81" s="22">
        <v>44960</v>
      </c>
      <c r="GP81" s="29">
        <f t="shared" si="283"/>
        <v>21.285714285714285</v>
      </c>
      <c r="GQ81" s="28" t="s">
        <v>869</v>
      </c>
      <c r="GR81" s="28" t="s">
        <v>869</v>
      </c>
      <c r="GS81" s="22" t="str">
        <f t="shared" si="284"/>
        <v>CONTROL Igm</v>
      </c>
      <c r="GT81" s="22">
        <v>44960</v>
      </c>
      <c r="GU81" s="29">
        <f t="shared" si="285"/>
        <v>21.285714285714285</v>
      </c>
      <c r="GV81" s="21" t="str">
        <f t="shared" si="286"/>
        <v>II TRIM</v>
      </c>
      <c r="GW81" s="28" t="s">
        <v>869</v>
      </c>
      <c r="GX81" s="30"/>
      <c r="GY81" s="21"/>
      <c r="GZ81" s="21"/>
      <c r="HA81" s="21"/>
      <c r="HB81" s="21"/>
      <c r="HC81" s="21"/>
      <c r="HD81" s="21"/>
      <c r="HE81" s="21"/>
      <c r="HF81" s="22"/>
      <c r="HG81" s="22" t="str">
        <f>IF(OR(O81&gt;0,R81&gt;0),CONCATENATE(IF(Tabla1[[#This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81" s="22" t="e">
        <f t="shared" si="287"/>
        <v>#REF!</v>
      </c>
      <c r="HI81" s="22" t="e">
        <f t="shared" ca="1" si="288"/>
        <v>#REF!</v>
      </c>
      <c r="HJ81" s="21" t="str">
        <f t="shared" ca="1" si="289"/>
        <v>**********************MULTIPARIDAD*****************</v>
      </c>
      <c r="HK81" s="21" t="str">
        <f t="shared" si="290"/>
        <v>SIN ANTECEDENTES DE RIESGO</v>
      </c>
      <c r="HL81" s="24" t="str">
        <f t="shared" si="291"/>
        <v>APARENTEMENTE NORMAL</v>
      </c>
      <c r="HM81" s="21" t="str">
        <f t="shared" ca="1" si="292"/>
        <v/>
      </c>
      <c r="HN81" s="30" t="str">
        <f t="shared" si="446"/>
        <v>SALIO PROGRAMA</v>
      </c>
      <c r="HO81" s="21"/>
      <c r="HP81" s="21"/>
      <c r="HQ81" s="21">
        <v>44943</v>
      </c>
      <c r="HR81" s="21" t="str">
        <f>IF(R81="","",IF(Tabla1[[#This Row],[ALARMA FACTORES DE RIESGO COMPLICACIONES HIPERTENSIVAS3]]="SIN ANTECEDENTES DE RIESGO","No Aplica para suministro de ASA",IF(AND(Tabla1[[#This Row],[FECHA INICIO DE SUMINISTRO DE ASA]]&gt;0,RV81&lt;12),"Inicia ASA ANTES de Sem 12",IF(AND(RV81&gt;11,RV81&lt;17,OR(HK81="RIESGO ALTO DE COMPLICACIONES HIPERTENSIVAS VER MANEJO GUIA SUMINISTRO ASA Y CALCIO",HK81="RIESGO MODERADO (2 O MAS CRITERIOS) VER MANEJO GUIA SUMINISTRO ASA Y CALCIO")),"Inicio oportuno de ASA",IF(AND(RV81&gt;12,OR(HK81="RIESGO ALTO DE COMPLICACIONES HIPERTENSIVAS VER MANEJO GUIA SUMINISTRO ASA Y CALCIO",HK81="RIESGO MODERADO (2 O MAS CRITERIOS) VER MANEJO GUIA SUMINISTRO ASA Y CALCIO")),"Inicio no oportuno mayor a 16 semanas",IF(AND(BU81&lt;12,OR(HK81="RIESGO ALTO DE COMPLICACIONES HIPERTENSIVAS VER MANEJO GUIA SUMINISTRO ASA Y CALCIO",HK81="RIESGO MODERADO (2 O MAS CRITERIOS) VER MANEJO GUIA SUMINISTRO ASA Y CALCIO")),"Pendiente Inicio de ASA a la semana 12",IF(AND(BU81&gt;11,BU81&lt;17,OR(HK81="RIESGO ALTO DE COMPLICACIONES HIPERTENSIVAS VER MANEJO GUIA SUMINISTRO ASA Y CALCIO",HK81="RIESGO MODERADO (2 O MAS CRITERIOS) VER MANEJO GUIA SUMINISTRO ASA Y CALCIO")),"Iniciar de inmediato ASA",IF(AND(BU81&gt;16,OR(HK81="RIESGO ALTO DE COMPLICACIONES HIPERTENSIVAS VER MANEJO GUIA SUMINISTRO ASA Y CALCIO",HK81="RIESGO MODERADO (2 O MAS CRITERIOS) VER MANEJO GUIA SUMINISTRO ASA Y CALCIO")),"Pierde Oportunidad, Inicio tardío de ASA","XXXXX"))))))))</f>
        <v>No Aplica para suministro de ASA</v>
      </c>
      <c r="HS81" s="22">
        <v>44943</v>
      </c>
      <c r="HT81" s="22" t="s">
        <v>870</v>
      </c>
      <c r="HU81" s="22"/>
      <c r="HV81" s="22"/>
      <c r="HW81" s="22">
        <v>44943</v>
      </c>
      <c r="HX81" s="22" t="s">
        <v>870</v>
      </c>
      <c r="HY81" s="22">
        <v>44943</v>
      </c>
      <c r="HZ81" s="28">
        <f t="shared" si="293"/>
        <v>18.857142857142858</v>
      </c>
      <c r="IA81" s="26" t="s">
        <v>864</v>
      </c>
      <c r="IB81" s="26"/>
      <c r="IC81" s="111"/>
      <c r="ID81" s="22"/>
      <c r="IE81" s="22" t="str">
        <f t="shared" ca="1" si="294"/>
        <v>SALE SIN VACUNA</v>
      </c>
      <c r="IF81" s="22"/>
      <c r="IG81" s="22">
        <f t="shared" si="295"/>
        <v>45091</v>
      </c>
      <c r="IH81" s="29">
        <f t="shared" ca="1" si="296"/>
        <v>-141</v>
      </c>
      <c r="II81" s="22" t="str">
        <f t="shared" ca="1" si="297"/>
        <v>POSIBLEMENTE NACIO</v>
      </c>
      <c r="IJ81" s="22"/>
      <c r="IK81" s="21" t="s">
        <v>898</v>
      </c>
      <c r="IL81" s="21"/>
      <c r="IM81" s="34"/>
      <c r="IN81" s="349">
        <v>45099</v>
      </c>
      <c r="IO81" s="21" t="s">
        <v>1640</v>
      </c>
      <c r="IP81" s="29">
        <f t="shared" si="436"/>
        <v>41.142857142857146</v>
      </c>
      <c r="IQ81" s="110"/>
      <c r="IR81" s="21" t="s">
        <v>879</v>
      </c>
      <c r="IS81" s="21" t="s">
        <v>1641</v>
      </c>
      <c r="IT81" s="21" t="s">
        <v>1642</v>
      </c>
      <c r="IU81" s="21"/>
      <c r="IV81" s="21"/>
      <c r="IW81" s="21"/>
      <c r="IX81" s="21"/>
      <c r="IY81" s="21"/>
      <c r="IZ81" s="21"/>
      <c r="JA81" s="21"/>
      <c r="JB81" s="30">
        <v>1</v>
      </c>
      <c r="JC81" s="21" t="s">
        <v>1643</v>
      </c>
      <c r="JD81" s="36">
        <v>3740</v>
      </c>
      <c r="JE81" s="21" t="str">
        <f t="shared" si="447"/>
        <v>PESO ADECUADO EDAD GESTACIONAL</v>
      </c>
      <c r="JF81" s="30"/>
      <c r="JG81" s="21"/>
      <c r="JH81" s="21"/>
      <c r="JI81" s="21"/>
      <c r="JJ81" s="30"/>
      <c r="JK81" s="22"/>
      <c r="JL81" s="22"/>
      <c r="JM81" s="21"/>
      <c r="JN81" s="36"/>
      <c r="JO81" s="21" t="str">
        <f t="shared" si="448"/>
        <v/>
      </c>
      <c r="JP81" s="22"/>
      <c r="JQ81" s="21"/>
      <c r="JR81" s="21"/>
      <c r="JS81" s="21"/>
      <c r="JT81" s="30"/>
      <c r="JU81" s="22"/>
      <c r="JV81" s="22"/>
      <c r="JW81" s="33"/>
      <c r="JX81" s="28" t="str">
        <f t="shared" si="449"/>
        <v>INASISTENTE</v>
      </c>
      <c r="JY81" s="33"/>
      <c r="JZ81" s="28" t="str">
        <f t="shared" si="450"/>
        <v>INASISTENTE</v>
      </c>
      <c r="KA81" s="21"/>
      <c r="KB81" s="21"/>
      <c r="KC81" s="21"/>
      <c r="KD81" s="37"/>
      <c r="KE81" s="28"/>
      <c r="KF81" s="28"/>
      <c r="KG81" s="28"/>
      <c r="KH81" s="39"/>
      <c r="KI81" s="39"/>
      <c r="KJ81" s="66"/>
      <c r="KK81" s="39"/>
      <c r="KL81" s="39"/>
      <c r="KM81" s="66"/>
      <c r="KN81" s="39"/>
      <c r="KO81" s="39"/>
      <c r="KP81" s="39"/>
      <c r="KQ81" s="39"/>
      <c r="KR81" s="39"/>
      <c r="KS81" s="39"/>
      <c r="KT81" s="39"/>
      <c r="KU81" s="38"/>
      <c r="KV81" s="38"/>
      <c r="KW81" s="38"/>
      <c r="KX81" s="38"/>
      <c r="KY81" s="38"/>
      <c r="KZ81" s="38"/>
      <c r="LA81" s="38"/>
      <c r="LB81" s="38"/>
      <c r="LC81" s="38"/>
      <c r="LD81" s="38"/>
      <c r="LE81" s="38"/>
      <c r="LF81" s="38"/>
      <c r="LG81" s="38"/>
      <c r="LH81" s="38"/>
      <c r="LI81" s="38"/>
      <c r="LJ81" s="38"/>
      <c r="LK81" s="38"/>
      <c r="LL81" s="38"/>
      <c r="LM81" s="38"/>
      <c r="LN81" s="38"/>
      <c r="LO81" s="38"/>
      <c r="LP81" s="38"/>
      <c r="LQ81" s="38"/>
      <c r="LR81" s="38"/>
      <c r="LS81" s="38"/>
      <c r="LT81" s="38"/>
      <c r="LU81" s="38"/>
      <c r="LV81" s="38"/>
      <c r="LW81" s="38"/>
      <c r="LX81" s="38"/>
      <c r="LY81" s="38"/>
      <c r="LZ81" s="38"/>
      <c r="MA81" s="38"/>
      <c r="MB81" s="38"/>
      <c r="MC81" s="38"/>
      <c r="MD81" s="38"/>
      <c r="ME81" s="38"/>
      <c r="MF81" s="38"/>
      <c r="MG81" s="38"/>
      <c r="MH81" s="43">
        <f t="shared" si="303"/>
        <v>0</v>
      </c>
      <c r="MI81" s="43" t="str">
        <f t="shared" si="304"/>
        <v/>
      </c>
      <c r="MJ81" s="43" t="str">
        <f t="shared" si="305"/>
        <v/>
      </c>
      <c r="MK81" s="43">
        <f t="shared" si="306"/>
        <v>0</v>
      </c>
      <c r="ML8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81" s="43">
        <f t="shared" si="307"/>
        <v>18.857142857142858</v>
      </c>
      <c r="MN81" s="43">
        <f t="shared" si="308"/>
        <v>1</v>
      </c>
      <c r="MO81" s="43">
        <f t="shared" si="309"/>
        <v>2023</v>
      </c>
      <c r="MP81" s="43" t="str">
        <f t="shared" si="310"/>
        <v>I TRIMESTRE AÑO</v>
      </c>
      <c r="MQ81" s="43">
        <f t="shared" si="311"/>
        <v>16.71868155935173</v>
      </c>
      <c r="MR81" s="43">
        <f t="shared" si="312"/>
        <v>0</v>
      </c>
      <c r="MS81" s="43" t="str">
        <f t="shared" si="313"/>
        <v>DE 14 A 19AÑOS</v>
      </c>
      <c r="MT81" s="43">
        <f t="shared" si="314"/>
        <v>0</v>
      </c>
      <c r="MU81" s="43">
        <f t="shared" si="315"/>
        <v>1</v>
      </c>
      <c r="MV81" s="43">
        <f t="shared" si="316"/>
        <v>0</v>
      </c>
      <c r="MW81" s="43">
        <f t="shared" si="317"/>
        <v>0</v>
      </c>
      <c r="MX81" s="43" t="str">
        <f t="shared" si="318"/>
        <v/>
      </c>
      <c r="MY81" s="43" t="str">
        <f t="shared" ca="1" si="451"/>
        <v/>
      </c>
      <c r="MZ81" s="43" t="str">
        <f t="shared" si="319"/>
        <v/>
      </c>
      <c r="NA81" s="43">
        <f t="shared" si="320"/>
        <v>0</v>
      </c>
      <c r="NB81" s="43" t="str">
        <f t="shared" si="321"/>
        <v/>
      </c>
      <c r="NC81" s="43" t="str">
        <f t="shared" si="322"/>
        <v/>
      </c>
      <c r="ND81" s="43">
        <f t="shared" ca="1" si="323"/>
        <v>1</v>
      </c>
      <c r="NE81" s="43">
        <f>IF(OR(O81&gt;0,R81&gt;0),SUM(COUNTIF(Tabla1[[#This Row],[AÑOS AL INICIO5 CPN]],"&gt;=40"),COUNTIF(AS81,"0"),COUNTIF(AR81,"SI"),COUNTIF(CC81,"SI"),COUNTIF(BQ81,"&gt;119"),COUNTIF(CI81,"&gt;=35")),"")</f>
        <v>1</v>
      </c>
      <c r="NF81" s="43" t="str">
        <f t="shared" si="324"/>
        <v/>
      </c>
      <c r="NG81" s="43">
        <f t="shared" si="325"/>
        <v>0</v>
      </c>
      <c r="NH81" s="43">
        <f t="shared" si="326"/>
        <v>142.1</v>
      </c>
      <c r="NI81"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CPN",P81="NO"),"Z",IF(AND(Tabla1[[#This Row],[CITA PROXIMO CONTROL]]="CITA MANUAL",Tabla1[[#This Row],[GESTANTES ACTUALES]]="ACTIVA INGRESO A CPN"),"W",IF(AND(Tabla1[[#This Row],[GESTANTES ACTUALES]]="SALIO PROGRAMA",IN81=""),"S",IF(AND(Tabla1[[#This Row],[CITA PROXIMO CONTROL]]&gt;0,IN81=""),(Tabla1[[#This Row],[CITA PROXIMO CONTROL]]-TODAY()),"SD"))))))))</f>
        <v>SD</v>
      </c>
      <c r="NJ81" s="43">
        <f>MONTH(Tabla1[[#This Row],[FECHA DE SALIDA  DEL PROGRAMA]])</f>
        <v>6</v>
      </c>
      <c r="NK81" s="43">
        <f>YEAR(Tabla1[[#This Row],[FECHA DE SALIDA  DEL PROGRAMA]])</f>
        <v>2023</v>
      </c>
      <c r="NL81" s="43" t="str">
        <f t="shared" si="327"/>
        <v>X</v>
      </c>
      <c r="NM81" s="43" t="str">
        <f t="shared" si="251"/>
        <v>NO</v>
      </c>
      <c r="NN81" s="43" t="str">
        <f ca="1">IF(AND(O81&gt;0,R81=""),"NO CPN",IF(AND(O81="",R81=""),"",IF(AND(R81&gt;0,Tabla1[[#This Row],[SEMANAS DE GESTACION ACTUALIZADAS]]&lt;=12),"NO APLICA",IF(AND(FH81&lt;&gt;"",FN81&lt;&gt;""),"SI","NO"))))</f>
        <v>SI</v>
      </c>
      <c r="NO81" s="43" t="str">
        <f ca="1">IF(AND(O81&gt;0,R81=""),"NO CPN",IF(AND(O81="",R81=""),"",IF(AND(R81&gt;0,Tabla1[[#This Row],[SEMANAS DE GESTACION ACTUALIZADAS]]&lt;=27),"NO APLICA",IF(AND(ES81&lt;&gt;"",FQ81&lt;&gt;"",GF81&lt;&gt;""),"SI","NO"))))</f>
        <v>NO</v>
      </c>
      <c r="NP81" s="204" t="str">
        <f t="shared" si="328"/>
        <v>DEFINIR CON ECO</v>
      </c>
      <c r="NQ81" s="21" t="str">
        <f t="shared" si="437"/>
        <v/>
      </c>
      <c r="NR81" s="21">
        <f t="shared" si="452"/>
        <v>2</v>
      </c>
      <c r="NS81" s="205">
        <f t="shared" ca="1" si="329"/>
        <v>1</v>
      </c>
      <c r="NT81" s="21">
        <f t="shared" ca="1" si="330"/>
        <v>2</v>
      </c>
      <c r="NU81" s="21" t="str">
        <f t="shared" ca="1" si="331"/>
        <v>INCOMPLETO</v>
      </c>
      <c r="NV81" s="21" t="str">
        <f t="shared" ca="1" si="332"/>
        <v>COMPLETO</v>
      </c>
      <c r="NW81" s="206" t="str">
        <f>IF(AND(O81="",R81=""),"",IF(OR(AND(Tabla1[[#This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81" s="207" t="str">
        <f t="shared" ca="1" si="333"/>
        <v>SIN VACUNAR</v>
      </c>
      <c r="NY81" s="43">
        <f>ROW(Tabla1[[#This Row],['# DE TAMIZAJES SIFILIS TOMADOS ]])</f>
        <v>81</v>
      </c>
      <c r="NZ81" s="43">
        <f t="shared" si="334"/>
        <v>18</v>
      </c>
      <c r="OA81" s="43" t="str">
        <f t="shared" si="335"/>
        <v/>
      </c>
      <c r="OB81" s="43" t="str">
        <f t="shared" si="336"/>
        <v/>
      </c>
      <c r="OC81" s="43" t="str">
        <f t="shared" si="337"/>
        <v/>
      </c>
      <c r="OD81" s="43" t="str">
        <f t="shared" si="338"/>
        <v/>
      </c>
      <c r="OE81" s="43" t="str">
        <f t="shared" si="339"/>
        <v/>
      </c>
      <c r="OF81" s="43" t="str">
        <f t="shared" si="340"/>
        <v/>
      </c>
      <c r="OG81" s="43" t="str">
        <f t="shared" si="341"/>
        <v/>
      </c>
      <c r="OH81" s="43" t="str">
        <f t="shared" si="342"/>
        <v/>
      </c>
      <c r="OI81" s="43" t="str">
        <f t="shared" si="343"/>
        <v/>
      </c>
      <c r="OJ81" s="43" t="str">
        <f t="shared" si="344"/>
        <v>NORMAL</v>
      </c>
      <c r="OK81" s="43" t="str">
        <f t="shared" si="345"/>
        <v/>
      </c>
      <c r="OL81" s="43" t="str">
        <f t="shared" si="346"/>
        <v/>
      </c>
      <c r="OM81" s="43" t="str">
        <f t="shared" si="347"/>
        <v/>
      </c>
      <c r="ON81" s="43" t="str">
        <f t="shared" si="348"/>
        <v/>
      </c>
      <c r="OO81" s="43" t="str">
        <f t="shared" si="349"/>
        <v/>
      </c>
      <c r="OP81" s="43" t="str">
        <f t="shared" si="350"/>
        <v/>
      </c>
      <c r="OQ81" s="43" t="str">
        <f t="shared" si="351"/>
        <v/>
      </c>
      <c r="OR81" s="43" t="str">
        <f t="shared" si="352"/>
        <v/>
      </c>
      <c r="OS81" s="43" t="str">
        <f t="shared" si="353"/>
        <v/>
      </c>
      <c r="OT81" s="43" t="str">
        <f t="shared" si="354"/>
        <v/>
      </c>
      <c r="OU81" s="43" t="str">
        <f t="shared" si="355"/>
        <v/>
      </c>
      <c r="OV81" s="110" t="str">
        <f t="shared" si="356"/>
        <v/>
      </c>
      <c r="OW81" s="43" t="str">
        <f t="shared" si="357"/>
        <v/>
      </c>
      <c r="OX81" s="43" t="str">
        <f t="shared" si="358"/>
        <v/>
      </c>
      <c r="OY81" s="43" t="str">
        <f t="shared" si="359"/>
        <v/>
      </c>
      <c r="OZ81" s="43" t="str">
        <f t="shared" si="360"/>
        <v/>
      </c>
      <c r="PA81" s="43" t="str">
        <f t="shared" si="361"/>
        <v/>
      </c>
      <c r="PB81" s="43" t="str">
        <f t="shared" si="362"/>
        <v/>
      </c>
      <c r="PC81" s="43" t="str">
        <f t="shared" si="363"/>
        <v/>
      </c>
      <c r="PD81" s="43" t="str">
        <f t="shared" si="364"/>
        <v/>
      </c>
      <c r="PE81" s="43" t="str">
        <f t="shared" si="365"/>
        <v/>
      </c>
      <c r="PF81" s="43" t="str">
        <f t="shared" si="366"/>
        <v/>
      </c>
      <c r="PG81" s="43" t="str">
        <f t="shared" si="367"/>
        <v/>
      </c>
      <c r="PH81" s="43" t="str">
        <f t="shared" si="368"/>
        <v/>
      </c>
      <c r="PI81" s="43">
        <f t="shared" si="369"/>
        <v>36</v>
      </c>
      <c r="PJ81" s="43" t="str">
        <f t="shared" si="370"/>
        <v/>
      </c>
      <c r="PK81" s="43" t="str">
        <f t="shared" si="371"/>
        <v/>
      </c>
      <c r="PL81" s="43" t="str">
        <f t="shared" si="372"/>
        <v/>
      </c>
      <c r="PM81" s="43" t="str">
        <f t="shared" si="373"/>
        <v/>
      </c>
      <c r="PN81" s="43" t="str">
        <f t="shared" si="374"/>
        <v/>
      </c>
      <c r="PO81" s="43" t="str">
        <f t="shared" si="375"/>
        <v/>
      </c>
      <c r="PP81" s="43" t="str">
        <f t="shared" si="376"/>
        <v/>
      </c>
      <c r="PQ81" s="43" t="str">
        <f t="shared" si="377"/>
        <v/>
      </c>
      <c r="PR81" s="43" t="str">
        <f t="shared" si="378"/>
        <v/>
      </c>
      <c r="PS81" s="43" t="str">
        <f t="shared" si="379"/>
        <v/>
      </c>
      <c r="PT81" s="43" t="str">
        <f t="shared" si="380"/>
        <v/>
      </c>
      <c r="PU81" s="43" t="str">
        <f t="shared" si="381"/>
        <v/>
      </c>
      <c r="PV81" s="43" t="str">
        <f t="shared" si="382"/>
        <v/>
      </c>
      <c r="PW81" s="43" t="str">
        <f t="shared" si="383"/>
        <v/>
      </c>
      <c r="PX81" s="43" t="str">
        <f t="shared" si="384"/>
        <v/>
      </c>
      <c r="PY81" s="43" t="str">
        <f t="shared" si="385"/>
        <v/>
      </c>
      <c r="PZ81" s="43" t="str">
        <f t="shared" si="386"/>
        <v/>
      </c>
      <c r="QA81" s="43" t="str">
        <f t="shared" si="387"/>
        <v/>
      </c>
      <c r="QB81" s="43" t="str">
        <f t="shared" si="388"/>
        <v/>
      </c>
      <c r="QC81" s="43" t="str">
        <f t="shared" si="389"/>
        <v/>
      </c>
      <c r="QD81" s="43" t="str">
        <f t="shared" si="390"/>
        <v/>
      </c>
      <c r="QE81" s="43" t="str">
        <f t="shared" si="391"/>
        <v/>
      </c>
      <c r="QF81" s="43" t="str">
        <f t="shared" si="392"/>
        <v/>
      </c>
      <c r="QG81" s="43" t="str">
        <f t="shared" si="393"/>
        <v/>
      </c>
      <c r="QH81" s="43" t="str">
        <f t="shared" si="394"/>
        <v/>
      </c>
      <c r="QI81" s="43" t="str">
        <f t="shared" si="395"/>
        <v/>
      </c>
      <c r="QJ81" s="43" t="str">
        <f t="shared" si="396"/>
        <v/>
      </c>
      <c r="QK81" s="43" t="str">
        <f t="shared" si="397"/>
        <v>NORMAL</v>
      </c>
      <c r="QL81" s="43" t="str">
        <f t="shared" si="398"/>
        <v/>
      </c>
      <c r="QM81" s="43" t="str">
        <f t="shared" si="399"/>
        <v/>
      </c>
      <c r="QN81" s="43" t="str">
        <f t="shared" si="400"/>
        <v/>
      </c>
      <c r="QO81" s="43" t="str">
        <f t="shared" si="401"/>
        <v/>
      </c>
      <c r="QP81" s="43" t="str">
        <f t="shared" si="402"/>
        <v/>
      </c>
      <c r="QQ81" s="43" t="str">
        <f t="shared" si="403"/>
        <v/>
      </c>
      <c r="QR81" s="43">
        <f t="shared" si="433"/>
        <v>36</v>
      </c>
      <c r="QS81" s="43"/>
      <c r="QT81" s="21" t="str">
        <f t="shared" si="404"/>
        <v/>
      </c>
      <c r="QU81" s="21" t="str">
        <f t="shared" si="405"/>
        <v/>
      </c>
      <c r="QV81" s="21" t="str">
        <f t="shared" si="406"/>
        <v/>
      </c>
      <c r="QW81" s="21" t="str">
        <f t="shared" si="407"/>
        <v/>
      </c>
      <c r="QX81" s="21" t="str">
        <f t="shared" si="408"/>
        <v/>
      </c>
      <c r="QY81" s="21" t="str">
        <f t="shared" si="409"/>
        <v/>
      </c>
      <c r="QZ81" s="21" t="str">
        <f t="shared" si="410"/>
        <v/>
      </c>
      <c r="RA81" s="21" t="str">
        <f t="shared" si="411"/>
        <v/>
      </c>
      <c r="RB81" s="21" t="str">
        <f t="shared" si="412"/>
        <v/>
      </c>
      <c r="RC81" s="21" t="str">
        <f t="shared" si="413"/>
        <v/>
      </c>
      <c r="RD81" s="21" t="str">
        <f t="shared" si="414"/>
        <v/>
      </c>
      <c r="RE81" s="21" t="str">
        <f t="shared" si="415"/>
        <v/>
      </c>
      <c r="RF81" s="21" t="str">
        <f t="shared" si="416"/>
        <v/>
      </c>
      <c r="RG81" s="21" t="str">
        <f t="shared" si="417"/>
        <v/>
      </c>
      <c r="RH81" s="21" t="str">
        <f t="shared" si="418"/>
        <v/>
      </c>
      <c r="RI81" s="21" t="str">
        <f t="shared" si="419"/>
        <v/>
      </c>
      <c r="RJ81" s="21" t="str">
        <f t="shared" si="420"/>
        <v/>
      </c>
      <c r="RK81" s="21" t="str">
        <f t="shared" si="421"/>
        <v/>
      </c>
      <c r="RL81" s="21" t="str">
        <f t="shared" si="422"/>
        <v/>
      </c>
      <c r="RM81" s="21" t="str">
        <f t="shared" si="423"/>
        <v/>
      </c>
      <c r="RN81" s="21" t="str">
        <f t="shared" si="424"/>
        <v/>
      </c>
      <c r="RO81" s="21" t="str">
        <f t="shared" si="425"/>
        <v/>
      </c>
      <c r="RP81" s="21" t="str">
        <f t="shared" si="426"/>
        <v/>
      </c>
      <c r="RQ81" s="21" t="str">
        <f t="shared" si="427"/>
        <v>ADECUADO PARA EDAD GESTACIONAL</v>
      </c>
      <c r="RR81" s="21" t="str">
        <f t="shared" si="428"/>
        <v/>
      </c>
      <c r="RS81" s="21" t="str">
        <f t="shared" si="429"/>
        <v/>
      </c>
      <c r="RT81" s="21" t="str">
        <f t="shared" si="430"/>
        <v/>
      </c>
      <c r="RU81" s="21" t="str">
        <f t="shared" si="431"/>
        <v/>
      </c>
      <c r="RV81" s="21">
        <f t="shared" si="432"/>
        <v>18.857142857142858</v>
      </c>
      <c r="RW81" s="284">
        <f>IF(OR(Tabla1[[#This Row],[FUM FORMULA CONFIABLE]]="",Tabla1[[#This Row],[FUM FORMULA CONFIABLE]]="SD"),"",IF(Tabla1[[#This Row],[FUM FORMULA CONFIABLE]]="CORREGIDA",Tabla1[[#This Row],[FUM X ECO 1]],Tabla1[[#This Row],[FUM x AMENORREA]]))</f>
        <v>44811</v>
      </c>
      <c r="RX81" s="21">
        <f>IF(AND(Tabla1[[#This Row],[FUM X ECO 1]]="",Tabla1[[#This Row],[FUM x AMENORREA]]=""),"",IF(AND(Tabla1[[#This Row],[FUM X ECO 1]]="",Tabla1[[#This Row],[FUM x AMENORREA]]&lt;&gt;""),"X",SUM(Tabla1[[#This Row],[FUM X ECO 1]]-Tabla1[[#This Row],[FUM x AMENORREA]])))</f>
        <v>6.9000000000014552</v>
      </c>
      <c r="RY81" s="21">
        <f t="shared" si="434"/>
        <v>1</v>
      </c>
    </row>
    <row r="82" spans="1:493" ht="45" customHeight="1" x14ac:dyDescent="0.25">
      <c r="A82" s="109"/>
      <c r="B82" s="43"/>
      <c r="C82" s="43" t="s">
        <v>845</v>
      </c>
      <c r="D82" s="124" t="s">
        <v>846</v>
      </c>
      <c r="E82" s="43" t="s">
        <v>1246</v>
      </c>
      <c r="F82" s="43" t="s">
        <v>1127</v>
      </c>
      <c r="G82" s="43" t="s">
        <v>1247</v>
      </c>
      <c r="H82" s="43" t="s">
        <v>1248</v>
      </c>
      <c r="I82" s="109" t="s">
        <v>851</v>
      </c>
      <c r="J82" s="110">
        <v>1061809950</v>
      </c>
      <c r="K82" s="43" t="s">
        <v>852</v>
      </c>
      <c r="L82" s="175" t="s">
        <v>853</v>
      </c>
      <c r="M82" s="22">
        <v>35945</v>
      </c>
      <c r="N82" s="213">
        <f t="shared" ca="1" si="252"/>
        <v>25.443835616438356</v>
      </c>
      <c r="O82" s="22">
        <v>44943</v>
      </c>
      <c r="P82" s="214" t="str">
        <f t="shared" si="438"/>
        <v>SI</v>
      </c>
      <c r="Q82" s="26" t="s">
        <v>855</v>
      </c>
      <c r="R82" s="22">
        <v>44943</v>
      </c>
      <c r="S82" s="21" t="s">
        <v>856</v>
      </c>
      <c r="T82" s="24" t="s">
        <v>690</v>
      </c>
      <c r="U82" s="21" t="s">
        <v>857</v>
      </c>
      <c r="V82" s="21" t="s">
        <v>858</v>
      </c>
      <c r="W82" s="21" t="s">
        <v>1004</v>
      </c>
      <c r="X82" s="21" t="s">
        <v>1004</v>
      </c>
      <c r="Y82" s="21" t="s">
        <v>859</v>
      </c>
      <c r="Z82" s="21">
        <v>3135275120</v>
      </c>
      <c r="AA82" s="21" t="s">
        <v>860</v>
      </c>
      <c r="AB82" s="27" t="s">
        <v>861</v>
      </c>
      <c r="AC82" s="26" t="s">
        <v>888</v>
      </c>
      <c r="AD82" s="38" t="s">
        <v>846</v>
      </c>
      <c r="AE82" s="26" t="s">
        <v>854</v>
      </c>
      <c r="AF82" s="26" t="s">
        <v>854</v>
      </c>
      <c r="AG82" s="23" t="s">
        <v>864</v>
      </c>
      <c r="AH82" s="23" t="s">
        <v>864</v>
      </c>
      <c r="AI82" s="24" t="s">
        <v>863</v>
      </c>
      <c r="AJ82" s="23" t="s">
        <v>864</v>
      </c>
      <c r="AK82" s="220" t="str">
        <f>IF(AND(AD82="",AE82="",AF82="",AG82="",AH82="",AI82="",AJ82=""),"",IF(OR(Tabla1[[#This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EVALUACIÓN",IF(AND(O82="",R82=""),"",IF(AND(OR(O82&gt;0,R82&gt;0),NG82&gt;=0,NG82&lt;2),"SIN RIESGO",IF(AND(OR(O82&gt;0,R82&gt;0),NG82&gt;=2),"CON RIESGO","ASD")))))</f>
        <v>SIN RIESGO</v>
      </c>
      <c r="AL82" s="23" t="s">
        <v>864</v>
      </c>
      <c r="AM82" s="26" t="s">
        <v>864</v>
      </c>
      <c r="AN82" s="26" t="s">
        <v>864</v>
      </c>
      <c r="AO82" s="26" t="s">
        <v>864</v>
      </c>
      <c r="AP82" s="26" t="s">
        <v>864</v>
      </c>
      <c r="AQ82" s="26" t="s">
        <v>864</v>
      </c>
      <c r="AR82" s="26" t="s">
        <v>864</v>
      </c>
      <c r="AS82" s="21">
        <v>0</v>
      </c>
      <c r="AT82" s="21">
        <v>0</v>
      </c>
      <c r="AU82" s="21">
        <v>0</v>
      </c>
      <c r="AV82" s="26" t="s">
        <v>864</v>
      </c>
      <c r="AW82" s="21">
        <v>0</v>
      </c>
      <c r="AX82" s="26" t="s">
        <v>864</v>
      </c>
      <c r="AY82" s="26" t="s">
        <v>864</v>
      </c>
      <c r="AZ82" s="26" t="s">
        <v>864</v>
      </c>
      <c r="BA82" s="26" t="s">
        <v>864</v>
      </c>
      <c r="BB82" s="26" t="s">
        <v>864</v>
      </c>
      <c r="BC82" s="26" t="s">
        <v>864</v>
      </c>
      <c r="BD82" s="26" t="s">
        <v>864</v>
      </c>
      <c r="BE82" s="26" t="s">
        <v>864</v>
      </c>
      <c r="BF82" s="26" t="s">
        <v>864</v>
      </c>
      <c r="BG82" s="26" t="s">
        <v>864</v>
      </c>
      <c r="BH82" s="26" t="s">
        <v>864</v>
      </c>
      <c r="BI82" s="26" t="s">
        <v>864</v>
      </c>
      <c r="BJ82" s="26"/>
      <c r="BK82" s="26"/>
      <c r="BL82" s="26" t="s">
        <v>864</v>
      </c>
      <c r="BM82" s="26" t="s">
        <v>864</v>
      </c>
      <c r="BN82" s="22"/>
      <c r="BO82" s="22">
        <v>44872</v>
      </c>
      <c r="BP82" s="21" t="s">
        <v>854</v>
      </c>
      <c r="BQ82" s="222">
        <f t="shared" si="254"/>
        <v>0</v>
      </c>
      <c r="BR82" s="223">
        <f t="shared" si="255"/>
        <v>44866.3</v>
      </c>
      <c r="BS82" s="224">
        <f t="shared" si="256"/>
        <v>10.142857142857142</v>
      </c>
      <c r="BT82" s="216" t="str">
        <f t="shared" si="257"/>
        <v>II TRIM</v>
      </c>
      <c r="BU82" s="214" t="str">
        <f t="shared" ca="1" si="258"/>
        <v/>
      </c>
      <c r="BV82" s="25"/>
      <c r="BW82" s="22">
        <v>44965</v>
      </c>
      <c r="BX82" s="28">
        <v>14.1</v>
      </c>
      <c r="BY82" s="28"/>
      <c r="BZ82" s="22"/>
      <c r="CA82" s="21"/>
      <c r="CB82" s="26"/>
      <c r="CC82" s="26"/>
      <c r="CD82" s="26"/>
      <c r="CE82" s="26"/>
      <c r="CF82" s="22" t="s">
        <v>1517</v>
      </c>
      <c r="CG82" s="21">
        <v>1.52</v>
      </c>
      <c r="CH82" s="21">
        <v>64.5</v>
      </c>
      <c r="CI82" s="214">
        <f t="shared" si="259"/>
        <v>27.917243767313018</v>
      </c>
      <c r="CJ82" s="225" t="e">
        <f>IF(AND(CI82&lt;10,CH82="SD"),"SIN DATO PESO PREGESTACION O I TRIM",IF(AND(OR(R82&gt;0,O82&gt;0),CI82="X"),"INGRESAR DATO DE PESO",IF(CI82="SD","INGRESAR DATO DE TALLA Y PESO",IF(AND(OR(Tabla1[[#This Row],[MOMENTO EN QUE SE REALIZA EL PESO AL INGRESO A CPN]]="PREGESTACIÓN",NZ82="Menor"),CI82&lt;18.5),"BAJO PESO",IF(AND(OR(Tabla1[[#This Row],[MOMENTO EN QUE SE REALIZA EL PESO AL INGRESO A CPN]]="PREGESTACIÓN",NZ82="Menor"),CI82&lt;25),"NORMAL",IF(AND(OR(Tabla1[[#This Row],[MOMENTO EN QUE SE REALIZA EL PESO AL INGRESO A CPN]]="PREGESTACIÓN",NZ82="Menor"),CI82&lt;30),"SOBREPESO",IF(AND(OR(Tabla1[[#This Row],[MOMENTO EN QUE SE REALIZA EL PESO AL INGRESO A CPN]]="PREGESTACIÓN",NZ82="Menor"),CI82&gt;=30,CI82&lt;50),"OBESIDAD",IF(AND(BS82&gt;0,Tabla1[[#This Row],[MOMENTO EN QUE SE REALIZA EL PESO AL INGRESO A CPN]]="GESTACIÓN"),HLOOKUP(NZ82,$OA$2:PH82,NY82),""))))))))</f>
        <v>#REF!</v>
      </c>
      <c r="CK82" s="212">
        <f t="shared" si="260"/>
        <v>45062</v>
      </c>
      <c r="CL82" s="21">
        <v>75</v>
      </c>
      <c r="CM82" s="214">
        <f t="shared" si="261"/>
        <v>32.461911357340718</v>
      </c>
      <c r="CN82" s="216">
        <f t="shared" si="262"/>
        <v>27</v>
      </c>
      <c r="CO82" s="216" t="e">
        <f>IF(PI82="","",IF(PI82&gt;0,HLOOKUP(PI82,$PJ$2:QQ82,NY82),""))</f>
        <v>#REF!</v>
      </c>
      <c r="CP82" s="21">
        <v>27</v>
      </c>
      <c r="CQ82" s="216" t="e">
        <f>IF(QR82="Menor","NO APLICA-MENOR 13 SEM",IF(AND(CC82="SI",CN82&gt;23),"NO APLICA- GEMELAR",IF(QR82="","",IF(QR82&gt;0,HLOOKUP(QR82,$QS$2:RU82,NY82),""))))</f>
        <v>#REF!</v>
      </c>
      <c r="CR82" s="21">
        <v>100</v>
      </c>
      <c r="CS82" s="21">
        <v>60</v>
      </c>
      <c r="CT82" s="217" t="str">
        <f>IF(R82="","",IF(AND(BS82&gt;1,BS82&lt;12,Tabla1[[#This Row],[T.A. SISTOLICA - ANTES DE SEMANA 12]]="",Tabla1[[#This Row],[T.A. DIASTOLICA - ANTES DE SEMANA 12]]=""),"REGISTRE DATO TA ANTES SEMANA 12",IF(AND(BS82&gt;11,BS82&lt;43,Tabla1[[#This Row],[T.A. SISTOLICA - ANTES DE SEMANA 12]]="",Tabla1[[#This Row],[T.A. DIASTOLICA - ANTES DE SEMANA 12]]=""),"NO APLICA REGISTRO TA-INGRESO TARDIO",IF(AND(OR(O82&gt;0,R82&gt;0),OR(CR82&gt;=140,CS82&gt;=90)),"DEFINIR ESTADIO HTA",IF(AND(OR(O82&gt;0,R82&gt;0),AND(CR82&gt;120,CR82&lt;=139)),"PRE HTA SEGUIMIENTO",IF(AND(OR(O82&gt;0,R82&gt;0),AND(CS82&gt;80,CS82&lt;=89)),"PRE HTA SEGUIMIENTO",IF(AND(OR(O82&gt;0,R82&gt;0),AND(CR82&gt;=80,CR82&lt;=120)),"APARENTEMENTE NORMAL",IF(AND(OR(O82&gt;0,R82&gt;0),AND(CS82&gt;=50,CS82&lt;=80)),"APARENTEMENTE NORMAL",IF(AND(OR(O82&gt;0,R82&gt;0),AND(CR82&gt;1,CR82&lt;=70),AND(CS82&gt;1,CS82&lt;=40)),"HIPOTENSIÓN","")))))))))</f>
        <v>APARENTEMENTE NORMAL</v>
      </c>
      <c r="CU82" s="21"/>
      <c r="CV82" s="21"/>
      <c r="CW82" s="217" t="str">
        <f ca="1">IF(R82="","",IF(AND(CN82&gt;19,CN82&lt;27,Tabla1[[#This Row],[T.A. SISTOLICA (Entre semana 20 y 26)]]="",Tabla1[[#This Row],[T.A. DIATOLICA (Entre semana 20 y 26)]]=""),"ACUDE A CONTROL SEM 20 A 26 REGISTRE TA AHORA",IF(AND(BS82&gt;1,BS82&lt;27,BU82&gt;19,Tabla1[[#This Row],[T.A. SISTOLICA (Entre semana 20 y 26)]]="",Tabla1[[#This Row],[T.A. DIATOLICA (Entre semana 20 y 26)]]=""),"COMPLETE REGISTRO TA CONTROL SEM 20 A26 ",IF(AND(BS82&gt;26,BS82&lt;43,Tabla1[[#This Row],[T.A. SISTOLICA (Entre semana 20 y 26)]]="",Tabla1[[#This Row],[T.A. DIATOLICA (Entre semana 20 y 26)]]=""),"NO APLICA REGISTRO TA-INGRESO TARDIO",IF(AND(OR(O82&gt;0,R82&gt;0),OR(CU82&gt;=140,CV82&gt;=90)),"ALTO RIESGO PREECLAMPSIA,DEFINIR ESTADIO HTA",IF(AND(OR(O82&gt;0,R82&gt;0),AND(CU82&gt;120,CU82&lt;=139)),"PRE HTA SEGUIMIENTO,RIESGO HIPERTENSION INDUCIDA POR EL EMBARAZO",IF(AND(OR(O82&gt;0,R82&gt;0),AND(CV82&gt;80,CV82&lt;=89)),"PRE HTA SEGUIMIENTO, RIESGO HIPERTENSION INDUCIDA POR EL EMBARAZO",IF(AND(OR(O82&lt;&gt;"",R82&lt;&gt;""),CS82&lt;&gt;"",CV82&lt;&gt;"",CS82&lt;=CV82),"VIGILAR CIFRAS PRESION ARTERIAL",IF(AND(OR(O82&gt;0,R82&gt;0),AND(CU82&gt;120,CU82&lt;=139)),"PRE HTA SEGUIMIENTO",IF(AND(OR(O82&gt;0,R82&gt;0),AND(CU82&gt;1,CU82&lt;=70),AND(CV82&gt;1,CV82&lt;=40)),"HIPOTENSIÓN",IF(AND(OR(O82&lt;&gt;"",R82&lt;&gt;""),CS82&lt;&gt;"",CV82&lt;&gt;"",CS82&gt;CV82),"APARENTEMENTE NORMAL",IF(AND(OR(O82&gt;0,R82&gt;0),AND(CU82&gt;=80,CU82&lt;=120)),"APARENTEMENTE NORMAL",IF(AND(OR(O82&gt;0,R82&gt;0),AND(CV82&gt;=50,CV82&lt;=80)),"APARENTEMENTE NORMAL","")))))))))))))</f>
        <v xml:space="preserve">COMPLETE REGISTRO TA CONTROL SEM 20 A26 </v>
      </c>
      <c r="CX82" s="21"/>
      <c r="CY82" s="21"/>
      <c r="CZ82" s="216" t="str">
        <f t="shared" si="263"/>
        <v/>
      </c>
      <c r="DA82" s="21">
        <v>100</v>
      </c>
      <c r="DB82" s="21">
        <v>60</v>
      </c>
      <c r="DC82" s="217" t="str">
        <f t="shared" si="264"/>
        <v>APARENTEMENTE NORMAL</v>
      </c>
      <c r="DD82" s="22">
        <v>44943</v>
      </c>
      <c r="DE82" s="22">
        <v>44943</v>
      </c>
      <c r="DF82" s="22">
        <v>44987</v>
      </c>
      <c r="DG82" s="22">
        <v>45062</v>
      </c>
      <c r="DH82" s="22"/>
      <c r="DI82" s="22"/>
      <c r="DJ82" s="22"/>
      <c r="DK82" s="22"/>
      <c r="DL82" s="22"/>
      <c r="DM82" s="22"/>
      <c r="DN82" s="22"/>
      <c r="DO82" s="22"/>
      <c r="DP82" s="22"/>
      <c r="DQ82" s="22"/>
      <c r="DR82" s="28">
        <v>1</v>
      </c>
      <c r="DS82" s="22"/>
      <c r="DT82" s="22"/>
      <c r="DU82" s="216" t="str">
        <f t="shared" ca="1" si="439"/>
        <v>SALE SIN PLAN DE PARTO</v>
      </c>
      <c r="DV82" s="226" t="str">
        <f t="shared" si="440"/>
        <v>SALIO PROGRAMA</v>
      </c>
      <c r="DW82"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82" s="216" t="str">
        <f t="shared" ca="1" si="266"/>
        <v/>
      </c>
      <c r="DY82" s="212">
        <f>IF(R82="","",IF(R82&gt;0,MAX(Tabla1[[#This Row],[FECHA C2]:[FECHA C13]],Tabla1[[#This Row],[FECHA CONSULTA PRIMERA VEZ PROGRAMA CPN ]])))</f>
        <v>45062</v>
      </c>
      <c r="DZ82" s="216">
        <f t="shared" si="267"/>
        <v>27</v>
      </c>
      <c r="EA82" s="222">
        <f>IF(R82&gt;0,SUM(COUNTA(DF82:DQ82)+COUNTA(Tabla1[[#This Row],[FECHA CONSULTA PRIMERA VEZ PROGRAMA CPN ]])),"")</f>
        <v>3</v>
      </c>
      <c r="EB82" s="222" t="str">
        <f t="shared" si="268"/>
        <v>NO</v>
      </c>
      <c r="EC82" s="214">
        <f t="shared" si="269"/>
        <v>9</v>
      </c>
      <c r="ED82" s="227">
        <f t="shared" si="270"/>
        <v>0.33333333333333331</v>
      </c>
      <c r="EE82" s="22">
        <v>44943</v>
      </c>
      <c r="EF82" s="22">
        <v>44943</v>
      </c>
      <c r="EG82" s="22">
        <v>44943</v>
      </c>
      <c r="EH82" s="22">
        <v>44953</v>
      </c>
      <c r="EI82" s="22">
        <v>44943</v>
      </c>
      <c r="EJ82" s="22">
        <v>44953</v>
      </c>
      <c r="EK82" s="344">
        <v>44953</v>
      </c>
      <c r="EL82" s="21"/>
      <c r="EM82" s="21">
        <v>12.7</v>
      </c>
      <c r="EN82" s="22">
        <v>44989</v>
      </c>
      <c r="EO82" s="222">
        <f t="shared" si="271"/>
        <v>16.714285714285715</v>
      </c>
      <c r="EP82" s="214" t="str">
        <f t="shared" si="272"/>
        <v>NORMAL- SUMINISTRAR SULFATO FERROSO</v>
      </c>
      <c r="EQ82" s="216" t="str">
        <f t="shared" si="273"/>
        <v>II TRIM</v>
      </c>
      <c r="ER82" s="24"/>
      <c r="ES82" s="22"/>
      <c r="ET82" s="29" t="str">
        <f t="shared" ca="1" si="441"/>
        <v>SALE SIN TAMIZAJE HEMOGLOBINA SEM 28</v>
      </c>
      <c r="EU82" s="25" t="str">
        <f t="shared" si="275"/>
        <v/>
      </c>
      <c r="EV82" s="24" t="s">
        <v>1510</v>
      </c>
      <c r="EW82" s="24">
        <v>44989</v>
      </c>
      <c r="EX82" s="22"/>
      <c r="EY82" s="29">
        <f t="shared" si="248"/>
        <v>16.714285714285715</v>
      </c>
      <c r="EZ82" s="25" t="str">
        <f t="shared" si="249"/>
        <v>SIN RIESGO DE ISOINMUNIZACIÓN</v>
      </c>
      <c r="FA82" s="21">
        <v>75</v>
      </c>
      <c r="FB82" s="22">
        <v>44989</v>
      </c>
      <c r="FC82" s="29">
        <f t="shared" si="276"/>
        <v>16.714285714285715</v>
      </c>
      <c r="FD82" s="29"/>
      <c r="FE82" s="29"/>
      <c r="FF82" s="29"/>
      <c r="FG82" s="21" t="str">
        <f t="shared" ca="1" si="277"/>
        <v/>
      </c>
      <c r="FH82" s="31"/>
      <c r="FI82" s="29" t="str">
        <f t="shared" si="278"/>
        <v>TOMAR EXAMEN</v>
      </c>
      <c r="FJ82" s="22"/>
      <c r="FK82" s="22"/>
      <c r="FL82" s="29" t="str">
        <f t="shared" ca="1" si="279"/>
        <v>PIERDE TOMA DE TAMIZAJE</v>
      </c>
      <c r="FM82" s="22" t="s">
        <v>867</v>
      </c>
      <c r="FN82" s="32">
        <v>44989</v>
      </c>
      <c r="FO82" s="29">
        <f t="shared" ca="1" si="442"/>
        <v>16.714285714285715</v>
      </c>
      <c r="FP82" s="22"/>
      <c r="FQ82" s="32"/>
      <c r="FR82" s="29" t="str">
        <f t="shared" ca="1" si="443"/>
        <v>PIERDE TOMA DE TAMIZAJE</v>
      </c>
      <c r="FS82" s="22"/>
      <c r="FT82" s="32"/>
      <c r="FU82" s="29" t="str">
        <f>IF(AND(FJ82="",FM82="",FP82="",FS82=""),"",IF(OR(OR(Tabla1[[#This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82" s="28"/>
      <c r="FW82" s="22"/>
      <c r="FX82" s="29" t="str">
        <f t="shared" si="280"/>
        <v>TOMAR EXAMEN</v>
      </c>
      <c r="FY82" s="22">
        <v>44943</v>
      </c>
      <c r="FZ82" s="22">
        <v>44943</v>
      </c>
      <c r="GA82" s="29">
        <f t="shared" ca="1" si="250"/>
        <v>10.142857142857142</v>
      </c>
      <c r="GB82" s="22" t="s">
        <v>868</v>
      </c>
      <c r="GC82" s="22">
        <v>44989</v>
      </c>
      <c r="GD82" s="29">
        <f t="shared" ca="1" si="444"/>
        <v>16.714285714285715</v>
      </c>
      <c r="GE82" s="22"/>
      <c r="GF82" s="22"/>
      <c r="GG82" s="29" t="str">
        <f t="shared" ca="1" si="445"/>
        <v>PIERDE TOMA DE TAMIZAJE</v>
      </c>
      <c r="GH82" s="22"/>
      <c r="GI82" s="29"/>
      <c r="GJ82" s="22"/>
      <c r="GK82" s="22"/>
      <c r="GL82" s="22"/>
      <c r="GM82" s="22"/>
      <c r="GN82" s="28" t="s">
        <v>869</v>
      </c>
      <c r="GO82" s="22">
        <v>44989</v>
      </c>
      <c r="GP82" s="29">
        <f t="shared" si="283"/>
        <v>16.714285714285715</v>
      </c>
      <c r="GQ82" s="28"/>
      <c r="GR82" s="28"/>
      <c r="GS82" s="22" t="str">
        <f t="shared" si="284"/>
        <v/>
      </c>
      <c r="GT82" s="22"/>
      <c r="GU82" s="29" t="str">
        <f t="shared" si="285"/>
        <v>TOMAR EXAMEN</v>
      </c>
      <c r="GV82" s="21" t="str">
        <f t="shared" si="286"/>
        <v>POR DEFINIR</v>
      </c>
      <c r="GW82" s="28"/>
      <c r="GX82" s="30"/>
      <c r="GY82" s="21"/>
      <c r="GZ82" s="21"/>
      <c r="HA82" s="21"/>
      <c r="HB82" s="21"/>
      <c r="HC82" s="21"/>
      <c r="HD82" s="21"/>
      <c r="HE82" s="21"/>
      <c r="HF82" s="22"/>
      <c r="HG82" s="22" t="str">
        <f>IF(OR(O82&gt;0,R82&gt;0),CONCATENATE(IF(Tabla1[[#This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82" s="22" t="e">
        <f t="shared" si="287"/>
        <v>#REF!</v>
      </c>
      <c r="HI82" s="22" t="e">
        <f t="shared" ca="1" si="288"/>
        <v>#REF!</v>
      </c>
      <c r="HJ82" s="21" t="str">
        <f t="shared" ca="1" si="289"/>
        <v>**********************MULTIPARIDAD*****************</v>
      </c>
      <c r="HK82" s="21" t="str">
        <f t="shared" si="290"/>
        <v>SIN ANTECEDENTES DE RIESGO</v>
      </c>
      <c r="HL82" s="24" t="str">
        <f t="shared" si="291"/>
        <v>APARENTEMENTE NORMAL</v>
      </c>
      <c r="HM82" s="21" t="str">
        <f t="shared" ca="1" si="292"/>
        <v/>
      </c>
      <c r="HN82" s="30" t="str">
        <f t="shared" si="446"/>
        <v>SALIO PROGRAMA</v>
      </c>
      <c r="HO82" s="21"/>
      <c r="HP82" s="21"/>
      <c r="HQ82" s="21">
        <v>44943</v>
      </c>
      <c r="HR82" s="21" t="str">
        <f>IF(R82="","",IF(Tabla1[[#This Row],[ALARMA FACTORES DE RIESGO COMPLICACIONES HIPERTENSIVAS3]]="SIN ANTECEDENTES DE RIESGO","No Aplica para suministro de ASA",IF(AND(Tabla1[[#This Row],[FECHA INICIO DE SUMINISTRO DE ASA]]&gt;0,RV82&lt;12),"Inicia ASA ANTES de Sem 12",IF(AND(RV82&gt;11,RV82&lt;17,OR(HK82="RIESGO ALTO DE COMPLICACIONES HIPERTENSIVAS VER MANEJO GUIA SUMINISTRO ASA Y CALCIO",HK82="RIESGO MODERADO (2 O MAS CRITERIOS) VER MANEJO GUIA SUMINISTRO ASA Y CALCIO")),"Inicio oportuno de ASA",IF(AND(RV82&gt;12,OR(HK82="RIESGO ALTO DE COMPLICACIONES HIPERTENSIVAS VER MANEJO GUIA SUMINISTRO ASA Y CALCIO",HK82="RIESGO MODERADO (2 O MAS CRITERIOS) VER MANEJO GUIA SUMINISTRO ASA Y CALCIO")),"Inicio no oportuno mayor a 16 semanas",IF(AND(BU82&lt;12,OR(HK82="RIESGO ALTO DE COMPLICACIONES HIPERTENSIVAS VER MANEJO GUIA SUMINISTRO ASA Y CALCIO",HK82="RIESGO MODERADO (2 O MAS CRITERIOS) VER MANEJO GUIA SUMINISTRO ASA Y CALCIO")),"Pendiente Inicio de ASA a la semana 12",IF(AND(BU82&gt;11,BU82&lt;17,OR(HK82="RIESGO ALTO DE COMPLICACIONES HIPERTENSIVAS VER MANEJO GUIA SUMINISTRO ASA Y CALCIO",HK82="RIESGO MODERADO (2 O MAS CRITERIOS) VER MANEJO GUIA SUMINISTRO ASA Y CALCIO")),"Iniciar de inmediato ASA",IF(AND(BU82&gt;16,OR(HK82="RIESGO ALTO DE COMPLICACIONES HIPERTENSIVAS VER MANEJO GUIA SUMINISTRO ASA Y CALCIO",HK82="RIESGO MODERADO (2 O MAS CRITERIOS) VER MANEJO GUIA SUMINISTRO ASA Y CALCIO")),"Pierde Oportunidad, Inicio tardío de ASA","XXXXX"))))))))</f>
        <v>No Aplica para suministro de ASA</v>
      </c>
      <c r="HS82" s="22">
        <v>44943</v>
      </c>
      <c r="HT82" s="22" t="s">
        <v>870</v>
      </c>
      <c r="HU82" s="22">
        <v>44943</v>
      </c>
      <c r="HV82" s="22" t="s">
        <v>870</v>
      </c>
      <c r="HW82" s="22">
        <v>44943</v>
      </c>
      <c r="HX82" s="22" t="s">
        <v>870</v>
      </c>
      <c r="HY82" s="22">
        <v>44943</v>
      </c>
      <c r="HZ82" s="28">
        <f t="shared" si="293"/>
        <v>10.142857142857142</v>
      </c>
      <c r="IA82" s="26" t="s">
        <v>864</v>
      </c>
      <c r="IB82" s="26"/>
      <c r="IC82" s="111"/>
      <c r="ID82" s="22"/>
      <c r="IE82" s="22" t="str">
        <f t="shared" ca="1" si="294"/>
        <v>SALE SIN VACUNA</v>
      </c>
      <c r="IF82" s="22"/>
      <c r="IG82" s="22">
        <f t="shared" si="295"/>
        <v>45152</v>
      </c>
      <c r="IH82" s="29">
        <f t="shared" ca="1" si="296"/>
        <v>-80</v>
      </c>
      <c r="II82" s="22" t="str">
        <f t="shared" ca="1" si="297"/>
        <v>POSIBLEMENTE NACIO</v>
      </c>
      <c r="IJ82" s="22"/>
      <c r="IK82" s="21" t="s">
        <v>1652</v>
      </c>
      <c r="IL82" s="21" t="s">
        <v>1639</v>
      </c>
      <c r="IM82" s="34"/>
      <c r="IN82" s="349">
        <v>45140</v>
      </c>
      <c r="IO82" s="21" t="s">
        <v>1186</v>
      </c>
      <c r="IP82" s="29">
        <f t="shared" si="436"/>
        <v>38.285714285714285</v>
      </c>
      <c r="IQ82" s="35" t="s">
        <v>1650</v>
      </c>
      <c r="IR82" s="21" t="s">
        <v>1651</v>
      </c>
      <c r="IS82" s="21" t="s">
        <v>1646</v>
      </c>
      <c r="IT82" s="21" t="s">
        <v>1642</v>
      </c>
      <c r="IU82" s="21"/>
      <c r="IV82" s="21"/>
      <c r="IW82" s="21"/>
      <c r="IX82" s="21"/>
      <c r="IY82" s="21"/>
      <c r="IZ82" s="21"/>
      <c r="JA82" s="21"/>
      <c r="JB82" s="30">
        <v>1</v>
      </c>
      <c r="JC82" s="21" t="s">
        <v>1643</v>
      </c>
      <c r="JD82" s="36">
        <v>2640</v>
      </c>
      <c r="JE82" s="21" t="str">
        <f t="shared" si="447"/>
        <v>PESO ADECUADO EDAD GESTACIONAL</v>
      </c>
      <c r="JF82" s="30"/>
      <c r="JG82" s="21"/>
      <c r="JH82" s="21"/>
      <c r="JI82" s="21" t="s">
        <v>854</v>
      </c>
      <c r="JJ82" s="30" t="s">
        <v>866</v>
      </c>
      <c r="JK82" s="22"/>
      <c r="JL82" s="22"/>
      <c r="JM82" s="21"/>
      <c r="JN82" s="36"/>
      <c r="JO82" s="21" t="str">
        <f t="shared" si="448"/>
        <v/>
      </c>
      <c r="JP82" s="22"/>
      <c r="JQ82" s="21"/>
      <c r="JR82" s="21"/>
      <c r="JS82" s="21"/>
      <c r="JT82" s="30"/>
      <c r="JU82" s="22"/>
      <c r="JV82" s="22"/>
      <c r="JW82" s="33"/>
      <c r="JX82" s="28" t="str">
        <f t="shared" si="449"/>
        <v>INASISTENTE</v>
      </c>
      <c r="JY82" s="33"/>
      <c r="JZ82" s="28" t="str">
        <f t="shared" si="450"/>
        <v>INASISTENTE</v>
      </c>
      <c r="KA82" s="21"/>
      <c r="KB82" s="21"/>
      <c r="KC82" s="21"/>
      <c r="KD82" s="37"/>
      <c r="KE82" s="28"/>
      <c r="KF82" s="28"/>
      <c r="KG82" s="28"/>
      <c r="KH82" s="39"/>
      <c r="KI82" s="39"/>
      <c r="KJ82" s="66"/>
      <c r="KK82" s="39"/>
      <c r="KL82" s="39"/>
      <c r="KM82" s="66"/>
      <c r="KN82" s="39"/>
      <c r="KO82" s="39"/>
      <c r="KP82" s="39"/>
      <c r="KQ82" s="39"/>
      <c r="KR82" s="39"/>
      <c r="KS82" s="39"/>
      <c r="KT82" s="39"/>
      <c r="KU82" s="38"/>
      <c r="KV82" s="38"/>
      <c r="KW82" s="38"/>
      <c r="KX82" s="38"/>
      <c r="KY82" s="38"/>
      <c r="KZ82" s="38"/>
      <c r="LA82" s="38"/>
      <c r="LB82" s="38"/>
      <c r="LC82" s="38"/>
      <c r="LD82" s="38"/>
      <c r="LE82" s="38"/>
      <c r="LF82" s="38"/>
      <c r="LG82" s="38"/>
      <c r="LH82" s="38"/>
      <c r="LI82" s="38"/>
      <c r="LJ82" s="38"/>
      <c r="LK82" s="38"/>
      <c r="LL82" s="38"/>
      <c r="LM82" s="38"/>
      <c r="LN82" s="38"/>
      <c r="LO82" s="38"/>
      <c r="LP82" s="38"/>
      <c r="LQ82" s="38"/>
      <c r="LR82" s="38"/>
      <c r="LS82" s="38"/>
      <c r="LT82" s="38"/>
      <c r="LU82" s="38"/>
      <c r="LV82" s="38"/>
      <c r="LW82" s="38"/>
      <c r="LX82" s="38"/>
      <c r="LY82" s="38"/>
      <c r="LZ82" s="38"/>
      <c r="MA82" s="38"/>
      <c r="MB82" s="38"/>
      <c r="MC82" s="38"/>
      <c r="MD82" s="38"/>
      <c r="ME82" s="38"/>
      <c r="MF82" s="38"/>
      <c r="MG82" s="38"/>
      <c r="MH82" s="43">
        <f t="shared" si="303"/>
        <v>0</v>
      </c>
      <c r="MI82" s="43" t="str">
        <f t="shared" si="304"/>
        <v/>
      </c>
      <c r="MJ82" s="43" t="str">
        <f t="shared" si="305"/>
        <v/>
      </c>
      <c r="MK82" s="43">
        <f t="shared" si="306"/>
        <v>0</v>
      </c>
      <c r="ML8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82" s="43">
        <f t="shared" si="307"/>
        <v>10.142857142857142</v>
      </c>
      <c r="MN82" s="43">
        <f t="shared" si="308"/>
        <v>1</v>
      </c>
      <c r="MO82" s="43">
        <f t="shared" si="309"/>
        <v>2023</v>
      </c>
      <c r="MP82" s="43" t="str">
        <f t="shared" si="310"/>
        <v>I TRIMESTRE AÑO</v>
      </c>
      <c r="MQ82" s="43">
        <f t="shared" si="311"/>
        <v>24.274529128339903</v>
      </c>
      <c r="MR82" s="43">
        <f t="shared" si="312"/>
        <v>0</v>
      </c>
      <c r="MS82" s="43" t="str">
        <f t="shared" si="313"/>
        <v xml:space="preserve"> DE 20 A 24 AÑOS</v>
      </c>
      <c r="MT82" s="43">
        <f t="shared" si="314"/>
        <v>0</v>
      </c>
      <c r="MU82" s="43">
        <f t="shared" si="315"/>
        <v>1</v>
      </c>
      <c r="MV82" s="43">
        <f t="shared" si="316"/>
        <v>0</v>
      </c>
      <c r="MW82" s="43">
        <f t="shared" si="317"/>
        <v>0</v>
      </c>
      <c r="MX82" s="43" t="str">
        <f t="shared" si="318"/>
        <v/>
      </c>
      <c r="MY82" s="43" t="str">
        <f t="shared" ca="1" si="451"/>
        <v/>
      </c>
      <c r="MZ82" s="43" t="str">
        <f t="shared" si="319"/>
        <v/>
      </c>
      <c r="NA82" s="43" t="str">
        <f t="shared" si="320"/>
        <v/>
      </c>
      <c r="NB82" s="43" t="str">
        <f t="shared" si="321"/>
        <v/>
      </c>
      <c r="NC82" s="43" t="str">
        <f t="shared" si="322"/>
        <v/>
      </c>
      <c r="ND82" s="43">
        <f t="shared" ca="1" si="323"/>
        <v>1</v>
      </c>
      <c r="NE82" s="43">
        <f>IF(OR(O82&gt;0,R82&gt;0),SUM(COUNTIF(Tabla1[[#This Row],[AÑOS AL INICIO5 CPN]],"&gt;=40"),COUNTIF(AS82,"0"),COUNTIF(AR82,"SI"),COUNTIF(CC82,"SI"),COUNTIF(BQ82,"&gt;119"),COUNTIF(CI82,"&gt;=35")),"")</f>
        <v>1</v>
      </c>
      <c r="NF82" s="43" t="str">
        <f t="shared" si="324"/>
        <v/>
      </c>
      <c r="NG82" s="43">
        <f t="shared" si="325"/>
        <v>0</v>
      </c>
      <c r="NH82" s="43">
        <f t="shared" si="326"/>
        <v>98.7</v>
      </c>
      <c r="NI82"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CPN",P82="NO"),"Z",IF(AND(Tabla1[[#This Row],[CITA PROXIMO CONTROL]]="CITA MANUAL",Tabla1[[#This Row],[GESTANTES ACTUALES]]="ACTIVA INGRESO A CPN"),"W",IF(AND(Tabla1[[#This Row],[GESTANTES ACTUALES]]="SALIO PROGRAMA",IN82=""),"S",IF(AND(Tabla1[[#This Row],[CITA PROXIMO CONTROL]]&gt;0,IN82=""),(Tabla1[[#This Row],[CITA PROXIMO CONTROL]]-TODAY()),"SD"))))))))</f>
        <v>SD</v>
      </c>
      <c r="NJ82" s="43">
        <f>MONTH(Tabla1[[#This Row],[FECHA DE SALIDA  DEL PROGRAMA]])</f>
        <v>8</v>
      </c>
      <c r="NK82" s="43">
        <f>YEAR(Tabla1[[#This Row],[FECHA DE SALIDA  DEL PROGRAMA]])</f>
        <v>2023</v>
      </c>
      <c r="NL82" s="43">
        <f t="shared" si="327"/>
        <v>10</v>
      </c>
      <c r="NM82" s="43" t="str">
        <f t="shared" si="251"/>
        <v>NO</v>
      </c>
      <c r="NN82" s="43" t="str">
        <f ca="1">IF(AND(O82&gt;0,R82=""),"NO CPN",IF(AND(O82="",R82=""),"",IF(AND(R82&gt;0,Tabla1[[#This Row],[SEMANAS DE GESTACION ACTUALIZADAS]]&lt;=12),"NO APLICA",IF(AND(FH82&lt;&gt;"",FN82&lt;&gt;""),"SI","NO"))))</f>
        <v>NO</v>
      </c>
      <c r="NO82" s="43" t="str">
        <f ca="1">IF(AND(O82&gt;0,R82=""),"NO CPN",IF(AND(O82="",R82=""),"",IF(AND(R82&gt;0,Tabla1[[#This Row],[SEMANAS DE GESTACION ACTUALIZADAS]]&lt;=27),"NO APLICA",IF(AND(ES82&lt;&gt;"",FQ82&lt;&gt;"",GF82&lt;&gt;""),"SI","NO"))))</f>
        <v>NO</v>
      </c>
      <c r="NP82" s="204" t="str">
        <f t="shared" si="328"/>
        <v>I TRIM</v>
      </c>
      <c r="NQ82" s="21" t="str">
        <f t="shared" si="437"/>
        <v/>
      </c>
      <c r="NR82" s="21">
        <f t="shared" si="452"/>
        <v>3</v>
      </c>
      <c r="NS82" s="205">
        <f t="shared" ca="1" si="329"/>
        <v>1</v>
      </c>
      <c r="NT82" s="21">
        <f t="shared" ca="1" si="330"/>
        <v>2</v>
      </c>
      <c r="NU82" s="21" t="str">
        <f t="shared" ca="1" si="331"/>
        <v>INCOMPLETO</v>
      </c>
      <c r="NV82" s="21" t="str">
        <f t="shared" ca="1" si="332"/>
        <v>INCOMPLETO</v>
      </c>
      <c r="NW82" s="206" t="str">
        <f>IF(AND(O82="",R82=""),"",IF(OR(AND(Tabla1[[#This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82" s="207" t="str">
        <f t="shared" ca="1" si="333"/>
        <v>SIN VACUNAR</v>
      </c>
      <c r="NY82" s="43">
        <f>ROW(Tabla1[[#This Row],['# DE TAMIZAJES SIFILIS TOMADOS ]])</f>
        <v>82</v>
      </c>
      <c r="NZ82" s="43">
        <f t="shared" si="334"/>
        <v>10</v>
      </c>
      <c r="OA82" s="43" t="str">
        <f t="shared" si="335"/>
        <v/>
      </c>
      <c r="OB82" s="43" t="str">
        <f t="shared" si="336"/>
        <v>SOBREPESO</v>
      </c>
      <c r="OC82" s="43" t="str">
        <f t="shared" si="337"/>
        <v/>
      </c>
      <c r="OD82" s="43" t="str">
        <f t="shared" si="338"/>
        <v/>
      </c>
      <c r="OE82" s="43" t="str">
        <f t="shared" si="339"/>
        <v/>
      </c>
      <c r="OF82" s="43" t="str">
        <f t="shared" si="340"/>
        <v/>
      </c>
      <c r="OG82" s="43" t="str">
        <f t="shared" si="341"/>
        <v/>
      </c>
      <c r="OH82" s="43" t="str">
        <f t="shared" si="342"/>
        <v/>
      </c>
      <c r="OI82" s="43" t="str">
        <f t="shared" si="343"/>
        <v/>
      </c>
      <c r="OJ82" s="43" t="str">
        <f t="shared" si="344"/>
        <v/>
      </c>
      <c r="OK82" s="43" t="str">
        <f t="shared" si="345"/>
        <v/>
      </c>
      <c r="OL82" s="43" t="str">
        <f t="shared" si="346"/>
        <v/>
      </c>
      <c r="OM82" s="43" t="str">
        <f t="shared" si="347"/>
        <v/>
      </c>
      <c r="ON82" s="43" t="str">
        <f t="shared" si="348"/>
        <v/>
      </c>
      <c r="OO82" s="43" t="str">
        <f t="shared" si="349"/>
        <v/>
      </c>
      <c r="OP82" s="43" t="str">
        <f t="shared" si="350"/>
        <v/>
      </c>
      <c r="OQ82" s="43" t="str">
        <f t="shared" si="351"/>
        <v/>
      </c>
      <c r="OR82" s="43" t="str">
        <f t="shared" si="352"/>
        <v/>
      </c>
      <c r="OS82" s="43" t="str">
        <f t="shared" si="353"/>
        <v/>
      </c>
      <c r="OT82" s="43" t="str">
        <f t="shared" si="354"/>
        <v/>
      </c>
      <c r="OU82" s="43" t="str">
        <f t="shared" si="355"/>
        <v/>
      </c>
      <c r="OV82" s="110" t="str">
        <f t="shared" si="356"/>
        <v/>
      </c>
      <c r="OW82" s="43" t="str">
        <f t="shared" si="357"/>
        <v/>
      </c>
      <c r="OX82" s="43" t="str">
        <f t="shared" si="358"/>
        <v/>
      </c>
      <c r="OY82" s="43" t="str">
        <f t="shared" si="359"/>
        <v/>
      </c>
      <c r="OZ82" s="43" t="str">
        <f t="shared" si="360"/>
        <v/>
      </c>
      <c r="PA82" s="43" t="str">
        <f t="shared" si="361"/>
        <v/>
      </c>
      <c r="PB82" s="43" t="str">
        <f t="shared" si="362"/>
        <v/>
      </c>
      <c r="PC82" s="43" t="str">
        <f t="shared" si="363"/>
        <v/>
      </c>
      <c r="PD82" s="43" t="str">
        <f t="shared" si="364"/>
        <v/>
      </c>
      <c r="PE82" s="43" t="str">
        <f t="shared" si="365"/>
        <v/>
      </c>
      <c r="PF82" s="43" t="str">
        <f t="shared" si="366"/>
        <v/>
      </c>
      <c r="PG82" s="43" t="str">
        <f t="shared" si="367"/>
        <v/>
      </c>
      <c r="PH82" s="43" t="str">
        <f t="shared" si="368"/>
        <v/>
      </c>
      <c r="PI82" s="43">
        <f t="shared" si="369"/>
        <v>27</v>
      </c>
      <c r="PJ82" s="43" t="str">
        <f t="shared" si="370"/>
        <v/>
      </c>
      <c r="PK82" s="43" t="str">
        <f t="shared" si="371"/>
        <v/>
      </c>
      <c r="PL82" s="43" t="str">
        <f t="shared" si="372"/>
        <v/>
      </c>
      <c r="PM82" s="43" t="str">
        <f t="shared" si="373"/>
        <v/>
      </c>
      <c r="PN82" s="43" t="str">
        <f t="shared" si="374"/>
        <v/>
      </c>
      <c r="PO82" s="43" t="str">
        <f t="shared" si="375"/>
        <v/>
      </c>
      <c r="PP82" s="43" t="str">
        <f t="shared" si="376"/>
        <v/>
      </c>
      <c r="PQ82" s="43" t="str">
        <f t="shared" si="377"/>
        <v/>
      </c>
      <c r="PR82" s="43" t="str">
        <f t="shared" si="378"/>
        <v/>
      </c>
      <c r="PS82" s="43" t="str">
        <f t="shared" si="379"/>
        <v/>
      </c>
      <c r="PT82" s="43" t="str">
        <f t="shared" si="380"/>
        <v/>
      </c>
      <c r="PU82" s="43" t="str">
        <f t="shared" si="381"/>
        <v/>
      </c>
      <c r="PV82" s="43" t="str">
        <f t="shared" si="382"/>
        <v/>
      </c>
      <c r="PW82" s="43" t="str">
        <f t="shared" si="383"/>
        <v/>
      </c>
      <c r="PX82" s="43" t="str">
        <f t="shared" si="384"/>
        <v/>
      </c>
      <c r="PY82" s="43" t="str">
        <f t="shared" si="385"/>
        <v/>
      </c>
      <c r="PZ82" s="43" t="str">
        <f t="shared" si="386"/>
        <v/>
      </c>
      <c r="QA82" s="43" t="str">
        <f t="shared" si="387"/>
        <v/>
      </c>
      <c r="QB82" s="43" t="str">
        <f t="shared" si="388"/>
        <v>OBESIDAD</v>
      </c>
      <c r="QC82" s="43" t="str">
        <f t="shared" si="389"/>
        <v/>
      </c>
      <c r="QD82" s="43" t="str">
        <f t="shared" si="390"/>
        <v/>
      </c>
      <c r="QE82" s="43" t="str">
        <f t="shared" si="391"/>
        <v/>
      </c>
      <c r="QF82" s="43" t="str">
        <f t="shared" si="392"/>
        <v/>
      </c>
      <c r="QG82" s="43" t="str">
        <f t="shared" si="393"/>
        <v/>
      </c>
      <c r="QH82" s="43" t="str">
        <f t="shared" si="394"/>
        <v/>
      </c>
      <c r="QI82" s="43" t="str">
        <f t="shared" si="395"/>
        <v/>
      </c>
      <c r="QJ82" s="43" t="str">
        <f t="shared" si="396"/>
        <v/>
      </c>
      <c r="QK82" s="43" t="str">
        <f t="shared" si="397"/>
        <v/>
      </c>
      <c r="QL82" s="43" t="str">
        <f t="shared" si="398"/>
        <v/>
      </c>
      <c r="QM82" s="43" t="str">
        <f t="shared" si="399"/>
        <v/>
      </c>
      <c r="QN82" s="43" t="str">
        <f t="shared" si="400"/>
        <v/>
      </c>
      <c r="QO82" s="43" t="str">
        <f t="shared" si="401"/>
        <v/>
      </c>
      <c r="QP82" s="43" t="str">
        <f t="shared" si="402"/>
        <v/>
      </c>
      <c r="QQ82" s="43" t="str">
        <f t="shared" si="403"/>
        <v/>
      </c>
      <c r="QR82" s="43">
        <f t="shared" si="433"/>
        <v>27</v>
      </c>
      <c r="QS82" s="43"/>
      <c r="QT82" s="21" t="str">
        <f t="shared" si="404"/>
        <v/>
      </c>
      <c r="QU82" s="21" t="str">
        <f t="shared" si="405"/>
        <v/>
      </c>
      <c r="QV82" s="21" t="str">
        <f t="shared" si="406"/>
        <v/>
      </c>
      <c r="QW82" s="21" t="str">
        <f t="shared" si="407"/>
        <v/>
      </c>
      <c r="QX82" s="21" t="str">
        <f t="shared" si="408"/>
        <v/>
      </c>
      <c r="QY82" s="21" t="str">
        <f t="shared" si="409"/>
        <v/>
      </c>
      <c r="QZ82" s="21" t="str">
        <f t="shared" si="410"/>
        <v/>
      </c>
      <c r="RA82" s="21" t="str">
        <f t="shared" si="411"/>
        <v/>
      </c>
      <c r="RB82" s="21" t="str">
        <f t="shared" si="412"/>
        <v/>
      </c>
      <c r="RC82" s="21" t="str">
        <f t="shared" si="413"/>
        <v/>
      </c>
      <c r="RD82" s="21" t="str">
        <f t="shared" si="414"/>
        <v/>
      </c>
      <c r="RE82" s="21" t="str">
        <f t="shared" si="415"/>
        <v/>
      </c>
      <c r="RF82" s="21" t="str">
        <f t="shared" si="416"/>
        <v/>
      </c>
      <c r="RG82" s="21" t="str">
        <f t="shared" si="417"/>
        <v/>
      </c>
      <c r="RH82" s="21" t="str">
        <f t="shared" si="418"/>
        <v>ALTO PARA EDAD GESTACIONAL</v>
      </c>
      <c r="RI82" s="21" t="str">
        <f t="shared" si="419"/>
        <v/>
      </c>
      <c r="RJ82" s="21" t="str">
        <f t="shared" si="420"/>
        <v/>
      </c>
      <c r="RK82" s="21" t="str">
        <f t="shared" si="421"/>
        <v/>
      </c>
      <c r="RL82" s="21" t="str">
        <f t="shared" si="422"/>
        <v/>
      </c>
      <c r="RM82" s="21" t="str">
        <f t="shared" si="423"/>
        <v/>
      </c>
      <c r="RN82" s="21" t="str">
        <f t="shared" si="424"/>
        <v/>
      </c>
      <c r="RO82" s="21" t="str">
        <f t="shared" si="425"/>
        <v/>
      </c>
      <c r="RP82" s="21" t="str">
        <f t="shared" si="426"/>
        <v/>
      </c>
      <c r="RQ82" s="21" t="str">
        <f t="shared" si="427"/>
        <v/>
      </c>
      <c r="RR82" s="21" t="str">
        <f t="shared" si="428"/>
        <v/>
      </c>
      <c r="RS82" s="21" t="str">
        <f t="shared" si="429"/>
        <v/>
      </c>
      <c r="RT82" s="21" t="str">
        <f t="shared" si="430"/>
        <v/>
      </c>
      <c r="RU82" s="21" t="str">
        <f t="shared" si="431"/>
        <v/>
      </c>
      <c r="RV82" s="21">
        <f t="shared" si="432"/>
        <v>10.142857142857142</v>
      </c>
      <c r="RW82" s="284">
        <f>IF(OR(Tabla1[[#This Row],[FUM FORMULA CONFIABLE]]="",Tabla1[[#This Row],[FUM FORMULA CONFIABLE]]="SD"),"",IF(Tabla1[[#This Row],[FUM FORMULA CONFIABLE]]="CORREGIDA",Tabla1[[#This Row],[FUM X ECO 1]],Tabla1[[#This Row],[FUM x AMENORREA]]))</f>
        <v>44872</v>
      </c>
      <c r="RX82" s="21">
        <f>IF(AND(Tabla1[[#This Row],[FUM X ECO 1]]="",Tabla1[[#This Row],[FUM x AMENORREA]]=""),"",IF(AND(Tabla1[[#This Row],[FUM X ECO 1]]="",Tabla1[[#This Row],[FUM x AMENORREA]]&lt;&gt;""),"X",SUM(Tabla1[[#This Row],[FUM X ECO 1]]-Tabla1[[#This Row],[FUM x AMENORREA]])))</f>
        <v>-5.6999999999970896</v>
      </c>
      <c r="RY82" s="21">
        <f t="shared" si="434"/>
        <v>0</v>
      </c>
    </row>
    <row r="83" spans="1:493" ht="45" customHeight="1" x14ac:dyDescent="0.25">
      <c r="A83" s="109"/>
      <c r="B83" s="43"/>
      <c r="C83" s="43" t="s">
        <v>845</v>
      </c>
      <c r="D83" s="124"/>
      <c r="E83" s="43" t="s">
        <v>1249</v>
      </c>
      <c r="F83" s="43" t="s">
        <v>883</v>
      </c>
      <c r="G83" s="43" t="s">
        <v>949</v>
      </c>
      <c r="H83" s="43" t="s">
        <v>1250</v>
      </c>
      <c r="I83" s="109" t="s">
        <v>851</v>
      </c>
      <c r="J83" s="110">
        <v>1006956188</v>
      </c>
      <c r="K83" s="43" t="s">
        <v>852</v>
      </c>
      <c r="L83" s="175" t="s">
        <v>853</v>
      </c>
      <c r="M83" s="22">
        <v>36663</v>
      </c>
      <c r="N83" s="213">
        <f t="shared" ca="1" si="252"/>
        <v>23.476712328767125</v>
      </c>
      <c r="O83" s="22">
        <v>44958</v>
      </c>
      <c r="P83" s="214" t="str">
        <f t="shared" si="438"/>
        <v>SI</v>
      </c>
      <c r="Q83" s="26" t="s">
        <v>855</v>
      </c>
      <c r="R83" s="22">
        <v>44958</v>
      </c>
      <c r="S83" s="21" t="s">
        <v>856</v>
      </c>
      <c r="T83" s="24" t="s">
        <v>690</v>
      </c>
      <c r="U83" s="21" t="s">
        <v>857</v>
      </c>
      <c r="V83" s="21" t="s">
        <v>858</v>
      </c>
      <c r="W83" s="21" t="s">
        <v>999</v>
      </c>
      <c r="X83" s="21" t="s">
        <v>920</v>
      </c>
      <c r="Y83" s="21" t="s">
        <v>859</v>
      </c>
      <c r="Z83" s="21" t="s">
        <v>894</v>
      </c>
      <c r="AA83" s="21" t="s">
        <v>860</v>
      </c>
      <c r="AB83" s="27" t="s">
        <v>861</v>
      </c>
      <c r="AC83" s="26" t="s">
        <v>877</v>
      </c>
      <c r="AD83" s="38" t="s">
        <v>1546</v>
      </c>
      <c r="AE83" s="26" t="s">
        <v>854</v>
      </c>
      <c r="AF83" s="26" t="s">
        <v>854</v>
      </c>
      <c r="AG83" s="23" t="s">
        <v>864</v>
      </c>
      <c r="AH83" s="23" t="s">
        <v>864</v>
      </c>
      <c r="AI83" s="24" t="s">
        <v>863</v>
      </c>
      <c r="AJ83" s="23" t="s">
        <v>864</v>
      </c>
      <c r="AK83" s="220" t="str">
        <f>IF(AND(AD83="",AE83="",AF83="",AG83="",AH83="",AI83="",AJ83=""),"",IF(OR(Tabla1[[#This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EVALUACIÓN",IF(AND(O83="",R83=""),"",IF(AND(OR(O83&gt;0,R83&gt;0),NG83&gt;=0,NG83&lt;2),"SIN RIESGO",IF(AND(OR(O83&gt;0,R83&gt;0),NG83&gt;=2),"CON RIESGO","ASD")))))</f>
        <v>SIN RIESGO</v>
      </c>
      <c r="AL83" s="23" t="s">
        <v>864</v>
      </c>
      <c r="AM83" s="26" t="s">
        <v>864</v>
      </c>
      <c r="AN83" s="26" t="s">
        <v>864</v>
      </c>
      <c r="AO83" s="26" t="s">
        <v>864</v>
      </c>
      <c r="AP83" s="26" t="s">
        <v>864</v>
      </c>
      <c r="AQ83" s="26" t="s">
        <v>864</v>
      </c>
      <c r="AR83" s="26" t="s">
        <v>864</v>
      </c>
      <c r="AS83" s="21">
        <v>3</v>
      </c>
      <c r="AT83" s="21">
        <v>3</v>
      </c>
      <c r="AU83" s="21">
        <v>0</v>
      </c>
      <c r="AV83" s="26" t="s">
        <v>864</v>
      </c>
      <c r="AW83" s="21">
        <v>0</v>
      </c>
      <c r="AX83" s="26" t="s">
        <v>864</v>
      </c>
      <c r="AY83" s="26" t="s">
        <v>864</v>
      </c>
      <c r="AZ83" s="26" t="s">
        <v>864</v>
      </c>
      <c r="BA83" s="26" t="s">
        <v>864</v>
      </c>
      <c r="BB83" s="26" t="s">
        <v>864</v>
      </c>
      <c r="BC83" s="26" t="s">
        <v>864</v>
      </c>
      <c r="BD83" s="26" t="s">
        <v>864</v>
      </c>
      <c r="BE83" s="26" t="s">
        <v>864</v>
      </c>
      <c r="BF83" s="26" t="s">
        <v>864</v>
      </c>
      <c r="BG83" s="26" t="s">
        <v>864</v>
      </c>
      <c r="BH83" s="26" t="s">
        <v>864</v>
      </c>
      <c r="BI83" s="26" t="s">
        <v>864</v>
      </c>
      <c r="BJ83" s="26" t="s">
        <v>864</v>
      </c>
      <c r="BK83" s="26" t="s">
        <v>864</v>
      </c>
      <c r="BL83" s="26" t="s">
        <v>864</v>
      </c>
      <c r="BM83" s="26" t="s">
        <v>864</v>
      </c>
      <c r="BN83" s="22">
        <v>44417</v>
      </c>
      <c r="BO83" s="22">
        <v>44861</v>
      </c>
      <c r="BP83" s="21" t="s">
        <v>854</v>
      </c>
      <c r="BQ83" s="222">
        <f t="shared" si="254"/>
        <v>14.8</v>
      </c>
      <c r="BR83" s="223">
        <f t="shared" si="255"/>
        <v>44861.3</v>
      </c>
      <c r="BS83" s="224">
        <f t="shared" si="256"/>
        <v>13.857142857142858</v>
      </c>
      <c r="BT83" s="216" t="str">
        <f t="shared" si="257"/>
        <v>II TRIM</v>
      </c>
      <c r="BU83" s="214" t="str">
        <f t="shared" ca="1" si="258"/>
        <v/>
      </c>
      <c r="BV83" s="25" t="s">
        <v>1525</v>
      </c>
      <c r="BW83" s="22">
        <v>44960</v>
      </c>
      <c r="BX83" s="28">
        <v>14.1</v>
      </c>
      <c r="BY83" s="28"/>
      <c r="BZ83" s="22"/>
      <c r="CA83" s="21"/>
      <c r="CB83" s="26" t="s">
        <v>864</v>
      </c>
      <c r="CC83" s="26" t="s">
        <v>864</v>
      </c>
      <c r="CD83" s="26"/>
      <c r="CE83" s="26" t="s">
        <v>864</v>
      </c>
      <c r="CF83" s="22" t="s">
        <v>1517</v>
      </c>
      <c r="CG83" s="21">
        <v>1.48</v>
      </c>
      <c r="CH83" s="21">
        <v>65</v>
      </c>
      <c r="CI83" s="214">
        <f t="shared" si="259"/>
        <v>29.674945215485756</v>
      </c>
      <c r="CJ83" s="225" t="e">
        <f>IF(AND(CI83&lt;10,CH83="SD"),"SIN DATO PESO PREGESTACION O I TRIM",IF(AND(OR(R83&gt;0,O83&gt;0),CI83="X"),"INGRESAR DATO DE PESO",IF(CI83="SD","INGRESAR DATO DE TALLA Y PESO",IF(AND(OR(Tabla1[[#This Row],[MOMENTO EN QUE SE REALIZA EL PESO AL INGRESO A CPN]]="PREGESTACIÓN",NZ83="Menor"),CI83&lt;18.5),"BAJO PESO",IF(AND(OR(Tabla1[[#This Row],[MOMENTO EN QUE SE REALIZA EL PESO AL INGRESO A CPN]]="PREGESTACIÓN",NZ83="Menor"),CI83&lt;25),"NORMAL",IF(AND(OR(Tabla1[[#This Row],[MOMENTO EN QUE SE REALIZA EL PESO AL INGRESO A CPN]]="PREGESTACIÓN",NZ83="Menor"),CI83&lt;30),"SOBREPESO",IF(AND(OR(Tabla1[[#This Row],[MOMENTO EN QUE SE REALIZA EL PESO AL INGRESO A CPN]]="PREGESTACIÓN",NZ83="Menor"),CI83&gt;=30,CI83&lt;50),"OBESIDAD",IF(AND(BS83&gt;0,Tabla1[[#This Row],[MOMENTO EN QUE SE REALIZA EL PESO AL INGRESO A CPN]]="GESTACIÓN"),HLOOKUP(NZ83,$OA$2:PH83,NY83),""))))))))</f>
        <v>#REF!</v>
      </c>
      <c r="CK83" s="212">
        <f t="shared" si="260"/>
        <v>45138</v>
      </c>
      <c r="CL83" s="21">
        <v>79</v>
      </c>
      <c r="CM83" s="214">
        <f t="shared" si="261"/>
        <v>36.066471877282687</v>
      </c>
      <c r="CN83" s="216">
        <f t="shared" si="262"/>
        <v>39</v>
      </c>
      <c r="CO83" s="216" t="e">
        <f>IF(PI83="","",IF(PI83&gt;0,HLOOKUP(PI83,$PJ$2:QQ83,NY83),""))</f>
        <v>#REF!</v>
      </c>
      <c r="CP83" s="21">
        <v>36</v>
      </c>
      <c r="CQ83" s="216" t="e">
        <f>IF(QR83="Menor","NO APLICA-MENOR 13 SEM",IF(AND(CC83="SI",CN83&gt;23),"NO APLICA- GEMELAR",IF(QR83="","",IF(QR83&gt;0,HLOOKUP(QR83,$QS$2:RU83,NY83),""))))</f>
        <v>#REF!</v>
      </c>
      <c r="CR83" s="21">
        <v>100</v>
      </c>
      <c r="CS83" s="21">
        <v>60</v>
      </c>
      <c r="CT83" s="217" t="str">
        <f>IF(R83="","",IF(AND(BS83&gt;1,BS83&lt;12,Tabla1[[#This Row],[T.A. SISTOLICA - ANTES DE SEMANA 12]]="",Tabla1[[#This Row],[T.A. DIASTOLICA - ANTES DE SEMANA 12]]=""),"REGISTRE DATO TA ANTES SEMANA 12",IF(AND(BS83&gt;11,BS83&lt;43,Tabla1[[#This Row],[T.A. SISTOLICA - ANTES DE SEMANA 12]]="",Tabla1[[#This Row],[T.A. DIASTOLICA - ANTES DE SEMANA 12]]=""),"NO APLICA REGISTRO TA-INGRESO TARDIO",IF(AND(OR(O83&gt;0,R83&gt;0),OR(CR83&gt;=140,CS83&gt;=90)),"DEFINIR ESTADIO HTA",IF(AND(OR(O83&gt;0,R83&gt;0),AND(CR83&gt;120,CR83&lt;=139)),"PRE HTA SEGUIMIENTO",IF(AND(OR(O83&gt;0,R83&gt;0),AND(CS83&gt;80,CS83&lt;=89)),"PRE HTA SEGUIMIENTO",IF(AND(OR(O83&gt;0,R83&gt;0),AND(CR83&gt;=80,CR83&lt;=120)),"APARENTEMENTE NORMAL",IF(AND(OR(O83&gt;0,R83&gt;0),AND(CS83&gt;=50,CS83&lt;=80)),"APARENTEMENTE NORMAL",IF(AND(OR(O83&gt;0,R83&gt;0),AND(CR83&gt;1,CR83&lt;=70),AND(CS83&gt;1,CS83&lt;=40)),"HIPOTENSIÓN","")))))))))</f>
        <v>APARENTEMENTE NORMAL</v>
      </c>
      <c r="CU83" s="21">
        <v>90</v>
      </c>
      <c r="CV83" s="21">
        <v>60</v>
      </c>
      <c r="CW83" s="217" t="str">
        <f ca="1">IF(R83="","",IF(AND(CN83&gt;19,CN83&lt;27,Tabla1[[#This Row],[T.A. SISTOLICA (Entre semana 20 y 26)]]="",Tabla1[[#This Row],[T.A. DIATOLICA (Entre semana 20 y 26)]]=""),"ACUDE A CONTROL SEM 20 A 26 REGISTRE TA AHORA",IF(AND(BS83&gt;1,BS83&lt;27,BU83&gt;19,Tabla1[[#This Row],[T.A. SISTOLICA (Entre semana 20 y 26)]]="",Tabla1[[#This Row],[T.A. DIATOLICA (Entre semana 20 y 26)]]=""),"COMPLETE REGISTRO TA CONTROL SEM 20 A26 ",IF(AND(BS83&gt;26,BS83&lt;43,Tabla1[[#This Row],[T.A. SISTOLICA (Entre semana 20 y 26)]]="",Tabla1[[#This Row],[T.A. DIATOLICA (Entre semana 20 y 26)]]=""),"NO APLICA REGISTRO TA-INGRESO TARDIO",IF(AND(OR(O83&gt;0,R83&gt;0),OR(CU83&gt;=140,CV83&gt;=90)),"ALTO RIESGO PREECLAMPSIA,DEFINIR ESTADIO HTA",IF(AND(OR(O83&gt;0,R83&gt;0),AND(CU83&gt;120,CU83&lt;=139)),"PRE HTA SEGUIMIENTO,RIESGO HIPERTENSION INDUCIDA POR EL EMBARAZO",IF(AND(OR(O83&gt;0,R83&gt;0),AND(CV83&gt;80,CV83&lt;=89)),"PRE HTA SEGUIMIENTO, RIESGO HIPERTENSION INDUCIDA POR EL EMBARAZO",IF(AND(OR(O83&lt;&gt;"",R83&lt;&gt;""),CS83&lt;&gt;"",CV83&lt;&gt;"",CS83&lt;=CV83),"VIGILAR CIFRAS PRESION ARTERIAL",IF(AND(OR(O83&gt;0,R83&gt;0),AND(CU83&gt;120,CU83&lt;=139)),"PRE HTA SEGUIMIENTO",IF(AND(OR(O83&gt;0,R83&gt;0),AND(CU83&gt;1,CU83&lt;=70),AND(CV83&gt;1,CV83&lt;=40)),"HIPOTENSIÓN",IF(AND(OR(O83&lt;&gt;"",R83&lt;&gt;""),CS83&lt;&gt;"",CV83&lt;&gt;"",CS83&gt;CV83),"APARENTEMENTE NORMAL",IF(AND(OR(O83&gt;0,R83&gt;0),AND(CU83&gt;=80,CU83&lt;=120)),"APARENTEMENTE NORMAL",IF(AND(OR(O83&gt;0,R83&gt;0),AND(CV83&gt;=50,CV83&lt;=80)),"APARENTEMENTE NORMAL","")))))))))))))</f>
        <v>VIGILAR CIFRAS PRESION ARTERIAL</v>
      </c>
      <c r="CX83" s="21">
        <v>90</v>
      </c>
      <c r="CY83" s="21">
        <v>70</v>
      </c>
      <c r="CZ83" s="216" t="str">
        <f t="shared" si="263"/>
        <v>VIGILAR CIFRAS PRESION ARTERIAL</v>
      </c>
      <c r="DA83" s="21">
        <v>100</v>
      </c>
      <c r="DB83" s="21">
        <v>60</v>
      </c>
      <c r="DC83" s="217" t="str">
        <f t="shared" si="264"/>
        <v>VIGILAR CIFRAS PRESION ARTERIAL</v>
      </c>
      <c r="DD83" s="22">
        <v>44958</v>
      </c>
      <c r="DE83" s="22">
        <v>44958</v>
      </c>
      <c r="DF83" s="22">
        <v>45029</v>
      </c>
      <c r="DG83" s="22">
        <v>45059</v>
      </c>
      <c r="DH83" s="22">
        <v>45093</v>
      </c>
      <c r="DI83" s="22">
        <v>45138</v>
      </c>
      <c r="DJ83" s="22"/>
      <c r="DK83" s="22"/>
      <c r="DL83" s="22"/>
      <c r="DM83" s="22"/>
      <c r="DN83" s="22"/>
      <c r="DO83" s="22"/>
      <c r="DP83" s="22"/>
      <c r="DQ83" s="22"/>
      <c r="DR83" s="28">
        <v>0</v>
      </c>
      <c r="DS83" s="22"/>
      <c r="DT83" s="22"/>
      <c r="DU83" s="216" t="str">
        <f t="shared" ca="1" si="439"/>
        <v>SALE SIN PLAN DE PARTO</v>
      </c>
      <c r="DV83" s="226" t="str">
        <f t="shared" si="440"/>
        <v>SALIO PROGRAMA</v>
      </c>
      <c r="DW83"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83" s="216" t="str">
        <f t="shared" ca="1" si="266"/>
        <v/>
      </c>
      <c r="DY83" s="212">
        <f>IF(R83="","",IF(R83&gt;0,MAX(Tabla1[[#This Row],[FECHA C2]:[FECHA C13]],Tabla1[[#This Row],[FECHA CONSULTA PRIMERA VEZ PROGRAMA CPN ]])))</f>
        <v>45138</v>
      </c>
      <c r="DZ83" s="216">
        <f t="shared" si="267"/>
        <v>39</v>
      </c>
      <c r="EA83" s="222">
        <f>IF(R83&gt;0,SUM(COUNTA(DF83:DQ83)+COUNTA(Tabla1[[#This Row],[FECHA CONSULTA PRIMERA VEZ PROGRAMA CPN ]])),"")</f>
        <v>5</v>
      </c>
      <c r="EB83" s="222" t="str">
        <f t="shared" si="268"/>
        <v>SI</v>
      </c>
      <c r="EC83" s="214">
        <f t="shared" si="269"/>
        <v>8</v>
      </c>
      <c r="ED83" s="227">
        <f t="shared" si="270"/>
        <v>0.625</v>
      </c>
      <c r="EE83" s="22">
        <v>44958</v>
      </c>
      <c r="EF83" s="22">
        <v>44960</v>
      </c>
      <c r="EG83" s="22">
        <v>44958</v>
      </c>
      <c r="EH83" s="22"/>
      <c r="EI83" s="22">
        <v>44958</v>
      </c>
      <c r="EJ83" s="22"/>
      <c r="EK83" s="22"/>
      <c r="EL83" s="21"/>
      <c r="EM83" s="21">
        <v>13</v>
      </c>
      <c r="EN83" s="22">
        <v>44960</v>
      </c>
      <c r="EO83" s="222">
        <f t="shared" si="271"/>
        <v>14.142857142857142</v>
      </c>
      <c r="EP83" s="214" t="str">
        <f t="shared" si="272"/>
        <v>NORMAL- SUMINISTRAR SULFATO FERROSO</v>
      </c>
      <c r="EQ83" s="216" t="str">
        <f t="shared" si="273"/>
        <v>II TRIM</v>
      </c>
      <c r="ER83" s="24">
        <v>12.9</v>
      </c>
      <c r="ES83" s="22">
        <v>45126</v>
      </c>
      <c r="ET83" s="29">
        <f t="shared" ca="1" si="441"/>
        <v>37.857142857142854</v>
      </c>
      <c r="EU83" s="25" t="str">
        <f t="shared" si="275"/>
        <v>NORMAL- SUMINISTRAR SULFATO FERROSO</v>
      </c>
      <c r="EV83" s="24"/>
      <c r="EW83" s="24"/>
      <c r="EX83" s="22"/>
      <c r="EY83" s="29" t="str">
        <f t="shared" si="248"/>
        <v>TOMAR EXAMEN</v>
      </c>
      <c r="EZ83" s="25" t="str">
        <f t="shared" ca="1" si="249"/>
        <v/>
      </c>
      <c r="FA83" s="21"/>
      <c r="FB83" s="22"/>
      <c r="FC83" s="29" t="str">
        <f t="shared" si="276"/>
        <v>TOMAR EXAMEN</v>
      </c>
      <c r="FD83" s="29">
        <v>67</v>
      </c>
      <c r="FE83" s="29">
        <v>118</v>
      </c>
      <c r="FF83" s="29">
        <v>110</v>
      </c>
      <c r="FG83" s="21" t="str">
        <f t="shared" ca="1" si="277"/>
        <v>NORMAL</v>
      </c>
      <c r="FH83" s="31">
        <v>45051</v>
      </c>
      <c r="FI83" s="29">
        <f t="shared" si="278"/>
        <v>27.142857142857142</v>
      </c>
      <c r="FJ83" s="22"/>
      <c r="FK83" s="22"/>
      <c r="FL83" s="29" t="str">
        <f t="shared" ca="1" si="279"/>
        <v>NO APLICA-INGRESO TARDIO</v>
      </c>
      <c r="FM83" s="22" t="s">
        <v>867</v>
      </c>
      <c r="FN83" s="32">
        <v>44960</v>
      </c>
      <c r="FO83" s="29">
        <f t="shared" ca="1" si="442"/>
        <v>14.142857142857142</v>
      </c>
      <c r="FP83" s="22" t="s">
        <v>867</v>
      </c>
      <c r="FQ83" s="32">
        <v>45051</v>
      </c>
      <c r="FR83" s="29">
        <f t="shared" ca="1" si="443"/>
        <v>27.142857142857142</v>
      </c>
      <c r="FS83" s="22"/>
      <c r="FT83" s="32"/>
      <c r="FU83" s="29" t="str">
        <f>IF(AND(FJ83="",FM83="",FP83="",FS83=""),"",IF(OR(OR(Tabla1[[#This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83" s="28"/>
      <c r="FW83" s="22"/>
      <c r="FX83" s="29" t="str">
        <f t="shared" si="280"/>
        <v>TOMAR EXAMEN</v>
      </c>
      <c r="FY83" s="22">
        <v>44960</v>
      </c>
      <c r="FZ83" s="22">
        <v>44960</v>
      </c>
      <c r="GA83" s="29" t="str">
        <f t="shared" si="250"/>
        <v>REGISTRAR EN II TRIMESTRE</v>
      </c>
      <c r="GB83" s="22" t="s">
        <v>868</v>
      </c>
      <c r="GC83" s="22">
        <v>44960</v>
      </c>
      <c r="GD83" s="29">
        <f t="shared" ca="1" si="444"/>
        <v>14.142857142857142</v>
      </c>
      <c r="GE83" s="22" t="s">
        <v>868</v>
      </c>
      <c r="GF83" s="22">
        <v>45126</v>
      </c>
      <c r="GG83" s="29">
        <f t="shared" ca="1" si="445"/>
        <v>37.857142857142854</v>
      </c>
      <c r="GH83" s="22"/>
      <c r="GI83" s="29"/>
      <c r="GJ83" s="22"/>
      <c r="GK83" s="22"/>
      <c r="GL83" s="22"/>
      <c r="GM83" s="22"/>
      <c r="GN83" s="28" t="s">
        <v>869</v>
      </c>
      <c r="GO83" s="22">
        <v>44960</v>
      </c>
      <c r="GP83" s="29">
        <f t="shared" si="283"/>
        <v>14.142857142857142</v>
      </c>
      <c r="GQ83" s="28" t="s">
        <v>869</v>
      </c>
      <c r="GR83" s="28" t="s">
        <v>869</v>
      </c>
      <c r="GS83" s="22" t="str">
        <f t="shared" si="284"/>
        <v>CONTROL Igm</v>
      </c>
      <c r="GT83" s="22">
        <v>44960</v>
      </c>
      <c r="GU83" s="29">
        <f t="shared" si="285"/>
        <v>14.142857142857142</v>
      </c>
      <c r="GV83" s="21" t="str">
        <f t="shared" si="286"/>
        <v>II TRIM</v>
      </c>
      <c r="GW83" s="28" t="s">
        <v>869</v>
      </c>
      <c r="GX83" s="30"/>
      <c r="GY83" s="21"/>
      <c r="GZ83" s="21"/>
      <c r="HA83" s="21"/>
      <c r="HB83" s="21"/>
      <c r="HC83" s="21"/>
      <c r="HD83" s="21"/>
      <c r="HE83" s="21"/>
      <c r="HF83" s="22"/>
      <c r="HG83" s="22" t="str">
        <f>IF(OR(O83&gt;0,R83&gt;0),CONCATENATE(IF(Tabla1[[#This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83" s="22" t="e">
        <f t="shared" si="287"/>
        <v>#REF!</v>
      </c>
      <c r="HI83" s="22" t="e">
        <f t="shared" ca="1" si="288"/>
        <v>#REF!</v>
      </c>
      <c r="HJ83" s="21" t="str">
        <f t="shared" ca="1" si="289"/>
        <v>***************************************</v>
      </c>
      <c r="HK83" s="21" t="str">
        <f t="shared" si="290"/>
        <v>SIN ANTECEDENTES DE RIESGO</v>
      </c>
      <c r="HL83" s="24" t="str">
        <f t="shared" si="291"/>
        <v>VIGILAR CIFRAS PRESION ARTERIAL</v>
      </c>
      <c r="HM83" s="21" t="str">
        <f t="shared" ca="1" si="292"/>
        <v/>
      </c>
      <c r="HN83" s="30" t="str">
        <f t="shared" si="446"/>
        <v>SALIO PROGRAMA</v>
      </c>
      <c r="HO83" s="21"/>
      <c r="HP83" s="21"/>
      <c r="HQ83" s="21">
        <v>45029</v>
      </c>
      <c r="HR83" s="21" t="str">
        <f>IF(R83="","",IF(Tabla1[[#This Row],[ALARMA FACTORES DE RIESGO COMPLICACIONES HIPERTENSIVAS3]]="SIN ANTECEDENTES DE RIESGO","No Aplica para suministro de ASA",IF(AND(Tabla1[[#This Row],[FECHA INICIO DE SUMINISTRO DE ASA]]&gt;0,RV83&lt;12),"Inicia ASA ANTES de Sem 12",IF(AND(RV83&gt;11,RV83&lt;17,OR(HK83="RIESGO ALTO DE COMPLICACIONES HIPERTENSIVAS VER MANEJO GUIA SUMINISTRO ASA Y CALCIO",HK83="RIESGO MODERADO (2 O MAS CRITERIOS) VER MANEJO GUIA SUMINISTRO ASA Y CALCIO")),"Inicio oportuno de ASA",IF(AND(RV83&gt;12,OR(HK83="RIESGO ALTO DE COMPLICACIONES HIPERTENSIVAS VER MANEJO GUIA SUMINISTRO ASA Y CALCIO",HK83="RIESGO MODERADO (2 O MAS CRITERIOS) VER MANEJO GUIA SUMINISTRO ASA Y CALCIO")),"Inicio no oportuno mayor a 16 semanas",IF(AND(BU83&lt;12,OR(HK83="RIESGO ALTO DE COMPLICACIONES HIPERTENSIVAS VER MANEJO GUIA SUMINISTRO ASA Y CALCIO",HK83="RIESGO MODERADO (2 O MAS CRITERIOS) VER MANEJO GUIA SUMINISTRO ASA Y CALCIO")),"Pendiente Inicio de ASA a la semana 12",IF(AND(BU83&gt;11,BU83&lt;17,OR(HK83="RIESGO ALTO DE COMPLICACIONES HIPERTENSIVAS VER MANEJO GUIA SUMINISTRO ASA Y CALCIO",HK83="RIESGO MODERADO (2 O MAS CRITERIOS) VER MANEJO GUIA SUMINISTRO ASA Y CALCIO")),"Iniciar de inmediato ASA",IF(AND(BU83&gt;16,OR(HK83="RIESGO ALTO DE COMPLICACIONES HIPERTENSIVAS VER MANEJO GUIA SUMINISTRO ASA Y CALCIO",HK83="RIESGO MODERADO (2 O MAS CRITERIOS) VER MANEJO GUIA SUMINISTRO ASA Y CALCIO")),"Pierde Oportunidad, Inicio tardío de ASA","XXXXX"))))))))</f>
        <v>No Aplica para suministro de ASA</v>
      </c>
      <c r="HS83" s="22">
        <v>45029</v>
      </c>
      <c r="HT83" s="22" t="s">
        <v>1532</v>
      </c>
      <c r="HU83" s="22">
        <v>44960</v>
      </c>
      <c r="HV83" s="22" t="s">
        <v>1523</v>
      </c>
      <c r="HW83" s="22"/>
      <c r="HX83" s="22"/>
      <c r="HY83" s="22">
        <v>44960</v>
      </c>
      <c r="HZ83" s="28">
        <f t="shared" si="293"/>
        <v>14.142857142857142</v>
      </c>
      <c r="IA83" s="26"/>
      <c r="IB83" s="26"/>
      <c r="IC83" s="111">
        <v>44960</v>
      </c>
      <c r="ID83" s="22"/>
      <c r="IE83" s="22" t="str">
        <f t="shared" ca="1" si="294"/>
        <v>SALE SIN VACUNA</v>
      </c>
      <c r="IF83" s="22"/>
      <c r="IG83" s="22">
        <f t="shared" si="295"/>
        <v>45141</v>
      </c>
      <c r="IH83" s="29">
        <f t="shared" ca="1" si="296"/>
        <v>-91</v>
      </c>
      <c r="II83" s="22" t="str">
        <f t="shared" ca="1" si="297"/>
        <v>POSIBLEMENTE NACIO</v>
      </c>
      <c r="IJ83" s="22"/>
      <c r="IK83" s="21" t="s">
        <v>1652</v>
      </c>
      <c r="IL83" s="21"/>
      <c r="IM83" s="34"/>
      <c r="IN83" s="349">
        <v>45141</v>
      </c>
      <c r="IO83" s="21" t="s">
        <v>1186</v>
      </c>
      <c r="IP83" s="29">
        <f t="shared" si="436"/>
        <v>40</v>
      </c>
      <c r="IQ83" s="35" t="s">
        <v>1650</v>
      </c>
      <c r="IR83" s="21" t="s">
        <v>1651</v>
      </c>
      <c r="IS83" s="21" t="s">
        <v>1646</v>
      </c>
      <c r="IT83" s="21" t="s">
        <v>1642</v>
      </c>
      <c r="IU83" s="21"/>
      <c r="IV83" s="21"/>
      <c r="IW83" s="21"/>
      <c r="IX83" s="21"/>
      <c r="IY83" s="21"/>
      <c r="IZ83" s="21"/>
      <c r="JA83" s="21"/>
      <c r="JB83" s="30">
        <v>1</v>
      </c>
      <c r="JC83" s="21" t="s">
        <v>1647</v>
      </c>
      <c r="JD83" s="36">
        <v>3555</v>
      </c>
      <c r="JE83" s="21" t="str">
        <f t="shared" si="447"/>
        <v>PESO ADECUADO EDAD GESTACIONAL</v>
      </c>
      <c r="JF83" s="30"/>
      <c r="JG83" s="21"/>
      <c r="JH83" s="21"/>
      <c r="JI83" s="21" t="s">
        <v>854</v>
      </c>
      <c r="JJ83" s="30" t="s">
        <v>866</v>
      </c>
      <c r="JK83" s="22"/>
      <c r="JL83" s="22"/>
      <c r="JM83" s="21"/>
      <c r="JN83" s="36"/>
      <c r="JO83" s="21" t="str">
        <f t="shared" si="448"/>
        <v/>
      </c>
      <c r="JP83" s="22"/>
      <c r="JQ83" s="21"/>
      <c r="JR83" s="21"/>
      <c r="JS83" s="21"/>
      <c r="JT83" s="30"/>
      <c r="JU83" s="22"/>
      <c r="JV83" s="22"/>
      <c r="JW83" s="33"/>
      <c r="JX83" s="28" t="str">
        <f t="shared" si="449"/>
        <v>INASISTENTE</v>
      </c>
      <c r="JY83" s="33"/>
      <c r="JZ83" s="28" t="str">
        <f t="shared" si="450"/>
        <v>INASISTENTE</v>
      </c>
      <c r="KA83" s="21"/>
      <c r="KB83" s="21"/>
      <c r="KC83" s="21"/>
      <c r="KD83" s="37"/>
      <c r="KE83" s="28"/>
      <c r="KF83" s="28"/>
      <c r="KG83" s="28"/>
      <c r="KH83" s="39"/>
      <c r="KI83" s="39"/>
      <c r="KJ83" s="66"/>
      <c r="KK83" s="39"/>
      <c r="KL83" s="39"/>
      <c r="KM83" s="66"/>
      <c r="KN83" s="39"/>
      <c r="KO83" s="39"/>
      <c r="KP83" s="39"/>
      <c r="KQ83" s="39"/>
      <c r="KR83" s="39"/>
      <c r="KS83" s="39"/>
      <c r="KT83" s="39"/>
      <c r="KU83" s="38"/>
      <c r="KV83" s="38"/>
      <c r="KW83" s="38"/>
      <c r="KX83" s="38"/>
      <c r="KY83" s="38"/>
      <c r="KZ83" s="38"/>
      <c r="LA83" s="38"/>
      <c r="LB83" s="38"/>
      <c r="LC83" s="38"/>
      <c r="LD83" s="38"/>
      <c r="LE83" s="38"/>
      <c r="LF83" s="38"/>
      <c r="LG83" s="38"/>
      <c r="LH83" s="38"/>
      <c r="LI83" s="38"/>
      <c r="LJ83" s="38"/>
      <c r="LK83" s="38"/>
      <c r="LL83" s="38"/>
      <c r="LM83" s="38"/>
      <c r="LN83" s="38"/>
      <c r="LO83" s="38"/>
      <c r="LP83" s="38"/>
      <c r="LQ83" s="38"/>
      <c r="LR83" s="38"/>
      <c r="LS83" s="38"/>
      <c r="LT83" s="38"/>
      <c r="LU83" s="38"/>
      <c r="LV83" s="38"/>
      <c r="LW83" s="38"/>
      <c r="LX83" s="38"/>
      <c r="LY83" s="38"/>
      <c r="LZ83" s="38"/>
      <c r="MA83" s="38"/>
      <c r="MB83" s="38"/>
      <c r="MC83" s="38"/>
      <c r="MD83" s="38"/>
      <c r="ME83" s="38"/>
      <c r="MF83" s="38"/>
      <c r="MG83" s="38"/>
      <c r="MH83" s="43">
        <f t="shared" si="303"/>
        <v>0</v>
      </c>
      <c r="MI83" s="43" t="str">
        <f t="shared" si="304"/>
        <v/>
      </c>
      <c r="MJ83" s="43" t="str">
        <f t="shared" si="305"/>
        <v/>
      </c>
      <c r="MK83" s="43">
        <f t="shared" si="306"/>
        <v>0</v>
      </c>
      <c r="ML8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83" s="43">
        <f t="shared" si="307"/>
        <v>13.857142857142858</v>
      </c>
      <c r="MN83" s="43">
        <f t="shared" si="308"/>
        <v>2</v>
      </c>
      <c r="MO83" s="43">
        <f t="shared" si="309"/>
        <v>2023</v>
      </c>
      <c r="MP83" s="43" t="str">
        <f t="shared" si="310"/>
        <v>I TRIMESTRE AÑO</v>
      </c>
      <c r="MQ83" s="43">
        <f t="shared" si="311"/>
        <v>22.377354358300479</v>
      </c>
      <c r="MR83" s="43">
        <f t="shared" si="312"/>
        <v>0</v>
      </c>
      <c r="MS83" s="43" t="str">
        <f t="shared" si="313"/>
        <v xml:space="preserve"> DE 20 A 24 AÑOS</v>
      </c>
      <c r="MT83" s="43">
        <f t="shared" si="314"/>
        <v>0</v>
      </c>
      <c r="MU83" s="43">
        <f t="shared" si="315"/>
        <v>0</v>
      </c>
      <c r="MV83" s="43">
        <f t="shared" si="316"/>
        <v>0</v>
      </c>
      <c r="MW83" s="43">
        <f t="shared" si="317"/>
        <v>0</v>
      </c>
      <c r="MX83" s="43" t="str">
        <f t="shared" si="318"/>
        <v/>
      </c>
      <c r="MY83" s="43" t="str">
        <f t="shared" ca="1" si="451"/>
        <v/>
      </c>
      <c r="MZ83" s="43" t="str">
        <f t="shared" si="319"/>
        <v/>
      </c>
      <c r="NA83" s="43" t="str">
        <f t="shared" si="320"/>
        <v/>
      </c>
      <c r="NB83" s="43" t="str">
        <f t="shared" si="321"/>
        <v/>
      </c>
      <c r="NC83" s="43" t="str">
        <f t="shared" si="322"/>
        <v/>
      </c>
      <c r="ND83" s="43">
        <f t="shared" ca="1" si="323"/>
        <v>0</v>
      </c>
      <c r="NE83" s="43">
        <f>IF(OR(O83&gt;0,R83&gt;0),SUM(COUNTIF(Tabla1[[#This Row],[AÑOS AL INICIO5 CPN]],"&gt;=40"),COUNTIF(AS83,"0"),COUNTIF(AR83,"SI"),COUNTIF(CC83,"SI"),COUNTIF(BQ83,"&gt;119"),COUNTIF(CI83,"&gt;=35")),"")</f>
        <v>0</v>
      </c>
      <c r="NF83" s="43" t="str">
        <f t="shared" si="324"/>
        <v/>
      </c>
      <c r="NG83" s="43">
        <f t="shared" si="325"/>
        <v>0</v>
      </c>
      <c r="NH83" s="43">
        <f t="shared" si="326"/>
        <v>98.7</v>
      </c>
      <c r="NI83"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CPN",P83="NO"),"Z",IF(AND(Tabla1[[#This Row],[CITA PROXIMO CONTROL]]="CITA MANUAL",Tabla1[[#This Row],[GESTANTES ACTUALES]]="ACTIVA INGRESO A CPN"),"W",IF(AND(Tabla1[[#This Row],[GESTANTES ACTUALES]]="SALIO PROGRAMA",IN83=""),"S",IF(AND(Tabla1[[#This Row],[CITA PROXIMO CONTROL]]&gt;0,IN83=""),(Tabla1[[#This Row],[CITA PROXIMO CONTROL]]-TODAY()),"SD"))))))))</f>
        <v>SD</v>
      </c>
      <c r="NJ83" s="43">
        <f>MONTH(Tabla1[[#This Row],[FECHA DE SALIDA  DEL PROGRAMA]])</f>
        <v>8</v>
      </c>
      <c r="NK83" s="43">
        <f>YEAR(Tabla1[[#This Row],[FECHA DE SALIDA  DEL PROGRAMA]])</f>
        <v>2023</v>
      </c>
      <c r="NL83" s="43" t="str">
        <f t="shared" si="327"/>
        <v>X</v>
      </c>
      <c r="NM83" s="43" t="str">
        <f t="shared" si="251"/>
        <v>NO</v>
      </c>
      <c r="NN83" s="43" t="str">
        <f ca="1">IF(AND(O83&gt;0,R83=""),"NO CPN",IF(AND(O83="",R83=""),"",IF(AND(R83&gt;0,Tabla1[[#This Row],[SEMANAS DE GESTACION ACTUALIZADAS]]&lt;=12),"NO APLICA",IF(AND(FH83&lt;&gt;"",FN83&lt;&gt;""),"SI","NO"))))</f>
        <v>SI</v>
      </c>
      <c r="NO83" s="43" t="str">
        <f ca="1">IF(AND(O83&gt;0,R83=""),"NO CPN",IF(AND(O83="",R83=""),"",IF(AND(R83&gt;0,Tabla1[[#This Row],[SEMANAS DE GESTACION ACTUALIZADAS]]&lt;=27),"NO APLICA",IF(AND(ES83&lt;&gt;"",FQ83&lt;&gt;"",GF83&lt;&gt;""),"SI","NO"))))</f>
        <v>SI</v>
      </c>
      <c r="NP83" s="204" t="str">
        <f t="shared" si="328"/>
        <v>II TRIM</v>
      </c>
      <c r="NQ83" s="21">
        <f t="shared" si="437"/>
        <v>3</v>
      </c>
      <c r="NR83" s="21">
        <f t="shared" si="452"/>
        <v>2</v>
      </c>
      <c r="NS83" s="205">
        <f t="shared" ca="1" si="329"/>
        <v>2</v>
      </c>
      <c r="NT83" s="21">
        <f t="shared" ca="1" si="330"/>
        <v>2</v>
      </c>
      <c r="NU83" s="21" t="str">
        <f t="shared" ca="1" si="331"/>
        <v>COMPLETO</v>
      </c>
      <c r="NV83" s="21" t="str">
        <f t="shared" ca="1" si="332"/>
        <v>COMPLETO</v>
      </c>
      <c r="NW83" s="206" t="str">
        <f>IF(AND(O83="",R83=""),"",IF(OR(AND(Tabla1[[#This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83" s="207" t="str">
        <f t="shared" ca="1" si="333"/>
        <v>SIN VACUNAR</v>
      </c>
      <c r="NY83" s="43">
        <f>ROW(Tabla1[[#This Row],['# DE TAMIZAJES SIFILIS TOMADOS ]])</f>
        <v>83</v>
      </c>
      <c r="NZ83" s="43">
        <f t="shared" si="334"/>
        <v>13</v>
      </c>
      <c r="OA83" s="43" t="str">
        <f t="shared" si="335"/>
        <v/>
      </c>
      <c r="OB83" s="43" t="str">
        <f t="shared" si="336"/>
        <v/>
      </c>
      <c r="OC83" s="43" t="str">
        <f t="shared" si="337"/>
        <v/>
      </c>
      <c r="OD83" s="43" t="str">
        <f t="shared" si="338"/>
        <v/>
      </c>
      <c r="OE83" s="43" t="str">
        <f t="shared" si="339"/>
        <v>SOBREPESO</v>
      </c>
      <c r="OF83" s="43" t="str">
        <f t="shared" si="340"/>
        <v/>
      </c>
      <c r="OG83" s="43" t="str">
        <f t="shared" si="341"/>
        <v/>
      </c>
      <c r="OH83" s="43" t="str">
        <f t="shared" si="342"/>
        <v/>
      </c>
      <c r="OI83" s="43" t="str">
        <f t="shared" si="343"/>
        <v/>
      </c>
      <c r="OJ83" s="43" t="str">
        <f t="shared" si="344"/>
        <v/>
      </c>
      <c r="OK83" s="43" t="str">
        <f t="shared" si="345"/>
        <v/>
      </c>
      <c r="OL83" s="43" t="str">
        <f t="shared" si="346"/>
        <v/>
      </c>
      <c r="OM83" s="43" t="str">
        <f t="shared" si="347"/>
        <v/>
      </c>
      <c r="ON83" s="43" t="str">
        <f t="shared" si="348"/>
        <v/>
      </c>
      <c r="OO83" s="43" t="str">
        <f t="shared" si="349"/>
        <v/>
      </c>
      <c r="OP83" s="43" t="str">
        <f t="shared" si="350"/>
        <v/>
      </c>
      <c r="OQ83" s="43" t="str">
        <f t="shared" si="351"/>
        <v/>
      </c>
      <c r="OR83" s="43" t="str">
        <f t="shared" si="352"/>
        <v/>
      </c>
      <c r="OS83" s="43" t="str">
        <f t="shared" si="353"/>
        <v/>
      </c>
      <c r="OT83" s="43" t="str">
        <f t="shared" si="354"/>
        <v/>
      </c>
      <c r="OU83" s="43" t="str">
        <f t="shared" si="355"/>
        <v/>
      </c>
      <c r="OV83" s="110" t="str">
        <f t="shared" si="356"/>
        <v/>
      </c>
      <c r="OW83" s="43" t="str">
        <f t="shared" si="357"/>
        <v/>
      </c>
      <c r="OX83" s="43" t="str">
        <f t="shared" si="358"/>
        <v/>
      </c>
      <c r="OY83" s="43" t="str">
        <f t="shared" si="359"/>
        <v/>
      </c>
      <c r="OZ83" s="43" t="str">
        <f t="shared" si="360"/>
        <v/>
      </c>
      <c r="PA83" s="43" t="str">
        <f t="shared" si="361"/>
        <v/>
      </c>
      <c r="PB83" s="43" t="str">
        <f t="shared" si="362"/>
        <v/>
      </c>
      <c r="PC83" s="43" t="str">
        <f t="shared" si="363"/>
        <v/>
      </c>
      <c r="PD83" s="43" t="str">
        <f t="shared" si="364"/>
        <v/>
      </c>
      <c r="PE83" s="43" t="str">
        <f t="shared" si="365"/>
        <v/>
      </c>
      <c r="PF83" s="43" t="str">
        <f t="shared" si="366"/>
        <v/>
      </c>
      <c r="PG83" s="43" t="str">
        <f t="shared" si="367"/>
        <v/>
      </c>
      <c r="PH83" s="43" t="str">
        <f t="shared" si="368"/>
        <v/>
      </c>
      <c r="PI83" s="43">
        <f t="shared" si="369"/>
        <v>39</v>
      </c>
      <c r="PJ83" s="43" t="str">
        <f t="shared" si="370"/>
        <v/>
      </c>
      <c r="PK83" s="43" t="str">
        <f t="shared" si="371"/>
        <v/>
      </c>
      <c r="PL83" s="43" t="str">
        <f t="shared" si="372"/>
        <v/>
      </c>
      <c r="PM83" s="43" t="str">
        <f t="shared" si="373"/>
        <v/>
      </c>
      <c r="PN83" s="43" t="str">
        <f t="shared" si="374"/>
        <v/>
      </c>
      <c r="PO83" s="43" t="str">
        <f t="shared" si="375"/>
        <v/>
      </c>
      <c r="PP83" s="43" t="str">
        <f t="shared" si="376"/>
        <v/>
      </c>
      <c r="PQ83" s="43" t="str">
        <f t="shared" si="377"/>
        <v/>
      </c>
      <c r="PR83" s="43" t="str">
        <f t="shared" si="378"/>
        <v/>
      </c>
      <c r="PS83" s="43" t="str">
        <f t="shared" si="379"/>
        <v/>
      </c>
      <c r="PT83" s="43" t="str">
        <f t="shared" si="380"/>
        <v/>
      </c>
      <c r="PU83" s="43" t="str">
        <f t="shared" si="381"/>
        <v/>
      </c>
      <c r="PV83" s="43" t="str">
        <f t="shared" si="382"/>
        <v/>
      </c>
      <c r="PW83" s="43" t="str">
        <f t="shared" si="383"/>
        <v/>
      </c>
      <c r="PX83" s="43" t="str">
        <f t="shared" si="384"/>
        <v/>
      </c>
      <c r="PY83" s="43" t="str">
        <f t="shared" si="385"/>
        <v/>
      </c>
      <c r="PZ83" s="43" t="str">
        <f t="shared" si="386"/>
        <v/>
      </c>
      <c r="QA83" s="43" t="str">
        <f t="shared" si="387"/>
        <v/>
      </c>
      <c r="QB83" s="43" t="str">
        <f t="shared" si="388"/>
        <v/>
      </c>
      <c r="QC83" s="43" t="str">
        <f t="shared" si="389"/>
        <v/>
      </c>
      <c r="QD83" s="43" t="str">
        <f t="shared" si="390"/>
        <v/>
      </c>
      <c r="QE83" s="43" t="str">
        <f t="shared" si="391"/>
        <v/>
      </c>
      <c r="QF83" s="43" t="str">
        <f t="shared" si="392"/>
        <v/>
      </c>
      <c r="QG83" s="43" t="str">
        <f t="shared" si="393"/>
        <v/>
      </c>
      <c r="QH83" s="43" t="str">
        <f t="shared" si="394"/>
        <v/>
      </c>
      <c r="QI83" s="43" t="str">
        <f t="shared" si="395"/>
        <v/>
      </c>
      <c r="QJ83" s="43" t="str">
        <f t="shared" si="396"/>
        <v/>
      </c>
      <c r="QK83" s="43" t="str">
        <f t="shared" si="397"/>
        <v/>
      </c>
      <c r="QL83" s="43" t="str">
        <f t="shared" si="398"/>
        <v/>
      </c>
      <c r="QM83" s="43" t="str">
        <f t="shared" si="399"/>
        <v/>
      </c>
      <c r="QN83" s="43" t="str">
        <f t="shared" si="400"/>
        <v>OBESIDAD</v>
      </c>
      <c r="QO83" s="43" t="str">
        <f t="shared" si="401"/>
        <v/>
      </c>
      <c r="QP83" s="43" t="str">
        <f t="shared" si="402"/>
        <v/>
      </c>
      <c r="QQ83" s="43" t="str">
        <f t="shared" si="403"/>
        <v/>
      </c>
      <c r="QR83" s="43">
        <f t="shared" si="433"/>
        <v>39</v>
      </c>
      <c r="QS83" s="43"/>
      <c r="QT83" s="21" t="str">
        <f t="shared" si="404"/>
        <v/>
      </c>
      <c r="QU83" s="21" t="str">
        <f t="shared" si="405"/>
        <v/>
      </c>
      <c r="QV83" s="21" t="str">
        <f t="shared" si="406"/>
        <v/>
      </c>
      <c r="QW83" s="21" t="str">
        <f t="shared" si="407"/>
        <v/>
      </c>
      <c r="QX83" s="21" t="str">
        <f t="shared" si="408"/>
        <v/>
      </c>
      <c r="QY83" s="21" t="str">
        <f t="shared" si="409"/>
        <v/>
      </c>
      <c r="QZ83" s="21" t="str">
        <f t="shared" si="410"/>
        <v/>
      </c>
      <c r="RA83" s="21" t="str">
        <f t="shared" si="411"/>
        <v/>
      </c>
      <c r="RB83" s="21" t="str">
        <f t="shared" si="412"/>
        <v/>
      </c>
      <c r="RC83" s="21" t="str">
        <f t="shared" si="413"/>
        <v/>
      </c>
      <c r="RD83" s="21" t="str">
        <f t="shared" si="414"/>
        <v/>
      </c>
      <c r="RE83" s="21" t="str">
        <f t="shared" si="415"/>
        <v/>
      </c>
      <c r="RF83" s="21" t="str">
        <f t="shared" si="416"/>
        <v/>
      </c>
      <c r="RG83" s="21" t="str">
        <f t="shared" si="417"/>
        <v/>
      </c>
      <c r="RH83" s="21" t="str">
        <f t="shared" si="418"/>
        <v/>
      </c>
      <c r="RI83" s="21" t="str">
        <f t="shared" si="419"/>
        <v/>
      </c>
      <c r="RJ83" s="21" t="str">
        <f t="shared" si="420"/>
        <v/>
      </c>
      <c r="RK83" s="21" t="str">
        <f t="shared" si="421"/>
        <v/>
      </c>
      <c r="RL83" s="21" t="str">
        <f t="shared" si="422"/>
        <v/>
      </c>
      <c r="RM83" s="21" t="str">
        <f t="shared" si="423"/>
        <v/>
      </c>
      <c r="RN83" s="21" t="str">
        <f t="shared" si="424"/>
        <v/>
      </c>
      <c r="RO83" s="21" t="str">
        <f t="shared" si="425"/>
        <v/>
      </c>
      <c r="RP83" s="21" t="str">
        <f t="shared" si="426"/>
        <v/>
      </c>
      <c r="RQ83" s="21" t="str">
        <f t="shared" si="427"/>
        <v/>
      </c>
      <c r="RR83" s="21" t="str">
        <f t="shared" si="428"/>
        <v/>
      </c>
      <c r="RS83" s="21" t="str">
        <f t="shared" si="429"/>
        <v/>
      </c>
      <c r="RT83" s="21" t="str">
        <f t="shared" si="430"/>
        <v>ALTO PARA EDAD GESTACIONAL</v>
      </c>
      <c r="RU83" s="21" t="str">
        <f t="shared" si="431"/>
        <v/>
      </c>
      <c r="RV83" s="21">
        <f t="shared" si="432"/>
        <v>24</v>
      </c>
      <c r="RW83" s="284">
        <f>IF(OR(Tabla1[[#This Row],[FUM FORMULA CONFIABLE]]="",Tabla1[[#This Row],[FUM FORMULA CONFIABLE]]="SD"),"",IF(Tabla1[[#This Row],[FUM FORMULA CONFIABLE]]="CORREGIDA",Tabla1[[#This Row],[FUM X ECO 1]],Tabla1[[#This Row],[FUM x AMENORREA]]))</f>
        <v>44861</v>
      </c>
      <c r="RX83" s="21">
        <f>IF(AND(Tabla1[[#This Row],[FUM X ECO 1]]="",Tabla1[[#This Row],[FUM x AMENORREA]]=""),"",IF(AND(Tabla1[[#This Row],[FUM X ECO 1]]="",Tabla1[[#This Row],[FUM x AMENORREA]]&lt;&gt;""),"X",SUM(Tabla1[[#This Row],[FUM X ECO 1]]-Tabla1[[#This Row],[FUM x AMENORREA]])))</f>
        <v>0.30000000000291038</v>
      </c>
      <c r="RY83" s="21">
        <f t="shared" si="434"/>
        <v>0</v>
      </c>
    </row>
    <row r="84" spans="1:493" ht="45" customHeight="1" x14ac:dyDescent="0.25">
      <c r="A84" s="109"/>
      <c r="B84" s="43"/>
      <c r="C84" s="43" t="s">
        <v>845</v>
      </c>
      <c r="D84" s="124"/>
      <c r="E84" s="43" t="s">
        <v>857</v>
      </c>
      <c r="F84" s="43" t="s">
        <v>914</v>
      </c>
      <c r="G84" s="43" t="s">
        <v>1252</v>
      </c>
      <c r="H84" s="43" t="s">
        <v>1253</v>
      </c>
      <c r="I84" s="109" t="s">
        <v>851</v>
      </c>
      <c r="J84" s="110">
        <v>1002847463</v>
      </c>
      <c r="K84" s="43" t="s">
        <v>852</v>
      </c>
      <c r="L84" s="175" t="s">
        <v>853</v>
      </c>
      <c r="M84" s="22">
        <v>37200</v>
      </c>
      <c r="N84" s="213">
        <f t="shared" ca="1" si="252"/>
        <v>22.005479452054793</v>
      </c>
      <c r="O84" s="22">
        <v>44958</v>
      </c>
      <c r="P84" s="214" t="str">
        <f t="shared" si="438"/>
        <v>SI</v>
      </c>
      <c r="Q84" s="26" t="s">
        <v>855</v>
      </c>
      <c r="R84" s="22">
        <v>44958</v>
      </c>
      <c r="S84" s="21" t="s">
        <v>856</v>
      </c>
      <c r="T84" s="24" t="s">
        <v>690</v>
      </c>
      <c r="U84" s="21" t="s">
        <v>857</v>
      </c>
      <c r="V84" s="21" t="s">
        <v>858</v>
      </c>
      <c r="W84" s="21" t="s">
        <v>1254</v>
      </c>
      <c r="X84" s="21" t="s">
        <v>1254</v>
      </c>
      <c r="Y84" s="21" t="s">
        <v>859</v>
      </c>
      <c r="Z84" s="21">
        <v>3106846990</v>
      </c>
      <c r="AA84" s="21" t="s">
        <v>860</v>
      </c>
      <c r="AB84" s="27" t="s">
        <v>861</v>
      </c>
      <c r="AC84" s="26" t="s">
        <v>897</v>
      </c>
      <c r="AD84" s="38" t="s">
        <v>1251</v>
      </c>
      <c r="AE84" s="26" t="s">
        <v>854</v>
      </c>
      <c r="AF84" s="26" t="s">
        <v>854</v>
      </c>
      <c r="AG84" s="23" t="s">
        <v>864</v>
      </c>
      <c r="AH84" s="23" t="s">
        <v>864</v>
      </c>
      <c r="AI84" s="24" t="s">
        <v>863</v>
      </c>
      <c r="AJ84" s="23" t="s">
        <v>864</v>
      </c>
      <c r="AK84" s="220" t="str">
        <f>IF(AND(AD84="",AE84="",AF84="",AG84="",AH84="",AI84="",AJ84=""),"",IF(OR(Tabla1[[#This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EVALUACIÓN",IF(AND(O84="",R84=""),"",IF(AND(OR(O84&gt;0,R84&gt;0),NG84&gt;=0,NG84&lt;2),"SIN RIESGO",IF(AND(OR(O84&gt;0,R84&gt;0),NG84&gt;=2),"CON RIESGO","ASD")))))</f>
        <v>SIN RIESGO</v>
      </c>
      <c r="AL84" s="23" t="s">
        <v>864</v>
      </c>
      <c r="AM84" s="26" t="s">
        <v>864</v>
      </c>
      <c r="AN84" s="26" t="s">
        <v>864</v>
      </c>
      <c r="AO84" s="26" t="s">
        <v>864</v>
      </c>
      <c r="AP84" s="26" t="s">
        <v>864</v>
      </c>
      <c r="AQ84" s="26" t="s">
        <v>864</v>
      </c>
      <c r="AR84" s="26" t="s">
        <v>864</v>
      </c>
      <c r="AS84" s="21">
        <v>1</v>
      </c>
      <c r="AT84" s="21">
        <v>1</v>
      </c>
      <c r="AU84" s="21">
        <v>0</v>
      </c>
      <c r="AV84" s="26" t="s">
        <v>864</v>
      </c>
      <c r="AW84" s="21">
        <v>0</v>
      </c>
      <c r="AX84" s="26" t="s">
        <v>864</v>
      </c>
      <c r="AY84" s="26" t="s">
        <v>864</v>
      </c>
      <c r="AZ84" s="26" t="s">
        <v>864</v>
      </c>
      <c r="BA84" s="26" t="s">
        <v>864</v>
      </c>
      <c r="BB84" s="26" t="s">
        <v>864</v>
      </c>
      <c r="BC84" s="26" t="s">
        <v>864</v>
      </c>
      <c r="BD84" s="26" t="s">
        <v>864</v>
      </c>
      <c r="BE84" s="26" t="s">
        <v>864</v>
      </c>
      <c r="BF84" s="26" t="s">
        <v>864</v>
      </c>
      <c r="BG84" s="26" t="s">
        <v>864</v>
      </c>
      <c r="BH84" s="26" t="s">
        <v>864</v>
      </c>
      <c r="BI84" s="26" t="s">
        <v>864</v>
      </c>
      <c r="BJ84" s="26"/>
      <c r="BK84" s="26" t="s">
        <v>864</v>
      </c>
      <c r="BL84" s="26" t="s">
        <v>864</v>
      </c>
      <c r="BM84" s="26" t="s">
        <v>864</v>
      </c>
      <c r="BN84" s="22">
        <v>44014</v>
      </c>
      <c r="BO84" s="22">
        <v>44813</v>
      </c>
      <c r="BP84" s="21" t="s">
        <v>854</v>
      </c>
      <c r="BQ84" s="222">
        <f t="shared" si="254"/>
        <v>26.633333333333333</v>
      </c>
      <c r="BR84" s="223">
        <f t="shared" si="255"/>
        <v>44813</v>
      </c>
      <c r="BS84" s="224">
        <f t="shared" si="256"/>
        <v>20.714285714285715</v>
      </c>
      <c r="BT84" s="216" t="str">
        <f t="shared" si="257"/>
        <v>II TRIM</v>
      </c>
      <c r="BU84" s="214" t="str">
        <f t="shared" ca="1" si="258"/>
        <v/>
      </c>
      <c r="BV84" s="25"/>
      <c r="BW84" s="22">
        <v>44960</v>
      </c>
      <c r="BX84" s="28">
        <v>21</v>
      </c>
      <c r="BY84" s="28"/>
      <c r="BZ84" s="22">
        <v>45051</v>
      </c>
      <c r="CA84" s="21">
        <v>32.1</v>
      </c>
      <c r="CB84" s="26" t="s">
        <v>864</v>
      </c>
      <c r="CC84" s="26" t="s">
        <v>864</v>
      </c>
      <c r="CD84" s="26" t="s">
        <v>878</v>
      </c>
      <c r="CE84" s="26" t="s">
        <v>864</v>
      </c>
      <c r="CF84" s="22" t="s">
        <v>1517</v>
      </c>
      <c r="CG84" s="21">
        <v>1.54</v>
      </c>
      <c r="CH84" s="21">
        <v>59</v>
      </c>
      <c r="CI84" s="214">
        <f t="shared" si="259"/>
        <v>24.877719682914488</v>
      </c>
      <c r="CJ84" s="225" t="e">
        <f>IF(AND(CI84&lt;10,CH84="SD"),"SIN DATO PESO PREGESTACION O I TRIM",IF(AND(OR(R84&gt;0,O84&gt;0),CI84="X"),"INGRESAR DATO DE PESO",IF(CI84="SD","INGRESAR DATO DE TALLA Y PESO",IF(AND(OR(Tabla1[[#This Row],[MOMENTO EN QUE SE REALIZA EL PESO AL INGRESO A CPN]]="PREGESTACIÓN",NZ84="Menor"),CI84&lt;18.5),"BAJO PESO",IF(AND(OR(Tabla1[[#This Row],[MOMENTO EN QUE SE REALIZA EL PESO AL INGRESO A CPN]]="PREGESTACIÓN",NZ84="Menor"),CI84&lt;25),"NORMAL",IF(AND(OR(Tabla1[[#This Row],[MOMENTO EN QUE SE REALIZA EL PESO AL INGRESO A CPN]]="PREGESTACIÓN",NZ84="Menor"),CI84&lt;30),"SOBREPESO",IF(AND(OR(Tabla1[[#This Row],[MOMENTO EN QUE SE REALIZA EL PESO AL INGRESO A CPN]]="PREGESTACIÓN",NZ84="Menor"),CI84&gt;=30,CI84&lt;50),"OBESIDAD",IF(AND(BS84&gt;0,Tabla1[[#This Row],[MOMENTO EN QUE SE REALIZA EL PESO AL INGRESO A CPN]]="GESTACIÓN"),HLOOKUP(NZ84,$OA$2:PH84,NY84),""))))))))</f>
        <v>#REF!</v>
      </c>
      <c r="CK84" s="212">
        <f t="shared" si="260"/>
        <v>45050</v>
      </c>
      <c r="CL84" s="21">
        <v>59.7</v>
      </c>
      <c r="CM84" s="214">
        <f t="shared" si="261"/>
        <v>25.172879068982969</v>
      </c>
      <c r="CN84" s="216">
        <f t="shared" si="262"/>
        <v>33</v>
      </c>
      <c r="CO84" s="216" t="e">
        <f>IF(PI84="","",IF(PI84&gt;0,HLOOKUP(PI84,$PJ$2:QQ84,NY84),""))</f>
        <v>#REF!</v>
      </c>
      <c r="CP84" s="21">
        <v>28</v>
      </c>
      <c r="CQ84" s="216" t="e">
        <f>IF(QR84="Menor","NO APLICA-MENOR 13 SEM",IF(AND(CC84="SI",CN84&gt;23),"NO APLICA- GEMELAR",IF(QR84="","",IF(QR84&gt;0,HLOOKUP(QR84,$QS$2:RU84,NY84),""))))</f>
        <v>#REF!</v>
      </c>
      <c r="CR84" s="21"/>
      <c r="CS84" s="21"/>
      <c r="CT84" s="217" t="str">
        <f>IF(R84="","",IF(AND(BS84&gt;1,BS84&lt;12,Tabla1[[#This Row],[T.A. SISTOLICA - ANTES DE SEMANA 12]]="",Tabla1[[#This Row],[T.A. DIASTOLICA - ANTES DE SEMANA 12]]=""),"REGISTRE DATO TA ANTES SEMANA 12",IF(AND(BS84&gt;11,BS84&lt;43,Tabla1[[#This Row],[T.A. SISTOLICA - ANTES DE SEMANA 12]]="",Tabla1[[#This Row],[T.A. DIASTOLICA - ANTES DE SEMANA 12]]=""),"NO APLICA REGISTRO TA-INGRESO TARDIO",IF(AND(OR(O84&gt;0,R84&gt;0),OR(CR84&gt;=140,CS84&gt;=90)),"DEFINIR ESTADIO HTA",IF(AND(OR(O84&gt;0,R84&gt;0),AND(CR84&gt;120,CR84&lt;=139)),"PRE HTA SEGUIMIENTO",IF(AND(OR(O84&gt;0,R84&gt;0),AND(CS84&gt;80,CS84&lt;=89)),"PRE HTA SEGUIMIENTO",IF(AND(OR(O84&gt;0,R84&gt;0),AND(CR84&gt;=80,CR84&lt;=120)),"APARENTEMENTE NORMAL",IF(AND(OR(O84&gt;0,R84&gt;0),AND(CS84&gt;=50,CS84&lt;=80)),"APARENTEMENTE NORMAL",IF(AND(OR(O84&gt;0,R84&gt;0),AND(CR84&gt;1,CR84&lt;=70),AND(CS84&gt;1,CS84&lt;=40)),"HIPOTENSIÓN","")))))))))</f>
        <v>NO APLICA REGISTRO TA-INGRESO TARDIO</v>
      </c>
      <c r="CU84" s="21">
        <v>90</v>
      </c>
      <c r="CV84" s="21">
        <v>60</v>
      </c>
      <c r="CW84" s="217" t="str">
        <f ca="1">IF(R84="","",IF(AND(CN84&gt;19,CN84&lt;27,Tabla1[[#This Row],[T.A. SISTOLICA (Entre semana 20 y 26)]]="",Tabla1[[#This Row],[T.A. DIATOLICA (Entre semana 20 y 26)]]=""),"ACUDE A CONTROL SEM 20 A 26 REGISTRE TA AHORA",IF(AND(BS84&gt;1,BS84&lt;27,BU84&gt;19,Tabla1[[#This Row],[T.A. SISTOLICA (Entre semana 20 y 26)]]="",Tabla1[[#This Row],[T.A. DIATOLICA (Entre semana 20 y 26)]]=""),"COMPLETE REGISTRO TA CONTROL SEM 20 A26 ",IF(AND(BS84&gt;26,BS84&lt;43,Tabla1[[#This Row],[T.A. SISTOLICA (Entre semana 20 y 26)]]="",Tabla1[[#This Row],[T.A. DIATOLICA (Entre semana 20 y 26)]]=""),"NO APLICA REGISTRO TA-INGRESO TARDIO",IF(AND(OR(O84&gt;0,R84&gt;0),OR(CU84&gt;=140,CV84&gt;=90)),"ALTO RIESGO PREECLAMPSIA,DEFINIR ESTADIO HTA",IF(AND(OR(O84&gt;0,R84&gt;0),AND(CU84&gt;120,CU84&lt;=139)),"PRE HTA SEGUIMIENTO,RIESGO HIPERTENSION INDUCIDA POR EL EMBARAZO",IF(AND(OR(O84&gt;0,R84&gt;0),AND(CV84&gt;80,CV84&lt;=89)),"PRE HTA SEGUIMIENTO, RIESGO HIPERTENSION INDUCIDA POR EL EMBARAZO",IF(AND(OR(O84&lt;&gt;"",R84&lt;&gt;""),CS84&lt;&gt;"",CV84&lt;&gt;"",CS84&lt;=CV84),"VIGILAR CIFRAS PRESION ARTERIAL",IF(AND(OR(O84&gt;0,R84&gt;0),AND(CU84&gt;120,CU84&lt;=139)),"PRE HTA SEGUIMIENTO",IF(AND(OR(O84&gt;0,R84&gt;0),AND(CU84&gt;1,CU84&lt;=70),AND(CV84&gt;1,CV84&lt;=40)),"HIPOTENSIÓN",IF(AND(OR(O84&lt;&gt;"",R84&lt;&gt;""),CS84&lt;&gt;"",CV84&lt;&gt;"",CS84&gt;CV84),"APARENTEMENTE NORMAL",IF(AND(OR(O84&gt;0,R84&gt;0),AND(CU84&gt;=80,CU84&lt;=120)),"APARENTEMENTE NORMAL",IF(AND(OR(O84&gt;0,R84&gt;0),AND(CV84&gt;=50,CV84&lt;=80)),"APARENTEMENTE NORMAL","")))))))))))))</f>
        <v>APARENTEMENTE NORMAL</v>
      </c>
      <c r="CX84" s="21">
        <v>90</v>
      </c>
      <c r="CY84" s="21">
        <v>60</v>
      </c>
      <c r="CZ84" s="216" t="str">
        <f t="shared" si="263"/>
        <v>APARENTEMENTE NORMAL</v>
      </c>
      <c r="DA84" s="21">
        <v>90</v>
      </c>
      <c r="DB84" s="21">
        <v>60</v>
      </c>
      <c r="DC84" s="217" t="str">
        <f t="shared" si="264"/>
        <v>APARENTEMENTE NORMAL</v>
      </c>
      <c r="DD84" s="22">
        <v>44958</v>
      </c>
      <c r="DE84" s="22">
        <v>44958</v>
      </c>
      <c r="DF84" s="22">
        <v>45001</v>
      </c>
      <c r="DG84" s="22">
        <v>45050</v>
      </c>
      <c r="DH84" s="22"/>
      <c r="DI84" s="22"/>
      <c r="DJ84" s="22"/>
      <c r="DK84" s="22"/>
      <c r="DL84" s="22"/>
      <c r="DM84" s="22"/>
      <c r="DN84" s="22"/>
      <c r="DO84" s="22"/>
      <c r="DP84" s="22"/>
      <c r="DQ84" s="22"/>
      <c r="DR84" s="28">
        <v>1</v>
      </c>
      <c r="DS84" s="22"/>
      <c r="DT84" s="22"/>
      <c r="DU84" s="216" t="str">
        <f t="shared" ca="1" si="439"/>
        <v>SALE SIN PLAN DE PARTO</v>
      </c>
      <c r="DV84" s="226" t="str">
        <f t="shared" si="440"/>
        <v>SALIO PROGRAMA</v>
      </c>
      <c r="DW84"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84" s="216" t="str">
        <f t="shared" ca="1" si="266"/>
        <v/>
      </c>
      <c r="DY84" s="212">
        <f>IF(R84="","",IF(R84&gt;0,MAX(Tabla1[[#This Row],[FECHA C2]:[FECHA C13]],Tabla1[[#This Row],[FECHA CONSULTA PRIMERA VEZ PROGRAMA CPN ]])))</f>
        <v>45050</v>
      </c>
      <c r="DZ84" s="216">
        <f t="shared" si="267"/>
        <v>33</v>
      </c>
      <c r="EA84" s="222">
        <f>IF(R84&gt;0,SUM(COUNTA(DF84:DQ84)+COUNTA(Tabla1[[#This Row],[FECHA CONSULTA PRIMERA VEZ PROGRAMA CPN ]])),"")</f>
        <v>3</v>
      </c>
      <c r="EB84" s="222" t="str">
        <f t="shared" si="268"/>
        <v>NO</v>
      </c>
      <c r="EC84" s="214">
        <f t="shared" si="269"/>
        <v>6</v>
      </c>
      <c r="ED84" s="227">
        <f t="shared" si="270"/>
        <v>0.5</v>
      </c>
      <c r="EE84" s="22">
        <v>44958</v>
      </c>
      <c r="EF84" s="22">
        <v>44958</v>
      </c>
      <c r="EG84" s="22">
        <v>44958</v>
      </c>
      <c r="EH84" s="22"/>
      <c r="EI84" s="22">
        <v>44958</v>
      </c>
      <c r="EJ84" s="22"/>
      <c r="EK84" s="22"/>
      <c r="EL84" s="21"/>
      <c r="EM84" s="21">
        <v>13.8</v>
      </c>
      <c r="EN84" s="22">
        <v>45051</v>
      </c>
      <c r="EO84" s="222">
        <f t="shared" si="271"/>
        <v>34</v>
      </c>
      <c r="EP84" s="214" t="str">
        <f t="shared" si="272"/>
        <v>NORMAL- SUMINISTRAR SULFATO FERROSO</v>
      </c>
      <c r="EQ84" s="216" t="str">
        <f t="shared" si="273"/>
        <v>III TRIM</v>
      </c>
      <c r="ER84" s="24"/>
      <c r="ES84" s="22"/>
      <c r="ET84" s="29" t="str">
        <f t="shared" ca="1" si="441"/>
        <v>SALE SIN TAMIZAJE HEMOGLOBINA SEM 28</v>
      </c>
      <c r="EU84" s="25" t="str">
        <f t="shared" si="275"/>
        <v/>
      </c>
      <c r="EV84" s="24" t="s">
        <v>866</v>
      </c>
      <c r="EW84" s="24">
        <v>44959</v>
      </c>
      <c r="EX84" s="22"/>
      <c r="EY84" s="29">
        <f t="shared" si="248"/>
        <v>20.857142857142858</v>
      </c>
      <c r="EZ84" s="25" t="str">
        <f t="shared" ca="1" si="249"/>
        <v/>
      </c>
      <c r="FA84" s="21">
        <v>78</v>
      </c>
      <c r="FB84" s="22">
        <v>44959</v>
      </c>
      <c r="FC84" s="29">
        <f t="shared" si="276"/>
        <v>20.857142857142858</v>
      </c>
      <c r="FD84" s="29">
        <v>76</v>
      </c>
      <c r="FE84" s="29">
        <v>108</v>
      </c>
      <c r="FF84" s="29">
        <v>186</v>
      </c>
      <c r="FG84" s="21" t="str">
        <f t="shared" ca="1" si="277"/>
        <v>DIABETES, REMITIR</v>
      </c>
      <c r="FH84" s="31">
        <v>44988</v>
      </c>
      <c r="FI84" s="29">
        <f t="shared" si="278"/>
        <v>25</v>
      </c>
      <c r="FJ84" s="22"/>
      <c r="FK84" s="22"/>
      <c r="FL84" s="29" t="str">
        <f t="shared" ca="1" si="279"/>
        <v>NO APLICA-INGRESO TARDIO</v>
      </c>
      <c r="FM84" s="22" t="s">
        <v>867</v>
      </c>
      <c r="FN84" s="32">
        <v>44959</v>
      </c>
      <c r="FO84" s="29">
        <f t="shared" ca="1" si="442"/>
        <v>20.857142857142858</v>
      </c>
      <c r="FP84" s="22"/>
      <c r="FQ84" s="32"/>
      <c r="FR84" s="29" t="str">
        <f t="shared" ca="1" si="443"/>
        <v>PIERDE TOMA DE TAMIZAJE</v>
      </c>
      <c r="FS84" s="22"/>
      <c r="FT84" s="32"/>
      <c r="FU84" s="29" t="str">
        <f>IF(AND(FJ84="",FM84="",FP84="",FS84=""),"",IF(OR(OR(Tabla1[[#This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84" s="28"/>
      <c r="FW84" s="22"/>
      <c r="FX84" s="29" t="str">
        <f t="shared" si="280"/>
        <v>TOMAR EXAMEN</v>
      </c>
      <c r="FY84" s="22"/>
      <c r="FZ84" s="22"/>
      <c r="GA84" s="29" t="str">
        <f t="shared" ca="1" si="250"/>
        <v>NO APLICA-INGRESO TARDIO</v>
      </c>
      <c r="GB84" s="22" t="s">
        <v>868</v>
      </c>
      <c r="GC84" s="22">
        <v>44959</v>
      </c>
      <c r="GD84" s="29">
        <f t="shared" ca="1" si="444"/>
        <v>20.857142857142858</v>
      </c>
      <c r="GE84" s="22"/>
      <c r="GF84" s="22"/>
      <c r="GG84" s="29" t="str">
        <f t="shared" ca="1" si="445"/>
        <v>PIERDE TOMA DE TAMIZAJE</v>
      </c>
      <c r="GH84" s="22"/>
      <c r="GI84" s="29"/>
      <c r="GJ84" s="22"/>
      <c r="GK84" s="22"/>
      <c r="GL84" s="22"/>
      <c r="GM84" s="22"/>
      <c r="GN84" s="28"/>
      <c r="GO84" s="22"/>
      <c r="GP84" s="29" t="str">
        <f t="shared" si="283"/>
        <v>TOMAR EXAMEN</v>
      </c>
      <c r="GQ84" s="28" t="s">
        <v>880</v>
      </c>
      <c r="GR84" s="28" t="s">
        <v>869</v>
      </c>
      <c r="GS84" s="22" t="str">
        <f t="shared" si="284"/>
        <v>SE EXCLUYE INFECCION</v>
      </c>
      <c r="GT84" s="22">
        <v>44959</v>
      </c>
      <c r="GU84" s="29">
        <f t="shared" si="285"/>
        <v>20.857142857142858</v>
      </c>
      <c r="GV84" s="21" t="str">
        <f t="shared" si="286"/>
        <v>II TRIM</v>
      </c>
      <c r="GW84" s="28" t="s">
        <v>869</v>
      </c>
      <c r="GX84" s="30"/>
      <c r="GY84" s="21"/>
      <c r="GZ84" s="21"/>
      <c r="HA84" s="21"/>
      <c r="HB84" s="21"/>
      <c r="HC84" s="21"/>
      <c r="HD84" s="21"/>
      <c r="HE84" s="21"/>
      <c r="HF84" s="22"/>
      <c r="HG84" s="22" t="str">
        <f>IF(OR(O84&gt;0,R84&gt;0),CONCATENATE(IF(Tabla1[[#This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84" s="22" t="e">
        <f t="shared" si="287"/>
        <v>#REF!</v>
      </c>
      <c r="HI84" s="22" t="e">
        <f t="shared" ca="1" si="288"/>
        <v>#REF!</v>
      </c>
      <c r="HJ84" s="21" t="str">
        <f t="shared" ca="1" si="289"/>
        <v>*****************DIABETES GESTACIONAL**********************</v>
      </c>
      <c r="HK84" s="21" t="str">
        <f t="shared" si="290"/>
        <v>SIN ANTECEDENTES DE RIESGO</v>
      </c>
      <c r="HL84" s="24" t="str">
        <f t="shared" si="291"/>
        <v>APARENTEMENTE NORMAL</v>
      </c>
      <c r="HM84" s="21" t="str">
        <f t="shared" ca="1" si="292"/>
        <v/>
      </c>
      <c r="HN84" s="30" t="str">
        <f t="shared" si="446"/>
        <v>SALIO PROGRAMA</v>
      </c>
      <c r="HO84" s="21"/>
      <c r="HP84" s="21"/>
      <c r="HQ84" s="21">
        <v>44959</v>
      </c>
      <c r="HR84" s="21" t="str">
        <f>IF(R84="","",IF(Tabla1[[#This Row],[ALARMA FACTORES DE RIESGO COMPLICACIONES HIPERTENSIVAS3]]="SIN ANTECEDENTES DE RIESGO","No Aplica para suministro de ASA",IF(AND(Tabla1[[#This Row],[FECHA INICIO DE SUMINISTRO DE ASA]]&gt;0,RV84&lt;12),"Inicia ASA ANTES de Sem 12",IF(AND(RV84&gt;11,RV84&lt;17,OR(HK84="RIESGO ALTO DE COMPLICACIONES HIPERTENSIVAS VER MANEJO GUIA SUMINISTRO ASA Y CALCIO",HK84="RIESGO MODERADO (2 O MAS CRITERIOS) VER MANEJO GUIA SUMINISTRO ASA Y CALCIO")),"Inicio oportuno de ASA",IF(AND(RV84&gt;12,OR(HK84="RIESGO ALTO DE COMPLICACIONES HIPERTENSIVAS VER MANEJO GUIA SUMINISTRO ASA Y CALCIO",HK84="RIESGO MODERADO (2 O MAS CRITERIOS) VER MANEJO GUIA SUMINISTRO ASA Y CALCIO")),"Inicio no oportuno mayor a 16 semanas",IF(AND(BU84&lt;12,OR(HK84="RIESGO ALTO DE COMPLICACIONES HIPERTENSIVAS VER MANEJO GUIA SUMINISTRO ASA Y CALCIO",HK84="RIESGO MODERADO (2 O MAS CRITERIOS) VER MANEJO GUIA SUMINISTRO ASA Y CALCIO")),"Pendiente Inicio de ASA a la semana 12",IF(AND(BU84&gt;11,BU84&lt;17,OR(HK84="RIESGO ALTO DE COMPLICACIONES HIPERTENSIVAS VER MANEJO GUIA SUMINISTRO ASA Y CALCIO",HK84="RIESGO MODERADO (2 O MAS CRITERIOS) VER MANEJO GUIA SUMINISTRO ASA Y CALCIO")),"Iniciar de inmediato ASA",IF(AND(BU84&gt;16,OR(HK84="RIESGO ALTO DE COMPLICACIONES HIPERTENSIVAS VER MANEJO GUIA SUMINISTRO ASA Y CALCIO",HK84="RIESGO MODERADO (2 O MAS CRITERIOS) VER MANEJO GUIA SUMINISTRO ASA Y CALCIO")),"Pierde Oportunidad, Inicio tardío de ASA","XXXXX"))))))))</f>
        <v>No Aplica para suministro de ASA</v>
      </c>
      <c r="HS84" s="22">
        <v>44959</v>
      </c>
      <c r="HT84" s="22" t="s">
        <v>870</v>
      </c>
      <c r="HU84" s="22"/>
      <c r="HV84" s="22"/>
      <c r="HW84" s="22">
        <v>44959</v>
      </c>
      <c r="HX84" s="22" t="s">
        <v>870</v>
      </c>
      <c r="HY84" s="22">
        <v>44958</v>
      </c>
      <c r="HZ84" s="28">
        <f t="shared" si="293"/>
        <v>20.714285714285715</v>
      </c>
      <c r="IA84" s="26"/>
      <c r="IB84" s="26"/>
      <c r="IC84" s="111"/>
      <c r="ID84" s="22"/>
      <c r="IE84" s="22" t="str">
        <f t="shared" ca="1" si="294"/>
        <v>SALE SIN VACUNA</v>
      </c>
      <c r="IF84" s="22"/>
      <c r="IG84" s="22">
        <f t="shared" si="295"/>
        <v>45093</v>
      </c>
      <c r="IH84" s="29">
        <f t="shared" ca="1" si="296"/>
        <v>-139</v>
      </c>
      <c r="II84" s="22" t="str">
        <f t="shared" ca="1" si="297"/>
        <v>POSIBLEMENTE NACIO</v>
      </c>
      <c r="IJ84" s="22"/>
      <c r="IK84" s="21" t="s">
        <v>898</v>
      </c>
      <c r="IL84" s="21"/>
      <c r="IM84" s="34"/>
      <c r="IN84" s="349">
        <v>45093</v>
      </c>
      <c r="IO84" s="21" t="s">
        <v>1640</v>
      </c>
      <c r="IP84" s="29">
        <f t="shared" si="436"/>
        <v>40</v>
      </c>
      <c r="IQ84" s="110"/>
      <c r="IR84" s="21" t="s">
        <v>879</v>
      </c>
      <c r="IS84" s="21" t="s">
        <v>1648</v>
      </c>
      <c r="IT84" s="21" t="s">
        <v>1642</v>
      </c>
      <c r="IU84" s="21"/>
      <c r="IV84" s="21"/>
      <c r="IW84" s="21"/>
      <c r="IX84" s="21"/>
      <c r="IY84" s="21"/>
      <c r="IZ84" s="21"/>
      <c r="JA84" s="21"/>
      <c r="JB84" s="30">
        <v>1</v>
      </c>
      <c r="JC84" s="21" t="s">
        <v>1643</v>
      </c>
      <c r="JD84" s="36">
        <v>2600</v>
      </c>
      <c r="JE84" s="21" t="str">
        <f t="shared" si="447"/>
        <v>PESO ADECUADO EDAD GESTACIONAL</v>
      </c>
      <c r="JF84" s="30"/>
      <c r="JG84" s="21"/>
      <c r="JH84" s="21"/>
      <c r="JI84" s="21"/>
      <c r="JJ84" s="30"/>
      <c r="JK84" s="22"/>
      <c r="JL84" s="22"/>
      <c r="JM84" s="21"/>
      <c r="JN84" s="36"/>
      <c r="JO84" s="21" t="str">
        <f t="shared" si="448"/>
        <v/>
      </c>
      <c r="JP84" s="22"/>
      <c r="JQ84" s="21"/>
      <c r="JR84" s="21"/>
      <c r="JS84" s="21"/>
      <c r="JT84" s="30"/>
      <c r="JU84" s="22"/>
      <c r="JV84" s="22"/>
      <c r="JW84" s="33"/>
      <c r="JX84" s="28" t="str">
        <f t="shared" si="449"/>
        <v>INASISTENTE</v>
      </c>
      <c r="JY84" s="33"/>
      <c r="JZ84" s="28" t="str">
        <f t="shared" si="450"/>
        <v>INASISTENTE</v>
      </c>
      <c r="KA84" s="21"/>
      <c r="KB84" s="21"/>
      <c r="KC84" s="21"/>
      <c r="KD84" s="37"/>
      <c r="KE84" s="28"/>
      <c r="KF84" s="28"/>
      <c r="KG84" s="28"/>
      <c r="KH84" s="39"/>
      <c r="KI84" s="39"/>
      <c r="KJ84" s="66"/>
      <c r="KK84" s="39"/>
      <c r="KL84" s="39"/>
      <c r="KM84" s="66"/>
      <c r="KN84" s="39"/>
      <c r="KO84" s="39"/>
      <c r="KP84" s="39"/>
      <c r="KQ84" s="39"/>
      <c r="KR84" s="39"/>
      <c r="KS84" s="39"/>
      <c r="KT84" s="39"/>
      <c r="KU84" s="38"/>
      <c r="KV84" s="38"/>
      <c r="KW84" s="38"/>
      <c r="KX84" s="38"/>
      <c r="KY84" s="38"/>
      <c r="KZ84" s="38"/>
      <c r="LA84" s="38"/>
      <c r="LB84" s="38"/>
      <c r="LC84" s="38"/>
      <c r="LD84" s="38"/>
      <c r="LE84" s="38"/>
      <c r="LF84" s="38"/>
      <c r="LG84" s="38"/>
      <c r="LH84" s="38"/>
      <c r="LI84" s="38"/>
      <c r="LJ84" s="38"/>
      <c r="LK84" s="38"/>
      <c r="LL84" s="38"/>
      <c r="LM84" s="38"/>
      <c r="LN84" s="38"/>
      <c r="LO84" s="38"/>
      <c r="LP84" s="38"/>
      <c r="LQ84" s="38"/>
      <c r="LR84" s="38"/>
      <c r="LS84" s="38"/>
      <c r="LT84" s="38"/>
      <c r="LU84" s="38"/>
      <c r="LV84" s="38"/>
      <c r="LW84" s="38"/>
      <c r="LX84" s="38"/>
      <c r="LY84" s="38"/>
      <c r="LZ84" s="38"/>
      <c r="MA84" s="38"/>
      <c r="MB84" s="38"/>
      <c r="MC84" s="38"/>
      <c r="MD84" s="38"/>
      <c r="ME84" s="38"/>
      <c r="MF84" s="38"/>
      <c r="MG84" s="38"/>
      <c r="MH84" s="43">
        <f t="shared" si="303"/>
        <v>0</v>
      </c>
      <c r="MI84" s="43" t="str">
        <f t="shared" si="304"/>
        <v/>
      </c>
      <c r="MJ84" s="43" t="str">
        <f t="shared" si="305"/>
        <v/>
      </c>
      <c r="MK84" s="43">
        <f t="shared" si="306"/>
        <v>0</v>
      </c>
      <c r="ML8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84" s="43">
        <f t="shared" si="307"/>
        <v>20.714285714285715</v>
      </c>
      <c r="MN84" s="43">
        <f t="shared" si="308"/>
        <v>2</v>
      </c>
      <c r="MO84" s="43">
        <f t="shared" si="309"/>
        <v>2023</v>
      </c>
      <c r="MP84" s="43" t="str">
        <f t="shared" si="310"/>
        <v>I TRIMESTRE AÑO</v>
      </c>
      <c r="MQ84" s="43">
        <f t="shared" si="311"/>
        <v>20.931887866841873</v>
      </c>
      <c r="MR84" s="43">
        <f t="shared" si="312"/>
        <v>0</v>
      </c>
      <c r="MS84" s="43" t="str">
        <f t="shared" si="313"/>
        <v xml:space="preserve"> DE 20 A 24 AÑOS</v>
      </c>
      <c r="MT84" s="43">
        <f t="shared" si="314"/>
        <v>0</v>
      </c>
      <c r="MU84" s="43">
        <f t="shared" si="315"/>
        <v>0</v>
      </c>
      <c r="MV84" s="43">
        <f t="shared" si="316"/>
        <v>0</v>
      </c>
      <c r="MW84" s="43">
        <f t="shared" si="317"/>
        <v>0</v>
      </c>
      <c r="MX84" s="43" t="str">
        <f t="shared" si="318"/>
        <v/>
      </c>
      <c r="MY84" s="43" t="str">
        <f t="shared" ca="1" si="451"/>
        <v/>
      </c>
      <c r="MZ84" s="43" t="str">
        <f t="shared" si="319"/>
        <v/>
      </c>
      <c r="NA84" s="43">
        <f t="shared" si="320"/>
        <v>0</v>
      </c>
      <c r="NB84" s="43" t="str">
        <f t="shared" si="321"/>
        <v/>
      </c>
      <c r="NC84" s="43" t="str">
        <f t="shared" si="322"/>
        <v/>
      </c>
      <c r="ND84" s="43">
        <f t="shared" ca="1" si="323"/>
        <v>2</v>
      </c>
      <c r="NE84" s="43">
        <f>IF(OR(O84&gt;0,R84&gt;0),SUM(COUNTIF(Tabla1[[#This Row],[AÑOS AL INICIO5 CPN]],"&gt;=40"),COUNTIF(AS84,"0"),COUNTIF(AR84,"SI"),COUNTIF(CC84,"SI"),COUNTIF(BQ84,"&gt;119"),COUNTIF(CI84,"&gt;=35")),"")</f>
        <v>0</v>
      </c>
      <c r="NF84" s="43" t="str">
        <f t="shared" si="324"/>
        <v/>
      </c>
      <c r="NG84" s="43">
        <f t="shared" si="325"/>
        <v>0</v>
      </c>
      <c r="NH84" s="43">
        <f t="shared" si="326"/>
        <v>147</v>
      </c>
      <c r="NI84"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CPN",P84="NO"),"Z",IF(AND(Tabla1[[#This Row],[CITA PROXIMO CONTROL]]="CITA MANUAL",Tabla1[[#This Row],[GESTANTES ACTUALES]]="ACTIVA INGRESO A CPN"),"W",IF(AND(Tabla1[[#This Row],[GESTANTES ACTUALES]]="SALIO PROGRAMA",IN84=""),"S",IF(AND(Tabla1[[#This Row],[CITA PROXIMO CONTROL]]&gt;0,IN84=""),(Tabla1[[#This Row],[CITA PROXIMO CONTROL]]-TODAY()),"SD"))))))))</f>
        <v>SD</v>
      </c>
      <c r="NJ84" s="43">
        <f>MONTH(Tabla1[[#This Row],[FECHA DE SALIDA  DEL PROGRAMA]])</f>
        <v>6</v>
      </c>
      <c r="NK84" s="43">
        <f>YEAR(Tabla1[[#This Row],[FECHA DE SALIDA  DEL PROGRAMA]])</f>
        <v>2023</v>
      </c>
      <c r="NL84" s="43" t="str">
        <f t="shared" si="327"/>
        <v>X</v>
      </c>
      <c r="NM84" s="43" t="str">
        <f t="shared" si="251"/>
        <v>NO</v>
      </c>
      <c r="NN84" s="43" t="str">
        <f ca="1">IF(AND(O84&gt;0,R84=""),"NO CPN",IF(AND(O84="",R84=""),"",IF(AND(R84&gt;0,Tabla1[[#This Row],[SEMANAS DE GESTACION ACTUALIZADAS]]&lt;=12),"NO APLICA",IF(AND(FH84&lt;&gt;"",FN84&lt;&gt;""),"SI","NO"))))</f>
        <v>SI</v>
      </c>
      <c r="NO84" s="43" t="str">
        <f ca="1">IF(AND(O84&gt;0,R84=""),"NO CPN",IF(AND(O84="",R84=""),"",IF(AND(R84&gt;0,Tabla1[[#This Row],[SEMANAS DE GESTACION ACTUALIZADAS]]&lt;=27),"NO APLICA",IF(AND(ES84&lt;&gt;"",FQ84&lt;&gt;"",GF84&lt;&gt;""),"SI","NO"))))</f>
        <v>NO</v>
      </c>
      <c r="NP84" s="204" t="str">
        <f t="shared" si="328"/>
        <v>II TRIM</v>
      </c>
      <c r="NQ84" s="21" t="str">
        <f t="shared" si="437"/>
        <v/>
      </c>
      <c r="NR84" s="21">
        <f t="shared" si="452"/>
        <v>2</v>
      </c>
      <c r="NS84" s="205">
        <f t="shared" ca="1" si="329"/>
        <v>1</v>
      </c>
      <c r="NT84" s="21">
        <f t="shared" ca="1" si="330"/>
        <v>1</v>
      </c>
      <c r="NU84" s="21" t="str">
        <f t="shared" ca="1" si="331"/>
        <v>INCOMPLETO</v>
      </c>
      <c r="NV84" s="21" t="str">
        <f t="shared" ca="1" si="332"/>
        <v>INCOMPLETO</v>
      </c>
      <c r="NW84" s="206" t="str">
        <f>IF(AND(O84="",R84=""),"",IF(OR(AND(Tabla1[[#This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84" s="207" t="str">
        <f t="shared" ca="1" si="333"/>
        <v>SIN VACUNAR</v>
      </c>
      <c r="NY84" s="43">
        <f>ROW(Tabla1[[#This Row],['# DE TAMIZAJES SIFILIS TOMADOS ]])</f>
        <v>84</v>
      </c>
      <c r="NZ84" s="43">
        <f t="shared" si="334"/>
        <v>20</v>
      </c>
      <c r="OA84" s="43" t="str">
        <f t="shared" si="335"/>
        <v/>
      </c>
      <c r="OB84" s="43" t="str">
        <f t="shared" si="336"/>
        <v/>
      </c>
      <c r="OC84" s="43" t="str">
        <f t="shared" si="337"/>
        <v/>
      </c>
      <c r="OD84" s="43" t="str">
        <f t="shared" si="338"/>
        <v/>
      </c>
      <c r="OE84" s="43" t="str">
        <f t="shared" si="339"/>
        <v/>
      </c>
      <c r="OF84" s="43" t="str">
        <f t="shared" si="340"/>
        <v/>
      </c>
      <c r="OG84" s="43" t="str">
        <f t="shared" si="341"/>
        <v/>
      </c>
      <c r="OH84" s="43" t="str">
        <f t="shared" si="342"/>
        <v/>
      </c>
      <c r="OI84" s="43" t="str">
        <f t="shared" si="343"/>
        <v/>
      </c>
      <c r="OJ84" s="43" t="str">
        <f t="shared" si="344"/>
        <v/>
      </c>
      <c r="OK84" s="43" t="str">
        <f t="shared" si="345"/>
        <v/>
      </c>
      <c r="OL84" s="43" t="str">
        <f t="shared" si="346"/>
        <v>NORMAL</v>
      </c>
      <c r="OM84" s="43" t="str">
        <f t="shared" si="347"/>
        <v/>
      </c>
      <c r="ON84" s="43" t="str">
        <f t="shared" si="348"/>
        <v/>
      </c>
      <c r="OO84" s="43" t="str">
        <f t="shared" si="349"/>
        <v/>
      </c>
      <c r="OP84" s="43" t="str">
        <f t="shared" si="350"/>
        <v/>
      </c>
      <c r="OQ84" s="43" t="str">
        <f t="shared" si="351"/>
        <v/>
      </c>
      <c r="OR84" s="43" t="str">
        <f t="shared" si="352"/>
        <v/>
      </c>
      <c r="OS84" s="43" t="str">
        <f t="shared" si="353"/>
        <v/>
      </c>
      <c r="OT84" s="43" t="str">
        <f t="shared" si="354"/>
        <v/>
      </c>
      <c r="OU84" s="43" t="str">
        <f t="shared" si="355"/>
        <v/>
      </c>
      <c r="OV84" s="110" t="str">
        <f t="shared" si="356"/>
        <v/>
      </c>
      <c r="OW84" s="43" t="str">
        <f t="shared" si="357"/>
        <v/>
      </c>
      <c r="OX84" s="43" t="str">
        <f t="shared" si="358"/>
        <v/>
      </c>
      <c r="OY84" s="43" t="str">
        <f t="shared" si="359"/>
        <v/>
      </c>
      <c r="OZ84" s="43" t="str">
        <f t="shared" si="360"/>
        <v/>
      </c>
      <c r="PA84" s="43" t="str">
        <f t="shared" si="361"/>
        <v/>
      </c>
      <c r="PB84" s="43" t="str">
        <f t="shared" si="362"/>
        <v/>
      </c>
      <c r="PC84" s="43" t="str">
        <f t="shared" si="363"/>
        <v/>
      </c>
      <c r="PD84" s="43" t="str">
        <f t="shared" si="364"/>
        <v/>
      </c>
      <c r="PE84" s="43" t="str">
        <f t="shared" si="365"/>
        <v/>
      </c>
      <c r="PF84" s="43" t="str">
        <f t="shared" si="366"/>
        <v/>
      </c>
      <c r="PG84" s="43" t="str">
        <f t="shared" si="367"/>
        <v/>
      </c>
      <c r="PH84" s="43" t="str">
        <f t="shared" si="368"/>
        <v/>
      </c>
      <c r="PI84" s="43">
        <f t="shared" si="369"/>
        <v>33</v>
      </c>
      <c r="PJ84" s="43" t="str">
        <f t="shared" si="370"/>
        <v/>
      </c>
      <c r="PK84" s="43" t="str">
        <f t="shared" si="371"/>
        <v/>
      </c>
      <c r="PL84" s="43" t="str">
        <f t="shared" si="372"/>
        <v/>
      </c>
      <c r="PM84" s="43" t="str">
        <f t="shared" si="373"/>
        <v/>
      </c>
      <c r="PN84" s="43" t="str">
        <f t="shared" si="374"/>
        <v/>
      </c>
      <c r="PO84" s="43" t="str">
        <f t="shared" si="375"/>
        <v/>
      </c>
      <c r="PP84" s="43" t="str">
        <f t="shared" si="376"/>
        <v/>
      </c>
      <c r="PQ84" s="43" t="str">
        <f t="shared" si="377"/>
        <v/>
      </c>
      <c r="PR84" s="43" t="str">
        <f t="shared" si="378"/>
        <v/>
      </c>
      <c r="PS84" s="43" t="str">
        <f t="shared" si="379"/>
        <v/>
      </c>
      <c r="PT84" s="43" t="str">
        <f t="shared" si="380"/>
        <v/>
      </c>
      <c r="PU84" s="43" t="str">
        <f t="shared" si="381"/>
        <v/>
      </c>
      <c r="PV84" s="43" t="str">
        <f t="shared" si="382"/>
        <v/>
      </c>
      <c r="PW84" s="43" t="str">
        <f t="shared" si="383"/>
        <v/>
      </c>
      <c r="PX84" s="43" t="str">
        <f t="shared" si="384"/>
        <v/>
      </c>
      <c r="PY84" s="43" t="str">
        <f t="shared" si="385"/>
        <v/>
      </c>
      <c r="PZ84" s="43" t="str">
        <f t="shared" si="386"/>
        <v/>
      </c>
      <c r="QA84" s="43" t="str">
        <f t="shared" si="387"/>
        <v/>
      </c>
      <c r="QB84" s="43" t="str">
        <f t="shared" si="388"/>
        <v/>
      </c>
      <c r="QC84" s="43" t="str">
        <f t="shared" si="389"/>
        <v/>
      </c>
      <c r="QD84" s="43" t="str">
        <f t="shared" si="390"/>
        <v/>
      </c>
      <c r="QE84" s="43" t="str">
        <f t="shared" si="391"/>
        <v/>
      </c>
      <c r="QF84" s="43" t="str">
        <f t="shared" si="392"/>
        <v/>
      </c>
      <c r="QG84" s="43" t="str">
        <f t="shared" si="393"/>
        <v/>
      </c>
      <c r="QH84" s="43" t="str">
        <f t="shared" si="394"/>
        <v>NORMAL</v>
      </c>
      <c r="QI84" s="43" t="str">
        <f t="shared" si="395"/>
        <v/>
      </c>
      <c r="QJ84" s="43" t="str">
        <f t="shared" si="396"/>
        <v/>
      </c>
      <c r="QK84" s="43" t="str">
        <f t="shared" si="397"/>
        <v/>
      </c>
      <c r="QL84" s="43" t="str">
        <f t="shared" si="398"/>
        <v/>
      </c>
      <c r="QM84" s="43" t="str">
        <f t="shared" si="399"/>
        <v/>
      </c>
      <c r="QN84" s="43" t="str">
        <f t="shared" si="400"/>
        <v/>
      </c>
      <c r="QO84" s="43" t="str">
        <f t="shared" si="401"/>
        <v/>
      </c>
      <c r="QP84" s="43" t="str">
        <f t="shared" si="402"/>
        <v/>
      </c>
      <c r="QQ84" s="43" t="str">
        <f t="shared" si="403"/>
        <v/>
      </c>
      <c r="QR84" s="43">
        <f t="shared" si="433"/>
        <v>33</v>
      </c>
      <c r="QS84" s="43"/>
      <c r="QT84" s="21" t="str">
        <f t="shared" si="404"/>
        <v/>
      </c>
      <c r="QU84" s="21" t="str">
        <f t="shared" si="405"/>
        <v/>
      </c>
      <c r="QV84" s="21" t="str">
        <f t="shared" si="406"/>
        <v/>
      </c>
      <c r="QW84" s="21" t="str">
        <f t="shared" si="407"/>
        <v/>
      </c>
      <c r="QX84" s="21" t="str">
        <f t="shared" si="408"/>
        <v/>
      </c>
      <c r="QY84" s="21" t="str">
        <f t="shared" si="409"/>
        <v/>
      </c>
      <c r="QZ84" s="21" t="str">
        <f t="shared" si="410"/>
        <v/>
      </c>
      <c r="RA84" s="21" t="str">
        <f t="shared" si="411"/>
        <v/>
      </c>
      <c r="RB84" s="21" t="str">
        <f t="shared" si="412"/>
        <v/>
      </c>
      <c r="RC84" s="21" t="str">
        <f t="shared" si="413"/>
        <v/>
      </c>
      <c r="RD84" s="21" t="str">
        <f t="shared" si="414"/>
        <v/>
      </c>
      <c r="RE84" s="21" t="str">
        <f t="shared" si="415"/>
        <v/>
      </c>
      <c r="RF84" s="21" t="str">
        <f t="shared" si="416"/>
        <v/>
      </c>
      <c r="RG84" s="21" t="str">
        <f t="shared" si="417"/>
        <v/>
      </c>
      <c r="RH84" s="21" t="str">
        <f t="shared" si="418"/>
        <v/>
      </c>
      <c r="RI84" s="21" t="str">
        <f t="shared" si="419"/>
        <v/>
      </c>
      <c r="RJ84" s="21" t="str">
        <f t="shared" si="420"/>
        <v/>
      </c>
      <c r="RK84" s="21" t="str">
        <f t="shared" si="421"/>
        <v/>
      </c>
      <c r="RL84" s="21" t="str">
        <f t="shared" si="422"/>
        <v/>
      </c>
      <c r="RM84" s="21" t="str">
        <f t="shared" si="423"/>
        <v/>
      </c>
      <c r="RN84" s="21" t="str">
        <f t="shared" si="424"/>
        <v>ADECUADO PARA EDAD GESTACIONAL</v>
      </c>
      <c r="RO84" s="21" t="str">
        <f t="shared" si="425"/>
        <v/>
      </c>
      <c r="RP84" s="21" t="str">
        <f t="shared" si="426"/>
        <v/>
      </c>
      <c r="RQ84" s="21" t="str">
        <f t="shared" si="427"/>
        <v/>
      </c>
      <c r="RR84" s="21" t="str">
        <f t="shared" si="428"/>
        <v/>
      </c>
      <c r="RS84" s="21" t="str">
        <f t="shared" si="429"/>
        <v/>
      </c>
      <c r="RT84" s="21" t="str">
        <f t="shared" si="430"/>
        <v/>
      </c>
      <c r="RU84" s="21" t="str">
        <f t="shared" si="431"/>
        <v/>
      </c>
      <c r="RV84" s="21">
        <f t="shared" si="432"/>
        <v>20.857142857142858</v>
      </c>
      <c r="RW84" s="284">
        <f>IF(OR(Tabla1[[#This Row],[FUM FORMULA CONFIABLE]]="",Tabla1[[#This Row],[FUM FORMULA CONFIABLE]]="SD"),"",IF(Tabla1[[#This Row],[FUM FORMULA CONFIABLE]]="CORREGIDA",Tabla1[[#This Row],[FUM X ECO 1]],Tabla1[[#This Row],[FUM x AMENORREA]]))</f>
        <v>44813</v>
      </c>
      <c r="RX84" s="21">
        <f>IF(AND(Tabla1[[#This Row],[FUM X ECO 1]]="",Tabla1[[#This Row],[FUM x AMENORREA]]=""),"",IF(AND(Tabla1[[#This Row],[FUM X ECO 1]]="",Tabla1[[#This Row],[FUM x AMENORREA]]&lt;&gt;""),"X",SUM(Tabla1[[#This Row],[FUM X ECO 1]]-Tabla1[[#This Row],[FUM x AMENORREA]])))</f>
        <v>0</v>
      </c>
      <c r="RY84" s="21">
        <f t="shared" si="434"/>
        <v>0</v>
      </c>
    </row>
    <row r="85" spans="1:493" ht="45" customHeight="1" x14ac:dyDescent="0.25">
      <c r="A85" s="109"/>
      <c r="B85" s="43"/>
      <c r="C85" s="43" t="s">
        <v>845</v>
      </c>
      <c r="D85" s="124"/>
      <c r="E85" s="43" t="s">
        <v>1255</v>
      </c>
      <c r="F85" s="43" t="s">
        <v>1256</v>
      </c>
      <c r="G85" s="43" t="s">
        <v>1257</v>
      </c>
      <c r="H85" s="43" t="s">
        <v>1258</v>
      </c>
      <c r="I85" s="109" t="s">
        <v>851</v>
      </c>
      <c r="J85" s="110">
        <v>1061690037</v>
      </c>
      <c r="K85" s="43" t="s">
        <v>852</v>
      </c>
      <c r="L85" s="175" t="s">
        <v>853</v>
      </c>
      <c r="M85" s="22">
        <v>37994</v>
      </c>
      <c r="N85" s="213">
        <f t="shared" ca="1" si="252"/>
        <v>19.830136986301369</v>
      </c>
      <c r="O85" s="22">
        <v>44952</v>
      </c>
      <c r="P85" s="214" t="str">
        <f t="shared" si="438"/>
        <v>SI</v>
      </c>
      <c r="Q85" s="26" t="s">
        <v>855</v>
      </c>
      <c r="R85" s="22">
        <v>44952</v>
      </c>
      <c r="S85" s="21" t="s">
        <v>856</v>
      </c>
      <c r="T85" s="24" t="s">
        <v>690</v>
      </c>
      <c r="U85" s="21" t="s">
        <v>857</v>
      </c>
      <c r="V85" s="21" t="s">
        <v>858</v>
      </c>
      <c r="W85" s="21" t="s">
        <v>1259</v>
      </c>
      <c r="X85" s="21" t="s">
        <v>1259</v>
      </c>
      <c r="Y85" s="21" t="s">
        <v>859</v>
      </c>
      <c r="Z85" s="21">
        <v>31467744201</v>
      </c>
      <c r="AA85" s="21" t="s">
        <v>860</v>
      </c>
      <c r="AB85" s="27" t="s">
        <v>861</v>
      </c>
      <c r="AC85" s="26" t="s">
        <v>888</v>
      </c>
      <c r="AD85" s="38" t="s">
        <v>1546</v>
      </c>
      <c r="AE85" s="26" t="s">
        <v>854</v>
      </c>
      <c r="AF85" s="26" t="s">
        <v>854</v>
      </c>
      <c r="AG85" s="23" t="s">
        <v>864</v>
      </c>
      <c r="AH85" s="23" t="s">
        <v>864</v>
      </c>
      <c r="AI85" s="24" t="s">
        <v>863</v>
      </c>
      <c r="AJ85" s="23" t="s">
        <v>864</v>
      </c>
      <c r="AK85" s="220" t="str">
        <f>IF(AND(AD85="",AE85="",AF85="",AG85="",AH85="",AI85="",AJ85=""),"",IF(OR(Tabla1[[#This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EVALUACIÓN",IF(AND(O85="",R85=""),"",IF(AND(OR(O85&gt;0,R85&gt;0),NG85&gt;=0,NG85&lt;2),"SIN RIESGO",IF(AND(OR(O85&gt;0,R85&gt;0),NG85&gt;=2),"CON RIESGO","ASD")))))</f>
        <v>SIN RIESGO</v>
      </c>
      <c r="AL85" s="23" t="s">
        <v>864</v>
      </c>
      <c r="AM85" s="26" t="s">
        <v>864</v>
      </c>
      <c r="AN85" s="26" t="s">
        <v>864</v>
      </c>
      <c r="AO85" s="26" t="s">
        <v>864</v>
      </c>
      <c r="AP85" s="26" t="s">
        <v>864</v>
      </c>
      <c r="AQ85" s="26" t="s">
        <v>864</v>
      </c>
      <c r="AR85" s="26" t="s">
        <v>864</v>
      </c>
      <c r="AS85" s="21">
        <v>0</v>
      </c>
      <c r="AT85" s="21">
        <v>0</v>
      </c>
      <c r="AU85" s="21">
        <v>0</v>
      </c>
      <c r="AV85" s="26" t="s">
        <v>864</v>
      </c>
      <c r="AW85" s="21">
        <v>0</v>
      </c>
      <c r="AX85" s="26" t="s">
        <v>864</v>
      </c>
      <c r="AY85" s="26" t="s">
        <v>864</v>
      </c>
      <c r="AZ85" s="26" t="s">
        <v>864</v>
      </c>
      <c r="BA85" s="26" t="s">
        <v>864</v>
      </c>
      <c r="BB85" s="26" t="s">
        <v>864</v>
      </c>
      <c r="BC85" s="26" t="s">
        <v>864</v>
      </c>
      <c r="BD85" s="26" t="s">
        <v>864</v>
      </c>
      <c r="BE85" s="26" t="s">
        <v>864</v>
      </c>
      <c r="BF85" s="26" t="s">
        <v>864</v>
      </c>
      <c r="BG85" s="26" t="s">
        <v>864</v>
      </c>
      <c r="BH85" s="26" t="s">
        <v>864</v>
      </c>
      <c r="BI85" s="26" t="s">
        <v>864</v>
      </c>
      <c r="BJ85" s="26" t="s">
        <v>864</v>
      </c>
      <c r="BK85" s="26" t="s">
        <v>865</v>
      </c>
      <c r="BL85" s="26" t="s">
        <v>864</v>
      </c>
      <c r="BM85" s="26" t="s">
        <v>864</v>
      </c>
      <c r="BN85" s="22"/>
      <c r="BO85" s="22">
        <v>44889</v>
      </c>
      <c r="BP85" s="21" t="s">
        <v>854</v>
      </c>
      <c r="BQ85" s="222">
        <f t="shared" si="254"/>
        <v>0</v>
      </c>
      <c r="BR85" s="223">
        <f t="shared" si="255"/>
        <v>44889.3</v>
      </c>
      <c r="BS85" s="224">
        <f t="shared" si="256"/>
        <v>9</v>
      </c>
      <c r="BT85" s="216" t="str">
        <f t="shared" si="257"/>
        <v>I TRIM</v>
      </c>
      <c r="BU85" s="214" t="str">
        <f t="shared" ca="1" si="258"/>
        <v/>
      </c>
      <c r="BV85" s="25"/>
      <c r="BW85" s="22">
        <v>44960</v>
      </c>
      <c r="BX85" s="28">
        <v>10.1</v>
      </c>
      <c r="BY85" s="28"/>
      <c r="BZ85" s="22">
        <v>45016</v>
      </c>
      <c r="CA85" s="21">
        <v>17.5</v>
      </c>
      <c r="CB85" s="26" t="s">
        <v>864</v>
      </c>
      <c r="CC85" s="26" t="s">
        <v>864</v>
      </c>
      <c r="CD85" s="26" t="s">
        <v>878</v>
      </c>
      <c r="CE85" s="26" t="s">
        <v>864</v>
      </c>
      <c r="CF85" s="22" t="s">
        <v>1517</v>
      </c>
      <c r="CG85" s="21">
        <v>1.62</v>
      </c>
      <c r="CH85" s="21">
        <v>61</v>
      </c>
      <c r="CI85" s="214">
        <f t="shared" si="259"/>
        <v>23.243408017070564</v>
      </c>
      <c r="CJ85" s="225" t="str">
        <f>IF(AND(CI85&lt;10,CH85="SD"),"SIN DATO PESO PREGESTACION O I TRIM",IF(AND(OR(R85&gt;0,O85&gt;0),CI85="X"),"INGRESAR DATO DE PESO",IF(CI85="SD","INGRESAR DATO DE TALLA Y PESO",IF(AND(OR(Tabla1[[#This Row],[MOMENTO EN QUE SE REALIZA EL PESO AL INGRESO A CPN]]="PREGESTACIÓN",NZ85="Menor"),CI85&lt;18.5),"BAJO PESO",IF(AND(OR(Tabla1[[#This Row],[MOMENTO EN QUE SE REALIZA EL PESO AL INGRESO A CPN]]="PREGESTACIÓN",NZ85="Menor"),CI85&lt;25),"NORMAL",IF(AND(OR(Tabla1[[#This Row],[MOMENTO EN QUE SE REALIZA EL PESO AL INGRESO A CPN]]="PREGESTACIÓN",NZ85="Menor"),CI85&lt;30),"SOBREPESO",IF(AND(OR(Tabla1[[#This Row],[MOMENTO EN QUE SE REALIZA EL PESO AL INGRESO A CPN]]="PREGESTACIÓN",NZ85="Menor"),CI85&gt;=30,CI85&lt;50),"OBESIDAD",IF(AND(BS85&gt;0,Tabla1[[#This Row],[MOMENTO EN QUE SE REALIZA EL PESO AL INGRESO A CPN]]="GESTACIÓN"),HLOOKUP(NZ85,$OA$2:PH85,NY85),""))))))))</f>
        <v>NORMAL</v>
      </c>
      <c r="CK85" s="212">
        <f t="shared" si="260"/>
        <v>45041</v>
      </c>
      <c r="CL85" s="21">
        <v>61</v>
      </c>
      <c r="CM85" s="214">
        <f t="shared" si="261"/>
        <v>23.243408017070564</v>
      </c>
      <c r="CN85" s="216">
        <f t="shared" si="262"/>
        <v>21</v>
      </c>
      <c r="CO85" s="216" t="e">
        <f>IF(PI85="","",IF(PI85&gt;0,HLOOKUP(PI85,$PJ$2:QQ85,NY85),""))</f>
        <v>#REF!</v>
      </c>
      <c r="CP85" s="21"/>
      <c r="CQ85" s="216" t="e">
        <f>IF(QR85="Menor","NO APLICA-MENOR 13 SEM",IF(AND(CC85="SI",CN85&gt;23),"NO APLICA- GEMELAR",IF(QR85="","",IF(QR85&gt;0,HLOOKUP(QR85,$QS$2:RU85,NY85),""))))</f>
        <v>#REF!</v>
      </c>
      <c r="CR85" s="21">
        <v>90</v>
      </c>
      <c r="CS85" s="21">
        <v>60</v>
      </c>
      <c r="CT85" s="217" t="str">
        <f>IF(R85="","",IF(AND(BS85&gt;1,BS85&lt;12,Tabla1[[#This Row],[T.A. SISTOLICA - ANTES DE SEMANA 12]]="",Tabla1[[#This Row],[T.A. DIASTOLICA - ANTES DE SEMANA 12]]=""),"REGISTRE DATO TA ANTES SEMANA 12",IF(AND(BS85&gt;11,BS85&lt;43,Tabla1[[#This Row],[T.A. SISTOLICA - ANTES DE SEMANA 12]]="",Tabla1[[#This Row],[T.A. DIASTOLICA - ANTES DE SEMANA 12]]=""),"NO APLICA REGISTRO TA-INGRESO TARDIO",IF(AND(OR(O85&gt;0,R85&gt;0),OR(CR85&gt;=140,CS85&gt;=90)),"DEFINIR ESTADIO HTA",IF(AND(OR(O85&gt;0,R85&gt;0),AND(CR85&gt;120,CR85&lt;=139)),"PRE HTA SEGUIMIENTO",IF(AND(OR(O85&gt;0,R85&gt;0),AND(CS85&gt;80,CS85&lt;=89)),"PRE HTA SEGUIMIENTO",IF(AND(OR(O85&gt;0,R85&gt;0),AND(CR85&gt;=80,CR85&lt;=120)),"APARENTEMENTE NORMAL",IF(AND(OR(O85&gt;0,R85&gt;0),AND(CS85&gt;=50,CS85&lt;=80)),"APARENTEMENTE NORMAL",IF(AND(OR(O85&gt;0,R85&gt;0),AND(CR85&gt;1,CR85&lt;=70),AND(CS85&gt;1,CS85&lt;=40)),"HIPOTENSIÓN","")))))))))</f>
        <v>APARENTEMENTE NORMAL</v>
      </c>
      <c r="CU85" s="21"/>
      <c r="CV85" s="21"/>
      <c r="CW85" s="217" t="str">
        <f>IF(R85="","",IF(AND(CN85&gt;19,CN85&lt;27,Tabla1[[#This Row],[T.A. SISTOLICA (Entre semana 20 y 26)]]="",Tabla1[[#This Row],[T.A. DIATOLICA (Entre semana 20 y 26)]]=""),"ACUDE A CONTROL SEM 20 A 26 REGISTRE TA AHORA",IF(AND(BS85&gt;1,BS85&lt;27,BU85&gt;19,Tabla1[[#This Row],[T.A. SISTOLICA (Entre semana 20 y 26)]]="",Tabla1[[#This Row],[T.A. DIATOLICA (Entre semana 20 y 26)]]=""),"COMPLETE REGISTRO TA CONTROL SEM 20 A26 ",IF(AND(BS85&gt;26,BS85&lt;43,Tabla1[[#This Row],[T.A. SISTOLICA (Entre semana 20 y 26)]]="",Tabla1[[#This Row],[T.A. DIATOLICA (Entre semana 20 y 26)]]=""),"NO APLICA REGISTRO TA-INGRESO TARDIO",IF(AND(OR(O85&gt;0,R85&gt;0),OR(CU85&gt;=140,CV85&gt;=90)),"ALTO RIESGO PREECLAMPSIA,DEFINIR ESTADIO HTA",IF(AND(OR(O85&gt;0,R85&gt;0),AND(CU85&gt;120,CU85&lt;=139)),"PRE HTA SEGUIMIENTO,RIESGO HIPERTENSION INDUCIDA POR EL EMBARAZO",IF(AND(OR(O85&gt;0,R85&gt;0),AND(CV85&gt;80,CV85&lt;=89)),"PRE HTA SEGUIMIENTO, RIESGO HIPERTENSION INDUCIDA POR EL EMBARAZO",IF(AND(OR(O85&lt;&gt;"",R85&lt;&gt;""),CS85&lt;&gt;"",CV85&lt;&gt;"",CS85&lt;=CV85),"VIGILAR CIFRAS PRESION ARTERIAL",IF(AND(OR(O85&gt;0,R85&gt;0),AND(CU85&gt;120,CU85&lt;=139)),"PRE HTA SEGUIMIENTO",IF(AND(OR(O85&gt;0,R85&gt;0),AND(CU85&gt;1,CU85&lt;=70),AND(CV85&gt;1,CV85&lt;=40)),"HIPOTENSIÓN",IF(AND(OR(O85&lt;&gt;"",R85&lt;&gt;""),CS85&lt;&gt;"",CV85&lt;&gt;"",CS85&gt;CV85),"APARENTEMENTE NORMAL",IF(AND(OR(O85&gt;0,R85&gt;0),AND(CU85&gt;=80,CU85&lt;=120)),"APARENTEMENTE NORMAL",IF(AND(OR(O85&gt;0,R85&gt;0),AND(CV85&gt;=50,CV85&lt;=80)),"APARENTEMENTE NORMAL","")))))))))))))</f>
        <v>ACUDE A CONTROL SEM 20 A 26 REGISTRE TA AHORA</v>
      </c>
      <c r="CX85" s="21"/>
      <c r="CY85" s="21"/>
      <c r="CZ85" s="216" t="str">
        <f t="shared" si="263"/>
        <v/>
      </c>
      <c r="DA85" s="21"/>
      <c r="DB85" s="21"/>
      <c r="DC85" s="217" t="str">
        <f t="shared" si="264"/>
        <v>REGISTRE DATO PRESIÓN ARTERIAL MENSUAL</v>
      </c>
      <c r="DD85" s="22">
        <v>44952</v>
      </c>
      <c r="DE85" s="22">
        <v>44952</v>
      </c>
      <c r="DF85" s="22">
        <v>44980</v>
      </c>
      <c r="DG85" s="22">
        <v>45009</v>
      </c>
      <c r="DH85" s="22">
        <v>45041</v>
      </c>
      <c r="DI85" s="22"/>
      <c r="DJ85" s="22"/>
      <c r="DK85" s="22"/>
      <c r="DL85" s="22"/>
      <c r="DM85" s="22"/>
      <c r="DN85" s="22"/>
      <c r="DO85" s="22"/>
      <c r="DP85" s="22"/>
      <c r="DQ85" s="22"/>
      <c r="DR85" s="28">
        <v>1</v>
      </c>
      <c r="DS85" s="22"/>
      <c r="DT85" s="22"/>
      <c r="DU85" s="216" t="str">
        <f t="shared" ca="1" si="439"/>
        <v>CONCERTAR PLAN DE PARTO INMEDIATO</v>
      </c>
      <c r="DV85" s="226" t="str">
        <f t="shared" si="440"/>
        <v>ACTIVA INGRESO A CPN</v>
      </c>
      <c r="DW8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85" s="216" t="e">
        <f t="shared" ca="1" si="266"/>
        <v>#REF!</v>
      </c>
      <c r="DY85" s="212">
        <f>IF(R85="","",IF(R85&gt;0,MAX(Tabla1[[#This Row],[FECHA C2]:[FECHA C13]],Tabla1[[#This Row],[FECHA CONSULTA PRIMERA VEZ PROGRAMA CPN ]])))</f>
        <v>45041</v>
      </c>
      <c r="DZ85" s="216">
        <f t="shared" si="267"/>
        <v>21</v>
      </c>
      <c r="EA85" s="222">
        <f>IF(R85&gt;0,SUM(COUNTA(DF85:DQ85)+COUNTA(Tabla1[[#This Row],[FECHA CONSULTA PRIMERA VEZ PROGRAMA CPN ]])),"")</f>
        <v>4</v>
      </c>
      <c r="EB85" s="222" t="str">
        <f t="shared" si="268"/>
        <v>SI</v>
      </c>
      <c r="EC85" s="214">
        <f t="shared" si="269"/>
        <v>9</v>
      </c>
      <c r="ED85" s="227">
        <f t="shared" si="270"/>
        <v>0.44444444444444442</v>
      </c>
      <c r="EE85" s="22">
        <v>44952</v>
      </c>
      <c r="EF85" s="22">
        <v>44952</v>
      </c>
      <c r="EG85" s="22">
        <v>44952</v>
      </c>
      <c r="EH85" s="22"/>
      <c r="EI85" s="22">
        <v>44952</v>
      </c>
      <c r="EJ85" s="22"/>
      <c r="EK85" s="22"/>
      <c r="EL85" s="21"/>
      <c r="EM85" s="21">
        <v>12.2</v>
      </c>
      <c r="EN85" s="22">
        <v>44952</v>
      </c>
      <c r="EO85" s="222">
        <f t="shared" si="271"/>
        <v>9</v>
      </c>
      <c r="EP85" s="214" t="str">
        <f t="shared" si="272"/>
        <v>NORMAL- SUMINISTRAR SULFATO FERROSO</v>
      </c>
      <c r="EQ85" s="216" t="str">
        <f t="shared" si="273"/>
        <v>I TRIM</v>
      </c>
      <c r="ER85" s="24"/>
      <c r="ES85" s="22"/>
      <c r="ET85" s="29" t="str">
        <f t="shared" ca="1" si="441"/>
        <v>TOMA DE HEMOGLOBINA TARDÍA</v>
      </c>
      <c r="EU85" s="25" t="str">
        <f t="shared" si="275"/>
        <v/>
      </c>
      <c r="EV85" s="24" t="s">
        <v>866</v>
      </c>
      <c r="EW85" s="24">
        <v>44952</v>
      </c>
      <c r="EX85" s="22"/>
      <c r="EY85" s="29">
        <f t="shared" si="248"/>
        <v>9</v>
      </c>
      <c r="EZ85" s="25" t="str">
        <f t="shared" ca="1" si="249"/>
        <v/>
      </c>
      <c r="FA85" s="21">
        <v>85</v>
      </c>
      <c r="FB85" s="22">
        <v>44952</v>
      </c>
      <c r="FC85" s="29">
        <f t="shared" si="276"/>
        <v>9</v>
      </c>
      <c r="FD85" s="29"/>
      <c r="FE85" s="29"/>
      <c r="FF85" s="29"/>
      <c r="FG85" s="21" t="str">
        <f t="shared" ca="1" si="277"/>
        <v/>
      </c>
      <c r="FH85" s="31"/>
      <c r="FI85" s="29" t="str">
        <f t="shared" si="278"/>
        <v>TOMAR EXAMEN</v>
      </c>
      <c r="FJ85" s="22" t="s">
        <v>867</v>
      </c>
      <c r="FK85" s="22">
        <v>44952</v>
      </c>
      <c r="FL85" s="29">
        <f t="shared" ca="1" si="279"/>
        <v>9</v>
      </c>
      <c r="FM85" s="22" t="s">
        <v>867</v>
      </c>
      <c r="FN85" s="32">
        <v>44995</v>
      </c>
      <c r="FO85" s="29">
        <f t="shared" ca="1" si="442"/>
        <v>15.142857142857142</v>
      </c>
      <c r="FP85" s="22"/>
      <c r="FQ85" s="32"/>
      <c r="FR85" s="29" t="str">
        <f t="shared" ca="1" si="443"/>
        <v>TOMA INMEDIATA DE TAMIZAJE</v>
      </c>
      <c r="FS85" s="22"/>
      <c r="FT85" s="32"/>
      <c r="FU85" s="29" t="str">
        <f>IF(AND(FJ85="",FM85="",FP85="",FS85=""),"",IF(OR(OR(Tabla1[[#This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85" s="28"/>
      <c r="FW85" s="22"/>
      <c r="FX85" s="29" t="str">
        <f t="shared" si="280"/>
        <v>TOMAR EXAMEN</v>
      </c>
      <c r="FY85" s="22"/>
      <c r="FZ85" s="22"/>
      <c r="GA85" s="29" t="str">
        <f t="shared" ca="1" si="250"/>
        <v>PIERDE TOMA DE TAMIZAJE</v>
      </c>
      <c r="GB85" s="22" t="s">
        <v>868</v>
      </c>
      <c r="GC85" s="22">
        <v>44995</v>
      </c>
      <c r="GD85" s="29">
        <f t="shared" ca="1" si="444"/>
        <v>15.142857142857142</v>
      </c>
      <c r="GE85" s="22"/>
      <c r="GF85" s="22"/>
      <c r="GG85" s="29" t="str">
        <f t="shared" ca="1" si="445"/>
        <v>TOMA INMEDIATA DE TAMIZAJE</v>
      </c>
      <c r="GH85" s="22"/>
      <c r="GI85" s="29"/>
      <c r="GJ85" s="22"/>
      <c r="GK85" s="22"/>
      <c r="GL85" s="22"/>
      <c r="GM85" s="22"/>
      <c r="GN85" s="28" t="s">
        <v>869</v>
      </c>
      <c r="GO85" s="22">
        <v>44952</v>
      </c>
      <c r="GP85" s="29">
        <f t="shared" si="283"/>
        <v>9</v>
      </c>
      <c r="GQ85" s="28" t="s">
        <v>869</v>
      </c>
      <c r="GR85" s="28" t="s">
        <v>869</v>
      </c>
      <c r="GS85" s="22" t="str">
        <f t="shared" si="284"/>
        <v>CONTROL Igm</v>
      </c>
      <c r="GT85" s="22">
        <v>44952</v>
      </c>
      <c r="GU85" s="29">
        <f t="shared" si="285"/>
        <v>9</v>
      </c>
      <c r="GV85" s="21" t="str">
        <f t="shared" si="286"/>
        <v>I TRIM</v>
      </c>
      <c r="GW85" s="28" t="s">
        <v>869</v>
      </c>
      <c r="GX85" s="30"/>
      <c r="GY85" s="21" t="s">
        <v>906</v>
      </c>
      <c r="GZ85" s="21"/>
      <c r="HA85" s="21"/>
      <c r="HB85" s="21"/>
      <c r="HC85" s="21"/>
      <c r="HD85" s="21"/>
      <c r="HE85" s="21"/>
      <c r="HF85" s="22"/>
      <c r="HG85" s="22" t="str">
        <f>IF(OR(O85&gt;0,R85&gt;0),CONCATENATE(IF(Tabla1[[#This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85" s="22" t="e">
        <f t="shared" si="287"/>
        <v>#REF!</v>
      </c>
      <c r="HI85" s="22" t="e">
        <f t="shared" ca="1" si="288"/>
        <v>#REF!</v>
      </c>
      <c r="HJ85" s="21" t="str">
        <f t="shared" ca="1" si="289"/>
        <v>**********************MULTIPARIDAD*****************</v>
      </c>
      <c r="HK85" s="21" t="str">
        <f t="shared" si="290"/>
        <v>SIN ANTECEDENTES DE RIESGO</v>
      </c>
      <c r="HL85" s="24" t="str">
        <f t="shared" si="291"/>
        <v>REGISTRE DATO PRESIÓN ARTERIAL MENSUAL</v>
      </c>
      <c r="HM85" s="21" t="e">
        <f t="shared" ca="1" si="292"/>
        <v>#REF!</v>
      </c>
      <c r="HN85" s="30" t="str">
        <f t="shared" si="446"/>
        <v>ACTIVA INGRESO A CPN</v>
      </c>
      <c r="HO85" s="21"/>
      <c r="HP85" s="21"/>
      <c r="HQ85" s="21">
        <v>44952</v>
      </c>
      <c r="HR85" s="21" t="str">
        <f>IF(R85="","",IF(Tabla1[[#This Row],[ALARMA FACTORES DE RIESGO COMPLICACIONES HIPERTENSIVAS3]]="SIN ANTECEDENTES DE RIESGO","No Aplica para suministro de ASA",IF(AND(Tabla1[[#This Row],[FECHA INICIO DE SUMINISTRO DE ASA]]&gt;0,RV85&lt;12),"Inicia ASA ANTES de Sem 12",IF(AND(RV85&gt;11,RV85&lt;17,OR(HK85="RIESGO ALTO DE COMPLICACIONES HIPERTENSIVAS VER MANEJO GUIA SUMINISTRO ASA Y CALCIO",HK85="RIESGO MODERADO (2 O MAS CRITERIOS) VER MANEJO GUIA SUMINISTRO ASA Y CALCIO")),"Inicio oportuno de ASA",IF(AND(RV85&gt;12,OR(HK85="RIESGO ALTO DE COMPLICACIONES HIPERTENSIVAS VER MANEJO GUIA SUMINISTRO ASA Y CALCIO",HK85="RIESGO MODERADO (2 O MAS CRITERIOS) VER MANEJO GUIA SUMINISTRO ASA Y CALCIO")),"Inicio no oportuno mayor a 16 semanas",IF(AND(BU85&lt;12,OR(HK85="RIESGO ALTO DE COMPLICACIONES HIPERTENSIVAS VER MANEJO GUIA SUMINISTRO ASA Y CALCIO",HK85="RIESGO MODERADO (2 O MAS CRITERIOS) VER MANEJO GUIA SUMINISTRO ASA Y CALCIO")),"Pendiente Inicio de ASA a la semana 12",IF(AND(BU85&gt;11,BU85&lt;17,OR(HK85="RIESGO ALTO DE COMPLICACIONES HIPERTENSIVAS VER MANEJO GUIA SUMINISTRO ASA Y CALCIO",HK85="RIESGO MODERADO (2 O MAS CRITERIOS) VER MANEJO GUIA SUMINISTRO ASA Y CALCIO")),"Iniciar de inmediato ASA",IF(AND(BU85&gt;16,OR(HK85="RIESGO ALTO DE COMPLICACIONES HIPERTENSIVAS VER MANEJO GUIA SUMINISTRO ASA Y CALCIO",HK85="RIESGO MODERADO (2 O MAS CRITERIOS) VER MANEJO GUIA SUMINISTRO ASA Y CALCIO")),"Pierde Oportunidad, Inicio tardío de ASA","XXXXX"))))))))</f>
        <v>No Aplica para suministro de ASA</v>
      </c>
      <c r="HS85" s="22">
        <v>44952</v>
      </c>
      <c r="HT85" s="22" t="s">
        <v>935</v>
      </c>
      <c r="HU85" s="22">
        <v>44952</v>
      </c>
      <c r="HV85" s="22" t="s">
        <v>870</v>
      </c>
      <c r="HW85" s="22">
        <v>44952</v>
      </c>
      <c r="HX85" s="22" t="s">
        <v>870</v>
      </c>
      <c r="HY85" s="22">
        <v>44952</v>
      </c>
      <c r="HZ85" s="28">
        <f t="shared" si="293"/>
        <v>9</v>
      </c>
      <c r="IA85" s="26"/>
      <c r="IB85" s="26"/>
      <c r="IC85" s="111">
        <v>44960</v>
      </c>
      <c r="ID85" s="22">
        <v>44960</v>
      </c>
      <c r="IE85" s="22" t="str">
        <f t="shared" ca="1" si="294"/>
        <v>VACUNA APLICADA ANTES SEMANA 20</v>
      </c>
      <c r="IF85" s="22"/>
      <c r="IG85" s="22">
        <f t="shared" si="295"/>
        <v>45169</v>
      </c>
      <c r="IH85" s="29">
        <f t="shared" ca="1" si="296"/>
        <v>-63</v>
      </c>
      <c r="II85" s="22" t="str">
        <f t="shared" ca="1" si="297"/>
        <v>POSIBLEMENTE NACIO</v>
      </c>
      <c r="IJ85" s="22"/>
      <c r="IK85" s="21"/>
      <c r="IL85" s="21"/>
      <c r="IM85" s="34"/>
      <c r="IN85" s="349"/>
      <c r="IO85" s="21"/>
      <c r="IP85" s="29" t="str">
        <f t="shared" si="436"/>
        <v/>
      </c>
      <c r="IQ85" s="110"/>
      <c r="IR85" s="21"/>
      <c r="IS85" s="21"/>
      <c r="IT85" s="21"/>
      <c r="IU85" s="21"/>
      <c r="IV85" s="21"/>
      <c r="IW85" s="21"/>
      <c r="IX85" s="21"/>
      <c r="IY85" s="21"/>
      <c r="IZ85" s="21"/>
      <c r="JA85" s="21"/>
      <c r="JB85" s="30"/>
      <c r="JC85" s="21"/>
      <c r="JD85" s="36"/>
      <c r="JE85" s="21" t="str">
        <f t="shared" si="447"/>
        <v/>
      </c>
      <c r="JF85" s="30"/>
      <c r="JG85" s="21"/>
      <c r="JH85" s="21"/>
      <c r="JI85" s="21"/>
      <c r="JJ85" s="30"/>
      <c r="JK85" s="22"/>
      <c r="JL85" s="22"/>
      <c r="JM85" s="21"/>
      <c r="JN85" s="36"/>
      <c r="JO85" s="21" t="str">
        <f t="shared" si="448"/>
        <v/>
      </c>
      <c r="JP85" s="22"/>
      <c r="JQ85" s="21"/>
      <c r="JR85" s="21"/>
      <c r="JS85" s="21"/>
      <c r="JT85" s="30"/>
      <c r="JU85" s="22"/>
      <c r="JV85" s="22"/>
      <c r="JW85" s="33"/>
      <c r="JX85" s="28" t="str">
        <f t="shared" si="449"/>
        <v/>
      </c>
      <c r="JY85" s="33"/>
      <c r="JZ85" s="28" t="str">
        <f t="shared" si="450"/>
        <v/>
      </c>
      <c r="KA85" s="21"/>
      <c r="KB85" s="21"/>
      <c r="KC85" s="21"/>
      <c r="KD85" s="37"/>
      <c r="KE85" s="28"/>
      <c r="KF85" s="28"/>
      <c r="KG85" s="28"/>
      <c r="KH85" s="39"/>
      <c r="KI85" s="39"/>
      <c r="KJ85" s="66"/>
      <c r="KK85" s="39"/>
      <c r="KL85" s="39"/>
      <c r="KM85" s="66"/>
      <c r="KN85" s="39"/>
      <c r="KO85" s="39"/>
      <c r="KP85" s="39"/>
      <c r="KQ85" s="39"/>
      <c r="KR85" s="39"/>
      <c r="KS85" s="39"/>
      <c r="KT85" s="39"/>
      <c r="KU85" s="38"/>
      <c r="KV85" s="38"/>
      <c r="KW85" s="38"/>
      <c r="KX85" s="38"/>
      <c r="KY85" s="38"/>
      <c r="KZ85" s="38"/>
      <c r="LA85" s="38"/>
      <c r="LB85" s="38"/>
      <c r="LC85" s="38"/>
      <c r="LD85" s="38"/>
      <c r="LE85" s="38"/>
      <c r="LF85" s="38"/>
      <c r="LG85" s="38"/>
      <c r="LH85" s="38"/>
      <c r="LI85" s="38"/>
      <c r="LJ85" s="38"/>
      <c r="LK85" s="38"/>
      <c r="LL85" s="38"/>
      <c r="LM85" s="38"/>
      <c r="LN85" s="38"/>
      <c r="LO85" s="38"/>
      <c r="LP85" s="38"/>
      <c r="LQ85" s="38"/>
      <c r="LR85" s="38"/>
      <c r="LS85" s="38"/>
      <c r="LT85" s="38"/>
      <c r="LU85" s="38"/>
      <c r="LV85" s="38"/>
      <c r="LW85" s="38"/>
      <c r="LX85" s="38"/>
      <c r="LY85" s="38"/>
      <c r="LZ85" s="38"/>
      <c r="MA85" s="38"/>
      <c r="MB85" s="38"/>
      <c r="MC85" s="38"/>
      <c r="MD85" s="38"/>
      <c r="ME85" s="38"/>
      <c r="MF85" s="38"/>
      <c r="MG85" s="38"/>
      <c r="MH85" s="43">
        <f t="shared" si="303"/>
        <v>0</v>
      </c>
      <c r="MI85" s="43" t="str">
        <f t="shared" si="304"/>
        <v/>
      </c>
      <c r="MJ85" s="43" t="str">
        <f t="shared" si="305"/>
        <v/>
      </c>
      <c r="MK85" s="43">
        <f t="shared" si="306"/>
        <v>0</v>
      </c>
      <c r="ML8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85" s="43">
        <f t="shared" si="307"/>
        <v>9</v>
      </c>
      <c r="MN85" s="43">
        <f t="shared" si="308"/>
        <v>1</v>
      </c>
      <c r="MO85" s="43">
        <f t="shared" si="309"/>
        <v>2023</v>
      </c>
      <c r="MP85" s="43" t="str">
        <f t="shared" si="310"/>
        <v>I TRIMESTRE AÑO</v>
      </c>
      <c r="MQ85" s="43">
        <f t="shared" si="311"/>
        <v>18.774638633377133</v>
      </c>
      <c r="MR85" s="43">
        <f t="shared" si="312"/>
        <v>0</v>
      </c>
      <c r="MS85" s="43" t="str">
        <f t="shared" si="313"/>
        <v>DE 14 A 19AÑOS</v>
      </c>
      <c r="MT85" s="43">
        <f t="shared" si="314"/>
        <v>0</v>
      </c>
      <c r="MU85" s="43">
        <f t="shared" si="315"/>
        <v>1</v>
      </c>
      <c r="MV85" s="43">
        <f t="shared" si="316"/>
        <v>0</v>
      </c>
      <c r="MW85" s="43">
        <f t="shared" si="317"/>
        <v>0</v>
      </c>
      <c r="MX85" s="43" t="str">
        <f t="shared" si="318"/>
        <v/>
      </c>
      <c r="MY85" s="43" t="str">
        <f t="shared" ca="1" si="451"/>
        <v/>
      </c>
      <c r="MZ85" s="43" t="str">
        <f t="shared" si="319"/>
        <v/>
      </c>
      <c r="NA85" s="43">
        <f t="shared" si="320"/>
        <v>0</v>
      </c>
      <c r="NB85" s="43" t="str">
        <f t="shared" si="321"/>
        <v/>
      </c>
      <c r="NC85" s="43" t="str">
        <f t="shared" si="322"/>
        <v/>
      </c>
      <c r="ND85" s="43">
        <f t="shared" ca="1" si="323"/>
        <v>1</v>
      </c>
      <c r="NE85" s="43">
        <f>IF(OR(O85&gt;0,R85&gt;0),SUM(COUNTIF(Tabla1[[#This Row],[AÑOS AL INICIO5 CPN]],"&gt;=40"),COUNTIF(AS85,"0"),COUNTIF(AR85,"SI"),COUNTIF(CC85,"SI"),COUNTIF(BQ85,"&gt;119"),COUNTIF(CI85,"&gt;=35")),"")</f>
        <v>1</v>
      </c>
      <c r="NF85" s="43">
        <f t="shared" si="324"/>
        <v>10.142857142857142</v>
      </c>
      <c r="NG85" s="43">
        <f t="shared" si="325"/>
        <v>0</v>
      </c>
      <c r="NH85" s="43">
        <f t="shared" si="326"/>
        <v>70.7</v>
      </c>
      <c r="NI8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CPN",P85="NO"),"Z",IF(AND(Tabla1[[#This Row],[CITA PROXIMO CONTROL]]="CITA MANUAL",Tabla1[[#This Row],[GESTANTES ACTUALES]]="ACTIVA INGRESO A CPN"),"W",IF(AND(Tabla1[[#This Row],[GESTANTES ACTUALES]]="SALIO PROGRAMA",IN85=""),"S",IF(AND(Tabla1[[#This Row],[CITA PROXIMO CONTROL]]&gt;0,IN85=""),(Tabla1[[#This Row],[CITA PROXIMO CONTROL]]-TODAY()),"SD"))))))))</f>
        <v>#REF!</v>
      </c>
      <c r="NJ85" s="43">
        <f>MONTH(Tabla1[[#This Row],[FECHA DE SALIDA  DEL PROGRAMA]])</f>
        <v>1</v>
      </c>
      <c r="NK85" s="43">
        <f>YEAR(Tabla1[[#This Row],[FECHA DE SALIDA  DEL PROGRAMA]])</f>
        <v>1900</v>
      </c>
      <c r="NL85" s="43" t="str">
        <f t="shared" si="327"/>
        <v>X</v>
      </c>
      <c r="NM85" s="43" t="str">
        <f t="shared" si="251"/>
        <v>NO</v>
      </c>
      <c r="NN85" s="43" t="str">
        <f ca="1">IF(AND(O85&gt;0,R85=""),"NO CPN",IF(AND(O85="",R85=""),"",IF(AND(R85&gt;0,Tabla1[[#This Row],[SEMANAS DE GESTACION ACTUALIZADAS]]&lt;=12),"NO APLICA",IF(AND(FH85&lt;&gt;"",FN85&lt;&gt;""),"SI","NO"))))</f>
        <v>NO</v>
      </c>
      <c r="NO85" s="43" t="str">
        <f ca="1">IF(AND(O85&gt;0,R85=""),"NO CPN",IF(AND(O85="",R85=""),"",IF(AND(R85&gt;0,Tabla1[[#This Row],[SEMANAS DE GESTACION ACTUALIZADAS]]&lt;=27),"NO APLICA",IF(AND(ES85&lt;&gt;"",FQ85&lt;&gt;"",GF85&lt;&gt;""),"SI","NO"))))</f>
        <v>NO</v>
      </c>
      <c r="NP85" s="204" t="str">
        <f t="shared" si="328"/>
        <v>I TRIM</v>
      </c>
      <c r="NQ85" s="21">
        <f t="shared" si="437"/>
        <v>10</v>
      </c>
      <c r="NR85" s="21" t="str">
        <f t="shared" ca="1" si="452"/>
        <v>REVISAR FUM O FECHA SALIDA PROGRAMA</v>
      </c>
      <c r="NS85" s="205">
        <f t="shared" ca="1" si="329"/>
        <v>2</v>
      </c>
      <c r="NT85" s="21">
        <f t="shared" ca="1" si="330"/>
        <v>1</v>
      </c>
      <c r="NU85" s="21" t="str">
        <f t="shared" ca="1" si="331"/>
        <v>POR DEFINIR</v>
      </c>
      <c r="NV85" s="21" t="str">
        <f t="shared" ca="1" si="332"/>
        <v>POR DEFINIR</v>
      </c>
      <c r="NW85" s="206" t="str">
        <f>IF(AND(O85="",R85=""),"",IF(OR(AND(Tabla1[[#This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85" s="207" t="str">
        <f t="shared" ca="1" si="333"/>
        <v>VACUNADA</v>
      </c>
      <c r="NY85" s="43">
        <f>ROW(Tabla1[[#This Row],['# DE TAMIZAJES SIFILIS TOMADOS ]])</f>
        <v>85</v>
      </c>
      <c r="NZ85" s="43" t="str">
        <f t="shared" si="334"/>
        <v>Menor</v>
      </c>
      <c r="OA85" s="43" t="str">
        <f t="shared" si="335"/>
        <v>NORMAL</v>
      </c>
      <c r="OB85" s="43" t="str">
        <f t="shared" si="336"/>
        <v/>
      </c>
      <c r="OC85" s="43" t="str">
        <f t="shared" si="337"/>
        <v/>
      </c>
      <c r="OD85" s="43" t="str">
        <f t="shared" si="338"/>
        <v/>
      </c>
      <c r="OE85" s="43" t="str">
        <f t="shared" si="339"/>
        <v/>
      </c>
      <c r="OF85" s="43" t="str">
        <f t="shared" si="340"/>
        <v/>
      </c>
      <c r="OG85" s="43" t="str">
        <f t="shared" si="341"/>
        <v/>
      </c>
      <c r="OH85" s="43" t="str">
        <f t="shared" si="342"/>
        <v/>
      </c>
      <c r="OI85" s="43" t="str">
        <f t="shared" si="343"/>
        <v/>
      </c>
      <c r="OJ85" s="43" t="str">
        <f t="shared" si="344"/>
        <v/>
      </c>
      <c r="OK85" s="43" t="str">
        <f t="shared" si="345"/>
        <v/>
      </c>
      <c r="OL85" s="43" t="str">
        <f t="shared" si="346"/>
        <v/>
      </c>
      <c r="OM85" s="43" t="str">
        <f t="shared" si="347"/>
        <v/>
      </c>
      <c r="ON85" s="43" t="str">
        <f t="shared" si="348"/>
        <v/>
      </c>
      <c r="OO85" s="43" t="str">
        <f t="shared" si="349"/>
        <v/>
      </c>
      <c r="OP85" s="43" t="str">
        <f t="shared" si="350"/>
        <v/>
      </c>
      <c r="OQ85" s="43" t="str">
        <f t="shared" si="351"/>
        <v/>
      </c>
      <c r="OR85" s="43" t="str">
        <f t="shared" si="352"/>
        <v/>
      </c>
      <c r="OS85" s="43" t="str">
        <f t="shared" si="353"/>
        <v/>
      </c>
      <c r="OT85" s="43" t="str">
        <f t="shared" si="354"/>
        <v/>
      </c>
      <c r="OU85" s="43" t="str">
        <f t="shared" si="355"/>
        <v/>
      </c>
      <c r="OV85" s="110" t="str">
        <f t="shared" si="356"/>
        <v/>
      </c>
      <c r="OW85" s="43" t="str">
        <f t="shared" si="357"/>
        <v/>
      </c>
      <c r="OX85" s="43" t="str">
        <f t="shared" si="358"/>
        <v/>
      </c>
      <c r="OY85" s="43" t="str">
        <f t="shared" si="359"/>
        <v/>
      </c>
      <c r="OZ85" s="43" t="str">
        <f t="shared" si="360"/>
        <v/>
      </c>
      <c r="PA85" s="43" t="str">
        <f t="shared" si="361"/>
        <v/>
      </c>
      <c r="PB85" s="43" t="str">
        <f t="shared" si="362"/>
        <v/>
      </c>
      <c r="PC85" s="43" t="str">
        <f t="shared" si="363"/>
        <v/>
      </c>
      <c r="PD85" s="43" t="str">
        <f t="shared" si="364"/>
        <v/>
      </c>
      <c r="PE85" s="43" t="str">
        <f t="shared" si="365"/>
        <v/>
      </c>
      <c r="PF85" s="43" t="str">
        <f t="shared" si="366"/>
        <v/>
      </c>
      <c r="PG85" s="43" t="str">
        <f t="shared" si="367"/>
        <v/>
      </c>
      <c r="PH85" s="43" t="str">
        <f t="shared" si="368"/>
        <v/>
      </c>
      <c r="PI85" s="43">
        <f t="shared" si="369"/>
        <v>21</v>
      </c>
      <c r="PJ85" s="43" t="str">
        <f t="shared" si="370"/>
        <v/>
      </c>
      <c r="PK85" s="43" t="str">
        <f t="shared" si="371"/>
        <v/>
      </c>
      <c r="PL85" s="43" t="str">
        <f t="shared" si="372"/>
        <v/>
      </c>
      <c r="PM85" s="43" t="str">
        <f t="shared" si="373"/>
        <v/>
      </c>
      <c r="PN85" s="43" t="str">
        <f t="shared" si="374"/>
        <v/>
      </c>
      <c r="PO85" s="43" t="str">
        <f t="shared" si="375"/>
        <v/>
      </c>
      <c r="PP85" s="43" t="str">
        <f t="shared" si="376"/>
        <v/>
      </c>
      <c r="PQ85" s="43" t="str">
        <f t="shared" si="377"/>
        <v/>
      </c>
      <c r="PR85" s="43" t="str">
        <f t="shared" si="378"/>
        <v/>
      </c>
      <c r="PS85" s="43" t="str">
        <f t="shared" si="379"/>
        <v/>
      </c>
      <c r="PT85" s="43" t="str">
        <f t="shared" si="380"/>
        <v/>
      </c>
      <c r="PU85" s="43" t="str">
        <f t="shared" si="381"/>
        <v/>
      </c>
      <c r="PV85" s="43" t="str">
        <f t="shared" si="382"/>
        <v>NORMAL</v>
      </c>
      <c r="PW85" s="43" t="str">
        <f t="shared" si="383"/>
        <v/>
      </c>
      <c r="PX85" s="43" t="str">
        <f t="shared" si="384"/>
        <v/>
      </c>
      <c r="PY85" s="43" t="str">
        <f t="shared" si="385"/>
        <v/>
      </c>
      <c r="PZ85" s="43" t="str">
        <f t="shared" si="386"/>
        <v/>
      </c>
      <c r="QA85" s="43" t="str">
        <f t="shared" si="387"/>
        <v/>
      </c>
      <c r="QB85" s="43" t="str">
        <f t="shared" si="388"/>
        <v/>
      </c>
      <c r="QC85" s="43" t="str">
        <f t="shared" si="389"/>
        <v/>
      </c>
      <c r="QD85" s="43" t="str">
        <f t="shared" si="390"/>
        <v/>
      </c>
      <c r="QE85" s="43" t="str">
        <f t="shared" si="391"/>
        <v/>
      </c>
      <c r="QF85" s="43" t="str">
        <f t="shared" si="392"/>
        <v/>
      </c>
      <c r="QG85" s="43" t="str">
        <f t="shared" si="393"/>
        <v/>
      </c>
      <c r="QH85" s="43" t="str">
        <f t="shared" si="394"/>
        <v/>
      </c>
      <c r="QI85" s="43" t="str">
        <f t="shared" si="395"/>
        <v/>
      </c>
      <c r="QJ85" s="43" t="str">
        <f t="shared" si="396"/>
        <v/>
      </c>
      <c r="QK85" s="43" t="str">
        <f t="shared" si="397"/>
        <v/>
      </c>
      <c r="QL85" s="43" t="str">
        <f t="shared" si="398"/>
        <v/>
      </c>
      <c r="QM85" s="43" t="str">
        <f t="shared" si="399"/>
        <v/>
      </c>
      <c r="QN85" s="43" t="str">
        <f t="shared" si="400"/>
        <v/>
      </c>
      <c r="QO85" s="43" t="str">
        <f t="shared" si="401"/>
        <v/>
      </c>
      <c r="QP85" s="43" t="str">
        <f t="shared" si="402"/>
        <v/>
      </c>
      <c r="QQ85" s="43" t="str">
        <f t="shared" si="403"/>
        <v/>
      </c>
      <c r="QR85" s="43">
        <f t="shared" si="433"/>
        <v>21</v>
      </c>
      <c r="QS85" s="43"/>
      <c r="QT85" s="21" t="str">
        <f t="shared" si="404"/>
        <v/>
      </c>
      <c r="QU85" s="21" t="str">
        <f t="shared" si="405"/>
        <v/>
      </c>
      <c r="QV85" s="21" t="str">
        <f t="shared" si="406"/>
        <v/>
      </c>
      <c r="QW85" s="21" t="str">
        <f t="shared" si="407"/>
        <v/>
      </c>
      <c r="QX85" s="21" t="str">
        <f t="shared" si="408"/>
        <v/>
      </c>
      <c r="QY85" s="21" t="str">
        <f t="shared" si="409"/>
        <v/>
      </c>
      <c r="QZ85" s="21" t="str">
        <f t="shared" si="410"/>
        <v/>
      </c>
      <c r="RA85" s="21" t="str">
        <f t="shared" si="411"/>
        <v/>
      </c>
      <c r="RB85" s="21" t="str">
        <f t="shared" si="412"/>
        <v/>
      </c>
      <c r="RC85" s="21" t="str">
        <f t="shared" si="413"/>
        <v/>
      </c>
      <c r="RD85" s="21" t="str">
        <f t="shared" si="414"/>
        <v/>
      </c>
      <c r="RE85" s="21" t="str">
        <f t="shared" si="415"/>
        <v/>
      </c>
      <c r="RF85" s="21" t="str">
        <f t="shared" si="416"/>
        <v/>
      </c>
      <c r="RG85" s="21" t="str">
        <f t="shared" si="417"/>
        <v/>
      </c>
      <c r="RH85" s="21" t="str">
        <f t="shared" si="418"/>
        <v/>
      </c>
      <c r="RI85" s="21" t="str">
        <f t="shared" si="419"/>
        <v/>
      </c>
      <c r="RJ85" s="21" t="str">
        <f t="shared" si="420"/>
        <v/>
      </c>
      <c r="RK85" s="21" t="str">
        <f t="shared" si="421"/>
        <v/>
      </c>
      <c r="RL85" s="21" t="str">
        <f t="shared" si="422"/>
        <v/>
      </c>
      <c r="RM85" s="21" t="str">
        <f t="shared" si="423"/>
        <v/>
      </c>
      <c r="RN85" s="21" t="str">
        <f t="shared" si="424"/>
        <v/>
      </c>
      <c r="RO85" s="21" t="str">
        <f t="shared" si="425"/>
        <v/>
      </c>
      <c r="RP85" s="21" t="str">
        <f t="shared" si="426"/>
        <v/>
      </c>
      <c r="RQ85" s="21" t="str">
        <f t="shared" si="427"/>
        <v/>
      </c>
      <c r="RR85" s="21" t="str">
        <f t="shared" si="428"/>
        <v/>
      </c>
      <c r="RS85" s="21" t="str">
        <f t="shared" si="429"/>
        <v/>
      </c>
      <c r="RT85" s="21" t="str">
        <f t="shared" si="430"/>
        <v/>
      </c>
      <c r="RU85" s="21" t="str">
        <f t="shared" si="431"/>
        <v/>
      </c>
      <c r="RV85" s="21">
        <f t="shared" si="432"/>
        <v>9</v>
      </c>
      <c r="RW85" s="284">
        <f>IF(OR(Tabla1[[#This Row],[FUM FORMULA CONFIABLE]]="",Tabla1[[#This Row],[FUM FORMULA CONFIABLE]]="SD"),"",IF(Tabla1[[#This Row],[FUM FORMULA CONFIABLE]]="CORREGIDA",Tabla1[[#This Row],[FUM X ECO 1]],Tabla1[[#This Row],[FUM x AMENORREA]]))</f>
        <v>44889</v>
      </c>
      <c r="RX85" s="21">
        <f>IF(AND(Tabla1[[#This Row],[FUM X ECO 1]]="",Tabla1[[#This Row],[FUM x AMENORREA]]=""),"",IF(AND(Tabla1[[#This Row],[FUM X ECO 1]]="",Tabla1[[#This Row],[FUM x AMENORREA]]&lt;&gt;""),"X",SUM(Tabla1[[#This Row],[FUM X ECO 1]]-Tabla1[[#This Row],[FUM x AMENORREA]])))</f>
        <v>0.30000000000291038</v>
      </c>
      <c r="RY85" s="21">
        <f t="shared" si="434"/>
        <v>0</v>
      </c>
    </row>
    <row r="86" spans="1:493" ht="45" customHeight="1" x14ac:dyDescent="0.25">
      <c r="A86" s="109" t="s">
        <v>1260</v>
      </c>
      <c r="B86" s="43"/>
      <c r="C86" s="43" t="s">
        <v>845</v>
      </c>
      <c r="D86" s="124"/>
      <c r="E86" s="43" t="s">
        <v>1261</v>
      </c>
      <c r="F86" s="43" t="s">
        <v>1262</v>
      </c>
      <c r="G86" s="43" t="s">
        <v>1263</v>
      </c>
      <c r="H86" s="43"/>
      <c r="I86" s="109" t="s">
        <v>851</v>
      </c>
      <c r="J86" s="110">
        <v>1059605939</v>
      </c>
      <c r="K86" s="43" t="s">
        <v>852</v>
      </c>
      <c r="L86" s="175" t="s">
        <v>853</v>
      </c>
      <c r="M86" s="22">
        <v>35816</v>
      </c>
      <c r="N86" s="213">
        <f t="shared" ca="1" si="252"/>
        <v>25.797260273972604</v>
      </c>
      <c r="O86" s="22">
        <v>44954</v>
      </c>
      <c r="P86" s="214" t="str">
        <f t="shared" si="438"/>
        <v>SI</v>
      </c>
      <c r="Q86" s="26" t="s">
        <v>855</v>
      </c>
      <c r="R86" s="22">
        <v>44954</v>
      </c>
      <c r="S86" s="21" t="s">
        <v>856</v>
      </c>
      <c r="T86" s="24" t="s">
        <v>690</v>
      </c>
      <c r="U86" s="21" t="s">
        <v>857</v>
      </c>
      <c r="V86" s="21" t="s">
        <v>858</v>
      </c>
      <c r="W86" s="21" t="s">
        <v>1236</v>
      </c>
      <c r="X86" s="21"/>
      <c r="Y86" s="21" t="s">
        <v>859</v>
      </c>
      <c r="Z86" s="21">
        <v>3223903286</v>
      </c>
      <c r="AA86" s="21" t="s">
        <v>860</v>
      </c>
      <c r="AB86" s="27" t="s">
        <v>861</v>
      </c>
      <c r="AC86" s="26" t="s">
        <v>888</v>
      </c>
      <c r="AD86" s="38"/>
      <c r="AE86" s="26" t="s">
        <v>854</v>
      </c>
      <c r="AF86" s="26" t="s">
        <v>854</v>
      </c>
      <c r="AG86" s="23" t="s">
        <v>864</v>
      </c>
      <c r="AH86" s="23" t="s">
        <v>864</v>
      </c>
      <c r="AI86" s="24" t="s">
        <v>863</v>
      </c>
      <c r="AJ86" s="23" t="s">
        <v>864</v>
      </c>
      <c r="AK86" s="220" t="str">
        <f>IF(AND(AD86="",AE86="",AF86="",AG86="",AH86="",AI86="",AJ86=""),"",IF(OR(Tabla1[[#This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EVALUACIÓN",IF(AND(O86="",R86=""),"",IF(AND(OR(O86&gt;0,R86&gt;0),NG86&gt;=0,NG86&lt;2),"SIN RIESGO",IF(AND(OR(O86&gt;0,R86&gt;0),NG86&gt;=2),"CON RIESGO","ASD")))))</f>
        <v>SIN RIESGO</v>
      </c>
      <c r="AL86" s="23" t="s">
        <v>864</v>
      </c>
      <c r="AM86" s="26" t="s">
        <v>864</v>
      </c>
      <c r="AN86" s="26" t="s">
        <v>864</v>
      </c>
      <c r="AO86" s="26" t="s">
        <v>864</v>
      </c>
      <c r="AP86" s="26" t="s">
        <v>864</v>
      </c>
      <c r="AQ86" s="26" t="s">
        <v>864</v>
      </c>
      <c r="AR86" s="26" t="s">
        <v>864</v>
      </c>
      <c r="AS86" s="21">
        <v>2</v>
      </c>
      <c r="AT86" s="21">
        <v>2</v>
      </c>
      <c r="AU86" s="21">
        <v>0</v>
      </c>
      <c r="AV86" s="26" t="s">
        <v>864</v>
      </c>
      <c r="AW86" s="21">
        <v>0</v>
      </c>
      <c r="AX86" s="26" t="s">
        <v>864</v>
      </c>
      <c r="AY86" s="26" t="s">
        <v>864</v>
      </c>
      <c r="AZ86" s="26" t="s">
        <v>864</v>
      </c>
      <c r="BA86" s="26" t="s">
        <v>864</v>
      </c>
      <c r="BB86" s="26" t="s">
        <v>864</v>
      </c>
      <c r="BC86" s="26" t="s">
        <v>864</v>
      </c>
      <c r="BD86" s="26" t="s">
        <v>864</v>
      </c>
      <c r="BE86" s="26" t="s">
        <v>864</v>
      </c>
      <c r="BF86" s="26" t="s">
        <v>864</v>
      </c>
      <c r="BG86" s="26" t="s">
        <v>864</v>
      </c>
      <c r="BH86" s="26" t="s">
        <v>864</v>
      </c>
      <c r="BI86" s="26" t="s">
        <v>864</v>
      </c>
      <c r="BJ86" s="26"/>
      <c r="BK86" s="26"/>
      <c r="BL86" s="26" t="s">
        <v>864</v>
      </c>
      <c r="BM86" s="26" t="s">
        <v>864</v>
      </c>
      <c r="BN86" s="22">
        <v>42634</v>
      </c>
      <c r="BO86" s="22">
        <v>44849</v>
      </c>
      <c r="BP86" s="21" t="s">
        <v>854</v>
      </c>
      <c r="BQ86" s="222">
        <f t="shared" si="254"/>
        <v>73.833333333333329</v>
      </c>
      <c r="BR86" s="223">
        <f t="shared" si="255"/>
        <v>44789.9</v>
      </c>
      <c r="BS86" s="224">
        <f t="shared" si="256"/>
        <v>15</v>
      </c>
      <c r="BT86" s="216" t="str">
        <f t="shared" si="257"/>
        <v>II TRIM</v>
      </c>
      <c r="BU86" s="214" t="str">
        <f t="shared" ca="1" si="258"/>
        <v/>
      </c>
      <c r="BV86" s="25"/>
      <c r="BW86" s="22">
        <v>44960</v>
      </c>
      <c r="BX86" s="28">
        <v>24.3</v>
      </c>
      <c r="BY86" s="28"/>
      <c r="BZ86" s="22">
        <v>45016</v>
      </c>
      <c r="CA86" s="21">
        <v>32.5</v>
      </c>
      <c r="CB86" s="26" t="s">
        <v>864</v>
      </c>
      <c r="CC86" s="26" t="s">
        <v>864</v>
      </c>
      <c r="CD86" s="26" t="s">
        <v>878</v>
      </c>
      <c r="CE86" s="26" t="s">
        <v>864</v>
      </c>
      <c r="CF86" s="22" t="s">
        <v>1517</v>
      </c>
      <c r="CG86" s="21">
        <v>1.58</v>
      </c>
      <c r="CH86" s="21">
        <v>57.5</v>
      </c>
      <c r="CI86" s="214">
        <f t="shared" si="259"/>
        <v>23.033167761576667</v>
      </c>
      <c r="CJ86" s="225" t="e">
        <f>IF(AND(CI86&lt;10,CH86="SD"),"SIN DATO PESO PREGESTACION O I TRIM",IF(AND(OR(R86&gt;0,O86&gt;0),CI86="X"),"INGRESAR DATO DE PESO",IF(CI86="SD","INGRESAR DATO DE TALLA Y PESO",IF(AND(OR(Tabla1[[#This Row],[MOMENTO EN QUE SE REALIZA EL PESO AL INGRESO A CPN]]="PREGESTACIÓN",NZ86="Menor"),CI86&lt;18.5),"BAJO PESO",IF(AND(OR(Tabla1[[#This Row],[MOMENTO EN QUE SE REALIZA EL PESO AL INGRESO A CPN]]="PREGESTACIÓN",NZ86="Menor"),CI86&lt;25),"NORMAL",IF(AND(OR(Tabla1[[#This Row],[MOMENTO EN QUE SE REALIZA EL PESO AL INGRESO A CPN]]="PREGESTACIÓN",NZ86="Menor"),CI86&lt;30),"SOBREPESO",IF(AND(OR(Tabla1[[#This Row],[MOMENTO EN QUE SE REALIZA EL PESO AL INGRESO A CPN]]="PREGESTACIÓN",NZ86="Menor"),CI86&gt;=30,CI86&lt;50),"OBESIDAD",IF(AND(BS86&gt;0,Tabla1[[#This Row],[MOMENTO EN QUE SE REALIZA EL PESO AL INGRESO A CPN]]="GESTACIÓN"),HLOOKUP(NZ86,$OA$2:PH86,NY86),""))))))))</f>
        <v>#REF!</v>
      </c>
      <c r="CK86" s="212">
        <f t="shared" si="260"/>
        <v>45044</v>
      </c>
      <c r="CL86" s="21"/>
      <c r="CM86" s="214">
        <f t="shared" si="261"/>
        <v>0</v>
      </c>
      <c r="CN86" s="216">
        <f t="shared" si="262"/>
        <v>27</v>
      </c>
      <c r="CO86" s="216" t="e">
        <f>IF(PI86="","",IF(PI86&gt;0,HLOOKUP(PI86,$PJ$2:QQ86,NY86),""))</f>
        <v>#REF!</v>
      </c>
      <c r="CP86" s="21"/>
      <c r="CQ86" s="216" t="e">
        <f>IF(QR86="Menor","NO APLICA-MENOR 13 SEM",IF(AND(CC86="SI",CN86&gt;23),"NO APLICA- GEMELAR",IF(QR86="","",IF(QR86&gt;0,HLOOKUP(QR86,$QS$2:RU86,NY86),""))))</f>
        <v>#REF!</v>
      </c>
      <c r="CR86" s="21"/>
      <c r="CS86" s="21"/>
      <c r="CT86" s="217" t="str">
        <f>IF(R86="","",IF(AND(BS86&gt;1,BS86&lt;12,Tabla1[[#This Row],[T.A. SISTOLICA - ANTES DE SEMANA 12]]="",Tabla1[[#This Row],[T.A. DIASTOLICA - ANTES DE SEMANA 12]]=""),"REGISTRE DATO TA ANTES SEMANA 12",IF(AND(BS86&gt;11,BS86&lt;43,Tabla1[[#This Row],[T.A. SISTOLICA - ANTES DE SEMANA 12]]="",Tabla1[[#This Row],[T.A. DIASTOLICA - ANTES DE SEMANA 12]]=""),"NO APLICA REGISTRO TA-INGRESO TARDIO",IF(AND(OR(O86&gt;0,R86&gt;0),OR(CR86&gt;=140,CS86&gt;=90)),"DEFINIR ESTADIO HTA",IF(AND(OR(O86&gt;0,R86&gt;0),AND(CR86&gt;120,CR86&lt;=139)),"PRE HTA SEGUIMIENTO",IF(AND(OR(O86&gt;0,R86&gt;0),AND(CS86&gt;80,CS86&lt;=89)),"PRE HTA SEGUIMIENTO",IF(AND(OR(O86&gt;0,R86&gt;0),AND(CR86&gt;=80,CR86&lt;=120)),"APARENTEMENTE NORMAL",IF(AND(OR(O86&gt;0,R86&gt;0),AND(CS86&gt;=50,CS86&lt;=80)),"APARENTEMENTE NORMAL",IF(AND(OR(O86&gt;0,R86&gt;0),AND(CR86&gt;1,CR86&lt;=70),AND(CS86&gt;1,CS86&lt;=40)),"HIPOTENSIÓN","")))))))))</f>
        <v>NO APLICA REGISTRO TA-INGRESO TARDIO</v>
      </c>
      <c r="CU86" s="21">
        <v>100</v>
      </c>
      <c r="CV86" s="21">
        <v>60</v>
      </c>
      <c r="CW86" s="217" t="str">
        <f ca="1">IF(R86="","",IF(AND(CN86&gt;19,CN86&lt;27,Tabla1[[#This Row],[T.A. SISTOLICA (Entre semana 20 y 26)]]="",Tabla1[[#This Row],[T.A. DIATOLICA (Entre semana 20 y 26)]]=""),"ACUDE A CONTROL SEM 20 A 26 REGISTRE TA AHORA",IF(AND(BS86&gt;1,BS86&lt;27,BU86&gt;19,Tabla1[[#This Row],[T.A. SISTOLICA (Entre semana 20 y 26)]]="",Tabla1[[#This Row],[T.A. DIATOLICA (Entre semana 20 y 26)]]=""),"COMPLETE REGISTRO TA CONTROL SEM 20 A26 ",IF(AND(BS86&gt;26,BS86&lt;43,Tabla1[[#This Row],[T.A. SISTOLICA (Entre semana 20 y 26)]]="",Tabla1[[#This Row],[T.A. DIATOLICA (Entre semana 20 y 26)]]=""),"NO APLICA REGISTRO TA-INGRESO TARDIO",IF(AND(OR(O86&gt;0,R86&gt;0),OR(CU86&gt;=140,CV86&gt;=90)),"ALTO RIESGO PREECLAMPSIA,DEFINIR ESTADIO HTA",IF(AND(OR(O86&gt;0,R86&gt;0),AND(CU86&gt;120,CU86&lt;=139)),"PRE HTA SEGUIMIENTO,RIESGO HIPERTENSION INDUCIDA POR EL EMBARAZO",IF(AND(OR(O86&gt;0,R86&gt;0),AND(CV86&gt;80,CV86&lt;=89)),"PRE HTA SEGUIMIENTO, RIESGO HIPERTENSION INDUCIDA POR EL EMBARAZO",IF(AND(OR(O86&lt;&gt;"",R86&lt;&gt;""),CS86&lt;&gt;"",CV86&lt;&gt;"",CS86&lt;=CV86),"VIGILAR CIFRAS PRESION ARTERIAL",IF(AND(OR(O86&gt;0,R86&gt;0),AND(CU86&gt;120,CU86&lt;=139)),"PRE HTA SEGUIMIENTO",IF(AND(OR(O86&gt;0,R86&gt;0),AND(CU86&gt;1,CU86&lt;=70),AND(CV86&gt;1,CV86&lt;=40)),"HIPOTENSIÓN",IF(AND(OR(O86&lt;&gt;"",R86&lt;&gt;""),CS86&lt;&gt;"",CV86&lt;&gt;"",CS86&gt;CV86),"APARENTEMENTE NORMAL",IF(AND(OR(O86&gt;0,R86&gt;0),AND(CU86&gt;=80,CU86&lt;=120)),"APARENTEMENTE NORMAL",IF(AND(OR(O86&gt;0,R86&gt;0),AND(CV86&gt;=50,CV86&lt;=80)),"APARENTEMENTE NORMAL","")))))))))))))</f>
        <v>APARENTEMENTE NORMAL</v>
      </c>
      <c r="CX86" s="21"/>
      <c r="CY86" s="21"/>
      <c r="CZ86" s="216" t="str">
        <f t="shared" si="263"/>
        <v/>
      </c>
      <c r="DA86" s="21"/>
      <c r="DB86" s="21"/>
      <c r="DC86" s="217" t="str">
        <f t="shared" si="264"/>
        <v>REGISTRE DATO PRESIÓN ARTERIAL MENSUAL</v>
      </c>
      <c r="DD86" s="22">
        <v>44954</v>
      </c>
      <c r="DE86" s="22">
        <v>44954</v>
      </c>
      <c r="DF86" s="22">
        <v>44985</v>
      </c>
      <c r="DG86" s="22">
        <v>45014</v>
      </c>
      <c r="DH86" s="22">
        <v>45044</v>
      </c>
      <c r="DI86" s="22"/>
      <c r="DJ86" s="22"/>
      <c r="DK86" s="22"/>
      <c r="DL86" s="22"/>
      <c r="DM86" s="22"/>
      <c r="DN86" s="22"/>
      <c r="DO86" s="22"/>
      <c r="DP86" s="22"/>
      <c r="DQ86" s="22"/>
      <c r="DR86" s="28">
        <v>1</v>
      </c>
      <c r="DS86" s="22"/>
      <c r="DT86" s="22"/>
      <c r="DU86" s="216" t="str">
        <f t="shared" ca="1" si="439"/>
        <v>SALE PROGRAMA ANTES SEMANA 35</v>
      </c>
      <c r="DV86" s="226" t="str">
        <f t="shared" si="440"/>
        <v>SALIO PROGRAMA</v>
      </c>
      <c r="DW86"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86" s="216" t="str">
        <f t="shared" ca="1" si="266"/>
        <v/>
      </c>
      <c r="DY86" s="212">
        <f>IF(R86="","",IF(R86&gt;0,MAX(Tabla1[[#This Row],[FECHA C2]:[FECHA C13]],Tabla1[[#This Row],[FECHA CONSULTA PRIMERA VEZ PROGRAMA CPN ]])))</f>
        <v>45044</v>
      </c>
      <c r="DZ86" s="216">
        <f t="shared" si="267"/>
        <v>27</v>
      </c>
      <c r="EA86" s="222">
        <f>IF(R86&gt;0,SUM(COUNTA(DF86:DQ86)+COUNTA(Tabla1[[#This Row],[FECHA CONSULTA PRIMERA VEZ PROGRAMA CPN ]])),"")</f>
        <v>4</v>
      </c>
      <c r="EB86" s="222" t="str">
        <f t="shared" si="268"/>
        <v>SI</v>
      </c>
      <c r="EC86" s="214">
        <f t="shared" si="269"/>
        <v>8</v>
      </c>
      <c r="ED86" s="227">
        <f t="shared" si="270"/>
        <v>0.5</v>
      </c>
      <c r="EE86" s="22">
        <v>44954</v>
      </c>
      <c r="EF86" s="22">
        <v>44957</v>
      </c>
      <c r="EG86" s="22">
        <v>44954</v>
      </c>
      <c r="EH86" s="22"/>
      <c r="EI86" s="22">
        <v>44954</v>
      </c>
      <c r="EJ86" s="22"/>
      <c r="EK86" s="22"/>
      <c r="EL86" s="21"/>
      <c r="EM86" s="21">
        <v>12.1</v>
      </c>
      <c r="EN86" s="22">
        <v>44944</v>
      </c>
      <c r="EO86" s="222">
        <f t="shared" si="271"/>
        <v>13.571428571428571</v>
      </c>
      <c r="EP86" s="214" t="str">
        <f t="shared" si="272"/>
        <v>NORMAL- SUMINISTRAR SULFATO FERROSO</v>
      </c>
      <c r="EQ86" s="216" t="str">
        <f t="shared" si="273"/>
        <v>II TRIM</v>
      </c>
      <c r="ER86" s="24"/>
      <c r="ES86" s="22"/>
      <c r="ET86" s="29" t="str">
        <f t="shared" ca="1" si="441"/>
        <v>SALE SIN TAMIZAJE HEMOGLOBINA SEM 28</v>
      </c>
      <c r="EU86" s="25" t="str">
        <f t="shared" si="275"/>
        <v/>
      </c>
      <c r="EV86" s="24" t="s">
        <v>926</v>
      </c>
      <c r="EW86" s="24">
        <v>44985</v>
      </c>
      <c r="EX86" s="22"/>
      <c r="EY86" s="29">
        <f t="shared" si="248"/>
        <v>19.428571428571427</v>
      </c>
      <c r="EZ86" s="25" t="str">
        <f t="shared" ca="1" si="249"/>
        <v/>
      </c>
      <c r="FA86" s="21">
        <v>79</v>
      </c>
      <c r="FB86" s="22">
        <v>44985</v>
      </c>
      <c r="FC86" s="29">
        <f t="shared" si="276"/>
        <v>19.428571428571427</v>
      </c>
      <c r="FD86" s="29">
        <v>64</v>
      </c>
      <c r="FE86" s="29">
        <v>120</v>
      </c>
      <c r="FF86" s="29">
        <v>92</v>
      </c>
      <c r="FG86" s="21" t="str">
        <f t="shared" si="277"/>
        <v xml:space="preserve">NORMAL, NO DESCARTA DIABETES POR REALIZARLO ANTES DE  SEMANA 24, </v>
      </c>
      <c r="FH86" s="31">
        <v>44995</v>
      </c>
      <c r="FI86" s="29">
        <f t="shared" si="278"/>
        <v>20.857142857142858</v>
      </c>
      <c r="FJ86" s="22"/>
      <c r="FK86" s="22"/>
      <c r="FL86" s="29" t="str">
        <f t="shared" ca="1" si="279"/>
        <v>NO APLICA-INGRESO TARDIO</v>
      </c>
      <c r="FM86" s="22" t="s">
        <v>867</v>
      </c>
      <c r="FN86" s="32">
        <v>44985</v>
      </c>
      <c r="FO86" s="29">
        <f t="shared" ca="1" si="442"/>
        <v>19.428571428571427</v>
      </c>
      <c r="FP86" s="22"/>
      <c r="FQ86" s="32"/>
      <c r="FR86" s="29" t="str">
        <f t="shared" ca="1" si="443"/>
        <v>PIERDE TOMA DE TAMIZAJE</v>
      </c>
      <c r="FS86" s="22"/>
      <c r="FT86" s="32"/>
      <c r="FU86" s="29" t="str">
        <f>IF(AND(FJ86="",FM86="",FP86="",FS86=""),"",IF(OR(OR(Tabla1[[#This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86" s="28"/>
      <c r="FW86" s="22"/>
      <c r="FX86" s="29" t="str">
        <f t="shared" si="280"/>
        <v>TOMAR EXAMEN</v>
      </c>
      <c r="FY86" s="22">
        <v>44954</v>
      </c>
      <c r="FZ86" s="22">
        <v>44954</v>
      </c>
      <c r="GA86" s="29" t="str">
        <f t="shared" si="250"/>
        <v>REGISTRAR EN II TRIMESTRE</v>
      </c>
      <c r="GB86" s="22"/>
      <c r="GC86" s="22"/>
      <c r="GD86" s="29" t="str">
        <f t="shared" ca="1" si="444"/>
        <v>PIERDE TOMA DE TAMIZAJE</v>
      </c>
      <c r="GE86" s="22"/>
      <c r="GF86" s="22"/>
      <c r="GG86" s="29" t="str">
        <f t="shared" ca="1" si="445"/>
        <v>PIERDE TOMA DE TAMIZAJE</v>
      </c>
      <c r="GH86" s="22"/>
      <c r="GI86" s="29"/>
      <c r="GJ86" s="22"/>
      <c r="GK86" s="22"/>
      <c r="GL86" s="22"/>
      <c r="GM86" s="22"/>
      <c r="GN86" s="28" t="s">
        <v>869</v>
      </c>
      <c r="GO86" s="22">
        <v>44954</v>
      </c>
      <c r="GP86" s="29">
        <f t="shared" si="283"/>
        <v>15</v>
      </c>
      <c r="GQ86" s="28" t="s">
        <v>869</v>
      </c>
      <c r="GR86" s="28" t="s">
        <v>869</v>
      </c>
      <c r="GS86" s="22" t="str">
        <f t="shared" si="284"/>
        <v>CONTROL Igm</v>
      </c>
      <c r="GT86" s="22">
        <v>44954</v>
      </c>
      <c r="GU86" s="29">
        <f t="shared" si="285"/>
        <v>15</v>
      </c>
      <c r="GV86" s="21" t="str">
        <f t="shared" si="286"/>
        <v>II TRIM</v>
      </c>
      <c r="GW86" s="28" t="s">
        <v>869</v>
      </c>
      <c r="GX86" s="30"/>
      <c r="GY86" s="21"/>
      <c r="GZ86" s="21"/>
      <c r="HA86" s="21"/>
      <c r="HB86" s="21"/>
      <c r="HC86" s="21"/>
      <c r="HD86" s="21"/>
      <c r="HE86" s="21"/>
      <c r="HF86" s="22"/>
      <c r="HG86" s="22" t="str">
        <f>IF(OR(O86&gt;0,R86&gt;0),CONCATENATE(IF(Tabla1[[#This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86" s="22" t="e">
        <f t="shared" si="287"/>
        <v>#REF!</v>
      </c>
      <c r="HI86" s="22" t="e">
        <f t="shared" ca="1" si="288"/>
        <v>#REF!</v>
      </c>
      <c r="HJ86" s="21" t="str">
        <f t="shared" ca="1" si="289"/>
        <v>***************************************</v>
      </c>
      <c r="HK86" s="21" t="str">
        <f t="shared" si="290"/>
        <v>SIN ANTECEDENTES DE RIESGO</v>
      </c>
      <c r="HL86" s="24" t="str">
        <f t="shared" si="291"/>
        <v>REGISTRE DATO PRESIÓN ARTERIAL MENSUAL</v>
      </c>
      <c r="HM86" s="21" t="str">
        <f t="shared" ca="1" si="292"/>
        <v/>
      </c>
      <c r="HN86" s="30" t="str">
        <f t="shared" si="446"/>
        <v>SALIO PROGRAMA</v>
      </c>
      <c r="HO86" s="21"/>
      <c r="HP86" s="21"/>
      <c r="HQ86" s="21">
        <v>44954</v>
      </c>
      <c r="HR86" s="21" t="str">
        <f>IF(R86="","",IF(Tabla1[[#This Row],[ALARMA FACTORES DE RIESGO COMPLICACIONES HIPERTENSIVAS3]]="SIN ANTECEDENTES DE RIESGO","No Aplica para suministro de ASA",IF(AND(Tabla1[[#This Row],[FECHA INICIO DE SUMINISTRO DE ASA]]&gt;0,RV86&lt;12),"Inicia ASA ANTES de Sem 12",IF(AND(RV86&gt;11,RV86&lt;17,OR(HK86="RIESGO ALTO DE COMPLICACIONES HIPERTENSIVAS VER MANEJO GUIA SUMINISTRO ASA Y CALCIO",HK86="RIESGO MODERADO (2 O MAS CRITERIOS) VER MANEJO GUIA SUMINISTRO ASA Y CALCIO")),"Inicio oportuno de ASA",IF(AND(RV86&gt;12,OR(HK86="RIESGO ALTO DE COMPLICACIONES HIPERTENSIVAS VER MANEJO GUIA SUMINISTRO ASA Y CALCIO",HK86="RIESGO MODERADO (2 O MAS CRITERIOS) VER MANEJO GUIA SUMINISTRO ASA Y CALCIO")),"Inicio no oportuno mayor a 16 semanas",IF(AND(BU86&lt;12,OR(HK86="RIESGO ALTO DE COMPLICACIONES HIPERTENSIVAS VER MANEJO GUIA SUMINISTRO ASA Y CALCIO",HK86="RIESGO MODERADO (2 O MAS CRITERIOS) VER MANEJO GUIA SUMINISTRO ASA Y CALCIO")),"Pendiente Inicio de ASA a la semana 12",IF(AND(BU86&gt;11,BU86&lt;17,OR(HK86="RIESGO ALTO DE COMPLICACIONES HIPERTENSIVAS VER MANEJO GUIA SUMINISTRO ASA Y CALCIO",HK86="RIESGO MODERADO (2 O MAS CRITERIOS) VER MANEJO GUIA SUMINISTRO ASA Y CALCIO")),"Iniciar de inmediato ASA",IF(AND(BU86&gt;16,OR(HK86="RIESGO ALTO DE COMPLICACIONES HIPERTENSIVAS VER MANEJO GUIA SUMINISTRO ASA Y CALCIO",HK86="RIESGO MODERADO (2 O MAS CRITERIOS) VER MANEJO GUIA SUMINISTRO ASA Y CALCIO")),"Pierde Oportunidad, Inicio tardío de ASA","XXXXX"))))))))</f>
        <v>No Aplica para suministro de ASA</v>
      </c>
      <c r="HS86" s="22">
        <v>44954</v>
      </c>
      <c r="HT86" s="22" t="s">
        <v>870</v>
      </c>
      <c r="HU86" s="22">
        <v>44954</v>
      </c>
      <c r="HV86" s="22" t="s">
        <v>935</v>
      </c>
      <c r="HW86" s="22">
        <v>44954</v>
      </c>
      <c r="HX86" s="22" t="s">
        <v>870</v>
      </c>
      <c r="HY86" s="22">
        <v>44954</v>
      </c>
      <c r="HZ86" s="28">
        <f t="shared" si="293"/>
        <v>15</v>
      </c>
      <c r="IA86" s="26"/>
      <c r="IB86" s="26"/>
      <c r="IC86" s="111"/>
      <c r="ID86" s="22"/>
      <c r="IE86" s="22" t="str">
        <f t="shared" ca="1" si="294"/>
        <v>SALE SIN VACUNA</v>
      </c>
      <c r="IF86" s="22"/>
      <c r="IG86" s="22">
        <f t="shared" si="295"/>
        <v>45129</v>
      </c>
      <c r="IH86" s="29">
        <f t="shared" ca="1" si="296"/>
        <v>-103</v>
      </c>
      <c r="II86" s="22" t="str">
        <f t="shared" ca="1" si="297"/>
        <v>POSIBLEMENTE NACIO</v>
      </c>
      <c r="IJ86" s="22"/>
      <c r="IK86" s="21" t="s">
        <v>898</v>
      </c>
      <c r="IL86" s="21"/>
      <c r="IM86" s="34"/>
      <c r="IN86" s="349">
        <v>45052</v>
      </c>
      <c r="IO86" s="21" t="s">
        <v>1186</v>
      </c>
      <c r="IP86" s="29">
        <f t="shared" si="436"/>
        <v>29</v>
      </c>
      <c r="IQ86" s="35" t="s">
        <v>1650</v>
      </c>
      <c r="IR86" s="21" t="s">
        <v>1651</v>
      </c>
      <c r="IS86" s="21" t="s">
        <v>1646</v>
      </c>
      <c r="IT86" s="21" t="s">
        <v>1642</v>
      </c>
      <c r="IU86" s="21"/>
      <c r="IV86" s="21"/>
      <c r="IW86" s="21"/>
      <c r="IX86" s="21"/>
      <c r="IY86" s="21"/>
      <c r="IZ86" s="21"/>
      <c r="JA86" s="21"/>
      <c r="JB86" s="30">
        <v>1</v>
      </c>
      <c r="JC86" s="21" t="s">
        <v>1647</v>
      </c>
      <c r="JD86" s="36">
        <v>2920</v>
      </c>
      <c r="JE86" s="21" t="str">
        <f t="shared" si="447"/>
        <v>ERROR VERIFICAR DATO EDAD GESTACIONAL VS PESO</v>
      </c>
      <c r="JF86" s="30"/>
      <c r="JG86" s="21"/>
      <c r="JH86" s="21"/>
      <c r="JI86" s="21" t="s">
        <v>854</v>
      </c>
      <c r="JJ86" s="30" t="s">
        <v>866</v>
      </c>
      <c r="JK86" s="22"/>
      <c r="JL86" s="22"/>
      <c r="JM86" s="21"/>
      <c r="JN86" s="36"/>
      <c r="JO86" s="21" t="str">
        <f t="shared" si="448"/>
        <v/>
      </c>
      <c r="JP86" s="22"/>
      <c r="JQ86" s="21"/>
      <c r="JR86" s="21"/>
      <c r="JS86" s="21"/>
      <c r="JT86" s="30"/>
      <c r="JU86" s="22"/>
      <c r="JV86" s="22"/>
      <c r="JW86" s="33"/>
      <c r="JX86" s="28" t="str">
        <f t="shared" si="449"/>
        <v>INASISTENTE</v>
      </c>
      <c r="JY86" s="33"/>
      <c r="JZ86" s="28" t="str">
        <f t="shared" si="450"/>
        <v>INASISTENTE</v>
      </c>
      <c r="KA86" s="21"/>
      <c r="KB86" s="21"/>
      <c r="KC86" s="21"/>
      <c r="KD86" s="37"/>
      <c r="KE86" s="28"/>
      <c r="KF86" s="28"/>
      <c r="KG86" s="28"/>
      <c r="KH86" s="39"/>
      <c r="KI86" s="39"/>
      <c r="KJ86" s="66"/>
      <c r="KK86" s="39"/>
      <c r="KL86" s="39"/>
      <c r="KM86" s="66"/>
      <c r="KN86" s="39"/>
      <c r="KO86" s="39"/>
      <c r="KP86" s="39"/>
      <c r="KQ86" s="39"/>
      <c r="KR86" s="39"/>
      <c r="KS86" s="39"/>
      <c r="KT86" s="39"/>
      <c r="KU86" s="38"/>
      <c r="KV86" s="38"/>
      <c r="KW86" s="38"/>
      <c r="KX86" s="38"/>
      <c r="KY86" s="38"/>
      <c r="KZ86" s="38"/>
      <c r="LA86" s="38"/>
      <c r="LB86" s="38"/>
      <c r="LC86" s="38"/>
      <c r="LD86" s="38"/>
      <c r="LE86" s="38"/>
      <c r="LF86" s="38"/>
      <c r="LG86" s="38"/>
      <c r="LH86" s="38"/>
      <c r="LI86" s="38"/>
      <c r="LJ86" s="38"/>
      <c r="LK86" s="38"/>
      <c r="LL86" s="38"/>
      <c r="LM86" s="38"/>
      <c r="LN86" s="38"/>
      <c r="LO86" s="38"/>
      <c r="LP86" s="38"/>
      <c r="LQ86" s="38"/>
      <c r="LR86" s="38"/>
      <c r="LS86" s="38"/>
      <c r="LT86" s="38"/>
      <c r="LU86" s="38"/>
      <c r="LV86" s="38"/>
      <c r="LW86" s="38"/>
      <c r="LX86" s="38"/>
      <c r="LY86" s="38"/>
      <c r="LZ86" s="38"/>
      <c r="MA86" s="38"/>
      <c r="MB86" s="38"/>
      <c r="MC86" s="38"/>
      <c r="MD86" s="38"/>
      <c r="ME86" s="38"/>
      <c r="MF86" s="38"/>
      <c r="MG86" s="38"/>
      <c r="MH86" s="43">
        <f t="shared" si="303"/>
        <v>0</v>
      </c>
      <c r="MI86" s="43" t="str">
        <f t="shared" si="304"/>
        <v/>
      </c>
      <c r="MJ86" s="43" t="str">
        <f t="shared" si="305"/>
        <v/>
      </c>
      <c r="MK86" s="43">
        <f t="shared" si="306"/>
        <v>0</v>
      </c>
      <c r="ML8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86" s="43">
        <f t="shared" si="307"/>
        <v>15</v>
      </c>
      <c r="MN86" s="43">
        <f t="shared" si="308"/>
        <v>1</v>
      </c>
      <c r="MO86" s="43">
        <f t="shared" si="309"/>
        <v>2023</v>
      </c>
      <c r="MP86" s="43" t="str">
        <f t="shared" si="310"/>
        <v>I TRIMESTRE AÑO</v>
      </c>
      <c r="MQ86" s="43">
        <f t="shared" si="311"/>
        <v>24.6577967586509</v>
      </c>
      <c r="MR86" s="43">
        <f t="shared" si="312"/>
        <v>0</v>
      </c>
      <c r="MS86" s="43" t="str">
        <f t="shared" si="313"/>
        <v xml:space="preserve"> DE 20 A 24 AÑOS</v>
      </c>
      <c r="MT86" s="43">
        <f t="shared" si="314"/>
        <v>0</v>
      </c>
      <c r="MU86" s="43">
        <f t="shared" si="315"/>
        <v>0</v>
      </c>
      <c r="MV86" s="43">
        <f t="shared" si="316"/>
        <v>0</v>
      </c>
      <c r="MW86" s="43">
        <f t="shared" si="317"/>
        <v>0</v>
      </c>
      <c r="MX86" s="43" t="str">
        <f t="shared" si="318"/>
        <v/>
      </c>
      <c r="MY86" s="43" t="str">
        <f t="shared" ca="1" si="451"/>
        <v/>
      </c>
      <c r="MZ86" s="43" t="str">
        <f t="shared" si="319"/>
        <v/>
      </c>
      <c r="NA86" s="43">
        <f t="shared" si="320"/>
        <v>0</v>
      </c>
      <c r="NB86" s="43" t="str">
        <f t="shared" si="321"/>
        <v/>
      </c>
      <c r="NC86" s="43" t="str">
        <f t="shared" si="322"/>
        <v/>
      </c>
      <c r="ND86" s="43">
        <f t="shared" ca="1" si="323"/>
        <v>0</v>
      </c>
      <c r="NE86" s="43">
        <f>IF(OR(O86&gt;0,R86&gt;0),SUM(COUNTIF(Tabla1[[#This Row],[AÑOS AL INICIO5 CPN]],"&gt;=40"),COUNTIF(AS86,"0"),COUNTIF(AR86,"SI"),COUNTIF(CC86,"SI"),COUNTIF(BQ86,"&gt;119"),COUNTIF(CI86,"&gt;=35")),"")</f>
        <v>0</v>
      </c>
      <c r="NF86" s="43" t="str">
        <f t="shared" si="324"/>
        <v/>
      </c>
      <c r="NG86" s="43">
        <f t="shared" si="325"/>
        <v>0</v>
      </c>
      <c r="NH86" s="43">
        <f t="shared" si="326"/>
        <v>170.1</v>
      </c>
      <c r="NI86"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CPN",P86="NO"),"Z",IF(AND(Tabla1[[#This Row],[CITA PROXIMO CONTROL]]="CITA MANUAL",Tabla1[[#This Row],[GESTANTES ACTUALES]]="ACTIVA INGRESO A CPN"),"W",IF(AND(Tabla1[[#This Row],[GESTANTES ACTUALES]]="SALIO PROGRAMA",IN86=""),"S",IF(AND(Tabla1[[#This Row],[CITA PROXIMO CONTROL]]&gt;0,IN86=""),(Tabla1[[#This Row],[CITA PROXIMO CONTROL]]-TODAY()),"SD"))))))))</f>
        <v>SD</v>
      </c>
      <c r="NJ86" s="43">
        <f>MONTH(Tabla1[[#This Row],[FECHA DE SALIDA  DEL PROGRAMA]])</f>
        <v>5</v>
      </c>
      <c r="NK86" s="43">
        <f>YEAR(Tabla1[[#This Row],[FECHA DE SALIDA  DEL PROGRAMA]])</f>
        <v>2023</v>
      </c>
      <c r="NL86" s="43" t="str">
        <f t="shared" si="327"/>
        <v>X</v>
      </c>
      <c r="NM86" s="43" t="str">
        <f t="shared" si="251"/>
        <v>NO</v>
      </c>
      <c r="NN86" s="43" t="str">
        <f ca="1">IF(AND(O86&gt;0,R86=""),"NO CPN",IF(AND(O86="",R86=""),"",IF(AND(R86&gt;0,Tabla1[[#This Row],[SEMANAS DE GESTACION ACTUALIZADAS]]&lt;=12),"NO APLICA",IF(AND(FH86&lt;&gt;"",FN86&lt;&gt;""),"SI","NO"))))</f>
        <v>SI</v>
      </c>
      <c r="NO86" s="43" t="str">
        <f ca="1">IF(AND(O86&gt;0,R86=""),"NO CPN",IF(AND(O86="",R86=""),"",IF(AND(R86&gt;0,Tabla1[[#This Row],[SEMANAS DE GESTACION ACTUALIZADAS]]&lt;=27),"NO APLICA",IF(AND(ES86&lt;&gt;"",FQ86&lt;&gt;"",GF86&lt;&gt;""),"SI","NO"))))</f>
        <v>NO</v>
      </c>
      <c r="NP86" s="204" t="str">
        <f t="shared" si="328"/>
        <v>II TRIM</v>
      </c>
      <c r="NQ86" s="21">
        <f t="shared" si="437"/>
        <v>10</v>
      </c>
      <c r="NR86" s="21">
        <f t="shared" si="452"/>
        <v>2</v>
      </c>
      <c r="NS86" s="205">
        <f t="shared" ca="1" si="329"/>
        <v>1</v>
      </c>
      <c r="NT86" s="21">
        <f t="shared" ca="1" si="330"/>
        <v>0</v>
      </c>
      <c r="NU86" s="21" t="str">
        <f t="shared" ca="1" si="331"/>
        <v>INCOMPLETO</v>
      </c>
      <c r="NV86" s="21" t="str">
        <f t="shared" ca="1" si="332"/>
        <v>INCOMPLETO</v>
      </c>
      <c r="NW86" s="206" t="str">
        <f>IF(AND(O86="",R86=""),"",IF(OR(AND(Tabla1[[#This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86" s="207" t="str">
        <f t="shared" ca="1" si="333"/>
        <v>SIN VACUNAR</v>
      </c>
      <c r="NY86" s="43">
        <f>ROW(Tabla1[[#This Row],['# DE TAMIZAJES SIFILIS TOMADOS ]])</f>
        <v>86</v>
      </c>
      <c r="NZ86" s="43">
        <f t="shared" si="334"/>
        <v>15</v>
      </c>
      <c r="OA86" s="43" t="str">
        <f t="shared" si="335"/>
        <v/>
      </c>
      <c r="OB86" s="43" t="str">
        <f t="shared" si="336"/>
        <v/>
      </c>
      <c r="OC86" s="43" t="str">
        <f t="shared" si="337"/>
        <v/>
      </c>
      <c r="OD86" s="43" t="str">
        <f t="shared" si="338"/>
        <v/>
      </c>
      <c r="OE86" s="43" t="str">
        <f t="shared" si="339"/>
        <v/>
      </c>
      <c r="OF86" s="43" t="str">
        <f t="shared" si="340"/>
        <v/>
      </c>
      <c r="OG86" s="43" t="str">
        <f t="shared" si="341"/>
        <v>NORMAL</v>
      </c>
      <c r="OH86" s="43" t="str">
        <f t="shared" si="342"/>
        <v/>
      </c>
      <c r="OI86" s="43" t="str">
        <f t="shared" si="343"/>
        <v/>
      </c>
      <c r="OJ86" s="43" t="str">
        <f t="shared" si="344"/>
        <v/>
      </c>
      <c r="OK86" s="43" t="str">
        <f t="shared" si="345"/>
        <v/>
      </c>
      <c r="OL86" s="43" t="str">
        <f t="shared" si="346"/>
        <v/>
      </c>
      <c r="OM86" s="43" t="str">
        <f t="shared" si="347"/>
        <v/>
      </c>
      <c r="ON86" s="43" t="str">
        <f t="shared" si="348"/>
        <v/>
      </c>
      <c r="OO86" s="43" t="str">
        <f t="shared" si="349"/>
        <v/>
      </c>
      <c r="OP86" s="43" t="str">
        <f t="shared" si="350"/>
        <v/>
      </c>
      <c r="OQ86" s="43" t="str">
        <f t="shared" si="351"/>
        <v/>
      </c>
      <c r="OR86" s="43" t="str">
        <f t="shared" si="352"/>
        <v/>
      </c>
      <c r="OS86" s="43" t="str">
        <f t="shared" si="353"/>
        <v/>
      </c>
      <c r="OT86" s="43" t="str">
        <f t="shared" si="354"/>
        <v/>
      </c>
      <c r="OU86" s="43" t="str">
        <f t="shared" si="355"/>
        <v/>
      </c>
      <c r="OV86" s="110" t="str">
        <f t="shared" si="356"/>
        <v/>
      </c>
      <c r="OW86" s="43" t="str">
        <f t="shared" si="357"/>
        <v/>
      </c>
      <c r="OX86" s="43" t="str">
        <f t="shared" si="358"/>
        <v/>
      </c>
      <c r="OY86" s="43" t="str">
        <f t="shared" si="359"/>
        <v/>
      </c>
      <c r="OZ86" s="43" t="str">
        <f t="shared" si="360"/>
        <v/>
      </c>
      <c r="PA86" s="43" t="str">
        <f t="shared" si="361"/>
        <v/>
      </c>
      <c r="PB86" s="43" t="str">
        <f t="shared" si="362"/>
        <v/>
      </c>
      <c r="PC86" s="43" t="str">
        <f t="shared" si="363"/>
        <v/>
      </c>
      <c r="PD86" s="43" t="str">
        <f t="shared" si="364"/>
        <v/>
      </c>
      <c r="PE86" s="43" t="str">
        <f t="shared" si="365"/>
        <v/>
      </c>
      <c r="PF86" s="43" t="str">
        <f t="shared" si="366"/>
        <v/>
      </c>
      <c r="PG86" s="43" t="str">
        <f t="shared" si="367"/>
        <v/>
      </c>
      <c r="PH86" s="43" t="str">
        <f t="shared" si="368"/>
        <v/>
      </c>
      <c r="PI86" s="43">
        <f t="shared" si="369"/>
        <v>27</v>
      </c>
      <c r="PJ86" s="43" t="str">
        <f t="shared" si="370"/>
        <v/>
      </c>
      <c r="PK86" s="43" t="str">
        <f t="shared" si="371"/>
        <v/>
      </c>
      <c r="PL86" s="43" t="str">
        <f t="shared" si="372"/>
        <v/>
      </c>
      <c r="PM86" s="43" t="str">
        <f t="shared" si="373"/>
        <v/>
      </c>
      <c r="PN86" s="43" t="str">
        <f t="shared" si="374"/>
        <v/>
      </c>
      <c r="PO86" s="43" t="str">
        <f t="shared" si="375"/>
        <v/>
      </c>
      <c r="PP86" s="43" t="str">
        <f t="shared" si="376"/>
        <v/>
      </c>
      <c r="PQ86" s="43" t="str">
        <f t="shared" si="377"/>
        <v/>
      </c>
      <c r="PR86" s="43" t="str">
        <f t="shared" si="378"/>
        <v/>
      </c>
      <c r="PS86" s="43" t="str">
        <f t="shared" si="379"/>
        <v/>
      </c>
      <c r="PT86" s="43" t="str">
        <f t="shared" si="380"/>
        <v/>
      </c>
      <c r="PU86" s="43" t="str">
        <f t="shared" si="381"/>
        <v/>
      </c>
      <c r="PV86" s="43" t="str">
        <f t="shared" si="382"/>
        <v/>
      </c>
      <c r="PW86" s="43" t="str">
        <f t="shared" si="383"/>
        <v/>
      </c>
      <c r="PX86" s="43" t="str">
        <f t="shared" si="384"/>
        <v/>
      </c>
      <c r="PY86" s="43" t="str">
        <f t="shared" si="385"/>
        <v/>
      </c>
      <c r="PZ86" s="43" t="str">
        <f t="shared" si="386"/>
        <v/>
      </c>
      <c r="QA86" s="43" t="str">
        <f t="shared" si="387"/>
        <v/>
      </c>
      <c r="QB86" s="43" t="str">
        <f t="shared" si="388"/>
        <v/>
      </c>
      <c r="QC86" s="43" t="str">
        <f t="shared" si="389"/>
        <v/>
      </c>
      <c r="QD86" s="43" t="str">
        <f t="shared" si="390"/>
        <v/>
      </c>
      <c r="QE86" s="43" t="str">
        <f t="shared" si="391"/>
        <v/>
      </c>
      <c r="QF86" s="43" t="str">
        <f t="shared" si="392"/>
        <v/>
      </c>
      <c r="QG86" s="43" t="str">
        <f t="shared" si="393"/>
        <v/>
      </c>
      <c r="QH86" s="43" t="str">
        <f t="shared" si="394"/>
        <v/>
      </c>
      <c r="QI86" s="43" t="str">
        <f t="shared" si="395"/>
        <v/>
      </c>
      <c r="QJ86" s="43" t="str">
        <f t="shared" si="396"/>
        <v/>
      </c>
      <c r="QK86" s="43" t="str">
        <f t="shared" si="397"/>
        <v/>
      </c>
      <c r="QL86" s="43" t="str">
        <f t="shared" si="398"/>
        <v/>
      </c>
      <c r="QM86" s="43" t="str">
        <f t="shared" si="399"/>
        <v/>
      </c>
      <c r="QN86" s="43" t="str">
        <f t="shared" si="400"/>
        <v/>
      </c>
      <c r="QO86" s="43" t="str">
        <f t="shared" si="401"/>
        <v/>
      </c>
      <c r="QP86" s="43" t="str">
        <f t="shared" si="402"/>
        <v/>
      </c>
      <c r="QQ86" s="43" t="str">
        <f t="shared" si="403"/>
        <v/>
      </c>
      <c r="QR86" s="43">
        <f t="shared" si="433"/>
        <v>27</v>
      </c>
      <c r="QS86" s="43"/>
      <c r="QT86" s="21" t="str">
        <f t="shared" si="404"/>
        <v/>
      </c>
      <c r="QU86" s="21" t="str">
        <f t="shared" si="405"/>
        <v/>
      </c>
      <c r="QV86" s="21" t="str">
        <f t="shared" si="406"/>
        <v/>
      </c>
      <c r="QW86" s="21" t="str">
        <f t="shared" si="407"/>
        <v/>
      </c>
      <c r="QX86" s="21" t="str">
        <f t="shared" si="408"/>
        <v/>
      </c>
      <c r="QY86" s="21" t="str">
        <f t="shared" si="409"/>
        <v/>
      </c>
      <c r="QZ86" s="21" t="str">
        <f t="shared" si="410"/>
        <v/>
      </c>
      <c r="RA86" s="21" t="str">
        <f t="shared" si="411"/>
        <v/>
      </c>
      <c r="RB86" s="21" t="str">
        <f t="shared" si="412"/>
        <v/>
      </c>
      <c r="RC86" s="21" t="str">
        <f t="shared" si="413"/>
        <v/>
      </c>
      <c r="RD86" s="21" t="str">
        <f t="shared" si="414"/>
        <v/>
      </c>
      <c r="RE86" s="21" t="str">
        <f t="shared" si="415"/>
        <v/>
      </c>
      <c r="RF86" s="21" t="str">
        <f t="shared" si="416"/>
        <v/>
      </c>
      <c r="RG86" s="21" t="str">
        <f t="shared" si="417"/>
        <v/>
      </c>
      <c r="RH86" s="21" t="str">
        <f t="shared" si="418"/>
        <v/>
      </c>
      <c r="RI86" s="21" t="str">
        <f t="shared" si="419"/>
        <v/>
      </c>
      <c r="RJ86" s="21" t="str">
        <f t="shared" si="420"/>
        <v/>
      </c>
      <c r="RK86" s="21" t="str">
        <f t="shared" si="421"/>
        <v/>
      </c>
      <c r="RL86" s="21" t="str">
        <f t="shared" si="422"/>
        <v/>
      </c>
      <c r="RM86" s="21" t="str">
        <f t="shared" si="423"/>
        <v/>
      </c>
      <c r="RN86" s="21" t="str">
        <f t="shared" si="424"/>
        <v/>
      </c>
      <c r="RO86" s="21" t="str">
        <f t="shared" si="425"/>
        <v/>
      </c>
      <c r="RP86" s="21" t="str">
        <f t="shared" si="426"/>
        <v/>
      </c>
      <c r="RQ86" s="21" t="str">
        <f t="shared" si="427"/>
        <v/>
      </c>
      <c r="RR86" s="21" t="str">
        <f t="shared" si="428"/>
        <v/>
      </c>
      <c r="RS86" s="21" t="str">
        <f t="shared" si="429"/>
        <v/>
      </c>
      <c r="RT86" s="21" t="str">
        <f t="shared" si="430"/>
        <v/>
      </c>
      <c r="RU86" s="21" t="str">
        <f t="shared" si="431"/>
        <v/>
      </c>
      <c r="RV86" s="21">
        <f t="shared" si="432"/>
        <v>15</v>
      </c>
      <c r="RW86" s="284">
        <f>IF(OR(Tabla1[[#This Row],[FUM FORMULA CONFIABLE]]="",Tabla1[[#This Row],[FUM FORMULA CONFIABLE]]="SD"),"",IF(Tabla1[[#This Row],[FUM FORMULA CONFIABLE]]="CORREGIDA",Tabla1[[#This Row],[FUM X ECO 1]],Tabla1[[#This Row],[FUM x AMENORREA]]))</f>
        <v>44849</v>
      </c>
      <c r="RX86" s="21">
        <f>IF(AND(Tabla1[[#This Row],[FUM X ECO 1]]="",Tabla1[[#This Row],[FUM x AMENORREA]]=""),"",IF(AND(Tabla1[[#This Row],[FUM X ECO 1]]="",Tabla1[[#This Row],[FUM x AMENORREA]]&lt;&gt;""),"X",SUM(Tabla1[[#This Row],[FUM X ECO 1]]-Tabla1[[#This Row],[FUM x AMENORREA]])))</f>
        <v>-59.099999999998545</v>
      </c>
      <c r="RY86" s="21">
        <f t="shared" si="434"/>
        <v>1</v>
      </c>
    </row>
    <row r="87" spans="1:493" ht="45" customHeight="1" x14ac:dyDescent="0.25">
      <c r="A87" s="109" t="s">
        <v>1264</v>
      </c>
      <c r="B87" s="43"/>
      <c r="C87" s="43" t="s">
        <v>845</v>
      </c>
      <c r="D87" s="124"/>
      <c r="E87" s="43" t="s">
        <v>1265</v>
      </c>
      <c r="F87" s="43" t="s">
        <v>953</v>
      </c>
      <c r="G87" s="43" t="s">
        <v>1266</v>
      </c>
      <c r="H87" s="43"/>
      <c r="I87" s="109" t="s">
        <v>851</v>
      </c>
      <c r="J87" s="110">
        <v>1059604648</v>
      </c>
      <c r="K87" s="43" t="s">
        <v>852</v>
      </c>
      <c r="L87" s="175" t="s">
        <v>853</v>
      </c>
      <c r="M87" s="22">
        <v>35379</v>
      </c>
      <c r="N87" s="213">
        <f t="shared" ca="1" si="252"/>
        <v>26.994520547945207</v>
      </c>
      <c r="O87" s="22">
        <v>44960</v>
      </c>
      <c r="P87" s="214" t="str">
        <f t="shared" si="438"/>
        <v>SI</v>
      </c>
      <c r="Q87" s="26" t="s">
        <v>855</v>
      </c>
      <c r="R87" s="22">
        <v>44960</v>
      </c>
      <c r="S87" s="21" t="s">
        <v>856</v>
      </c>
      <c r="T87" s="24" t="s">
        <v>690</v>
      </c>
      <c r="U87" s="21" t="s">
        <v>857</v>
      </c>
      <c r="V87" s="21" t="s">
        <v>858</v>
      </c>
      <c r="W87" s="21" t="s">
        <v>893</v>
      </c>
      <c r="X87" s="21" t="s">
        <v>893</v>
      </c>
      <c r="Y87" s="21" t="s">
        <v>859</v>
      </c>
      <c r="Z87" s="21" t="s">
        <v>1267</v>
      </c>
      <c r="AA87" s="21" t="s">
        <v>860</v>
      </c>
      <c r="AB87" s="27" t="s">
        <v>861</v>
      </c>
      <c r="AC87" s="26" t="s">
        <v>877</v>
      </c>
      <c r="AD87" s="38"/>
      <c r="AE87" s="26" t="s">
        <v>854</v>
      </c>
      <c r="AF87" s="26" t="s">
        <v>854</v>
      </c>
      <c r="AG87" s="23" t="s">
        <v>864</v>
      </c>
      <c r="AH87" s="23" t="s">
        <v>864</v>
      </c>
      <c r="AI87" s="24" t="s">
        <v>863</v>
      </c>
      <c r="AJ87" s="23" t="s">
        <v>864</v>
      </c>
      <c r="AK87" s="220" t="str">
        <f>IF(AND(AD87="",AE87="",AF87="",AG87="",AH87="",AI87="",AJ87=""),"",IF(OR(Tabla1[[#This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EVALUACIÓN",IF(AND(O87="",R87=""),"",IF(AND(OR(O87&gt;0,R87&gt;0),NG87&gt;=0,NG87&lt;2),"SIN RIESGO",IF(AND(OR(O87&gt;0,R87&gt;0),NG87&gt;=2),"CON RIESGO","ASD")))))</f>
        <v>SIN RIESGO</v>
      </c>
      <c r="AL87" s="23" t="s">
        <v>864</v>
      </c>
      <c r="AM87" s="26" t="s">
        <v>864</v>
      </c>
      <c r="AN87" s="26" t="s">
        <v>864</v>
      </c>
      <c r="AO87" s="26" t="s">
        <v>864</v>
      </c>
      <c r="AP87" s="26" t="s">
        <v>864</v>
      </c>
      <c r="AQ87" s="26" t="s">
        <v>864</v>
      </c>
      <c r="AR87" s="26" t="s">
        <v>864</v>
      </c>
      <c r="AS87" s="21">
        <v>3</v>
      </c>
      <c r="AT87" s="21">
        <v>3</v>
      </c>
      <c r="AU87" s="21">
        <v>0</v>
      </c>
      <c r="AV87" s="26" t="s">
        <v>864</v>
      </c>
      <c r="AW87" s="21">
        <v>0</v>
      </c>
      <c r="AX87" s="26" t="s">
        <v>864</v>
      </c>
      <c r="AY87" s="26" t="s">
        <v>864</v>
      </c>
      <c r="AZ87" s="26" t="s">
        <v>864</v>
      </c>
      <c r="BA87" s="26" t="s">
        <v>864</v>
      </c>
      <c r="BB87" s="26" t="s">
        <v>864</v>
      </c>
      <c r="BC87" s="26" t="s">
        <v>864</v>
      </c>
      <c r="BD87" s="26" t="s">
        <v>864</v>
      </c>
      <c r="BE87" s="26" t="s">
        <v>864</v>
      </c>
      <c r="BF87" s="26" t="s">
        <v>864</v>
      </c>
      <c r="BG87" s="26" t="s">
        <v>864</v>
      </c>
      <c r="BH87" s="26" t="s">
        <v>864</v>
      </c>
      <c r="BI87" s="26" t="s">
        <v>864</v>
      </c>
      <c r="BJ87" s="26"/>
      <c r="BK87" s="26"/>
      <c r="BL87" s="26" t="s">
        <v>864</v>
      </c>
      <c r="BM87" s="26" t="s">
        <v>864</v>
      </c>
      <c r="BN87" s="22">
        <v>44349</v>
      </c>
      <c r="BO87" s="22">
        <v>44850</v>
      </c>
      <c r="BP87" s="21" t="s">
        <v>854</v>
      </c>
      <c r="BQ87" s="222">
        <f t="shared" si="254"/>
        <v>16.7</v>
      </c>
      <c r="BR87" s="223">
        <f t="shared" si="255"/>
        <v>44850.8</v>
      </c>
      <c r="BS87" s="224">
        <f t="shared" si="256"/>
        <v>15.714285714285714</v>
      </c>
      <c r="BT87" s="216" t="str">
        <f t="shared" si="257"/>
        <v>II TRIM</v>
      </c>
      <c r="BU87" s="214" t="str">
        <f t="shared" ca="1" si="258"/>
        <v/>
      </c>
      <c r="BV87" s="25"/>
      <c r="BW87" s="22">
        <v>44960</v>
      </c>
      <c r="BX87" s="28">
        <v>15.6</v>
      </c>
      <c r="BY87" s="28"/>
      <c r="BZ87" s="22">
        <v>45055</v>
      </c>
      <c r="CA87" s="21">
        <v>12.6</v>
      </c>
      <c r="CB87" s="26" t="s">
        <v>864</v>
      </c>
      <c r="CC87" s="26" t="s">
        <v>864</v>
      </c>
      <c r="CD87" s="26" t="s">
        <v>865</v>
      </c>
      <c r="CE87" s="26" t="s">
        <v>864</v>
      </c>
      <c r="CF87" s="22" t="s">
        <v>1517</v>
      </c>
      <c r="CG87" s="21">
        <v>1.39</v>
      </c>
      <c r="CH87" s="21">
        <v>49.5</v>
      </c>
      <c r="CI87" s="214">
        <f t="shared" si="259"/>
        <v>25.619791936235188</v>
      </c>
      <c r="CJ87" s="225" t="e">
        <f>IF(AND(CI87&lt;10,CH87="SD"),"SIN DATO PESO PREGESTACION O I TRIM",IF(AND(OR(R87&gt;0,O87&gt;0),CI87="X"),"INGRESAR DATO DE PESO",IF(CI87="SD","INGRESAR DATO DE TALLA Y PESO",IF(AND(OR(Tabla1[[#This Row],[MOMENTO EN QUE SE REALIZA EL PESO AL INGRESO A CPN]]="PREGESTACIÓN",NZ87="Menor"),CI87&lt;18.5),"BAJO PESO",IF(AND(OR(Tabla1[[#This Row],[MOMENTO EN QUE SE REALIZA EL PESO AL INGRESO A CPN]]="PREGESTACIÓN",NZ87="Menor"),CI87&lt;25),"NORMAL",IF(AND(OR(Tabla1[[#This Row],[MOMENTO EN QUE SE REALIZA EL PESO AL INGRESO A CPN]]="PREGESTACIÓN",NZ87="Menor"),CI87&lt;30),"SOBREPESO",IF(AND(OR(Tabla1[[#This Row],[MOMENTO EN QUE SE REALIZA EL PESO AL INGRESO A CPN]]="PREGESTACIÓN",NZ87="Menor"),CI87&gt;=30,CI87&lt;50),"OBESIDAD",IF(AND(BS87&gt;0,Tabla1[[#This Row],[MOMENTO EN QUE SE REALIZA EL PESO AL INGRESO A CPN]]="GESTACIÓN"),HLOOKUP(NZ87,$OA$2:PH87,NY87),""))))))))</f>
        <v>#REF!</v>
      </c>
      <c r="CK87" s="212">
        <f t="shared" si="260"/>
        <v>45101</v>
      </c>
      <c r="CL87" s="21">
        <v>52</v>
      </c>
      <c r="CM87" s="214">
        <f t="shared" si="261"/>
        <v>26.913720821903631</v>
      </c>
      <c r="CN87" s="216">
        <f t="shared" si="262"/>
        <v>35</v>
      </c>
      <c r="CO87" s="216" t="e">
        <f>IF(PI87="","",IF(PI87&gt;0,HLOOKUP(PI87,$PJ$2:QQ87,NY87),""))</f>
        <v>#REF!</v>
      </c>
      <c r="CP87" s="21">
        <v>29</v>
      </c>
      <c r="CQ87" s="216" t="e">
        <f>IF(QR87="Menor","NO APLICA-MENOR 13 SEM",IF(AND(CC87="SI",CN87&gt;23),"NO APLICA- GEMELAR",IF(QR87="","",IF(QR87&gt;0,HLOOKUP(QR87,$QS$2:RU87,NY87),""))))</f>
        <v>#REF!</v>
      </c>
      <c r="CR87" s="21"/>
      <c r="CS87" s="21"/>
      <c r="CT87" s="217" t="str">
        <f>IF(R87="","",IF(AND(BS87&gt;1,BS87&lt;12,Tabla1[[#This Row],[T.A. SISTOLICA - ANTES DE SEMANA 12]]="",Tabla1[[#This Row],[T.A. DIASTOLICA - ANTES DE SEMANA 12]]=""),"REGISTRE DATO TA ANTES SEMANA 12",IF(AND(BS87&gt;11,BS87&lt;43,Tabla1[[#This Row],[T.A. SISTOLICA - ANTES DE SEMANA 12]]="",Tabla1[[#This Row],[T.A. DIASTOLICA - ANTES DE SEMANA 12]]=""),"NO APLICA REGISTRO TA-INGRESO TARDIO",IF(AND(OR(O87&gt;0,R87&gt;0),OR(CR87&gt;=140,CS87&gt;=90)),"DEFINIR ESTADIO HTA",IF(AND(OR(O87&gt;0,R87&gt;0),AND(CR87&gt;120,CR87&lt;=139)),"PRE HTA SEGUIMIENTO",IF(AND(OR(O87&gt;0,R87&gt;0),AND(CS87&gt;80,CS87&lt;=89)),"PRE HTA SEGUIMIENTO",IF(AND(OR(O87&gt;0,R87&gt;0),AND(CR87&gt;=80,CR87&lt;=120)),"APARENTEMENTE NORMAL",IF(AND(OR(O87&gt;0,R87&gt;0),AND(CS87&gt;=50,CS87&lt;=80)),"APARENTEMENTE NORMAL",IF(AND(OR(O87&gt;0,R87&gt;0),AND(CR87&gt;1,CR87&lt;=70),AND(CS87&gt;1,CS87&lt;=40)),"HIPOTENSIÓN","")))))))))</f>
        <v>NO APLICA REGISTRO TA-INGRESO TARDIO</v>
      </c>
      <c r="CU87" s="21"/>
      <c r="CV87" s="21"/>
      <c r="CW87" s="217" t="str">
        <f ca="1">IF(R87="","",IF(AND(CN87&gt;19,CN87&lt;27,Tabla1[[#This Row],[T.A. SISTOLICA (Entre semana 20 y 26)]]="",Tabla1[[#This Row],[T.A. DIATOLICA (Entre semana 20 y 26)]]=""),"ACUDE A CONTROL SEM 20 A 26 REGISTRE TA AHORA",IF(AND(BS87&gt;1,BS87&lt;27,BU87&gt;19,Tabla1[[#This Row],[T.A. SISTOLICA (Entre semana 20 y 26)]]="",Tabla1[[#This Row],[T.A. DIATOLICA (Entre semana 20 y 26)]]=""),"COMPLETE REGISTRO TA CONTROL SEM 20 A26 ",IF(AND(BS87&gt;26,BS87&lt;43,Tabla1[[#This Row],[T.A. SISTOLICA (Entre semana 20 y 26)]]="",Tabla1[[#This Row],[T.A. DIATOLICA (Entre semana 20 y 26)]]=""),"NO APLICA REGISTRO TA-INGRESO TARDIO",IF(AND(OR(O87&gt;0,R87&gt;0),OR(CU87&gt;=140,CV87&gt;=90)),"ALTO RIESGO PREECLAMPSIA,DEFINIR ESTADIO HTA",IF(AND(OR(O87&gt;0,R87&gt;0),AND(CU87&gt;120,CU87&lt;=139)),"PRE HTA SEGUIMIENTO,RIESGO HIPERTENSION INDUCIDA POR EL EMBARAZO",IF(AND(OR(O87&gt;0,R87&gt;0),AND(CV87&gt;80,CV87&lt;=89)),"PRE HTA SEGUIMIENTO, RIESGO HIPERTENSION INDUCIDA POR EL EMBARAZO",IF(AND(OR(O87&lt;&gt;"",R87&lt;&gt;""),CS87&lt;&gt;"",CV87&lt;&gt;"",CS87&lt;=CV87),"VIGILAR CIFRAS PRESION ARTERIAL",IF(AND(OR(O87&gt;0,R87&gt;0),AND(CU87&gt;120,CU87&lt;=139)),"PRE HTA SEGUIMIENTO",IF(AND(OR(O87&gt;0,R87&gt;0),AND(CU87&gt;1,CU87&lt;=70),AND(CV87&gt;1,CV87&lt;=40)),"HIPOTENSIÓN",IF(AND(OR(O87&lt;&gt;"",R87&lt;&gt;""),CS87&lt;&gt;"",CV87&lt;&gt;"",CS87&gt;CV87),"APARENTEMENTE NORMAL",IF(AND(OR(O87&gt;0,R87&gt;0),AND(CU87&gt;=80,CU87&lt;=120)),"APARENTEMENTE NORMAL",IF(AND(OR(O87&gt;0,R87&gt;0),AND(CV87&gt;=50,CV87&lt;=80)),"APARENTEMENTE NORMAL","")))))))))))))</f>
        <v xml:space="preserve">COMPLETE REGISTRO TA CONTROL SEM 20 A26 </v>
      </c>
      <c r="CX87" s="21">
        <v>120</v>
      </c>
      <c r="CY87" s="21">
        <v>80</v>
      </c>
      <c r="CZ87" s="216" t="str">
        <f t="shared" si="263"/>
        <v>APARENTEMENTE NORMAL</v>
      </c>
      <c r="DA87" s="21">
        <v>120</v>
      </c>
      <c r="DB87" s="21">
        <v>80</v>
      </c>
      <c r="DC87" s="217" t="str">
        <f t="shared" si="264"/>
        <v>APARENTEMENTE NORMAL</v>
      </c>
      <c r="DD87" s="22">
        <v>44960</v>
      </c>
      <c r="DE87" s="22">
        <v>44960</v>
      </c>
      <c r="DF87" s="22">
        <v>45020</v>
      </c>
      <c r="DG87" s="22">
        <v>45070</v>
      </c>
      <c r="DH87" s="22">
        <v>45101</v>
      </c>
      <c r="DI87" s="22"/>
      <c r="DJ87" s="22"/>
      <c r="DK87" s="22"/>
      <c r="DL87" s="22"/>
      <c r="DM87" s="22"/>
      <c r="DN87" s="22"/>
      <c r="DO87" s="22"/>
      <c r="DP87" s="22"/>
      <c r="DQ87" s="22"/>
      <c r="DR87" s="28"/>
      <c r="DS87" s="22"/>
      <c r="DT87" s="22"/>
      <c r="DU87" s="216" t="str">
        <f t="shared" ca="1" si="439"/>
        <v>SALE SIN PLAN DE PARTO</v>
      </c>
      <c r="DV87" s="226" t="str">
        <f t="shared" si="440"/>
        <v>SALIO PROGRAMA</v>
      </c>
      <c r="DW87"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87" s="216" t="str">
        <f t="shared" ca="1" si="266"/>
        <v/>
      </c>
      <c r="DY87" s="212">
        <f>IF(R87="","",IF(R87&gt;0,MAX(Tabla1[[#This Row],[FECHA C2]:[FECHA C13]],Tabla1[[#This Row],[FECHA CONSULTA PRIMERA VEZ PROGRAMA CPN ]])))</f>
        <v>45101</v>
      </c>
      <c r="DZ87" s="216">
        <f t="shared" si="267"/>
        <v>35</v>
      </c>
      <c r="EA87" s="222">
        <f>IF(R87&gt;0,SUM(COUNTA(DF87:DQ87)+COUNTA(Tabla1[[#This Row],[FECHA CONSULTA PRIMERA VEZ PROGRAMA CPN ]])),"")</f>
        <v>4</v>
      </c>
      <c r="EB87" s="222" t="str">
        <f t="shared" si="268"/>
        <v>SI</v>
      </c>
      <c r="EC87" s="214">
        <f t="shared" si="269"/>
        <v>8</v>
      </c>
      <c r="ED87" s="227">
        <f t="shared" si="270"/>
        <v>0.5</v>
      </c>
      <c r="EE87" s="22">
        <v>44960</v>
      </c>
      <c r="EF87" s="22">
        <v>44960</v>
      </c>
      <c r="EG87" s="22">
        <v>44960</v>
      </c>
      <c r="EH87" s="22"/>
      <c r="EI87" s="22">
        <v>44960</v>
      </c>
      <c r="EJ87" s="22">
        <v>45016</v>
      </c>
      <c r="EK87" s="22"/>
      <c r="EL87" s="21"/>
      <c r="EM87" s="21">
        <v>12</v>
      </c>
      <c r="EN87" s="22">
        <v>45023</v>
      </c>
      <c r="EO87" s="222">
        <f t="shared" si="271"/>
        <v>24.714285714285715</v>
      </c>
      <c r="EP87" s="214" t="str">
        <f t="shared" si="272"/>
        <v>NORMAL- SUMINISTRAR SULFATO FERROSO</v>
      </c>
      <c r="EQ87" s="216" t="str">
        <f t="shared" si="273"/>
        <v>II TRIM</v>
      </c>
      <c r="ER87" s="24"/>
      <c r="ES87" s="22"/>
      <c r="ET87" s="29" t="str">
        <f t="shared" ca="1" si="441"/>
        <v>SALE SIN TAMIZAJE HEMOGLOBINA SEM 28</v>
      </c>
      <c r="EU87" s="25" t="str">
        <f t="shared" si="275"/>
        <v/>
      </c>
      <c r="EV87" s="24" t="s">
        <v>1510</v>
      </c>
      <c r="EW87" s="32">
        <v>44960</v>
      </c>
      <c r="EX87" s="22"/>
      <c r="EY87" s="29">
        <f t="shared" si="248"/>
        <v>15.714285714285714</v>
      </c>
      <c r="EZ87" s="25" t="str">
        <f t="shared" si="249"/>
        <v>SIN RIESGO DE ISOINMUNIZACIÓN</v>
      </c>
      <c r="FA87" s="21">
        <v>73</v>
      </c>
      <c r="FB87" s="22">
        <v>44960</v>
      </c>
      <c r="FC87" s="29">
        <f t="shared" si="276"/>
        <v>15.714285714285714</v>
      </c>
      <c r="FD87" s="29">
        <v>69</v>
      </c>
      <c r="FE87" s="29">
        <v>88</v>
      </c>
      <c r="FF87" s="29">
        <v>114</v>
      </c>
      <c r="FG87" s="21" t="str">
        <f t="shared" ca="1" si="277"/>
        <v>NORMAL</v>
      </c>
      <c r="FH87" s="31">
        <v>45072</v>
      </c>
      <c r="FI87" s="29">
        <f t="shared" si="278"/>
        <v>31.714285714285715</v>
      </c>
      <c r="FJ87" s="22"/>
      <c r="FK87" s="22"/>
      <c r="FL87" s="29" t="str">
        <f t="shared" ca="1" si="279"/>
        <v>NO APLICA-INGRESO TARDIO</v>
      </c>
      <c r="FM87" s="22"/>
      <c r="FN87" s="32"/>
      <c r="FO87" s="29" t="str">
        <f t="shared" ca="1" si="442"/>
        <v>PIERDE TOMA DE TAMIZAJE</v>
      </c>
      <c r="FP87" s="22" t="s">
        <v>867</v>
      </c>
      <c r="FQ87" s="32">
        <v>45072</v>
      </c>
      <c r="FR87" s="29">
        <f t="shared" ca="1" si="443"/>
        <v>31.714285714285715</v>
      </c>
      <c r="FS87" s="22"/>
      <c r="FT87" s="32"/>
      <c r="FU87" s="29" t="str">
        <f>IF(AND(FJ87="",FM87="",FP87="",FS87=""),"",IF(OR(OR(Tabla1[[#This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87" s="28"/>
      <c r="FW87" s="22"/>
      <c r="FX87" s="29" t="str">
        <f t="shared" si="280"/>
        <v>TOMAR EXAMEN</v>
      </c>
      <c r="FY87" s="22"/>
      <c r="FZ87" s="22"/>
      <c r="GA87" s="29" t="str">
        <f t="shared" ca="1" si="250"/>
        <v>NO APLICA-INGRESO TARDIO</v>
      </c>
      <c r="GB87" s="22" t="s">
        <v>868</v>
      </c>
      <c r="GC87" s="22">
        <v>44960</v>
      </c>
      <c r="GD87" s="29">
        <f t="shared" ca="1" si="444"/>
        <v>15.714285714285714</v>
      </c>
      <c r="GE87" s="22"/>
      <c r="GF87" s="22"/>
      <c r="GG87" s="29" t="str">
        <f t="shared" ca="1" si="445"/>
        <v>PIERDE TOMA DE TAMIZAJE</v>
      </c>
      <c r="GH87" s="22"/>
      <c r="GI87" s="29"/>
      <c r="GJ87" s="22"/>
      <c r="GK87" s="22"/>
      <c r="GL87" s="22"/>
      <c r="GM87" s="22"/>
      <c r="GN87" s="28" t="s">
        <v>869</v>
      </c>
      <c r="GO87" s="22">
        <v>44960</v>
      </c>
      <c r="GP87" s="29">
        <f t="shared" si="283"/>
        <v>15.714285714285714</v>
      </c>
      <c r="GQ87" s="28" t="s">
        <v>869</v>
      </c>
      <c r="GR87" s="28" t="s">
        <v>869</v>
      </c>
      <c r="GS87" s="22" t="str">
        <f t="shared" si="284"/>
        <v>CONTROL Igm</v>
      </c>
      <c r="GT87" s="22">
        <v>45023</v>
      </c>
      <c r="GU87" s="29">
        <f t="shared" si="285"/>
        <v>24.714285714285715</v>
      </c>
      <c r="GV87" s="21" t="str">
        <f t="shared" si="286"/>
        <v>II TRIM</v>
      </c>
      <c r="GW87" s="28"/>
      <c r="GX87" s="30"/>
      <c r="GY87" s="21"/>
      <c r="GZ87" s="21"/>
      <c r="HA87" s="21"/>
      <c r="HB87" s="21"/>
      <c r="HC87" s="21"/>
      <c r="HD87" s="21"/>
      <c r="HE87" s="21"/>
      <c r="HF87" s="22"/>
      <c r="HG87" s="22" t="str">
        <f>IF(OR(O87&gt;0,R87&gt;0),CONCATENATE(IF(Tabla1[[#This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87" s="22" t="e">
        <f t="shared" si="287"/>
        <v>#REF!</v>
      </c>
      <c r="HI87" s="22" t="e">
        <f t="shared" ca="1" si="288"/>
        <v>#REF!</v>
      </c>
      <c r="HJ87" s="21" t="str">
        <f t="shared" ca="1" si="289"/>
        <v>***************************************</v>
      </c>
      <c r="HK87" s="21" t="str">
        <f t="shared" si="290"/>
        <v>SIN ANTECEDENTES DE RIESGO</v>
      </c>
      <c r="HL87" s="24" t="str">
        <f t="shared" si="291"/>
        <v>APARENTEMENTE NORMAL</v>
      </c>
      <c r="HM87" s="21" t="str">
        <f t="shared" ca="1" si="292"/>
        <v/>
      </c>
      <c r="HN87" s="30" t="str">
        <f t="shared" si="446"/>
        <v>SALIO PROGRAMA</v>
      </c>
      <c r="HO87" s="21"/>
      <c r="HP87" s="21"/>
      <c r="HQ87" s="21"/>
      <c r="HR87" s="21" t="str">
        <f>IF(R87="","",IF(Tabla1[[#This Row],[ALARMA FACTORES DE RIESGO COMPLICACIONES HIPERTENSIVAS3]]="SIN ANTECEDENTES DE RIESGO","No Aplica para suministro de ASA",IF(AND(Tabla1[[#This Row],[FECHA INICIO DE SUMINISTRO DE ASA]]&gt;0,RV87&lt;12),"Inicia ASA ANTES de Sem 12",IF(AND(RV87&gt;11,RV87&lt;17,OR(HK87="RIESGO ALTO DE COMPLICACIONES HIPERTENSIVAS VER MANEJO GUIA SUMINISTRO ASA Y CALCIO",HK87="RIESGO MODERADO (2 O MAS CRITERIOS) VER MANEJO GUIA SUMINISTRO ASA Y CALCIO")),"Inicio oportuno de ASA",IF(AND(RV87&gt;12,OR(HK87="RIESGO ALTO DE COMPLICACIONES HIPERTENSIVAS VER MANEJO GUIA SUMINISTRO ASA Y CALCIO",HK87="RIESGO MODERADO (2 O MAS CRITERIOS) VER MANEJO GUIA SUMINISTRO ASA Y CALCIO")),"Inicio no oportuno mayor a 16 semanas",IF(AND(BU87&lt;12,OR(HK87="RIESGO ALTO DE COMPLICACIONES HIPERTENSIVAS VER MANEJO GUIA SUMINISTRO ASA Y CALCIO",HK87="RIESGO MODERADO (2 O MAS CRITERIOS) VER MANEJO GUIA SUMINISTRO ASA Y CALCIO")),"Pendiente Inicio de ASA a la semana 12",IF(AND(BU87&gt;11,BU87&lt;17,OR(HK87="RIESGO ALTO DE COMPLICACIONES HIPERTENSIVAS VER MANEJO GUIA SUMINISTRO ASA Y CALCIO",HK87="RIESGO MODERADO (2 O MAS CRITERIOS) VER MANEJO GUIA SUMINISTRO ASA Y CALCIO")),"Iniciar de inmediato ASA",IF(AND(BU87&gt;16,OR(HK87="RIESGO ALTO DE COMPLICACIONES HIPERTENSIVAS VER MANEJO GUIA SUMINISTRO ASA Y CALCIO",HK87="RIESGO MODERADO (2 O MAS CRITERIOS) VER MANEJO GUIA SUMINISTRO ASA Y CALCIO")),"Pierde Oportunidad, Inicio tardío de ASA","XXXXX"))))))))</f>
        <v>No Aplica para suministro de ASA</v>
      </c>
      <c r="HS87" s="22">
        <v>44960</v>
      </c>
      <c r="HT87" s="22" t="s">
        <v>1518</v>
      </c>
      <c r="HU87" s="22"/>
      <c r="HV87" s="22"/>
      <c r="HW87" s="4">
        <v>44960</v>
      </c>
      <c r="HX87" s="22" t="s">
        <v>1511</v>
      </c>
      <c r="HY87" s="22">
        <v>44960</v>
      </c>
      <c r="HZ87" s="28">
        <f t="shared" si="293"/>
        <v>15.714285714285714</v>
      </c>
      <c r="IA87" s="26"/>
      <c r="IB87" s="26"/>
      <c r="IC87" s="111"/>
      <c r="ID87" s="22"/>
      <c r="IE87" s="22" t="str">
        <f t="shared" ca="1" si="294"/>
        <v>SALE SIN VACUNA</v>
      </c>
      <c r="IF87" s="22"/>
      <c r="IG87" s="22">
        <f t="shared" si="295"/>
        <v>45130</v>
      </c>
      <c r="IH87" s="29">
        <f t="shared" ca="1" si="296"/>
        <v>-102</v>
      </c>
      <c r="II87" s="22" t="str">
        <f t="shared" ca="1" si="297"/>
        <v>POSIBLEMENTE NACIO</v>
      </c>
      <c r="IJ87" s="22"/>
      <c r="IK87" s="21" t="s">
        <v>1652</v>
      </c>
      <c r="IL87" s="21"/>
      <c r="IM87" s="34"/>
      <c r="IN87" s="349">
        <v>45108</v>
      </c>
      <c r="IO87" s="21" t="s">
        <v>1186</v>
      </c>
      <c r="IP87" s="29">
        <f t="shared" si="436"/>
        <v>36.857142857142854</v>
      </c>
      <c r="IQ87" s="290" t="s">
        <v>1654</v>
      </c>
      <c r="IR87" s="290" t="s">
        <v>1651</v>
      </c>
      <c r="IS87" s="290" t="s">
        <v>1646</v>
      </c>
      <c r="IT87" s="290" t="s">
        <v>1642</v>
      </c>
      <c r="IU87" s="21"/>
      <c r="IV87" s="21"/>
      <c r="IW87" s="21"/>
      <c r="IX87" s="21"/>
      <c r="IY87" s="21"/>
      <c r="IZ87" s="21"/>
      <c r="JA87" s="21"/>
      <c r="JB87" s="30">
        <v>1</v>
      </c>
      <c r="JC87" s="21" t="s">
        <v>1643</v>
      </c>
      <c r="JD87" s="36">
        <v>2320</v>
      </c>
      <c r="JE87" s="21" t="str">
        <f t="shared" si="447"/>
        <v>BAJO PESO AL NACER</v>
      </c>
      <c r="JF87" s="30"/>
      <c r="JG87" s="21"/>
      <c r="JH87" s="21"/>
      <c r="JI87" s="21" t="s">
        <v>854</v>
      </c>
      <c r="JJ87" s="30" t="s">
        <v>866</v>
      </c>
      <c r="JK87" s="22"/>
      <c r="JL87" s="22"/>
      <c r="JM87" s="21"/>
      <c r="JN87" s="36"/>
      <c r="JO87" s="21" t="str">
        <f t="shared" si="448"/>
        <v/>
      </c>
      <c r="JP87" s="22"/>
      <c r="JQ87" s="21"/>
      <c r="JR87" s="21"/>
      <c r="JS87" s="21"/>
      <c r="JT87" s="30"/>
      <c r="JU87" s="22"/>
      <c r="JV87" s="22"/>
      <c r="JW87" s="33"/>
      <c r="JX87" s="28" t="str">
        <f t="shared" si="449"/>
        <v>INASISTENTE</v>
      </c>
      <c r="JY87" s="33"/>
      <c r="JZ87" s="28" t="str">
        <f t="shared" si="450"/>
        <v>INASISTENTE</v>
      </c>
      <c r="KA87" s="21"/>
      <c r="KB87" s="21"/>
      <c r="KC87" s="21"/>
      <c r="KD87" s="37"/>
      <c r="KE87" s="28"/>
      <c r="KF87" s="28"/>
      <c r="KG87" s="28"/>
      <c r="KH87" s="39"/>
      <c r="KI87" s="39"/>
      <c r="KJ87" s="66"/>
      <c r="KK87" s="39"/>
      <c r="KL87" s="39"/>
      <c r="KM87" s="66"/>
      <c r="KN87" s="39"/>
      <c r="KO87" s="39"/>
      <c r="KP87" s="39"/>
      <c r="KQ87" s="39"/>
      <c r="KR87" s="39"/>
      <c r="KS87" s="39"/>
      <c r="KT87" s="39"/>
      <c r="KU87" s="38"/>
      <c r="KV87" s="38"/>
      <c r="KW87" s="38"/>
      <c r="KX87" s="38"/>
      <c r="KY87" s="38"/>
      <c r="KZ87" s="38"/>
      <c r="LA87" s="38"/>
      <c r="LB87" s="38"/>
      <c r="LC87" s="38"/>
      <c r="LD87" s="38"/>
      <c r="LE87" s="38"/>
      <c r="LF87" s="38"/>
      <c r="LG87" s="38"/>
      <c r="LH87" s="38"/>
      <c r="LI87" s="38"/>
      <c r="LJ87" s="38"/>
      <c r="LK87" s="38"/>
      <c r="LL87" s="38"/>
      <c r="LM87" s="38"/>
      <c r="LN87" s="38"/>
      <c r="LO87" s="38"/>
      <c r="LP87" s="38"/>
      <c r="LQ87" s="38"/>
      <c r="LR87" s="38"/>
      <c r="LS87" s="38"/>
      <c r="LT87" s="38"/>
      <c r="LU87" s="38"/>
      <c r="LV87" s="38"/>
      <c r="LW87" s="38"/>
      <c r="LX87" s="38"/>
      <c r="LY87" s="38"/>
      <c r="LZ87" s="38"/>
      <c r="MA87" s="38"/>
      <c r="MB87" s="38"/>
      <c r="MC87" s="38"/>
      <c r="MD87" s="38"/>
      <c r="ME87" s="38"/>
      <c r="MF87" s="38"/>
      <c r="MG87" s="38"/>
      <c r="MH87" s="43">
        <f t="shared" si="303"/>
        <v>0</v>
      </c>
      <c r="MI87" s="43" t="str">
        <f t="shared" si="304"/>
        <v/>
      </c>
      <c r="MJ87" s="43" t="str">
        <f t="shared" si="305"/>
        <v/>
      </c>
      <c r="MK87" s="43">
        <f t="shared" si="306"/>
        <v>0</v>
      </c>
      <c r="ML8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87" s="43">
        <f t="shared" si="307"/>
        <v>15.714285714285714</v>
      </c>
      <c r="MN87" s="43">
        <f t="shared" si="308"/>
        <v>2</v>
      </c>
      <c r="MO87" s="43">
        <f t="shared" si="309"/>
        <v>2023</v>
      </c>
      <c r="MP87" s="43" t="str">
        <f t="shared" si="310"/>
        <v>I TRIMESTRE AÑO</v>
      </c>
      <c r="MQ87" s="43">
        <f t="shared" si="311"/>
        <v>25.851401664476565</v>
      </c>
      <c r="MR87" s="43">
        <f t="shared" si="312"/>
        <v>0</v>
      </c>
      <c r="MS87" s="43" t="str">
        <f t="shared" si="313"/>
        <v xml:space="preserve"> DE 25 A 29 AÑOS</v>
      </c>
      <c r="MT87" s="43">
        <f t="shared" si="314"/>
        <v>0</v>
      </c>
      <c r="MU87" s="43">
        <f t="shared" si="315"/>
        <v>0</v>
      </c>
      <c r="MV87" s="43">
        <f t="shared" si="316"/>
        <v>0</v>
      </c>
      <c r="MW87" s="43">
        <f t="shared" si="317"/>
        <v>0</v>
      </c>
      <c r="MX87" s="43" t="str">
        <f t="shared" si="318"/>
        <v/>
      </c>
      <c r="MY87" s="43" t="str">
        <f t="shared" ca="1" si="451"/>
        <v/>
      </c>
      <c r="MZ87" s="43" t="str">
        <f t="shared" si="319"/>
        <v/>
      </c>
      <c r="NA87" s="43">
        <f t="shared" si="320"/>
        <v>0</v>
      </c>
      <c r="NB87" s="43" t="str">
        <f t="shared" si="321"/>
        <v/>
      </c>
      <c r="NC87" s="43" t="str">
        <f t="shared" si="322"/>
        <v/>
      </c>
      <c r="ND87" s="43">
        <f t="shared" ca="1" si="323"/>
        <v>0</v>
      </c>
      <c r="NE87" s="43">
        <f>IF(OR(O87&gt;0,R87&gt;0),SUM(COUNTIF(Tabla1[[#This Row],[AÑOS AL INICIO5 CPN]],"&gt;=40"),COUNTIF(AS87,"0"),COUNTIF(AR87,"SI"),COUNTIF(CC87,"SI"),COUNTIF(BQ87,"&gt;119"),COUNTIF(CI87,"&gt;=35")),"")</f>
        <v>0</v>
      </c>
      <c r="NF87" s="43" t="str">
        <f t="shared" si="324"/>
        <v/>
      </c>
      <c r="NG87" s="43">
        <f t="shared" si="325"/>
        <v>0</v>
      </c>
      <c r="NH87" s="43">
        <f t="shared" si="326"/>
        <v>109.2</v>
      </c>
      <c r="NI87"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CPN",P87="NO"),"Z",IF(AND(Tabla1[[#This Row],[CITA PROXIMO CONTROL]]="CITA MANUAL",Tabla1[[#This Row],[GESTANTES ACTUALES]]="ACTIVA INGRESO A CPN"),"W",IF(AND(Tabla1[[#This Row],[GESTANTES ACTUALES]]="SALIO PROGRAMA",IN87=""),"S",IF(AND(Tabla1[[#This Row],[CITA PROXIMO CONTROL]]&gt;0,IN87=""),(Tabla1[[#This Row],[CITA PROXIMO CONTROL]]-TODAY()),"SD"))))))))</f>
        <v>SD</v>
      </c>
      <c r="NJ87" s="43">
        <f>MONTH(Tabla1[[#This Row],[FECHA DE SALIDA  DEL PROGRAMA]])</f>
        <v>7</v>
      </c>
      <c r="NK87" s="43">
        <f>YEAR(Tabla1[[#This Row],[FECHA DE SALIDA  DEL PROGRAMA]])</f>
        <v>2023</v>
      </c>
      <c r="NL87" s="43">
        <f t="shared" si="327"/>
        <v>56</v>
      </c>
      <c r="NM87" s="43" t="str">
        <f t="shared" si="251"/>
        <v>NO</v>
      </c>
      <c r="NN87" s="43" t="str">
        <f ca="1">IF(AND(O87&gt;0,R87=""),"NO CPN",IF(AND(O87="",R87=""),"",IF(AND(R87&gt;0,Tabla1[[#This Row],[SEMANAS DE GESTACION ACTUALIZADAS]]&lt;=12),"NO APLICA",IF(AND(FH87&lt;&gt;"",FN87&lt;&gt;""),"SI","NO"))))</f>
        <v>NO</v>
      </c>
      <c r="NO87" s="43" t="str">
        <f ca="1">IF(AND(O87&gt;0,R87=""),"NO CPN",IF(AND(O87="",R87=""),"",IF(AND(R87&gt;0,Tabla1[[#This Row],[SEMANAS DE GESTACION ACTUALIZADAS]]&lt;=27),"NO APLICA",IF(AND(ES87&lt;&gt;"",FQ87&lt;&gt;"",GF87&lt;&gt;""),"SI","NO"))))</f>
        <v>NO</v>
      </c>
      <c r="NP87" s="204" t="str">
        <f t="shared" si="328"/>
        <v>II TRIM</v>
      </c>
      <c r="NQ87" s="21" t="str">
        <f t="shared" si="437"/>
        <v/>
      </c>
      <c r="NR87" s="21">
        <f t="shared" si="452"/>
        <v>2</v>
      </c>
      <c r="NS87" s="205">
        <f t="shared" ca="1" si="329"/>
        <v>1</v>
      </c>
      <c r="NT87" s="21">
        <f t="shared" ca="1" si="330"/>
        <v>1</v>
      </c>
      <c r="NU87" s="21" t="str">
        <f t="shared" ca="1" si="331"/>
        <v>INCOMPLETO</v>
      </c>
      <c r="NV87" s="21" t="str">
        <f t="shared" ca="1" si="332"/>
        <v>INCOMPLETO</v>
      </c>
      <c r="NW87" s="206" t="str">
        <f>IF(AND(O87="",R87=""),"",IF(OR(AND(Tabla1[[#This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87" s="207" t="str">
        <f t="shared" ca="1" si="333"/>
        <v>SIN VACUNAR</v>
      </c>
      <c r="NY87" s="43">
        <f>ROW(Tabla1[[#This Row],['# DE TAMIZAJES SIFILIS TOMADOS ]])</f>
        <v>87</v>
      </c>
      <c r="NZ87" s="43">
        <f t="shared" si="334"/>
        <v>15</v>
      </c>
      <c r="OA87" s="43" t="str">
        <f t="shared" si="335"/>
        <v/>
      </c>
      <c r="OB87" s="43" t="str">
        <f t="shared" si="336"/>
        <v/>
      </c>
      <c r="OC87" s="43" t="str">
        <f t="shared" si="337"/>
        <v/>
      </c>
      <c r="OD87" s="43" t="str">
        <f t="shared" si="338"/>
        <v/>
      </c>
      <c r="OE87" s="43" t="str">
        <f t="shared" si="339"/>
        <v/>
      </c>
      <c r="OF87" s="43" t="str">
        <f t="shared" si="340"/>
        <v/>
      </c>
      <c r="OG87" s="43" t="str">
        <f t="shared" si="341"/>
        <v>NORMAL</v>
      </c>
      <c r="OH87" s="43" t="str">
        <f t="shared" si="342"/>
        <v/>
      </c>
      <c r="OI87" s="43" t="str">
        <f t="shared" si="343"/>
        <v/>
      </c>
      <c r="OJ87" s="43" t="str">
        <f t="shared" si="344"/>
        <v/>
      </c>
      <c r="OK87" s="43" t="str">
        <f t="shared" si="345"/>
        <v/>
      </c>
      <c r="OL87" s="43" t="str">
        <f t="shared" si="346"/>
        <v/>
      </c>
      <c r="OM87" s="43" t="str">
        <f t="shared" si="347"/>
        <v/>
      </c>
      <c r="ON87" s="43" t="str">
        <f t="shared" si="348"/>
        <v/>
      </c>
      <c r="OO87" s="43" t="str">
        <f t="shared" si="349"/>
        <v/>
      </c>
      <c r="OP87" s="43" t="str">
        <f t="shared" si="350"/>
        <v/>
      </c>
      <c r="OQ87" s="43" t="str">
        <f t="shared" si="351"/>
        <v/>
      </c>
      <c r="OR87" s="43" t="str">
        <f t="shared" si="352"/>
        <v/>
      </c>
      <c r="OS87" s="43" t="str">
        <f t="shared" si="353"/>
        <v/>
      </c>
      <c r="OT87" s="43" t="str">
        <f t="shared" si="354"/>
        <v/>
      </c>
      <c r="OU87" s="43" t="str">
        <f t="shared" si="355"/>
        <v/>
      </c>
      <c r="OV87" s="110" t="str">
        <f t="shared" si="356"/>
        <v/>
      </c>
      <c r="OW87" s="43" t="str">
        <f t="shared" si="357"/>
        <v/>
      </c>
      <c r="OX87" s="43" t="str">
        <f t="shared" si="358"/>
        <v/>
      </c>
      <c r="OY87" s="43" t="str">
        <f t="shared" si="359"/>
        <v/>
      </c>
      <c r="OZ87" s="43" t="str">
        <f t="shared" si="360"/>
        <v/>
      </c>
      <c r="PA87" s="43" t="str">
        <f t="shared" si="361"/>
        <v/>
      </c>
      <c r="PB87" s="43" t="str">
        <f t="shared" si="362"/>
        <v/>
      </c>
      <c r="PC87" s="43" t="str">
        <f t="shared" si="363"/>
        <v/>
      </c>
      <c r="PD87" s="43" t="str">
        <f t="shared" si="364"/>
        <v/>
      </c>
      <c r="PE87" s="43" t="str">
        <f t="shared" si="365"/>
        <v/>
      </c>
      <c r="PF87" s="43" t="str">
        <f t="shared" si="366"/>
        <v/>
      </c>
      <c r="PG87" s="43" t="str">
        <f t="shared" si="367"/>
        <v/>
      </c>
      <c r="PH87" s="43" t="str">
        <f t="shared" si="368"/>
        <v/>
      </c>
      <c r="PI87" s="43">
        <f t="shared" si="369"/>
        <v>35</v>
      </c>
      <c r="PJ87" s="43" t="str">
        <f t="shared" si="370"/>
        <v/>
      </c>
      <c r="PK87" s="43" t="str">
        <f t="shared" si="371"/>
        <v/>
      </c>
      <c r="PL87" s="43" t="str">
        <f t="shared" si="372"/>
        <v/>
      </c>
      <c r="PM87" s="43" t="str">
        <f t="shared" si="373"/>
        <v/>
      </c>
      <c r="PN87" s="43" t="str">
        <f t="shared" si="374"/>
        <v/>
      </c>
      <c r="PO87" s="43" t="str">
        <f t="shared" si="375"/>
        <v/>
      </c>
      <c r="PP87" s="43" t="str">
        <f t="shared" si="376"/>
        <v/>
      </c>
      <c r="PQ87" s="43" t="str">
        <f t="shared" si="377"/>
        <v/>
      </c>
      <c r="PR87" s="43" t="str">
        <f t="shared" si="378"/>
        <v/>
      </c>
      <c r="PS87" s="43" t="str">
        <f t="shared" si="379"/>
        <v/>
      </c>
      <c r="PT87" s="43" t="str">
        <f t="shared" si="380"/>
        <v/>
      </c>
      <c r="PU87" s="43" t="str">
        <f t="shared" si="381"/>
        <v/>
      </c>
      <c r="PV87" s="43" t="str">
        <f t="shared" si="382"/>
        <v/>
      </c>
      <c r="PW87" s="43" t="str">
        <f t="shared" si="383"/>
        <v/>
      </c>
      <c r="PX87" s="43" t="str">
        <f t="shared" si="384"/>
        <v/>
      </c>
      <c r="PY87" s="43" t="str">
        <f t="shared" si="385"/>
        <v/>
      </c>
      <c r="PZ87" s="43" t="str">
        <f t="shared" si="386"/>
        <v/>
      </c>
      <c r="QA87" s="43" t="str">
        <f t="shared" si="387"/>
        <v/>
      </c>
      <c r="QB87" s="43" t="str">
        <f t="shared" si="388"/>
        <v/>
      </c>
      <c r="QC87" s="43" t="str">
        <f t="shared" si="389"/>
        <v/>
      </c>
      <c r="QD87" s="43" t="str">
        <f t="shared" si="390"/>
        <v/>
      </c>
      <c r="QE87" s="43" t="str">
        <f t="shared" si="391"/>
        <v/>
      </c>
      <c r="QF87" s="43" t="str">
        <f t="shared" si="392"/>
        <v/>
      </c>
      <c r="QG87" s="43" t="str">
        <f t="shared" si="393"/>
        <v/>
      </c>
      <c r="QH87" s="43" t="str">
        <f t="shared" si="394"/>
        <v/>
      </c>
      <c r="QI87" s="43" t="str">
        <f t="shared" si="395"/>
        <v/>
      </c>
      <c r="QJ87" s="43" t="str">
        <f t="shared" si="396"/>
        <v>NORMAL</v>
      </c>
      <c r="QK87" s="43" t="str">
        <f t="shared" si="397"/>
        <v/>
      </c>
      <c r="QL87" s="43" t="str">
        <f t="shared" si="398"/>
        <v/>
      </c>
      <c r="QM87" s="43" t="str">
        <f t="shared" si="399"/>
        <v/>
      </c>
      <c r="QN87" s="43" t="str">
        <f t="shared" si="400"/>
        <v/>
      </c>
      <c r="QO87" s="43" t="str">
        <f t="shared" si="401"/>
        <v/>
      </c>
      <c r="QP87" s="43" t="str">
        <f t="shared" si="402"/>
        <v/>
      </c>
      <c r="QQ87" s="43" t="str">
        <f t="shared" si="403"/>
        <v/>
      </c>
      <c r="QR87" s="43">
        <f t="shared" si="433"/>
        <v>35</v>
      </c>
      <c r="QS87" s="43"/>
      <c r="QT87" s="21" t="str">
        <f t="shared" si="404"/>
        <v/>
      </c>
      <c r="QU87" s="21" t="str">
        <f t="shared" si="405"/>
        <v/>
      </c>
      <c r="QV87" s="21" t="str">
        <f t="shared" si="406"/>
        <v/>
      </c>
      <c r="QW87" s="21" t="str">
        <f t="shared" si="407"/>
        <v/>
      </c>
      <c r="QX87" s="21" t="str">
        <f t="shared" si="408"/>
        <v/>
      </c>
      <c r="QY87" s="21" t="str">
        <f t="shared" si="409"/>
        <v/>
      </c>
      <c r="QZ87" s="21" t="str">
        <f t="shared" si="410"/>
        <v/>
      </c>
      <c r="RA87" s="21" t="str">
        <f t="shared" si="411"/>
        <v/>
      </c>
      <c r="RB87" s="21" t="str">
        <f t="shared" si="412"/>
        <v/>
      </c>
      <c r="RC87" s="21" t="str">
        <f t="shared" si="413"/>
        <v/>
      </c>
      <c r="RD87" s="21" t="str">
        <f t="shared" si="414"/>
        <v/>
      </c>
      <c r="RE87" s="21" t="str">
        <f t="shared" si="415"/>
        <v/>
      </c>
      <c r="RF87" s="21" t="str">
        <f t="shared" si="416"/>
        <v/>
      </c>
      <c r="RG87" s="21" t="str">
        <f t="shared" si="417"/>
        <v/>
      </c>
      <c r="RH87" s="21" t="str">
        <f t="shared" si="418"/>
        <v/>
      </c>
      <c r="RI87" s="21" t="str">
        <f t="shared" si="419"/>
        <v/>
      </c>
      <c r="RJ87" s="21" t="str">
        <f t="shared" si="420"/>
        <v/>
      </c>
      <c r="RK87" s="21" t="str">
        <f t="shared" si="421"/>
        <v/>
      </c>
      <c r="RL87" s="21" t="str">
        <f t="shared" si="422"/>
        <v/>
      </c>
      <c r="RM87" s="21" t="str">
        <f t="shared" si="423"/>
        <v/>
      </c>
      <c r="RN87" s="21" t="str">
        <f t="shared" si="424"/>
        <v/>
      </c>
      <c r="RO87" s="21" t="str">
        <f t="shared" si="425"/>
        <v/>
      </c>
      <c r="RP87" s="21" t="str">
        <f t="shared" si="426"/>
        <v>ADECUADO PARA EDAD GESTACIONAL</v>
      </c>
      <c r="RQ87" s="21" t="str">
        <f t="shared" si="427"/>
        <v/>
      </c>
      <c r="RR87" s="21" t="str">
        <f t="shared" si="428"/>
        <v/>
      </c>
      <c r="RS87" s="21" t="str">
        <f t="shared" si="429"/>
        <v/>
      </c>
      <c r="RT87" s="21" t="str">
        <f t="shared" si="430"/>
        <v/>
      </c>
      <c r="RU87" s="21" t="str">
        <f t="shared" si="431"/>
        <v/>
      </c>
      <c r="RV87" s="21">
        <f t="shared" si="432"/>
        <v>-1</v>
      </c>
      <c r="RW87" s="284">
        <f>IF(OR(Tabla1[[#This Row],[FUM FORMULA CONFIABLE]]="",Tabla1[[#This Row],[FUM FORMULA CONFIABLE]]="SD"),"",IF(Tabla1[[#This Row],[FUM FORMULA CONFIABLE]]="CORREGIDA",Tabla1[[#This Row],[FUM X ECO 1]],Tabla1[[#This Row],[FUM x AMENORREA]]))</f>
        <v>44850</v>
      </c>
      <c r="RX87" s="21">
        <f>IF(AND(Tabla1[[#This Row],[FUM X ECO 1]]="",Tabla1[[#This Row],[FUM x AMENORREA]]=""),"",IF(AND(Tabla1[[#This Row],[FUM X ECO 1]]="",Tabla1[[#This Row],[FUM x AMENORREA]]&lt;&gt;""),"X",SUM(Tabla1[[#This Row],[FUM X ECO 1]]-Tabla1[[#This Row],[FUM x AMENORREA]])))</f>
        <v>0.80000000000291038</v>
      </c>
      <c r="RY87" s="21">
        <f t="shared" si="434"/>
        <v>0</v>
      </c>
    </row>
    <row r="88" spans="1:493" ht="45" customHeight="1" x14ac:dyDescent="0.25">
      <c r="A88" s="109"/>
      <c r="B88" s="43"/>
      <c r="C88" s="43" t="s">
        <v>845</v>
      </c>
      <c r="D88" s="124"/>
      <c r="E88" s="43" t="s">
        <v>1268</v>
      </c>
      <c r="F88" s="43" t="s">
        <v>1135</v>
      </c>
      <c r="G88" s="43" t="s">
        <v>1269</v>
      </c>
      <c r="H88" s="43"/>
      <c r="I88" s="109" t="s">
        <v>851</v>
      </c>
      <c r="J88" s="110">
        <v>1059597793</v>
      </c>
      <c r="K88" s="43" t="s">
        <v>904</v>
      </c>
      <c r="L88" s="175" t="s">
        <v>1270</v>
      </c>
      <c r="M88" s="22">
        <v>39122</v>
      </c>
      <c r="N88" s="213">
        <f t="shared" ca="1" si="252"/>
        <v>16.739726027397261</v>
      </c>
      <c r="O88" s="22">
        <v>44960</v>
      </c>
      <c r="P88" s="214" t="str">
        <f t="shared" si="438"/>
        <v>SI</v>
      </c>
      <c r="Q88" s="26" t="s">
        <v>855</v>
      </c>
      <c r="R88" s="22">
        <v>44960</v>
      </c>
      <c r="S88" s="21" t="s">
        <v>856</v>
      </c>
      <c r="T88" s="24" t="s">
        <v>690</v>
      </c>
      <c r="U88" s="21" t="s">
        <v>857</v>
      </c>
      <c r="V88" s="21" t="s">
        <v>858</v>
      </c>
      <c r="W88" s="21" t="s">
        <v>1233</v>
      </c>
      <c r="X88" s="21" t="s">
        <v>1233</v>
      </c>
      <c r="Y88" s="21" t="s">
        <v>859</v>
      </c>
      <c r="Z88" s="21">
        <v>3117914137</v>
      </c>
      <c r="AA88" s="21" t="s">
        <v>860</v>
      </c>
      <c r="AB88" s="27" t="s">
        <v>861</v>
      </c>
      <c r="AC88" s="26" t="s">
        <v>877</v>
      </c>
      <c r="AD88" s="38" t="s">
        <v>863</v>
      </c>
      <c r="AE88" s="26" t="s">
        <v>854</v>
      </c>
      <c r="AF88" s="26" t="s">
        <v>854</v>
      </c>
      <c r="AG88" s="23" t="s">
        <v>864</v>
      </c>
      <c r="AH88" s="23" t="s">
        <v>864</v>
      </c>
      <c r="AI88" s="24" t="s">
        <v>863</v>
      </c>
      <c r="AJ88" s="23" t="s">
        <v>864</v>
      </c>
      <c r="AK88" s="220" t="str">
        <f>IF(AND(AD88="",AE88="",AF88="",AG88="",AH88="",AI88="",AJ88=""),"",IF(OR(Tabla1[[#This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EVALUACIÓN",IF(AND(O88="",R88=""),"",IF(AND(OR(O88&gt;0,R88&gt;0),NG88&gt;=0,NG88&lt;2),"SIN RIESGO",IF(AND(OR(O88&gt;0,R88&gt;0),NG88&gt;=2),"CON RIESGO","ASD")))))</f>
        <v>SIN RIESGO</v>
      </c>
      <c r="AL88" s="23"/>
      <c r="AM88" s="26"/>
      <c r="AN88" s="26"/>
      <c r="AO88" s="26"/>
      <c r="AP88" s="26"/>
      <c r="AQ88" s="26"/>
      <c r="AR88" s="26"/>
      <c r="AS88" s="21">
        <v>0</v>
      </c>
      <c r="AT88" s="21">
        <v>0</v>
      </c>
      <c r="AU88" s="21">
        <v>0</v>
      </c>
      <c r="AV88" s="26" t="s">
        <v>864</v>
      </c>
      <c r="AW88" s="21">
        <v>0</v>
      </c>
      <c r="AX88" s="26" t="s">
        <v>864</v>
      </c>
      <c r="AY88" s="26" t="s">
        <v>864</v>
      </c>
      <c r="AZ88" s="26" t="s">
        <v>864</v>
      </c>
      <c r="BA88" s="26" t="s">
        <v>864</v>
      </c>
      <c r="BB88" s="26" t="s">
        <v>864</v>
      </c>
      <c r="BC88" s="26" t="s">
        <v>864</v>
      </c>
      <c r="BD88" s="26" t="s">
        <v>864</v>
      </c>
      <c r="BE88" s="26" t="s">
        <v>864</v>
      </c>
      <c r="BF88" s="26" t="s">
        <v>864</v>
      </c>
      <c r="BG88" s="26" t="s">
        <v>864</v>
      </c>
      <c r="BH88" s="26" t="s">
        <v>864</v>
      </c>
      <c r="BI88" s="26" t="s">
        <v>864</v>
      </c>
      <c r="BJ88" s="26"/>
      <c r="BK88" s="26"/>
      <c r="BL88" s="26" t="s">
        <v>864</v>
      </c>
      <c r="BM88" s="26" t="s">
        <v>864</v>
      </c>
      <c r="BN88" s="22"/>
      <c r="BO88" s="22">
        <v>44845</v>
      </c>
      <c r="BP88" s="21" t="s">
        <v>1380</v>
      </c>
      <c r="BQ88" s="222">
        <f t="shared" si="254"/>
        <v>0</v>
      </c>
      <c r="BR88" s="223">
        <f t="shared" si="255"/>
        <v>44753.5</v>
      </c>
      <c r="BS88" s="224">
        <f t="shared" si="256"/>
        <v>29.5</v>
      </c>
      <c r="BT88" s="216" t="str">
        <f t="shared" si="257"/>
        <v>III TRIM</v>
      </c>
      <c r="BU88" s="214" t="str">
        <f t="shared" ca="1" si="258"/>
        <v/>
      </c>
      <c r="BV88" s="25"/>
      <c r="BW88" s="22">
        <v>44960</v>
      </c>
      <c r="BX88" s="28">
        <v>29.5</v>
      </c>
      <c r="BY88" s="28"/>
      <c r="BZ88" s="22"/>
      <c r="CA88" s="21"/>
      <c r="CB88" s="26" t="s">
        <v>864</v>
      </c>
      <c r="CC88" s="26" t="s">
        <v>864</v>
      </c>
      <c r="CD88" s="26" t="s">
        <v>878</v>
      </c>
      <c r="CE88" s="26" t="s">
        <v>864</v>
      </c>
      <c r="CF88" s="22" t="s">
        <v>1517</v>
      </c>
      <c r="CG88" s="21">
        <v>1.45</v>
      </c>
      <c r="CH88" s="21">
        <v>68</v>
      </c>
      <c r="CI88" s="214">
        <f t="shared" si="259"/>
        <v>32.342449464922709</v>
      </c>
      <c r="CJ88" s="225" t="e">
        <f>IF(AND(CI88&lt;10,CH88="SD"),"SIN DATO PESO PREGESTACION O I TRIM",IF(AND(OR(R88&gt;0,O88&gt;0),CI88="X"),"INGRESAR DATO DE PESO",IF(CI88="SD","INGRESAR DATO DE TALLA Y PESO",IF(AND(OR(Tabla1[[#This Row],[MOMENTO EN QUE SE REALIZA EL PESO AL INGRESO A CPN]]="PREGESTACIÓN",NZ88="Menor"),CI88&lt;18.5),"BAJO PESO",IF(AND(OR(Tabla1[[#This Row],[MOMENTO EN QUE SE REALIZA EL PESO AL INGRESO A CPN]]="PREGESTACIÓN",NZ88="Menor"),CI88&lt;25),"NORMAL",IF(AND(OR(Tabla1[[#This Row],[MOMENTO EN QUE SE REALIZA EL PESO AL INGRESO A CPN]]="PREGESTACIÓN",NZ88="Menor"),CI88&lt;30),"SOBREPESO",IF(AND(OR(Tabla1[[#This Row],[MOMENTO EN QUE SE REALIZA EL PESO AL INGRESO A CPN]]="PREGESTACIÓN",NZ88="Menor"),CI88&gt;=30,CI88&lt;50),"OBESIDAD",IF(AND(BS88&gt;0,Tabla1[[#This Row],[MOMENTO EN QUE SE REALIZA EL PESO AL INGRESO A CPN]]="GESTACIÓN"),HLOOKUP(NZ88,$OA$2:PH88,NY88),""))))))))</f>
        <v>#REF!</v>
      </c>
      <c r="CK88" s="212">
        <f t="shared" si="260"/>
        <v>44960</v>
      </c>
      <c r="CL88" s="21"/>
      <c r="CM88" s="214">
        <f t="shared" si="261"/>
        <v>0</v>
      </c>
      <c r="CN88" s="216">
        <f t="shared" si="262"/>
        <v>29</v>
      </c>
      <c r="CO88" s="216" t="e">
        <f>IF(PI88="","",IF(PI88&gt;0,HLOOKUP(PI88,$PJ$2:QQ88,NY88),""))</f>
        <v>#REF!</v>
      </c>
      <c r="CP88" s="21"/>
      <c r="CQ88" s="216" t="e">
        <f>IF(QR88="Menor","NO APLICA-MENOR 13 SEM",IF(AND(CC88="SI",CN88&gt;23),"NO APLICA- GEMELAR",IF(QR88="","",IF(QR88&gt;0,HLOOKUP(QR88,$QS$2:RU88,NY88),""))))</f>
        <v>#REF!</v>
      </c>
      <c r="CR88" s="21"/>
      <c r="CS88" s="21"/>
      <c r="CT88" s="217" t="str">
        <f>IF(R88="","",IF(AND(BS88&gt;1,BS88&lt;12,Tabla1[[#This Row],[T.A. SISTOLICA - ANTES DE SEMANA 12]]="",Tabla1[[#This Row],[T.A. DIASTOLICA - ANTES DE SEMANA 12]]=""),"REGISTRE DATO TA ANTES SEMANA 12",IF(AND(BS88&gt;11,BS88&lt;43,Tabla1[[#This Row],[T.A. SISTOLICA - ANTES DE SEMANA 12]]="",Tabla1[[#This Row],[T.A. DIASTOLICA - ANTES DE SEMANA 12]]=""),"NO APLICA REGISTRO TA-INGRESO TARDIO",IF(AND(OR(O88&gt;0,R88&gt;0),OR(CR88&gt;=140,CS88&gt;=90)),"DEFINIR ESTADIO HTA",IF(AND(OR(O88&gt;0,R88&gt;0),AND(CR88&gt;120,CR88&lt;=139)),"PRE HTA SEGUIMIENTO",IF(AND(OR(O88&gt;0,R88&gt;0),AND(CS88&gt;80,CS88&lt;=89)),"PRE HTA SEGUIMIENTO",IF(AND(OR(O88&gt;0,R88&gt;0),AND(CR88&gt;=80,CR88&lt;=120)),"APARENTEMENTE NORMAL",IF(AND(OR(O88&gt;0,R88&gt;0),AND(CS88&gt;=50,CS88&lt;=80)),"APARENTEMENTE NORMAL",IF(AND(OR(O88&gt;0,R88&gt;0),AND(CR88&gt;1,CR88&lt;=70),AND(CS88&gt;1,CS88&lt;=40)),"HIPOTENSIÓN","")))))))))</f>
        <v>NO APLICA REGISTRO TA-INGRESO TARDIO</v>
      </c>
      <c r="CU88" s="21"/>
      <c r="CV88" s="21"/>
      <c r="CW88" s="217" t="str">
        <f ca="1">IF(R88="","",IF(AND(CN88&gt;19,CN88&lt;27,Tabla1[[#This Row],[T.A. SISTOLICA (Entre semana 20 y 26)]]="",Tabla1[[#This Row],[T.A. DIATOLICA (Entre semana 20 y 26)]]=""),"ACUDE A CONTROL SEM 20 A 26 REGISTRE TA AHORA",IF(AND(BS88&gt;1,BS88&lt;27,BU88&gt;19,Tabla1[[#This Row],[T.A. SISTOLICA (Entre semana 20 y 26)]]="",Tabla1[[#This Row],[T.A. DIATOLICA (Entre semana 20 y 26)]]=""),"COMPLETE REGISTRO TA CONTROL SEM 20 A26 ",IF(AND(BS88&gt;26,BS88&lt;43,Tabla1[[#This Row],[T.A. SISTOLICA (Entre semana 20 y 26)]]="",Tabla1[[#This Row],[T.A. DIATOLICA (Entre semana 20 y 26)]]=""),"NO APLICA REGISTRO TA-INGRESO TARDIO",IF(AND(OR(O88&gt;0,R88&gt;0),OR(CU88&gt;=140,CV88&gt;=90)),"ALTO RIESGO PREECLAMPSIA,DEFINIR ESTADIO HTA",IF(AND(OR(O88&gt;0,R88&gt;0),AND(CU88&gt;120,CU88&lt;=139)),"PRE HTA SEGUIMIENTO,RIESGO HIPERTENSION INDUCIDA POR EL EMBARAZO",IF(AND(OR(O88&gt;0,R88&gt;0),AND(CV88&gt;80,CV88&lt;=89)),"PRE HTA SEGUIMIENTO, RIESGO HIPERTENSION INDUCIDA POR EL EMBARAZO",IF(AND(OR(O88&lt;&gt;"",R88&lt;&gt;""),CS88&lt;&gt;"",CV88&lt;&gt;"",CS88&lt;=CV88),"VIGILAR CIFRAS PRESION ARTERIAL",IF(AND(OR(O88&gt;0,R88&gt;0),AND(CU88&gt;120,CU88&lt;=139)),"PRE HTA SEGUIMIENTO",IF(AND(OR(O88&gt;0,R88&gt;0),AND(CU88&gt;1,CU88&lt;=70),AND(CV88&gt;1,CV88&lt;=40)),"HIPOTENSIÓN",IF(AND(OR(O88&lt;&gt;"",R88&lt;&gt;""),CS88&lt;&gt;"",CV88&lt;&gt;"",CS88&gt;CV88),"APARENTEMENTE NORMAL",IF(AND(OR(O88&gt;0,R88&gt;0),AND(CU88&gt;=80,CU88&lt;=120)),"APARENTEMENTE NORMAL",IF(AND(OR(O88&gt;0,R88&gt;0),AND(CV88&gt;=50,CV88&lt;=80)),"APARENTEMENTE NORMAL","")))))))))))))</f>
        <v>NO APLICA REGISTRO TA-INGRESO TARDIO</v>
      </c>
      <c r="CX88" s="21"/>
      <c r="CY88" s="21"/>
      <c r="CZ88" s="216" t="str">
        <f t="shared" si="263"/>
        <v/>
      </c>
      <c r="DA88" s="21"/>
      <c r="DB88" s="21"/>
      <c r="DC88" s="217" t="str">
        <f t="shared" si="264"/>
        <v>REGISTRE DATO PRESIÓN ARTERIAL MENSUAL</v>
      </c>
      <c r="DD88" s="22"/>
      <c r="DE88" s="22"/>
      <c r="DF88" s="22">
        <v>44960</v>
      </c>
      <c r="DG88" s="22"/>
      <c r="DH88" s="22"/>
      <c r="DI88" s="22"/>
      <c r="DJ88" s="22"/>
      <c r="DK88" s="22"/>
      <c r="DL88" s="22"/>
      <c r="DM88" s="22"/>
      <c r="DN88" s="22"/>
      <c r="DO88" s="22"/>
      <c r="DP88" s="22"/>
      <c r="DQ88" s="22"/>
      <c r="DR88" s="28"/>
      <c r="DS88" s="22"/>
      <c r="DT88" s="22"/>
      <c r="DU88" s="216" t="str">
        <f t="shared" ca="1" si="439"/>
        <v>CONCERTAR PLAN DE PARTO INMEDIATO</v>
      </c>
      <c r="DV88" s="226" t="str">
        <f t="shared" si="440"/>
        <v>ACTIVA INGRESO A CPN</v>
      </c>
      <c r="DW8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88" s="216" t="e">
        <f t="shared" ca="1" si="266"/>
        <v>#REF!</v>
      </c>
      <c r="DY88" s="212">
        <f>IF(R88="","",IF(R88&gt;0,MAX(Tabla1[[#This Row],[FECHA C2]:[FECHA C13]],Tabla1[[#This Row],[FECHA CONSULTA PRIMERA VEZ PROGRAMA CPN ]])))</f>
        <v>44960</v>
      </c>
      <c r="DZ88" s="216">
        <f t="shared" si="267"/>
        <v>29</v>
      </c>
      <c r="EA88" s="222">
        <f>IF(R88&gt;0,SUM(COUNTA(DF88:DQ88)+COUNTA(Tabla1[[#This Row],[FECHA CONSULTA PRIMERA VEZ PROGRAMA CPN ]])),"")</f>
        <v>2</v>
      </c>
      <c r="EB88" s="222" t="str">
        <f t="shared" si="268"/>
        <v>NO</v>
      </c>
      <c r="EC88" s="214">
        <f t="shared" si="269"/>
        <v>4</v>
      </c>
      <c r="ED88" s="227">
        <f t="shared" si="270"/>
        <v>0.5</v>
      </c>
      <c r="EE88" s="22">
        <v>44960</v>
      </c>
      <c r="EF88" s="22"/>
      <c r="EG88" s="22">
        <v>44960</v>
      </c>
      <c r="EH88" s="22"/>
      <c r="EI88" s="22">
        <v>44960</v>
      </c>
      <c r="EJ88" s="22"/>
      <c r="EK88" s="22"/>
      <c r="EL88" s="21"/>
      <c r="EM88" s="21"/>
      <c r="EN88" s="22"/>
      <c r="EO88" s="222" t="str">
        <f t="shared" si="271"/>
        <v>TOMAR EXAMEN</v>
      </c>
      <c r="EP88" s="214" t="str">
        <f t="shared" si="272"/>
        <v/>
      </c>
      <c r="EQ88" s="216" t="str">
        <f t="shared" si="273"/>
        <v>POR DEFINIR</v>
      </c>
      <c r="ER88" s="24"/>
      <c r="ES88" s="22"/>
      <c r="ET88" s="29" t="str">
        <f t="shared" ca="1" si="441"/>
        <v>TOMA DE HEMOGLOBINA TARDÍA</v>
      </c>
      <c r="EU88" s="25" t="str">
        <f t="shared" si="275"/>
        <v/>
      </c>
      <c r="EV88" s="24"/>
      <c r="EW88" s="24"/>
      <c r="EX88" s="22"/>
      <c r="EY88" s="29" t="str">
        <f t="shared" si="248"/>
        <v>TOMAR EXAMEN</v>
      </c>
      <c r="EZ88" s="25" t="str">
        <f t="shared" ca="1" si="249"/>
        <v/>
      </c>
      <c r="FA88" s="21"/>
      <c r="FB88" s="22"/>
      <c r="FC88" s="29" t="str">
        <f t="shared" si="276"/>
        <v>PIERDE TOMA TAMIZAJE- INGRESO TARDIO</v>
      </c>
      <c r="FD88" s="29"/>
      <c r="FE88" s="29"/>
      <c r="FF88" s="29"/>
      <c r="FG88" s="21" t="str">
        <f t="shared" ca="1" si="277"/>
        <v/>
      </c>
      <c r="FH88" s="31"/>
      <c r="FI88" s="29" t="str">
        <f t="shared" si="278"/>
        <v>TOMAR EXAMEN</v>
      </c>
      <c r="FJ88" s="22"/>
      <c r="FK88" s="22"/>
      <c r="FL88" s="29" t="str">
        <f t="shared" ca="1" si="279"/>
        <v>NO APLICA-INGRESO TARDIO</v>
      </c>
      <c r="FM88" s="22"/>
      <c r="FN88" s="32"/>
      <c r="FO88" s="29" t="str">
        <f t="shared" ca="1" si="442"/>
        <v>NO APLICA-INGRESO TARDIO</v>
      </c>
      <c r="FP88" s="22"/>
      <c r="FQ88" s="32"/>
      <c r="FR88" s="29" t="str">
        <f t="shared" ca="1" si="443"/>
        <v>TOMA INMEDIATA DE TAMIZAJE</v>
      </c>
      <c r="FS88" s="22"/>
      <c r="FT88" s="32"/>
      <c r="FU88" s="29" t="str">
        <f>IF(AND(FJ88="",FM88="",FP88="",FS88=""),"",IF(OR(OR(Tabla1[[#This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88" s="28"/>
      <c r="FW88" s="22"/>
      <c r="FX88" s="29" t="str">
        <f t="shared" si="280"/>
        <v>TOMAR EXAMEN</v>
      </c>
      <c r="FY88" s="22"/>
      <c r="FZ88" s="22"/>
      <c r="GA88" s="29" t="str">
        <f t="shared" ca="1" si="250"/>
        <v>NO APLICA-INGRESO TARDIO</v>
      </c>
      <c r="GB88" s="22"/>
      <c r="GC88" s="22"/>
      <c r="GD88" s="29" t="str">
        <f t="shared" ca="1" si="444"/>
        <v>NO APLICA-INGRESO TARDIO</v>
      </c>
      <c r="GE88" s="22"/>
      <c r="GF88" s="22"/>
      <c r="GG88" s="29" t="str">
        <f t="shared" ca="1" si="445"/>
        <v>TOMA INMEDIATA DE TAMIZAJE</v>
      </c>
      <c r="GH88" s="22"/>
      <c r="GI88" s="29"/>
      <c r="GJ88" s="22"/>
      <c r="GK88" s="22"/>
      <c r="GL88" s="22"/>
      <c r="GM88" s="22"/>
      <c r="GN88" s="28"/>
      <c r="GO88" s="22"/>
      <c r="GP88" s="29" t="str">
        <f t="shared" si="283"/>
        <v>TOMAR EXAMEN</v>
      </c>
      <c r="GQ88" s="28"/>
      <c r="GR88" s="28"/>
      <c r="GS88" s="22" t="str">
        <f t="shared" si="284"/>
        <v/>
      </c>
      <c r="GT88" s="22"/>
      <c r="GU88" s="29" t="str">
        <f t="shared" si="285"/>
        <v>TOMAR EXAMEN</v>
      </c>
      <c r="GV88" s="21" t="str">
        <f t="shared" si="286"/>
        <v>POR DEFINIR</v>
      </c>
      <c r="GW88" s="28"/>
      <c r="GX88" s="30"/>
      <c r="GY88" s="21"/>
      <c r="GZ88" s="21"/>
      <c r="HA88" s="21"/>
      <c r="HB88" s="21"/>
      <c r="HC88" s="21"/>
      <c r="HD88" s="21"/>
      <c r="HE88" s="21"/>
      <c r="HF88" s="22"/>
      <c r="HG88" s="22" t="str">
        <f>IF(OR(O88&gt;0,R88&gt;0),CONCATENATE(IF(Tabla1[[#This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88" s="22" t="e">
        <f t="shared" si="287"/>
        <v>#REF!</v>
      </c>
      <c r="HI88" s="22" t="e">
        <f t="shared" ca="1" si="288"/>
        <v>#REF!</v>
      </c>
      <c r="HJ88" s="21" t="str">
        <f t="shared" ca="1" si="289"/>
        <v>**********************MULTIPARIDAD**RIESGO POR EDAD***************</v>
      </c>
      <c r="HK88" s="21" t="str">
        <f t="shared" si="290"/>
        <v>SIN ANTECEDENTES DE RIESGO</v>
      </c>
      <c r="HL88" s="24" t="str">
        <f t="shared" si="291"/>
        <v>REGISTRE DATO PRESIÓN ARTERIAL MENSUAL</v>
      </c>
      <c r="HM88" s="21" t="e">
        <f t="shared" ca="1" si="292"/>
        <v>#REF!</v>
      </c>
      <c r="HN88" s="30" t="str">
        <f t="shared" si="446"/>
        <v>ACTIVA INGRESO A CPN</v>
      </c>
      <c r="HO88" s="21"/>
      <c r="HP88" s="21"/>
      <c r="HQ88" s="21"/>
      <c r="HR88" s="21" t="str">
        <f>IF(R88="","",IF(Tabla1[[#This Row],[ALARMA FACTORES DE RIESGO COMPLICACIONES HIPERTENSIVAS3]]="SIN ANTECEDENTES DE RIESGO","No Aplica para suministro de ASA",IF(AND(Tabla1[[#This Row],[FECHA INICIO DE SUMINISTRO DE ASA]]&gt;0,RV88&lt;12),"Inicia ASA ANTES de Sem 12",IF(AND(RV88&gt;11,RV88&lt;17,OR(HK88="RIESGO ALTO DE COMPLICACIONES HIPERTENSIVAS VER MANEJO GUIA SUMINISTRO ASA Y CALCIO",HK88="RIESGO MODERADO (2 O MAS CRITERIOS) VER MANEJO GUIA SUMINISTRO ASA Y CALCIO")),"Inicio oportuno de ASA",IF(AND(RV88&gt;12,OR(HK88="RIESGO ALTO DE COMPLICACIONES HIPERTENSIVAS VER MANEJO GUIA SUMINISTRO ASA Y CALCIO",HK88="RIESGO MODERADO (2 O MAS CRITERIOS) VER MANEJO GUIA SUMINISTRO ASA Y CALCIO")),"Inicio no oportuno mayor a 16 semanas",IF(AND(BU88&lt;12,OR(HK88="RIESGO ALTO DE COMPLICACIONES HIPERTENSIVAS VER MANEJO GUIA SUMINISTRO ASA Y CALCIO",HK88="RIESGO MODERADO (2 O MAS CRITERIOS) VER MANEJO GUIA SUMINISTRO ASA Y CALCIO")),"Pendiente Inicio de ASA a la semana 12",IF(AND(BU88&gt;11,BU88&lt;17,OR(HK88="RIESGO ALTO DE COMPLICACIONES HIPERTENSIVAS VER MANEJO GUIA SUMINISTRO ASA Y CALCIO",HK88="RIESGO MODERADO (2 O MAS CRITERIOS) VER MANEJO GUIA SUMINISTRO ASA Y CALCIO")),"Iniciar de inmediato ASA",IF(AND(BU88&gt;16,OR(HK88="RIESGO ALTO DE COMPLICACIONES HIPERTENSIVAS VER MANEJO GUIA SUMINISTRO ASA Y CALCIO",HK88="RIESGO MODERADO (2 O MAS CRITERIOS) VER MANEJO GUIA SUMINISTRO ASA Y CALCIO")),"Pierde Oportunidad, Inicio tardío de ASA","XXXXX"))))))))</f>
        <v>No Aplica para suministro de ASA</v>
      </c>
      <c r="HS88" s="22"/>
      <c r="HT88" s="22"/>
      <c r="HU88" s="22"/>
      <c r="HV88" s="22"/>
      <c r="HW88" s="22"/>
      <c r="HX88" s="22"/>
      <c r="HY88" s="22">
        <v>44960</v>
      </c>
      <c r="HZ88" s="28">
        <f t="shared" si="293"/>
        <v>29.5</v>
      </c>
      <c r="IA88" s="26"/>
      <c r="IB88" s="26"/>
      <c r="IC88" s="111">
        <v>44960</v>
      </c>
      <c r="ID88" s="22">
        <v>44960</v>
      </c>
      <c r="IE88" s="22" t="str">
        <f t="shared" ca="1" si="294"/>
        <v>VACUNA APLICADA ENTRE SEMANA 27 Y EL PARTO</v>
      </c>
      <c r="IF88" s="22"/>
      <c r="IG88" s="22">
        <f t="shared" si="295"/>
        <v>45033.5</v>
      </c>
      <c r="IH88" s="29">
        <f t="shared" ca="1" si="296"/>
        <v>-198.5</v>
      </c>
      <c r="II88" s="22" t="str">
        <f t="shared" ca="1" si="297"/>
        <v>POSIBLEMENTE NACIO</v>
      </c>
      <c r="IJ88" s="22"/>
      <c r="IK88" s="21"/>
      <c r="IL88" s="21"/>
      <c r="IM88" s="34"/>
      <c r="IN88" s="349"/>
      <c r="IO88" s="21"/>
      <c r="IP88" s="29" t="str">
        <f t="shared" si="436"/>
        <v/>
      </c>
      <c r="IQ88" s="110"/>
      <c r="IR88" s="21"/>
      <c r="IS88" s="21"/>
      <c r="IT88" s="21"/>
      <c r="IU88" s="21"/>
      <c r="IV88" s="21"/>
      <c r="IW88" s="21"/>
      <c r="IX88" s="21"/>
      <c r="IY88" s="21"/>
      <c r="IZ88" s="21"/>
      <c r="JA88" s="21"/>
      <c r="JB88" s="30"/>
      <c r="JC88" s="21"/>
      <c r="JD88" s="36"/>
      <c r="JE88" s="21" t="str">
        <f t="shared" si="447"/>
        <v/>
      </c>
      <c r="JF88" s="30"/>
      <c r="JG88" s="21"/>
      <c r="JH88" s="21"/>
      <c r="JI88" s="21"/>
      <c r="JJ88" s="30"/>
      <c r="JK88" s="22"/>
      <c r="JL88" s="22"/>
      <c r="JM88" s="21"/>
      <c r="JN88" s="36"/>
      <c r="JO88" s="21" t="str">
        <f t="shared" si="448"/>
        <v/>
      </c>
      <c r="JP88" s="22"/>
      <c r="JQ88" s="21"/>
      <c r="JR88" s="21"/>
      <c r="JS88" s="21"/>
      <c r="JT88" s="30"/>
      <c r="JU88" s="22"/>
      <c r="JV88" s="22"/>
      <c r="JW88" s="33"/>
      <c r="JX88" s="28" t="str">
        <f t="shared" si="449"/>
        <v/>
      </c>
      <c r="JY88" s="33"/>
      <c r="JZ88" s="28" t="str">
        <f t="shared" si="450"/>
        <v/>
      </c>
      <c r="KA88" s="21"/>
      <c r="KB88" s="21"/>
      <c r="KC88" s="21"/>
      <c r="KD88" s="37"/>
      <c r="KE88" s="28"/>
      <c r="KF88" s="28"/>
      <c r="KG88" s="28"/>
      <c r="KH88" s="39"/>
      <c r="KI88" s="39"/>
      <c r="KJ88" s="66"/>
      <c r="KK88" s="39"/>
      <c r="KL88" s="39"/>
      <c r="KM88" s="66"/>
      <c r="KN88" s="39"/>
      <c r="KO88" s="39"/>
      <c r="KP88" s="39"/>
      <c r="KQ88" s="39"/>
      <c r="KR88" s="39"/>
      <c r="KS88" s="39"/>
      <c r="KT88" s="39"/>
      <c r="KU88" s="38"/>
      <c r="KV88" s="38"/>
      <c r="KW88" s="38"/>
      <c r="KX88" s="38"/>
      <c r="KY88" s="38"/>
      <c r="KZ88" s="38"/>
      <c r="LA88" s="38"/>
      <c r="LB88" s="38"/>
      <c r="LC88" s="38"/>
      <c r="LD88" s="38"/>
      <c r="LE88" s="38"/>
      <c r="LF88" s="38"/>
      <c r="LG88" s="38"/>
      <c r="LH88" s="38"/>
      <c r="LI88" s="38"/>
      <c r="LJ88" s="38"/>
      <c r="LK88" s="38"/>
      <c r="LL88" s="38"/>
      <c r="LM88" s="38"/>
      <c r="LN88" s="38"/>
      <c r="LO88" s="38"/>
      <c r="LP88" s="38"/>
      <c r="LQ88" s="38"/>
      <c r="LR88" s="38"/>
      <c r="LS88" s="38"/>
      <c r="LT88" s="38"/>
      <c r="LU88" s="38"/>
      <c r="LV88" s="38"/>
      <c r="LW88" s="38"/>
      <c r="LX88" s="38"/>
      <c r="LY88" s="38"/>
      <c r="LZ88" s="38"/>
      <c r="MA88" s="38"/>
      <c r="MB88" s="38"/>
      <c r="MC88" s="38"/>
      <c r="MD88" s="38"/>
      <c r="ME88" s="38"/>
      <c r="MF88" s="38"/>
      <c r="MG88" s="38"/>
      <c r="MH88" s="43">
        <f t="shared" si="303"/>
        <v>0</v>
      </c>
      <c r="MI88" s="43" t="str">
        <f t="shared" si="304"/>
        <v/>
      </c>
      <c r="MJ88" s="43" t="str">
        <f t="shared" si="305"/>
        <v/>
      </c>
      <c r="MK88" s="43">
        <f t="shared" si="306"/>
        <v>0</v>
      </c>
      <c r="ML8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88" s="43">
        <f t="shared" si="307"/>
        <v>29.5</v>
      </c>
      <c r="MN88" s="43">
        <f t="shared" si="308"/>
        <v>2</v>
      </c>
      <c r="MO88" s="43">
        <f t="shared" si="309"/>
        <v>2023</v>
      </c>
      <c r="MP88" s="43" t="str">
        <f t="shared" si="310"/>
        <v>I TRIMESTRE AÑO</v>
      </c>
      <c r="MQ88" s="43">
        <f t="shared" si="311"/>
        <v>15.752299605781864</v>
      </c>
      <c r="MR88" s="43">
        <f t="shared" si="312"/>
        <v>1</v>
      </c>
      <c r="MS88" s="43" t="str">
        <f t="shared" si="313"/>
        <v>DE 14 A 19AÑOS</v>
      </c>
      <c r="MT88" s="43">
        <f t="shared" si="314"/>
        <v>0</v>
      </c>
      <c r="MU88" s="43">
        <f t="shared" si="315"/>
        <v>1</v>
      </c>
      <c r="MV88" s="43">
        <f t="shared" si="316"/>
        <v>0</v>
      </c>
      <c r="MW88" s="43">
        <f t="shared" si="317"/>
        <v>0</v>
      </c>
      <c r="MX88" s="43" t="str">
        <f t="shared" si="318"/>
        <v/>
      </c>
      <c r="MY88" s="43" t="str">
        <f t="shared" ca="1" si="451"/>
        <v/>
      </c>
      <c r="MZ88" s="43" t="str">
        <f t="shared" si="319"/>
        <v/>
      </c>
      <c r="NA88" s="43">
        <f t="shared" si="320"/>
        <v>0</v>
      </c>
      <c r="NB88" s="43" t="str">
        <f t="shared" si="321"/>
        <v/>
      </c>
      <c r="NC88" s="43" t="str">
        <f t="shared" si="322"/>
        <v/>
      </c>
      <c r="ND88" s="43">
        <f t="shared" ca="1" si="323"/>
        <v>2</v>
      </c>
      <c r="NE88" s="43">
        <f>IF(OR(O88&gt;0,R88&gt;0),SUM(COUNTIF(Tabla1[[#This Row],[AÑOS AL INICIO5 CPN]],"&gt;=40"),COUNTIF(AS88,"0"),COUNTIF(AR88,"SI"),COUNTIF(CC88,"SI"),COUNTIF(BQ88,"&gt;119"),COUNTIF(CI88,"&gt;=35")),"")</f>
        <v>1</v>
      </c>
      <c r="NF88" s="43">
        <f t="shared" si="324"/>
        <v>29.5</v>
      </c>
      <c r="NG88" s="43">
        <f t="shared" si="325"/>
        <v>0</v>
      </c>
      <c r="NH88" s="43">
        <f t="shared" si="326"/>
        <v>206.5</v>
      </c>
      <c r="NI8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CPN",P88="NO"),"Z",IF(AND(Tabla1[[#This Row],[CITA PROXIMO CONTROL]]="CITA MANUAL",Tabla1[[#This Row],[GESTANTES ACTUALES]]="ACTIVA INGRESO A CPN"),"W",IF(AND(Tabla1[[#This Row],[GESTANTES ACTUALES]]="SALIO PROGRAMA",IN88=""),"S",IF(AND(Tabla1[[#This Row],[CITA PROXIMO CONTROL]]&gt;0,IN88=""),(Tabla1[[#This Row],[CITA PROXIMO CONTROL]]-TODAY()),"SD"))))))))</f>
        <v>#REF!</v>
      </c>
      <c r="NJ88" s="43">
        <f>MONTH(Tabla1[[#This Row],[FECHA DE SALIDA  DEL PROGRAMA]])</f>
        <v>1</v>
      </c>
      <c r="NK88" s="43">
        <f>YEAR(Tabla1[[#This Row],[FECHA DE SALIDA  DEL PROGRAMA]])</f>
        <v>1900</v>
      </c>
      <c r="NL88" s="43" t="str">
        <f t="shared" si="327"/>
        <v>X</v>
      </c>
      <c r="NM88" s="43" t="str">
        <f t="shared" si="251"/>
        <v>NO</v>
      </c>
      <c r="NN88" s="43" t="str">
        <f ca="1">IF(AND(O88&gt;0,R88=""),"NO CPN",IF(AND(O88="",R88=""),"",IF(AND(R88&gt;0,Tabla1[[#This Row],[SEMANAS DE GESTACION ACTUALIZADAS]]&lt;=12),"NO APLICA",IF(AND(FH88&lt;&gt;"",FN88&lt;&gt;""),"SI","NO"))))</f>
        <v>NO</v>
      </c>
      <c r="NO88" s="43" t="str">
        <f ca="1">IF(AND(O88&gt;0,R88=""),"NO CPN",IF(AND(O88="",R88=""),"",IF(AND(R88&gt;0,Tabla1[[#This Row],[SEMANAS DE GESTACION ACTUALIZADAS]]&lt;=27),"NO APLICA",IF(AND(ES88&lt;&gt;"",FQ88&lt;&gt;"",GF88&lt;&gt;""),"SI","NO"))))</f>
        <v>NO</v>
      </c>
      <c r="NP88" s="204" t="str">
        <f t="shared" si="328"/>
        <v>III TRIM</v>
      </c>
      <c r="NQ88" s="21" t="str">
        <f t="shared" si="437"/>
        <v/>
      </c>
      <c r="NR88" s="21">
        <f t="shared" si="452"/>
        <v>1</v>
      </c>
      <c r="NS88" s="205">
        <f t="shared" ca="1" si="329"/>
        <v>0</v>
      </c>
      <c r="NT88" s="21">
        <f t="shared" ca="1" si="330"/>
        <v>0</v>
      </c>
      <c r="NU88" s="21" t="str">
        <f t="shared" ca="1" si="331"/>
        <v>INCOMPLETO</v>
      </c>
      <c r="NV88" s="21" t="str">
        <f t="shared" ca="1" si="332"/>
        <v>INCOMPLETO</v>
      </c>
      <c r="NW88" s="206" t="str">
        <f>IF(AND(O88="",R88=""),"",IF(OR(AND(Tabla1[[#This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88" s="207" t="str">
        <f t="shared" ca="1" si="333"/>
        <v>VACUNADA</v>
      </c>
      <c r="NY88" s="43">
        <f>ROW(Tabla1[[#This Row],['# DE TAMIZAJES SIFILIS TOMADOS ]])</f>
        <v>88</v>
      </c>
      <c r="NZ88" s="43">
        <f t="shared" si="334"/>
        <v>29</v>
      </c>
      <c r="OA88" s="43" t="str">
        <f t="shared" si="335"/>
        <v/>
      </c>
      <c r="OB88" s="43" t="str">
        <f t="shared" si="336"/>
        <v/>
      </c>
      <c r="OC88" s="43" t="str">
        <f t="shared" si="337"/>
        <v/>
      </c>
      <c r="OD88" s="43" t="str">
        <f t="shared" si="338"/>
        <v/>
      </c>
      <c r="OE88" s="43" t="str">
        <f t="shared" si="339"/>
        <v/>
      </c>
      <c r="OF88" s="43" t="str">
        <f t="shared" si="340"/>
        <v/>
      </c>
      <c r="OG88" s="43" t="str">
        <f t="shared" si="341"/>
        <v/>
      </c>
      <c r="OH88" s="43" t="str">
        <f t="shared" si="342"/>
        <v/>
      </c>
      <c r="OI88" s="43" t="str">
        <f t="shared" si="343"/>
        <v/>
      </c>
      <c r="OJ88" s="43" t="str">
        <f t="shared" si="344"/>
        <v/>
      </c>
      <c r="OK88" s="43" t="str">
        <f t="shared" si="345"/>
        <v/>
      </c>
      <c r="OL88" s="43" t="str">
        <f t="shared" si="346"/>
        <v/>
      </c>
      <c r="OM88" s="43" t="str">
        <f t="shared" si="347"/>
        <v/>
      </c>
      <c r="ON88" s="43" t="str">
        <f t="shared" si="348"/>
        <v/>
      </c>
      <c r="OO88" s="43" t="str">
        <f t="shared" si="349"/>
        <v/>
      </c>
      <c r="OP88" s="43" t="str">
        <f t="shared" si="350"/>
        <v/>
      </c>
      <c r="OQ88" s="43" t="str">
        <f t="shared" si="351"/>
        <v/>
      </c>
      <c r="OR88" s="43" t="str">
        <f t="shared" si="352"/>
        <v/>
      </c>
      <c r="OS88" s="43" t="str">
        <f t="shared" si="353"/>
        <v/>
      </c>
      <c r="OT88" s="43" t="str">
        <f t="shared" si="354"/>
        <v/>
      </c>
      <c r="OU88" s="43" t="str">
        <f t="shared" si="355"/>
        <v>OBESIDAD</v>
      </c>
      <c r="OV88" s="110" t="str">
        <f t="shared" si="356"/>
        <v/>
      </c>
      <c r="OW88" s="43" t="str">
        <f t="shared" si="357"/>
        <v/>
      </c>
      <c r="OX88" s="43" t="str">
        <f t="shared" si="358"/>
        <v/>
      </c>
      <c r="OY88" s="43" t="str">
        <f t="shared" si="359"/>
        <v/>
      </c>
      <c r="OZ88" s="43" t="str">
        <f t="shared" si="360"/>
        <v/>
      </c>
      <c r="PA88" s="43" t="str">
        <f t="shared" si="361"/>
        <v/>
      </c>
      <c r="PB88" s="43" t="str">
        <f t="shared" si="362"/>
        <v/>
      </c>
      <c r="PC88" s="43" t="str">
        <f t="shared" si="363"/>
        <v/>
      </c>
      <c r="PD88" s="43" t="str">
        <f t="shared" si="364"/>
        <v/>
      </c>
      <c r="PE88" s="43" t="str">
        <f t="shared" si="365"/>
        <v/>
      </c>
      <c r="PF88" s="43" t="str">
        <f t="shared" si="366"/>
        <v/>
      </c>
      <c r="PG88" s="43" t="str">
        <f t="shared" si="367"/>
        <v/>
      </c>
      <c r="PH88" s="43" t="str">
        <f t="shared" si="368"/>
        <v/>
      </c>
      <c r="PI88" s="43">
        <f t="shared" si="369"/>
        <v>29</v>
      </c>
      <c r="PJ88" s="43" t="str">
        <f t="shared" si="370"/>
        <v/>
      </c>
      <c r="PK88" s="43" t="str">
        <f t="shared" si="371"/>
        <v/>
      </c>
      <c r="PL88" s="43" t="str">
        <f t="shared" si="372"/>
        <v/>
      </c>
      <c r="PM88" s="43" t="str">
        <f t="shared" si="373"/>
        <v/>
      </c>
      <c r="PN88" s="43" t="str">
        <f t="shared" si="374"/>
        <v/>
      </c>
      <c r="PO88" s="43" t="str">
        <f t="shared" si="375"/>
        <v/>
      </c>
      <c r="PP88" s="43" t="str">
        <f t="shared" si="376"/>
        <v/>
      </c>
      <c r="PQ88" s="43" t="str">
        <f t="shared" si="377"/>
        <v/>
      </c>
      <c r="PR88" s="43" t="str">
        <f t="shared" si="378"/>
        <v/>
      </c>
      <c r="PS88" s="43" t="str">
        <f t="shared" si="379"/>
        <v/>
      </c>
      <c r="PT88" s="43" t="str">
        <f t="shared" si="380"/>
        <v/>
      </c>
      <c r="PU88" s="43" t="str">
        <f t="shared" si="381"/>
        <v/>
      </c>
      <c r="PV88" s="43" t="str">
        <f t="shared" si="382"/>
        <v/>
      </c>
      <c r="PW88" s="43" t="str">
        <f t="shared" si="383"/>
        <v/>
      </c>
      <c r="PX88" s="43" t="str">
        <f t="shared" si="384"/>
        <v/>
      </c>
      <c r="PY88" s="43" t="str">
        <f t="shared" si="385"/>
        <v/>
      </c>
      <c r="PZ88" s="43" t="str">
        <f t="shared" si="386"/>
        <v/>
      </c>
      <c r="QA88" s="43" t="str">
        <f t="shared" si="387"/>
        <v/>
      </c>
      <c r="QB88" s="43" t="str">
        <f t="shared" si="388"/>
        <v/>
      </c>
      <c r="QC88" s="43" t="str">
        <f t="shared" si="389"/>
        <v/>
      </c>
      <c r="QD88" s="43" t="str">
        <f t="shared" si="390"/>
        <v/>
      </c>
      <c r="QE88" s="43" t="str">
        <f t="shared" si="391"/>
        <v/>
      </c>
      <c r="QF88" s="43" t="str">
        <f t="shared" si="392"/>
        <v/>
      </c>
      <c r="QG88" s="43" t="str">
        <f t="shared" si="393"/>
        <v/>
      </c>
      <c r="QH88" s="43" t="str">
        <f t="shared" si="394"/>
        <v/>
      </c>
      <c r="QI88" s="43" t="str">
        <f t="shared" si="395"/>
        <v/>
      </c>
      <c r="QJ88" s="43" t="str">
        <f t="shared" si="396"/>
        <v/>
      </c>
      <c r="QK88" s="43" t="str">
        <f t="shared" si="397"/>
        <v/>
      </c>
      <c r="QL88" s="43" t="str">
        <f t="shared" si="398"/>
        <v/>
      </c>
      <c r="QM88" s="43" t="str">
        <f t="shared" si="399"/>
        <v/>
      </c>
      <c r="QN88" s="43" t="str">
        <f t="shared" si="400"/>
        <v/>
      </c>
      <c r="QO88" s="43" t="str">
        <f t="shared" si="401"/>
        <v/>
      </c>
      <c r="QP88" s="43" t="str">
        <f t="shared" si="402"/>
        <v/>
      </c>
      <c r="QQ88" s="43" t="str">
        <f t="shared" si="403"/>
        <v/>
      </c>
      <c r="QR88" s="43">
        <f t="shared" si="433"/>
        <v>29</v>
      </c>
      <c r="QS88" s="43"/>
      <c r="QT88" s="21" t="str">
        <f t="shared" si="404"/>
        <v/>
      </c>
      <c r="QU88" s="21" t="str">
        <f t="shared" si="405"/>
        <v/>
      </c>
      <c r="QV88" s="21" t="str">
        <f t="shared" si="406"/>
        <v/>
      </c>
      <c r="QW88" s="21" t="str">
        <f t="shared" si="407"/>
        <v/>
      </c>
      <c r="QX88" s="21" t="str">
        <f t="shared" si="408"/>
        <v/>
      </c>
      <c r="QY88" s="21" t="str">
        <f t="shared" si="409"/>
        <v/>
      </c>
      <c r="QZ88" s="21" t="str">
        <f t="shared" si="410"/>
        <v/>
      </c>
      <c r="RA88" s="21" t="str">
        <f t="shared" si="411"/>
        <v/>
      </c>
      <c r="RB88" s="21" t="str">
        <f t="shared" si="412"/>
        <v/>
      </c>
      <c r="RC88" s="21" t="str">
        <f t="shared" si="413"/>
        <v/>
      </c>
      <c r="RD88" s="21" t="str">
        <f t="shared" si="414"/>
        <v/>
      </c>
      <c r="RE88" s="21" t="str">
        <f t="shared" si="415"/>
        <v/>
      </c>
      <c r="RF88" s="21" t="str">
        <f t="shared" si="416"/>
        <v/>
      </c>
      <c r="RG88" s="21" t="str">
        <f t="shared" si="417"/>
        <v/>
      </c>
      <c r="RH88" s="21" t="str">
        <f t="shared" si="418"/>
        <v/>
      </c>
      <c r="RI88" s="21" t="str">
        <f t="shared" si="419"/>
        <v/>
      </c>
      <c r="RJ88" s="21" t="str">
        <f t="shared" si="420"/>
        <v/>
      </c>
      <c r="RK88" s="21" t="str">
        <f t="shared" si="421"/>
        <v/>
      </c>
      <c r="RL88" s="21" t="str">
        <f t="shared" si="422"/>
        <v/>
      </c>
      <c r="RM88" s="21" t="str">
        <f t="shared" si="423"/>
        <v/>
      </c>
      <c r="RN88" s="21" t="str">
        <f t="shared" si="424"/>
        <v/>
      </c>
      <c r="RO88" s="21" t="str">
        <f t="shared" si="425"/>
        <v/>
      </c>
      <c r="RP88" s="21" t="str">
        <f t="shared" si="426"/>
        <v/>
      </c>
      <c r="RQ88" s="21" t="str">
        <f t="shared" si="427"/>
        <v/>
      </c>
      <c r="RR88" s="21" t="str">
        <f t="shared" si="428"/>
        <v/>
      </c>
      <c r="RS88" s="21" t="str">
        <f t="shared" si="429"/>
        <v/>
      </c>
      <c r="RT88" s="21" t="str">
        <f t="shared" si="430"/>
        <v/>
      </c>
      <c r="RU88" s="21" t="str">
        <f t="shared" si="431"/>
        <v/>
      </c>
      <c r="RV88" s="21">
        <f t="shared" si="432"/>
        <v>-1</v>
      </c>
      <c r="RW88" s="284">
        <f>IF(OR(Tabla1[[#This Row],[FUM FORMULA CONFIABLE]]="",Tabla1[[#This Row],[FUM FORMULA CONFIABLE]]="SD"),"",IF(Tabla1[[#This Row],[FUM FORMULA CONFIABLE]]="CORREGIDA",Tabla1[[#This Row],[FUM X ECO 1]],Tabla1[[#This Row],[FUM x AMENORREA]]))</f>
        <v>44753.5</v>
      </c>
      <c r="RX88" s="21">
        <f>IF(AND(Tabla1[[#This Row],[FUM X ECO 1]]="",Tabla1[[#This Row],[FUM x AMENORREA]]=""),"",IF(AND(Tabla1[[#This Row],[FUM X ECO 1]]="",Tabla1[[#This Row],[FUM x AMENORREA]]&lt;&gt;""),"X",SUM(Tabla1[[#This Row],[FUM X ECO 1]]-Tabla1[[#This Row],[FUM x AMENORREA]])))</f>
        <v>-91.5</v>
      </c>
      <c r="RY88" s="21">
        <f t="shared" si="434"/>
        <v>1</v>
      </c>
    </row>
    <row r="89" spans="1:493" ht="45" customHeight="1" x14ac:dyDescent="0.25">
      <c r="A89" s="109" t="s">
        <v>1271</v>
      </c>
      <c r="B89" s="43"/>
      <c r="C89" s="43" t="s">
        <v>845</v>
      </c>
      <c r="D89" s="124"/>
      <c r="E89" s="43" t="s">
        <v>980</v>
      </c>
      <c r="F89" s="43" t="s">
        <v>980</v>
      </c>
      <c r="G89" s="43" t="s">
        <v>1272</v>
      </c>
      <c r="H89" s="43" t="s">
        <v>1273</v>
      </c>
      <c r="I89" s="109" t="s">
        <v>851</v>
      </c>
      <c r="J89" s="110">
        <v>1061782600</v>
      </c>
      <c r="K89" s="43" t="s">
        <v>1274</v>
      </c>
      <c r="L89" s="175" t="s">
        <v>853</v>
      </c>
      <c r="M89" s="22">
        <v>34901</v>
      </c>
      <c r="N89" s="213">
        <f t="shared" ca="1" si="252"/>
        <v>28.304109589041097</v>
      </c>
      <c r="O89" s="22">
        <v>44947</v>
      </c>
      <c r="P89" s="214" t="str">
        <f t="shared" si="438"/>
        <v>SI</v>
      </c>
      <c r="Q89" s="26" t="s">
        <v>855</v>
      </c>
      <c r="R89" s="22">
        <v>44943</v>
      </c>
      <c r="S89" s="21" t="s">
        <v>856</v>
      </c>
      <c r="T89" s="24" t="s">
        <v>690</v>
      </c>
      <c r="U89" s="21" t="s">
        <v>1004</v>
      </c>
      <c r="V89" s="21" t="s">
        <v>858</v>
      </c>
      <c r="W89" s="21" t="s">
        <v>1275</v>
      </c>
      <c r="X89" s="21" t="s">
        <v>1275</v>
      </c>
      <c r="Y89" s="21" t="s">
        <v>859</v>
      </c>
      <c r="Z89" s="21"/>
      <c r="AA89" s="21" t="s">
        <v>860</v>
      </c>
      <c r="AB89" s="27" t="s">
        <v>861</v>
      </c>
      <c r="AC89" s="26" t="s">
        <v>888</v>
      </c>
      <c r="AD89" s="38" t="s">
        <v>863</v>
      </c>
      <c r="AE89" s="26" t="s">
        <v>854</v>
      </c>
      <c r="AF89" s="26" t="s">
        <v>854</v>
      </c>
      <c r="AG89" s="23" t="s">
        <v>864</v>
      </c>
      <c r="AH89" s="23" t="s">
        <v>864</v>
      </c>
      <c r="AI89" s="24" t="s">
        <v>863</v>
      </c>
      <c r="AJ89" s="23" t="s">
        <v>864</v>
      </c>
      <c r="AK89" s="220" t="str">
        <f>IF(AND(AD89="",AE89="",AF89="",AG89="",AH89="",AI89="",AJ89=""),"",IF(OR(Tabla1[[#This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EVALUACIÓN",IF(AND(O89="",R89=""),"",IF(AND(OR(O89&gt;0,R89&gt;0),NG89&gt;=0,NG89&lt;2),"SIN RIESGO",IF(AND(OR(O89&gt;0,R89&gt;0),NG89&gt;=2),"CON RIESGO","ASD")))))</f>
        <v>SIN RIESGO</v>
      </c>
      <c r="AL89" s="23" t="s">
        <v>864</v>
      </c>
      <c r="AM89" s="26" t="s">
        <v>864</v>
      </c>
      <c r="AN89" s="26" t="s">
        <v>864</v>
      </c>
      <c r="AO89" s="26" t="s">
        <v>864</v>
      </c>
      <c r="AP89" s="26" t="s">
        <v>864</v>
      </c>
      <c r="AQ89" s="26" t="s">
        <v>864</v>
      </c>
      <c r="AR89" s="26" t="s">
        <v>864</v>
      </c>
      <c r="AS89" s="21">
        <v>3</v>
      </c>
      <c r="AT89" s="21">
        <v>2</v>
      </c>
      <c r="AU89" s="21">
        <v>0</v>
      </c>
      <c r="AV89" s="26" t="s">
        <v>864</v>
      </c>
      <c r="AW89" s="21">
        <v>0</v>
      </c>
      <c r="AX89" s="26" t="s">
        <v>864</v>
      </c>
      <c r="AY89" s="26" t="s">
        <v>864</v>
      </c>
      <c r="AZ89" s="26" t="s">
        <v>864</v>
      </c>
      <c r="BA89" s="26" t="s">
        <v>864</v>
      </c>
      <c r="BB89" s="26" t="s">
        <v>864</v>
      </c>
      <c r="BC89" s="26" t="s">
        <v>864</v>
      </c>
      <c r="BD89" s="26" t="s">
        <v>864</v>
      </c>
      <c r="BE89" s="26" t="s">
        <v>864</v>
      </c>
      <c r="BF89" s="26" t="s">
        <v>864</v>
      </c>
      <c r="BG89" s="26" t="s">
        <v>864</v>
      </c>
      <c r="BH89" s="26" t="s">
        <v>864</v>
      </c>
      <c r="BI89" s="26" t="s">
        <v>864</v>
      </c>
      <c r="BJ89" s="26" t="s">
        <v>864</v>
      </c>
      <c r="BK89" s="26" t="s">
        <v>864</v>
      </c>
      <c r="BL89" s="26" t="s">
        <v>864</v>
      </c>
      <c r="BM89" s="26" t="s">
        <v>864</v>
      </c>
      <c r="BN89" s="22">
        <v>44167</v>
      </c>
      <c r="BO89" s="22">
        <v>44862</v>
      </c>
      <c r="BP89" s="21" t="s">
        <v>854</v>
      </c>
      <c r="BQ89" s="222">
        <f t="shared" si="254"/>
        <v>23.166666666666668</v>
      </c>
      <c r="BR89" s="223">
        <f t="shared" si="255"/>
        <v>44862.5</v>
      </c>
      <c r="BS89" s="224">
        <f t="shared" si="256"/>
        <v>11.571428571428571</v>
      </c>
      <c r="BT89" s="216" t="str">
        <f t="shared" si="257"/>
        <v>II TRIM</v>
      </c>
      <c r="BU89" s="214" t="str">
        <f t="shared" ca="1" si="258"/>
        <v/>
      </c>
      <c r="BV89" s="25"/>
      <c r="BW89" s="22">
        <v>44943</v>
      </c>
      <c r="BX89" s="28">
        <v>11.5</v>
      </c>
      <c r="BY89" s="28"/>
      <c r="BZ89" s="22"/>
      <c r="CA89" s="21"/>
      <c r="CB89" s="26" t="s">
        <v>864</v>
      </c>
      <c r="CC89" s="26" t="s">
        <v>864</v>
      </c>
      <c r="CD89" s="26"/>
      <c r="CE89" s="26" t="s">
        <v>864</v>
      </c>
      <c r="CF89" s="22" t="s">
        <v>1517</v>
      </c>
      <c r="CG89" s="21">
        <v>1.53</v>
      </c>
      <c r="CH89" s="21">
        <v>65.7</v>
      </c>
      <c r="CI89" s="214">
        <f t="shared" si="259"/>
        <v>28.066128412149176</v>
      </c>
      <c r="CJ89" s="225" t="e">
        <f>IF(AND(CI89&lt;10,CH89="SD"),"SIN DATO PESO PREGESTACION O I TRIM",IF(AND(OR(R89&gt;0,O89&gt;0),CI89="X"),"INGRESAR DATO DE PESO",IF(CI89="SD","INGRESAR DATO DE TALLA Y PESO",IF(AND(OR(Tabla1[[#This Row],[MOMENTO EN QUE SE REALIZA EL PESO AL INGRESO A CPN]]="PREGESTACIÓN",NZ89="Menor"),CI89&lt;18.5),"BAJO PESO",IF(AND(OR(Tabla1[[#This Row],[MOMENTO EN QUE SE REALIZA EL PESO AL INGRESO A CPN]]="PREGESTACIÓN",NZ89="Menor"),CI89&lt;25),"NORMAL",IF(AND(OR(Tabla1[[#This Row],[MOMENTO EN QUE SE REALIZA EL PESO AL INGRESO A CPN]]="PREGESTACIÓN",NZ89="Menor"),CI89&lt;30),"SOBREPESO",IF(AND(OR(Tabla1[[#This Row],[MOMENTO EN QUE SE REALIZA EL PESO AL INGRESO A CPN]]="PREGESTACIÓN",NZ89="Menor"),CI89&gt;=30,CI89&lt;50),"OBESIDAD",IF(AND(BS89&gt;0,Tabla1[[#This Row],[MOMENTO EN QUE SE REALIZA EL PESO AL INGRESO A CPN]]="GESTACIÓN"),HLOOKUP(NZ89,$OA$2:PH89,NY89),""))))))))</f>
        <v>#REF!</v>
      </c>
      <c r="CK89" s="212">
        <f t="shared" si="260"/>
        <v>45125</v>
      </c>
      <c r="CL89" s="21">
        <v>74.900000000000006</v>
      </c>
      <c r="CM89" s="214">
        <f t="shared" si="261"/>
        <v>31.996240762100051</v>
      </c>
      <c r="CN89" s="216">
        <f t="shared" si="262"/>
        <v>37</v>
      </c>
      <c r="CO89" s="216" t="e">
        <f>IF(PI89="","",IF(PI89&gt;0,HLOOKUP(PI89,$PJ$2:QQ89,NY89),""))</f>
        <v>#REF!</v>
      </c>
      <c r="CP89" s="21">
        <v>36</v>
      </c>
      <c r="CQ89" s="216" t="e">
        <f>IF(QR89="Menor","NO APLICA-MENOR 13 SEM",IF(AND(CC89="SI",CN89&gt;23),"NO APLICA- GEMELAR",IF(QR89="","",IF(QR89&gt;0,HLOOKUP(QR89,$QS$2:RU89,NY89),""))))</f>
        <v>#REF!</v>
      </c>
      <c r="CR89" s="21">
        <v>90</v>
      </c>
      <c r="CS89" s="21">
        <v>60</v>
      </c>
      <c r="CT89" s="217" t="str">
        <f>IF(R89="","",IF(AND(BS89&gt;1,BS89&lt;12,Tabla1[[#This Row],[T.A. SISTOLICA - ANTES DE SEMANA 12]]="",Tabla1[[#This Row],[T.A. DIASTOLICA - ANTES DE SEMANA 12]]=""),"REGISTRE DATO TA ANTES SEMANA 12",IF(AND(BS89&gt;11,BS89&lt;43,Tabla1[[#This Row],[T.A. SISTOLICA - ANTES DE SEMANA 12]]="",Tabla1[[#This Row],[T.A. DIASTOLICA - ANTES DE SEMANA 12]]=""),"NO APLICA REGISTRO TA-INGRESO TARDIO",IF(AND(OR(O89&gt;0,R89&gt;0),OR(CR89&gt;=140,CS89&gt;=90)),"DEFINIR ESTADIO HTA",IF(AND(OR(O89&gt;0,R89&gt;0),AND(CR89&gt;120,CR89&lt;=139)),"PRE HTA SEGUIMIENTO",IF(AND(OR(O89&gt;0,R89&gt;0),AND(CS89&gt;80,CS89&lt;=89)),"PRE HTA SEGUIMIENTO",IF(AND(OR(O89&gt;0,R89&gt;0),AND(CR89&gt;=80,CR89&lt;=120)),"APARENTEMENTE NORMAL",IF(AND(OR(O89&gt;0,R89&gt;0),AND(CS89&gt;=50,CS89&lt;=80)),"APARENTEMENTE NORMAL",IF(AND(OR(O89&gt;0,R89&gt;0),AND(CR89&gt;1,CR89&lt;=70),AND(CS89&gt;1,CS89&lt;=40)),"HIPOTENSIÓN","")))))))))</f>
        <v>APARENTEMENTE NORMAL</v>
      </c>
      <c r="CU89" s="21">
        <v>100</v>
      </c>
      <c r="CV89" s="21">
        <v>60</v>
      </c>
      <c r="CW89" s="217" t="str">
        <f ca="1">IF(R89="","",IF(AND(CN89&gt;19,CN89&lt;27,Tabla1[[#This Row],[T.A. SISTOLICA (Entre semana 20 y 26)]]="",Tabla1[[#This Row],[T.A. DIATOLICA (Entre semana 20 y 26)]]=""),"ACUDE A CONTROL SEM 20 A 26 REGISTRE TA AHORA",IF(AND(BS89&gt;1,BS89&lt;27,BU89&gt;19,Tabla1[[#This Row],[T.A. SISTOLICA (Entre semana 20 y 26)]]="",Tabla1[[#This Row],[T.A. DIATOLICA (Entre semana 20 y 26)]]=""),"COMPLETE REGISTRO TA CONTROL SEM 20 A26 ",IF(AND(BS89&gt;26,BS89&lt;43,Tabla1[[#This Row],[T.A. SISTOLICA (Entre semana 20 y 26)]]="",Tabla1[[#This Row],[T.A. DIATOLICA (Entre semana 20 y 26)]]=""),"NO APLICA REGISTRO TA-INGRESO TARDIO",IF(AND(OR(O89&gt;0,R89&gt;0),OR(CU89&gt;=140,CV89&gt;=90)),"ALTO RIESGO PREECLAMPSIA,DEFINIR ESTADIO HTA",IF(AND(OR(O89&gt;0,R89&gt;0),AND(CU89&gt;120,CU89&lt;=139)),"PRE HTA SEGUIMIENTO,RIESGO HIPERTENSION INDUCIDA POR EL EMBARAZO",IF(AND(OR(O89&gt;0,R89&gt;0),AND(CV89&gt;80,CV89&lt;=89)),"PRE HTA SEGUIMIENTO, RIESGO HIPERTENSION INDUCIDA POR EL EMBARAZO",IF(AND(OR(O89&lt;&gt;"",R89&lt;&gt;""),CS89&lt;&gt;"",CV89&lt;&gt;"",CS89&lt;=CV89),"VIGILAR CIFRAS PRESION ARTERIAL",IF(AND(OR(O89&gt;0,R89&gt;0),AND(CU89&gt;120,CU89&lt;=139)),"PRE HTA SEGUIMIENTO",IF(AND(OR(O89&gt;0,R89&gt;0),AND(CU89&gt;1,CU89&lt;=70),AND(CV89&gt;1,CV89&lt;=40)),"HIPOTENSIÓN",IF(AND(OR(O89&lt;&gt;"",R89&lt;&gt;""),CS89&lt;&gt;"",CV89&lt;&gt;"",CS89&gt;CV89),"APARENTEMENTE NORMAL",IF(AND(OR(O89&gt;0,R89&gt;0),AND(CU89&gt;=80,CU89&lt;=120)),"APARENTEMENTE NORMAL",IF(AND(OR(O89&gt;0,R89&gt;0),AND(CV89&gt;=50,CV89&lt;=80)),"APARENTEMENTE NORMAL","")))))))))))))</f>
        <v>VIGILAR CIFRAS PRESION ARTERIAL</v>
      </c>
      <c r="CX89" s="21">
        <v>90</v>
      </c>
      <c r="CY89" s="21">
        <v>60</v>
      </c>
      <c r="CZ89" s="216" t="str">
        <f t="shared" si="263"/>
        <v>APARENTEMENTE NORMAL</v>
      </c>
      <c r="DA89" s="21">
        <v>90</v>
      </c>
      <c r="DB89" s="21">
        <v>60</v>
      </c>
      <c r="DC89" s="217" t="str">
        <f t="shared" si="264"/>
        <v>APARENTEMENTE NORMAL</v>
      </c>
      <c r="DD89" s="22">
        <v>44943</v>
      </c>
      <c r="DE89" s="22">
        <v>44943</v>
      </c>
      <c r="DF89" s="22">
        <v>44989</v>
      </c>
      <c r="DG89" s="22">
        <v>45027</v>
      </c>
      <c r="DH89" s="22">
        <v>45059</v>
      </c>
      <c r="DI89" s="22">
        <v>45094</v>
      </c>
      <c r="DJ89" s="22">
        <v>45125</v>
      </c>
      <c r="DK89" s="22"/>
      <c r="DL89" s="22"/>
      <c r="DM89" s="22"/>
      <c r="DN89" s="22"/>
      <c r="DO89" s="22"/>
      <c r="DP89" s="22"/>
      <c r="DQ89" s="22"/>
      <c r="DR89" s="28">
        <v>0</v>
      </c>
      <c r="DS89" s="22"/>
      <c r="DT89" s="22"/>
      <c r="DU89" s="216" t="str">
        <f t="shared" ca="1" si="439"/>
        <v>SALE SIN PLAN DE PARTO</v>
      </c>
      <c r="DV89" s="226" t="str">
        <f t="shared" si="440"/>
        <v>SALIO PROGRAMA</v>
      </c>
      <c r="DW89"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89" s="216" t="str">
        <f t="shared" ca="1" si="266"/>
        <v/>
      </c>
      <c r="DY89" s="212">
        <f>IF(R89="","",IF(R89&gt;0,MAX(Tabla1[[#This Row],[FECHA C2]:[FECHA C13]],Tabla1[[#This Row],[FECHA CONSULTA PRIMERA VEZ PROGRAMA CPN ]])))</f>
        <v>45125</v>
      </c>
      <c r="DZ89" s="216">
        <f t="shared" si="267"/>
        <v>37</v>
      </c>
      <c r="EA89" s="222">
        <f>IF(R89&gt;0,SUM(COUNTA(DF89:DQ89)+COUNTA(Tabla1[[#This Row],[FECHA CONSULTA PRIMERA VEZ PROGRAMA CPN ]])),"")</f>
        <v>6</v>
      </c>
      <c r="EB89" s="222" t="str">
        <f t="shared" si="268"/>
        <v>SI</v>
      </c>
      <c r="EC89" s="214">
        <f t="shared" si="269"/>
        <v>9</v>
      </c>
      <c r="ED89" s="227">
        <f t="shared" si="270"/>
        <v>0.66666666666666663</v>
      </c>
      <c r="EE89" s="22">
        <v>44947</v>
      </c>
      <c r="EF89" s="22">
        <v>44947</v>
      </c>
      <c r="EG89" s="22">
        <v>44947</v>
      </c>
      <c r="EH89" s="22">
        <v>44958</v>
      </c>
      <c r="EI89" s="22">
        <v>44947</v>
      </c>
      <c r="EJ89" s="22">
        <v>44965</v>
      </c>
      <c r="EK89" s="22">
        <v>45040</v>
      </c>
      <c r="EL89" s="21">
        <v>1</v>
      </c>
      <c r="EM89" s="21">
        <v>14</v>
      </c>
      <c r="EN89" s="22">
        <v>44957</v>
      </c>
      <c r="EO89" s="222">
        <f t="shared" si="271"/>
        <v>13.571428571428571</v>
      </c>
      <c r="EP89" s="214" t="str">
        <f t="shared" si="272"/>
        <v>NORMAL- SUMINISTRAR SULFATO FERROSO</v>
      </c>
      <c r="EQ89" s="216" t="str">
        <f t="shared" si="273"/>
        <v>II TRIM</v>
      </c>
      <c r="ER89" s="24">
        <v>13.4</v>
      </c>
      <c r="ES89" s="22">
        <v>45066</v>
      </c>
      <c r="ET89" s="29">
        <f t="shared" ca="1" si="441"/>
        <v>29.142857142857142</v>
      </c>
      <c r="EU89" s="25" t="str">
        <f t="shared" si="275"/>
        <v>NORMAL- SUMINISTRAR SULFATO FERROSO</v>
      </c>
      <c r="EV89" s="24" t="s">
        <v>1510</v>
      </c>
      <c r="EW89" s="24">
        <v>44957</v>
      </c>
      <c r="EX89" s="22"/>
      <c r="EY89" s="29">
        <f t="shared" si="248"/>
        <v>13.571428571428571</v>
      </c>
      <c r="EZ89" s="25" t="str">
        <f t="shared" si="249"/>
        <v>SIN RIESGO DE ISOINMUNIZACIÓN</v>
      </c>
      <c r="FA89" s="21">
        <v>88</v>
      </c>
      <c r="FB89" s="22">
        <v>44957</v>
      </c>
      <c r="FC89" s="29">
        <f t="shared" si="276"/>
        <v>13.571428571428571</v>
      </c>
      <c r="FD89" s="29">
        <v>88</v>
      </c>
      <c r="FE89" s="29">
        <v>134</v>
      </c>
      <c r="FF89" s="29">
        <v>121</v>
      </c>
      <c r="FG89" s="21" t="str">
        <f t="shared" ca="1" si="277"/>
        <v>NORMAL</v>
      </c>
      <c r="FH89" s="31">
        <v>45031</v>
      </c>
      <c r="FI89" s="29">
        <f t="shared" si="278"/>
        <v>24.142857142857142</v>
      </c>
      <c r="FJ89" s="22"/>
      <c r="FK89" s="22"/>
      <c r="FL89" s="29" t="str">
        <f t="shared" ca="1" si="279"/>
        <v>PIERDE TOMA DE TAMIZAJE</v>
      </c>
      <c r="FM89" s="22" t="s">
        <v>867</v>
      </c>
      <c r="FN89" s="32">
        <v>44957</v>
      </c>
      <c r="FO89" s="29">
        <f t="shared" ca="1" si="442"/>
        <v>13.571428571428571</v>
      </c>
      <c r="FP89" s="22"/>
      <c r="FQ89" s="32"/>
      <c r="FR89" s="29" t="str">
        <f t="shared" ca="1" si="443"/>
        <v>PIERDE TOMA DE TAMIZAJE</v>
      </c>
      <c r="FS89" s="22"/>
      <c r="FT89" s="32"/>
      <c r="FU89" s="29" t="str">
        <f>IF(AND(FJ89="",FM89="",FP89="",FS89=""),"",IF(OR(OR(Tabla1[[#This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89" s="28"/>
      <c r="FW89" s="22"/>
      <c r="FX89" s="29" t="str">
        <f t="shared" si="280"/>
        <v>TOMAR EXAMEN</v>
      </c>
      <c r="FY89" s="22">
        <v>44957</v>
      </c>
      <c r="FZ89" s="22">
        <v>44957</v>
      </c>
      <c r="GA89" s="29" t="str">
        <f t="shared" si="250"/>
        <v>REGISTRAR EN II TRIMESTRE</v>
      </c>
      <c r="GB89" s="22" t="s">
        <v>868</v>
      </c>
      <c r="GC89" s="22">
        <v>44957</v>
      </c>
      <c r="GD89" s="29">
        <f t="shared" ca="1" si="444"/>
        <v>13.571428571428571</v>
      </c>
      <c r="GE89" s="22"/>
      <c r="GF89" s="22"/>
      <c r="GG89" s="29" t="str">
        <f t="shared" ca="1" si="445"/>
        <v>PIERDE TOMA DE TAMIZAJE</v>
      </c>
      <c r="GH89" s="22"/>
      <c r="GI89" s="29"/>
      <c r="GJ89" s="22"/>
      <c r="GK89" s="22"/>
      <c r="GL89" s="22"/>
      <c r="GM89" s="22"/>
      <c r="GN89" s="28" t="s">
        <v>869</v>
      </c>
      <c r="GO89" s="22">
        <v>44957</v>
      </c>
      <c r="GP89" s="29">
        <f t="shared" si="283"/>
        <v>13.571428571428571</v>
      </c>
      <c r="GQ89" s="28" t="s">
        <v>869</v>
      </c>
      <c r="GR89" s="28" t="s">
        <v>869</v>
      </c>
      <c r="GS89" s="22" t="str">
        <f t="shared" si="284"/>
        <v>CONTROL Igm</v>
      </c>
      <c r="GT89" s="22">
        <v>44957</v>
      </c>
      <c r="GU89" s="29">
        <f t="shared" si="285"/>
        <v>13.571428571428571</v>
      </c>
      <c r="GV89" s="21" t="str">
        <f t="shared" si="286"/>
        <v>II TRIM</v>
      </c>
      <c r="GW89" s="28" t="s">
        <v>869</v>
      </c>
      <c r="GX89" s="30"/>
      <c r="GY89" s="21"/>
      <c r="GZ89" s="21"/>
      <c r="HA89" s="21"/>
      <c r="HB89" s="21"/>
      <c r="HC89" s="21"/>
      <c r="HD89" s="21"/>
      <c r="HE89" s="21"/>
      <c r="HF89" s="22"/>
      <c r="HG89" s="22" t="str">
        <f>IF(OR(O89&gt;0,R89&gt;0),CONCATENATE(IF(Tabla1[[#This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89" s="22" t="e">
        <f t="shared" si="287"/>
        <v>#REF!</v>
      </c>
      <c r="HI89" s="22" t="e">
        <f t="shared" ca="1" si="288"/>
        <v>#REF!</v>
      </c>
      <c r="HJ89" s="21" t="str">
        <f t="shared" ca="1" si="289"/>
        <v>***************************************</v>
      </c>
      <c r="HK89" s="21" t="str">
        <f t="shared" si="290"/>
        <v>SIN ANTECEDENTES DE RIESGO</v>
      </c>
      <c r="HL89" s="24" t="str">
        <f t="shared" si="291"/>
        <v>APARENTEMENTE NORMAL</v>
      </c>
      <c r="HM89" s="21" t="str">
        <f t="shared" ca="1" si="292"/>
        <v/>
      </c>
      <c r="HN89" s="30" t="str">
        <f t="shared" si="446"/>
        <v>SALIO PROGRAMA</v>
      </c>
      <c r="HO89" s="21"/>
      <c r="HP89" s="21"/>
      <c r="HQ89" s="21">
        <v>44943</v>
      </c>
      <c r="HR89" s="21" t="str">
        <f>IF(R89="","",IF(Tabla1[[#This Row],[ALARMA FACTORES DE RIESGO COMPLICACIONES HIPERTENSIVAS3]]="SIN ANTECEDENTES DE RIESGO","No Aplica para suministro de ASA",IF(AND(Tabla1[[#This Row],[FECHA INICIO DE SUMINISTRO DE ASA]]&gt;0,RV89&lt;12),"Inicia ASA ANTES de Sem 12",IF(AND(RV89&gt;11,RV89&lt;17,OR(HK89="RIESGO ALTO DE COMPLICACIONES HIPERTENSIVAS VER MANEJO GUIA SUMINISTRO ASA Y CALCIO",HK89="RIESGO MODERADO (2 O MAS CRITERIOS) VER MANEJO GUIA SUMINISTRO ASA Y CALCIO")),"Inicio oportuno de ASA",IF(AND(RV89&gt;12,OR(HK89="RIESGO ALTO DE COMPLICACIONES HIPERTENSIVAS VER MANEJO GUIA SUMINISTRO ASA Y CALCIO",HK89="RIESGO MODERADO (2 O MAS CRITERIOS) VER MANEJO GUIA SUMINISTRO ASA Y CALCIO")),"Inicio no oportuno mayor a 16 semanas",IF(AND(BU89&lt;12,OR(HK89="RIESGO ALTO DE COMPLICACIONES HIPERTENSIVAS VER MANEJO GUIA SUMINISTRO ASA Y CALCIO",HK89="RIESGO MODERADO (2 O MAS CRITERIOS) VER MANEJO GUIA SUMINISTRO ASA Y CALCIO")),"Pendiente Inicio de ASA a la semana 12",IF(AND(BU89&gt;11,BU89&lt;17,OR(HK89="RIESGO ALTO DE COMPLICACIONES HIPERTENSIVAS VER MANEJO GUIA SUMINISTRO ASA Y CALCIO",HK89="RIESGO MODERADO (2 O MAS CRITERIOS) VER MANEJO GUIA SUMINISTRO ASA Y CALCIO")),"Iniciar de inmediato ASA",IF(AND(BU89&gt;16,OR(HK89="RIESGO ALTO DE COMPLICACIONES HIPERTENSIVAS VER MANEJO GUIA SUMINISTRO ASA Y CALCIO",HK89="RIESGO MODERADO (2 O MAS CRITERIOS) VER MANEJO GUIA SUMINISTRO ASA Y CALCIO")),"Pierde Oportunidad, Inicio tardío de ASA","XXXXX"))))))))</f>
        <v>No Aplica para suministro de ASA</v>
      </c>
      <c r="HS89" s="22">
        <v>44943</v>
      </c>
      <c r="HT89" s="22" t="s">
        <v>870</v>
      </c>
      <c r="HU89" s="22">
        <v>44943</v>
      </c>
      <c r="HV89" s="22" t="s">
        <v>870</v>
      </c>
      <c r="HW89" s="22">
        <v>44943</v>
      </c>
      <c r="HX89" s="22" t="s">
        <v>870</v>
      </c>
      <c r="HY89" s="22">
        <v>44947</v>
      </c>
      <c r="HZ89" s="28">
        <f t="shared" si="293"/>
        <v>12.142857142857142</v>
      </c>
      <c r="IA89" s="26"/>
      <c r="IB89" s="26"/>
      <c r="IC89" s="111"/>
      <c r="ID89" s="22"/>
      <c r="IE89" s="22" t="str">
        <f t="shared" ca="1" si="294"/>
        <v>SALE SIN VACUNA</v>
      </c>
      <c r="IF89" s="22"/>
      <c r="IG89" s="22">
        <f t="shared" si="295"/>
        <v>45142</v>
      </c>
      <c r="IH89" s="29">
        <f t="shared" ca="1" si="296"/>
        <v>-90</v>
      </c>
      <c r="II89" s="22" t="str">
        <f t="shared" ca="1" si="297"/>
        <v>POSIBLEMENTE NACIO</v>
      </c>
      <c r="IJ89" s="22"/>
      <c r="IK89" s="21" t="s">
        <v>1652</v>
      </c>
      <c r="IL89" s="21"/>
      <c r="IM89" s="34"/>
      <c r="IN89" s="349">
        <v>45145</v>
      </c>
      <c r="IO89" s="21" t="s">
        <v>1186</v>
      </c>
      <c r="IP89" s="29">
        <f t="shared" si="436"/>
        <v>40.428571428571431</v>
      </c>
      <c r="IQ89" s="290" t="s">
        <v>1654</v>
      </c>
      <c r="IR89" s="290" t="s">
        <v>1651</v>
      </c>
      <c r="IS89" s="290" t="s">
        <v>1646</v>
      </c>
      <c r="IT89" s="290" t="s">
        <v>1642</v>
      </c>
      <c r="IU89" s="21"/>
      <c r="IV89" s="21"/>
      <c r="IW89" s="21"/>
      <c r="IX89" s="21"/>
      <c r="IY89" s="21"/>
      <c r="IZ89" s="21"/>
      <c r="JA89" s="21"/>
      <c r="JB89" s="30">
        <v>1</v>
      </c>
      <c r="JC89" s="21" t="s">
        <v>1643</v>
      </c>
      <c r="JD89" s="36">
        <v>3850</v>
      </c>
      <c r="JE89" s="21" t="str">
        <f t="shared" si="447"/>
        <v>PESO ADECUADO EDAD GESTACIONAL</v>
      </c>
      <c r="JF89" s="30"/>
      <c r="JG89" s="21"/>
      <c r="JH89" s="21"/>
      <c r="JI89" s="21"/>
      <c r="JJ89" s="30"/>
      <c r="JK89" s="22"/>
      <c r="JL89" s="22"/>
      <c r="JM89" s="21"/>
      <c r="JN89" s="36"/>
      <c r="JO89" s="21" t="str">
        <f t="shared" si="448"/>
        <v/>
      </c>
      <c r="JP89" s="22"/>
      <c r="JQ89" s="21"/>
      <c r="JR89" s="21"/>
      <c r="JS89" s="21"/>
      <c r="JT89" s="30"/>
      <c r="JU89" s="22"/>
      <c r="JV89" s="22"/>
      <c r="JW89" s="33"/>
      <c r="JX89" s="28" t="str">
        <f t="shared" si="449"/>
        <v>INASISTENTE</v>
      </c>
      <c r="JY89" s="33"/>
      <c r="JZ89" s="28" t="str">
        <f t="shared" si="450"/>
        <v>INASISTENTE</v>
      </c>
      <c r="KA89" s="21"/>
      <c r="KB89" s="21"/>
      <c r="KC89" s="21"/>
      <c r="KD89" s="37"/>
      <c r="KE89" s="28"/>
      <c r="KF89" s="28"/>
      <c r="KG89" s="28"/>
      <c r="KH89" s="39"/>
      <c r="KI89" s="39"/>
      <c r="KJ89" s="66"/>
      <c r="KK89" s="39"/>
      <c r="KL89" s="39"/>
      <c r="KM89" s="66"/>
      <c r="KN89" s="39"/>
      <c r="KO89" s="39"/>
      <c r="KP89" s="39"/>
      <c r="KQ89" s="39"/>
      <c r="KR89" s="39"/>
      <c r="KS89" s="39"/>
      <c r="KT89" s="39"/>
      <c r="KU89" s="38"/>
      <c r="KV89" s="38"/>
      <c r="KW89" s="38"/>
      <c r="KX89" s="38"/>
      <c r="KY89" s="38"/>
      <c r="KZ89" s="38"/>
      <c r="LA89" s="38"/>
      <c r="LB89" s="38"/>
      <c r="LC89" s="38"/>
      <c r="LD89" s="38"/>
      <c r="LE89" s="38"/>
      <c r="LF89" s="38"/>
      <c r="LG89" s="38"/>
      <c r="LH89" s="38"/>
      <c r="LI89" s="38"/>
      <c r="LJ89" s="38"/>
      <c r="LK89" s="38"/>
      <c r="LL89" s="38"/>
      <c r="LM89" s="38"/>
      <c r="LN89" s="38"/>
      <c r="LO89" s="38"/>
      <c r="LP89" s="38"/>
      <c r="LQ89" s="38"/>
      <c r="LR89" s="38"/>
      <c r="LS89" s="38"/>
      <c r="LT89" s="38"/>
      <c r="LU89" s="38"/>
      <c r="LV89" s="38"/>
      <c r="LW89" s="38"/>
      <c r="LX89" s="38"/>
      <c r="LY89" s="38"/>
      <c r="LZ89" s="38"/>
      <c r="MA89" s="38"/>
      <c r="MB89" s="38"/>
      <c r="MC89" s="38"/>
      <c r="MD89" s="38"/>
      <c r="ME89" s="38"/>
      <c r="MF89" s="38"/>
      <c r="MG89" s="38"/>
      <c r="MH89" s="43">
        <f t="shared" si="303"/>
        <v>0</v>
      </c>
      <c r="MI89" s="43" t="str">
        <f t="shared" si="304"/>
        <v/>
      </c>
      <c r="MJ89" s="43" t="str">
        <f t="shared" si="305"/>
        <v/>
      </c>
      <c r="MK89" s="43">
        <f t="shared" si="306"/>
        <v>0</v>
      </c>
      <c r="ML8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-4</v>
      </c>
      <c r="MM89" s="43">
        <f t="shared" si="307"/>
        <v>12.142857142857142</v>
      </c>
      <c r="MN89" s="43">
        <f t="shared" si="308"/>
        <v>1</v>
      </c>
      <c r="MO89" s="43">
        <f t="shared" si="309"/>
        <v>2023</v>
      </c>
      <c r="MP89" s="43" t="str">
        <f t="shared" si="310"/>
        <v>I TRIMESTRE AÑO</v>
      </c>
      <c r="MQ89" s="43">
        <f t="shared" si="311"/>
        <v>27.091546211125713</v>
      </c>
      <c r="MR89" s="43">
        <f t="shared" si="312"/>
        <v>0</v>
      </c>
      <c r="MS89" s="43" t="str">
        <f t="shared" si="313"/>
        <v xml:space="preserve"> DE 25 A 29 AÑOS</v>
      </c>
      <c r="MT89" s="43">
        <f t="shared" si="314"/>
        <v>0</v>
      </c>
      <c r="MU89" s="43">
        <f t="shared" si="315"/>
        <v>0</v>
      </c>
      <c r="MV89" s="43">
        <f t="shared" si="316"/>
        <v>0</v>
      </c>
      <c r="MW89" s="43">
        <f t="shared" si="317"/>
        <v>0</v>
      </c>
      <c r="MX89" s="43" t="str">
        <f t="shared" si="318"/>
        <v/>
      </c>
      <c r="MY89" s="43" t="str">
        <f t="shared" ca="1" si="451"/>
        <v/>
      </c>
      <c r="MZ89" s="43" t="str">
        <f t="shared" si="319"/>
        <v/>
      </c>
      <c r="NA89" s="43" t="str">
        <f t="shared" si="320"/>
        <v/>
      </c>
      <c r="NB89" s="43" t="str">
        <f t="shared" si="321"/>
        <v/>
      </c>
      <c r="NC89" s="43" t="str">
        <f t="shared" si="322"/>
        <v/>
      </c>
      <c r="ND89" s="43">
        <f t="shared" ca="1" si="323"/>
        <v>0</v>
      </c>
      <c r="NE89" s="43">
        <f>IF(OR(O89&gt;0,R89&gt;0),SUM(COUNTIF(Tabla1[[#This Row],[AÑOS AL INICIO5 CPN]],"&gt;=40"),COUNTIF(AS89,"0"),COUNTIF(AR89,"SI"),COUNTIF(CC89,"SI"),COUNTIF(BQ89,"&gt;119"),COUNTIF(CI89,"&gt;=35")),"")</f>
        <v>0</v>
      </c>
      <c r="NF89" s="43" t="str">
        <f t="shared" si="324"/>
        <v/>
      </c>
      <c r="NG89" s="43">
        <f t="shared" si="325"/>
        <v>0</v>
      </c>
      <c r="NH89" s="43">
        <f t="shared" si="326"/>
        <v>80.5</v>
      </c>
      <c r="NI89"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CPN",P89="NO"),"Z",IF(AND(Tabla1[[#This Row],[CITA PROXIMO CONTROL]]="CITA MANUAL",Tabla1[[#This Row],[GESTANTES ACTUALES]]="ACTIVA INGRESO A CPN"),"W",IF(AND(Tabla1[[#This Row],[GESTANTES ACTUALES]]="SALIO PROGRAMA",IN89=""),"S",IF(AND(Tabla1[[#This Row],[CITA PROXIMO CONTROL]]&gt;0,IN89=""),(Tabla1[[#This Row],[CITA PROXIMO CONTROL]]-TODAY()),"SD"))))))))</f>
        <v>SD</v>
      </c>
      <c r="NJ89" s="43">
        <f>MONTH(Tabla1[[#This Row],[FECHA DE SALIDA  DEL PROGRAMA]])</f>
        <v>8</v>
      </c>
      <c r="NK89" s="43">
        <f>YEAR(Tabla1[[#This Row],[FECHA DE SALIDA  DEL PROGRAMA]])</f>
        <v>2023</v>
      </c>
      <c r="NL89" s="43">
        <f t="shared" si="327"/>
        <v>18</v>
      </c>
      <c r="NM89" s="43" t="str">
        <f t="shared" si="251"/>
        <v>NO</v>
      </c>
      <c r="NN89" s="43" t="str">
        <f ca="1">IF(AND(O89&gt;0,R89=""),"NO CPN",IF(AND(O89="",R89=""),"",IF(AND(R89&gt;0,Tabla1[[#This Row],[SEMANAS DE GESTACION ACTUALIZADAS]]&lt;=12),"NO APLICA",IF(AND(FH89&lt;&gt;"",FN89&lt;&gt;""),"SI","NO"))))</f>
        <v>SI</v>
      </c>
      <c r="NO89" s="43" t="str">
        <f ca="1">IF(AND(O89&gt;0,R89=""),"NO CPN",IF(AND(O89="",R89=""),"",IF(AND(R89&gt;0,Tabla1[[#This Row],[SEMANAS DE GESTACION ACTUALIZADAS]]&lt;=27),"NO APLICA",IF(AND(ES89&lt;&gt;"",FQ89&lt;&gt;"",GF89&lt;&gt;""),"SI","NO"))))</f>
        <v>NO</v>
      </c>
      <c r="NP89" s="204" t="str">
        <f t="shared" si="328"/>
        <v>I TRIM</v>
      </c>
      <c r="NQ89" s="21">
        <f t="shared" si="437"/>
        <v>7</v>
      </c>
      <c r="NR89" s="21">
        <f t="shared" si="452"/>
        <v>3</v>
      </c>
      <c r="NS89" s="205">
        <f t="shared" ca="1" si="329"/>
        <v>1</v>
      </c>
      <c r="NT89" s="21">
        <f t="shared" ca="1" si="330"/>
        <v>1</v>
      </c>
      <c r="NU89" s="21" t="str">
        <f t="shared" ca="1" si="331"/>
        <v>INCOMPLETO</v>
      </c>
      <c r="NV89" s="21" t="str">
        <f t="shared" ca="1" si="332"/>
        <v>INCOMPLETO</v>
      </c>
      <c r="NW89" s="206" t="str">
        <f>IF(AND(O89="",R89=""),"",IF(OR(AND(Tabla1[[#This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89" s="207" t="str">
        <f t="shared" ca="1" si="333"/>
        <v>SIN VACUNAR</v>
      </c>
      <c r="NY89" s="43">
        <f>ROW(Tabla1[[#This Row],['# DE TAMIZAJES SIFILIS TOMADOS ]])</f>
        <v>89</v>
      </c>
      <c r="NZ89" s="43">
        <f t="shared" si="334"/>
        <v>11</v>
      </c>
      <c r="OA89" s="43" t="str">
        <f t="shared" si="335"/>
        <v/>
      </c>
      <c r="OB89" s="43" t="str">
        <f t="shared" si="336"/>
        <v/>
      </c>
      <c r="OC89" s="43" t="str">
        <f t="shared" si="337"/>
        <v>SOBREPESO</v>
      </c>
      <c r="OD89" s="43" t="str">
        <f t="shared" si="338"/>
        <v/>
      </c>
      <c r="OE89" s="43" t="str">
        <f t="shared" si="339"/>
        <v/>
      </c>
      <c r="OF89" s="43" t="str">
        <f t="shared" si="340"/>
        <v/>
      </c>
      <c r="OG89" s="43" t="str">
        <f t="shared" si="341"/>
        <v/>
      </c>
      <c r="OH89" s="43" t="str">
        <f t="shared" si="342"/>
        <v/>
      </c>
      <c r="OI89" s="43" t="str">
        <f t="shared" si="343"/>
        <v/>
      </c>
      <c r="OJ89" s="43" t="str">
        <f t="shared" si="344"/>
        <v/>
      </c>
      <c r="OK89" s="43" t="str">
        <f t="shared" si="345"/>
        <v/>
      </c>
      <c r="OL89" s="43" t="str">
        <f t="shared" si="346"/>
        <v/>
      </c>
      <c r="OM89" s="43" t="str">
        <f t="shared" si="347"/>
        <v/>
      </c>
      <c r="ON89" s="43" t="str">
        <f t="shared" si="348"/>
        <v/>
      </c>
      <c r="OO89" s="43" t="str">
        <f t="shared" si="349"/>
        <v/>
      </c>
      <c r="OP89" s="43" t="str">
        <f t="shared" si="350"/>
        <v/>
      </c>
      <c r="OQ89" s="43" t="str">
        <f t="shared" si="351"/>
        <v/>
      </c>
      <c r="OR89" s="43" t="str">
        <f t="shared" si="352"/>
        <v/>
      </c>
      <c r="OS89" s="43" t="str">
        <f t="shared" si="353"/>
        <v/>
      </c>
      <c r="OT89" s="43" t="str">
        <f t="shared" si="354"/>
        <v/>
      </c>
      <c r="OU89" s="43" t="str">
        <f t="shared" si="355"/>
        <v/>
      </c>
      <c r="OV89" s="110" t="str">
        <f t="shared" si="356"/>
        <v/>
      </c>
      <c r="OW89" s="43" t="str">
        <f t="shared" si="357"/>
        <v/>
      </c>
      <c r="OX89" s="43" t="str">
        <f t="shared" si="358"/>
        <v/>
      </c>
      <c r="OY89" s="43" t="str">
        <f t="shared" si="359"/>
        <v/>
      </c>
      <c r="OZ89" s="43" t="str">
        <f t="shared" si="360"/>
        <v/>
      </c>
      <c r="PA89" s="43" t="str">
        <f t="shared" si="361"/>
        <v/>
      </c>
      <c r="PB89" s="43" t="str">
        <f t="shared" si="362"/>
        <v/>
      </c>
      <c r="PC89" s="43" t="str">
        <f t="shared" si="363"/>
        <v/>
      </c>
      <c r="PD89" s="43" t="str">
        <f t="shared" si="364"/>
        <v/>
      </c>
      <c r="PE89" s="43" t="str">
        <f t="shared" si="365"/>
        <v/>
      </c>
      <c r="PF89" s="43" t="str">
        <f t="shared" si="366"/>
        <v/>
      </c>
      <c r="PG89" s="43" t="str">
        <f t="shared" si="367"/>
        <v/>
      </c>
      <c r="PH89" s="43" t="str">
        <f t="shared" si="368"/>
        <v/>
      </c>
      <c r="PI89" s="43">
        <f t="shared" si="369"/>
        <v>37</v>
      </c>
      <c r="PJ89" s="43" t="str">
        <f t="shared" si="370"/>
        <v/>
      </c>
      <c r="PK89" s="43" t="str">
        <f t="shared" si="371"/>
        <v/>
      </c>
      <c r="PL89" s="43" t="str">
        <f t="shared" si="372"/>
        <v/>
      </c>
      <c r="PM89" s="43" t="str">
        <f t="shared" si="373"/>
        <v/>
      </c>
      <c r="PN89" s="43" t="str">
        <f t="shared" si="374"/>
        <v/>
      </c>
      <c r="PO89" s="43" t="str">
        <f t="shared" si="375"/>
        <v/>
      </c>
      <c r="PP89" s="43" t="str">
        <f t="shared" si="376"/>
        <v/>
      </c>
      <c r="PQ89" s="43" t="str">
        <f t="shared" si="377"/>
        <v/>
      </c>
      <c r="PR89" s="43" t="str">
        <f t="shared" si="378"/>
        <v/>
      </c>
      <c r="PS89" s="43" t="str">
        <f t="shared" si="379"/>
        <v/>
      </c>
      <c r="PT89" s="43" t="str">
        <f t="shared" si="380"/>
        <v/>
      </c>
      <c r="PU89" s="43" t="str">
        <f t="shared" si="381"/>
        <v/>
      </c>
      <c r="PV89" s="43" t="str">
        <f t="shared" si="382"/>
        <v/>
      </c>
      <c r="PW89" s="43" t="str">
        <f t="shared" si="383"/>
        <v/>
      </c>
      <c r="PX89" s="43" t="str">
        <f t="shared" si="384"/>
        <v/>
      </c>
      <c r="PY89" s="43" t="str">
        <f t="shared" si="385"/>
        <v/>
      </c>
      <c r="PZ89" s="43" t="str">
        <f t="shared" si="386"/>
        <v/>
      </c>
      <c r="QA89" s="43" t="str">
        <f t="shared" si="387"/>
        <v/>
      </c>
      <c r="QB89" s="43" t="str">
        <f t="shared" si="388"/>
        <v/>
      </c>
      <c r="QC89" s="43" t="str">
        <f t="shared" si="389"/>
        <v/>
      </c>
      <c r="QD89" s="43" t="str">
        <f t="shared" si="390"/>
        <v/>
      </c>
      <c r="QE89" s="43" t="str">
        <f t="shared" si="391"/>
        <v/>
      </c>
      <c r="QF89" s="43" t="str">
        <f t="shared" si="392"/>
        <v/>
      </c>
      <c r="QG89" s="43" t="str">
        <f t="shared" si="393"/>
        <v/>
      </c>
      <c r="QH89" s="43" t="str">
        <f t="shared" si="394"/>
        <v/>
      </c>
      <c r="QI89" s="43" t="str">
        <f t="shared" si="395"/>
        <v/>
      </c>
      <c r="QJ89" s="43" t="str">
        <f t="shared" si="396"/>
        <v/>
      </c>
      <c r="QK89" s="43" t="str">
        <f t="shared" si="397"/>
        <v/>
      </c>
      <c r="QL89" s="43" t="str">
        <f t="shared" si="398"/>
        <v>SOBREPESO</v>
      </c>
      <c r="QM89" s="43" t="str">
        <f t="shared" si="399"/>
        <v/>
      </c>
      <c r="QN89" s="43" t="str">
        <f t="shared" si="400"/>
        <v/>
      </c>
      <c r="QO89" s="43" t="str">
        <f t="shared" si="401"/>
        <v/>
      </c>
      <c r="QP89" s="43" t="str">
        <f t="shared" si="402"/>
        <v/>
      </c>
      <c r="QQ89" s="43" t="str">
        <f t="shared" si="403"/>
        <v/>
      </c>
      <c r="QR89" s="43">
        <f t="shared" si="433"/>
        <v>37</v>
      </c>
      <c r="QS89" s="43"/>
      <c r="QT89" s="21" t="str">
        <f t="shared" si="404"/>
        <v/>
      </c>
      <c r="QU89" s="21" t="str">
        <f t="shared" si="405"/>
        <v/>
      </c>
      <c r="QV89" s="21" t="str">
        <f t="shared" si="406"/>
        <v/>
      </c>
      <c r="QW89" s="21" t="str">
        <f t="shared" si="407"/>
        <v/>
      </c>
      <c r="QX89" s="21" t="str">
        <f t="shared" si="408"/>
        <v/>
      </c>
      <c r="QY89" s="21" t="str">
        <f t="shared" si="409"/>
        <v/>
      </c>
      <c r="QZ89" s="21" t="str">
        <f t="shared" si="410"/>
        <v/>
      </c>
      <c r="RA89" s="21" t="str">
        <f t="shared" si="411"/>
        <v/>
      </c>
      <c r="RB89" s="21" t="str">
        <f t="shared" si="412"/>
        <v/>
      </c>
      <c r="RC89" s="21" t="str">
        <f t="shared" si="413"/>
        <v/>
      </c>
      <c r="RD89" s="21" t="str">
        <f t="shared" si="414"/>
        <v/>
      </c>
      <c r="RE89" s="21" t="str">
        <f t="shared" si="415"/>
        <v/>
      </c>
      <c r="RF89" s="21" t="str">
        <f t="shared" si="416"/>
        <v/>
      </c>
      <c r="RG89" s="21" t="str">
        <f t="shared" si="417"/>
        <v/>
      </c>
      <c r="RH89" s="21" t="str">
        <f t="shared" si="418"/>
        <v/>
      </c>
      <c r="RI89" s="21" t="str">
        <f t="shared" si="419"/>
        <v/>
      </c>
      <c r="RJ89" s="21" t="str">
        <f t="shared" si="420"/>
        <v/>
      </c>
      <c r="RK89" s="21" t="str">
        <f t="shared" si="421"/>
        <v/>
      </c>
      <c r="RL89" s="21" t="str">
        <f t="shared" si="422"/>
        <v/>
      </c>
      <c r="RM89" s="21" t="str">
        <f t="shared" si="423"/>
        <v/>
      </c>
      <c r="RN89" s="21" t="str">
        <f t="shared" si="424"/>
        <v/>
      </c>
      <c r="RO89" s="21" t="str">
        <f t="shared" si="425"/>
        <v/>
      </c>
      <c r="RP89" s="21" t="str">
        <f t="shared" si="426"/>
        <v/>
      </c>
      <c r="RQ89" s="21" t="str">
        <f t="shared" si="427"/>
        <v/>
      </c>
      <c r="RR89" s="21" t="str">
        <f t="shared" si="428"/>
        <v>ALTO PARA EDAD GESTACIONAL</v>
      </c>
      <c r="RS89" s="21" t="str">
        <f t="shared" si="429"/>
        <v/>
      </c>
      <c r="RT89" s="21" t="str">
        <f t="shared" si="430"/>
        <v/>
      </c>
      <c r="RU89" s="21" t="str">
        <f t="shared" si="431"/>
        <v/>
      </c>
      <c r="RV89" s="21">
        <f t="shared" si="432"/>
        <v>11.571428571428571</v>
      </c>
      <c r="RW89" s="284">
        <f>IF(OR(Tabla1[[#This Row],[FUM FORMULA CONFIABLE]]="",Tabla1[[#This Row],[FUM FORMULA CONFIABLE]]="SD"),"",IF(Tabla1[[#This Row],[FUM FORMULA CONFIABLE]]="CORREGIDA",Tabla1[[#This Row],[FUM X ECO 1]],Tabla1[[#This Row],[FUM x AMENORREA]]))</f>
        <v>44862</v>
      </c>
      <c r="RX89" s="21">
        <f>IF(AND(Tabla1[[#This Row],[FUM X ECO 1]]="",Tabla1[[#This Row],[FUM x AMENORREA]]=""),"",IF(AND(Tabla1[[#This Row],[FUM X ECO 1]]="",Tabla1[[#This Row],[FUM x AMENORREA]]&lt;&gt;""),"X",SUM(Tabla1[[#This Row],[FUM X ECO 1]]-Tabla1[[#This Row],[FUM x AMENORREA]])))</f>
        <v>0.5</v>
      </c>
      <c r="RY89" s="21">
        <f t="shared" si="434"/>
        <v>0</v>
      </c>
    </row>
    <row r="90" spans="1:493" ht="45" customHeight="1" x14ac:dyDescent="0.25">
      <c r="A90" s="109"/>
      <c r="B90" s="43"/>
      <c r="C90" s="43" t="s">
        <v>845</v>
      </c>
      <c r="D90" s="124"/>
      <c r="E90" s="43" t="s">
        <v>1276</v>
      </c>
      <c r="F90" s="43" t="s">
        <v>857</v>
      </c>
      <c r="G90" s="43"/>
      <c r="H90" s="43" t="s">
        <v>1277</v>
      </c>
      <c r="I90" s="109" t="s">
        <v>851</v>
      </c>
      <c r="J90" s="110">
        <v>1003150920</v>
      </c>
      <c r="K90" s="43" t="s">
        <v>852</v>
      </c>
      <c r="L90" s="175" t="s">
        <v>1509</v>
      </c>
      <c r="M90" s="22">
        <v>35341</v>
      </c>
      <c r="N90" s="213">
        <f t="shared" ca="1" si="252"/>
        <v>27.098630136986301</v>
      </c>
      <c r="O90" s="22">
        <v>44953</v>
      </c>
      <c r="P90" s="214" t="str">
        <f t="shared" si="438"/>
        <v>SI</v>
      </c>
      <c r="Q90" s="26" t="s">
        <v>855</v>
      </c>
      <c r="R90" s="22">
        <v>44953</v>
      </c>
      <c r="S90" s="21" t="s">
        <v>856</v>
      </c>
      <c r="T90" s="24" t="s">
        <v>690</v>
      </c>
      <c r="U90" s="21" t="s">
        <v>857</v>
      </c>
      <c r="V90" s="21" t="s">
        <v>858</v>
      </c>
      <c r="W90" s="21" t="s">
        <v>1278</v>
      </c>
      <c r="X90" s="21" t="s">
        <v>887</v>
      </c>
      <c r="Y90" s="21" t="s">
        <v>859</v>
      </c>
      <c r="Z90" s="21">
        <v>3135027113</v>
      </c>
      <c r="AA90" s="21" t="s">
        <v>860</v>
      </c>
      <c r="AB90" s="27" t="s">
        <v>861</v>
      </c>
      <c r="AC90" s="26" t="s">
        <v>888</v>
      </c>
      <c r="AD90" s="38" t="s">
        <v>863</v>
      </c>
      <c r="AE90" s="26" t="s">
        <v>854</v>
      </c>
      <c r="AF90" s="26" t="s">
        <v>854</v>
      </c>
      <c r="AG90" s="23" t="s">
        <v>864</v>
      </c>
      <c r="AH90" s="23" t="s">
        <v>864</v>
      </c>
      <c r="AI90" s="24" t="s">
        <v>863</v>
      </c>
      <c r="AJ90" s="23" t="s">
        <v>864</v>
      </c>
      <c r="AK90" s="220" t="str">
        <f>IF(AND(AD90="",AE90="",AF90="",AG90="",AH90="",AI90="",AJ90=""),"",IF(OR(Tabla1[[#This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EVALUACIÓN",IF(AND(O90="",R90=""),"",IF(AND(OR(O90&gt;0,R90&gt;0),NG90&gt;=0,NG90&lt;2),"SIN RIESGO",IF(AND(OR(O90&gt;0,R90&gt;0),NG90&gt;=2),"CON RIESGO","ASD")))))</f>
        <v>SIN RIESGO</v>
      </c>
      <c r="AL90" s="23" t="s">
        <v>864</v>
      </c>
      <c r="AM90" s="26" t="s">
        <v>864</v>
      </c>
      <c r="AN90" s="23" t="s">
        <v>864</v>
      </c>
      <c r="AO90" s="26" t="s">
        <v>864</v>
      </c>
      <c r="AP90" s="26" t="s">
        <v>864</v>
      </c>
      <c r="AQ90" s="26" t="s">
        <v>864</v>
      </c>
      <c r="AR90" s="26" t="s">
        <v>864</v>
      </c>
      <c r="AS90" s="21">
        <v>4</v>
      </c>
      <c r="AT90" s="21">
        <v>3</v>
      </c>
      <c r="AU90" s="21">
        <v>1</v>
      </c>
      <c r="AV90" s="26" t="s">
        <v>864</v>
      </c>
      <c r="AW90" s="21">
        <v>1</v>
      </c>
      <c r="AX90" s="26" t="s">
        <v>864</v>
      </c>
      <c r="AY90" s="26" t="s">
        <v>864</v>
      </c>
      <c r="AZ90" s="26" t="s">
        <v>864</v>
      </c>
      <c r="BA90" s="26" t="s">
        <v>864</v>
      </c>
      <c r="BB90" s="26" t="s">
        <v>864</v>
      </c>
      <c r="BC90" s="26" t="s">
        <v>864</v>
      </c>
      <c r="BD90" s="26" t="s">
        <v>864</v>
      </c>
      <c r="BE90" s="26" t="s">
        <v>864</v>
      </c>
      <c r="BF90" s="26" t="s">
        <v>864</v>
      </c>
      <c r="BG90" s="26" t="s">
        <v>864</v>
      </c>
      <c r="BH90" s="26" t="s">
        <v>864</v>
      </c>
      <c r="BI90" s="26" t="s">
        <v>864</v>
      </c>
      <c r="BJ90" s="26" t="s">
        <v>864</v>
      </c>
      <c r="BK90" s="26" t="s">
        <v>864</v>
      </c>
      <c r="BL90" s="26" t="s">
        <v>864</v>
      </c>
      <c r="BM90" s="26" t="s">
        <v>864</v>
      </c>
      <c r="BN90" s="22">
        <v>43959</v>
      </c>
      <c r="BO90" s="22">
        <v>44846</v>
      </c>
      <c r="BP90" s="21" t="s">
        <v>1380</v>
      </c>
      <c r="BQ90" s="222">
        <f t="shared" si="254"/>
        <v>29.773333333333238</v>
      </c>
      <c r="BR90" s="223">
        <f t="shared" si="255"/>
        <v>44852.2</v>
      </c>
      <c r="BS90" s="224">
        <f t="shared" si="256"/>
        <v>14.400000000000416</v>
      </c>
      <c r="BT90" s="216" t="str">
        <f t="shared" si="257"/>
        <v>II TRIM</v>
      </c>
      <c r="BU90" s="214" t="str">
        <f t="shared" ca="1" si="258"/>
        <v/>
      </c>
      <c r="BV90" s="25" t="s">
        <v>989</v>
      </c>
      <c r="BW90" s="22">
        <v>44995</v>
      </c>
      <c r="BX90" s="28">
        <v>20.399999999999999</v>
      </c>
      <c r="BY90" s="28"/>
      <c r="BZ90" s="22"/>
      <c r="CA90" s="21"/>
      <c r="CB90" s="26" t="s">
        <v>864</v>
      </c>
      <c r="CC90" s="26" t="s">
        <v>864</v>
      </c>
      <c r="CD90" s="26" t="s">
        <v>1087</v>
      </c>
      <c r="CE90" s="26" t="s">
        <v>864</v>
      </c>
      <c r="CF90" s="22" t="s">
        <v>1517</v>
      </c>
      <c r="CG90" s="21">
        <v>1.52</v>
      </c>
      <c r="CH90" s="21">
        <v>62</v>
      </c>
      <c r="CI90" s="214">
        <f t="shared" si="259"/>
        <v>26.835180055401661</v>
      </c>
      <c r="CJ90" s="225" t="e">
        <f>IF(AND(CI90&lt;10,CH90="SD"),"SIN DATO PESO PREGESTACION O I TRIM",IF(AND(OR(R90&gt;0,O90&gt;0),CI90="X"),"INGRESAR DATO DE PESO",IF(CI90="SD","INGRESAR DATO DE TALLA Y PESO",IF(AND(OR(Tabla1[[#This Row],[MOMENTO EN QUE SE REALIZA EL PESO AL INGRESO A CPN]]="PREGESTACIÓN",NZ90="Menor"),CI90&lt;18.5),"BAJO PESO",IF(AND(OR(Tabla1[[#This Row],[MOMENTO EN QUE SE REALIZA EL PESO AL INGRESO A CPN]]="PREGESTACIÓN",NZ90="Menor"),CI90&lt;25),"NORMAL",IF(AND(OR(Tabla1[[#This Row],[MOMENTO EN QUE SE REALIZA EL PESO AL INGRESO A CPN]]="PREGESTACIÓN",NZ90="Menor"),CI90&lt;30),"SOBREPESO",IF(AND(OR(Tabla1[[#This Row],[MOMENTO EN QUE SE REALIZA EL PESO AL INGRESO A CPN]]="PREGESTACIÓN",NZ90="Menor"),CI90&gt;=30,CI90&lt;50),"OBESIDAD",IF(AND(BS90&gt;0,Tabla1[[#This Row],[MOMENTO EN QUE SE REALIZA EL PESO AL INGRESO A CPN]]="GESTACIÓN"),HLOOKUP(NZ90,$OA$2:PH90,NY90),""))))))))</f>
        <v>#REF!</v>
      </c>
      <c r="CK90" s="212">
        <f t="shared" si="260"/>
        <v>45113</v>
      </c>
      <c r="CL90" s="21">
        <v>71</v>
      </c>
      <c r="CM90" s="214">
        <f t="shared" si="261"/>
        <v>30.730609418282548</v>
      </c>
      <c r="CN90" s="216">
        <f t="shared" si="262"/>
        <v>37</v>
      </c>
      <c r="CO90" s="216" t="e">
        <f>IF(PI90="","",IF(PI90&gt;0,HLOOKUP(PI90,$PJ$2:QQ90,NY90),""))</f>
        <v>#REF!</v>
      </c>
      <c r="CP90" s="21">
        <v>33</v>
      </c>
      <c r="CQ90" s="216" t="e">
        <f>IF(QR90="Menor","NO APLICA-MENOR 13 SEM",IF(AND(CC90="SI",CN90&gt;23),"NO APLICA- GEMELAR",IF(QR90="","",IF(QR90&gt;0,HLOOKUP(QR90,$QS$2:RU90,NY90),""))))</f>
        <v>#REF!</v>
      </c>
      <c r="CR90" s="21">
        <v>100</v>
      </c>
      <c r="CS90" s="21">
        <v>70</v>
      </c>
      <c r="CT90" s="217" t="str">
        <f>IF(R90="","",IF(AND(BS90&gt;1,BS90&lt;12,Tabla1[[#This Row],[T.A. SISTOLICA - ANTES DE SEMANA 12]]="",Tabla1[[#This Row],[T.A. DIASTOLICA - ANTES DE SEMANA 12]]=""),"REGISTRE DATO TA ANTES SEMANA 12",IF(AND(BS90&gt;11,BS90&lt;43,Tabla1[[#This Row],[T.A. SISTOLICA - ANTES DE SEMANA 12]]="",Tabla1[[#This Row],[T.A. DIASTOLICA - ANTES DE SEMANA 12]]=""),"NO APLICA REGISTRO TA-INGRESO TARDIO",IF(AND(OR(O90&gt;0,R90&gt;0),OR(CR90&gt;=140,CS90&gt;=90)),"DEFINIR ESTADIO HTA",IF(AND(OR(O90&gt;0,R90&gt;0),AND(CR90&gt;120,CR90&lt;=139)),"PRE HTA SEGUIMIENTO",IF(AND(OR(O90&gt;0,R90&gt;0),AND(CS90&gt;80,CS90&lt;=89)),"PRE HTA SEGUIMIENTO",IF(AND(OR(O90&gt;0,R90&gt;0),AND(CR90&gt;=80,CR90&lt;=120)),"APARENTEMENTE NORMAL",IF(AND(OR(O90&gt;0,R90&gt;0),AND(CS90&gt;=50,CS90&lt;=80)),"APARENTEMENTE NORMAL",IF(AND(OR(O90&gt;0,R90&gt;0),AND(CR90&gt;1,CR90&lt;=70),AND(CS90&gt;1,CS90&lt;=40)),"HIPOTENSIÓN","")))))))))</f>
        <v>APARENTEMENTE NORMAL</v>
      </c>
      <c r="CU90" s="21"/>
      <c r="CV90" s="21"/>
      <c r="CW90" s="217" t="str">
        <f ca="1">IF(R90="","",IF(AND(CN90&gt;19,CN90&lt;27,Tabla1[[#This Row],[T.A. SISTOLICA (Entre semana 20 y 26)]]="",Tabla1[[#This Row],[T.A. DIATOLICA (Entre semana 20 y 26)]]=""),"ACUDE A CONTROL SEM 20 A 26 REGISTRE TA AHORA",IF(AND(BS90&gt;1,BS90&lt;27,BU90&gt;19,Tabla1[[#This Row],[T.A. SISTOLICA (Entre semana 20 y 26)]]="",Tabla1[[#This Row],[T.A. DIATOLICA (Entre semana 20 y 26)]]=""),"COMPLETE REGISTRO TA CONTROL SEM 20 A26 ",IF(AND(BS90&gt;26,BS90&lt;43,Tabla1[[#This Row],[T.A. SISTOLICA (Entre semana 20 y 26)]]="",Tabla1[[#This Row],[T.A. DIATOLICA (Entre semana 20 y 26)]]=""),"NO APLICA REGISTRO TA-INGRESO TARDIO",IF(AND(OR(O90&gt;0,R90&gt;0),OR(CU90&gt;=140,CV90&gt;=90)),"ALTO RIESGO PREECLAMPSIA,DEFINIR ESTADIO HTA",IF(AND(OR(O90&gt;0,R90&gt;0),AND(CU90&gt;120,CU90&lt;=139)),"PRE HTA SEGUIMIENTO,RIESGO HIPERTENSION INDUCIDA POR EL EMBARAZO",IF(AND(OR(O90&gt;0,R90&gt;0),AND(CV90&gt;80,CV90&lt;=89)),"PRE HTA SEGUIMIENTO, RIESGO HIPERTENSION INDUCIDA POR EL EMBARAZO",IF(AND(OR(O90&lt;&gt;"",R90&lt;&gt;""),CS90&lt;&gt;"",CV90&lt;&gt;"",CS90&lt;=CV90),"VIGILAR CIFRAS PRESION ARTERIAL",IF(AND(OR(O90&gt;0,R90&gt;0),AND(CU90&gt;120,CU90&lt;=139)),"PRE HTA SEGUIMIENTO",IF(AND(OR(O90&gt;0,R90&gt;0),AND(CU90&gt;1,CU90&lt;=70),AND(CV90&gt;1,CV90&lt;=40)),"HIPOTENSIÓN",IF(AND(OR(O90&lt;&gt;"",R90&lt;&gt;""),CS90&lt;&gt;"",CV90&lt;&gt;"",CS90&gt;CV90),"APARENTEMENTE NORMAL",IF(AND(OR(O90&gt;0,R90&gt;0),AND(CU90&gt;=80,CU90&lt;=120)),"APARENTEMENTE NORMAL",IF(AND(OR(O90&gt;0,R90&gt;0),AND(CV90&gt;=50,CV90&lt;=80)),"APARENTEMENTE NORMAL","")))))))))))))</f>
        <v xml:space="preserve">COMPLETE REGISTRO TA CONTROL SEM 20 A26 </v>
      </c>
      <c r="CX90" s="21"/>
      <c r="CY90" s="21"/>
      <c r="CZ90" s="216" t="str">
        <f t="shared" si="263"/>
        <v/>
      </c>
      <c r="DA90" s="21">
        <v>100</v>
      </c>
      <c r="DB90" s="21">
        <v>70</v>
      </c>
      <c r="DC90" s="217" t="str">
        <f t="shared" si="264"/>
        <v>APARENTEMENTE NORMAL</v>
      </c>
      <c r="DD90" s="22">
        <v>44953</v>
      </c>
      <c r="DE90" s="22">
        <v>44953</v>
      </c>
      <c r="DF90" s="22">
        <v>44988</v>
      </c>
      <c r="DG90" s="22">
        <v>45021</v>
      </c>
      <c r="DH90" s="22">
        <v>45065</v>
      </c>
      <c r="DI90" s="22">
        <v>45113</v>
      </c>
      <c r="DJ90" s="22"/>
      <c r="DK90" s="22"/>
      <c r="DL90" s="22"/>
      <c r="DM90" s="22"/>
      <c r="DN90" s="22"/>
      <c r="DO90" s="22"/>
      <c r="DP90" s="22"/>
      <c r="DQ90" s="22"/>
      <c r="DR90" s="28"/>
      <c r="DS90" s="22"/>
      <c r="DT90" s="22"/>
      <c r="DU90" s="216" t="str">
        <f t="shared" ca="1" si="439"/>
        <v>SALE SIN PLAN DE PARTO</v>
      </c>
      <c r="DV90" s="226" t="str">
        <f t="shared" si="440"/>
        <v>SALIO PROGRAMA</v>
      </c>
      <c r="DW90"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90" s="216" t="str">
        <f t="shared" ca="1" si="266"/>
        <v/>
      </c>
      <c r="DY90" s="212">
        <f>IF(R90="","",IF(R90&gt;0,MAX(Tabla1[[#This Row],[FECHA C2]:[FECHA C13]],Tabla1[[#This Row],[FECHA CONSULTA PRIMERA VEZ PROGRAMA CPN ]])))</f>
        <v>45113</v>
      </c>
      <c r="DZ90" s="216">
        <f t="shared" si="267"/>
        <v>37</v>
      </c>
      <c r="EA90" s="222">
        <f>IF(R90&gt;0,SUM(COUNTA(DF90:DQ90)+COUNTA(Tabla1[[#This Row],[FECHA CONSULTA PRIMERA VEZ PROGRAMA CPN ]])),"")</f>
        <v>5</v>
      </c>
      <c r="EB90" s="222" t="str">
        <f t="shared" si="268"/>
        <v>SI</v>
      </c>
      <c r="EC90" s="214">
        <f t="shared" si="269"/>
        <v>8</v>
      </c>
      <c r="ED90" s="227">
        <f t="shared" si="270"/>
        <v>0.625</v>
      </c>
      <c r="EE90" s="22">
        <v>44953</v>
      </c>
      <c r="EF90" s="22">
        <v>44953</v>
      </c>
      <c r="EG90" s="22">
        <v>44953</v>
      </c>
      <c r="EH90" s="22"/>
      <c r="EI90" s="22">
        <v>44953</v>
      </c>
      <c r="EJ90" s="22">
        <v>45007</v>
      </c>
      <c r="EK90" s="344">
        <v>45002</v>
      </c>
      <c r="EL90" s="21"/>
      <c r="EM90" s="21">
        <v>12.6</v>
      </c>
      <c r="EN90" s="22">
        <v>44994</v>
      </c>
      <c r="EO90" s="222">
        <f t="shared" si="271"/>
        <v>20.257142857143272</v>
      </c>
      <c r="EP90" s="214" t="str">
        <f t="shared" si="272"/>
        <v>NORMAL- SUMINISTRAR SULFATO FERROSO</v>
      </c>
      <c r="EQ90" s="216" t="str">
        <f t="shared" si="273"/>
        <v>II TRIM</v>
      </c>
      <c r="ER90" s="24"/>
      <c r="ES90" s="22"/>
      <c r="ET90" s="29" t="str">
        <f t="shared" ca="1" si="441"/>
        <v>SALE SIN TAMIZAJE HEMOGLOBINA SEM 28</v>
      </c>
      <c r="EU90" s="25" t="str">
        <f t="shared" si="275"/>
        <v/>
      </c>
      <c r="EV90" s="24" t="s">
        <v>1510</v>
      </c>
      <c r="EW90" s="22">
        <v>44994</v>
      </c>
      <c r="EX90" s="22"/>
      <c r="EY90" s="29">
        <f t="shared" si="248"/>
        <v>20.257142857143272</v>
      </c>
      <c r="EZ90" s="25" t="str">
        <f t="shared" si="249"/>
        <v>SIN RIESGO DE ISOINMUNIZACIÓN</v>
      </c>
      <c r="FA90" s="21">
        <v>73</v>
      </c>
      <c r="FB90" s="22">
        <v>44994</v>
      </c>
      <c r="FC90" s="29">
        <f t="shared" si="276"/>
        <v>20.257142857143272</v>
      </c>
      <c r="FD90" s="29">
        <v>71</v>
      </c>
      <c r="FE90" s="29">
        <v>133</v>
      </c>
      <c r="FF90" s="29">
        <v>66</v>
      </c>
      <c r="FG90" s="21" t="str">
        <f t="shared" ca="1" si="277"/>
        <v>NORMAL</v>
      </c>
      <c r="FH90" s="31">
        <v>45041</v>
      </c>
      <c r="FI90" s="29">
        <f t="shared" si="278"/>
        <v>26.971428571428987</v>
      </c>
      <c r="FJ90" s="22"/>
      <c r="FK90" s="22"/>
      <c r="FL90" s="29" t="str">
        <f t="shared" ca="1" si="279"/>
        <v>NO APLICA-INGRESO TARDIO</v>
      </c>
      <c r="FM90" s="22" t="s">
        <v>867</v>
      </c>
      <c r="FN90" s="32">
        <v>45041</v>
      </c>
      <c r="FO90" s="29">
        <f t="shared" ca="1" si="442"/>
        <v>26.971428571428987</v>
      </c>
      <c r="FP90" s="22"/>
      <c r="FQ90" s="32"/>
      <c r="FR90" s="29" t="str">
        <f t="shared" ca="1" si="443"/>
        <v>PIERDE TOMA DE TAMIZAJE</v>
      </c>
      <c r="FS90" s="22"/>
      <c r="FT90" s="32"/>
      <c r="FU90" s="29" t="str">
        <f>IF(AND(FJ90="",FM90="",FP90="",FS90=""),"",IF(OR(OR(Tabla1[[#This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90" s="28"/>
      <c r="FW90" s="22"/>
      <c r="FX90" s="29" t="str">
        <f t="shared" si="280"/>
        <v>TOMAR EXAMEN</v>
      </c>
      <c r="FY90" s="22"/>
      <c r="FZ90" s="287"/>
      <c r="GA90" s="29" t="str">
        <f t="shared" ca="1" si="250"/>
        <v>NO APLICA-INGRESO TARDIO</v>
      </c>
      <c r="GB90" s="22" t="s">
        <v>868</v>
      </c>
      <c r="GC90" s="287">
        <v>44994</v>
      </c>
      <c r="GD90" s="29">
        <f t="shared" ca="1" si="444"/>
        <v>20.257142857143272</v>
      </c>
      <c r="GE90" s="22"/>
      <c r="GF90" s="22"/>
      <c r="GG90" s="29" t="str">
        <f t="shared" ca="1" si="445"/>
        <v>PIERDE TOMA DE TAMIZAJE</v>
      </c>
      <c r="GH90" s="22"/>
      <c r="GI90" s="29"/>
      <c r="GJ90" s="22"/>
      <c r="GK90" s="22"/>
      <c r="GL90" s="22"/>
      <c r="GM90" s="22"/>
      <c r="GN90" s="28" t="s">
        <v>869</v>
      </c>
      <c r="GO90" s="22">
        <v>44994</v>
      </c>
      <c r="GP90" s="29">
        <f t="shared" si="283"/>
        <v>20.257142857143272</v>
      </c>
      <c r="GQ90" s="28"/>
      <c r="GR90" s="28"/>
      <c r="GS90" s="22" t="str">
        <f t="shared" si="284"/>
        <v/>
      </c>
      <c r="GT90" s="22"/>
      <c r="GU90" s="29" t="str">
        <f t="shared" si="285"/>
        <v>TOMAR EXAMEN</v>
      </c>
      <c r="GV90" s="21" t="str">
        <f t="shared" si="286"/>
        <v>POR DEFINIR</v>
      </c>
      <c r="GW90" s="28"/>
      <c r="GX90" s="30"/>
      <c r="GY90" s="21"/>
      <c r="GZ90" s="21"/>
      <c r="HA90" s="21"/>
      <c r="HB90" s="21"/>
      <c r="HC90" s="21"/>
      <c r="HD90" s="21"/>
      <c r="HE90" s="21"/>
      <c r="HF90" s="22"/>
      <c r="HG90" s="22" t="str">
        <f>IF(OR(O90&gt;0,R90&gt;0),CONCATENATE(IF(Tabla1[[#This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90" s="22" t="e">
        <f t="shared" si="287"/>
        <v>#REF!</v>
      </c>
      <c r="HI90" s="22" t="e">
        <f t="shared" ca="1" si="288"/>
        <v>#REF!</v>
      </c>
      <c r="HJ90" s="21" t="str">
        <f t="shared" ca="1" si="289"/>
        <v>***************PRESENTACIÓN FETAL PODALICA O TRANSVERSA**********CESAREAS PREVIAS**************</v>
      </c>
      <c r="HK90" s="21" t="str">
        <f t="shared" si="290"/>
        <v>SIN ANTECEDENTES DE RIESGO</v>
      </c>
      <c r="HL90" s="24" t="str">
        <f t="shared" si="291"/>
        <v>APARENTEMENTE NORMAL</v>
      </c>
      <c r="HM90" s="21" t="str">
        <f t="shared" ca="1" si="292"/>
        <v/>
      </c>
      <c r="HN90" s="30" t="str">
        <f t="shared" si="446"/>
        <v>SALIO PROGRAMA</v>
      </c>
      <c r="HO90" s="21"/>
      <c r="HP90" s="21"/>
      <c r="HQ90" s="21"/>
      <c r="HR90" s="21" t="str">
        <f>IF(R90="","",IF(Tabla1[[#This Row],[ALARMA FACTORES DE RIESGO COMPLICACIONES HIPERTENSIVAS3]]="SIN ANTECEDENTES DE RIESGO","No Aplica para suministro de ASA",IF(AND(Tabla1[[#This Row],[FECHA INICIO DE SUMINISTRO DE ASA]]&gt;0,RV90&lt;12),"Inicia ASA ANTES de Sem 12",IF(AND(RV90&gt;11,RV90&lt;17,OR(HK90="RIESGO ALTO DE COMPLICACIONES HIPERTENSIVAS VER MANEJO GUIA SUMINISTRO ASA Y CALCIO",HK90="RIESGO MODERADO (2 O MAS CRITERIOS) VER MANEJO GUIA SUMINISTRO ASA Y CALCIO")),"Inicio oportuno de ASA",IF(AND(RV90&gt;12,OR(HK90="RIESGO ALTO DE COMPLICACIONES HIPERTENSIVAS VER MANEJO GUIA SUMINISTRO ASA Y CALCIO",HK90="RIESGO MODERADO (2 O MAS CRITERIOS) VER MANEJO GUIA SUMINISTRO ASA Y CALCIO")),"Inicio no oportuno mayor a 16 semanas",IF(AND(BU90&lt;12,OR(HK90="RIESGO ALTO DE COMPLICACIONES HIPERTENSIVAS VER MANEJO GUIA SUMINISTRO ASA Y CALCIO",HK90="RIESGO MODERADO (2 O MAS CRITERIOS) VER MANEJO GUIA SUMINISTRO ASA Y CALCIO")),"Pendiente Inicio de ASA a la semana 12",IF(AND(BU90&gt;11,BU90&lt;17,OR(HK90="RIESGO ALTO DE COMPLICACIONES HIPERTENSIVAS VER MANEJO GUIA SUMINISTRO ASA Y CALCIO",HK90="RIESGO MODERADO (2 O MAS CRITERIOS) VER MANEJO GUIA SUMINISTRO ASA Y CALCIO")),"Iniciar de inmediato ASA",IF(AND(BU90&gt;16,OR(HK90="RIESGO ALTO DE COMPLICACIONES HIPERTENSIVAS VER MANEJO GUIA SUMINISTRO ASA Y CALCIO",HK90="RIESGO MODERADO (2 O MAS CRITERIOS) VER MANEJO GUIA SUMINISTRO ASA Y CALCIO")),"Pierde Oportunidad, Inicio tardío de ASA","XXXXX"))))))))</f>
        <v>No Aplica para suministro de ASA</v>
      </c>
      <c r="HS90" s="22">
        <v>44988</v>
      </c>
      <c r="HT90" s="22" t="s">
        <v>1518</v>
      </c>
      <c r="HU90" s="22">
        <v>44988</v>
      </c>
      <c r="HV90" s="22" t="s">
        <v>1544</v>
      </c>
      <c r="HW90" s="22">
        <v>44988</v>
      </c>
      <c r="HX90" s="22" t="s">
        <v>1511</v>
      </c>
      <c r="HY90" s="22">
        <v>44958</v>
      </c>
      <c r="HZ90" s="28">
        <f t="shared" si="293"/>
        <v>15.11428571428613</v>
      </c>
      <c r="IA90" s="26"/>
      <c r="IB90" s="26"/>
      <c r="IC90" s="111"/>
      <c r="ID90" s="22"/>
      <c r="IE90" s="22" t="str">
        <f t="shared" ca="1" si="294"/>
        <v>SALE SIN VACUNA</v>
      </c>
      <c r="IF90" s="22"/>
      <c r="IG90" s="22">
        <f t="shared" si="295"/>
        <v>45132.2</v>
      </c>
      <c r="IH90" s="29">
        <f t="shared" ca="1" si="296"/>
        <v>-99.80000000000291</v>
      </c>
      <c r="II90" s="22" t="str">
        <f t="shared" ca="1" si="297"/>
        <v>POSIBLEMENTE NACIO</v>
      </c>
      <c r="IJ90" s="22"/>
      <c r="IK90" s="21" t="s">
        <v>898</v>
      </c>
      <c r="IL90" s="21"/>
      <c r="IM90" s="34"/>
      <c r="IN90" s="349">
        <v>45124</v>
      </c>
      <c r="IO90" s="21" t="s">
        <v>1186</v>
      </c>
      <c r="IP90" s="29">
        <f t="shared" si="436"/>
        <v>38.828571428571841</v>
      </c>
      <c r="IQ90" s="110" t="s">
        <v>1644</v>
      </c>
      <c r="IR90" s="21" t="s">
        <v>1645</v>
      </c>
      <c r="IS90" s="21" t="s">
        <v>1646</v>
      </c>
      <c r="IT90" s="21" t="s">
        <v>1642</v>
      </c>
      <c r="IU90" s="21"/>
      <c r="IV90" s="21"/>
      <c r="IW90" s="21"/>
      <c r="IX90" s="21"/>
      <c r="IY90" s="21"/>
      <c r="IZ90" s="21"/>
      <c r="JA90" s="21"/>
      <c r="JB90" s="30">
        <v>1</v>
      </c>
      <c r="JC90" s="21" t="s">
        <v>1647</v>
      </c>
      <c r="JD90" s="36">
        <v>3900</v>
      </c>
      <c r="JE90" s="21" t="str">
        <f t="shared" si="447"/>
        <v>PESO ADECUADO EDAD GESTACIONAL</v>
      </c>
      <c r="JF90" s="30"/>
      <c r="JG90" s="21"/>
      <c r="JH90" s="21"/>
      <c r="JI90" s="21" t="s">
        <v>854</v>
      </c>
      <c r="JJ90" s="30" t="s">
        <v>866</v>
      </c>
      <c r="JK90" s="22"/>
      <c r="JL90" s="22"/>
      <c r="JM90" s="21"/>
      <c r="JN90" s="36"/>
      <c r="JO90" s="21" t="str">
        <f t="shared" si="448"/>
        <v/>
      </c>
      <c r="JP90" s="22"/>
      <c r="JQ90" s="21"/>
      <c r="JR90" s="21"/>
      <c r="JS90" s="21"/>
      <c r="JT90" s="30"/>
      <c r="JU90" s="22"/>
      <c r="JV90" s="22"/>
      <c r="JW90" s="33"/>
      <c r="JX90" s="28" t="str">
        <f t="shared" si="449"/>
        <v>INASISTENTE</v>
      </c>
      <c r="JY90" s="33"/>
      <c r="JZ90" s="28" t="str">
        <f t="shared" si="450"/>
        <v>INASISTENTE</v>
      </c>
      <c r="KA90" s="21"/>
      <c r="KB90" s="21"/>
      <c r="KC90" s="21"/>
      <c r="KD90" s="37"/>
      <c r="KE90" s="28"/>
      <c r="KF90" s="28"/>
      <c r="KG90" s="28"/>
      <c r="KH90" s="39"/>
      <c r="KI90" s="39"/>
      <c r="KJ90" s="66"/>
      <c r="KK90" s="39"/>
      <c r="KL90" s="39"/>
      <c r="KM90" s="66"/>
      <c r="KN90" s="39"/>
      <c r="KO90" s="39"/>
      <c r="KP90" s="39"/>
      <c r="KQ90" s="39"/>
      <c r="KR90" s="39"/>
      <c r="KS90" s="39"/>
      <c r="KT90" s="39"/>
      <c r="KU90" s="38"/>
      <c r="KV90" s="38"/>
      <c r="KW90" s="38"/>
      <c r="KX90" s="38"/>
      <c r="KY90" s="38"/>
      <c r="KZ90" s="38"/>
      <c r="LA90" s="38"/>
      <c r="LB90" s="38"/>
      <c r="LC90" s="38"/>
      <c r="LD90" s="38"/>
      <c r="LE90" s="38"/>
      <c r="LF90" s="38"/>
      <c r="LG90" s="38"/>
      <c r="LH90" s="38"/>
      <c r="LI90" s="38"/>
      <c r="LJ90" s="38"/>
      <c r="LK90" s="38"/>
      <c r="LL90" s="38"/>
      <c r="LM90" s="38"/>
      <c r="LN90" s="38"/>
      <c r="LO90" s="38"/>
      <c r="LP90" s="38"/>
      <c r="LQ90" s="38"/>
      <c r="LR90" s="38"/>
      <c r="LS90" s="38"/>
      <c r="LT90" s="38"/>
      <c r="LU90" s="38"/>
      <c r="LV90" s="38"/>
      <c r="LW90" s="38"/>
      <c r="LX90" s="38"/>
      <c r="LY90" s="38"/>
      <c r="LZ90" s="38"/>
      <c r="MA90" s="38"/>
      <c r="MB90" s="38"/>
      <c r="MC90" s="38"/>
      <c r="MD90" s="38"/>
      <c r="ME90" s="38"/>
      <c r="MF90" s="38"/>
      <c r="MG90" s="38"/>
      <c r="MH90" s="43">
        <f t="shared" si="303"/>
        <v>0</v>
      </c>
      <c r="MI90" s="43" t="str">
        <f t="shared" si="304"/>
        <v/>
      </c>
      <c r="MJ90" s="43" t="str">
        <f t="shared" si="305"/>
        <v/>
      </c>
      <c r="MK90" s="43">
        <f t="shared" si="306"/>
        <v>0</v>
      </c>
      <c r="ML9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90" s="43">
        <f t="shared" si="307"/>
        <v>14.400000000000416</v>
      </c>
      <c r="MN90" s="43">
        <f t="shared" si="308"/>
        <v>1</v>
      </c>
      <c r="MO90" s="43">
        <f t="shared" si="309"/>
        <v>2023</v>
      </c>
      <c r="MP90" s="43" t="str">
        <f t="shared" si="310"/>
        <v>I TRIMESTRE AÑO</v>
      </c>
      <c r="MQ90" s="43">
        <f t="shared" si="311"/>
        <v>25.936268068331142</v>
      </c>
      <c r="MR90" s="43">
        <f t="shared" si="312"/>
        <v>0</v>
      </c>
      <c r="MS90" s="43" t="str">
        <f t="shared" si="313"/>
        <v xml:space="preserve"> DE 25 A 29 AÑOS</v>
      </c>
      <c r="MT90" s="43">
        <f t="shared" si="314"/>
        <v>0</v>
      </c>
      <c r="MU90" s="43">
        <f t="shared" si="315"/>
        <v>0</v>
      </c>
      <c r="MV90" s="43">
        <f t="shared" si="316"/>
        <v>1</v>
      </c>
      <c r="MW90" s="43">
        <f t="shared" si="317"/>
        <v>0</v>
      </c>
      <c r="MX90" s="43" t="str">
        <f t="shared" si="318"/>
        <v/>
      </c>
      <c r="MY90" s="43" t="str">
        <f t="shared" ca="1" si="451"/>
        <v/>
      </c>
      <c r="MZ90" s="43" t="str">
        <f t="shared" si="319"/>
        <v/>
      </c>
      <c r="NA90" s="43">
        <f t="shared" si="320"/>
        <v>3</v>
      </c>
      <c r="NB90" s="43" t="str">
        <f t="shared" si="321"/>
        <v/>
      </c>
      <c r="NC90" s="43" t="str">
        <f t="shared" si="322"/>
        <v/>
      </c>
      <c r="ND90" s="43">
        <f t="shared" ca="1" si="323"/>
        <v>4</v>
      </c>
      <c r="NE90" s="43">
        <f>IF(OR(O90&gt;0,R90&gt;0),SUM(COUNTIF(Tabla1[[#This Row],[AÑOS AL INICIO5 CPN]],"&gt;=40"),COUNTIF(AS90,"0"),COUNTIF(AR90,"SI"),COUNTIF(CC90,"SI"),COUNTIF(BQ90,"&gt;119"),COUNTIF(CI90,"&gt;=35")),"")</f>
        <v>0</v>
      </c>
      <c r="NF90" s="43" t="str">
        <f t="shared" si="324"/>
        <v/>
      </c>
      <c r="NG90" s="43">
        <f t="shared" si="325"/>
        <v>0</v>
      </c>
      <c r="NH90" s="43">
        <f t="shared" si="326"/>
        <v>142.79999999999998</v>
      </c>
      <c r="NI90"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CPN",P90="NO"),"Z",IF(AND(Tabla1[[#This Row],[CITA PROXIMO CONTROL]]="CITA MANUAL",Tabla1[[#This Row],[GESTANTES ACTUALES]]="ACTIVA INGRESO A CPN"),"W",IF(AND(Tabla1[[#This Row],[GESTANTES ACTUALES]]="SALIO PROGRAMA",IN90=""),"S",IF(AND(Tabla1[[#This Row],[CITA PROXIMO CONTROL]]&gt;0,IN90=""),(Tabla1[[#This Row],[CITA PROXIMO CONTROL]]-TODAY()),"SD"))))))))</f>
        <v>SD</v>
      </c>
      <c r="NJ90" s="43">
        <f>MONTH(Tabla1[[#This Row],[FECHA DE SALIDA  DEL PROGRAMA]])</f>
        <v>7</v>
      </c>
      <c r="NK90" s="43">
        <f>YEAR(Tabla1[[#This Row],[FECHA DE SALIDA  DEL PROGRAMA]])</f>
        <v>2023</v>
      </c>
      <c r="NL90" s="43">
        <f t="shared" si="327"/>
        <v>54</v>
      </c>
      <c r="NM90" s="43" t="str">
        <f>IF(AND(O90&gt;0,R90=""),"NO CPN",IF(AND(O90="",R90=""),"",IF(AND(EN90&lt;&gt;"",EX90&lt;&gt;"",FB90&lt;&gt;"",FK90&lt;&gt;"",FW90&lt;&gt;"",FY90&lt;&gt;"",GO90&lt;&gt;"",GQ90&lt;&gt;"",GR90&lt;&gt;""),"SI","NO")))</f>
        <v>NO</v>
      </c>
      <c r="NN90" s="43" t="str">
        <f ca="1">IF(AND(O90&gt;0,R90=""),"NO CPN",IF(AND(O90="",R90=""),"",IF(AND(R90&gt;0,Tabla1[[#This Row],[SEMANAS DE GESTACION ACTUALIZADAS]]&lt;=12),"NO APLICA",IF(AND(FH90&lt;&gt;"",FN90&lt;&gt;""),"SI","NO"))))</f>
        <v>SI</v>
      </c>
      <c r="NO90" s="43" t="str">
        <f ca="1">IF(AND(O90&gt;0,R90=""),"NO CPN",IF(AND(O90="",R90=""),"",IF(AND(R90&gt;0,Tabla1[[#This Row],[SEMANAS DE GESTACION ACTUALIZADAS]]&lt;=27),"NO APLICA",IF(AND(ES90&lt;&gt;"",FQ90&lt;&gt;"",GF90&lt;&gt;""),"SI","NO"))))</f>
        <v>NO</v>
      </c>
      <c r="NP90" s="204" t="str">
        <f t="shared" si="328"/>
        <v>II TRIM</v>
      </c>
      <c r="NQ90" s="21">
        <f t="shared" si="437"/>
        <v>9</v>
      </c>
      <c r="NR90" s="21">
        <f t="shared" si="452"/>
        <v>2</v>
      </c>
      <c r="NS90" s="205">
        <f t="shared" ca="1" si="329"/>
        <v>1</v>
      </c>
      <c r="NT90" s="21">
        <f t="shared" ca="1" si="330"/>
        <v>1</v>
      </c>
      <c r="NU90" s="21" t="str">
        <f t="shared" ca="1" si="331"/>
        <v>INCOMPLETO</v>
      </c>
      <c r="NV90" s="21" t="str">
        <f t="shared" ca="1" si="332"/>
        <v>INCOMPLETO</v>
      </c>
      <c r="NW90" s="206" t="str">
        <f>IF(AND(O90="",R90=""),"",IF(OR(AND(Tabla1[[#This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90" s="207" t="str">
        <f t="shared" ca="1" si="333"/>
        <v>SIN VACUNAR</v>
      </c>
      <c r="NY90" s="43">
        <f>ROW(Tabla1[[#This Row],['# DE TAMIZAJES SIFILIS TOMADOS ]])</f>
        <v>90</v>
      </c>
      <c r="NZ90" s="43">
        <f t="shared" si="334"/>
        <v>14</v>
      </c>
      <c r="OA90" s="43" t="str">
        <f t="shared" si="335"/>
        <v/>
      </c>
      <c r="OB90" s="43" t="str">
        <f t="shared" si="336"/>
        <v/>
      </c>
      <c r="OC90" s="43" t="str">
        <f t="shared" si="337"/>
        <v/>
      </c>
      <c r="OD90" s="43" t="str">
        <f t="shared" si="338"/>
        <v/>
      </c>
      <c r="OE90" s="43" t="str">
        <f t="shared" si="339"/>
        <v/>
      </c>
      <c r="OF90" s="43" t="str">
        <f t="shared" si="340"/>
        <v>SOBREPESO</v>
      </c>
      <c r="OG90" s="43" t="str">
        <f t="shared" si="341"/>
        <v/>
      </c>
      <c r="OH90" s="43" t="str">
        <f t="shared" si="342"/>
        <v/>
      </c>
      <c r="OI90" s="43" t="str">
        <f t="shared" si="343"/>
        <v/>
      </c>
      <c r="OJ90" s="43" t="str">
        <f t="shared" si="344"/>
        <v/>
      </c>
      <c r="OK90" s="43" t="str">
        <f t="shared" si="345"/>
        <v/>
      </c>
      <c r="OL90" s="43" t="str">
        <f t="shared" si="346"/>
        <v/>
      </c>
      <c r="OM90" s="43" t="str">
        <f t="shared" si="347"/>
        <v/>
      </c>
      <c r="ON90" s="43" t="str">
        <f t="shared" si="348"/>
        <v/>
      </c>
      <c r="OO90" s="43" t="str">
        <f t="shared" si="349"/>
        <v/>
      </c>
      <c r="OP90" s="43" t="str">
        <f t="shared" si="350"/>
        <v/>
      </c>
      <c r="OQ90" s="43" t="str">
        <f t="shared" si="351"/>
        <v/>
      </c>
      <c r="OR90" s="43" t="str">
        <f t="shared" si="352"/>
        <v/>
      </c>
      <c r="OS90" s="43" t="str">
        <f t="shared" si="353"/>
        <v/>
      </c>
      <c r="OT90" s="43" t="str">
        <f t="shared" si="354"/>
        <v/>
      </c>
      <c r="OU90" s="43" t="str">
        <f t="shared" si="355"/>
        <v/>
      </c>
      <c r="OV90" s="110" t="str">
        <f t="shared" si="356"/>
        <v/>
      </c>
      <c r="OW90" s="43" t="str">
        <f t="shared" si="357"/>
        <v/>
      </c>
      <c r="OX90" s="43" t="str">
        <f t="shared" si="358"/>
        <v/>
      </c>
      <c r="OY90" s="43" t="str">
        <f t="shared" si="359"/>
        <v/>
      </c>
      <c r="OZ90" s="43" t="str">
        <f t="shared" si="360"/>
        <v/>
      </c>
      <c r="PA90" s="43" t="str">
        <f t="shared" si="361"/>
        <v/>
      </c>
      <c r="PB90" s="43" t="str">
        <f t="shared" si="362"/>
        <v/>
      </c>
      <c r="PC90" s="43" t="str">
        <f t="shared" si="363"/>
        <v/>
      </c>
      <c r="PD90" s="43" t="str">
        <f t="shared" si="364"/>
        <v/>
      </c>
      <c r="PE90" s="43" t="str">
        <f t="shared" si="365"/>
        <v/>
      </c>
      <c r="PF90" s="43" t="str">
        <f t="shared" si="366"/>
        <v/>
      </c>
      <c r="PG90" s="43" t="str">
        <f t="shared" si="367"/>
        <v/>
      </c>
      <c r="PH90" s="43" t="str">
        <f t="shared" si="368"/>
        <v/>
      </c>
      <c r="PI90" s="43">
        <f t="shared" si="369"/>
        <v>37</v>
      </c>
      <c r="PJ90" s="43" t="str">
        <f t="shared" si="370"/>
        <v/>
      </c>
      <c r="PK90" s="43" t="str">
        <f t="shared" si="371"/>
        <v/>
      </c>
      <c r="PL90" s="43" t="str">
        <f t="shared" si="372"/>
        <v/>
      </c>
      <c r="PM90" s="43" t="str">
        <f t="shared" si="373"/>
        <v/>
      </c>
      <c r="PN90" s="43" t="str">
        <f t="shared" si="374"/>
        <v/>
      </c>
      <c r="PO90" s="43" t="str">
        <f t="shared" si="375"/>
        <v/>
      </c>
      <c r="PP90" s="43" t="str">
        <f t="shared" si="376"/>
        <v/>
      </c>
      <c r="PQ90" s="43" t="str">
        <f t="shared" si="377"/>
        <v/>
      </c>
      <c r="PR90" s="43" t="str">
        <f t="shared" si="378"/>
        <v/>
      </c>
      <c r="PS90" s="43" t="str">
        <f t="shared" si="379"/>
        <v/>
      </c>
      <c r="PT90" s="43" t="str">
        <f t="shared" si="380"/>
        <v/>
      </c>
      <c r="PU90" s="43" t="str">
        <f t="shared" si="381"/>
        <v/>
      </c>
      <c r="PV90" s="43" t="str">
        <f t="shared" si="382"/>
        <v/>
      </c>
      <c r="PW90" s="43" t="str">
        <f t="shared" si="383"/>
        <v/>
      </c>
      <c r="PX90" s="43" t="str">
        <f t="shared" si="384"/>
        <v/>
      </c>
      <c r="PY90" s="43" t="str">
        <f t="shared" si="385"/>
        <v/>
      </c>
      <c r="PZ90" s="43" t="str">
        <f t="shared" si="386"/>
        <v/>
      </c>
      <c r="QA90" s="43" t="str">
        <f t="shared" si="387"/>
        <v/>
      </c>
      <c r="QB90" s="43" t="str">
        <f t="shared" si="388"/>
        <v/>
      </c>
      <c r="QC90" s="43" t="str">
        <f t="shared" si="389"/>
        <v/>
      </c>
      <c r="QD90" s="43" t="str">
        <f t="shared" si="390"/>
        <v/>
      </c>
      <c r="QE90" s="43" t="str">
        <f t="shared" si="391"/>
        <v/>
      </c>
      <c r="QF90" s="43" t="str">
        <f t="shared" si="392"/>
        <v/>
      </c>
      <c r="QG90" s="43" t="str">
        <f t="shared" si="393"/>
        <v/>
      </c>
      <c r="QH90" s="43" t="str">
        <f t="shared" si="394"/>
        <v/>
      </c>
      <c r="QI90" s="43" t="str">
        <f t="shared" si="395"/>
        <v/>
      </c>
      <c r="QJ90" s="43" t="str">
        <f t="shared" si="396"/>
        <v/>
      </c>
      <c r="QK90" s="43" t="str">
        <f t="shared" si="397"/>
        <v/>
      </c>
      <c r="QL90" s="43" t="str">
        <f t="shared" si="398"/>
        <v>SOBREPESO</v>
      </c>
      <c r="QM90" s="43" t="str">
        <f t="shared" si="399"/>
        <v/>
      </c>
      <c r="QN90" s="43" t="str">
        <f t="shared" si="400"/>
        <v/>
      </c>
      <c r="QO90" s="43" t="str">
        <f t="shared" si="401"/>
        <v/>
      </c>
      <c r="QP90" s="43" t="str">
        <f t="shared" si="402"/>
        <v/>
      </c>
      <c r="QQ90" s="43" t="str">
        <f t="shared" si="403"/>
        <v/>
      </c>
      <c r="QR90" s="43">
        <f t="shared" si="433"/>
        <v>37</v>
      </c>
      <c r="QS90" s="43"/>
      <c r="QT90" s="21" t="str">
        <f t="shared" si="404"/>
        <v/>
      </c>
      <c r="QU90" s="21" t="str">
        <f t="shared" si="405"/>
        <v/>
      </c>
      <c r="QV90" s="21" t="str">
        <f t="shared" si="406"/>
        <v/>
      </c>
      <c r="QW90" s="21" t="str">
        <f t="shared" si="407"/>
        <v/>
      </c>
      <c r="QX90" s="21" t="str">
        <f t="shared" si="408"/>
        <v/>
      </c>
      <c r="QY90" s="21" t="str">
        <f t="shared" si="409"/>
        <v/>
      </c>
      <c r="QZ90" s="21" t="str">
        <f t="shared" si="410"/>
        <v/>
      </c>
      <c r="RA90" s="21" t="str">
        <f t="shared" si="411"/>
        <v/>
      </c>
      <c r="RB90" s="21" t="str">
        <f t="shared" si="412"/>
        <v/>
      </c>
      <c r="RC90" s="21" t="str">
        <f t="shared" si="413"/>
        <v/>
      </c>
      <c r="RD90" s="21" t="str">
        <f t="shared" si="414"/>
        <v/>
      </c>
      <c r="RE90" s="21" t="str">
        <f t="shared" si="415"/>
        <v/>
      </c>
      <c r="RF90" s="21" t="str">
        <f t="shared" si="416"/>
        <v/>
      </c>
      <c r="RG90" s="21" t="str">
        <f t="shared" si="417"/>
        <v/>
      </c>
      <c r="RH90" s="21" t="str">
        <f t="shared" si="418"/>
        <v/>
      </c>
      <c r="RI90" s="21" t="str">
        <f t="shared" si="419"/>
        <v/>
      </c>
      <c r="RJ90" s="21" t="str">
        <f t="shared" si="420"/>
        <v/>
      </c>
      <c r="RK90" s="21" t="str">
        <f t="shared" si="421"/>
        <v/>
      </c>
      <c r="RL90" s="21" t="str">
        <f t="shared" si="422"/>
        <v/>
      </c>
      <c r="RM90" s="21" t="str">
        <f t="shared" si="423"/>
        <v/>
      </c>
      <c r="RN90" s="21" t="str">
        <f t="shared" si="424"/>
        <v/>
      </c>
      <c r="RO90" s="21" t="str">
        <f t="shared" si="425"/>
        <v/>
      </c>
      <c r="RP90" s="21" t="str">
        <f t="shared" si="426"/>
        <v/>
      </c>
      <c r="RQ90" s="21" t="str">
        <f t="shared" si="427"/>
        <v/>
      </c>
      <c r="RR90" s="21" t="str">
        <f t="shared" si="428"/>
        <v>ADECUADO PARA EDAD GESTACIONAL</v>
      </c>
      <c r="RS90" s="21" t="str">
        <f t="shared" si="429"/>
        <v/>
      </c>
      <c r="RT90" s="21" t="str">
        <f t="shared" si="430"/>
        <v/>
      </c>
      <c r="RU90" s="21" t="str">
        <f t="shared" si="431"/>
        <v/>
      </c>
      <c r="RV90" s="21">
        <f t="shared" si="432"/>
        <v>-1</v>
      </c>
      <c r="RW90" s="284">
        <f>IF(OR(Tabla1[[#This Row],[FUM FORMULA CONFIABLE]]="",Tabla1[[#This Row],[FUM FORMULA CONFIABLE]]="SD"),"",IF(Tabla1[[#This Row],[FUM FORMULA CONFIABLE]]="CORREGIDA",Tabla1[[#This Row],[FUM X ECO 1]],Tabla1[[#This Row],[FUM x AMENORREA]]))</f>
        <v>44852.2</v>
      </c>
      <c r="RX90" s="21">
        <f>IF(AND(Tabla1[[#This Row],[FUM X ECO 1]]="",Tabla1[[#This Row],[FUM x AMENORREA]]=""),"",IF(AND(Tabla1[[#This Row],[FUM X ECO 1]]="",Tabla1[[#This Row],[FUM x AMENORREA]]&lt;&gt;""),"X",SUM(Tabla1[[#This Row],[FUM X ECO 1]]-Tabla1[[#This Row],[FUM x AMENORREA]])))</f>
        <v>6.1999999999970896</v>
      </c>
      <c r="RY90" s="21">
        <f t="shared" si="434"/>
        <v>1</v>
      </c>
    </row>
    <row r="91" spans="1:493" ht="45" customHeight="1" x14ac:dyDescent="0.25">
      <c r="A91" s="109" t="s">
        <v>1279</v>
      </c>
      <c r="B91" s="43" t="s">
        <v>1057</v>
      </c>
      <c r="C91" s="43" t="s">
        <v>845</v>
      </c>
      <c r="D91" s="124"/>
      <c r="E91" s="43" t="s">
        <v>873</v>
      </c>
      <c r="F91" s="43" t="s">
        <v>874</v>
      </c>
      <c r="G91" s="43" t="s">
        <v>1280</v>
      </c>
      <c r="H91" s="43" t="s">
        <v>1281</v>
      </c>
      <c r="I91" s="109" t="s">
        <v>1094</v>
      </c>
      <c r="J91" s="110">
        <v>1059599177</v>
      </c>
      <c r="K91" s="43" t="s">
        <v>852</v>
      </c>
      <c r="L91" s="175" t="s">
        <v>886</v>
      </c>
      <c r="M91" s="22">
        <v>39798</v>
      </c>
      <c r="N91" s="213">
        <f t="shared" ca="1" si="252"/>
        <v>14.887671232876713</v>
      </c>
      <c r="O91" s="22">
        <v>44952</v>
      </c>
      <c r="P91" s="214" t="str">
        <f t="shared" si="438"/>
        <v>SI</v>
      </c>
      <c r="Q91" s="26" t="s">
        <v>855</v>
      </c>
      <c r="R91" s="22">
        <v>44952</v>
      </c>
      <c r="S91" s="21" t="s">
        <v>856</v>
      </c>
      <c r="T91" s="24" t="s">
        <v>690</v>
      </c>
      <c r="U91" s="21" t="s">
        <v>857</v>
      </c>
      <c r="V91" s="21" t="s">
        <v>858</v>
      </c>
      <c r="W91" s="21" t="s">
        <v>1139</v>
      </c>
      <c r="X91" s="21" t="s">
        <v>1139</v>
      </c>
      <c r="Y91" s="21" t="s">
        <v>859</v>
      </c>
      <c r="Z91" s="21">
        <v>3145654127</v>
      </c>
      <c r="AA91" s="21" t="s">
        <v>860</v>
      </c>
      <c r="AB91" s="27" t="s">
        <v>861</v>
      </c>
      <c r="AC91" s="26" t="s">
        <v>877</v>
      </c>
      <c r="AD91" s="38" t="s">
        <v>1546</v>
      </c>
      <c r="AE91" s="26" t="s">
        <v>854</v>
      </c>
      <c r="AF91" s="26" t="s">
        <v>854</v>
      </c>
      <c r="AG91" s="23" t="s">
        <v>864</v>
      </c>
      <c r="AH91" s="23" t="s">
        <v>864</v>
      </c>
      <c r="AI91" s="24" t="s">
        <v>863</v>
      </c>
      <c r="AJ91" s="23" t="s">
        <v>864</v>
      </c>
      <c r="AK91" s="220" t="str">
        <f>IF(AND(AD91="",AE91="",AF91="",AG91="",AH91="",AI91="",AJ91=""),"",IF(OR(Tabla1[[#This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EVALUACIÓN",IF(AND(O91="",R91=""),"",IF(AND(OR(O91&gt;0,R91&gt;0),NG91&gt;=0,NG91&lt;2),"SIN RIESGO",IF(AND(OR(O91&gt;0,R91&gt;0),NG91&gt;=2),"CON RIESGO","ASD")))))</f>
        <v>SIN RIESGO</v>
      </c>
      <c r="AL91" s="23" t="s">
        <v>864</v>
      </c>
      <c r="AM91" s="26" t="s">
        <v>864</v>
      </c>
      <c r="AN91" s="26" t="s">
        <v>864</v>
      </c>
      <c r="AO91" s="26" t="s">
        <v>864</v>
      </c>
      <c r="AP91" s="26" t="s">
        <v>864</v>
      </c>
      <c r="AQ91" s="26" t="s">
        <v>864</v>
      </c>
      <c r="AR91" s="26" t="s">
        <v>864</v>
      </c>
      <c r="AS91" s="21">
        <v>1</v>
      </c>
      <c r="AT91" s="21">
        <v>0</v>
      </c>
      <c r="AU91" s="21">
        <v>1</v>
      </c>
      <c r="AV91" s="26" t="s">
        <v>864</v>
      </c>
      <c r="AW91" s="21">
        <v>0</v>
      </c>
      <c r="AX91" s="26" t="s">
        <v>864</v>
      </c>
      <c r="AY91" s="26" t="s">
        <v>864</v>
      </c>
      <c r="AZ91" s="26" t="s">
        <v>864</v>
      </c>
      <c r="BA91" s="26" t="s">
        <v>864</v>
      </c>
      <c r="BB91" s="26" t="s">
        <v>864</v>
      </c>
      <c r="BC91" s="26" t="s">
        <v>864</v>
      </c>
      <c r="BD91" s="26" t="s">
        <v>864</v>
      </c>
      <c r="BE91" s="26" t="s">
        <v>864</v>
      </c>
      <c r="BF91" s="26" t="s">
        <v>864</v>
      </c>
      <c r="BG91" s="26" t="s">
        <v>864</v>
      </c>
      <c r="BH91" s="26" t="s">
        <v>864</v>
      </c>
      <c r="BI91" s="26" t="s">
        <v>864</v>
      </c>
      <c r="BJ91" s="26" t="s">
        <v>864</v>
      </c>
      <c r="BK91" s="26" t="s">
        <v>865</v>
      </c>
      <c r="BL91" s="26" t="s">
        <v>864</v>
      </c>
      <c r="BM91" s="26" t="s">
        <v>864</v>
      </c>
      <c r="BN91" s="22"/>
      <c r="BO91" s="22">
        <v>44889</v>
      </c>
      <c r="BP91" s="21" t="s">
        <v>1380</v>
      </c>
      <c r="BQ91" s="222">
        <f t="shared" si="254"/>
        <v>0</v>
      </c>
      <c r="BR91" s="223">
        <f t="shared" si="255"/>
        <v>44880.2</v>
      </c>
      <c r="BS91" s="224">
        <f t="shared" si="256"/>
        <v>10.257142857143274</v>
      </c>
      <c r="BT91" s="216" t="str">
        <f t="shared" si="257"/>
        <v>II TRIM</v>
      </c>
      <c r="BU91" s="214" t="str">
        <f t="shared" ca="1" si="258"/>
        <v/>
      </c>
      <c r="BV91" s="25"/>
      <c r="BW91" s="22">
        <v>44995</v>
      </c>
      <c r="BX91" s="28">
        <v>16.399999999999999</v>
      </c>
      <c r="BY91" s="28"/>
      <c r="BZ91" s="22"/>
      <c r="CA91" s="21"/>
      <c r="CB91" s="26" t="s">
        <v>864</v>
      </c>
      <c r="CC91" s="26" t="s">
        <v>864</v>
      </c>
      <c r="CD91" s="26" t="s">
        <v>972</v>
      </c>
      <c r="CE91" s="26" t="s">
        <v>864</v>
      </c>
      <c r="CF91" s="22" t="s">
        <v>1517</v>
      </c>
      <c r="CG91" s="21">
        <v>1.51</v>
      </c>
      <c r="CH91" s="21">
        <v>48</v>
      </c>
      <c r="CI91" s="214">
        <f t="shared" si="259"/>
        <v>21.051708258409718</v>
      </c>
      <c r="CJ91" s="225" t="e">
        <f>IF(AND(CI91&lt;10,CH91="SD"),"SIN DATO PESO PREGESTACION O I TRIM",IF(AND(OR(R91&gt;0,O91&gt;0),CI91="X"),"INGRESAR DATO DE PESO",IF(CI91="SD","INGRESAR DATO DE TALLA Y PESO",IF(AND(OR(Tabla1[[#This Row],[MOMENTO EN QUE SE REALIZA EL PESO AL INGRESO A CPN]]="PREGESTACIÓN",NZ91="Menor"),CI91&lt;18.5),"BAJO PESO",IF(AND(OR(Tabla1[[#This Row],[MOMENTO EN QUE SE REALIZA EL PESO AL INGRESO A CPN]]="PREGESTACIÓN",NZ91="Menor"),CI91&lt;25),"NORMAL",IF(AND(OR(Tabla1[[#This Row],[MOMENTO EN QUE SE REALIZA EL PESO AL INGRESO A CPN]]="PREGESTACIÓN",NZ91="Menor"),CI91&lt;30),"SOBREPESO",IF(AND(OR(Tabla1[[#This Row],[MOMENTO EN QUE SE REALIZA EL PESO AL INGRESO A CPN]]="PREGESTACIÓN",NZ91="Menor"),CI91&gt;=30,CI91&lt;50),"OBESIDAD",IF(AND(BS91&gt;0,Tabla1[[#This Row],[MOMENTO EN QUE SE REALIZA EL PESO AL INGRESO A CPN]]="GESTACIÓN"),HLOOKUP(NZ91,$OA$2:PH91,NY91),""))))))))</f>
        <v>#REF!</v>
      </c>
      <c r="CK91" s="212">
        <f t="shared" si="260"/>
        <v>45070</v>
      </c>
      <c r="CL91" s="21">
        <v>54</v>
      </c>
      <c r="CM91" s="214">
        <f t="shared" si="261"/>
        <v>23.683171790710933</v>
      </c>
      <c r="CN91" s="216">
        <f t="shared" si="262"/>
        <v>27</v>
      </c>
      <c r="CO91" s="216" t="e">
        <f>IF(PI91="","",IF(PI91&gt;0,HLOOKUP(PI91,$PJ$2:QQ91,NY91),""))</f>
        <v>#REF!</v>
      </c>
      <c r="CP91" s="21">
        <v>25</v>
      </c>
      <c r="CQ91" s="216" t="e">
        <f>IF(QR91="Menor","NO APLICA-MENOR 13 SEM",IF(AND(CC91="SI",CN91&gt;23),"NO APLICA- GEMELAR",IF(QR91="","",IF(QR91&gt;0,HLOOKUP(QR91,$QS$2:RU91,NY91),""))))</f>
        <v>#REF!</v>
      </c>
      <c r="CR91" s="21">
        <v>100</v>
      </c>
      <c r="CS91" s="21">
        <v>70</v>
      </c>
      <c r="CT91" s="217" t="str">
        <f>IF(R91="","",IF(AND(BS91&gt;1,BS91&lt;12,Tabla1[[#This Row],[T.A. SISTOLICA - ANTES DE SEMANA 12]]="",Tabla1[[#This Row],[T.A. DIASTOLICA - ANTES DE SEMANA 12]]=""),"REGISTRE DATO TA ANTES SEMANA 12",IF(AND(BS91&gt;11,BS91&lt;43,Tabla1[[#This Row],[T.A. SISTOLICA - ANTES DE SEMANA 12]]="",Tabla1[[#This Row],[T.A. DIASTOLICA - ANTES DE SEMANA 12]]=""),"NO APLICA REGISTRO TA-INGRESO TARDIO",IF(AND(OR(O91&gt;0,R91&gt;0),OR(CR91&gt;=140,CS91&gt;=90)),"DEFINIR ESTADIO HTA",IF(AND(OR(O91&gt;0,R91&gt;0),AND(CR91&gt;120,CR91&lt;=139)),"PRE HTA SEGUIMIENTO",IF(AND(OR(O91&gt;0,R91&gt;0),AND(CS91&gt;80,CS91&lt;=89)),"PRE HTA SEGUIMIENTO",IF(AND(OR(O91&gt;0,R91&gt;0),AND(CR91&gt;=80,CR91&lt;=120)),"APARENTEMENTE NORMAL",IF(AND(OR(O91&gt;0,R91&gt;0),AND(CS91&gt;=50,CS91&lt;=80)),"APARENTEMENTE NORMAL",IF(AND(OR(O91&gt;0,R91&gt;0),AND(CR91&gt;1,CR91&lt;=70),AND(CS91&gt;1,CS91&lt;=40)),"HIPOTENSIÓN","")))))))))</f>
        <v>APARENTEMENTE NORMAL</v>
      </c>
      <c r="CU91" s="21"/>
      <c r="CV91" s="21"/>
      <c r="CW91" s="217" t="str">
        <f ca="1">IF(R91="","",IF(AND(CN91&gt;19,CN91&lt;27,Tabla1[[#This Row],[T.A. SISTOLICA (Entre semana 20 y 26)]]="",Tabla1[[#This Row],[T.A. DIATOLICA (Entre semana 20 y 26)]]=""),"ACUDE A CONTROL SEM 20 A 26 REGISTRE TA AHORA",IF(AND(BS91&gt;1,BS91&lt;27,BU91&gt;19,Tabla1[[#This Row],[T.A. SISTOLICA (Entre semana 20 y 26)]]="",Tabla1[[#This Row],[T.A. DIATOLICA (Entre semana 20 y 26)]]=""),"COMPLETE REGISTRO TA CONTROL SEM 20 A26 ",IF(AND(BS91&gt;26,BS91&lt;43,Tabla1[[#This Row],[T.A. SISTOLICA (Entre semana 20 y 26)]]="",Tabla1[[#This Row],[T.A. DIATOLICA (Entre semana 20 y 26)]]=""),"NO APLICA REGISTRO TA-INGRESO TARDIO",IF(AND(OR(O91&gt;0,R91&gt;0),OR(CU91&gt;=140,CV91&gt;=90)),"ALTO RIESGO PREECLAMPSIA,DEFINIR ESTADIO HTA",IF(AND(OR(O91&gt;0,R91&gt;0),AND(CU91&gt;120,CU91&lt;=139)),"PRE HTA SEGUIMIENTO,RIESGO HIPERTENSION INDUCIDA POR EL EMBARAZO",IF(AND(OR(O91&gt;0,R91&gt;0),AND(CV91&gt;80,CV91&lt;=89)),"PRE HTA SEGUIMIENTO, RIESGO HIPERTENSION INDUCIDA POR EL EMBARAZO",IF(AND(OR(O91&lt;&gt;"",R91&lt;&gt;""),CS91&lt;&gt;"",CV91&lt;&gt;"",CS91&lt;=CV91),"VIGILAR CIFRAS PRESION ARTERIAL",IF(AND(OR(O91&gt;0,R91&gt;0),AND(CU91&gt;120,CU91&lt;=139)),"PRE HTA SEGUIMIENTO",IF(AND(OR(O91&gt;0,R91&gt;0),AND(CU91&gt;1,CU91&lt;=70),AND(CV91&gt;1,CV91&lt;=40)),"HIPOTENSIÓN",IF(AND(OR(O91&lt;&gt;"",R91&lt;&gt;""),CS91&lt;&gt;"",CV91&lt;&gt;"",CS91&gt;CV91),"APARENTEMENTE NORMAL",IF(AND(OR(O91&gt;0,R91&gt;0),AND(CU91&gt;=80,CU91&lt;=120)),"APARENTEMENTE NORMAL",IF(AND(OR(O91&gt;0,R91&gt;0),AND(CV91&gt;=50,CV91&lt;=80)),"APARENTEMENTE NORMAL","")))))))))))))</f>
        <v xml:space="preserve">COMPLETE REGISTRO TA CONTROL SEM 20 A26 </v>
      </c>
      <c r="CX91" s="21"/>
      <c r="CY91" s="21"/>
      <c r="CZ91" s="216" t="str">
        <f t="shared" si="263"/>
        <v/>
      </c>
      <c r="DA91" s="21">
        <v>90</v>
      </c>
      <c r="DB91" s="21">
        <v>60</v>
      </c>
      <c r="DC91" s="217" t="str">
        <f t="shared" si="264"/>
        <v>APARENTEMENTE NORMAL</v>
      </c>
      <c r="DD91" s="22">
        <v>44952</v>
      </c>
      <c r="DE91" s="22">
        <v>44952</v>
      </c>
      <c r="DF91" s="22">
        <v>44995</v>
      </c>
      <c r="DG91" s="22">
        <v>45070</v>
      </c>
      <c r="DH91" s="22"/>
      <c r="DI91" s="22"/>
      <c r="DJ91" s="22"/>
      <c r="DK91" s="22"/>
      <c r="DL91" s="22"/>
      <c r="DM91" s="22"/>
      <c r="DN91" s="22"/>
      <c r="DO91" s="22"/>
      <c r="DP91" s="22"/>
      <c r="DQ91" s="22"/>
      <c r="DR91" s="28"/>
      <c r="DS91" s="22"/>
      <c r="DT91" s="22"/>
      <c r="DU91" s="216" t="str">
        <f t="shared" ca="1" si="439"/>
        <v>CONCERTAR PLAN DE PARTO INMEDIATO</v>
      </c>
      <c r="DV91" s="226" t="str">
        <f t="shared" si="440"/>
        <v>ACTIVA INGRESO A CPN</v>
      </c>
      <c r="DW9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91" s="216" t="e">
        <f t="shared" ca="1" si="266"/>
        <v>#REF!</v>
      </c>
      <c r="DY91" s="212">
        <f>IF(R91="","",IF(R91&gt;0,MAX(Tabla1[[#This Row],[FECHA C2]:[FECHA C13]],Tabla1[[#This Row],[FECHA CONSULTA PRIMERA VEZ PROGRAMA CPN ]])))</f>
        <v>45070</v>
      </c>
      <c r="DZ91" s="216">
        <f t="shared" si="267"/>
        <v>27</v>
      </c>
      <c r="EA91" s="222">
        <f>IF(R91&gt;0,SUM(COUNTA(DF91:DQ91)+COUNTA(Tabla1[[#This Row],[FECHA CONSULTA PRIMERA VEZ PROGRAMA CPN ]])),"")</f>
        <v>3</v>
      </c>
      <c r="EB91" s="222" t="str">
        <f t="shared" si="268"/>
        <v>NO</v>
      </c>
      <c r="EC91" s="214">
        <f t="shared" si="269"/>
        <v>9</v>
      </c>
      <c r="ED91" s="227">
        <f t="shared" si="270"/>
        <v>0.33333333333333331</v>
      </c>
      <c r="EE91" s="22">
        <v>44952</v>
      </c>
      <c r="EF91" s="22">
        <v>44952</v>
      </c>
      <c r="EG91" s="22">
        <v>44952</v>
      </c>
      <c r="EH91" s="22"/>
      <c r="EI91" s="22">
        <v>44952</v>
      </c>
      <c r="EJ91" s="22"/>
      <c r="EK91" s="344">
        <v>44963</v>
      </c>
      <c r="EL91" s="21"/>
      <c r="EM91" s="21"/>
      <c r="EN91" s="22"/>
      <c r="EO91" s="222" t="str">
        <f t="shared" si="271"/>
        <v>TOMAR EXAMEN</v>
      </c>
      <c r="EP91" s="214" t="str">
        <f t="shared" si="272"/>
        <v/>
      </c>
      <c r="EQ91" s="216" t="str">
        <f t="shared" si="273"/>
        <v>POR DEFINIR</v>
      </c>
      <c r="ER91" s="24"/>
      <c r="ES91" s="22"/>
      <c r="ET91" s="29" t="str">
        <f t="shared" ca="1" si="441"/>
        <v>TOMA DE HEMOGLOBINA TARDÍA</v>
      </c>
      <c r="EU91" s="25" t="str">
        <f t="shared" si="275"/>
        <v/>
      </c>
      <c r="EV91" s="24"/>
      <c r="EW91" s="24"/>
      <c r="EX91" s="22"/>
      <c r="EY91" s="29" t="str">
        <f t="shared" si="248"/>
        <v>TOMAR EXAMEN</v>
      </c>
      <c r="EZ91" s="25" t="str">
        <f t="shared" ca="1" si="249"/>
        <v/>
      </c>
      <c r="FA91" s="21"/>
      <c r="FB91" s="22"/>
      <c r="FC91" s="29" t="str">
        <f t="shared" si="276"/>
        <v>TOMAR EXAMEN</v>
      </c>
      <c r="FD91" s="29"/>
      <c r="FE91" s="29"/>
      <c r="FF91" s="29"/>
      <c r="FG91" s="21" t="str">
        <f t="shared" ca="1" si="277"/>
        <v/>
      </c>
      <c r="FH91" s="31"/>
      <c r="FI91" s="29" t="str">
        <f t="shared" si="278"/>
        <v>TOMAR EXAMEN</v>
      </c>
      <c r="FJ91" s="22"/>
      <c r="FK91" s="22"/>
      <c r="FL91" s="29" t="str">
        <f t="shared" ca="1" si="279"/>
        <v>PIERDE TOMA DE TAMIZAJE</v>
      </c>
      <c r="FM91" s="22"/>
      <c r="FN91" s="32"/>
      <c r="FO91" s="29" t="str">
        <f t="shared" ca="1" si="442"/>
        <v>PIERDE TOMA DE TAMIZAJE</v>
      </c>
      <c r="FP91" s="22"/>
      <c r="FQ91" s="32"/>
      <c r="FR91" s="29" t="str">
        <f t="shared" ca="1" si="443"/>
        <v>TOMA INMEDIATA DE TAMIZAJE</v>
      </c>
      <c r="FS91" s="22"/>
      <c r="FT91" s="32"/>
      <c r="FU91" s="29" t="str">
        <f>IF(AND(FJ91="",FM91="",FP91="",FS91=""),"",IF(OR(OR(Tabla1[[#This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91" s="28"/>
      <c r="FW91" s="22"/>
      <c r="FX91" s="29" t="str">
        <f t="shared" si="280"/>
        <v>TOMAR EXAMEN</v>
      </c>
      <c r="FY91" s="22"/>
      <c r="FZ91" s="22"/>
      <c r="GA91" s="29" t="str">
        <f t="shared" ca="1" si="250"/>
        <v>PIERDE TOMA DE TAMIZAJE</v>
      </c>
      <c r="GB91" s="22"/>
      <c r="GC91" s="22"/>
      <c r="GD91" s="29" t="str">
        <f t="shared" ca="1" si="444"/>
        <v>PIERDE TOMA DE TAMIZAJE</v>
      </c>
      <c r="GE91" s="22"/>
      <c r="GF91" s="22"/>
      <c r="GG91" s="29" t="str">
        <f t="shared" ca="1" si="445"/>
        <v>TOMA INMEDIATA DE TAMIZAJE</v>
      </c>
      <c r="GH91" s="22"/>
      <c r="GI91" s="29"/>
      <c r="GJ91" s="22"/>
      <c r="GK91" s="22"/>
      <c r="GL91" s="22"/>
      <c r="GM91" s="22"/>
      <c r="GN91" s="28"/>
      <c r="GO91" s="22"/>
      <c r="GP91" s="29" t="str">
        <f t="shared" si="283"/>
        <v>TOMAR EXAMEN</v>
      </c>
      <c r="GQ91" s="28"/>
      <c r="GR91" s="28"/>
      <c r="GS91" s="22" t="str">
        <f t="shared" si="284"/>
        <v/>
      </c>
      <c r="GT91" s="22"/>
      <c r="GU91" s="29" t="str">
        <f t="shared" si="285"/>
        <v>TOMAR EXAMEN</v>
      </c>
      <c r="GV91" s="21" t="str">
        <f t="shared" si="286"/>
        <v>POR DEFINIR</v>
      </c>
      <c r="GW91" s="28"/>
      <c r="GX91" s="30"/>
      <c r="GY91" s="21"/>
      <c r="GZ91" s="21"/>
      <c r="HA91" s="21"/>
      <c r="HB91" s="21"/>
      <c r="HC91" s="21"/>
      <c r="HD91" s="21"/>
      <c r="HE91" s="21"/>
      <c r="HF91" s="22"/>
      <c r="HG91" s="22" t="str">
        <f>IF(OR(O91&gt;0,R91&gt;0),CONCATENATE(IF(Tabla1[[#This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91" s="22" t="e">
        <f t="shared" si="287"/>
        <v>#REF!</v>
      </c>
      <c r="HI91" s="22" t="e">
        <f t="shared" ca="1" si="288"/>
        <v>#REF!</v>
      </c>
      <c r="HJ91" s="21" t="str">
        <f t="shared" ca="1" si="289"/>
        <v>**********************MULTIPARIDAD**RIESGO POR EDAD***************</v>
      </c>
      <c r="HK91" s="21" t="str">
        <f t="shared" si="290"/>
        <v>SIN ANTECEDENTES DE RIESGO</v>
      </c>
      <c r="HL91" s="24" t="str">
        <f t="shared" si="291"/>
        <v>APARENTEMENTE NORMAL</v>
      </c>
      <c r="HM91" s="21" t="e">
        <f t="shared" ca="1" si="292"/>
        <v>#REF!</v>
      </c>
      <c r="HN91" s="30" t="str">
        <f t="shared" si="446"/>
        <v>ACTIVA INGRESO A CPN</v>
      </c>
      <c r="HO91" s="21"/>
      <c r="HP91" s="21"/>
      <c r="HQ91" s="21">
        <v>44952</v>
      </c>
      <c r="HR91" s="21" t="str">
        <f>IF(R91="","",IF(Tabla1[[#This Row],[ALARMA FACTORES DE RIESGO COMPLICACIONES HIPERTENSIVAS3]]="SIN ANTECEDENTES DE RIESGO","No Aplica para suministro de ASA",IF(AND(Tabla1[[#This Row],[FECHA INICIO DE SUMINISTRO DE ASA]]&gt;0,RV91&lt;12),"Inicia ASA ANTES de Sem 12",IF(AND(RV91&gt;11,RV91&lt;17,OR(HK91="RIESGO ALTO DE COMPLICACIONES HIPERTENSIVAS VER MANEJO GUIA SUMINISTRO ASA Y CALCIO",HK91="RIESGO MODERADO (2 O MAS CRITERIOS) VER MANEJO GUIA SUMINISTRO ASA Y CALCIO")),"Inicio oportuno de ASA",IF(AND(RV91&gt;12,OR(HK91="RIESGO ALTO DE COMPLICACIONES HIPERTENSIVAS VER MANEJO GUIA SUMINISTRO ASA Y CALCIO",HK91="RIESGO MODERADO (2 O MAS CRITERIOS) VER MANEJO GUIA SUMINISTRO ASA Y CALCIO")),"Inicio no oportuno mayor a 16 semanas",IF(AND(BU91&lt;12,OR(HK91="RIESGO ALTO DE COMPLICACIONES HIPERTENSIVAS VER MANEJO GUIA SUMINISTRO ASA Y CALCIO",HK91="RIESGO MODERADO (2 O MAS CRITERIOS) VER MANEJO GUIA SUMINISTRO ASA Y CALCIO")),"Pendiente Inicio de ASA a la semana 12",IF(AND(BU91&gt;11,BU91&lt;17,OR(HK91="RIESGO ALTO DE COMPLICACIONES HIPERTENSIVAS VER MANEJO GUIA SUMINISTRO ASA Y CALCIO",HK91="RIESGO MODERADO (2 O MAS CRITERIOS) VER MANEJO GUIA SUMINISTRO ASA Y CALCIO")),"Iniciar de inmediato ASA",IF(AND(BU91&gt;16,OR(HK91="RIESGO ALTO DE COMPLICACIONES HIPERTENSIVAS VER MANEJO GUIA SUMINISTRO ASA Y CALCIO",HK91="RIESGO MODERADO (2 O MAS CRITERIOS) VER MANEJO GUIA SUMINISTRO ASA Y CALCIO")),"Pierde Oportunidad, Inicio tardío de ASA","XXXXX"))))))))</f>
        <v>No Aplica para suministro de ASA</v>
      </c>
      <c r="HS91" s="22">
        <v>44952</v>
      </c>
      <c r="HT91" s="22" t="s">
        <v>870</v>
      </c>
      <c r="HU91" s="22">
        <v>44952</v>
      </c>
      <c r="HV91" s="22" t="s">
        <v>870</v>
      </c>
      <c r="HW91" s="22">
        <v>44952</v>
      </c>
      <c r="HX91" s="22" t="s">
        <v>870</v>
      </c>
      <c r="HY91" s="22">
        <v>44952</v>
      </c>
      <c r="HZ91" s="28">
        <f t="shared" si="293"/>
        <v>10.257142857143274</v>
      </c>
      <c r="IA91" s="26"/>
      <c r="IB91" s="26"/>
      <c r="IC91" s="111"/>
      <c r="ID91" s="22"/>
      <c r="IE91" s="22" t="str">
        <f t="shared" ca="1" si="294"/>
        <v/>
      </c>
      <c r="IF91" s="22"/>
      <c r="IG91" s="22">
        <f t="shared" si="295"/>
        <v>45160.2</v>
      </c>
      <c r="IH91" s="29">
        <f t="shared" ca="1" si="296"/>
        <v>-71.80000000000291</v>
      </c>
      <c r="II91" s="22" t="str">
        <f t="shared" ca="1" si="297"/>
        <v>POSIBLEMENTE NACIO</v>
      </c>
      <c r="IJ91" s="22"/>
      <c r="IK91" s="21"/>
      <c r="IL91" s="21"/>
      <c r="IM91" s="34"/>
      <c r="IN91" s="349"/>
      <c r="IO91" s="21"/>
      <c r="IP91" s="29" t="str">
        <f t="shared" si="436"/>
        <v/>
      </c>
      <c r="IQ91" s="110"/>
      <c r="IR91" s="21"/>
      <c r="IS91" s="21"/>
      <c r="IT91" s="21"/>
      <c r="IU91" s="21"/>
      <c r="IV91" s="21"/>
      <c r="IW91" s="21"/>
      <c r="IX91" s="21"/>
      <c r="IY91" s="21"/>
      <c r="IZ91" s="21"/>
      <c r="JA91" s="21"/>
      <c r="JB91" s="30"/>
      <c r="JC91" s="21"/>
      <c r="JD91" s="36"/>
      <c r="JE91" s="21" t="str">
        <f t="shared" si="447"/>
        <v/>
      </c>
      <c r="JF91" s="30"/>
      <c r="JG91" s="21"/>
      <c r="JH91" s="21"/>
      <c r="JI91" s="21"/>
      <c r="JJ91" s="30"/>
      <c r="JK91" s="22"/>
      <c r="JL91" s="22"/>
      <c r="JM91" s="21"/>
      <c r="JN91" s="36"/>
      <c r="JO91" s="21" t="str">
        <f t="shared" si="448"/>
        <v/>
      </c>
      <c r="JP91" s="22"/>
      <c r="JQ91" s="21"/>
      <c r="JR91" s="21"/>
      <c r="JS91" s="21"/>
      <c r="JT91" s="30"/>
      <c r="JU91" s="22"/>
      <c r="JV91" s="22"/>
      <c r="JW91" s="33"/>
      <c r="JX91" s="28" t="str">
        <f t="shared" si="449"/>
        <v/>
      </c>
      <c r="JY91" s="33"/>
      <c r="JZ91" s="28" t="str">
        <f t="shared" si="450"/>
        <v/>
      </c>
      <c r="KA91" s="21"/>
      <c r="KB91" s="21"/>
      <c r="KC91" s="21"/>
      <c r="KD91" s="37"/>
      <c r="KE91" s="28"/>
      <c r="KF91" s="28"/>
      <c r="KG91" s="28"/>
      <c r="KH91" s="39"/>
      <c r="KI91" s="39"/>
      <c r="KJ91" s="66"/>
      <c r="KK91" s="39"/>
      <c r="KL91" s="39"/>
      <c r="KM91" s="66"/>
      <c r="KN91" s="39"/>
      <c r="KO91" s="39"/>
      <c r="KP91" s="39"/>
      <c r="KQ91" s="39"/>
      <c r="KR91" s="39"/>
      <c r="KS91" s="39"/>
      <c r="KT91" s="39"/>
      <c r="KU91" s="38"/>
      <c r="KV91" s="38"/>
      <c r="KW91" s="38"/>
      <c r="KX91" s="38"/>
      <c r="KY91" s="38"/>
      <c r="KZ91" s="38"/>
      <c r="LA91" s="38"/>
      <c r="LB91" s="38"/>
      <c r="LC91" s="38"/>
      <c r="LD91" s="38"/>
      <c r="LE91" s="38"/>
      <c r="LF91" s="38"/>
      <c r="LG91" s="38"/>
      <c r="LH91" s="38"/>
      <c r="LI91" s="38"/>
      <c r="LJ91" s="38"/>
      <c r="LK91" s="38"/>
      <c r="LL91" s="38"/>
      <c r="LM91" s="38"/>
      <c r="LN91" s="38"/>
      <c r="LO91" s="38"/>
      <c r="LP91" s="38"/>
      <c r="LQ91" s="38"/>
      <c r="LR91" s="38"/>
      <c r="LS91" s="38"/>
      <c r="LT91" s="38"/>
      <c r="LU91" s="38"/>
      <c r="LV91" s="38"/>
      <c r="LW91" s="38"/>
      <c r="LX91" s="38"/>
      <c r="LY91" s="38"/>
      <c r="LZ91" s="38"/>
      <c r="MA91" s="38"/>
      <c r="MB91" s="38"/>
      <c r="MC91" s="38"/>
      <c r="MD91" s="38"/>
      <c r="ME91" s="38"/>
      <c r="MF91" s="38"/>
      <c r="MG91" s="38"/>
      <c r="MH91" s="43">
        <f t="shared" si="303"/>
        <v>0</v>
      </c>
      <c r="MI91" s="43" t="str">
        <f t="shared" si="304"/>
        <v/>
      </c>
      <c r="MJ91" s="43" t="str">
        <f t="shared" si="305"/>
        <v/>
      </c>
      <c r="MK91" s="43">
        <f t="shared" si="306"/>
        <v>0</v>
      </c>
      <c r="ML9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91" s="43">
        <f t="shared" si="307"/>
        <v>10.257142857143274</v>
      </c>
      <c r="MN91" s="43">
        <f t="shared" si="308"/>
        <v>1</v>
      </c>
      <c r="MO91" s="43">
        <f t="shared" si="309"/>
        <v>2023</v>
      </c>
      <c r="MP91" s="43" t="str">
        <f t="shared" si="310"/>
        <v>I TRIMESTRE AÑO</v>
      </c>
      <c r="MQ91" s="43">
        <f t="shared" si="311"/>
        <v>13.907139728427508</v>
      </c>
      <c r="MR91" s="43">
        <f t="shared" si="312"/>
        <v>2</v>
      </c>
      <c r="MS91" s="43" t="str">
        <f t="shared" si="313"/>
        <v>MENOR 14 AÑOS</v>
      </c>
      <c r="MT91" s="43">
        <f t="shared" si="314"/>
        <v>0</v>
      </c>
      <c r="MU91" s="43">
        <f t="shared" si="315"/>
        <v>1</v>
      </c>
      <c r="MV91" s="43">
        <f t="shared" si="316"/>
        <v>0</v>
      </c>
      <c r="MW91" s="43">
        <f t="shared" si="317"/>
        <v>0</v>
      </c>
      <c r="MX91" s="43" t="str">
        <f t="shared" si="318"/>
        <v/>
      </c>
      <c r="MY91" s="43" t="str">
        <f t="shared" ca="1" si="451"/>
        <v/>
      </c>
      <c r="MZ91" s="43" t="str">
        <f t="shared" si="319"/>
        <v/>
      </c>
      <c r="NA91" s="43" t="str">
        <f t="shared" si="320"/>
        <v/>
      </c>
      <c r="NB91" s="43" t="str">
        <f t="shared" si="321"/>
        <v/>
      </c>
      <c r="NC91" s="43" t="str">
        <f t="shared" si="322"/>
        <v/>
      </c>
      <c r="ND91" s="43">
        <f t="shared" ca="1" si="323"/>
        <v>3</v>
      </c>
      <c r="NE91" s="43">
        <f>IF(OR(O91&gt;0,R91&gt;0),SUM(COUNTIF(Tabla1[[#This Row],[AÑOS AL INICIO5 CPN]],"&gt;=40"),COUNTIF(AS91,"0"),COUNTIF(AR91,"SI"),COUNTIF(CC91,"SI"),COUNTIF(BQ91,"&gt;119"),COUNTIF(CI91,"&gt;=35")),"")</f>
        <v>0</v>
      </c>
      <c r="NF91" s="43" t="str">
        <f t="shared" si="324"/>
        <v/>
      </c>
      <c r="NG91" s="43">
        <f t="shared" si="325"/>
        <v>0</v>
      </c>
      <c r="NH91" s="43">
        <f t="shared" si="326"/>
        <v>114.79999999999998</v>
      </c>
      <c r="NI9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CPN",P91="NO"),"Z",IF(AND(Tabla1[[#This Row],[CITA PROXIMO CONTROL]]="CITA MANUAL",Tabla1[[#This Row],[GESTANTES ACTUALES]]="ACTIVA INGRESO A CPN"),"W",IF(AND(Tabla1[[#This Row],[GESTANTES ACTUALES]]="SALIO PROGRAMA",IN91=""),"S",IF(AND(Tabla1[[#This Row],[CITA PROXIMO CONTROL]]&gt;0,IN91=""),(Tabla1[[#This Row],[CITA PROXIMO CONTROL]]-TODAY()),"SD"))))))))</f>
        <v>#REF!</v>
      </c>
      <c r="NJ91" s="43">
        <f>MONTH(Tabla1[[#This Row],[FECHA DE SALIDA  DEL PROGRAMA]])</f>
        <v>1</v>
      </c>
      <c r="NK91" s="43">
        <f>YEAR(Tabla1[[#This Row],[FECHA DE SALIDA  DEL PROGRAMA]])</f>
        <v>1900</v>
      </c>
      <c r="NL91" s="43" t="str">
        <f t="shared" si="327"/>
        <v>X</v>
      </c>
      <c r="NM91" s="43" t="str">
        <f>IF(AND(O91&gt;0,R91=""),"NO CPN",IF(AND(O91="",R91=""),"",IF(AND(EN91&lt;&gt;"",EX91&lt;&gt;"",FB91&lt;&gt;"",FK91&lt;&gt;"",FW91&lt;&gt;"",FZ91&lt;&gt;"",GO91&lt;&gt;"",GQ91&lt;&gt;"",GR91&lt;&gt;""),"SI","NO")))</f>
        <v>NO</v>
      </c>
      <c r="NN91" s="43" t="str">
        <f ca="1">IF(AND(O91&gt;0,R91=""),"NO CPN",IF(AND(O91="",R91=""),"",IF(AND(R91&gt;0,Tabla1[[#This Row],[SEMANAS DE GESTACION ACTUALIZADAS]]&lt;=12),"NO APLICA",IF(AND(FH91&lt;&gt;"",FN91&lt;&gt;""),"SI","NO"))))</f>
        <v>NO</v>
      </c>
      <c r="NO91" s="43" t="str">
        <f ca="1">IF(AND(O91&gt;0,R91=""),"NO CPN",IF(AND(O91="",R91=""),"",IF(AND(R91&gt;0,Tabla1[[#This Row],[SEMANAS DE GESTACION ACTUALIZADAS]]&lt;=27),"NO APLICA",IF(AND(ES91&lt;&gt;"",FQ91&lt;&gt;"",GF91&lt;&gt;""),"SI","NO"))))</f>
        <v>NO</v>
      </c>
      <c r="NP91" s="204" t="str">
        <f t="shared" si="328"/>
        <v>I TRIM</v>
      </c>
      <c r="NQ91" s="21">
        <f t="shared" si="437"/>
        <v>10</v>
      </c>
      <c r="NR91" s="21" t="str">
        <f t="shared" ca="1" si="452"/>
        <v>REVISAR FUM O FECHA SALIDA PROGRAMA</v>
      </c>
      <c r="NS91" s="205">
        <f t="shared" ca="1" si="329"/>
        <v>0</v>
      </c>
      <c r="NT91" s="21">
        <f t="shared" ca="1" si="330"/>
        <v>0</v>
      </c>
      <c r="NU91" s="21" t="str">
        <f t="shared" ca="1" si="331"/>
        <v>POR DEFINIR</v>
      </c>
      <c r="NV91" s="21" t="str">
        <f t="shared" ca="1" si="332"/>
        <v>POR DEFINIR</v>
      </c>
      <c r="NW91" s="206" t="str">
        <f>IF(AND(O91="",R91=""),"",IF(OR(AND(Tabla1[[#This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91" s="207" t="str">
        <f t="shared" ca="1" si="333"/>
        <v>SIN VACUNAR</v>
      </c>
      <c r="NY91" s="43">
        <f>ROW(Tabla1[[#This Row],['# DE TAMIZAJES SIFILIS TOMADOS ]])</f>
        <v>91</v>
      </c>
      <c r="NZ91" s="43">
        <f t="shared" si="334"/>
        <v>10</v>
      </c>
      <c r="OA91" s="43" t="str">
        <f t="shared" si="335"/>
        <v/>
      </c>
      <c r="OB91" s="43" t="str">
        <f t="shared" si="336"/>
        <v>NORMAL</v>
      </c>
      <c r="OC91" s="43" t="str">
        <f t="shared" si="337"/>
        <v/>
      </c>
      <c r="OD91" s="43" t="str">
        <f t="shared" si="338"/>
        <v/>
      </c>
      <c r="OE91" s="43" t="str">
        <f t="shared" si="339"/>
        <v/>
      </c>
      <c r="OF91" s="43" t="str">
        <f t="shared" si="340"/>
        <v/>
      </c>
      <c r="OG91" s="43" t="str">
        <f t="shared" si="341"/>
        <v/>
      </c>
      <c r="OH91" s="43" t="str">
        <f t="shared" si="342"/>
        <v/>
      </c>
      <c r="OI91" s="43" t="str">
        <f t="shared" si="343"/>
        <v/>
      </c>
      <c r="OJ91" s="43" t="str">
        <f t="shared" si="344"/>
        <v/>
      </c>
      <c r="OK91" s="43" t="str">
        <f t="shared" si="345"/>
        <v/>
      </c>
      <c r="OL91" s="43" t="str">
        <f t="shared" si="346"/>
        <v/>
      </c>
      <c r="OM91" s="43" t="str">
        <f t="shared" si="347"/>
        <v/>
      </c>
      <c r="ON91" s="43" t="str">
        <f t="shared" si="348"/>
        <v/>
      </c>
      <c r="OO91" s="43" t="str">
        <f t="shared" si="349"/>
        <v/>
      </c>
      <c r="OP91" s="43" t="str">
        <f t="shared" si="350"/>
        <v/>
      </c>
      <c r="OQ91" s="43" t="str">
        <f t="shared" si="351"/>
        <v/>
      </c>
      <c r="OR91" s="43" t="str">
        <f t="shared" si="352"/>
        <v/>
      </c>
      <c r="OS91" s="43" t="str">
        <f t="shared" si="353"/>
        <v/>
      </c>
      <c r="OT91" s="43" t="str">
        <f t="shared" si="354"/>
        <v/>
      </c>
      <c r="OU91" s="43" t="str">
        <f t="shared" si="355"/>
        <v/>
      </c>
      <c r="OV91" s="110" t="str">
        <f t="shared" si="356"/>
        <v/>
      </c>
      <c r="OW91" s="43" t="str">
        <f t="shared" si="357"/>
        <v/>
      </c>
      <c r="OX91" s="43" t="str">
        <f t="shared" si="358"/>
        <v/>
      </c>
      <c r="OY91" s="43" t="str">
        <f t="shared" si="359"/>
        <v/>
      </c>
      <c r="OZ91" s="43" t="str">
        <f t="shared" si="360"/>
        <v/>
      </c>
      <c r="PA91" s="43" t="str">
        <f t="shared" si="361"/>
        <v/>
      </c>
      <c r="PB91" s="43" t="str">
        <f t="shared" si="362"/>
        <v/>
      </c>
      <c r="PC91" s="43" t="str">
        <f t="shared" si="363"/>
        <v/>
      </c>
      <c r="PD91" s="43" t="str">
        <f t="shared" si="364"/>
        <v/>
      </c>
      <c r="PE91" s="43" t="str">
        <f t="shared" si="365"/>
        <v/>
      </c>
      <c r="PF91" s="43" t="str">
        <f t="shared" si="366"/>
        <v/>
      </c>
      <c r="PG91" s="43" t="str">
        <f t="shared" si="367"/>
        <v/>
      </c>
      <c r="PH91" s="43" t="str">
        <f t="shared" si="368"/>
        <v/>
      </c>
      <c r="PI91" s="43">
        <f t="shared" si="369"/>
        <v>27</v>
      </c>
      <c r="PJ91" s="43" t="str">
        <f t="shared" si="370"/>
        <v/>
      </c>
      <c r="PK91" s="43" t="str">
        <f t="shared" si="371"/>
        <v/>
      </c>
      <c r="PL91" s="43" t="str">
        <f t="shared" si="372"/>
        <v/>
      </c>
      <c r="PM91" s="43" t="str">
        <f t="shared" si="373"/>
        <v/>
      </c>
      <c r="PN91" s="43" t="str">
        <f t="shared" si="374"/>
        <v/>
      </c>
      <c r="PO91" s="43" t="str">
        <f t="shared" si="375"/>
        <v/>
      </c>
      <c r="PP91" s="43" t="str">
        <f t="shared" si="376"/>
        <v/>
      </c>
      <c r="PQ91" s="43" t="str">
        <f t="shared" si="377"/>
        <v/>
      </c>
      <c r="PR91" s="43" t="str">
        <f t="shared" si="378"/>
        <v/>
      </c>
      <c r="PS91" s="43" t="str">
        <f t="shared" si="379"/>
        <v/>
      </c>
      <c r="PT91" s="43" t="str">
        <f t="shared" si="380"/>
        <v/>
      </c>
      <c r="PU91" s="43" t="str">
        <f t="shared" si="381"/>
        <v/>
      </c>
      <c r="PV91" s="43" t="str">
        <f t="shared" si="382"/>
        <v/>
      </c>
      <c r="PW91" s="43" t="str">
        <f t="shared" si="383"/>
        <v/>
      </c>
      <c r="PX91" s="43" t="str">
        <f t="shared" si="384"/>
        <v/>
      </c>
      <c r="PY91" s="43" t="str">
        <f t="shared" si="385"/>
        <v/>
      </c>
      <c r="PZ91" s="43" t="str">
        <f t="shared" si="386"/>
        <v/>
      </c>
      <c r="QA91" s="43" t="str">
        <f t="shared" si="387"/>
        <v/>
      </c>
      <c r="QB91" s="43" t="str">
        <f t="shared" si="388"/>
        <v>NORMAL</v>
      </c>
      <c r="QC91" s="43" t="str">
        <f t="shared" si="389"/>
        <v/>
      </c>
      <c r="QD91" s="43" t="str">
        <f t="shared" si="390"/>
        <v/>
      </c>
      <c r="QE91" s="43" t="str">
        <f t="shared" si="391"/>
        <v/>
      </c>
      <c r="QF91" s="43" t="str">
        <f t="shared" si="392"/>
        <v/>
      </c>
      <c r="QG91" s="43" t="str">
        <f t="shared" si="393"/>
        <v/>
      </c>
      <c r="QH91" s="43" t="str">
        <f t="shared" si="394"/>
        <v/>
      </c>
      <c r="QI91" s="43" t="str">
        <f t="shared" si="395"/>
        <v/>
      </c>
      <c r="QJ91" s="43" t="str">
        <f t="shared" si="396"/>
        <v/>
      </c>
      <c r="QK91" s="43" t="str">
        <f t="shared" si="397"/>
        <v/>
      </c>
      <c r="QL91" s="43" t="str">
        <f t="shared" si="398"/>
        <v/>
      </c>
      <c r="QM91" s="43" t="str">
        <f t="shared" si="399"/>
        <v/>
      </c>
      <c r="QN91" s="43" t="str">
        <f t="shared" si="400"/>
        <v/>
      </c>
      <c r="QO91" s="43" t="str">
        <f t="shared" si="401"/>
        <v/>
      </c>
      <c r="QP91" s="43" t="str">
        <f t="shared" si="402"/>
        <v/>
      </c>
      <c r="QQ91" s="43" t="str">
        <f t="shared" si="403"/>
        <v/>
      </c>
      <c r="QR91" s="43">
        <f t="shared" si="433"/>
        <v>27</v>
      </c>
      <c r="QS91" s="43"/>
      <c r="QT91" s="21" t="str">
        <f t="shared" si="404"/>
        <v/>
      </c>
      <c r="QU91" s="21" t="str">
        <f t="shared" si="405"/>
        <v/>
      </c>
      <c r="QV91" s="21" t="str">
        <f t="shared" si="406"/>
        <v/>
      </c>
      <c r="QW91" s="21" t="str">
        <f t="shared" si="407"/>
        <v/>
      </c>
      <c r="QX91" s="21" t="str">
        <f t="shared" si="408"/>
        <v/>
      </c>
      <c r="QY91" s="21" t="str">
        <f t="shared" si="409"/>
        <v/>
      </c>
      <c r="QZ91" s="21" t="str">
        <f t="shared" si="410"/>
        <v/>
      </c>
      <c r="RA91" s="21" t="str">
        <f t="shared" si="411"/>
        <v/>
      </c>
      <c r="RB91" s="21" t="str">
        <f t="shared" si="412"/>
        <v/>
      </c>
      <c r="RC91" s="21" t="str">
        <f t="shared" si="413"/>
        <v/>
      </c>
      <c r="RD91" s="21" t="str">
        <f t="shared" si="414"/>
        <v/>
      </c>
      <c r="RE91" s="21" t="str">
        <f t="shared" si="415"/>
        <v/>
      </c>
      <c r="RF91" s="21" t="str">
        <f t="shared" si="416"/>
        <v/>
      </c>
      <c r="RG91" s="21" t="str">
        <f t="shared" si="417"/>
        <v/>
      </c>
      <c r="RH91" s="21" t="str">
        <f t="shared" si="418"/>
        <v>ADECUADO PARA EDAD GESTACIONAL</v>
      </c>
      <c r="RI91" s="21" t="str">
        <f t="shared" si="419"/>
        <v/>
      </c>
      <c r="RJ91" s="21" t="str">
        <f t="shared" si="420"/>
        <v/>
      </c>
      <c r="RK91" s="21" t="str">
        <f t="shared" si="421"/>
        <v/>
      </c>
      <c r="RL91" s="21" t="str">
        <f t="shared" si="422"/>
        <v/>
      </c>
      <c r="RM91" s="21" t="str">
        <f t="shared" si="423"/>
        <v/>
      </c>
      <c r="RN91" s="21" t="str">
        <f t="shared" si="424"/>
        <v/>
      </c>
      <c r="RO91" s="21" t="str">
        <f t="shared" si="425"/>
        <v/>
      </c>
      <c r="RP91" s="21" t="str">
        <f t="shared" si="426"/>
        <v/>
      </c>
      <c r="RQ91" s="21" t="str">
        <f t="shared" si="427"/>
        <v/>
      </c>
      <c r="RR91" s="21" t="str">
        <f t="shared" si="428"/>
        <v/>
      </c>
      <c r="RS91" s="21" t="str">
        <f t="shared" si="429"/>
        <v/>
      </c>
      <c r="RT91" s="21" t="str">
        <f t="shared" si="430"/>
        <v/>
      </c>
      <c r="RU91" s="21" t="str">
        <f t="shared" si="431"/>
        <v/>
      </c>
      <c r="RV91" s="21">
        <f t="shared" si="432"/>
        <v>10.257142857143274</v>
      </c>
      <c r="RW91" s="284">
        <f>IF(OR(Tabla1[[#This Row],[FUM FORMULA CONFIABLE]]="",Tabla1[[#This Row],[FUM FORMULA CONFIABLE]]="SD"),"",IF(Tabla1[[#This Row],[FUM FORMULA CONFIABLE]]="CORREGIDA",Tabla1[[#This Row],[FUM X ECO 1]],Tabla1[[#This Row],[FUM x AMENORREA]]))</f>
        <v>44880.2</v>
      </c>
      <c r="RX91" s="21">
        <f>IF(AND(Tabla1[[#This Row],[FUM X ECO 1]]="",Tabla1[[#This Row],[FUM x AMENORREA]]=""),"",IF(AND(Tabla1[[#This Row],[FUM X ECO 1]]="",Tabla1[[#This Row],[FUM x AMENORREA]]&lt;&gt;""),"X",SUM(Tabla1[[#This Row],[FUM X ECO 1]]-Tabla1[[#This Row],[FUM x AMENORREA]])))</f>
        <v>-8.8000000000029104</v>
      </c>
      <c r="RY91" s="21">
        <f t="shared" si="434"/>
        <v>1</v>
      </c>
    </row>
    <row r="92" spans="1:493" ht="45" customHeight="1" x14ac:dyDescent="0.25">
      <c r="A92" s="109"/>
      <c r="B92" s="43"/>
      <c r="C92" s="43" t="s">
        <v>845</v>
      </c>
      <c r="D92" s="124"/>
      <c r="E92" s="43" t="s">
        <v>1282</v>
      </c>
      <c r="F92" s="43" t="s">
        <v>943</v>
      </c>
      <c r="G92" s="43" t="s">
        <v>1283</v>
      </c>
      <c r="H92" s="43"/>
      <c r="I92" s="109" t="s">
        <v>851</v>
      </c>
      <c r="J92" s="110">
        <v>25547178</v>
      </c>
      <c r="K92" s="43" t="s">
        <v>852</v>
      </c>
      <c r="L92" s="175" t="s">
        <v>1509</v>
      </c>
      <c r="M92" s="22">
        <v>28905</v>
      </c>
      <c r="N92" s="213">
        <f t="shared" ca="1" si="252"/>
        <v>44.731506849315068</v>
      </c>
      <c r="O92" s="22">
        <v>44960</v>
      </c>
      <c r="P92" s="214" t="str">
        <f t="shared" si="438"/>
        <v>SI</v>
      </c>
      <c r="Q92" s="26" t="s">
        <v>855</v>
      </c>
      <c r="R92" s="22">
        <v>44960</v>
      </c>
      <c r="S92" s="21" t="s">
        <v>856</v>
      </c>
      <c r="T92" s="24" t="s">
        <v>690</v>
      </c>
      <c r="U92" s="21" t="s">
        <v>857</v>
      </c>
      <c r="V92" s="21" t="s">
        <v>858</v>
      </c>
      <c r="W92" s="21" t="s">
        <v>859</v>
      </c>
      <c r="X92" s="21" t="s">
        <v>859</v>
      </c>
      <c r="Y92" s="21" t="s">
        <v>859</v>
      </c>
      <c r="Z92" s="21" t="s">
        <v>894</v>
      </c>
      <c r="AA92" s="21" t="s">
        <v>860</v>
      </c>
      <c r="AB92" s="27" t="s">
        <v>861</v>
      </c>
      <c r="AC92" s="26" t="s">
        <v>877</v>
      </c>
      <c r="AD92" s="38" t="s">
        <v>863</v>
      </c>
      <c r="AE92" s="26" t="s">
        <v>854</v>
      </c>
      <c r="AF92" s="26" t="s">
        <v>854</v>
      </c>
      <c r="AG92" s="23" t="s">
        <v>864</v>
      </c>
      <c r="AH92" s="23" t="s">
        <v>864</v>
      </c>
      <c r="AI92" s="24" t="s">
        <v>863</v>
      </c>
      <c r="AJ92" s="23" t="s">
        <v>864</v>
      </c>
      <c r="AK92" s="220" t="str">
        <f>IF(AND(AD92="",AE92="",AF92="",AG92="",AH92="",AI92="",AJ92=""),"",IF(OR(Tabla1[[#This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EVALUACIÓN",IF(AND(O92="",R92=""),"",IF(AND(OR(O92&gt;0,R92&gt;0),NG92&gt;=0,NG92&lt;2),"SIN RIESGO",IF(AND(OR(O92&gt;0,R92&gt;0),NG92&gt;=2),"CON RIESGO","ASD")))))</f>
        <v>SIN RIESGO</v>
      </c>
      <c r="AL92" s="23" t="s">
        <v>864</v>
      </c>
      <c r="AM92" s="26" t="s">
        <v>864</v>
      </c>
      <c r="AN92" s="26"/>
      <c r="AO92" s="26" t="s">
        <v>864</v>
      </c>
      <c r="AP92" s="26" t="s">
        <v>864</v>
      </c>
      <c r="AQ92" s="26"/>
      <c r="AR92" s="26"/>
      <c r="AS92" s="21">
        <v>0</v>
      </c>
      <c r="AT92" s="21">
        <v>0</v>
      </c>
      <c r="AU92" s="21">
        <v>0</v>
      </c>
      <c r="AV92" s="26" t="s">
        <v>864</v>
      </c>
      <c r="AW92" s="21">
        <v>0</v>
      </c>
      <c r="AX92" s="26" t="s">
        <v>864</v>
      </c>
      <c r="AY92" s="26" t="s">
        <v>864</v>
      </c>
      <c r="AZ92" s="26" t="s">
        <v>864</v>
      </c>
      <c r="BA92" s="26" t="s">
        <v>864</v>
      </c>
      <c r="BB92" s="26" t="s">
        <v>864</v>
      </c>
      <c r="BC92" s="26" t="s">
        <v>864</v>
      </c>
      <c r="BD92" s="26" t="s">
        <v>864</v>
      </c>
      <c r="BE92" s="26" t="s">
        <v>864</v>
      </c>
      <c r="BF92" s="26" t="s">
        <v>864</v>
      </c>
      <c r="BG92" s="26" t="s">
        <v>864</v>
      </c>
      <c r="BH92" s="26" t="s">
        <v>864</v>
      </c>
      <c r="BI92" s="26" t="s">
        <v>864</v>
      </c>
      <c r="BJ92" s="26"/>
      <c r="BK92" s="26"/>
      <c r="BL92" s="26" t="s">
        <v>864</v>
      </c>
      <c r="BM92" s="26" t="s">
        <v>864</v>
      </c>
      <c r="BN92" s="22"/>
      <c r="BO92" s="22">
        <v>44780</v>
      </c>
      <c r="BP92" s="21" t="s">
        <v>854</v>
      </c>
      <c r="BQ92" s="222">
        <f t="shared" si="254"/>
        <v>0</v>
      </c>
      <c r="BR92" s="223">
        <f t="shared" si="255"/>
        <v>44781.5</v>
      </c>
      <c r="BS92" s="224">
        <f t="shared" si="256"/>
        <v>25.714285714285715</v>
      </c>
      <c r="BT92" s="216" t="str">
        <f t="shared" si="257"/>
        <v>II TRIM</v>
      </c>
      <c r="BU92" s="214" t="str">
        <f t="shared" ca="1" si="258"/>
        <v/>
      </c>
      <c r="BV92" s="25"/>
      <c r="BW92" s="22">
        <v>44960</v>
      </c>
      <c r="BX92" s="28">
        <v>25.5</v>
      </c>
      <c r="BY92" s="28"/>
      <c r="BZ92" s="22"/>
      <c r="CA92" s="21"/>
      <c r="CB92" s="26" t="s">
        <v>864</v>
      </c>
      <c r="CC92" s="26" t="s">
        <v>864</v>
      </c>
      <c r="CD92" s="26" t="s">
        <v>878</v>
      </c>
      <c r="CE92" s="26" t="s">
        <v>864</v>
      </c>
      <c r="CF92" s="22" t="s">
        <v>1517</v>
      </c>
      <c r="CG92" s="21">
        <v>1.44</v>
      </c>
      <c r="CH92" s="21">
        <v>52.5</v>
      </c>
      <c r="CI92" s="214">
        <f t="shared" si="259"/>
        <v>25.318287037037038</v>
      </c>
      <c r="CJ92" s="225" t="e">
        <f>IF(AND(CI92&lt;10,CH92="SD"),"SIN DATO PESO PREGESTACION O I TRIM",IF(AND(OR(R92&gt;0,O92&gt;0),CI92="X"),"INGRESAR DATO DE PESO",IF(CI92="SD","INGRESAR DATO DE TALLA Y PESO",IF(AND(OR(Tabla1[[#This Row],[MOMENTO EN QUE SE REALIZA EL PESO AL INGRESO A CPN]]="PREGESTACIÓN",NZ92="Menor"),CI92&lt;18.5),"BAJO PESO",IF(AND(OR(Tabla1[[#This Row],[MOMENTO EN QUE SE REALIZA EL PESO AL INGRESO A CPN]]="PREGESTACIÓN",NZ92="Menor"),CI92&lt;25),"NORMAL",IF(AND(OR(Tabla1[[#This Row],[MOMENTO EN QUE SE REALIZA EL PESO AL INGRESO A CPN]]="PREGESTACIÓN",NZ92="Menor"),CI92&lt;30),"SOBREPESO",IF(AND(OR(Tabla1[[#This Row],[MOMENTO EN QUE SE REALIZA EL PESO AL INGRESO A CPN]]="PREGESTACIÓN",NZ92="Menor"),CI92&gt;=30,CI92&lt;50),"OBESIDAD",IF(AND(BS92&gt;0,Tabla1[[#This Row],[MOMENTO EN QUE SE REALIZA EL PESO AL INGRESO A CPN]]="GESTACIÓN"),HLOOKUP(NZ92,$OA$2:PH92,NY92),""))))))))</f>
        <v>#REF!</v>
      </c>
      <c r="CK92" s="212">
        <f t="shared" si="260"/>
        <v>44998</v>
      </c>
      <c r="CL92" s="21"/>
      <c r="CM92" s="214">
        <f t="shared" si="261"/>
        <v>0</v>
      </c>
      <c r="CN92" s="216">
        <f t="shared" si="262"/>
        <v>31</v>
      </c>
      <c r="CO92" s="216" t="e">
        <f>IF(PI92="","",IF(PI92&gt;0,HLOOKUP(PI92,$PJ$2:QQ92,NY92),""))</f>
        <v>#REF!</v>
      </c>
      <c r="CP92" s="21"/>
      <c r="CQ92" s="216" t="e">
        <f>IF(QR92="Menor","NO APLICA-MENOR 13 SEM",IF(AND(CC92="SI",CN92&gt;23),"NO APLICA- GEMELAR",IF(QR92="","",IF(QR92&gt;0,HLOOKUP(QR92,$QS$2:RU92,NY92),""))))</f>
        <v>#REF!</v>
      </c>
      <c r="CR92" s="21"/>
      <c r="CS92" s="21"/>
      <c r="CT92" s="217" t="str">
        <f>IF(R92="","",IF(AND(BS92&gt;1,BS92&lt;12,Tabla1[[#This Row],[T.A. SISTOLICA - ANTES DE SEMANA 12]]="",Tabla1[[#This Row],[T.A. DIASTOLICA - ANTES DE SEMANA 12]]=""),"REGISTRE DATO TA ANTES SEMANA 12",IF(AND(BS92&gt;11,BS92&lt;43,Tabla1[[#This Row],[T.A. SISTOLICA - ANTES DE SEMANA 12]]="",Tabla1[[#This Row],[T.A. DIASTOLICA - ANTES DE SEMANA 12]]=""),"NO APLICA REGISTRO TA-INGRESO TARDIO",IF(AND(OR(O92&gt;0,R92&gt;0),OR(CR92&gt;=140,CS92&gt;=90)),"DEFINIR ESTADIO HTA",IF(AND(OR(O92&gt;0,R92&gt;0),AND(CR92&gt;120,CR92&lt;=139)),"PRE HTA SEGUIMIENTO",IF(AND(OR(O92&gt;0,R92&gt;0),AND(CS92&gt;80,CS92&lt;=89)),"PRE HTA SEGUIMIENTO",IF(AND(OR(O92&gt;0,R92&gt;0),AND(CR92&gt;=80,CR92&lt;=120)),"APARENTEMENTE NORMAL",IF(AND(OR(O92&gt;0,R92&gt;0),AND(CS92&gt;=50,CS92&lt;=80)),"APARENTEMENTE NORMAL",IF(AND(OR(O92&gt;0,R92&gt;0),AND(CR92&gt;1,CR92&lt;=70),AND(CS92&gt;1,CS92&lt;=40)),"HIPOTENSIÓN","")))))))))</f>
        <v>NO APLICA REGISTRO TA-INGRESO TARDIO</v>
      </c>
      <c r="CU92" s="21">
        <v>100</v>
      </c>
      <c r="CV92" s="21">
        <v>60</v>
      </c>
      <c r="CW92" s="217" t="str">
        <f ca="1">IF(R92="","",IF(AND(CN92&gt;19,CN92&lt;27,Tabla1[[#This Row],[T.A. SISTOLICA (Entre semana 20 y 26)]]="",Tabla1[[#This Row],[T.A. DIATOLICA (Entre semana 20 y 26)]]=""),"ACUDE A CONTROL SEM 20 A 26 REGISTRE TA AHORA",IF(AND(BS92&gt;1,BS92&lt;27,BU92&gt;19,Tabla1[[#This Row],[T.A. SISTOLICA (Entre semana 20 y 26)]]="",Tabla1[[#This Row],[T.A. DIATOLICA (Entre semana 20 y 26)]]=""),"COMPLETE REGISTRO TA CONTROL SEM 20 A26 ",IF(AND(BS92&gt;26,BS92&lt;43,Tabla1[[#This Row],[T.A. SISTOLICA (Entre semana 20 y 26)]]="",Tabla1[[#This Row],[T.A. DIATOLICA (Entre semana 20 y 26)]]=""),"NO APLICA REGISTRO TA-INGRESO TARDIO",IF(AND(OR(O92&gt;0,R92&gt;0),OR(CU92&gt;=140,CV92&gt;=90)),"ALTO RIESGO PREECLAMPSIA,DEFINIR ESTADIO HTA",IF(AND(OR(O92&gt;0,R92&gt;0),AND(CU92&gt;120,CU92&lt;=139)),"PRE HTA SEGUIMIENTO,RIESGO HIPERTENSION INDUCIDA POR EL EMBARAZO",IF(AND(OR(O92&gt;0,R92&gt;0),AND(CV92&gt;80,CV92&lt;=89)),"PRE HTA SEGUIMIENTO, RIESGO HIPERTENSION INDUCIDA POR EL EMBARAZO",IF(AND(OR(O92&lt;&gt;"",R92&lt;&gt;""),CS92&lt;&gt;"",CV92&lt;&gt;"",CS92&lt;=CV92),"VIGILAR CIFRAS PRESION ARTERIAL",IF(AND(OR(O92&gt;0,R92&gt;0),AND(CU92&gt;120,CU92&lt;=139)),"PRE HTA SEGUIMIENTO",IF(AND(OR(O92&gt;0,R92&gt;0),AND(CU92&gt;1,CU92&lt;=70),AND(CV92&gt;1,CV92&lt;=40)),"HIPOTENSIÓN",IF(AND(OR(O92&lt;&gt;"",R92&lt;&gt;""),CS92&lt;&gt;"",CV92&lt;&gt;"",CS92&gt;CV92),"APARENTEMENTE NORMAL",IF(AND(OR(O92&gt;0,R92&gt;0),AND(CU92&gt;=80,CU92&lt;=120)),"APARENTEMENTE NORMAL",IF(AND(OR(O92&gt;0,R92&gt;0),AND(CV92&gt;=50,CV92&lt;=80)),"APARENTEMENTE NORMAL","")))))))))))))</f>
        <v>APARENTEMENTE NORMAL</v>
      </c>
      <c r="CX92" s="21"/>
      <c r="CY92" s="21"/>
      <c r="CZ92" s="216" t="str">
        <f t="shared" si="263"/>
        <v/>
      </c>
      <c r="DA92" s="21"/>
      <c r="DB92" s="21"/>
      <c r="DC92" s="217" t="str">
        <f t="shared" si="264"/>
        <v>REGISTRE DATO PRESIÓN ARTERIAL MENSUAL</v>
      </c>
      <c r="DD92" s="22">
        <v>44960</v>
      </c>
      <c r="DE92" s="22">
        <v>44960</v>
      </c>
      <c r="DF92" s="22">
        <v>44998</v>
      </c>
      <c r="DG92" s="22"/>
      <c r="DH92" s="22"/>
      <c r="DI92" s="22"/>
      <c r="DJ92" s="22"/>
      <c r="DK92" s="22"/>
      <c r="DL92" s="22"/>
      <c r="DM92" s="22"/>
      <c r="DN92" s="22"/>
      <c r="DO92" s="22"/>
      <c r="DP92" s="22"/>
      <c r="DQ92" s="22"/>
      <c r="DR92" s="28"/>
      <c r="DS92" s="22"/>
      <c r="DT92" s="22"/>
      <c r="DU92" s="216" t="str">
        <f t="shared" ca="1" si="439"/>
        <v>SALE SIN PLAN DE PARTO</v>
      </c>
      <c r="DV92" s="226" t="str">
        <f t="shared" si="440"/>
        <v>SALIO PROGRAMA</v>
      </c>
      <c r="DW92"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92" s="216" t="str">
        <f t="shared" ca="1" si="266"/>
        <v/>
      </c>
      <c r="DY92" s="212">
        <f>IF(R92="","",IF(R92&gt;0,MAX(Tabla1[[#This Row],[FECHA C2]:[FECHA C13]],Tabla1[[#This Row],[FECHA CONSULTA PRIMERA VEZ PROGRAMA CPN ]])))</f>
        <v>44998</v>
      </c>
      <c r="DZ92" s="216">
        <f t="shared" si="267"/>
        <v>31</v>
      </c>
      <c r="EA92" s="222">
        <f>IF(R92&gt;0,SUM(COUNTA(DF92:DQ92)+COUNTA(Tabla1[[#This Row],[FECHA CONSULTA PRIMERA VEZ PROGRAMA CPN ]])),"")</f>
        <v>2</v>
      </c>
      <c r="EB92" s="222" t="str">
        <f t="shared" si="268"/>
        <v>NO</v>
      </c>
      <c r="EC92" s="214">
        <f t="shared" si="269"/>
        <v>5</v>
      </c>
      <c r="ED92" s="227">
        <f t="shared" si="270"/>
        <v>0.4</v>
      </c>
      <c r="EE92" s="22">
        <v>44960</v>
      </c>
      <c r="EF92" s="22">
        <v>44960</v>
      </c>
      <c r="EG92" s="22">
        <v>44960</v>
      </c>
      <c r="EH92" s="22"/>
      <c r="EI92" s="22">
        <v>44960</v>
      </c>
      <c r="EJ92" s="22"/>
      <c r="EK92" s="344">
        <v>44992</v>
      </c>
      <c r="EL92" s="21"/>
      <c r="EM92" s="21"/>
      <c r="EN92" s="22"/>
      <c r="EO92" s="222" t="str">
        <f t="shared" si="271"/>
        <v>TOMAR EXAMEN</v>
      </c>
      <c r="EP92" s="214" t="str">
        <f t="shared" si="272"/>
        <v/>
      </c>
      <c r="EQ92" s="216" t="str">
        <f t="shared" si="273"/>
        <v>POR DEFINIR</v>
      </c>
      <c r="ER92" s="24"/>
      <c r="ES92" s="22"/>
      <c r="ET92" s="29" t="str">
        <f t="shared" ca="1" si="441"/>
        <v>SALE SIN TAMIZAJE HEMOGLOBINA SEM 28</v>
      </c>
      <c r="EU92" s="25" t="str">
        <f t="shared" si="275"/>
        <v/>
      </c>
      <c r="EV92" s="24"/>
      <c r="EW92" s="24"/>
      <c r="EX92" s="22"/>
      <c r="EY92" s="29" t="str">
        <f t="shared" si="248"/>
        <v>TOMAR EXAMEN</v>
      </c>
      <c r="EZ92" s="25" t="str">
        <f t="shared" ca="1" si="249"/>
        <v/>
      </c>
      <c r="FA92" s="21"/>
      <c r="FB92" s="22"/>
      <c r="FC92" s="29" t="str">
        <f t="shared" si="276"/>
        <v>PIERDE TOMA TAMIZAJE- INGRESO TARDIO</v>
      </c>
      <c r="FD92" s="29"/>
      <c r="FE92" s="29"/>
      <c r="FF92" s="29"/>
      <c r="FG92" s="21" t="str">
        <f t="shared" ca="1" si="277"/>
        <v/>
      </c>
      <c r="FH92" s="31"/>
      <c r="FI92" s="29" t="str">
        <f t="shared" si="278"/>
        <v>TOMAR EXAMEN</v>
      </c>
      <c r="FJ92" s="22"/>
      <c r="FK92" s="22"/>
      <c r="FL92" s="29" t="str">
        <f t="shared" ca="1" si="279"/>
        <v>NO APLICA-INGRESO TARDIO</v>
      </c>
      <c r="FM92" s="22"/>
      <c r="FN92" s="32"/>
      <c r="FO92" s="29" t="str">
        <f t="shared" ca="1" si="442"/>
        <v>PIERDE TOMA DE TAMIZAJE</v>
      </c>
      <c r="FP92" s="22"/>
      <c r="FQ92" s="32"/>
      <c r="FR92" s="29" t="str">
        <f t="shared" ca="1" si="443"/>
        <v>PIERDE TOMA DE TAMIZAJE</v>
      </c>
      <c r="FS92" s="22"/>
      <c r="FT92" s="32"/>
      <c r="FU92" s="29" t="str">
        <f>IF(AND(FJ92="",FM92="",FP92="",FS92=""),"",IF(OR(OR(Tabla1[[#This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92" s="28"/>
      <c r="FW92" s="22"/>
      <c r="FX92" s="29" t="str">
        <f t="shared" si="280"/>
        <v>TOMAR EXAMEN</v>
      </c>
      <c r="FY92" s="22"/>
      <c r="FZ92" s="22"/>
      <c r="GA92" s="29" t="str">
        <f t="shared" ca="1" si="250"/>
        <v>NO APLICA-INGRESO TARDIO</v>
      </c>
      <c r="GB92" s="22"/>
      <c r="GC92" s="22"/>
      <c r="GD92" s="29" t="str">
        <f t="shared" ca="1" si="444"/>
        <v>PIERDE TOMA DE TAMIZAJE</v>
      </c>
      <c r="GE92" s="22"/>
      <c r="GF92" s="22"/>
      <c r="GG92" s="29" t="str">
        <f t="shared" ca="1" si="445"/>
        <v>PIERDE TOMA DE TAMIZAJE</v>
      </c>
      <c r="GH92" s="22"/>
      <c r="GI92" s="29"/>
      <c r="GJ92" s="22"/>
      <c r="GK92" s="22"/>
      <c r="GL92" s="22"/>
      <c r="GM92" s="22"/>
      <c r="GN92" s="28"/>
      <c r="GO92" s="22"/>
      <c r="GP92" s="29" t="str">
        <f t="shared" si="283"/>
        <v>TOMAR EXAMEN</v>
      </c>
      <c r="GQ92" s="28"/>
      <c r="GR92" s="28"/>
      <c r="GS92" s="22" t="str">
        <f t="shared" si="284"/>
        <v/>
      </c>
      <c r="GT92" s="22"/>
      <c r="GU92" s="29" t="str">
        <f t="shared" si="285"/>
        <v>TOMAR EXAMEN</v>
      </c>
      <c r="GV92" s="21" t="str">
        <f t="shared" si="286"/>
        <v>POR DEFINIR</v>
      </c>
      <c r="GW92" s="28"/>
      <c r="GX92" s="30"/>
      <c r="GY92" s="21"/>
      <c r="GZ92" s="21"/>
      <c r="HA92" s="21"/>
      <c r="HB92" s="21"/>
      <c r="HC92" s="21"/>
      <c r="HD92" s="21"/>
      <c r="HE92" s="21"/>
      <c r="HF92" s="22"/>
      <c r="HG92" s="22" t="str">
        <f>IF(OR(O92&gt;0,R92&gt;0),CONCATENATE(IF(Tabla1[[#This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92" s="22" t="e">
        <f t="shared" si="287"/>
        <v>#REF!</v>
      </c>
      <c r="HI92" s="22" t="str">
        <f t="shared" si="288"/>
        <v>ALTO RIESGO</v>
      </c>
      <c r="HJ92" s="21" t="str">
        <f t="shared" ca="1" si="289"/>
        <v>**********************MULTIPARIDAD**RIESGO POR EDAD***************</v>
      </c>
      <c r="HK92" s="21" t="str">
        <f t="shared" si="290"/>
        <v>RIESGO MODERADO (2 O MAS CRITERIOS) VER MANEJO GUIA SUMINISTRO ASA Y CALCIO</v>
      </c>
      <c r="HL92" s="24" t="str">
        <f t="shared" si="291"/>
        <v>REGISTRE DATO PRESIÓN ARTERIAL MENSUAL</v>
      </c>
      <c r="HM92" s="21" t="str">
        <f t="shared" ca="1" si="292"/>
        <v/>
      </c>
      <c r="HN92" s="30" t="str">
        <f t="shared" si="446"/>
        <v>SALIO PROGRAMA</v>
      </c>
      <c r="HO92" s="21"/>
      <c r="HP92" s="21"/>
      <c r="HQ92" s="21">
        <v>44960</v>
      </c>
      <c r="HR92" s="21" t="str">
        <f>IF(R92="","",IF(Tabla1[[#This Row],[ALARMA FACTORES DE RIESGO COMPLICACIONES HIPERTENSIVAS3]]="SIN ANTECEDENTES DE RIESGO","No Aplica para suministro de ASA",IF(AND(Tabla1[[#This Row],[FECHA INICIO DE SUMINISTRO DE ASA]]&gt;0,RV92&lt;12),"Inicia ASA ANTES de Sem 12",IF(AND(RV92&gt;11,RV92&lt;17,OR(HK92="RIESGO ALTO DE COMPLICACIONES HIPERTENSIVAS VER MANEJO GUIA SUMINISTRO ASA Y CALCIO",HK92="RIESGO MODERADO (2 O MAS CRITERIOS) VER MANEJO GUIA SUMINISTRO ASA Y CALCIO")),"Inicio oportuno de ASA",IF(AND(RV92&gt;12,OR(HK92="RIESGO ALTO DE COMPLICACIONES HIPERTENSIVAS VER MANEJO GUIA SUMINISTRO ASA Y CALCIO",HK92="RIESGO MODERADO (2 O MAS CRITERIOS) VER MANEJO GUIA SUMINISTRO ASA Y CALCIO")),"Inicio no oportuno mayor a 16 semanas",IF(AND(BU92&lt;12,OR(HK92="RIESGO ALTO DE COMPLICACIONES HIPERTENSIVAS VER MANEJO GUIA SUMINISTRO ASA Y CALCIO",HK92="RIESGO MODERADO (2 O MAS CRITERIOS) VER MANEJO GUIA SUMINISTRO ASA Y CALCIO")),"Pendiente Inicio de ASA a la semana 12",IF(AND(BU92&gt;11,BU92&lt;17,OR(HK92="RIESGO ALTO DE COMPLICACIONES HIPERTENSIVAS VER MANEJO GUIA SUMINISTRO ASA Y CALCIO",HK92="RIESGO MODERADO (2 O MAS CRITERIOS) VER MANEJO GUIA SUMINISTRO ASA Y CALCIO")),"Iniciar de inmediato ASA",IF(AND(BU92&gt;16,OR(HK92="RIESGO ALTO DE COMPLICACIONES HIPERTENSIVAS VER MANEJO GUIA SUMINISTRO ASA Y CALCIO",HK92="RIESGO MODERADO (2 O MAS CRITERIOS) VER MANEJO GUIA SUMINISTRO ASA Y CALCIO")),"Pierde Oportunidad, Inicio tardío de ASA","XXXXX"))))))))</f>
        <v>Inicio no oportuno mayor a 16 semanas</v>
      </c>
      <c r="HS92" s="22">
        <v>44960</v>
      </c>
      <c r="HT92" s="22" t="s">
        <v>870</v>
      </c>
      <c r="HU92" s="22">
        <v>44960</v>
      </c>
      <c r="HV92" s="22" t="s">
        <v>870</v>
      </c>
      <c r="HW92" s="22">
        <v>44960</v>
      </c>
      <c r="HX92" s="22" t="s">
        <v>870</v>
      </c>
      <c r="HY92" s="22">
        <v>44960</v>
      </c>
      <c r="HZ92" s="28">
        <f t="shared" si="293"/>
        <v>25.714285714285715</v>
      </c>
      <c r="IA92" s="26"/>
      <c r="IB92" s="26"/>
      <c r="IC92" s="111"/>
      <c r="ID92" s="22"/>
      <c r="IE92" s="22" t="str">
        <f t="shared" ca="1" si="294"/>
        <v>SALE SIN VACUNA</v>
      </c>
      <c r="IF92" s="22"/>
      <c r="IG92" s="22">
        <f t="shared" si="295"/>
        <v>45060</v>
      </c>
      <c r="IH92" s="29">
        <f t="shared" ca="1" si="296"/>
        <v>-172</v>
      </c>
      <c r="II92" s="22" t="str">
        <f t="shared" ca="1" si="297"/>
        <v>POSIBLEMENTE NACIO</v>
      </c>
      <c r="IJ92" s="22"/>
      <c r="IK92" s="21" t="s">
        <v>898</v>
      </c>
      <c r="IL92" s="21" t="s">
        <v>1639</v>
      </c>
      <c r="IM92" s="34"/>
      <c r="IN92" s="349">
        <v>45032</v>
      </c>
      <c r="IO92" s="21" t="s">
        <v>1640</v>
      </c>
      <c r="IP92" s="29">
        <f t="shared" si="436"/>
        <v>36</v>
      </c>
      <c r="IQ92" s="110"/>
      <c r="IR92" s="21" t="s">
        <v>879</v>
      </c>
      <c r="IS92" s="21" t="s">
        <v>1641</v>
      </c>
      <c r="IT92" s="21" t="s">
        <v>1642</v>
      </c>
      <c r="IU92" s="21"/>
      <c r="IV92" s="21"/>
      <c r="IW92" s="21"/>
      <c r="IX92" s="21"/>
      <c r="IY92" s="21"/>
      <c r="IZ92" s="21"/>
      <c r="JA92" s="21"/>
      <c r="JB92" s="30">
        <v>1</v>
      </c>
      <c r="JC92" s="21" t="s">
        <v>1643</v>
      </c>
      <c r="JD92" s="36">
        <v>1750</v>
      </c>
      <c r="JE92" s="21" t="str">
        <f t="shared" si="447"/>
        <v>PREMATURO</v>
      </c>
      <c r="JF92" s="30"/>
      <c r="JG92" s="21"/>
      <c r="JH92" s="21"/>
      <c r="JI92" s="21"/>
      <c r="JJ92" s="30"/>
      <c r="JK92" s="22"/>
      <c r="JL92" s="22"/>
      <c r="JM92" s="21"/>
      <c r="JN92" s="36"/>
      <c r="JO92" s="21" t="str">
        <f t="shared" si="448"/>
        <v/>
      </c>
      <c r="JP92" s="22"/>
      <c r="JQ92" s="21"/>
      <c r="JR92" s="21"/>
      <c r="JS92" s="21"/>
      <c r="JT92" s="30"/>
      <c r="JU92" s="22"/>
      <c r="JV92" s="22"/>
      <c r="JW92" s="33"/>
      <c r="JX92" s="28" t="str">
        <f t="shared" si="449"/>
        <v>INASISTENTE</v>
      </c>
      <c r="JY92" s="33"/>
      <c r="JZ92" s="28" t="str">
        <f t="shared" si="450"/>
        <v>INASISTENTE</v>
      </c>
      <c r="KA92" s="21"/>
      <c r="KB92" s="21"/>
      <c r="KC92" s="21"/>
      <c r="KD92" s="37"/>
      <c r="KE92" s="28"/>
      <c r="KF92" s="28"/>
      <c r="KG92" s="28"/>
      <c r="KH92" s="39"/>
      <c r="KI92" s="39"/>
      <c r="KJ92" s="66"/>
      <c r="KK92" s="39"/>
      <c r="KL92" s="39"/>
      <c r="KM92" s="66"/>
      <c r="KN92" s="39"/>
      <c r="KO92" s="39"/>
      <c r="KP92" s="39"/>
      <c r="KQ92" s="39"/>
      <c r="KR92" s="39"/>
      <c r="KS92" s="39"/>
      <c r="KT92" s="39"/>
      <c r="KU92" s="38"/>
      <c r="KV92" s="38"/>
      <c r="KW92" s="38"/>
      <c r="KX92" s="38"/>
      <c r="KY92" s="38"/>
      <c r="KZ92" s="38"/>
      <c r="LA92" s="38"/>
      <c r="LB92" s="38"/>
      <c r="LC92" s="38"/>
      <c r="LD92" s="38"/>
      <c r="LE92" s="38"/>
      <c r="LF92" s="38"/>
      <c r="LG92" s="38"/>
      <c r="LH92" s="38"/>
      <c r="LI92" s="38"/>
      <c r="LJ92" s="38"/>
      <c r="LK92" s="38"/>
      <c r="LL92" s="38"/>
      <c r="LM92" s="38"/>
      <c r="LN92" s="38"/>
      <c r="LO92" s="38"/>
      <c r="LP92" s="38"/>
      <c r="LQ92" s="38"/>
      <c r="LR92" s="38"/>
      <c r="LS92" s="38"/>
      <c r="LT92" s="38"/>
      <c r="LU92" s="38"/>
      <c r="LV92" s="38"/>
      <c r="LW92" s="38"/>
      <c r="LX92" s="38"/>
      <c r="LY92" s="38"/>
      <c r="LZ92" s="38"/>
      <c r="MA92" s="38"/>
      <c r="MB92" s="38"/>
      <c r="MC92" s="38"/>
      <c r="MD92" s="38"/>
      <c r="ME92" s="38"/>
      <c r="MF92" s="38"/>
      <c r="MG92" s="38"/>
      <c r="MH92" s="43">
        <f t="shared" si="303"/>
        <v>0</v>
      </c>
      <c r="MI92" s="43" t="str">
        <f t="shared" si="304"/>
        <v/>
      </c>
      <c r="MJ92" s="43" t="str">
        <f t="shared" si="305"/>
        <v/>
      </c>
      <c r="MK92" s="43">
        <f t="shared" si="306"/>
        <v>0</v>
      </c>
      <c r="ML9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92" s="43">
        <f t="shared" si="307"/>
        <v>25.714285714285715</v>
      </c>
      <c r="MN92" s="43">
        <f t="shared" si="308"/>
        <v>2</v>
      </c>
      <c r="MO92" s="43">
        <f t="shared" si="309"/>
        <v>2023</v>
      </c>
      <c r="MP92" s="43" t="str">
        <f t="shared" si="310"/>
        <v>I TRIMESTRE AÑO</v>
      </c>
      <c r="MQ92" s="43">
        <f t="shared" si="311"/>
        <v>43.320192728865521</v>
      </c>
      <c r="MR92" s="43">
        <f t="shared" si="312"/>
        <v>2</v>
      </c>
      <c r="MS92" s="43" t="str">
        <f t="shared" si="313"/>
        <v xml:space="preserve"> DE 40 Y MAS</v>
      </c>
      <c r="MT92" s="43">
        <f t="shared" si="314"/>
        <v>0</v>
      </c>
      <c r="MU92" s="43">
        <f t="shared" si="315"/>
        <v>1</v>
      </c>
      <c r="MV92" s="43">
        <f t="shared" si="316"/>
        <v>0</v>
      </c>
      <c r="MW92" s="43">
        <f t="shared" si="317"/>
        <v>0</v>
      </c>
      <c r="MX92" s="43" t="str">
        <f t="shared" si="318"/>
        <v/>
      </c>
      <c r="MY92" s="43" t="str">
        <f t="shared" ca="1" si="451"/>
        <v/>
      </c>
      <c r="MZ92" s="43" t="str">
        <f t="shared" si="319"/>
        <v/>
      </c>
      <c r="NA92" s="43">
        <f t="shared" si="320"/>
        <v>0</v>
      </c>
      <c r="NB92" s="43" t="str">
        <f t="shared" si="321"/>
        <v/>
      </c>
      <c r="NC92" s="43" t="str">
        <f t="shared" si="322"/>
        <v/>
      </c>
      <c r="ND92" s="43">
        <f t="shared" ca="1" si="323"/>
        <v>3</v>
      </c>
      <c r="NE92" s="43">
        <f>IF(OR(O92&gt;0,R92&gt;0),SUM(COUNTIF(Tabla1[[#This Row],[AÑOS AL INICIO5 CPN]],"&gt;=40"),COUNTIF(AS92,"0"),COUNTIF(AR92,"SI"),COUNTIF(CC92,"SI"),COUNTIF(BQ92,"&gt;119"),COUNTIF(CI92,"&gt;=35")),"")</f>
        <v>2</v>
      </c>
      <c r="NF92" s="43" t="str">
        <f t="shared" si="324"/>
        <v/>
      </c>
      <c r="NG92" s="43">
        <f t="shared" si="325"/>
        <v>0</v>
      </c>
      <c r="NH92" s="43">
        <f t="shared" si="326"/>
        <v>178.5</v>
      </c>
      <c r="NI92"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CPN",P92="NO"),"Z",IF(AND(Tabla1[[#This Row],[CITA PROXIMO CONTROL]]="CITA MANUAL",Tabla1[[#This Row],[GESTANTES ACTUALES]]="ACTIVA INGRESO A CPN"),"W",IF(AND(Tabla1[[#This Row],[GESTANTES ACTUALES]]="SALIO PROGRAMA",IN92=""),"S",IF(AND(Tabla1[[#This Row],[CITA PROXIMO CONTROL]]&gt;0,IN92=""),(Tabla1[[#This Row],[CITA PROXIMO CONTROL]]-TODAY()),"SD"))))))))</f>
        <v>SD</v>
      </c>
      <c r="NJ92" s="43">
        <f>MONTH(Tabla1[[#This Row],[FECHA DE SALIDA  DEL PROGRAMA]])</f>
        <v>4</v>
      </c>
      <c r="NK92" s="43">
        <f>YEAR(Tabla1[[#This Row],[FECHA DE SALIDA  DEL PROGRAMA]])</f>
        <v>2023</v>
      </c>
      <c r="NL92" s="43" t="str">
        <f t="shared" si="327"/>
        <v>X</v>
      </c>
      <c r="NM92" s="43" t="str">
        <f>IF(AND(O92&gt;0,R92=""),"NO CPN",IF(AND(O92="",R92=""),"",IF(AND(EN92&lt;&gt;"",EX92&lt;&gt;"",FB92&lt;&gt;"",FK92&lt;&gt;"",FW92&lt;&gt;"",FZ92&lt;&gt;"",GO92&lt;&gt;"",GQ92&lt;&gt;"",GR92&lt;&gt;""),"SI","NO")))</f>
        <v>NO</v>
      </c>
      <c r="NN92" s="43" t="str">
        <f ca="1">IF(AND(O92&gt;0,R92=""),"NO CPN",IF(AND(O92="",R92=""),"",IF(AND(R92&gt;0,Tabla1[[#This Row],[SEMANAS DE GESTACION ACTUALIZADAS]]&lt;=12),"NO APLICA",IF(AND(FH92&lt;&gt;"",FN92&lt;&gt;""),"SI","NO"))))</f>
        <v>NO</v>
      </c>
      <c r="NO92" s="43" t="str">
        <f ca="1">IF(AND(O92&gt;0,R92=""),"NO CPN",IF(AND(O92="",R92=""),"",IF(AND(R92&gt;0,Tabla1[[#This Row],[SEMANAS DE GESTACION ACTUALIZADAS]]&lt;=27),"NO APLICA",IF(AND(ES92&lt;&gt;"",FQ92&lt;&gt;"",GF92&lt;&gt;""),"SI","NO"))))</f>
        <v>NO</v>
      </c>
      <c r="NP92" s="204" t="str">
        <f t="shared" si="328"/>
        <v>II TRIM</v>
      </c>
      <c r="NQ92" s="21">
        <f t="shared" si="437"/>
        <v>1</v>
      </c>
      <c r="NR92" s="21">
        <f t="shared" si="452"/>
        <v>2</v>
      </c>
      <c r="NS92" s="205">
        <f t="shared" ca="1" si="329"/>
        <v>0</v>
      </c>
      <c r="NT92" s="21">
        <f t="shared" ca="1" si="330"/>
        <v>0</v>
      </c>
      <c r="NU92" s="21" t="str">
        <f t="shared" ca="1" si="331"/>
        <v>INCOMPLETO</v>
      </c>
      <c r="NV92" s="21" t="str">
        <f t="shared" ca="1" si="332"/>
        <v>INCOMPLETO</v>
      </c>
      <c r="NW92" s="206" t="str">
        <f>IF(AND(O92="",R92=""),"",IF(OR(AND(Tabla1[[#This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92" s="207" t="str">
        <f t="shared" ca="1" si="333"/>
        <v>SIN VACUNAR</v>
      </c>
      <c r="NY92" s="43">
        <f>ROW(Tabla1[[#This Row],['# DE TAMIZAJES SIFILIS TOMADOS ]])</f>
        <v>92</v>
      </c>
      <c r="NZ92" s="43">
        <f t="shared" si="334"/>
        <v>25</v>
      </c>
      <c r="OA92" s="43" t="str">
        <f t="shared" si="335"/>
        <v/>
      </c>
      <c r="OB92" s="43" t="str">
        <f t="shared" si="336"/>
        <v/>
      </c>
      <c r="OC92" s="43" t="str">
        <f t="shared" si="337"/>
        <v/>
      </c>
      <c r="OD92" s="43" t="str">
        <f t="shared" si="338"/>
        <v/>
      </c>
      <c r="OE92" s="43" t="str">
        <f t="shared" si="339"/>
        <v/>
      </c>
      <c r="OF92" s="43" t="str">
        <f t="shared" si="340"/>
        <v/>
      </c>
      <c r="OG92" s="43" t="str">
        <f t="shared" si="341"/>
        <v/>
      </c>
      <c r="OH92" s="43" t="str">
        <f t="shared" si="342"/>
        <v/>
      </c>
      <c r="OI92" s="43" t="str">
        <f t="shared" si="343"/>
        <v/>
      </c>
      <c r="OJ92" s="43" t="str">
        <f t="shared" si="344"/>
        <v/>
      </c>
      <c r="OK92" s="43" t="str">
        <f t="shared" si="345"/>
        <v/>
      </c>
      <c r="OL92" s="43" t="str">
        <f t="shared" si="346"/>
        <v/>
      </c>
      <c r="OM92" s="43" t="str">
        <f t="shared" si="347"/>
        <v/>
      </c>
      <c r="ON92" s="43" t="str">
        <f t="shared" si="348"/>
        <v/>
      </c>
      <c r="OO92" s="43" t="str">
        <f t="shared" si="349"/>
        <v/>
      </c>
      <c r="OP92" s="43" t="str">
        <f t="shared" si="350"/>
        <v/>
      </c>
      <c r="OQ92" s="43" t="str">
        <f t="shared" si="351"/>
        <v>NORMAL</v>
      </c>
      <c r="OR92" s="43" t="str">
        <f t="shared" si="352"/>
        <v/>
      </c>
      <c r="OS92" s="43" t="str">
        <f t="shared" si="353"/>
        <v/>
      </c>
      <c r="OT92" s="43" t="str">
        <f t="shared" si="354"/>
        <v/>
      </c>
      <c r="OU92" s="43" t="str">
        <f t="shared" si="355"/>
        <v/>
      </c>
      <c r="OV92" s="110" t="str">
        <f t="shared" si="356"/>
        <v/>
      </c>
      <c r="OW92" s="43" t="str">
        <f t="shared" si="357"/>
        <v/>
      </c>
      <c r="OX92" s="43" t="str">
        <f t="shared" si="358"/>
        <v/>
      </c>
      <c r="OY92" s="43" t="str">
        <f t="shared" si="359"/>
        <v/>
      </c>
      <c r="OZ92" s="43" t="str">
        <f t="shared" si="360"/>
        <v/>
      </c>
      <c r="PA92" s="43" t="str">
        <f t="shared" si="361"/>
        <v/>
      </c>
      <c r="PB92" s="43" t="str">
        <f t="shared" si="362"/>
        <v/>
      </c>
      <c r="PC92" s="43" t="str">
        <f t="shared" si="363"/>
        <v/>
      </c>
      <c r="PD92" s="43" t="str">
        <f t="shared" si="364"/>
        <v/>
      </c>
      <c r="PE92" s="43" t="str">
        <f t="shared" si="365"/>
        <v/>
      </c>
      <c r="PF92" s="43" t="str">
        <f t="shared" si="366"/>
        <v/>
      </c>
      <c r="PG92" s="43" t="str">
        <f t="shared" si="367"/>
        <v/>
      </c>
      <c r="PH92" s="43" t="str">
        <f t="shared" si="368"/>
        <v/>
      </c>
      <c r="PI92" s="43">
        <f t="shared" si="369"/>
        <v>31</v>
      </c>
      <c r="PJ92" s="43" t="str">
        <f t="shared" si="370"/>
        <v/>
      </c>
      <c r="PK92" s="43" t="str">
        <f t="shared" si="371"/>
        <v/>
      </c>
      <c r="PL92" s="43" t="str">
        <f t="shared" si="372"/>
        <v/>
      </c>
      <c r="PM92" s="43" t="str">
        <f t="shared" si="373"/>
        <v/>
      </c>
      <c r="PN92" s="43" t="str">
        <f t="shared" si="374"/>
        <v/>
      </c>
      <c r="PO92" s="43" t="str">
        <f t="shared" si="375"/>
        <v/>
      </c>
      <c r="PP92" s="43" t="str">
        <f t="shared" si="376"/>
        <v/>
      </c>
      <c r="PQ92" s="43" t="str">
        <f t="shared" si="377"/>
        <v/>
      </c>
      <c r="PR92" s="43" t="str">
        <f t="shared" si="378"/>
        <v/>
      </c>
      <c r="PS92" s="43" t="str">
        <f t="shared" si="379"/>
        <v/>
      </c>
      <c r="PT92" s="43" t="str">
        <f t="shared" si="380"/>
        <v/>
      </c>
      <c r="PU92" s="43" t="str">
        <f t="shared" si="381"/>
        <v/>
      </c>
      <c r="PV92" s="43" t="str">
        <f t="shared" si="382"/>
        <v/>
      </c>
      <c r="PW92" s="43" t="str">
        <f t="shared" si="383"/>
        <v/>
      </c>
      <c r="PX92" s="43" t="str">
        <f t="shared" si="384"/>
        <v/>
      </c>
      <c r="PY92" s="43" t="str">
        <f t="shared" si="385"/>
        <v/>
      </c>
      <c r="PZ92" s="43" t="str">
        <f t="shared" si="386"/>
        <v/>
      </c>
      <c r="QA92" s="43" t="str">
        <f t="shared" si="387"/>
        <v/>
      </c>
      <c r="QB92" s="43" t="str">
        <f t="shared" si="388"/>
        <v/>
      </c>
      <c r="QC92" s="43" t="str">
        <f t="shared" si="389"/>
        <v/>
      </c>
      <c r="QD92" s="43" t="str">
        <f t="shared" si="390"/>
        <v/>
      </c>
      <c r="QE92" s="43" t="str">
        <f t="shared" si="391"/>
        <v/>
      </c>
      <c r="QF92" s="43" t="str">
        <f t="shared" si="392"/>
        <v/>
      </c>
      <c r="QG92" s="43" t="str">
        <f t="shared" si="393"/>
        <v/>
      </c>
      <c r="QH92" s="43" t="str">
        <f t="shared" si="394"/>
        <v/>
      </c>
      <c r="QI92" s="43" t="str">
        <f t="shared" si="395"/>
        <v/>
      </c>
      <c r="QJ92" s="43" t="str">
        <f t="shared" si="396"/>
        <v/>
      </c>
      <c r="QK92" s="43" t="str">
        <f t="shared" si="397"/>
        <v/>
      </c>
      <c r="QL92" s="43" t="str">
        <f t="shared" si="398"/>
        <v/>
      </c>
      <c r="QM92" s="43" t="str">
        <f t="shared" si="399"/>
        <v/>
      </c>
      <c r="QN92" s="43" t="str">
        <f t="shared" si="400"/>
        <v/>
      </c>
      <c r="QO92" s="43" t="str">
        <f t="shared" si="401"/>
        <v/>
      </c>
      <c r="QP92" s="43" t="str">
        <f t="shared" si="402"/>
        <v/>
      </c>
      <c r="QQ92" s="43" t="str">
        <f t="shared" si="403"/>
        <v/>
      </c>
      <c r="QR92" s="43">
        <f t="shared" si="433"/>
        <v>31</v>
      </c>
      <c r="QS92" s="43"/>
      <c r="QT92" s="21" t="str">
        <f t="shared" si="404"/>
        <v/>
      </c>
      <c r="QU92" s="21" t="str">
        <f t="shared" si="405"/>
        <v/>
      </c>
      <c r="QV92" s="21" t="str">
        <f t="shared" si="406"/>
        <v/>
      </c>
      <c r="QW92" s="21" t="str">
        <f t="shared" si="407"/>
        <v/>
      </c>
      <c r="QX92" s="21" t="str">
        <f t="shared" si="408"/>
        <v/>
      </c>
      <c r="QY92" s="21" t="str">
        <f t="shared" si="409"/>
        <v/>
      </c>
      <c r="QZ92" s="21" t="str">
        <f t="shared" si="410"/>
        <v/>
      </c>
      <c r="RA92" s="21" t="str">
        <f t="shared" si="411"/>
        <v/>
      </c>
      <c r="RB92" s="21" t="str">
        <f t="shared" si="412"/>
        <v/>
      </c>
      <c r="RC92" s="21" t="str">
        <f t="shared" si="413"/>
        <v/>
      </c>
      <c r="RD92" s="21" t="str">
        <f t="shared" si="414"/>
        <v/>
      </c>
      <c r="RE92" s="21" t="str">
        <f t="shared" si="415"/>
        <v/>
      </c>
      <c r="RF92" s="21" t="str">
        <f t="shared" si="416"/>
        <v/>
      </c>
      <c r="RG92" s="21" t="str">
        <f t="shared" si="417"/>
        <v/>
      </c>
      <c r="RH92" s="21" t="str">
        <f t="shared" si="418"/>
        <v/>
      </c>
      <c r="RI92" s="21" t="str">
        <f t="shared" si="419"/>
        <v/>
      </c>
      <c r="RJ92" s="21" t="str">
        <f t="shared" si="420"/>
        <v/>
      </c>
      <c r="RK92" s="21" t="str">
        <f t="shared" si="421"/>
        <v/>
      </c>
      <c r="RL92" s="21" t="str">
        <f t="shared" si="422"/>
        <v/>
      </c>
      <c r="RM92" s="21" t="str">
        <f t="shared" si="423"/>
        <v/>
      </c>
      <c r="RN92" s="21" t="str">
        <f t="shared" si="424"/>
        <v/>
      </c>
      <c r="RO92" s="21" t="str">
        <f t="shared" si="425"/>
        <v/>
      </c>
      <c r="RP92" s="21" t="str">
        <f t="shared" si="426"/>
        <v/>
      </c>
      <c r="RQ92" s="21" t="str">
        <f t="shared" si="427"/>
        <v/>
      </c>
      <c r="RR92" s="21" t="str">
        <f t="shared" si="428"/>
        <v/>
      </c>
      <c r="RS92" s="21" t="str">
        <f t="shared" si="429"/>
        <v/>
      </c>
      <c r="RT92" s="21" t="str">
        <f t="shared" si="430"/>
        <v/>
      </c>
      <c r="RU92" s="21" t="str">
        <f t="shared" si="431"/>
        <v/>
      </c>
      <c r="RV92" s="21">
        <f t="shared" si="432"/>
        <v>25.714285714285715</v>
      </c>
      <c r="RW92" s="284">
        <f>IF(OR(Tabla1[[#This Row],[FUM FORMULA CONFIABLE]]="",Tabla1[[#This Row],[FUM FORMULA CONFIABLE]]="SD"),"",IF(Tabla1[[#This Row],[FUM FORMULA CONFIABLE]]="CORREGIDA",Tabla1[[#This Row],[FUM X ECO 1]],Tabla1[[#This Row],[FUM x AMENORREA]]))</f>
        <v>44780</v>
      </c>
      <c r="RX92" s="21">
        <f>IF(AND(Tabla1[[#This Row],[FUM X ECO 1]]="",Tabla1[[#This Row],[FUM x AMENORREA]]=""),"",IF(AND(Tabla1[[#This Row],[FUM X ECO 1]]="",Tabla1[[#This Row],[FUM x AMENORREA]]&lt;&gt;""),"X",SUM(Tabla1[[#This Row],[FUM X ECO 1]]-Tabla1[[#This Row],[FUM x AMENORREA]])))</f>
        <v>1.5</v>
      </c>
      <c r="RY92" s="21">
        <f t="shared" si="434"/>
        <v>0</v>
      </c>
    </row>
    <row r="93" spans="1:493" ht="45" customHeight="1" x14ac:dyDescent="0.25">
      <c r="A93" s="109"/>
      <c r="B93" s="43"/>
      <c r="C93" s="43" t="s">
        <v>845</v>
      </c>
      <c r="D93" s="124"/>
      <c r="E93" s="43" t="s">
        <v>896</v>
      </c>
      <c r="F93" s="43" t="s">
        <v>943</v>
      </c>
      <c r="G93" s="43" t="s">
        <v>1284</v>
      </c>
      <c r="H93" s="43" t="s">
        <v>1285</v>
      </c>
      <c r="I93" s="109" t="s">
        <v>851</v>
      </c>
      <c r="J93" s="110">
        <v>1002848394</v>
      </c>
      <c r="K93" s="43" t="s">
        <v>852</v>
      </c>
      <c r="L93" s="175" t="s">
        <v>1509</v>
      </c>
      <c r="M93" s="22">
        <v>36598</v>
      </c>
      <c r="N93" s="213">
        <f t="shared" ca="1" si="252"/>
        <v>23.654794520547945</v>
      </c>
      <c r="O93" s="22">
        <v>44960</v>
      </c>
      <c r="P93" s="214" t="str">
        <f t="shared" si="438"/>
        <v>SI</v>
      </c>
      <c r="Q93" s="26" t="s">
        <v>855</v>
      </c>
      <c r="R93" s="22">
        <v>44960</v>
      </c>
      <c r="S93" s="21" t="s">
        <v>856</v>
      </c>
      <c r="T93" s="24" t="s">
        <v>690</v>
      </c>
      <c r="U93" s="21" t="s">
        <v>857</v>
      </c>
      <c r="V93" s="21" t="s">
        <v>858</v>
      </c>
      <c r="W93" s="21" t="s">
        <v>876</v>
      </c>
      <c r="X93" s="21" t="s">
        <v>876</v>
      </c>
      <c r="Y93" s="21" t="s">
        <v>859</v>
      </c>
      <c r="Z93" s="21" t="s">
        <v>894</v>
      </c>
      <c r="AA93" s="21" t="s">
        <v>860</v>
      </c>
      <c r="AB93" s="27" t="s">
        <v>861</v>
      </c>
      <c r="AC93" s="26" t="s">
        <v>877</v>
      </c>
      <c r="AD93" s="38" t="s">
        <v>863</v>
      </c>
      <c r="AE93" s="26" t="s">
        <v>854</v>
      </c>
      <c r="AF93" s="26" t="s">
        <v>854</v>
      </c>
      <c r="AG93" s="23" t="s">
        <v>864</v>
      </c>
      <c r="AH93" s="23" t="s">
        <v>864</v>
      </c>
      <c r="AI93" s="24" t="s">
        <v>863</v>
      </c>
      <c r="AJ93" s="23" t="s">
        <v>864</v>
      </c>
      <c r="AK93" s="220" t="str">
        <f>IF(AND(AD93="",AE93="",AF93="",AG93="",AH93="",AI93="",AJ93=""),"",IF(OR(Tabla1[[#This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EVALUACIÓN",IF(AND(O93="",R93=""),"",IF(AND(OR(O93&gt;0,R93&gt;0),NG93&gt;=0,NG93&lt;2),"SIN RIESGO",IF(AND(OR(O93&gt;0,R93&gt;0),NG93&gt;=2),"CON RIESGO","ASD")))))</f>
        <v>SIN RIESGO</v>
      </c>
      <c r="AL93" s="23" t="s">
        <v>864</v>
      </c>
      <c r="AM93" s="26" t="s">
        <v>864</v>
      </c>
      <c r="AN93" s="26"/>
      <c r="AO93" s="26" t="s">
        <v>864</v>
      </c>
      <c r="AP93" s="26" t="s">
        <v>864</v>
      </c>
      <c r="AQ93" s="26"/>
      <c r="AR93" s="26"/>
      <c r="AS93" s="21"/>
      <c r="AT93" s="21"/>
      <c r="AU93" s="21"/>
      <c r="AV93" s="26"/>
      <c r="AW93" s="21"/>
      <c r="AX93" s="26" t="s">
        <v>864</v>
      </c>
      <c r="AY93" s="26" t="s">
        <v>864</v>
      </c>
      <c r="AZ93" s="26" t="s">
        <v>864</v>
      </c>
      <c r="BA93" s="26" t="s">
        <v>864</v>
      </c>
      <c r="BB93" s="26" t="s">
        <v>864</v>
      </c>
      <c r="BC93" s="26" t="s">
        <v>864</v>
      </c>
      <c r="BD93" s="26" t="s">
        <v>864</v>
      </c>
      <c r="BE93" s="26" t="s">
        <v>864</v>
      </c>
      <c r="BF93" s="26" t="s">
        <v>864</v>
      </c>
      <c r="BG93" s="26" t="s">
        <v>864</v>
      </c>
      <c r="BH93" s="26" t="s">
        <v>864</v>
      </c>
      <c r="BI93" s="26" t="s">
        <v>864</v>
      </c>
      <c r="BJ93" s="26"/>
      <c r="BK93" s="26"/>
      <c r="BL93" s="26" t="s">
        <v>864</v>
      </c>
      <c r="BM93" s="26" t="s">
        <v>864</v>
      </c>
      <c r="BN93" s="22"/>
      <c r="BO93" s="22">
        <v>44803</v>
      </c>
      <c r="BP93" s="21" t="s">
        <v>854</v>
      </c>
      <c r="BQ93" s="222">
        <f t="shared" si="254"/>
        <v>0</v>
      </c>
      <c r="BR93" s="223">
        <f t="shared" si="255"/>
        <v>44803.9</v>
      </c>
      <c r="BS93" s="224">
        <f t="shared" si="256"/>
        <v>22.428571428571427</v>
      </c>
      <c r="BT93" s="216" t="str">
        <f t="shared" si="257"/>
        <v>II TRIM</v>
      </c>
      <c r="BU93" s="214" t="str">
        <f t="shared" ca="1" si="258"/>
        <v/>
      </c>
      <c r="BV93" s="25"/>
      <c r="BW93" s="22">
        <v>44960</v>
      </c>
      <c r="BX93" s="28">
        <v>22.3</v>
      </c>
      <c r="BY93" s="28"/>
      <c r="BZ93" s="22"/>
      <c r="CA93" s="21"/>
      <c r="CB93" s="26" t="s">
        <v>864</v>
      </c>
      <c r="CC93" s="26" t="s">
        <v>864</v>
      </c>
      <c r="CD93" s="26" t="s">
        <v>878</v>
      </c>
      <c r="CE93" s="26" t="s">
        <v>864</v>
      </c>
      <c r="CF93" s="22" t="s">
        <v>1517</v>
      </c>
      <c r="CG93" s="21">
        <v>1.43</v>
      </c>
      <c r="CH93" s="21">
        <v>50</v>
      </c>
      <c r="CI93" s="214">
        <f t="shared" si="259"/>
        <v>24.451073402122358</v>
      </c>
      <c r="CJ93" s="225" t="e">
        <f>IF(AND(CI93&lt;10,CH93="SD"),"SIN DATO PESO PREGESTACION O I TRIM",IF(AND(OR(R93&gt;0,O93&gt;0),CI93="X"),"INGRESAR DATO DE PESO",IF(CI93="SD","INGRESAR DATO DE TALLA Y PESO",IF(AND(OR(Tabla1[[#This Row],[MOMENTO EN QUE SE REALIZA EL PESO AL INGRESO A CPN]]="PREGESTACIÓN",NZ93="Menor"),CI93&lt;18.5),"BAJO PESO",IF(AND(OR(Tabla1[[#This Row],[MOMENTO EN QUE SE REALIZA EL PESO AL INGRESO A CPN]]="PREGESTACIÓN",NZ93="Menor"),CI93&lt;25),"NORMAL",IF(AND(OR(Tabla1[[#This Row],[MOMENTO EN QUE SE REALIZA EL PESO AL INGRESO A CPN]]="PREGESTACIÓN",NZ93="Menor"),CI93&lt;30),"SOBREPESO",IF(AND(OR(Tabla1[[#This Row],[MOMENTO EN QUE SE REALIZA EL PESO AL INGRESO A CPN]]="PREGESTACIÓN",NZ93="Menor"),CI93&gt;=30,CI93&lt;50),"OBESIDAD",IF(AND(BS93&gt;0,Tabla1[[#This Row],[MOMENTO EN QUE SE REALIZA EL PESO AL INGRESO A CPN]]="GESTACIÓN"),HLOOKUP(NZ93,$OA$2:PH93,NY93),""))))))))</f>
        <v>#REF!</v>
      </c>
      <c r="CK93" s="212">
        <f t="shared" si="260"/>
        <v>44999</v>
      </c>
      <c r="CL93" s="21"/>
      <c r="CM93" s="214">
        <f t="shared" si="261"/>
        <v>0</v>
      </c>
      <c r="CN93" s="216">
        <f t="shared" si="262"/>
        <v>28</v>
      </c>
      <c r="CO93" s="216" t="e">
        <f>IF(PI93="","",IF(PI93&gt;0,HLOOKUP(PI93,$PJ$2:QQ93,NY93),""))</f>
        <v>#REF!</v>
      </c>
      <c r="CP93" s="21"/>
      <c r="CQ93" s="216" t="e">
        <f>IF(QR93="Menor","NO APLICA-MENOR 13 SEM",IF(AND(CC93="SI",CN93&gt;23),"NO APLICA- GEMELAR",IF(QR93="","",IF(QR93&gt;0,HLOOKUP(QR93,$QS$2:RU93,NY93),""))))</f>
        <v>#REF!</v>
      </c>
      <c r="CR93" s="21"/>
      <c r="CS93" s="21"/>
      <c r="CT93" s="217" t="str">
        <f>IF(R93="","",IF(AND(BS93&gt;1,BS93&lt;12,Tabla1[[#This Row],[T.A. SISTOLICA - ANTES DE SEMANA 12]]="",Tabla1[[#This Row],[T.A. DIASTOLICA - ANTES DE SEMANA 12]]=""),"REGISTRE DATO TA ANTES SEMANA 12",IF(AND(BS93&gt;11,BS93&lt;43,Tabla1[[#This Row],[T.A. SISTOLICA - ANTES DE SEMANA 12]]="",Tabla1[[#This Row],[T.A. DIASTOLICA - ANTES DE SEMANA 12]]=""),"NO APLICA REGISTRO TA-INGRESO TARDIO",IF(AND(OR(O93&gt;0,R93&gt;0),OR(CR93&gt;=140,CS93&gt;=90)),"DEFINIR ESTADIO HTA",IF(AND(OR(O93&gt;0,R93&gt;0),AND(CR93&gt;120,CR93&lt;=139)),"PRE HTA SEGUIMIENTO",IF(AND(OR(O93&gt;0,R93&gt;0),AND(CS93&gt;80,CS93&lt;=89)),"PRE HTA SEGUIMIENTO",IF(AND(OR(O93&gt;0,R93&gt;0),AND(CR93&gt;=80,CR93&lt;=120)),"APARENTEMENTE NORMAL",IF(AND(OR(O93&gt;0,R93&gt;0),AND(CS93&gt;=50,CS93&lt;=80)),"APARENTEMENTE NORMAL",IF(AND(OR(O93&gt;0,R93&gt;0),AND(CR93&gt;1,CR93&lt;=70),AND(CS93&gt;1,CS93&lt;=40)),"HIPOTENSIÓN","")))))))))</f>
        <v>NO APLICA REGISTRO TA-INGRESO TARDIO</v>
      </c>
      <c r="CU93" s="21">
        <v>100</v>
      </c>
      <c r="CV93" s="21">
        <v>60</v>
      </c>
      <c r="CW93" s="217" t="str">
        <f ca="1">IF(R93="","",IF(AND(CN93&gt;19,CN93&lt;27,Tabla1[[#This Row],[T.A. SISTOLICA (Entre semana 20 y 26)]]="",Tabla1[[#This Row],[T.A. DIATOLICA (Entre semana 20 y 26)]]=""),"ACUDE A CONTROL SEM 20 A 26 REGISTRE TA AHORA",IF(AND(BS93&gt;1,BS93&lt;27,BU93&gt;19,Tabla1[[#This Row],[T.A. SISTOLICA (Entre semana 20 y 26)]]="",Tabla1[[#This Row],[T.A. DIATOLICA (Entre semana 20 y 26)]]=""),"COMPLETE REGISTRO TA CONTROL SEM 20 A26 ",IF(AND(BS93&gt;26,BS93&lt;43,Tabla1[[#This Row],[T.A. SISTOLICA (Entre semana 20 y 26)]]="",Tabla1[[#This Row],[T.A. DIATOLICA (Entre semana 20 y 26)]]=""),"NO APLICA REGISTRO TA-INGRESO TARDIO",IF(AND(OR(O93&gt;0,R93&gt;0),OR(CU93&gt;=140,CV93&gt;=90)),"ALTO RIESGO PREECLAMPSIA,DEFINIR ESTADIO HTA",IF(AND(OR(O93&gt;0,R93&gt;0),AND(CU93&gt;120,CU93&lt;=139)),"PRE HTA SEGUIMIENTO,RIESGO HIPERTENSION INDUCIDA POR EL EMBARAZO",IF(AND(OR(O93&gt;0,R93&gt;0),AND(CV93&gt;80,CV93&lt;=89)),"PRE HTA SEGUIMIENTO, RIESGO HIPERTENSION INDUCIDA POR EL EMBARAZO",IF(AND(OR(O93&lt;&gt;"",R93&lt;&gt;""),CS93&lt;&gt;"",CV93&lt;&gt;"",CS93&lt;=CV93),"VIGILAR CIFRAS PRESION ARTERIAL",IF(AND(OR(O93&gt;0,R93&gt;0),AND(CU93&gt;120,CU93&lt;=139)),"PRE HTA SEGUIMIENTO",IF(AND(OR(O93&gt;0,R93&gt;0),AND(CU93&gt;1,CU93&lt;=70),AND(CV93&gt;1,CV93&lt;=40)),"HIPOTENSIÓN",IF(AND(OR(O93&lt;&gt;"",R93&lt;&gt;""),CS93&lt;&gt;"",CV93&lt;&gt;"",CS93&gt;CV93),"APARENTEMENTE NORMAL",IF(AND(OR(O93&gt;0,R93&gt;0),AND(CU93&gt;=80,CU93&lt;=120)),"APARENTEMENTE NORMAL",IF(AND(OR(O93&gt;0,R93&gt;0),AND(CV93&gt;=50,CV93&lt;=80)),"APARENTEMENTE NORMAL","")))))))))))))</f>
        <v>APARENTEMENTE NORMAL</v>
      </c>
      <c r="CX93" s="21"/>
      <c r="CY93" s="21"/>
      <c r="CZ93" s="216" t="str">
        <f t="shared" si="263"/>
        <v/>
      </c>
      <c r="DA93" s="21"/>
      <c r="DB93" s="21"/>
      <c r="DC93" s="217" t="str">
        <f t="shared" si="264"/>
        <v>REGISTRE DATO PRESIÓN ARTERIAL MENSUAL</v>
      </c>
      <c r="DD93" s="22">
        <v>44595</v>
      </c>
      <c r="DE93" s="22">
        <v>44595</v>
      </c>
      <c r="DF93" s="22">
        <v>44999</v>
      </c>
      <c r="DG93" s="22"/>
      <c r="DH93" s="22"/>
      <c r="DI93" s="22"/>
      <c r="DJ93" s="22"/>
      <c r="DK93" s="22"/>
      <c r="DL93" s="22"/>
      <c r="DM93" s="22"/>
      <c r="DN93" s="22"/>
      <c r="DO93" s="22"/>
      <c r="DP93" s="22"/>
      <c r="DQ93" s="22"/>
      <c r="DR93" s="28"/>
      <c r="DS93" s="22"/>
      <c r="DT93" s="22"/>
      <c r="DU93" s="216" t="str">
        <f t="shared" ca="1" si="439"/>
        <v>SALE SIN PLAN DE PARTO</v>
      </c>
      <c r="DV93" s="226" t="str">
        <f t="shared" si="440"/>
        <v>SALIO PROGRAMA</v>
      </c>
      <c r="DW93"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93" s="216" t="str">
        <f t="shared" ca="1" si="266"/>
        <v/>
      </c>
      <c r="DY93" s="212">
        <f>IF(R93="","",IF(R93&gt;0,MAX(Tabla1[[#This Row],[FECHA C2]:[FECHA C13]],Tabla1[[#This Row],[FECHA CONSULTA PRIMERA VEZ PROGRAMA CPN ]])))</f>
        <v>44999</v>
      </c>
      <c r="DZ93" s="216">
        <f t="shared" si="267"/>
        <v>28</v>
      </c>
      <c r="EA93" s="222">
        <f>IF(R93&gt;0,SUM(COUNTA(DF93:DQ93)+COUNTA(Tabla1[[#This Row],[FECHA CONSULTA PRIMERA VEZ PROGRAMA CPN ]])),"")</f>
        <v>2</v>
      </c>
      <c r="EB93" s="222" t="str">
        <f t="shared" si="268"/>
        <v>NO</v>
      </c>
      <c r="EC93" s="214">
        <f t="shared" si="269"/>
        <v>6</v>
      </c>
      <c r="ED93" s="227">
        <f t="shared" si="270"/>
        <v>0.33333333333333331</v>
      </c>
      <c r="EE93" s="22">
        <v>44595</v>
      </c>
      <c r="EF93" s="22">
        <v>44595</v>
      </c>
      <c r="EG93" s="22">
        <v>44595</v>
      </c>
      <c r="EH93" s="22"/>
      <c r="EI93" s="22">
        <v>44595</v>
      </c>
      <c r="EJ93" s="22"/>
      <c r="EK93" s="22"/>
      <c r="EL93" s="21"/>
      <c r="EM93" s="21"/>
      <c r="EN93" s="22"/>
      <c r="EO93" s="222" t="str">
        <f t="shared" si="271"/>
        <v>TOMAR EXAMEN</v>
      </c>
      <c r="EP93" s="214" t="str">
        <f t="shared" si="272"/>
        <v/>
      </c>
      <c r="EQ93" s="216" t="str">
        <f t="shared" si="273"/>
        <v>POR DEFINIR</v>
      </c>
      <c r="ER93" s="24"/>
      <c r="ES93" s="22"/>
      <c r="ET93" s="29" t="str">
        <f t="shared" ca="1" si="441"/>
        <v>SALE SIN TAMIZAJE HEMOGLOBINA SEM 28</v>
      </c>
      <c r="EU93" s="25" t="str">
        <f t="shared" si="275"/>
        <v/>
      </c>
      <c r="EV93" s="24"/>
      <c r="EW93" s="24"/>
      <c r="EX93" s="22"/>
      <c r="EY93" s="29" t="str">
        <f t="shared" si="248"/>
        <v>TOMAR EXAMEN</v>
      </c>
      <c r="EZ93" s="25" t="str">
        <f t="shared" ca="1" si="249"/>
        <v/>
      </c>
      <c r="FA93" s="21"/>
      <c r="FB93" s="22"/>
      <c r="FC93" s="29" t="str">
        <f t="shared" si="276"/>
        <v>TOMAR EXAMEN</v>
      </c>
      <c r="FD93" s="29"/>
      <c r="FE93" s="29"/>
      <c r="FF93" s="29"/>
      <c r="FG93" s="21" t="str">
        <f t="shared" ca="1" si="277"/>
        <v/>
      </c>
      <c r="FH93" s="31"/>
      <c r="FI93" s="29" t="str">
        <f t="shared" si="278"/>
        <v>TOMAR EXAMEN</v>
      </c>
      <c r="FJ93" s="22"/>
      <c r="FK93" s="22"/>
      <c r="FL93" s="29" t="str">
        <f t="shared" ca="1" si="279"/>
        <v>NO APLICA-INGRESO TARDIO</v>
      </c>
      <c r="FM93" s="22"/>
      <c r="FN93" s="32"/>
      <c r="FO93" s="29" t="str">
        <f t="shared" ca="1" si="442"/>
        <v>PIERDE TOMA DE TAMIZAJE</v>
      </c>
      <c r="FP93" s="22"/>
      <c r="FQ93" s="32"/>
      <c r="FR93" s="29" t="str">
        <f t="shared" ca="1" si="443"/>
        <v>PIERDE TOMA DE TAMIZAJE</v>
      </c>
      <c r="FS93" s="22"/>
      <c r="FT93" s="32"/>
      <c r="FU93" s="29" t="str">
        <f>IF(AND(FJ93="",FM93="",FP93="",FS93=""),"",IF(OR(OR(Tabla1[[#This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93" s="28"/>
      <c r="FW93" s="22"/>
      <c r="FX93" s="29" t="str">
        <f t="shared" si="280"/>
        <v>TOMAR EXAMEN</v>
      </c>
      <c r="FY93" s="22"/>
      <c r="FZ93" s="22"/>
      <c r="GA93" s="29" t="str">
        <f t="shared" ref="GA93:GA124" ca="1" si="453">IF(AND(BT93="ERROR FUM O INGRESO",FZ93&gt;0),"ERROR FUM O INGRESO",IF(AND(FZ93="",R93="",O93=""),"",IF(OR(AND(FZ93&lt;&gt;"",FZ93&lt;RW93),AND(FZ93&lt;&gt;"",AND(SUM((FZ93-RW93)/7)&gt;=13,SUM((FZ93-RW93)/7)&lt;27))),"REGISTRAR EN II TRIMESTRE",IF(OR(AND(FZ93&lt;&gt;"",FZ93&lt;RW93),AND(FZ93&lt;&gt;"",AND(SUM((FZ93-RW93)/7)&gt;=27,SUM((FZ93-RW93)/7)&lt;44))),"REGISTRAR EN III TRIMESTRE",IF(AND(FZ93="",OR(O93&gt;0,R93&gt;0),AND(BU93&gt;1,BU93&lt;10)),"EN RANGO PARA TOMAR EXAMEN",IF(AND(FZ93="",OR(O93&gt;0,R93&gt;0),AND(BU93&gt;=10,BU93&lt;12)),"TOMA INMEDIATA DE TAMIZAJE",IF(AND(FZ93="",BS93&lt;12,OR(O93&gt;0,R93&gt;0)),"PIERDE TOMA DE TAMIZAJE",IF(AND(FZ93="",OR(O93&gt;0,R93&gt;0),AND(BS93&gt;=13,BS93&lt;44)),"NO APLICA-INGRESO TARDIO",IF(FZ93&gt;0,SUM(FZ93-RW93)/7,"")))))))))</f>
        <v>NO APLICA-INGRESO TARDIO</v>
      </c>
      <c r="GB93" s="22"/>
      <c r="GC93" s="22"/>
      <c r="GD93" s="29" t="str">
        <f t="shared" ca="1" si="444"/>
        <v>PIERDE TOMA DE TAMIZAJE</v>
      </c>
      <c r="GE93" s="22"/>
      <c r="GF93" s="22"/>
      <c r="GG93" s="29" t="str">
        <f t="shared" ca="1" si="445"/>
        <v>PIERDE TOMA DE TAMIZAJE</v>
      </c>
      <c r="GH93" s="22"/>
      <c r="GI93" s="29"/>
      <c r="GJ93" s="22"/>
      <c r="GK93" s="22"/>
      <c r="GL93" s="22"/>
      <c r="GM93" s="22"/>
      <c r="GN93" s="28"/>
      <c r="GO93" s="22"/>
      <c r="GP93" s="29" t="str">
        <f t="shared" si="283"/>
        <v>TOMAR EXAMEN</v>
      </c>
      <c r="GQ93" s="28"/>
      <c r="GR93" s="28"/>
      <c r="GS93" s="22" t="str">
        <f t="shared" si="284"/>
        <v/>
      </c>
      <c r="GT93" s="22"/>
      <c r="GU93" s="29" t="str">
        <f t="shared" si="285"/>
        <v>TOMAR EXAMEN</v>
      </c>
      <c r="GV93" s="21" t="str">
        <f t="shared" si="286"/>
        <v>POR DEFINIR</v>
      </c>
      <c r="GW93" s="28"/>
      <c r="GX93" s="30"/>
      <c r="GY93" s="21"/>
      <c r="GZ93" s="21"/>
      <c r="HA93" s="21"/>
      <c r="HB93" s="21"/>
      <c r="HC93" s="21"/>
      <c r="HD93" s="21"/>
      <c r="HE93" s="21"/>
      <c r="HF93" s="22"/>
      <c r="HG93" s="22" t="str">
        <f>IF(OR(O93&gt;0,R93&gt;0),CONCATENATE(IF(Tabla1[[#This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93" s="22" t="e">
        <f t="shared" si="287"/>
        <v>#REF!</v>
      </c>
      <c r="HI93" s="22" t="e">
        <f t="shared" ca="1" si="288"/>
        <v>#REF!</v>
      </c>
      <c r="HJ93" s="21" t="str">
        <f t="shared" ca="1" si="289"/>
        <v>***************************************</v>
      </c>
      <c r="HK93" s="21" t="str">
        <f t="shared" si="290"/>
        <v>SIN ANTECEDENTES DE RIESGO</v>
      </c>
      <c r="HL93" s="24" t="str">
        <f t="shared" si="291"/>
        <v>REGISTRE DATO PRESIÓN ARTERIAL MENSUAL</v>
      </c>
      <c r="HM93" s="21" t="str">
        <f t="shared" ca="1" si="292"/>
        <v/>
      </c>
      <c r="HN93" s="30" t="str">
        <f t="shared" si="446"/>
        <v>SALIO PROGRAMA</v>
      </c>
      <c r="HO93" s="21"/>
      <c r="HP93" s="21"/>
      <c r="HQ93" s="21">
        <v>44960</v>
      </c>
      <c r="HR93" s="21" t="str">
        <f>IF(R93="","",IF(Tabla1[[#This Row],[ALARMA FACTORES DE RIESGO COMPLICACIONES HIPERTENSIVAS3]]="SIN ANTECEDENTES DE RIESGO","No Aplica para suministro de ASA",IF(AND(Tabla1[[#This Row],[FECHA INICIO DE SUMINISTRO DE ASA]]&gt;0,RV93&lt;12),"Inicia ASA ANTES de Sem 12",IF(AND(RV93&gt;11,RV93&lt;17,OR(HK93="RIESGO ALTO DE COMPLICACIONES HIPERTENSIVAS VER MANEJO GUIA SUMINISTRO ASA Y CALCIO",HK93="RIESGO MODERADO (2 O MAS CRITERIOS) VER MANEJO GUIA SUMINISTRO ASA Y CALCIO")),"Inicio oportuno de ASA",IF(AND(RV93&gt;12,OR(HK93="RIESGO ALTO DE COMPLICACIONES HIPERTENSIVAS VER MANEJO GUIA SUMINISTRO ASA Y CALCIO",HK93="RIESGO MODERADO (2 O MAS CRITERIOS) VER MANEJO GUIA SUMINISTRO ASA Y CALCIO")),"Inicio no oportuno mayor a 16 semanas",IF(AND(BU93&lt;12,OR(HK93="RIESGO ALTO DE COMPLICACIONES HIPERTENSIVAS VER MANEJO GUIA SUMINISTRO ASA Y CALCIO",HK93="RIESGO MODERADO (2 O MAS CRITERIOS) VER MANEJO GUIA SUMINISTRO ASA Y CALCIO")),"Pendiente Inicio de ASA a la semana 12",IF(AND(BU93&gt;11,BU93&lt;17,OR(HK93="RIESGO ALTO DE COMPLICACIONES HIPERTENSIVAS VER MANEJO GUIA SUMINISTRO ASA Y CALCIO",HK93="RIESGO MODERADO (2 O MAS CRITERIOS) VER MANEJO GUIA SUMINISTRO ASA Y CALCIO")),"Iniciar de inmediato ASA",IF(AND(BU93&gt;16,OR(HK93="RIESGO ALTO DE COMPLICACIONES HIPERTENSIVAS VER MANEJO GUIA SUMINISTRO ASA Y CALCIO",HK93="RIESGO MODERADO (2 O MAS CRITERIOS) VER MANEJO GUIA SUMINISTRO ASA Y CALCIO")),"Pierde Oportunidad, Inicio tardío de ASA","XXXXX"))))))))</f>
        <v>No Aplica para suministro de ASA</v>
      </c>
      <c r="HS93" s="22">
        <v>44960</v>
      </c>
      <c r="HT93" s="22"/>
      <c r="HU93" s="22">
        <v>44960</v>
      </c>
      <c r="HV93" s="22"/>
      <c r="HW93" s="22">
        <v>44960</v>
      </c>
      <c r="HX93" s="22"/>
      <c r="HY93" s="22">
        <v>44960</v>
      </c>
      <c r="HZ93" s="28">
        <f t="shared" si="293"/>
        <v>22.428571428571427</v>
      </c>
      <c r="IA93" s="26"/>
      <c r="IB93" s="26"/>
      <c r="IC93" s="111"/>
      <c r="ID93" s="22"/>
      <c r="IE93" s="22" t="str">
        <f t="shared" ca="1" si="294"/>
        <v>SALE SIN VACUNA</v>
      </c>
      <c r="IF93" s="22"/>
      <c r="IG93" s="22">
        <f t="shared" si="295"/>
        <v>45083</v>
      </c>
      <c r="IH93" s="29">
        <f t="shared" ca="1" si="296"/>
        <v>-149</v>
      </c>
      <c r="II93" s="22" t="str">
        <f t="shared" ca="1" si="297"/>
        <v>POSIBLEMENTE NACIO</v>
      </c>
      <c r="IJ93" s="22"/>
      <c r="IK93" s="21" t="s">
        <v>1652</v>
      </c>
      <c r="IL93" s="21"/>
      <c r="IM93" s="34"/>
      <c r="IN93" s="349">
        <v>45063</v>
      </c>
      <c r="IO93" s="21" t="s">
        <v>1186</v>
      </c>
      <c r="IP93" s="29">
        <f t="shared" si="436"/>
        <v>37.142857142857146</v>
      </c>
      <c r="IQ93" s="290" t="s">
        <v>1654</v>
      </c>
      <c r="IR93" s="290" t="s">
        <v>1651</v>
      </c>
      <c r="IS93" s="290" t="s">
        <v>1646</v>
      </c>
      <c r="IT93" s="290" t="s">
        <v>1642</v>
      </c>
      <c r="IU93" s="21"/>
      <c r="IV93" s="21"/>
      <c r="IW93" s="21"/>
      <c r="IX93" s="21"/>
      <c r="IY93" s="21"/>
      <c r="IZ93" s="21"/>
      <c r="JA93" s="21"/>
      <c r="JB93" s="30">
        <v>1</v>
      </c>
      <c r="JC93" s="21" t="s">
        <v>1643</v>
      </c>
      <c r="JD93" s="36">
        <v>2970</v>
      </c>
      <c r="JE93" s="21" t="str">
        <f t="shared" si="447"/>
        <v>PESO ADECUADO EDAD GESTACIONAL</v>
      </c>
      <c r="JF93" s="30"/>
      <c r="JG93" s="21"/>
      <c r="JH93" s="21"/>
      <c r="JI93" s="21" t="s">
        <v>854</v>
      </c>
      <c r="JJ93" s="30" t="s">
        <v>866</v>
      </c>
      <c r="JK93" s="22"/>
      <c r="JL93" s="22"/>
      <c r="JM93" s="21"/>
      <c r="JN93" s="36"/>
      <c r="JO93" s="21" t="str">
        <f t="shared" si="448"/>
        <v/>
      </c>
      <c r="JP93" s="22"/>
      <c r="JQ93" s="21"/>
      <c r="JR93" s="21"/>
      <c r="JS93" s="21"/>
      <c r="JT93" s="30"/>
      <c r="JU93" s="22"/>
      <c r="JV93" s="22"/>
      <c r="JW93" s="33"/>
      <c r="JX93" s="28" t="str">
        <f t="shared" si="449"/>
        <v>INASISTENTE</v>
      </c>
      <c r="JY93" s="33"/>
      <c r="JZ93" s="28" t="str">
        <f t="shared" si="450"/>
        <v>INASISTENTE</v>
      </c>
      <c r="KA93" s="21"/>
      <c r="KB93" s="21"/>
      <c r="KC93" s="21"/>
      <c r="KD93" s="37"/>
      <c r="KE93" s="28"/>
      <c r="KF93" s="28"/>
      <c r="KG93" s="28"/>
      <c r="KH93" s="39"/>
      <c r="KI93" s="39"/>
      <c r="KJ93" s="66"/>
      <c r="KK93" s="39"/>
      <c r="KL93" s="39"/>
      <c r="KM93" s="66"/>
      <c r="KN93" s="39"/>
      <c r="KO93" s="39"/>
      <c r="KP93" s="39"/>
      <c r="KQ93" s="39"/>
      <c r="KR93" s="39"/>
      <c r="KS93" s="39"/>
      <c r="KT93" s="39"/>
      <c r="KU93" s="38"/>
      <c r="KV93" s="38"/>
      <c r="KW93" s="38"/>
      <c r="KX93" s="38"/>
      <c r="KY93" s="38"/>
      <c r="KZ93" s="38"/>
      <c r="LA93" s="38"/>
      <c r="LB93" s="38"/>
      <c r="LC93" s="38"/>
      <c r="LD93" s="38"/>
      <c r="LE93" s="38"/>
      <c r="LF93" s="38"/>
      <c r="LG93" s="38"/>
      <c r="LH93" s="38"/>
      <c r="LI93" s="38"/>
      <c r="LJ93" s="38"/>
      <c r="LK93" s="38"/>
      <c r="LL93" s="38"/>
      <c r="LM93" s="38"/>
      <c r="LN93" s="38"/>
      <c r="LO93" s="38"/>
      <c r="LP93" s="38"/>
      <c r="LQ93" s="38"/>
      <c r="LR93" s="38"/>
      <c r="LS93" s="38"/>
      <c r="LT93" s="38"/>
      <c r="LU93" s="38"/>
      <c r="LV93" s="38"/>
      <c r="LW93" s="38"/>
      <c r="LX93" s="38"/>
      <c r="LY93" s="38"/>
      <c r="LZ93" s="38"/>
      <c r="MA93" s="38"/>
      <c r="MB93" s="38"/>
      <c r="MC93" s="38"/>
      <c r="MD93" s="38"/>
      <c r="ME93" s="38"/>
      <c r="MF93" s="38"/>
      <c r="MG93" s="38"/>
      <c r="MH93" s="43">
        <f t="shared" si="303"/>
        <v>0</v>
      </c>
      <c r="MI93" s="43" t="str">
        <f t="shared" si="304"/>
        <v/>
      </c>
      <c r="MJ93" s="43" t="str">
        <f t="shared" si="305"/>
        <v/>
      </c>
      <c r="MK93" s="43">
        <f t="shared" si="306"/>
        <v>0</v>
      </c>
      <c r="ML9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93" s="43">
        <f t="shared" si="307"/>
        <v>22.428571428571427</v>
      </c>
      <c r="MN93" s="43">
        <f t="shared" si="308"/>
        <v>2</v>
      </c>
      <c r="MO93" s="43">
        <f t="shared" si="309"/>
        <v>2023</v>
      </c>
      <c r="MP93" s="43" t="str">
        <f t="shared" si="310"/>
        <v>I TRIMESTRE AÑO</v>
      </c>
      <c r="MQ93" s="43">
        <f t="shared" si="311"/>
        <v>22.558037669732808</v>
      </c>
      <c r="MR93" s="43">
        <f t="shared" si="312"/>
        <v>0</v>
      </c>
      <c r="MS93" s="43" t="str">
        <f t="shared" si="313"/>
        <v xml:space="preserve"> DE 20 A 24 AÑOS</v>
      </c>
      <c r="MT93" s="43">
        <f t="shared" si="314"/>
        <v>0</v>
      </c>
      <c r="MU93" s="43" t="str">
        <f t="shared" si="315"/>
        <v/>
      </c>
      <c r="MV93" s="43" t="str">
        <f t="shared" si="316"/>
        <v/>
      </c>
      <c r="MW93" s="43">
        <f t="shared" si="317"/>
        <v>0</v>
      </c>
      <c r="MX93" s="43" t="str">
        <f t="shared" si="318"/>
        <v/>
      </c>
      <c r="MY93" s="43" t="str">
        <f t="shared" ca="1" si="451"/>
        <v/>
      </c>
      <c r="MZ93" s="43" t="str">
        <f t="shared" si="319"/>
        <v/>
      </c>
      <c r="NA93" s="43">
        <f t="shared" si="320"/>
        <v>0</v>
      </c>
      <c r="NB93" s="43" t="str">
        <f t="shared" si="321"/>
        <v/>
      </c>
      <c r="NC93" s="43" t="str">
        <f t="shared" si="322"/>
        <v/>
      </c>
      <c r="ND93" s="43">
        <f t="shared" ca="1" si="323"/>
        <v>0</v>
      </c>
      <c r="NE93" s="43">
        <f>IF(OR(O93&gt;0,R93&gt;0),SUM(COUNTIF(Tabla1[[#This Row],[AÑOS AL INICIO5 CPN]],"&gt;=40"),COUNTIF(AS93,"0"),COUNTIF(AR93,"SI"),COUNTIF(CC93,"SI"),COUNTIF(BQ93,"&gt;119"),COUNTIF(CI93,"&gt;=35")),"")</f>
        <v>0</v>
      </c>
      <c r="NF93" s="43" t="str">
        <f t="shared" si="324"/>
        <v/>
      </c>
      <c r="NG93" s="43">
        <f t="shared" si="325"/>
        <v>0</v>
      </c>
      <c r="NH93" s="43">
        <f t="shared" si="326"/>
        <v>156.1</v>
      </c>
      <c r="NI93"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CPN",P93="NO"),"Z",IF(AND(Tabla1[[#This Row],[CITA PROXIMO CONTROL]]="CITA MANUAL",Tabla1[[#This Row],[GESTANTES ACTUALES]]="ACTIVA INGRESO A CPN"),"W",IF(AND(Tabla1[[#This Row],[GESTANTES ACTUALES]]="SALIO PROGRAMA",IN93=""),"S",IF(AND(Tabla1[[#This Row],[CITA PROXIMO CONTROL]]&gt;0,IN93=""),(Tabla1[[#This Row],[CITA PROXIMO CONTROL]]-TODAY()),"SD"))))))))</f>
        <v>SD</v>
      </c>
      <c r="NJ93" s="43">
        <f>MONTH(Tabla1[[#This Row],[FECHA DE SALIDA  DEL PROGRAMA]])</f>
        <v>5</v>
      </c>
      <c r="NK93" s="43">
        <f>YEAR(Tabla1[[#This Row],[FECHA DE SALIDA  DEL PROGRAMA]])</f>
        <v>2023</v>
      </c>
      <c r="NL93" s="43" t="str">
        <f t="shared" si="327"/>
        <v>X</v>
      </c>
      <c r="NM93" s="43" t="str">
        <f>IF(AND(O93&gt;0,R93=""),"NO CPN",IF(AND(O93="",R93=""),"",IF(AND(EN93&lt;&gt;"",EX93&lt;&gt;"",FB93&lt;&gt;"",FK93&lt;&gt;"",FW93&lt;&gt;"",FZ93&lt;&gt;"",GO93&lt;&gt;"",GQ93&lt;&gt;"",GR93&lt;&gt;""),"SI","NO")))</f>
        <v>NO</v>
      </c>
      <c r="NN93" s="43" t="str">
        <f ca="1">IF(AND(O93&gt;0,R93=""),"NO CPN",IF(AND(O93="",R93=""),"",IF(AND(R93&gt;0,Tabla1[[#This Row],[SEMANAS DE GESTACION ACTUALIZADAS]]&lt;=12),"NO APLICA",IF(AND(FH93&lt;&gt;"",FN93&lt;&gt;""),"SI","NO"))))</f>
        <v>NO</v>
      </c>
      <c r="NO93" s="43" t="str">
        <f ca="1">IF(AND(O93&gt;0,R93=""),"NO CPN",IF(AND(O93="",R93=""),"",IF(AND(R93&gt;0,Tabla1[[#This Row],[SEMANAS DE GESTACION ACTUALIZADAS]]&lt;=27),"NO APLICA",IF(AND(ES93&lt;&gt;"",FQ93&lt;&gt;"",GF93&lt;&gt;""),"SI","NO"))))</f>
        <v>NO</v>
      </c>
      <c r="NP93" s="204" t="str">
        <f t="shared" si="328"/>
        <v>II TRIM</v>
      </c>
      <c r="NQ93" s="21" t="str">
        <f t="shared" si="437"/>
        <v/>
      </c>
      <c r="NR93" s="21">
        <f t="shared" si="452"/>
        <v>2</v>
      </c>
      <c r="NS93" s="205">
        <f t="shared" ca="1" si="329"/>
        <v>0</v>
      </c>
      <c r="NT93" s="21">
        <f t="shared" ca="1" si="330"/>
        <v>0</v>
      </c>
      <c r="NU93" s="21" t="str">
        <f t="shared" ca="1" si="331"/>
        <v>INCOMPLETO</v>
      </c>
      <c r="NV93" s="21" t="str">
        <f t="shared" ca="1" si="332"/>
        <v>INCOMPLETO</v>
      </c>
      <c r="NW93" s="206" t="str">
        <f>IF(AND(O93="",R93=""),"",IF(OR(AND(Tabla1[[#This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93" s="207" t="str">
        <f t="shared" ca="1" si="333"/>
        <v>SIN VACUNAR</v>
      </c>
      <c r="NY93" s="43">
        <f>ROW(Tabla1[[#This Row],['# DE TAMIZAJES SIFILIS TOMADOS ]])</f>
        <v>93</v>
      </c>
      <c r="NZ93" s="43">
        <f t="shared" si="334"/>
        <v>22</v>
      </c>
      <c r="OA93" s="43" t="str">
        <f t="shared" si="335"/>
        <v/>
      </c>
      <c r="OB93" s="43" t="str">
        <f t="shared" si="336"/>
        <v/>
      </c>
      <c r="OC93" s="43" t="str">
        <f t="shared" si="337"/>
        <v/>
      </c>
      <c r="OD93" s="43" t="str">
        <f t="shared" si="338"/>
        <v/>
      </c>
      <c r="OE93" s="43" t="str">
        <f t="shared" si="339"/>
        <v/>
      </c>
      <c r="OF93" s="43" t="str">
        <f t="shared" si="340"/>
        <v/>
      </c>
      <c r="OG93" s="43" t="str">
        <f t="shared" si="341"/>
        <v/>
      </c>
      <c r="OH93" s="43" t="str">
        <f t="shared" si="342"/>
        <v/>
      </c>
      <c r="OI93" s="43" t="str">
        <f t="shared" si="343"/>
        <v/>
      </c>
      <c r="OJ93" s="43" t="str">
        <f t="shared" si="344"/>
        <v/>
      </c>
      <c r="OK93" s="43" t="str">
        <f t="shared" si="345"/>
        <v/>
      </c>
      <c r="OL93" s="43" t="str">
        <f t="shared" si="346"/>
        <v/>
      </c>
      <c r="OM93" s="43" t="str">
        <f t="shared" si="347"/>
        <v/>
      </c>
      <c r="ON93" s="43" t="str">
        <f t="shared" si="348"/>
        <v>NORMAL</v>
      </c>
      <c r="OO93" s="43" t="str">
        <f t="shared" si="349"/>
        <v/>
      </c>
      <c r="OP93" s="43" t="str">
        <f t="shared" si="350"/>
        <v/>
      </c>
      <c r="OQ93" s="43" t="str">
        <f t="shared" si="351"/>
        <v/>
      </c>
      <c r="OR93" s="43" t="str">
        <f t="shared" si="352"/>
        <v/>
      </c>
      <c r="OS93" s="43" t="str">
        <f t="shared" si="353"/>
        <v/>
      </c>
      <c r="OT93" s="43" t="str">
        <f t="shared" si="354"/>
        <v/>
      </c>
      <c r="OU93" s="43" t="str">
        <f t="shared" si="355"/>
        <v/>
      </c>
      <c r="OV93" s="110" t="str">
        <f t="shared" si="356"/>
        <v/>
      </c>
      <c r="OW93" s="43" t="str">
        <f t="shared" si="357"/>
        <v/>
      </c>
      <c r="OX93" s="43" t="str">
        <f t="shared" si="358"/>
        <v/>
      </c>
      <c r="OY93" s="43" t="str">
        <f t="shared" si="359"/>
        <v/>
      </c>
      <c r="OZ93" s="43" t="str">
        <f t="shared" si="360"/>
        <v/>
      </c>
      <c r="PA93" s="43" t="str">
        <f t="shared" si="361"/>
        <v/>
      </c>
      <c r="PB93" s="43" t="str">
        <f t="shared" si="362"/>
        <v/>
      </c>
      <c r="PC93" s="43" t="str">
        <f t="shared" si="363"/>
        <v/>
      </c>
      <c r="PD93" s="43" t="str">
        <f t="shared" si="364"/>
        <v/>
      </c>
      <c r="PE93" s="43" t="str">
        <f t="shared" si="365"/>
        <v/>
      </c>
      <c r="PF93" s="43" t="str">
        <f t="shared" si="366"/>
        <v/>
      </c>
      <c r="PG93" s="43" t="str">
        <f t="shared" si="367"/>
        <v/>
      </c>
      <c r="PH93" s="43" t="str">
        <f t="shared" si="368"/>
        <v/>
      </c>
      <c r="PI93" s="43">
        <f t="shared" si="369"/>
        <v>28</v>
      </c>
      <c r="PJ93" s="43" t="str">
        <f t="shared" si="370"/>
        <v/>
      </c>
      <c r="PK93" s="43" t="str">
        <f t="shared" si="371"/>
        <v/>
      </c>
      <c r="PL93" s="43" t="str">
        <f t="shared" si="372"/>
        <v/>
      </c>
      <c r="PM93" s="43" t="str">
        <f t="shared" si="373"/>
        <v/>
      </c>
      <c r="PN93" s="43" t="str">
        <f t="shared" si="374"/>
        <v/>
      </c>
      <c r="PO93" s="43" t="str">
        <f t="shared" si="375"/>
        <v/>
      </c>
      <c r="PP93" s="43" t="str">
        <f t="shared" si="376"/>
        <v/>
      </c>
      <c r="PQ93" s="43" t="str">
        <f t="shared" si="377"/>
        <v/>
      </c>
      <c r="PR93" s="43" t="str">
        <f t="shared" si="378"/>
        <v/>
      </c>
      <c r="PS93" s="43" t="str">
        <f t="shared" si="379"/>
        <v/>
      </c>
      <c r="PT93" s="43" t="str">
        <f t="shared" si="380"/>
        <v/>
      </c>
      <c r="PU93" s="43" t="str">
        <f t="shared" si="381"/>
        <v/>
      </c>
      <c r="PV93" s="43" t="str">
        <f t="shared" si="382"/>
        <v/>
      </c>
      <c r="PW93" s="43" t="str">
        <f t="shared" si="383"/>
        <v/>
      </c>
      <c r="PX93" s="43" t="str">
        <f t="shared" si="384"/>
        <v/>
      </c>
      <c r="PY93" s="43" t="str">
        <f t="shared" si="385"/>
        <v/>
      </c>
      <c r="PZ93" s="43" t="str">
        <f t="shared" si="386"/>
        <v/>
      </c>
      <c r="QA93" s="43" t="str">
        <f t="shared" si="387"/>
        <v/>
      </c>
      <c r="QB93" s="43" t="str">
        <f t="shared" si="388"/>
        <v/>
      </c>
      <c r="QC93" s="43" t="str">
        <f t="shared" si="389"/>
        <v/>
      </c>
      <c r="QD93" s="43" t="str">
        <f t="shared" si="390"/>
        <v/>
      </c>
      <c r="QE93" s="43" t="str">
        <f t="shared" si="391"/>
        <v/>
      </c>
      <c r="QF93" s="43" t="str">
        <f t="shared" si="392"/>
        <v/>
      </c>
      <c r="QG93" s="43" t="str">
        <f t="shared" si="393"/>
        <v/>
      </c>
      <c r="QH93" s="43" t="str">
        <f t="shared" si="394"/>
        <v/>
      </c>
      <c r="QI93" s="43" t="str">
        <f t="shared" si="395"/>
        <v/>
      </c>
      <c r="QJ93" s="43" t="str">
        <f t="shared" si="396"/>
        <v/>
      </c>
      <c r="QK93" s="43" t="str">
        <f t="shared" si="397"/>
        <v/>
      </c>
      <c r="QL93" s="43" t="str">
        <f t="shared" si="398"/>
        <v/>
      </c>
      <c r="QM93" s="43" t="str">
        <f t="shared" si="399"/>
        <v/>
      </c>
      <c r="QN93" s="43" t="str">
        <f t="shared" si="400"/>
        <v/>
      </c>
      <c r="QO93" s="43" t="str">
        <f t="shared" si="401"/>
        <v/>
      </c>
      <c r="QP93" s="43" t="str">
        <f t="shared" si="402"/>
        <v/>
      </c>
      <c r="QQ93" s="43" t="str">
        <f t="shared" si="403"/>
        <v/>
      </c>
      <c r="QR93" s="43">
        <f t="shared" si="433"/>
        <v>28</v>
      </c>
      <c r="QS93" s="43"/>
      <c r="QT93" s="21" t="str">
        <f t="shared" si="404"/>
        <v/>
      </c>
      <c r="QU93" s="21" t="str">
        <f t="shared" si="405"/>
        <v/>
      </c>
      <c r="QV93" s="21" t="str">
        <f t="shared" si="406"/>
        <v/>
      </c>
      <c r="QW93" s="21" t="str">
        <f t="shared" si="407"/>
        <v/>
      </c>
      <c r="QX93" s="21" t="str">
        <f t="shared" si="408"/>
        <v/>
      </c>
      <c r="QY93" s="21" t="str">
        <f t="shared" si="409"/>
        <v/>
      </c>
      <c r="QZ93" s="21" t="str">
        <f t="shared" si="410"/>
        <v/>
      </c>
      <c r="RA93" s="21" t="str">
        <f t="shared" si="411"/>
        <v/>
      </c>
      <c r="RB93" s="21" t="str">
        <f t="shared" si="412"/>
        <v/>
      </c>
      <c r="RC93" s="21" t="str">
        <f t="shared" si="413"/>
        <v/>
      </c>
      <c r="RD93" s="21" t="str">
        <f t="shared" si="414"/>
        <v/>
      </c>
      <c r="RE93" s="21" t="str">
        <f t="shared" si="415"/>
        <v/>
      </c>
      <c r="RF93" s="21" t="str">
        <f t="shared" si="416"/>
        <v/>
      </c>
      <c r="RG93" s="21" t="str">
        <f t="shared" si="417"/>
        <v/>
      </c>
      <c r="RH93" s="21" t="str">
        <f t="shared" si="418"/>
        <v/>
      </c>
      <c r="RI93" s="21" t="str">
        <f t="shared" si="419"/>
        <v/>
      </c>
      <c r="RJ93" s="21" t="str">
        <f t="shared" si="420"/>
        <v/>
      </c>
      <c r="RK93" s="21" t="str">
        <f t="shared" si="421"/>
        <v/>
      </c>
      <c r="RL93" s="21" t="str">
        <f t="shared" si="422"/>
        <v/>
      </c>
      <c r="RM93" s="21" t="str">
        <f t="shared" si="423"/>
        <v/>
      </c>
      <c r="RN93" s="21" t="str">
        <f t="shared" si="424"/>
        <v/>
      </c>
      <c r="RO93" s="21" t="str">
        <f t="shared" si="425"/>
        <v/>
      </c>
      <c r="RP93" s="21" t="str">
        <f t="shared" si="426"/>
        <v/>
      </c>
      <c r="RQ93" s="21" t="str">
        <f t="shared" si="427"/>
        <v/>
      </c>
      <c r="RR93" s="21" t="str">
        <f t="shared" si="428"/>
        <v/>
      </c>
      <c r="RS93" s="21" t="str">
        <f t="shared" si="429"/>
        <v/>
      </c>
      <c r="RT93" s="21" t="str">
        <f t="shared" si="430"/>
        <v/>
      </c>
      <c r="RU93" s="21" t="str">
        <f t="shared" si="431"/>
        <v/>
      </c>
      <c r="RV93" s="21">
        <f t="shared" si="432"/>
        <v>22.428571428571427</v>
      </c>
      <c r="RW93" s="284">
        <f>IF(OR(Tabla1[[#This Row],[FUM FORMULA CONFIABLE]]="",Tabla1[[#This Row],[FUM FORMULA CONFIABLE]]="SD"),"",IF(Tabla1[[#This Row],[FUM FORMULA CONFIABLE]]="CORREGIDA",Tabla1[[#This Row],[FUM X ECO 1]],Tabla1[[#This Row],[FUM x AMENORREA]]))</f>
        <v>44803</v>
      </c>
      <c r="RX93" s="21">
        <f>IF(AND(Tabla1[[#This Row],[FUM X ECO 1]]="",Tabla1[[#This Row],[FUM x AMENORREA]]=""),"",IF(AND(Tabla1[[#This Row],[FUM X ECO 1]]="",Tabla1[[#This Row],[FUM x AMENORREA]]&lt;&gt;""),"X",SUM(Tabla1[[#This Row],[FUM X ECO 1]]-Tabla1[[#This Row],[FUM x AMENORREA]])))</f>
        <v>0.90000000000145519</v>
      </c>
      <c r="RY93" s="21">
        <f t="shared" si="434"/>
        <v>0</v>
      </c>
    </row>
    <row r="94" spans="1:493" s="338" customFormat="1" ht="45" customHeight="1" x14ac:dyDescent="0.25">
      <c r="A94" s="300"/>
      <c r="B94" s="301"/>
      <c r="C94" s="301" t="s">
        <v>845</v>
      </c>
      <c r="D94" s="302"/>
      <c r="E94" s="301" t="s">
        <v>1147</v>
      </c>
      <c r="F94" s="301" t="s">
        <v>1286</v>
      </c>
      <c r="G94" s="301" t="s">
        <v>1287</v>
      </c>
      <c r="H94" s="301" t="s">
        <v>1043</v>
      </c>
      <c r="I94" s="300" t="s">
        <v>851</v>
      </c>
      <c r="J94" s="303">
        <v>1059597815</v>
      </c>
      <c r="K94" s="301" t="s">
        <v>852</v>
      </c>
      <c r="L94" s="304" t="s">
        <v>1509</v>
      </c>
      <c r="M94" s="305">
        <v>32252</v>
      </c>
      <c r="N94" s="306">
        <f t="shared" ca="1" si="252"/>
        <v>35.561643835616437</v>
      </c>
      <c r="O94" s="305">
        <v>44958</v>
      </c>
      <c r="P94" s="307" t="str">
        <f t="shared" si="438"/>
        <v>SI</v>
      </c>
      <c r="Q94" s="308" t="s">
        <v>855</v>
      </c>
      <c r="R94" s="305">
        <v>44958</v>
      </c>
      <c r="S94" s="309" t="s">
        <v>856</v>
      </c>
      <c r="T94" s="310" t="s">
        <v>690</v>
      </c>
      <c r="U94" s="309" t="s">
        <v>857</v>
      </c>
      <c r="V94" s="309" t="s">
        <v>858</v>
      </c>
      <c r="W94" s="309" t="s">
        <v>1288</v>
      </c>
      <c r="X94" s="309" t="s">
        <v>1288</v>
      </c>
      <c r="Y94" s="309" t="s">
        <v>859</v>
      </c>
      <c r="Z94" s="309">
        <v>3184258429</v>
      </c>
      <c r="AA94" s="309" t="s">
        <v>860</v>
      </c>
      <c r="AB94" s="311" t="s">
        <v>861</v>
      </c>
      <c r="AC94" s="308" t="s">
        <v>877</v>
      </c>
      <c r="AD94" s="312" t="s">
        <v>1546</v>
      </c>
      <c r="AE94" s="308" t="s">
        <v>854</v>
      </c>
      <c r="AF94" s="308" t="s">
        <v>854</v>
      </c>
      <c r="AG94" s="313" t="s">
        <v>864</v>
      </c>
      <c r="AH94" s="313" t="s">
        <v>864</v>
      </c>
      <c r="AI94" s="310" t="s">
        <v>863</v>
      </c>
      <c r="AJ94" s="313" t="s">
        <v>864</v>
      </c>
      <c r="AK94" s="314" t="str">
        <f>IF(AND(AD94="",AE94="",AF94="",AG94="",AH94="",AI94="",AJ94=""),"",IF(OR(Tabla1[[#This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EVALUACIÓN",IF(AND(O94="",R94=""),"",IF(AND(OR(O94&gt;0,R94&gt;0),NG94&gt;=0,NG94&lt;2),"SIN RIESGO",IF(AND(OR(O94&gt;0,R94&gt;0),NG94&gt;=2),"CON RIESGO","ASD")))))</f>
        <v>SIN RIESGO</v>
      </c>
      <c r="AL94" s="313" t="s">
        <v>864</v>
      </c>
      <c r="AM94" s="308" t="s">
        <v>864</v>
      </c>
      <c r="AN94" s="313" t="s">
        <v>864</v>
      </c>
      <c r="AO94" s="308" t="s">
        <v>864</v>
      </c>
      <c r="AP94" s="308" t="s">
        <v>864</v>
      </c>
      <c r="AQ94" s="313" t="s">
        <v>864</v>
      </c>
      <c r="AR94" s="313" t="s">
        <v>864</v>
      </c>
      <c r="AS94" s="309">
        <v>3</v>
      </c>
      <c r="AT94" s="309">
        <v>2</v>
      </c>
      <c r="AU94" s="309">
        <v>0</v>
      </c>
      <c r="AV94" s="308" t="s">
        <v>864</v>
      </c>
      <c r="AW94" s="309">
        <v>0</v>
      </c>
      <c r="AX94" s="308" t="s">
        <v>864</v>
      </c>
      <c r="AY94" s="308" t="s">
        <v>864</v>
      </c>
      <c r="AZ94" s="308" t="s">
        <v>864</v>
      </c>
      <c r="BA94" s="308" t="s">
        <v>864</v>
      </c>
      <c r="BB94" s="308" t="s">
        <v>864</v>
      </c>
      <c r="BC94" s="308" t="s">
        <v>864</v>
      </c>
      <c r="BD94" s="308" t="s">
        <v>864</v>
      </c>
      <c r="BE94" s="308" t="s">
        <v>864</v>
      </c>
      <c r="BF94" s="308" t="s">
        <v>864</v>
      </c>
      <c r="BG94" s="308" t="s">
        <v>864</v>
      </c>
      <c r="BH94" s="308" t="s">
        <v>864</v>
      </c>
      <c r="BI94" s="308" t="s">
        <v>864</v>
      </c>
      <c r="BJ94" s="308" t="s">
        <v>864</v>
      </c>
      <c r="BK94" s="308" t="s">
        <v>864</v>
      </c>
      <c r="BL94" s="308" t="s">
        <v>864</v>
      </c>
      <c r="BM94" s="308" t="s">
        <v>864</v>
      </c>
      <c r="BN94" s="305">
        <v>40685</v>
      </c>
      <c r="BO94" s="305">
        <v>44881</v>
      </c>
      <c r="BP94" s="309" t="s">
        <v>1380</v>
      </c>
      <c r="BQ94" s="315">
        <f t="shared" si="254"/>
        <v>139.37333333333325</v>
      </c>
      <c r="BR94" s="316">
        <f t="shared" si="255"/>
        <v>44866.2</v>
      </c>
      <c r="BS94" s="317">
        <f t="shared" si="256"/>
        <v>13.11428571428613</v>
      </c>
      <c r="BT94" s="318" t="str">
        <f t="shared" si="257"/>
        <v>II TRIM</v>
      </c>
      <c r="BU94" s="307" t="str">
        <f t="shared" ca="1" si="258"/>
        <v/>
      </c>
      <c r="BV94" s="319" t="s">
        <v>1525</v>
      </c>
      <c r="BW94" s="305">
        <v>44960</v>
      </c>
      <c r="BX94" s="320">
        <v>13.4</v>
      </c>
      <c r="BY94" s="320"/>
      <c r="BZ94" s="305"/>
      <c r="CA94" s="309"/>
      <c r="CB94" s="308" t="s">
        <v>864</v>
      </c>
      <c r="CC94" s="308" t="s">
        <v>864</v>
      </c>
      <c r="CD94" s="308"/>
      <c r="CE94" s="308" t="s">
        <v>864</v>
      </c>
      <c r="CF94" s="22" t="s">
        <v>1517</v>
      </c>
      <c r="CG94" s="309">
        <v>1.41</v>
      </c>
      <c r="CH94" s="309">
        <v>50</v>
      </c>
      <c r="CI94" s="307">
        <f t="shared" si="259"/>
        <v>25.149640360142854</v>
      </c>
      <c r="CJ94" s="321" t="e">
        <f>IF(AND(CI94&lt;10,CH94="SD"),"SIN DATO PESO PREGESTACION O I TRIM",IF(AND(OR(R94&gt;0,O94&gt;0),CI94="X"),"INGRESAR DATO DE PESO",IF(CI94="SD","INGRESAR DATO DE TALLA Y PESO",IF(AND(OR(Tabla1[[#This Row],[MOMENTO EN QUE SE REALIZA EL PESO AL INGRESO A CPN]]="PREGESTACIÓN",NZ94="Menor"),CI94&lt;18.5),"BAJO PESO",IF(AND(OR(Tabla1[[#This Row],[MOMENTO EN QUE SE REALIZA EL PESO AL INGRESO A CPN]]="PREGESTACIÓN",NZ94="Menor"),CI94&lt;25),"NORMAL",IF(AND(OR(Tabla1[[#This Row],[MOMENTO EN QUE SE REALIZA EL PESO AL INGRESO A CPN]]="PREGESTACIÓN",NZ94="Menor"),CI94&lt;30),"SOBREPESO",IF(AND(OR(Tabla1[[#This Row],[MOMENTO EN QUE SE REALIZA EL PESO AL INGRESO A CPN]]="PREGESTACIÓN",NZ94="Menor"),CI94&gt;=30,CI94&lt;50),"OBESIDAD",IF(AND(BS94&gt;0,Tabla1[[#This Row],[MOMENTO EN QUE SE REALIZA EL PESO AL INGRESO A CPN]]="GESTACIÓN"),HLOOKUP(NZ94,$OA$2:PH94,NY94),""))))))))</f>
        <v>#REF!</v>
      </c>
      <c r="CK94" s="322">
        <f t="shared" si="260"/>
        <v>45115</v>
      </c>
      <c r="CL94" s="309">
        <v>58</v>
      </c>
      <c r="CM94" s="307">
        <f t="shared" si="261"/>
        <v>29.173582817765709</v>
      </c>
      <c r="CN94" s="318">
        <f t="shared" si="262"/>
        <v>35</v>
      </c>
      <c r="CO94" s="318" t="e">
        <f>IF(PI94="","",IF(PI94&gt;0,HLOOKUP(PI94,$PJ$2:QQ94,NY94),""))</f>
        <v>#REF!</v>
      </c>
      <c r="CP94" s="309">
        <v>32</v>
      </c>
      <c r="CQ94" s="318" t="e">
        <f>IF(QR94="Menor","NO APLICA-MENOR 13 SEM",IF(AND(CC94="SI",CN94&gt;23),"NO APLICA- GEMELAR",IF(QR94="","",IF(QR94&gt;0,HLOOKUP(QR94,$QS$2:RU94,NY94),""))))</f>
        <v>#REF!</v>
      </c>
      <c r="CR94" s="309"/>
      <c r="CS94" s="309"/>
      <c r="CT94" s="323" t="str">
        <f>IF(R94="","",IF(AND(BS94&gt;1,BS94&lt;12,Tabla1[[#This Row],[T.A. SISTOLICA - ANTES DE SEMANA 12]]="",Tabla1[[#This Row],[T.A. DIASTOLICA - ANTES DE SEMANA 12]]=""),"REGISTRE DATO TA ANTES SEMANA 12",IF(AND(BS94&gt;11,BS94&lt;43,Tabla1[[#This Row],[T.A. SISTOLICA - ANTES DE SEMANA 12]]="",Tabla1[[#This Row],[T.A. DIASTOLICA - ANTES DE SEMANA 12]]=""),"NO APLICA REGISTRO TA-INGRESO TARDIO",IF(AND(OR(O94&gt;0,R94&gt;0),OR(CR94&gt;=140,CS94&gt;=90)),"DEFINIR ESTADIO HTA",IF(AND(OR(O94&gt;0,R94&gt;0),AND(CR94&gt;120,CR94&lt;=139)),"PRE HTA SEGUIMIENTO",IF(AND(OR(O94&gt;0,R94&gt;0),AND(CS94&gt;80,CS94&lt;=89)),"PRE HTA SEGUIMIENTO",IF(AND(OR(O94&gt;0,R94&gt;0),AND(CR94&gt;=80,CR94&lt;=120)),"APARENTEMENTE NORMAL",IF(AND(OR(O94&gt;0,R94&gt;0),AND(CS94&gt;=50,CS94&lt;=80)),"APARENTEMENTE NORMAL",IF(AND(OR(O94&gt;0,R94&gt;0),AND(CR94&gt;1,CR94&lt;=70),AND(CS94&gt;1,CS94&lt;=40)),"HIPOTENSIÓN","")))))))))</f>
        <v>NO APLICA REGISTRO TA-INGRESO TARDIO</v>
      </c>
      <c r="CU94" s="309">
        <v>90</v>
      </c>
      <c r="CV94" s="309">
        <v>60</v>
      </c>
      <c r="CW94" s="323" t="str">
        <f ca="1">IF(R94="","",IF(AND(CN94&gt;19,CN94&lt;27,Tabla1[[#This Row],[T.A. SISTOLICA (Entre semana 20 y 26)]]="",Tabla1[[#This Row],[T.A. DIATOLICA (Entre semana 20 y 26)]]=""),"ACUDE A CONTROL SEM 20 A 26 REGISTRE TA AHORA",IF(AND(BS94&gt;1,BS94&lt;27,BU94&gt;19,Tabla1[[#This Row],[T.A. SISTOLICA (Entre semana 20 y 26)]]="",Tabla1[[#This Row],[T.A. DIATOLICA (Entre semana 20 y 26)]]=""),"COMPLETE REGISTRO TA CONTROL SEM 20 A26 ",IF(AND(BS94&gt;26,BS94&lt;43,Tabla1[[#This Row],[T.A. SISTOLICA (Entre semana 20 y 26)]]="",Tabla1[[#This Row],[T.A. DIATOLICA (Entre semana 20 y 26)]]=""),"NO APLICA REGISTRO TA-INGRESO TARDIO",IF(AND(OR(O94&gt;0,R94&gt;0),OR(CU94&gt;=140,CV94&gt;=90)),"ALTO RIESGO PREECLAMPSIA,DEFINIR ESTADIO HTA",IF(AND(OR(O94&gt;0,R94&gt;0),AND(CU94&gt;120,CU94&lt;=139)),"PRE HTA SEGUIMIENTO,RIESGO HIPERTENSION INDUCIDA POR EL EMBARAZO",IF(AND(OR(O94&gt;0,R94&gt;0),AND(CV94&gt;80,CV94&lt;=89)),"PRE HTA SEGUIMIENTO, RIESGO HIPERTENSION INDUCIDA POR EL EMBARAZO",IF(AND(OR(O94&lt;&gt;"",R94&lt;&gt;""),CS94&lt;&gt;"",CV94&lt;&gt;"",CS94&lt;=CV94),"VIGILAR CIFRAS PRESION ARTERIAL",IF(AND(OR(O94&gt;0,R94&gt;0),AND(CU94&gt;120,CU94&lt;=139)),"PRE HTA SEGUIMIENTO",IF(AND(OR(O94&gt;0,R94&gt;0),AND(CU94&gt;1,CU94&lt;=70),AND(CV94&gt;1,CV94&lt;=40)),"HIPOTENSIÓN",IF(AND(OR(O94&lt;&gt;"",R94&lt;&gt;""),CS94&lt;&gt;"",CV94&lt;&gt;"",CS94&gt;CV94),"APARENTEMENTE NORMAL",IF(AND(OR(O94&gt;0,R94&gt;0),AND(CU94&gt;=80,CU94&lt;=120)),"APARENTEMENTE NORMAL",IF(AND(OR(O94&gt;0,R94&gt;0),AND(CV94&gt;=50,CV94&lt;=80)),"APARENTEMENTE NORMAL","")))))))))))))</f>
        <v>APARENTEMENTE NORMAL</v>
      </c>
      <c r="CX94" s="309"/>
      <c r="CY94" s="309"/>
      <c r="CZ94" s="318" t="str">
        <f t="shared" si="263"/>
        <v/>
      </c>
      <c r="DA94" s="309">
        <v>100</v>
      </c>
      <c r="DB94" s="309">
        <v>60</v>
      </c>
      <c r="DC94" s="323" t="str">
        <f t="shared" si="264"/>
        <v>VIGILAR CIFRAS PRESION ARTERIAL</v>
      </c>
      <c r="DD94" s="305">
        <v>44958</v>
      </c>
      <c r="DE94" s="305">
        <v>44958</v>
      </c>
      <c r="DF94" s="305">
        <v>45031</v>
      </c>
      <c r="DG94" s="305">
        <v>45071</v>
      </c>
      <c r="DH94" s="305">
        <v>45115</v>
      </c>
      <c r="DI94" s="305"/>
      <c r="DJ94" s="305"/>
      <c r="DK94" s="305"/>
      <c r="DL94" s="305"/>
      <c r="DM94" s="305"/>
      <c r="DN94" s="305"/>
      <c r="DO94" s="305"/>
      <c r="DP94" s="305"/>
      <c r="DQ94" s="305"/>
      <c r="DR94" s="320"/>
      <c r="DS94" s="305"/>
      <c r="DT94" s="305"/>
      <c r="DU94" s="318" t="str">
        <f t="shared" ca="1" si="439"/>
        <v>CONCERTAR PLAN DE PARTO INMEDIATO</v>
      </c>
      <c r="DV94" s="324" t="str">
        <f t="shared" si="440"/>
        <v>ACTIVA INGRESO A CPN</v>
      </c>
      <c r="DW94" s="32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94" s="318" t="e">
        <f t="shared" ca="1" si="266"/>
        <v>#REF!</v>
      </c>
      <c r="DY94" s="322">
        <f>IF(R94="","",IF(R94&gt;0,MAX(Tabla1[[#This Row],[FECHA C2]:[FECHA C13]],Tabla1[[#This Row],[FECHA CONSULTA PRIMERA VEZ PROGRAMA CPN ]])))</f>
        <v>45115</v>
      </c>
      <c r="DZ94" s="318">
        <f t="shared" si="267"/>
        <v>35</v>
      </c>
      <c r="EA94" s="315">
        <f>IF(R94&gt;0,SUM(COUNTA(DF94:DQ94)+COUNTA(Tabla1[[#This Row],[FECHA CONSULTA PRIMERA VEZ PROGRAMA CPN ]])),"")</f>
        <v>4</v>
      </c>
      <c r="EB94" s="315" t="str">
        <f t="shared" si="268"/>
        <v>SI</v>
      </c>
      <c r="EC94" s="307">
        <f t="shared" si="269"/>
        <v>8</v>
      </c>
      <c r="ED94" s="325">
        <f t="shared" si="270"/>
        <v>0.5</v>
      </c>
      <c r="EE94" s="305">
        <v>44958</v>
      </c>
      <c r="EF94" s="305"/>
      <c r="EG94" s="305">
        <v>44958</v>
      </c>
      <c r="EH94" s="305"/>
      <c r="EI94" s="305">
        <v>44958</v>
      </c>
      <c r="EJ94" s="305"/>
      <c r="EK94" s="305"/>
      <c r="EL94" s="309"/>
      <c r="EM94" s="309"/>
      <c r="EN94" s="305"/>
      <c r="EO94" s="315" t="str">
        <f t="shared" si="271"/>
        <v>TOMAR EXAMEN</v>
      </c>
      <c r="EP94" s="307" t="str">
        <f t="shared" si="272"/>
        <v/>
      </c>
      <c r="EQ94" s="318" t="str">
        <f t="shared" si="273"/>
        <v>POR DEFINIR</v>
      </c>
      <c r="ER94" s="310"/>
      <c r="ES94" s="305"/>
      <c r="ET94" s="326" t="str">
        <f t="shared" ca="1" si="441"/>
        <v>TOMA DE HEMOGLOBINA TARDÍA</v>
      </c>
      <c r="EU94" s="319" t="str">
        <f t="shared" si="275"/>
        <v/>
      </c>
      <c r="EV94" s="310"/>
      <c r="EW94" s="310"/>
      <c r="EX94" s="305"/>
      <c r="EY94" s="326" t="str">
        <f t="shared" si="248"/>
        <v>TOMAR EXAMEN</v>
      </c>
      <c r="EZ94" s="319" t="str">
        <f t="shared" ca="1" si="249"/>
        <v/>
      </c>
      <c r="FA94" s="309">
        <v>78</v>
      </c>
      <c r="FB94" s="305">
        <v>44960</v>
      </c>
      <c r="FC94" s="326">
        <f t="shared" si="276"/>
        <v>13.400000000000416</v>
      </c>
      <c r="FD94" s="326"/>
      <c r="FE94" s="326"/>
      <c r="FF94" s="326"/>
      <c r="FG94" s="309" t="str">
        <f t="shared" ca="1" si="277"/>
        <v/>
      </c>
      <c r="FH94" s="327"/>
      <c r="FI94" s="326" t="str">
        <f t="shared" si="278"/>
        <v>TOMAR EXAMEN</v>
      </c>
      <c r="FJ94" s="305"/>
      <c r="FK94" s="305"/>
      <c r="FL94" s="326" t="str">
        <f t="shared" ca="1" si="279"/>
        <v>NO APLICA-INGRESO TARDIO</v>
      </c>
      <c r="FM94" s="305" t="s">
        <v>867</v>
      </c>
      <c r="FN94" s="305">
        <v>44960</v>
      </c>
      <c r="FO94" s="326">
        <f t="shared" ca="1" si="442"/>
        <v>13.400000000000416</v>
      </c>
      <c r="FP94" s="305"/>
      <c r="FQ94" s="328"/>
      <c r="FR94" s="326" t="str">
        <f t="shared" ca="1" si="443"/>
        <v>TOMA INMEDIATA DE TAMIZAJE</v>
      </c>
      <c r="FS94" s="305"/>
      <c r="FT94" s="328"/>
      <c r="FU94" s="326" t="str">
        <f>IF(AND(FJ94="",FM94="",FP94="",FS94=""),"",IF(OR(OR(Tabla1[[#This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94" s="320"/>
      <c r="FW94" s="305"/>
      <c r="FX94" s="326" t="str">
        <f t="shared" si="280"/>
        <v>TOMAR EXAMEN</v>
      </c>
      <c r="FY94" s="305"/>
      <c r="FZ94" s="305"/>
      <c r="GA94" s="326" t="str">
        <f t="shared" ca="1" si="453"/>
        <v>NO APLICA-INGRESO TARDIO</v>
      </c>
      <c r="GB94" s="305" t="s">
        <v>868</v>
      </c>
      <c r="GC94" s="305">
        <v>44958</v>
      </c>
      <c r="GD94" s="326">
        <f t="shared" ca="1" si="444"/>
        <v>13.11428571428613</v>
      </c>
      <c r="GE94" s="305"/>
      <c r="GF94" s="305"/>
      <c r="GG94" s="326" t="str">
        <f t="shared" ca="1" si="445"/>
        <v>TOMA INMEDIATA DE TAMIZAJE</v>
      </c>
      <c r="GH94" s="305"/>
      <c r="GI94" s="326"/>
      <c r="GJ94" s="305"/>
      <c r="GK94" s="305"/>
      <c r="GL94" s="305"/>
      <c r="GM94" s="305"/>
      <c r="GN94" s="320"/>
      <c r="GO94" s="305"/>
      <c r="GP94" s="326" t="str">
        <f t="shared" si="283"/>
        <v>TOMAR EXAMEN</v>
      </c>
      <c r="GQ94" s="320"/>
      <c r="GR94" s="320"/>
      <c r="GS94" s="305" t="str">
        <f t="shared" si="284"/>
        <v/>
      </c>
      <c r="GT94" s="305"/>
      <c r="GU94" s="326" t="str">
        <f t="shared" si="285"/>
        <v>TOMAR EXAMEN</v>
      </c>
      <c r="GV94" s="309" t="str">
        <f t="shared" si="286"/>
        <v>POR DEFINIR</v>
      </c>
      <c r="GW94" s="320"/>
      <c r="GX94" s="329"/>
      <c r="GY94" s="309"/>
      <c r="GZ94" s="309"/>
      <c r="HA94" s="309"/>
      <c r="HB94" s="309"/>
      <c r="HC94" s="309"/>
      <c r="HD94" s="309"/>
      <c r="HE94" s="309"/>
      <c r="HF94" s="305"/>
      <c r="HG94" s="305" t="str">
        <f>IF(OR(O94&gt;0,R94&gt;0),CONCATENATE(IF(Tabla1[[#This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94" s="305" t="e">
        <f t="shared" si="287"/>
        <v>#REF!</v>
      </c>
      <c r="HI94" s="305" t="e">
        <f t="shared" ca="1" si="288"/>
        <v>#REF!</v>
      </c>
      <c r="HJ94" s="309" t="str">
        <f t="shared" ca="1" si="289"/>
        <v>***************************************</v>
      </c>
      <c r="HK94" s="309" t="str">
        <f t="shared" si="290"/>
        <v>SIN ANTECEDENTES DE RIESGO</v>
      </c>
      <c r="HL94" s="310" t="str">
        <f t="shared" si="291"/>
        <v>VIGILAR CIFRAS PRESION ARTERIAL</v>
      </c>
      <c r="HM94" s="309" t="e">
        <f t="shared" ca="1" si="292"/>
        <v>#REF!</v>
      </c>
      <c r="HN94" s="329" t="str">
        <f t="shared" si="446"/>
        <v>ACTIVA INGRESO A CPN</v>
      </c>
      <c r="HO94" s="309"/>
      <c r="HP94" s="309"/>
      <c r="HQ94" s="309">
        <v>45031</v>
      </c>
      <c r="HR94" s="309" t="str">
        <f>IF(R94="","",IF(Tabla1[[#This Row],[ALARMA FACTORES DE RIESGO COMPLICACIONES HIPERTENSIVAS3]]="SIN ANTECEDENTES DE RIESGO","No Aplica para suministro de ASA",IF(AND(Tabla1[[#This Row],[FECHA INICIO DE SUMINISTRO DE ASA]]&gt;0,RV94&lt;12),"Inicia ASA ANTES de Sem 12",IF(AND(RV94&gt;11,RV94&lt;17,OR(HK94="RIESGO ALTO DE COMPLICACIONES HIPERTENSIVAS VER MANEJO GUIA SUMINISTRO ASA Y CALCIO",HK94="RIESGO MODERADO (2 O MAS CRITERIOS) VER MANEJO GUIA SUMINISTRO ASA Y CALCIO")),"Inicio oportuno de ASA",IF(AND(RV94&gt;12,OR(HK94="RIESGO ALTO DE COMPLICACIONES HIPERTENSIVAS VER MANEJO GUIA SUMINISTRO ASA Y CALCIO",HK94="RIESGO MODERADO (2 O MAS CRITERIOS) VER MANEJO GUIA SUMINISTRO ASA Y CALCIO")),"Inicio no oportuno mayor a 16 semanas",IF(AND(BU94&lt;12,OR(HK94="RIESGO ALTO DE COMPLICACIONES HIPERTENSIVAS VER MANEJO GUIA SUMINISTRO ASA Y CALCIO",HK94="RIESGO MODERADO (2 O MAS CRITERIOS) VER MANEJO GUIA SUMINISTRO ASA Y CALCIO")),"Pendiente Inicio de ASA a la semana 12",IF(AND(BU94&gt;11,BU94&lt;17,OR(HK94="RIESGO ALTO DE COMPLICACIONES HIPERTENSIVAS VER MANEJO GUIA SUMINISTRO ASA Y CALCIO",HK94="RIESGO MODERADO (2 O MAS CRITERIOS) VER MANEJO GUIA SUMINISTRO ASA Y CALCIO")),"Iniciar de inmediato ASA",IF(AND(BU94&gt;16,OR(HK94="RIESGO ALTO DE COMPLICACIONES HIPERTENSIVAS VER MANEJO GUIA SUMINISTRO ASA Y CALCIO",HK94="RIESGO MODERADO (2 O MAS CRITERIOS) VER MANEJO GUIA SUMINISTRO ASA Y CALCIO")),"Pierde Oportunidad, Inicio tardío de ASA","XXXXX"))))))))</f>
        <v>No Aplica para suministro de ASA</v>
      </c>
      <c r="HS94" s="305">
        <v>45031</v>
      </c>
      <c r="HT94" s="305" t="s">
        <v>870</v>
      </c>
      <c r="HU94" s="305"/>
      <c r="HV94" s="305"/>
      <c r="HW94" s="305">
        <v>45031</v>
      </c>
      <c r="HX94" s="305" t="s">
        <v>870</v>
      </c>
      <c r="HY94" s="305">
        <v>44958</v>
      </c>
      <c r="HZ94" s="320">
        <f t="shared" si="293"/>
        <v>13.11428571428613</v>
      </c>
      <c r="IA94" s="308"/>
      <c r="IB94" s="308"/>
      <c r="IC94" s="330"/>
      <c r="ID94" s="305"/>
      <c r="IE94" s="305" t="str">
        <f t="shared" ca="1" si="294"/>
        <v/>
      </c>
      <c r="IF94" s="305"/>
      <c r="IG94" s="305">
        <f t="shared" si="295"/>
        <v>45146.2</v>
      </c>
      <c r="IH94" s="326">
        <f t="shared" ca="1" si="296"/>
        <v>-85.80000000000291</v>
      </c>
      <c r="II94" s="305" t="str">
        <f t="shared" ca="1" si="297"/>
        <v>POSIBLEMENTE NACIO</v>
      </c>
      <c r="IJ94" s="305"/>
      <c r="IK94" s="309"/>
      <c r="IL94" s="309"/>
      <c r="IM94" s="331"/>
      <c r="IN94" s="350"/>
      <c r="IO94" s="309"/>
      <c r="IP94" s="326" t="str">
        <f t="shared" si="436"/>
        <v/>
      </c>
      <c r="IQ94" s="303"/>
      <c r="IR94" s="309"/>
      <c r="IS94" s="309"/>
      <c r="IT94" s="309"/>
      <c r="IU94" s="309"/>
      <c r="IV94" s="309"/>
      <c r="IW94" s="309"/>
      <c r="IX94" s="309"/>
      <c r="IY94" s="309"/>
      <c r="IZ94" s="309"/>
      <c r="JA94" s="309"/>
      <c r="JB94" s="329"/>
      <c r="JC94" s="309"/>
      <c r="JD94" s="333"/>
      <c r="JE94" s="309" t="str">
        <f t="shared" si="447"/>
        <v/>
      </c>
      <c r="JF94" s="329"/>
      <c r="JG94" s="309"/>
      <c r="JH94" s="309"/>
      <c r="JI94" s="309"/>
      <c r="JJ94" s="329"/>
      <c r="JK94" s="305"/>
      <c r="JL94" s="305"/>
      <c r="JM94" s="309"/>
      <c r="JN94" s="333"/>
      <c r="JO94" s="309" t="str">
        <f t="shared" si="448"/>
        <v/>
      </c>
      <c r="JP94" s="305"/>
      <c r="JQ94" s="309"/>
      <c r="JR94" s="309"/>
      <c r="JS94" s="309"/>
      <c r="JT94" s="329"/>
      <c r="JU94" s="305"/>
      <c r="JV94" s="305"/>
      <c r="JW94" s="334"/>
      <c r="JX94" s="320" t="str">
        <f t="shared" si="449"/>
        <v/>
      </c>
      <c r="JY94" s="334"/>
      <c r="JZ94" s="320" t="str">
        <f t="shared" si="450"/>
        <v/>
      </c>
      <c r="KA94" s="309"/>
      <c r="KB94" s="309"/>
      <c r="KC94" s="309"/>
      <c r="KD94" s="335"/>
      <c r="KE94" s="320"/>
      <c r="KF94" s="320"/>
      <c r="KG94" s="320"/>
      <c r="KH94" s="336"/>
      <c r="KI94" s="336"/>
      <c r="KJ94" s="337"/>
      <c r="KK94" s="336"/>
      <c r="KL94" s="336"/>
      <c r="KM94" s="337"/>
      <c r="KN94" s="336"/>
      <c r="KO94" s="336"/>
      <c r="KP94" s="336"/>
      <c r="KQ94" s="336"/>
      <c r="KR94" s="336"/>
      <c r="KS94" s="336"/>
      <c r="KT94" s="336"/>
      <c r="KU94" s="312"/>
      <c r="KV94" s="312"/>
      <c r="KW94" s="312"/>
      <c r="KX94" s="312"/>
      <c r="KY94" s="312"/>
      <c r="KZ94" s="312"/>
      <c r="LA94" s="312"/>
      <c r="LB94" s="312"/>
      <c r="LC94" s="312"/>
      <c r="LD94" s="312"/>
      <c r="LE94" s="312"/>
      <c r="LF94" s="312"/>
      <c r="LG94" s="312"/>
      <c r="LH94" s="312"/>
      <c r="LI94" s="312"/>
      <c r="LJ94" s="312"/>
      <c r="LK94" s="312"/>
      <c r="LL94" s="312"/>
      <c r="LM94" s="312"/>
      <c r="LN94" s="312"/>
      <c r="LO94" s="312"/>
      <c r="LP94" s="312"/>
      <c r="LQ94" s="312"/>
      <c r="LR94" s="312"/>
      <c r="LS94" s="312"/>
      <c r="LT94" s="312"/>
      <c r="LU94" s="312"/>
      <c r="LV94" s="312"/>
      <c r="LW94" s="312"/>
      <c r="LX94" s="312"/>
      <c r="LY94" s="312"/>
      <c r="LZ94" s="312"/>
      <c r="MA94" s="312"/>
      <c r="MB94" s="312"/>
      <c r="MC94" s="312"/>
      <c r="MD94" s="312"/>
      <c r="ME94" s="312"/>
      <c r="MF94" s="312"/>
      <c r="MG94" s="312"/>
      <c r="MH94" s="43">
        <f t="shared" si="303"/>
        <v>0</v>
      </c>
      <c r="MI94" s="43" t="str">
        <f t="shared" si="304"/>
        <v/>
      </c>
      <c r="MJ94" s="43" t="str">
        <f t="shared" si="305"/>
        <v/>
      </c>
      <c r="MK94" s="43">
        <f t="shared" si="306"/>
        <v>0</v>
      </c>
      <c r="ML9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94" s="43">
        <f t="shared" si="307"/>
        <v>13.11428571428613</v>
      </c>
      <c r="MN94" s="43">
        <f t="shared" si="308"/>
        <v>2</v>
      </c>
      <c r="MO94" s="43">
        <f t="shared" si="309"/>
        <v>2023</v>
      </c>
      <c r="MP94" s="43" t="str">
        <f t="shared" si="310"/>
        <v>I TRIMESTRE AÑO</v>
      </c>
      <c r="MQ94" s="43">
        <f t="shared" si="311"/>
        <v>34.280551905387647</v>
      </c>
      <c r="MR94" s="43">
        <f t="shared" si="312"/>
        <v>0</v>
      </c>
      <c r="MS94" s="43" t="str">
        <f t="shared" si="313"/>
        <v xml:space="preserve"> DE 30 A 34 AÑOS</v>
      </c>
      <c r="MT94" s="43">
        <f t="shared" si="314"/>
        <v>0</v>
      </c>
      <c r="MU94" s="43">
        <f t="shared" si="315"/>
        <v>0</v>
      </c>
      <c r="MV94" s="43">
        <f t="shared" si="316"/>
        <v>0</v>
      </c>
      <c r="MW94" s="43">
        <f t="shared" si="317"/>
        <v>0</v>
      </c>
      <c r="MX94" s="43" t="str">
        <f t="shared" si="318"/>
        <v/>
      </c>
      <c r="MY94" s="43" t="str">
        <f t="shared" ca="1" si="451"/>
        <v/>
      </c>
      <c r="MZ94" s="43" t="str">
        <f t="shared" si="319"/>
        <v/>
      </c>
      <c r="NA94" s="43" t="str">
        <f t="shared" si="320"/>
        <v/>
      </c>
      <c r="NB94" s="43" t="str">
        <f t="shared" si="321"/>
        <v/>
      </c>
      <c r="NC94" s="43" t="str">
        <f t="shared" si="322"/>
        <v/>
      </c>
      <c r="ND94" s="43">
        <f t="shared" ca="1" si="323"/>
        <v>0</v>
      </c>
      <c r="NE94" s="43">
        <f>IF(OR(O94&gt;0,R94&gt;0),SUM(COUNTIF(Tabla1[[#This Row],[AÑOS AL INICIO5 CPN]],"&gt;=40"),COUNTIF(AS94,"0"),COUNTIF(AR94,"SI"),COUNTIF(CC94,"SI"),COUNTIF(BQ94,"&gt;119"),COUNTIF(CI94,"&gt;=35")),"")</f>
        <v>1</v>
      </c>
      <c r="NF94" s="43" t="str">
        <f t="shared" si="324"/>
        <v/>
      </c>
      <c r="NG94" s="43">
        <f t="shared" si="325"/>
        <v>0</v>
      </c>
      <c r="NH94" s="43">
        <f t="shared" si="326"/>
        <v>93.8</v>
      </c>
      <c r="NI9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CPN",P94="NO"),"Z",IF(AND(Tabla1[[#This Row],[CITA PROXIMO CONTROL]]="CITA MANUAL",Tabla1[[#This Row],[GESTANTES ACTUALES]]="ACTIVA INGRESO A CPN"),"W",IF(AND(Tabla1[[#This Row],[GESTANTES ACTUALES]]="SALIO PROGRAMA",IN94=""),"S",IF(AND(Tabla1[[#This Row],[CITA PROXIMO CONTROL]]&gt;0,IN94=""),(Tabla1[[#This Row],[CITA PROXIMO CONTROL]]-TODAY()),"SD"))))))))</f>
        <v>#REF!</v>
      </c>
      <c r="NJ94" s="43">
        <f>MONTH(Tabla1[[#This Row],[FECHA DE SALIDA  DEL PROGRAMA]])</f>
        <v>1</v>
      </c>
      <c r="NK94" s="43">
        <f>YEAR(Tabla1[[#This Row],[FECHA DE SALIDA  DEL PROGRAMA]])</f>
        <v>1900</v>
      </c>
      <c r="NL94" s="43" t="str">
        <f t="shared" si="327"/>
        <v>X</v>
      </c>
      <c r="NM94" s="43" t="str">
        <f>IF(AND(O94&gt;0,R94=""),"NO CPN",IF(AND(O94="",R94=""),"",IF(AND(EN94&lt;&gt;"",EX94&lt;&gt;"",FB94&lt;&gt;"",FK94&lt;&gt;"",FW94&lt;&gt;"",FZ94&lt;&gt;"",GO94&lt;&gt;"",GQ94&lt;&gt;"",GR94&lt;&gt;""),"SI","NO")))</f>
        <v>NO</v>
      </c>
      <c r="NN94" s="43" t="str">
        <f ca="1">IF(AND(O94&gt;0,R94=""),"NO CPN",IF(AND(O94="",R94=""),"",IF(AND(R94&gt;0,Tabla1[[#This Row],[SEMANAS DE GESTACION ACTUALIZADAS]]&lt;=12),"NO APLICA",IF(AND(FH94&lt;&gt;"",FN94&lt;&gt;""),"SI","NO"))))</f>
        <v>NO</v>
      </c>
      <c r="NO94" s="43" t="str">
        <f ca="1">IF(AND(O94&gt;0,R94=""),"NO CPN",IF(AND(O94="",R94=""),"",IF(AND(R94&gt;0,Tabla1[[#This Row],[SEMANAS DE GESTACION ACTUALIZADAS]]&lt;=27),"NO APLICA",IF(AND(ES94&lt;&gt;"",FQ94&lt;&gt;"",GF94&lt;&gt;""),"SI","NO"))))</f>
        <v>NO</v>
      </c>
      <c r="NP94" s="204" t="str">
        <f t="shared" si="328"/>
        <v>II TRIM</v>
      </c>
      <c r="NQ94" s="21" t="str">
        <f t="shared" si="437"/>
        <v/>
      </c>
      <c r="NR94" s="21" t="str">
        <f t="shared" ca="1" si="452"/>
        <v>REVISAR FUM O FECHA SALIDA PROGRAMA</v>
      </c>
      <c r="NS94" s="205">
        <f t="shared" ca="1" si="329"/>
        <v>1</v>
      </c>
      <c r="NT94" s="21">
        <f t="shared" ca="1" si="330"/>
        <v>1</v>
      </c>
      <c r="NU94" s="21" t="str">
        <f t="shared" ca="1" si="331"/>
        <v>POR DEFINIR</v>
      </c>
      <c r="NV94" s="21" t="str">
        <f t="shared" ca="1" si="332"/>
        <v>POR DEFINIR</v>
      </c>
      <c r="NW94" s="206" t="str">
        <f>IF(AND(O94="",R94=""),"",IF(OR(AND(Tabla1[[#This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94" s="207" t="str">
        <f t="shared" ca="1" si="333"/>
        <v>SIN VACUNAR</v>
      </c>
      <c r="NY94" s="43">
        <f>ROW(Tabla1[[#This Row],['# DE TAMIZAJES SIFILIS TOMADOS ]])</f>
        <v>94</v>
      </c>
      <c r="NZ94" s="43">
        <f t="shared" si="334"/>
        <v>13</v>
      </c>
      <c r="OA94" s="43" t="str">
        <f t="shared" si="335"/>
        <v/>
      </c>
      <c r="OB94" s="43" t="str">
        <f t="shared" si="336"/>
        <v/>
      </c>
      <c r="OC94" s="43" t="str">
        <f t="shared" si="337"/>
        <v/>
      </c>
      <c r="OD94" s="43" t="str">
        <f t="shared" si="338"/>
        <v/>
      </c>
      <c r="OE94" s="43" t="str">
        <f t="shared" si="339"/>
        <v>NORMAL</v>
      </c>
      <c r="OF94" s="43" t="str">
        <f t="shared" si="340"/>
        <v/>
      </c>
      <c r="OG94" s="43" t="str">
        <f t="shared" si="341"/>
        <v/>
      </c>
      <c r="OH94" s="43" t="str">
        <f t="shared" si="342"/>
        <v/>
      </c>
      <c r="OI94" s="43" t="str">
        <f t="shared" si="343"/>
        <v/>
      </c>
      <c r="OJ94" s="43" t="str">
        <f t="shared" si="344"/>
        <v/>
      </c>
      <c r="OK94" s="43" t="str">
        <f t="shared" si="345"/>
        <v/>
      </c>
      <c r="OL94" s="43" t="str">
        <f t="shared" si="346"/>
        <v/>
      </c>
      <c r="OM94" s="43" t="str">
        <f t="shared" si="347"/>
        <v/>
      </c>
      <c r="ON94" s="43" t="str">
        <f t="shared" si="348"/>
        <v/>
      </c>
      <c r="OO94" s="43" t="str">
        <f t="shared" si="349"/>
        <v/>
      </c>
      <c r="OP94" s="43" t="str">
        <f t="shared" si="350"/>
        <v/>
      </c>
      <c r="OQ94" s="43" t="str">
        <f t="shared" si="351"/>
        <v/>
      </c>
      <c r="OR94" s="43" t="str">
        <f t="shared" si="352"/>
        <v/>
      </c>
      <c r="OS94" s="43" t="str">
        <f t="shared" si="353"/>
        <v/>
      </c>
      <c r="OT94" s="43" t="str">
        <f t="shared" si="354"/>
        <v/>
      </c>
      <c r="OU94" s="43" t="str">
        <f t="shared" si="355"/>
        <v/>
      </c>
      <c r="OV94" s="110" t="str">
        <f t="shared" si="356"/>
        <v/>
      </c>
      <c r="OW94" s="43" t="str">
        <f t="shared" si="357"/>
        <v/>
      </c>
      <c r="OX94" s="43" t="str">
        <f t="shared" si="358"/>
        <v/>
      </c>
      <c r="OY94" s="43" t="str">
        <f t="shared" si="359"/>
        <v/>
      </c>
      <c r="OZ94" s="43" t="str">
        <f t="shared" si="360"/>
        <v/>
      </c>
      <c r="PA94" s="43" t="str">
        <f t="shared" si="361"/>
        <v/>
      </c>
      <c r="PB94" s="43" t="str">
        <f t="shared" si="362"/>
        <v/>
      </c>
      <c r="PC94" s="43" t="str">
        <f t="shared" si="363"/>
        <v/>
      </c>
      <c r="PD94" s="43" t="str">
        <f t="shared" si="364"/>
        <v/>
      </c>
      <c r="PE94" s="43" t="str">
        <f t="shared" si="365"/>
        <v/>
      </c>
      <c r="PF94" s="43" t="str">
        <f t="shared" si="366"/>
        <v/>
      </c>
      <c r="PG94" s="43" t="str">
        <f t="shared" si="367"/>
        <v/>
      </c>
      <c r="PH94" s="43" t="str">
        <f t="shared" si="368"/>
        <v/>
      </c>
      <c r="PI94" s="43">
        <f t="shared" si="369"/>
        <v>35</v>
      </c>
      <c r="PJ94" s="43" t="str">
        <f t="shared" si="370"/>
        <v/>
      </c>
      <c r="PK94" s="43" t="str">
        <f t="shared" si="371"/>
        <v/>
      </c>
      <c r="PL94" s="43" t="str">
        <f t="shared" si="372"/>
        <v/>
      </c>
      <c r="PM94" s="43" t="str">
        <f t="shared" si="373"/>
        <v/>
      </c>
      <c r="PN94" s="43" t="str">
        <f t="shared" si="374"/>
        <v/>
      </c>
      <c r="PO94" s="43" t="str">
        <f t="shared" si="375"/>
        <v/>
      </c>
      <c r="PP94" s="43" t="str">
        <f t="shared" si="376"/>
        <v/>
      </c>
      <c r="PQ94" s="43" t="str">
        <f t="shared" si="377"/>
        <v/>
      </c>
      <c r="PR94" s="43" t="str">
        <f t="shared" si="378"/>
        <v/>
      </c>
      <c r="PS94" s="43" t="str">
        <f t="shared" si="379"/>
        <v/>
      </c>
      <c r="PT94" s="43" t="str">
        <f t="shared" si="380"/>
        <v/>
      </c>
      <c r="PU94" s="43" t="str">
        <f t="shared" si="381"/>
        <v/>
      </c>
      <c r="PV94" s="43" t="str">
        <f t="shared" si="382"/>
        <v/>
      </c>
      <c r="PW94" s="43" t="str">
        <f t="shared" si="383"/>
        <v/>
      </c>
      <c r="PX94" s="43" t="str">
        <f t="shared" si="384"/>
        <v/>
      </c>
      <c r="PY94" s="43" t="str">
        <f t="shared" si="385"/>
        <v/>
      </c>
      <c r="PZ94" s="43" t="str">
        <f t="shared" si="386"/>
        <v/>
      </c>
      <c r="QA94" s="43" t="str">
        <f t="shared" si="387"/>
        <v/>
      </c>
      <c r="QB94" s="43" t="str">
        <f t="shared" si="388"/>
        <v/>
      </c>
      <c r="QC94" s="43" t="str">
        <f t="shared" si="389"/>
        <v/>
      </c>
      <c r="QD94" s="43" t="str">
        <f t="shared" si="390"/>
        <v/>
      </c>
      <c r="QE94" s="43" t="str">
        <f t="shared" si="391"/>
        <v/>
      </c>
      <c r="QF94" s="43" t="str">
        <f t="shared" si="392"/>
        <v/>
      </c>
      <c r="QG94" s="43" t="str">
        <f t="shared" si="393"/>
        <v/>
      </c>
      <c r="QH94" s="43" t="str">
        <f t="shared" si="394"/>
        <v/>
      </c>
      <c r="QI94" s="43" t="str">
        <f t="shared" si="395"/>
        <v/>
      </c>
      <c r="QJ94" s="43" t="str">
        <f t="shared" si="396"/>
        <v>SOBREPESO</v>
      </c>
      <c r="QK94" s="43" t="str">
        <f t="shared" si="397"/>
        <v/>
      </c>
      <c r="QL94" s="43" t="str">
        <f t="shared" si="398"/>
        <v/>
      </c>
      <c r="QM94" s="43" t="str">
        <f t="shared" si="399"/>
        <v/>
      </c>
      <c r="QN94" s="43" t="str">
        <f t="shared" si="400"/>
        <v/>
      </c>
      <c r="QO94" s="43" t="str">
        <f t="shared" si="401"/>
        <v/>
      </c>
      <c r="QP94" s="43" t="str">
        <f t="shared" si="402"/>
        <v/>
      </c>
      <c r="QQ94" s="43" t="str">
        <f t="shared" si="403"/>
        <v/>
      </c>
      <c r="QR94" s="43">
        <f t="shared" si="433"/>
        <v>35</v>
      </c>
      <c r="QS94" s="43"/>
      <c r="QT94" s="21" t="str">
        <f t="shared" si="404"/>
        <v/>
      </c>
      <c r="QU94" s="21" t="str">
        <f t="shared" si="405"/>
        <v/>
      </c>
      <c r="QV94" s="21" t="str">
        <f t="shared" si="406"/>
        <v/>
      </c>
      <c r="QW94" s="21" t="str">
        <f t="shared" si="407"/>
        <v/>
      </c>
      <c r="QX94" s="21" t="str">
        <f t="shared" si="408"/>
        <v/>
      </c>
      <c r="QY94" s="21" t="str">
        <f t="shared" si="409"/>
        <v/>
      </c>
      <c r="QZ94" s="21" t="str">
        <f t="shared" si="410"/>
        <v/>
      </c>
      <c r="RA94" s="21" t="str">
        <f t="shared" si="411"/>
        <v/>
      </c>
      <c r="RB94" s="21" t="str">
        <f t="shared" si="412"/>
        <v/>
      </c>
      <c r="RC94" s="21" t="str">
        <f t="shared" si="413"/>
        <v/>
      </c>
      <c r="RD94" s="21" t="str">
        <f t="shared" si="414"/>
        <v/>
      </c>
      <c r="RE94" s="21" t="str">
        <f t="shared" si="415"/>
        <v/>
      </c>
      <c r="RF94" s="21" t="str">
        <f t="shared" si="416"/>
        <v/>
      </c>
      <c r="RG94" s="21" t="str">
        <f t="shared" si="417"/>
        <v/>
      </c>
      <c r="RH94" s="21" t="str">
        <f t="shared" si="418"/>
        <v/>
      </c>
      <c r="RI94" s="21" t="str">
        <f t="shared" si="419"/>
        <v/>
      </c>
      <c r="RJ94" s="21" t="str">
        <f t="shared" si="420"/>
        <v/>
      </c>
      <c r="RK94" s="21" t="str">
        <f t="shared" si="421"/>
        <v/>
      </c>
      <c r="RL94" s="21" t="str">
        <f t="shared" si="422"/>
        <v/>
      </c>
      <c r="RM94" s="21" t="str">
        <f t="shared" si="423"/>
        <v/>
      </c>
      <c r="RN94" s="21" t="str">
        <f t="shared" si="424"/>
        <v/>
      </c>
      <c r="RO94" s="21" t="str">
        <f t="shared" si="425"/>
        <v/>
      </c>
      <c r="RP94" s="21" t="str">
        <f t="shared" si="426"/>
        <v>ADECUADO PARA EDAD GESTACIONAL</v>
      </c>
      <c r="RQ94" s="21" t="str">
        <f t="shared" si="427"/>
        <v/>
      </c>
      <c r="RR94" s="21" t="str">
        <f t="shared" si="428"/>
        <v/>
      </c>
      <c r="RS94" s="21" t="str">
        <f t="shared" si="429"/>
        <v/>
      </c>
      <c r="RT94" s="21" t="str">
        <f t="shared" si="430"/>
        <v/>
      </c>
      <c r="RU94" s="21" t="str">
        <f t="shared" si="431"/>
        <v/>
      </c>
      <c r="RV94" s="21">
        <f t="shared" si="432"/>
        <v>23.54285714285756</v>
      </c>
      <c r="RW94" s="284">
        <f>IF(OR(Tabla1[[#This Row],[FUM FORMULA CONFIABLE]]="",Tabla1[[#This Row],[FUM FORMULA CONFIABLE]]="SD"),"",IF(Tabla1[[#This Row],[FUM FORMULA CONFIABLE]]="CORREGIDA",Tabla1[[#This Row],[FUM X ECO 1]],Tabla1[[#This Row],[FUM x AMENORREA]]))</f>
        <v>44866.2</v>
      </c>
      <c r="RX94" s="21">
        <f>IF(AND(Tabla1[[#This Row],[FUM X ECO 1]]="",Tabla1[[#This Row],[FUM x AMENORREA]]=""),"",IF(AND(Tabla1[[#This Row],[FUM X ECO 1]]="",Tabla1[[#This Row],[FUM x AMENORREA]]&lt;&gt;""),"X",SUM(Tabla1[[#This Row],[FUM X ECO 1]]-Tabla1[[#This Row],[FUM x AMENORREA]])))</f>
        <v>-14.80000000000291</v>
      </c>
      <c r="RY94" s="21">
        <f t="shared" si="434"/>
        <v>1</v>
      </c>
    </row>
    <row r="95" spans="1:493" ht="45" customHeight="1" x14ac:dyDescent="0.25">
      <c r="A95" s="109"/>
      <c r="B95" s="43" t="s">
        <v>1571</v>
      </c>
      <c r="C95" s="43" t="s">
        <v>845</v>
      </c>
      <c r="D95" s="124"/>
      <c r="E95" s="43" t="s">
        <v>914</v>
      </c>
      <c r="F95" s="43" t="s">
        <v>943</v>
      </c>
      <c r="G95" s="43" t="s">
        <v>1289</v>
      </c>
      <c r="H95" s="43"/>
      <c r="I95" s="109" t="s">
        <v>851</v>
      </c>
      <c r="J95" s="110">
        <v>1059596690</v>
      </c>
      <c r="K95" s="43" t="s">
        <v>852</v>
      </c>
      <c r="L95" s="175" t="s">
        <v>853</v>
      </c>
      <c r="M95" s="22">
        <v>34961</v>
      </c>
      <c r="N95" s="213">
        <f t="shared" ca="1" si="252"/>
        <v>28.139726027397259</v>
      </c>
      <c r="O95" s="22">
        <v>44958</v>
      </c>
      <c r="P95" s="214" t="str">
        <f t="shared" si="438"/>
        <v>SI</v>
      </c>
      <c r="Q95" s="26" t="s">
        <v>855</v>
      </c>
      <c r="R95" s="22">
        <v>44958</v>
      </c>
      <c r="S95" s="21" t="s">
        <v>856</v>
      </c>
      <c r="T95" s="24" t="s">
        <v>690</v>
      </c>
      <c r="U95" s="21" t="s">
        <v>857</v>
      </c>
      <c r="V95" s="21" t="s">
        <v>858</v>
      </c>
      <c r="W95" s="21" t="s">
        <v>1200</v>
      </c>
      <c r="X95" s="21" t="s">
        <v>1200</v>
      </c>
      <c r="Y95" s="21" t="s">
        <v>859</v>
      </c>
      <c r="Z95" s="21"/>
      <c r="AA95" s="21" t="s">
        <v>860</v>
      </c>
      <c r="AB95" s="27" t="s">
        <v>861</v>
      </c>
      <c r="AC95" s="26" t="s">
        <v>862</v>
      </c>
      <c r="AD95" s="38" t="s">
        <v>1546</v>
      </c>
      <c r="AE95" s="26" t="s">
        <v>854</v>
      </c>
      <c r="AF95" s="26" t="s">
        <v>854</v>
      </c>
      <c r="AG95" s="23" t="s">
        <v>864</v>
      </c>
      <c r="AH95" s="23" t="s">
        <v>864</v>
      </c>
      <c r="AI95" s="24" t="s">
        <v>863</v>
      </c>
      <c r="AJ95" s="23" t="s">
        <v>864</v>
      </c>
      <c r="AK95" s="220" t="str">
        <f>IF(AND(AD95="",AE95="",AF95="",AG95="",AH95="",AI95="",AJ95=""),"",IF(OR(Tabla1[[#This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EVALUACIÓN",IF(AND(O95="",R95=""),"",IF(AND(OR(O95&gt;0,R95&gt;0),NG95&gt;=0,NG95&lt;2),"SIN RIESGO",IF(AND(OR(O95&gt;0,R95&gt;0),NG95&gt;=2),"CON RIESGO","ASD")))))</f>
        <v>SIN RIESGO</v>
      </c>
      <c r="AL95" s="23" t="s">
        <v>864</v>
      </c>
      <c r="AM95" s="26" t="s">
        <v>864</v>
      </c>
      <c r="AN95" s="26" t="s">
        <v>864</v>
      </c>
      <c r="AO95" s="26" t="s">
        <v>864</v>
      </c>
      <c r="AP95" s="26" t="s">
        <v>864</v>
      </c>
      <c r="AQ95" s="26" t="s">
        <v>864</v>
      </c>
      <c r="AR95" s="26" t="s">
        <v>864</v>
      </c>
      <c r="AS95" s="21">
        <v>6</v>
      </c>
      <c r="AT95" s="21">
        <v>5</v>
      </c>
      <c r="AU95" s="21">
        <v>0</v>
      </c>
      <c r="AV95" s="26" t="s">
        <v>864</v>
      </c>
      <c r="AW95" s="21">
        <v>0</v>
      </c>
      <c r="AX95" s="26" t="s">
        <v>864</v>
      </c>
      <c r="AY95" s="26" t="s">
        <v>864</v>
      </c>
      <c r="AZ95" s="26" t="s">
        <v>864</v>
      </c>
      <c r="BA95" s="26" t="s">
        <v>864</v>
      </c>
      <c r="BB95" s="26" t="s">
        <v>864</v>
      </c>
      <c r="BC95" s="26" t="s">
        <v>864</v>
      </c>
      <c r="BD95" s="26" t="s">
        <v>864</v>
      </c>
      <c r="BE95" s="26" t="s">
        <v>864</v>
      </c>
      <c r="BF95" s="26" t="s">
        <v>864</v>
      </c>
      <c r="BG95" s="26" t="s">
        <v>864</v>
      </c>
      <c r="BH95" s="26" t="s">
        <v>864</v>
      </c>
      <c r="BI95" s="26" t="s">
        <v>864</v>
      </c>
      <c r="BJ95" s="26" t="s">
        <v>864</v>
      </c>
      <c r="BK95" s="26" t="s">
        <v>864</v>
      </c>
      <c r="BL95" s="26" t="s">
        <v>864</v>
      </c>
      <c r="BM95" s="26" t="s">
        <v>864</v>
      </c>
      <c r="BN95" s="22">
        <v>44216</v>
      </c>
      <c r="BO95" s="22">
        <v>44881</v>
      </c>
      <c r="BP95" s="21" t="s">
        <v>864</v>
      </c>
      <c r="BQ95" s="222">
        <f t="shared" si="254"/>
        <v>22.166666666666668</v>
      </c>
      <c r="BR95" s="223">
        <f t="shared" si="255"/>
        <v>44873.2</v>
      </c>
      <c r="BS95" s="224">
        <f t="shared" si="256"/>
        <v>11</v>
      </c>
      <c r="BT95" s="216" t="str">
        <f t="shared" si="257"/>
        <v>DEFINIR CON ECO</v>
      </c>
      <c r="BU95" s="214" t="str">
        <f t="shared" ca="1" si="258"/>
        <v/>
      </c>
      <c r="BV95" s="25" t="s">
        <v>988</v>
      </c>
      <c r="BW95" s="22">
        <v>45121</v>
      </c>
      <c r="BX95" s="28">
        <v>35.4</v>
      </c>
      <c r="BY95" s="28"/>
      <c r="BZ95" s="22"/>
      <c r="CA95" s="21"/>
      <c r="CB95" s="26"/>
      <c r="CC95" s="26"/>
      <c r="CD95" s="26"/>
      <c r="CE95" s="26"/>
      <c r="CF95" s="22" t="s">
        <v>1517</v>
      </c>
      <c r="CG95" s="21">
        <v>1.37</v>
      </c>
      <c r="CH95" s="21">
        <v>50</v>
      </c>
      <c r="CI95" s="214">
        <f t="shared" si="259"/>
        <v>26.63967179924343</v>
      </c>
      <c r="CJ95" s="225" t="e">
        <f>IF(AND(CI95&lt;10,CH95="SD"),"SIN DATO PESO PREGESTACION O I TRIM",IF(AND(OR(R95&gt;0,O95&gt;0),CI95="X"),"INGRESAR DATO DE PESO",IF(CI95="SD","INGRESAR DATO DE TALLA Y PESO",IF(AND(OR(Tabla1[[#This Row],[MOMENTO EN QUE SE REALIZA EL PESO AL INGRESO A CPN]]="PREGESTACIÓN",NZ95="Menor"),CI95&lt;18.5),"BAJO PESO",IF(AND(OR(Tabla1[[#This Row],[MOMENTO EN QUE SE REALIZA EL PESO AL INGRESO A CPN]]="PREGESTACIÓN",NZ95="Menor"),CI95&lt;25),"NORMAL",IF(AND(OR(Tabla1[[#This Row],[MOMENTO EN QUE SE REALIZA EL PESO AL INGRESO A CPN]]="PREGESTACIÓN",NZ95="Menor"),CI95&lt;30),"SOBREPESO",IF(AND(OR(Tabla1[[#This Row],[MOMENTO EN QUE SE REALIZA EL PESO AL INGRESO A CPN]]="PREGESTACIÓN",NZ95="Menor"),CI95&gt;=30,CI95&lt;50),"OBESIDAD",IF(AND(BS95&gt;0,Tabla1[[#This Row],[MOMENTO EN QUE SE REALIZA EL PESO AL INGRESO A CPN]]="GESTACIÓN"),HLOOKUP(NZ95,$OA$2:PH95,NY95),""))))))))</f>
        <v>#REF!</v>
      </c>
      <c r="CK95" s="212">
        <f t="shared" si="260"/>
        <v>45112</v>
      </c>
      <c r="CL95" s="21">
        <v>53.3</v>
      </c>
      <c r="CM95" s="214">
        <f t="shared" si="261"/>
        <v>28.397890137993496</v>
      </c>
      <c r="CN95" s="216">
        <f t="shared" si="262"/>
        <v>33</v>
      </c>
      <c r="CO95" s="216" t="e">
        <f>IF(PI95="","",IF(PI95&gt;0,HLOOKUP(PI95,$PJ$2:QQ95,NY95),""))</f>
        <v>#REF!</v>
      </c>
      <c r="CP95" s="21">
        <v>35</v>
      </c>
      <c r="CQ95" s="216" t="e">
        <f>IF(QR95="Menor","NO APLICA-MENOR 13 SEM",IF(AND(CC95="SI",CN95&gt;23),"NO APLICA- GEMELAR",IF(QR95="","",IF(QR95&gt;0,HLOOKUP(QR95,$QS$2:RU95,NY95),""))))</f>
        <v>#REF!</v>
      </c>
      <c r="CR95" s="21">
        <v>110</v>
      </c>
      <c r="CS95" s="21">
        <v>80</v>
      </c>
      <c r="CT95" s="217" t="str">
        <f>IF(R95="","",IF(AND(BS95&gt;1,BS95&lt;12,Tabla1[[#This Row],[T.A. SISTOLICA - ANTES DE SEMANA 12]]="",Tabla1[[#This Row],[T.A. DIASTOLICA - ANTES DE SEMANA 12]]=""),"REGISTRE DATO TA ANTES SEMANA 12",IF(AND(BS95&gt;11,BS95&lt;43,Tabla1[[#This Row],[T.A. SISTOLICA - ANTES DE SEMANA 12]]="",Tabla1[[#This Row],[T.A. DIASTOLICA - ANTES DE SEMANA 12]]=""),"NO APLICA REGISTRO TA-INGRESO TARDIO",IF(AND(OR(O95&gt;0,R95&gt;0),OR(CR95&gt;=140,CS95&gt;=90)),"DEFINIR ESTADIO HTA",IF(AND(OR(O95&gt;0,R95&gt;0),AND(CR95&gt;120,CR95&lt;=139)),"PRE HTA SEGUIMIENTO",IF(AND(OR(O95&gt;0,R95&gt;0),AND(CS95&gt;80,CS95&lt;=89)),"PRE HTA SEGUIMIENTO",IF(AND(OR(O95&gt;0,R95&gt;0),AND(CR95&gt;=80,CR95&lt;=120)),"APARENTEMENTE NORMAL",IF(AND(OR(O95&gt;0,R95&gt;0),AND(CS95&gt;=50,CS95&lt;=80)),"APARENTEMENTE NORMAL",IF(AND(OR(O95&gt;0,R95&gt;0),AND(CR95&gt;1,CR95&lt;=70),AND(CS95&gt;1,CS95&lt;=40)),"HIPOTENSIÓN","")))))))))</f>
        <v>APARENTEMENTE NORMAL</v>
      </c>
      <c r="CU95" s="21">
        <v>90</v>
      </c>
      <c r="CV95" s="21">
        <v>60</v>
      </c>
      <c r="CW95" s="217" t="str">
        <f ca="1">IF(R95="","",IF(AND(CN95&gt;19,CN95&lt;27,Tabla1[[#This Row],[T.A. SISTOLICA (Entre semana 20 y 26)]]="",Tabla1[[#This Row],[T.A. DIATOLICA (Entre semana 20 y 26)]]=""),"ACUDE A CONTROL SEM 20 A 26 REGISTRE TA AHORA",IF(AND(BS95&gt;1,BS95&lt;27,BU95&gt;19,Tabla1[[#This Row],[T.A. SISTOLICA (Entre semana 20 y 26)]]="",Tabla1[[#This Row],[T.A. DIATOLICA (Entre semana 20 y 26)]]=""),"COMPLETE REGISTRO TA CONTROL SEM 20 A26 ",IF(AND(BS95&gt;26,BS95&lt;43,Tabla1[[#This Row],[T.A. SISTOLICA (Entre semana 20 y 26)]]="",Tabla1[[#This Row],[T.A. DIATOLICA (Entre semana 20 y 26)]]=""),"NO APLICA REGISTRO TA-INGRESO TARDIO",IF(AND(OR(O95&gt;0,R95&gt;0),OR(CU95&gt;=140,CV95&gt;=90)),"ALTO RIESGO PREECLAMPSIA,DEFINIR ESTADIO HTA",IF(AND(OR(O95&gt;0,R95&gt;0),AND(CU95&gt;120,CU95&lt;=139)),"PRE HTA SEGUIMIENTO,RIESGO HIPERTENSION INDUCIDA POR EL EMBARAZO",IF(AND(OR(O95&gt;0,R95&gt;0),AND(CV95&gt;80,CV95&lt;=89)),"PRE HTA SEGUIMIENTO, RIESGO HIPERTENSION INDUCIDA POR EL EMBARAZO",IF(AND(OR(O95&lt;&gt;"",R95&lt;&gt;""),CS95&lt;&gt;"",CV95&lt;&gt;"",CS95&lt;=CV95),"VIGILAR CIFRAS PRESION ARTERIAL",IF(AND(OR(O95&gt;0,R95&gt;0),AND(CU95&gt;120,CU95&lt;=139)),"PRE HTA SEGUIMIENTO",IF(AND(OR(O95&gt;0,R95&gt;0),AND(CU95&gt;1,CU95&lt;=70),AND(CV95&gt;1,CV95&lt;=40)),"HIPOTENSIÓN",IF(AND(OR(O95&lt;&gt;"",R95&lt;&gt;""),CS95&lt;&gt;"",CV95&lt;&gt;"",CS95&gt;CV95),"APARENTEMENTE NORMAL",IF(AND(OR(O95&gt;0,R95&gt;0),AND(CU95&gt;=80,CU95&lt;=120)),"APARENTEMENTE NORMAL",IF(AND(OR(O95&gt;0,R95&gt;0),AND(CV95&gt;=50,CV95&lt;=80)),"APARENTEMENTE NORMAL","")))))))))))))</f>
        <v>APARENTEMENTE NORMAL</v>
      </c>
      <c r="CX95" s="21">
        <v>90</v>
      </c>
      <c r="CY95" s="21">
        <v>60</v>
      </c>
      <c r="CZ95" s="216" t="str">
        <f t="shared" si="263"/>
        <v>APARENTEMENTE NORMAL</v>
      </c>
      <c r="DA95" s="21">
        <v>90</v>
      </c>
      <c r="DB95" s="21">
        <v>60</v>
      </c>
      <c r="DC95" s="217" t="str">
        <f t="shared" si="264"/>
        <v>APARENTEMENTE NORMAL</v>
      </c>
      <c r="DD95" s="22">
        <v>44958</v>
      </c>
      <c r="DE95" s="22">
        <v>44958</v>
      </c>
      <c r="DF95" s="22">
        <v>45016</v>
      </c>
      <c r="DG95" s="22">
        <v>45059</v>
      </c>
      <c r="DH95" s="22">
        <v>45112</v>
      </c>
      <c r="DI95" s="22"/>
      <c r="DJ95" s="22"/>
      <c r="DK95" s="22"/>
      <c r="DL95" s="22"/>
      <c r="DM95" s="22"/>
      <c r="DN95" s="22"/>
      <c r="DO95" s="22"/>
      <c r="DP95" s="22"/>
      <c r="DQ95" s="22"/>
      <c r="DR95" s="28">
        <v>1</v>
      </c>
      <c r="DS95" s="22"/>
      <c r="DT95" s="22"/>
      <c r="DU95" s="216" t="str">
        <f t="shared" ca="1" si="439"/>
        <v>CONCERTAR PLAN DE PARTO INMEDIATO</v>
      </c>
      <c r="DV95" s="226" t="str">
        <f t="shared" si="440"/>
        <v>ACTIVA INGRESO A CPN</v>
      </c>
      <c r="DW9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95" s="216" t="e">
        <f t="shared" ca="1" si="266"/>
        <v>#REF!</v>
      </c>
      <c r="DY95" s="212">
        <f>IF(R95="","",IF(R95&gt;0,MAX(Tabla1[[#This Row],[FECHA C2]:[FECHA C13]],Tabla1[[#This Row],[FECHA CONSULTA PRIMERA VEZ PROGRAMA CPN ]])))</f>
        <v>45112</v>
      </c>
      <c r="DZ95" s="216">
        <f t="shared" si="267"/>
        <v>33</v>
      </c>
      <c r="EA95" s="222">
        <f>IF(R95&gt;0,SUM(COUNTA(DF95:DQ95)+COUNTA(Tabla1[[#This Row],[FECHA CONSULTA PRIMERA VEZ PROGRAMA CPN ]])),"")</f>
        <v>4</v>
      </c>
      <c r="EB95" s="222" t="str">
        <f t="shared" si="268"/>
        <v>SI</v>
      </c>
      <c r="EC95" s="214">
        <f t="shared" si="269"/>
        <v>9</v>
      </c>
      <c r="ED95" s="227">
        <f t="shared" si="270"/>
        <v>0.44444444444444442</v>
      </c>
      <c r="EE95" s="22">
        <v>45016</v>
      </c>
      <c r="EF95" s="22">
        <v>44958</v>
      </c>
      <c r="EG95" s="22">
        <v>45016</v>
      </c>
      <c r="EH95" s="22"/>
      <c r="EI95" s="22">
        <v>45016</v>
      </c>
      <c r="EJ95" s="22"/>
      <c r="EK95" s="22"/>
      <c r="EL95" s="21"/>
      <c r="EM95" s="21">
        <v>11.7</v>
      </c>
      <c r="EN95" s="22">
        <v>45059</v>
      </c>
      <c r="EO95" s="222">
        <f t="shared" si="271"/>
        <v>25.428571428571427</v>
      </c>
      <c r="EP95" s="214" t="str">
        <f t="shared" si="272"/>
        <v>NORMAL- SUMINISTRAR SULFATO FERROSO</v>
      </c>
      <c r="EQ95" s="216" t="str">
        <f t="shared" si="273"/>
        <v>II TRIM</v>
      </c>
      <c r="ER95" s="24">
        <v>13.5</v>
      </c>
      <c r="ES95" s="22">
        <v>45121</v>
      </c>
      <c r="ET95" s="29">
        <f t="shared" ca="1" si="441"/>
        <v>34.285714285714285</v>
      </c>
      <c r="EU95" s="25" t="str">
        <f t="shared" si="275"/>
        <v>NORMAL- SUMINISTRAR SULFATO FERROSO</v>
      </c>
      <c r="EV95" s="24" t="s">
        <v>1510</v>
      </c>
      <c r="EW95" s="290"/>
      <c r="EX95" s="22">
        <v>45059</v>
      </c>
      <c r="EY95" s="29">
        <f>IF(AND(BT95="ERROR FUM O INGRESO",EX95&gt;0),"ERROR FUM O INGRESO",IF(AND(EX95="",R95="",O95=""),"",IF(OR(AND(EX95&lt;&gt;"",EX95&lt;RW95),AND(EX95&lt;&gt;"",SUM((EX95-RW95)/7)&gt;40)),"CORREGIR FECHA RESULTADO",IF(AND(EX95="",OR(O95&gt;0,R95&gt;0)),"TOMAR EXAMEN",IF(EX95&gt;0,SUM(EX95-RW95)/7,"")))))</f>
        <v>25.428571428571427</v>
      </c>
      <c r="EZ95" s="25" t="str">
        <f>IF(EV95="RH POSITIVO","SIN RIESGO DE ISOINMUNIZACIÓN",IF(AND(EV95="RH NEGATIVO CON COOMBS NEGATIVO",#REF!="",BU95&lt;=24),"COOMBS C/MES Y APLICAR RHESUMAN SEM 28",IF(AND(EV95="RH NEGATIVO CON COOMBS NEGATIVO",#REF!="",AND(BU95&gt;24,BU95&lt;27)),"FALTAN DE 4 A 2 SEMANAS PARA APLICAR RHESUMAN A SEM 28",IF(AND(EV95="RH NEGATIVO CON COOMBS NEGATIVO",#REF!="",AND(BU95&gt;26.99,BU95&lt;27.99)),"FALTAN 1 SEMANAS PARA APLICAR RHESUMAN A SEM 28",IF(AND(EV95="RH NEGATIVO CON COOMBS NEGATIVO",#REF!="",AND(BU95&gt;27.99,BU95&lt;29)),"SEMANA 28 APLICAR DE INMEDIATO RHESUMAN",IF(AND(EV95="RH NEGATIVO CON COOMBS NEGATIVO",#REF!="",AND(BU95&gt;28.99,BU95&lt;42)),"DEBE APLICAR RHESUMAN, ES NO OPORTUNO &gt; 28 SEMANAS",IF(AND(EV95="RH NEGATIVO CON COOMBS NEGATIVO",#REF!&gt;0),SUM(#REF!-RW95)/7,IF(EV95="RH NEGATIVO SIN COOMBS","TOMAR COOMBS INMEDIATO PARA DEFINIR MANEJO",IF(EV95="RH NEGATIVO CON COOMBS POSITIVO","TOMAR COOMBS CUANTITATIVO Y REMISIÓN","")))))))))</f>
        <v>SIN RIESGO DE ISOINMUNIZACIÓN</v>
      </c>
      <c r="FA95" s="21">
        <v>64</v>
      </c>
      <c r="FB95" s="22">
        <v>45059</v>
      </c>
      <c r="FC95" s="29" t="str">
        <f t="shared" si="276"/>
        <v>NO APLICA &gt; 23 SEM -TOMAR PTOG</v>
      </c>
      <c r="FD95" s="29"/>
      <c r="FE95" s="29"/>
      <c r="FF95" s="29"/>
      <c r="FG95" s="21" t="str">
        <f t="shared" ca="1" si="277"/>
        <v/>
      </c>
      <c r="FH95" s="31"/>
      <c r="FI95" s="29" t="str">
        <f t="shared" si="278"/>
        <v>TOMAR EXAMEN</v>
      </c>
      <c r="FJ95" s="22"/>
      <c r="FK95" s="22"/>
      <c r="FL95" s="29" t="str">
        <f t="shared" ca="1" si="279"/>
        <v>PIERDE TOMA DE TAMIZAJE</v>
      </c>
      <c r="FM95" s="22" t="s">
        <v>867</v>
      </c>
      <c r="FN95" s="32">
        <v>45059</v>
      </c>
      <c r="FO95" s="29">
        <f t="shared" ca="1" si="442"/>
        <v>25.428571428571427</v>
      </c>
      <c r="FP95" s="22" t="s">
        <v>867</v>
      </c>
      <c r="FQ95" s="32">
        <v>45121</v>
      </c>
      <c r="FR95" s="29">
        <f t="shared" ca="1" si="443"/>
        <v>34.285714285714285</v>
      </c>
      <c r="FS95" s="22"/>
      <c r="FT95" s="32"/>
      <c r="FU95" s="29" t="str">
        <f>IF(AND(FJ95="",FM95="",FP95="",FS95=""),"",IF(OR(OR(Tabla1[[#This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95" s="28"/>
      <c r="FW95" s="22"/>
      <c r="FX95" s="29" t="str">
        <f t="shared" si="280"/>
        <v>TOMAR EXAMEN</v>
      </c>
      <c r="FY95" s="22"/>
      <c r="FZ95" s="22"/>
      <c r="GA95" s="29" t="str">
        <f t="shared" ca="1" si="453"/>
        <v>PIERDE TOMA DE TAMIZAJE</v>
      </c>
      <c r="GB95" s="22" t="s">
        <v>868</v>
      </c>
      <c r="GC95" s="22">
        <v>45059</v>
      </c>
      <c r="GD95" s="29">
        <f t="shared" ca="1" si="444"/>
        <v>25.428571428571427</v>
      </c>
      <c r="GE95" s="22" t="s">
        <v>868</v>
      </c>
      <c r="GF95" s="22">
        <v>45121</v>
      </c>
      <c r="GG95" s="29">
        <f t="shared" ca="1" si="445"/>
        <v>34.285714285714285</v>
      </c>
      <c r="GH95" s="22"/>
      <c r="GI95" s="29"/>
      <c r="GJ95" s="22"/>
      <c r="GK95" s="22"/>
      <c r="GL95" s="22"/>
      <c r="GM95" s="22"/>
      <c r="GN95" s="28" t="s">
        <v>869</v>
      </c>
      <c r="GO95" s="22">
        <v>45059</v>
      </c>
      <c r="GP95" s="29">
        <f t="shared" si="283"/>
        <v>25.428571428571427</v>
      </c>
      <c r="GQ95" s="28" t="s">
        <v>869</v>
      </c>
      <c r="GR95" s="28" t="s">
        <v>869</v>
      </c>
      <c r="GS95" s="22" t="str">
        <f t="shared" si="284"/>
        <v>CONTROL Igm</v>
      </c>
      <c r="GT95" s="22">
        <v>45059</v>
      </c>
      <c r="GU95" s="29">
        <f t="shared" si="285"/>
        <v>25.428571428571427</v>
      </c>
      <c r="GV95" s="21" t="str">
        <f t="shared" si="286"/>
        <v>II TRIM</v>
      </c>
      <c r="GW95" s="28"/>
      <c r="GX95" s="30"/>
      <c r="GY95" s="21"/>
      <c r="GZ95" s="21"/>
      <c r="HA95" s="21"/>
      <c r="HB95" s="21"/>
      <c r="HC95" s="21"/>
      <c r="HD95" s="21"/>
      <c r="HE95" s="21"/>
      <c r="HF95" s="22"/>
      <c r="HG95" s="22" t="str">
        <f>IF(OR(O95&gt;0,R95&gt;0),CONCATENATE(IF(Tabla1[[#This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95" s="22" t="e">
        <f t="shared" si="287"/>
        <v>#REF!</v>
      </c>
      <c r="HI95" s="22" t="e">
        <f t="shared" ca="1" si="288"/>
        <v>#REF!</v>
      </c>
      <c r="HJ95" s="21" t="str">
        <f t="shared" ca="1" si="289"/>
        <v>*********************MULTIPARIDAD******************</v>
      </c>
      <c r="HK95" s="21" t="str">
        <f t="shared" si="290"/>
        <v>SIN ANTECEDENTES DE RIESGO</v>
      </c>
      <c r="HL95" s="24" t="str">
        <f t="shared" si="291"/>
        <v>APARENTEMENTE NORMAL</v>
      </c>
      <c r="HM95" s="21" t="e">
        <f t="shared" ca="1" si="292"/>
        <v>#REF!</v>
      </c>
      <c r="HN95" s="30" t="str">
        <f t="shared" si="446"/>
        <v>ACTIVA INGRESO A CPN</v>
      </c>
      <c r="HO95" s="21"/>
      <c r="HP95" s="21"/>
      <c r="HQ95" s="21"/>
      <c r="HR95" s="21" t="str">
        <f>IF(R95="","",IF(Tabla1[[#This Row],[ALARMA FACTORES DE RIESGO COMPLICACIONES HIPERTENSIVAS3]]="SIN ANTECEDENTES DE RIESGO","No Aplica para suministro de ASA",IF(AND(Tabla1[[#This Row],[FECHA INICIO DE SUMINISTRO DE ASA]]&gt;0,RV95&lt;12),"Inicia ASA ANTES de Sem 12",IF(AND(RV95&gt;11,RV95&lt;17,OR(HK95="RIESGO ALTO DE COMPLICACIONES HIPERTENSIVAS VER MANEJO GUIA SUMINISTRO ASA Y CALCIO",HK95="RIESGO MODERADO (2 O MAS CRITERIOS) VER MANEJO GUIA SUMINISTRO ASA Y CALCIO")),"Inicio oportuno de ASA",IF(AND(RV95&gt;12,OR(HK95="RIESGO ALTO DE COMPLICACIONES HIPERTENSIVAS VER MANEJO GUIA SUMINISTRO ASA Y CALCIO",HK95="RIESGO MODERADO (2 O MAS CRITERIOS) VER MANEJO GUIA SUMINISTRO ASA Y CALCIO")),"Inicio no oportuno mayor a 16 semanas",IF(AND(BU95&lt;12,OR(HK95="RIESGO ALTO DE COMPLICACIONES HIPERTENSIVAS VER MANEJO GUIA SUMINISTRO ASA Y CALCIO",HK95="RIESGO MODERADO (2 O MAS CRITERIOS) VER MANEJO GUIA SUMINISTRO ASA Y CALCIO")),"Pendiente Inicio de ASA a la semana 12",IF(AND(BU95&gt;11,BU95&lt;17,OR(HK95="RIESGO ALTO DE COMPLICACIONES HIPERTENSIVAS VER MANEJO GUIA SUMINISTRO ASA Y CALCIO",HK95="RIESGO MODERADO (2 O MAS CRITERIOS) VER MANEJO GUIA SUMINISTRO ASA Y CALCIO")),"Iniciar de inmediato ASA",IF(AND(BU95&gt;16,OR(HK95="RIESGO ALTO DE COMPLICACIONES HIPERTENSIVAS VER MANEJO GUIA SUMINISTRO ASA Y CALCIO",HK95="RIESGO MODERADO (2 O MAS CRITERIOS) VER MANEJO GUIA SUMINISTRO ASA Y CALCIO")),"Pierde Oportunidad, Inicio tardío de ASA","XXXXX"))))))))</f>
        <v>No Aplica para suministro de ASA</v>
      </c>
      <c r="HS95" s="22">
        <v>44967</v>
      </c>
      <c r="HT95" s="22" t="s">
        <v>1532</v>
      </c>
      <c r="HU95" s="22"/>
      <c r="HV95" s="22"/>
      <c r="HW95" s="22">
        <v>44967</v>
      </c>
      <c r="HX95" s="22" t="s">
        <v>1511</v>
      </c>
      <c r="HY95" s="22">
        <v>44958</v>
      </c>
      <c r="HZ95" s="28">
        <f t="shared" si="293"/>
        <v>11</v>
      </c>
      <c r="IA95" s="26"/>
      <c r="IB95" s="26"/>
      <c r="IC95" s="22">
        <v>45121</v>
      </c>
      <c r="ID95" s="22">
        <v>45121</v>
      </c>
      <c r="IE95" s="22" t="str">
        <f t="shared" ca="1" si="294"/>
        <v>VACUNA APLICADA ENTRE SEMANA 27 Y EL PARTO</v>
      </c>
      <c r="IF95" s="22"/>
      <c r="IG95" s="22">
        <f t="shared" si="295"/>
        <v>45161</v>
      </c>
      <c r="IH95" s="29">
        <f t="shared" ca="1" si="296"/>
        <v>-71</v>
      </c>
      <c r="II95" s="22" t="str">
        <f t="shared" ca="1" si="297"/>
        <v>POSIBLEMENTE NACIO</v>
      </c>
      <c r="IJ95" s="22"/>
      <c r="IK95" s="21"/>
      <c r="IL95" s="21"/>
      <c r="IM95" s="34"/>
      <c r="IN95" s="349"/>
      <c r="IO95" s="21"/>
      <c r="IP95" s="29" t="str">
        <f t="shared" si="436"/>
        <v/>
      </c>
      <c r="IQ95" s="110"/>
      <c r="IR95" s="21"/>
      <c r="IS95" s="21"/>
      <c r="IT95" s="21"/>
      <c r="IU95" s="21"/>
      <c r="IV95" s="21"/>
      <c r="IW95" s="21"/>
      <c r="IX95" s="21"/>
      <c r="IY95" s="21"/>
      <c r="IZ95" s="21"/>
      <c r="JA95" s="21"/>
      <c r="JB95" s="30"/>
      <c r="JC95" s="21"/>
      <c r="JD95" s="36"/>
      <c r="JE95" s="21" t="str">
        <f t="shared" si="447"/>
        <v/>
      </c>
      <c r="JF95" s="30"/>
      <c r="JG95" s="21"/>
      <c r="JH95" s="21"/>
      <c r="JI95" s="21"/>
      <c r="JJ95" s="30"/>
      <c r="JK95" s="22"/>
      <c r="JL95" s="22"/>
      <c r="JM95" s="21"/>
      <c r="JN95" s="36"/>
      <c r="JO95" s="21" t="str">
        <f t="shared" si="448"/>
        <v/>
      </c>
      <c r="JP95" s="22"/>
      <c r="JQ95" s="21"/>
      <c r="JR95" s="21"/>
      <c r="JS95" s="21"/>
      <c r="JT95" s="30"/>
      <c r="JU95" s="22"/>
      <c r="JV95" s="22"/>
      <c r="JW95" s="33"/>
      <c r="JX95" s="28" t="str">
        <f t="shared" si="449"/>
        <v/>
      </c>
      <c r="JY95" s="33"/>
      <c r="JZ95" s="28" t="str">
        <f t="shared" si="450"/>
        <v/>
      </c>
      <c r="KA95" s="21"/>
      <c r="KB95" s="21"/>
      <c r="KC95" s="21"/>
      <c r="KD95" s="37"/>
      <c r="KE95" s="28"/>
      <c r="KF95" s="28"/>
      <c r="KG95" s="28"/>
      <c r="KH95" s="39"/>
      <c r="KI95" s="39"/>
      <c r="KJ95" s="66"/>
      <c r="KK95" s="39"/>
      <c r="KL95" s="39"/>
      <c r="KM95" s="66"/>
      <c r="KN95" s="39"/>
      <c r="KO95" s="39"/>
      <c r="KP95" s="39"/>
      <c r="KQ95" s="39"/>
      <c r="KR95" s="39"/>
      <c r="KS95" s="39"/>
      <c r="KT95" s="39"/>
      <c r="KU95" s="38"/>
      <c r="KV95" s="38"/>
      <c r="KW95" s="38"/>
      <c r="KX95" s="38"/>
      <c r="KY95" s="38"/>
      <c r="KZ95" s="38"/>
      <c r="LA95" s="38"/>
      <c r="LB95" s="38"/>
      <c r="LC95" s="38"/>
      <c r="LD95" s="38"/>
      <c r="LE95" s="38"/>
      <c r="LF95" s="38"/>
      <c r="LG95" s="38"/>
      <c r="LH95" s="38"/>
      <c r="LI95" s="38"/>
      <c r="LJ95" s="38"/>
      <c r="LK95" s="38"/>
      <c r="LL95" s="38"/>
      <c r="LM95" s="38"/>
      <c r="LN95" s="38"/>
      <c r="LO95" s="38"/>
      <c r="LP95" s="38"/>
      <c r="LQ95" s="38"/>
      <c r="LR95" s="38"/>
      <c r="LS95" s="38"/>
      <c r="LT95" s="38"/>
      <c r="LU95" s="38"/>
      <c r="LV95" s="38"/>
      <c r="LW95" s="38"/>
      <c r="LX95" s="38"/>
      <c r="LY95" s="38"/>
      <c r="LZ95" s="38"/>
      <c r="MA95" s="38"/>
      <c r="MB95" s="38"/>
      <c r="MC95" s="38"/>
      <c r="MD95" s="38"/>
      <c r="ME95" s="38"/>
      <c r="MF95" s="38"/>
      <c r="MG95" s="38"/>
      <c r="MH95" s="43">
        <f t="shared" si="303"/>
        <v>0</v>
      </c>
      <c r="MI95" s="43" t="str">
        <f t="shared" si="304"/>
        <v/>
      </c>
      <c r="MJ95" s="43" t="str">
        <f t="shared" si="305"/>
        <v/>
      </c>
      <c r="MK95" s="43">
        <f t="shared" si="306"/>
        <v>0</v>
      </c>
      <c r="ML9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95" s="43">
        <f t="shared" si="307"/>
        <v>11</v>
      </c>
      <c r="MN95" s="43">
        <f t="shared" si="308"/>
        <v>2</v>
      </c>
      <c r="MO95" s="43">
        <f t="shared" si="309"/>
        <v>2023</v>
      </c>
      <c r="MP95" s="43" t="str">
        <f t="shared" si="310"/>
        <v>I TRIMESTRE AÑO</v>
      </c>
      <c r="MQ95" s="43">
        <f t="shared" si="311"/>
        <v>26.971090670170828</v>
      </c>
      <c r="MR95" s="43">
        <f t="shared" si="312"/>
        <v>0</v>
      </c>
      <c r="MS95" s="43" t="str">
        <f t="shared" si="313"/>
        <v xml:space="preserve"> DE 25 A 29 AÑOS</v>
      </c>
      <c r="MT95" s="43">
        <f t="shared" si="314"/>
        <v>0</v>
      </c>
      <c r="MU95" s="43">
        <f t="shared" si="315"/>
        <v>2</v>
      </c>
      <c r="MV95" s="43">
        <f t="shared" si="316"/>
        <v>0</v>
      </c>
      <c r="MW95" s="43">
        <f t="shared" si="317"/>
        <v>0</v>
      </c>
      <c r="MX95" s="43" t="str">
        <f t="shared" si="318"/>
        <v/>
      </c>
      <c r="MY95" s="43" t="str">
        <f t="shared" ca="1" si="451"/>
        <v/>
      </c>
      <c r="MZ95" s="43" t="str">
        <f t="shared" si="319"/>
        <v/>
      </c>
      <c r="NA95" s="43" t="str">
        <f t="shared" si="320"/>
        <v/>
      </c>
      <c r="NB95" s="43" t="str">
        <f t="shared" si="321"/>
        <v/>
      </c>
      <c r="NC95" s="43" t="str">
        <f t="shared" si="322"/>
        <v/>
      </c>
      <c r="ND95" s="43">
        <f t="shared" ca="1" si="323"/>
        <v>2</v>
      </c>
      <c r="NE95" s="43">
        <f>IF(OR(O95&gt;0,R95&gt;0),SUM(COUNTIF(Tabla1[[#This Row],[AÑOS AL INICIO5 CPN]],"&gt;=40"),COUNTIF(AS95,"0"),COUNTIF(AR95,"SI"),COUNTIF(CC95,"SI"),COUNTIF(BQ95,"&gt;119"),COUNTIF(CI95,"&gt;=35")),"")</f>
        <v>0</v>
      </c>
      <c r="NF95" s="43">
        <f t="shared" si="324"/>
        <v>34.285714285714285</v>
      </c>
      <c r="NG95" s="43">
        <f t="shared" si="325"/>
        <v>0</v>
      </c>
      <c r="NH95" s="43">
        <f t="shared" si="326"/>
        <v>247.79999999999998</v>
      </c>
      <c r="NI9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CPN",P95="NO"),"Z",IF(AND(Tabla1[[#This Row],[CITA PROXIMO CONTROL]]="CITA MANUAL",Tabla1[[#This Row],[GESTANTES ACTUALES]]="ACTIVA INGRESO A CPN"),"W",IF(AND(Tabla1[[#This Row],[GESTANTES ACTUALES]]="SALIO PROGRAMA",IN95=""),"S",IF(AND(Tabla1[[#This Row],[CITA PROXIMO CONTROL]]&gt;0,IN95=""),(Tabla1[[#This Row],[CITA PROXIMO CONTROL]]-TODAY()),"SD"))))))))</f>
        <v>#REF!</v>
      </c>
      <c r="NJ95" s="43">
        <f>MONTH(Tabla1[[#This Row],[FECHA DE SALIDA  DEL PROGRAMA]])</f>
        <v>1</v>
      </c>
      <c r="NK95" s="43">
        <f>YEAR(Tabla1[[#This Row],[FECHA DE SALIDA  DEL PROGRAMA]])</f>
        <v>1900</v>
      </c>
      <c r="NL95" s="43" t="str">
        <f t="shared" si="327"/>
        <v>X</v>
      </c>
      <c r="NM95" s="43" t="e">
        <f>IF(AND(O95&gt;0,R95=""),"NO CPN",IF(AND(O95="",R95=""),"",IF(AND(EN95&lt;&gt;"",#REF!&lt;&gt;"",FB95&lt;&gt;"",FK95&lt;&gt;"",FW95&lt;&gt;"",FZ95&lt;&gt;"",GO95&lt;&gt;"",GQ95&lt;&gt;"",GR95&lt;&gt;""),"SI","NO")))</f>
        <v>#REF!</v>
      </c>
      <c r="NN95" s="43" t="str">
        <f ca="1">IF(AND(O95&gt;0,R95=""),"NO CPN",IF(AND(O95="",R95=""),"",IF(AND(R95&gt;0,Tabla1[[#This Row],[SEMANAS DE GESTACION ACTUALIZADAS]]&lt;=12),"NO APLICA",IF(AND(FH95&lt;&gt;"",FN95&lt;&gt;""),"SI","NO"))))</f>
        <v>NO</v>
      </c>
      <c r="NO95" s="43" t="str">
        <f ca="1">IF(AND(O95&gt;0,R95=""),"NO CPN",IF(AND(O95="",R95=""),"",IF(AND(R95&gt;0,Tabla1[[#This Row],[SEMANAS DE GESTACION ACTUALIZADAS]]&lt;=27),"NO APLICA",IF(AND(ES95&lt;&gt;"",FQ95&lt;&gt;"",GF95&lt;&gt;""),"SI","NO"))))</f>
        <v>SI</v>
      </c>
      <c r="NP95" s="204" t="str">
        <f t="shared" si="328"/>
        <v>DEFINIR CON ECO</v>
      </c>
      <c r="NQ95" s="21">
        <f t="shared" si="437"/>
        <v>9</v>
      </c>
      <c r="NR95" s="21" t="str">
        <f t="shared" ca="1" si="452"/>
        <v>REVISAR FUM O FECHA SALIDA PROGRAMA</v>
      </c>
      <c r="NS95" s="205">
        <f t="shared" ca="1" si="329"/>
        <v>2</v>
      </c>
      <c r="NT95" s="21">
        <f t="shared" ca="1" si="330"/>
        <v>2</v>
      </c>
      <c r="NU95" s="21" t="str">
        <f t="shared" ca="1" si="331"/>
        <v>POR DEFINIR</v>
      </c>
      <c r="NV95" s="21" t="str">
        <f t="shared" ca="1" si="332"/>
        <v>POR DEFINIR</v>
      </c>
      <c r="NW95" s="206" t="str">
        <f>IF(AND(O95="",R95=""),"",IF(OR(AND(Tabla1[[#This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95" s="207" t="str">
        <f t="shared" ca="1" si="333"/>
        <v>VACUNADA</v>
      </c>
      <c r="NY95" s="43">
        <f>ROW(Tabla1[[#This Row],['# DE TAMIZAJES SIFILIS TOMADOS ]])</f>
        <v>95</v>
      </c>
      <c r="NZ95" s="43">
        <f t="shared" si="334"/>
        <v>11</v>
      </c>
      <c r="OA95" s="43" t="str">
        <f t="shared" si="335"/>
        <v/>
      </c>
      <c r="OB95" s="43" t="str">
        <f t="shared" si="336"/>
        <v/>
      </c>
      <c r="OC95" s="43" t="str">
        <f t="shared" si="337"/>
        <v>SOBREPESO</v>
      </c>
      <c r="OD95" s="43" t="str">
        <f t="shared" si="338"/>
        <v/>
      </c>
      <c r="OE95" s="43" t="str">
        <f t="shared" si="339"/>
        <v/>
      </c>
      <c r="OF95" s="43" t="str">
        <f t="shared" si="340"/>
        <v/>
      </c>
      <c r="OG95" s="43" t="str">
        <f t="shared" si="341"/>
        <v/>
      </c>
      <c r="OH95" s="43" t="str">
        <f t="shared" si="342"/>
        <v/>
      </c>
      <c r="OI95" s="43" t="str">
        <f t="shared" si="343"/>
        <v/>
      </c>
      <c r="OJ95" s="43" t="str">
        <f t="shared" si="344"/>
        <v/>
      </c>
      <c r="OK95" s="43" t="str">
        <f t="shared" si="345"/>
        <v/>
      </c>
      <c r="OL95" s="43" t="str">
        <f t="shared" si="346"/>
        <v/>
      </c>
      <c r="OM95" s="43" t="str">
        <f t="shared" si="347"/>
        <v/>
      </c>
      <c r="ON95" s="43" t="str">
        <f t="shared" si="348"/>
        <v/>
      </c>
      <c r="OO95" s="43" t="str">
        <f t="shared" si="349"/>
        <v/>
      </c>
      <c r="OP95" s="43" t="str">
        <f t="shared" si="350"/>
        <v/>
      </c>
      <c r="OQ95" s="43" t="str">
        <f t="shared" si="351"/>
        <v/>
      </c>
      <c r="OR95" s="43" t="str">
        <f t="shared" si="352"/>
        <v/>
      </c>
      <c r="OS95" s="43" t="str">
        <f t="shared" si="353"/>
        <v/>
      </c>
      <c r="OT95" s="43" t="str">
        <f t="shared" si="354"/>
        <v/>
      </c>
      <c r="OU95" s="43" t="str">
        <f t="shared" si="355"/>
        <v/>
      </c>
      <c r="OV95" s="110" t="str">
        <f t="shared" si="356"/>
        <v/>
      </c>
      <c r="OW95" s="43" t="str">
        <f t="shared" si="357"/>
        <v/>
      </c>
      <c r="OX95" s="43" t="str">
        <f t="shared" si="358"/>
        <v/>
      </c>
      <c r="OY95" s="43" t="str">
        <f t="shared" si="359"/>
        <v/>
      </c>
      <c r="OZ95" s="43" t="str">
        <f t="shared" si="360"/>
        <v/>
      </c>
      <c r="PA95" s="43" t="str">
        <f t="shared" si="361"/>
        <v/>
      </c>
      <c r="PB95" s="43" t="str">
        <f t="shared" si="362"/>
        <v/>
      </c>
      <c r="PC95" s="43" t="str">
        <f t="shared" si="363"/>
        <v/>
      </c>
      <c r="PD95" s="43" t="str">
        <f t="shared" si="364"/>
        <v/>
      </c>
      <c r="PE95" s="43" t="str">
        <f t="shared" si="365"/>
        <v/>
      </c>
      <c r="PF95" s="43" t="str">
        <f t="shared" si="366"/>
        <v/>
      </c>
      <c r="PG95" s="43" t="str">
        <f t="shared" si="367"/>
        <v/>
      </c>
      <c r="PH95" s="43" t="str">
        <f t="shared" si="368"/>
        <v/>
      </c>
      <c r="PI95" s="43">
        <f t="shared" si="369"/>
        <v>33</v>
      </c>
      <c r="PJ95" s="43" t="str">
        <f t="shared" si="370"/>
        <v/>
      </c>
      <c r="PK95" s="43" t="str">
        <f t="shared" si="371"/>
        <v/>
      </c>
      <c r="PL95" s="43" t="str">
        <f t="shared" si="372"/>
        <v/>
      </c>
      <c r="PM95" s="43" t="str">
        <f t="shared" si="373"/>
        <v/>
      </c>
      <c r="PN95" s="43" t="str">
        <f t="shared" si="374"/>
        <v/>
      </c>
      <c r="PO95" s="43" t="str">
        <f t="shared" si="375"/>
        <v/>
      </c>
      <c r="PP95" s="43" t="str">
        <f t="shared" si="376"/>
        <v/>
      </c>
      <c r="PQ95" s="43" t="str">
        <f t="shared" si="377"/>
        <v/>
      </c>
      <c r="PR95" s="43" t="str">
        <f t="shared" si="378"/>
        <v/>
      </c>
      <c r="PS95" s="43" t="str">
        <f t="shared" si="379"/>
        <v/>
      </c>
      <c r="PT95" s="43" t="str">
        <f t="shared" si="380"/>
        <v/>
      </c>
      <c r="PU95" s="43" t="str">
        <f t="shared" si="381"/>
        <v/>
      </c>
      <c r="PV95" s="43" t="str">
        <f t="shared" si="382"/>
        <v/>
      </c>
      <c r="PW95" s="43" t="str">
        <f t="shared" si="383"/>
        <v/>
      </c>
      <c r="PX95" s="43" t="str">
        <f t="shared" si="384"/>
        <v/>
      </c>
      <c r="PY95" s="43" t="str">
        <f t="shared" si="385"/>
        <v/>
      </c>
      <c r="PZ95" s="43" t="str">
        <f t="shared" si="386"/>
        <v/>
      </c>
      <c r="QA95" s="43" t="str">
        <f t="shared" si="387"/>
        <v/>
      </c>
      <c r="QB95" s="43" t="str">
        <f t="shared" si="388"/>
        <v/>
      </c>
      <c r="QC95" s="43" t="str">
        <f t="shared" si="389"/>
        <v/>
      </c>
      <c r="QD95" s="43" t="str">
        <f t="shared" si="390"/>
        <v/>
      </c>
      <c r="QE95" s="43" t="str">
        <f t="shared" si="391"/>
        <v/>
      </c>
      <c r="QF95" s="43" t="str">
        <f t="shared" si="392"/>
        <v/>
      </c>
      <c r="QG95" s="43" t="str">
        <f t="shared" si="393"/>
        <v/>
      </c>
      <c r="QH95" s="43" t="str">
        <f t="shared" si="394"/>
        <v>SOBREPESO</v>
      </c>
      <c r="QI95" s="43" t="str">
        <f t="shared" si="395"/>
        <v/>
      </c>
      <c r="QJ95" s="43" t="str">
        <f t="shared" si="396"/>
        <v/>
      </c>
      <c r="QK95" s="43" t="str">
        <f t="shared" si="397"/>
        <v/>
      </c>
      <c r="QL95" s="43" t="str">
        <f t="shared" si="398"/>
        <v/>
      </c>
      <c r="QM95" s="43" t="str">
        <f t="shared" si="399"/>
        <v/>
      </c>
      <c r="QN95" s="43" t="str">
        <f t="shared" si="400"/>
        <v/>
      </c>
      <c r="QO95" s="43" t="str">
        <f t="shared" si="401"/>
        <v/>
      </c>
      <c r="QP95" s="43" t="str">
        <f t="shared" si="402"/>
        <v/>
      </c>
      <c r="QQ95" s="43" t="str">
        <f t="shared" si="403"/>
        <v/>
      </c>
      <c r="QR95" s="43">
        <f t="shared" si="433"/>
        <v>33</v>
      </c>
      <c r="QS95" s="43"/>
      <c r="QT95" s="21" t="str">
        <f t="shared" si="404"/>
        <v/>
      </c>
      <c r="QU95" s="21" t="str">
        <f t="shared" si="405"/>
        <v/>
      </c>
      <c r="QV95" s="21" t="str">
        <f t="shared" si="406"/>
        <v/>
      </c>
      <c r="QW95" s="21" t="str">
        <f t="shared" si="407"/>
        <v/>
      </c>
      <c r="QX95" s="21" t="str">
        <f t="shared" si="408"/>
        <v/>
      </c>
      <c r="QY95" s="21" t="str">
        <f t="shared" si="409"/>
        <v/>
      </c>
      <c r="QZ95" s="21" t="str">
        <f t="shared" si="410"/>
        <v/>
      </c>
      <c r="RA95" s="21" t="str">
        <f t="shared" si="411"/>
        <v/>
      </c>
      <c r="RB95" s="21" t="str">
        <f t="shared" si="412"/>
        <v/>
      </c>
      <c r="RC95" s="21" t="str">
        <f t="shared" si="413"/>
        <v/>
      </c>
      <c r="RD95" s="21" t="str">
        <f t="shared" si="414"/>
        <v/>
      </c>
      <c r="RE95" s="21" t="str">
        <f t="shared" si="415"/>
        <v/>
      </c>
      <c r="RF95" s="21" t="str">
        <f t="shared" si="416"/>
        <v/>
      </c>
      <c r="RG95" s="21" t="str">
        <f t="shared" si="417"/>
        <v/>
      </c>
      <c r="RH95" s="21" t="str">
        <f t="shared" si="418"/>
        <v/>
      </c>
      <c r="RI95" s="21" t="str">
        <f t="shared" si="419"/>
        <v/>
      </c>
      <c r="RJ95" s="21" t="str">
        <f t="shared" si="420"/>
        <v/>
      </c>
      <c r="RK95" s="21" t="str">
        <f t="shared" si="421"/>
        <v/>
      </c>
      <c r="RL95" s="21" t="str">
        <f t="shared" si="422"/>
        <v/>
      </c>
      <c r="RM95" s="21" t="str">
        <f t="shared" si="423"/>
        <v/>
      </c>
      <c r="RN95" s="21" t="str">
        <f t="shared" si="424"/>
        <v>ALTO PARA EDAD GESTACIONAL</v>
      </c>
      <c r="RO95" s="21" t="str">
        <f t="shared" si="425"/>
        <v/>
      </c>
      <c r="RP95" s="21" t="str">
        <f t="shared" si="426"/>
        <v/>
      </c>
      <c r="RQ95" s="21" t="str">
        <f t="shared" si="427"/>
        <v/>
      </c>
      <c r="RR95" s="21" t="str">
        <f t="shared" si="428"/>
        <v/>
      </c>
      <c r="RS95" s="21" t="str">
        <f t="shared" si="429"/>
        <v/>
      </c>
      <c r="RT95" s="21" t="str">
        <f t="shared" si="430"/>
        <v/>
      </c>
      <c r="RU95" s="21" t="str">
        <f t="shared" si="431"/>
        <v/>
      </c>
      <c r="RV95" s="21">
        <f t="shared" si="432"/>
        <v>-1</v>
      </c>
      <c r="RW95" s="284">
        <f>IF(OR(Tabla1[[#This Row],[FUM FORMULA CONFIABLE]]="",Tabla1[[#This Row],[FUM FORMULA CONFIABLE]]="SD"),"",IF(Tabla1[[#This Row],[FUM FORMULA CONFIABLE]]="CORREGIDA",Tabla1[[#This Row],[FUM X ECO 1]],Tabla1[[#This Row],[FUM x AMENORREA]]))</f>
        <v>44881</v>
      </c>
      <c r="RX95" s="21">
        <f>IF(AND(Tabla1[[#This Row],[FUM X ECO 1]]="",Tabla1[[#This Row],[FUM x AMENORREA]]=""),"",IF(AND(Tabla1[[#This Row],[FUM X ECO 1]]="",Tabla1[[#This Row],[FUM x AMENORREA]]&lt;&gt;""),"X",SUM(Tabla1[[#This Row],[FUM X ECO 1]]-Tabla1[[#This Row],[FUM x AMENORREA]])))</f>
        <v>-7.8000000000029104</v>
      </c>
      <c r="RY95" s="21">
        <f t="shared" si="434"/>
        <v>1</v>
      </c>
    </row>
    <row r="96" spans="1:493" ht="45" customHeight="1" x14ac:dyDescent="0.25">
      <c r="A96" s="109"/>
      <c r="B96" s="43"/>
      <c r="C96" s="43" t="s">
        <v>845</v>
      </c>
      <c r="D96" s="124" t="s">
        <v>846</v>
      </c>
      <c r="E96" s="43" t="s">
        <v>1290</v>
      </c>
      <c r="F96" s="43" t="s">
        <v>996</v>
      </c>
      <c r="G96" s="43" t="s">
        <v>1291</v>
      </c>
      <c r="H96" s="43"/>
      <c r="I96" s="109" t="s">
        <v>1094</v>
      </c>
      <c r="J96" s="110">
        <v>1059597222</v>
      </c>
      <c r="K96" s="43"/>
      <c r="L96" s="175" t="s">
        <v>886</v>
      </c>
      <c r="M96" s="22">
        <v>39131</v>
      </c>
      <c r="N96" s="213">
        <f t="shared" ca="1" si="252"/>
        <v>16.715068493150685</v>
      </c>
      <c r="O96" s="22">
        <v>44957</v>
      </c>
      <c r="P96" s="214" t="str">
        <f t="shared" si="438"/>
        <v>SI</v>
      </c>
      <c r="Q96" s="26" t="s">
        <v>855</v>
      </c>
      <c r="R96" s="22">
        <v>44957</v>
      </c>
      <c r="S96" s="21" t="s">
        <v>856</v>
      </c>
      <c r="T96" s="24" t="s">
        <v>690</v>
      </c>
      <c r="U96" s="21" t="s">
        <v>857</v>
      </c>
      <c r="V96" s="21" t="s">
        <v>858</v>
      </c>
      <c r="W96" s="21" t="s">
        <v>1292</v>
      </c>
      <c r="X96" s="21" t="s">
        <v>857</v>
      </c>
      <c r="Y96" s="21" t="s">
        <v>859</v>
      </c>
      <c r="Z96" s="21"/>
      <c r="AA96" s="21" t="s">
        <v>860</v>
      </c>
      <c r="AB96" s="27" t="s">
        <v>861</v>
      </c>
      <c r="AC96" s="26" t="s">
        <v>897</v>
      </c>
      <c r="AD96" s="38" t="s">
        <v>846</v>
      </c>
      <c r="AE96" s="26" t="s">
        <v>854</v>
      </c>
      <c r="AF96" s="26" t="s">
        <v>854</v>
      </c>
      <c r="AG96" s="23" t="s">
        <v>864</v>
      </c>
      <c r="AH96" s="23" t="s">
        <v>864</v>
      </c>
      <c r="AI96" s="24" t="s">
        <v>863</v>
      </c>
      <c r="AJ96" s="23" t="s">
        <v>864</v>
      </c>
      <c r="AK96" s="220" t="str">
        <f>IF(AND(AD96="",AE96="",AF96="",AG96="",AH96="",AI96="",AJ96=""),"",IF(OR(Tabla1[[#This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EVALUACIÓN",IF(AND(O96="",R96=""),"",IF(AND(OR(O96&gt;0,R96&gt;0),NG96&gt;=0,NG96&lt;2),"SIN RIESGO",IF(AND(OR(O96&gt;0,R96&gt;0),NG96&gt;=2),"CON RIESGO","ASD")))))</f>
        <v>SIN RIESGO</v>
      </c>
      <c r="AL96" s="23" t="s">
        <v>864</v>
      </c>
      <c r="AM96" s="26" t="s">
        <v>864</v>
      </c>
      <c r="AN96" s="26"/>
      <c r="AO96" s="26" t="s">
        <v>864</v>
      </c>
      <c r="AP96" s="26" t="s">
        <v>864</v>
      </c>
      <c r="AQ96" s="26" t="s">
        <v>864</v>
      </c>
      <c r="AR96" s="26" t="s">
        <v>864</v>
      </c>
      <c r="AS96" s="21">
        <v>1</v>
      </c>
      <c r="AT96" s="21">
        <v>0</v>
      </c>
      <c r="AU96" s="21">
        <v>0</v>
      </c>
      <c r="AV96" s="26" t="s">
        <v>864</v>
      </c>
      <c r="AW96" s="21">
        <v>0</v>
      </c>
      <c r="AX96" s="26" t="s">
        <v>864</v>
      </c>
      <c r="AY96" s="26" t="s">
        <v>864</v>
      </c>
      <c r="AZ96" s="26" t="s">
        <v>864</v>
      </c>
      <c r="BA96" s="26" t="s">
        <v>864</v>
      </c>
      <c r="BB96" s="26" t="s">
        <v>864</v>
      </c>
      <c r="BC96" s="26" t="s">
        <v>864</v>
      </c>
      <c r="BD96" s="26" t="s">
        <v>864</v>
      </c>
      <c r="BE96" s="26" t="s">
        <v>864</v>
      </c>
      <c r="BF96" s="26" t="s">
        <v>864</v>
      </c>
      <c r="BG96" s="26" t="s">
        <v>864</v>
      </c>
      <c r="BH96" s="26" t="s">
        <v>864</v>
      </c>
      <c r="BI96" s="26" t="s">
        <v>864</v>
      </c>
      <c r="BJ96" s="26"/>
      <c r="BK96" s="26"/>
      <c r="BL96" s="26" t="s">
        <v>864</v>
      </c>
      <c r="BM96" s="26" t="s">
        <v>864</v>
      </c>
      <c r="BN96" s="22"/>
      <c r="BO96" s="22">
        <v>44880</v>
      </c>
      <c r="BP96" s="21" t="s">
        <v>1380</v>
      </c>
      <c r="BQ96" s="222">
        <f t="shared" si="254"/>
        <v>0</v>
      </c>
      <c r="BR96" s="223">
        <f t="shared" si="255"/>
        <v>44858.9</v>
      </c>
      <c r="BS96" s="224">
        <f t="shared" si="256"/>
        <v>14.014285714285506</v>
      </c>
      <c r="BT96" s="216" t="str">
        <f t="shared" si="257"/>
        <v>II TRIM</v>
      </c>
      <c r="BU96" s="214" t="str">
        <f t="shared" ca="1" si="258"/>
        <v/>
      </c>
      <c r="BV96" s="25"/>
      <c r="BW96" s="22">
        <v>44966</v>
      </c>
      <c r="BX96" s="28">
        <v>15.3</v>
      </c>
      <c r="BY96" s="28"/>
      <c r="BZ96" s="22"/>
      <c r="CA96" s="21"/>
      <c r="CB96" s="26" t="s">
        <v>864</v>
      </c>
      <c r="CC96" s="26" t="s">
        <v>864</v>
      </c>
      <c r="CD96" s="26" t="s">
        <v>972</v>
      </c>
      <c r="CE96" s="26" t="s">
        <v>864</v>
      </c>
      <c r="CF96" s="22" t="s">
        <v>1517</v>
      </c>
      <c r="CG96" s="21">
        <v>1.56</v>
      </c>
      <c r="CH96" s="21">
        <v>45.5</v>
      </c>
      <c r="CI96" s="214">
        <f t="shared" si="259"/>
        <v>18.696581196581196</v>
      </c>
      <c r="CJ96" s="225" t="e">
        <f>IF(AND(CI96&lt;10,CH96="SD"),"SIN DATO PESO PREGESTACION O I TRIM",IF(AND(OR(R96&gt;0,O96&gt;0),CI96="X"),"INGRESAR DATO DE PESO",IF(CI96="SD","INGRESAR DATO DE TALLA Y PESO",IF(AND(OR(Tabla1[[#This Row],[MOMENTO EN QUE SE REALIZA EL PESO AL INGRESO A CPN]]="PREGESTACIÓN",NZ96="Menor"),CI96&lt;18.5),"BAJO PESO",IF(AND(OR(Tabla1[[#This Row],[MOMENTO EN QUE SE REALIZA EL PESO AL INGRESO A CPN]]="PREGESTACIÓN",NZ96="Menor"),CI96&lt;25),"NORMAL",IF(AND(OR(Tabla1[[#This Row],[MOMENTO EN QUE SE REALIZA EL PESO AL INGRESO A CPN]]="PREGESTACIÓN",NZ96="Menor"),CI96&lt;30),"SOBREPESO",IF(AND(OR(Tabla1[[#This Row],[MOMENTO EN QUE SE REALIZA EL PESO AL INGRESO A CPN]]="PREGESTACIÓN",NZ96="Menor"),CI96&gt;=30,CI96&lt;50),"OBESIDAD",IF(AND(BS96&gt;0,Tabla1[[#This Row],[MOMENTO EN QUE SE REALIZA EL PESO AL INGRESO A CPN]]="GESTACIÓN"),HLOOKUP(NZ96,$OA$2:PH96,NY96),""))))))))</f>
        <v>#REF!</v>
      </c>
      <c r="CK96" s="212">
        <f t="shared" si="260"/>
        <v>45072</v>
      </c>
      <c r="CL96" s="21">
        <v>51.3</v>
      </c>
      <c r="CM96" s="214">
        <f t="shared" si="261"/>
        <v>21.07988165680473</v>
      </c>
      <c r="CN96" s="216">
        <f t="shared" si="262"/>
        <v>30</v>
      </c>
      <c r="CO96" s="216" t="e">
        <f>IF(PI96="","",IF(PI96&gt;0,HLOOKUP(PI96,$PJ$2:QQ96,NY96),""))</f>
        <v>#REF!</v>
      </c>
      <c r="CP96" s="21">
        <v>28</v>
      </c>
      <c r="CQ96" s="216" t="e">
        <f>IF(QR96="Menor","NO APLICA-MENOR 13 SEM",IF(AND(CC96="SI",CN96&gt;23),"NO APLICA- GEMELAR",IF(QR96="","",IF(QR96&gt;0,HLOOKUP(QR96,$QS$2:RU96,NY96),""))))</f>
        <v>#REF!</v>
      </c>
      <c r="CR96" s="21">
        <v>90</v>
      </c>
      <c r="CS96" s="21">
        <v>60</v>
      </c>
      <c r="CT96" s="217" t="str">
        <f>IF(R96="","",IF(AND(BS96&gt;1,BS96&lt;12,Tabla1[[#This Row],[T.A. SISTOLICA - ANTES DE SEMANA 12]]="",Tabla1[[#This Row],[T.A. DIASTOLICA - ANTES DE SEMANA 12]]=""),"REGISTRE DATO TA ANTES SEMANA 12",IF(AND(BS96&gt;11,BS96&lt;43,Tabla1[[#This Row],[T.A. SISTOLICA - ANTES DE SEMANA 12]]="",Tabla1[[#This Row],[T.A. DIASTOLICA - ANTES DE SEMANA 12]]=""),"NO APLICA REGISTRO TA-INGRESO TARDIO",IF(AND(OR(O96&gt;0,R96&gt;0),OR(CR96&gt;=140,CS96&gt;=90)),"DEFINIR ESTADIO HTA",IF(AND(OR(O96&gt;0,R96&gt;0),AND(CR96&gt;120,CR96&lt;=139)),"PRE HTA SEGUIMIENTO",IF(AND(OR(O96&gt;0,R96&gt;0),AND(CS96&gt;80,CS96&lt;=89)),"PRE HTA SEGUIMIENTO",IF(AND(OR(O96&gt;0,R96&gt;0),AND(CR96&gt;=80,CR96&lt;=120)),"APARENTEMENTE NORMAL",IF(AND(OR(O96&gt;0,R96&gt;0),AND(CS96&gt;=50,CS96&lt;=80)),"APARENTEMENTE NORMAL",IF(AND(OR(O96&gt;0,R96&gt;0),AND(CR96&gt;1,CR96&lt;=70),AND(CS96&gt;1,CS96&lt;=40)),"HIPOTENSIÓN","")))))))))</f>
        <v>APARENTEMENTE NORMAL</v>
      </c>
      <c r="CU96" s="21"/>
      <c r="CV96" s="21"/>
      <c r="CW96" s="217" t="str">
        <f ca="1">IF(R96="","",IF(AND(CN96&gt;19,CN96&lt;27,Tabla1[[#This Row],[T.A. SISTOLICA (Entre semana 20 y 26)]]="",Tabla1[[#This Row],[T.A. DIATOLICA (Entre semana 20 y 26)]]=""),"ACUDE A CONTROL SEM 20 A 26 REGISTRE TA AHORA",IF(AND(BS96&gt;1,BS96&lt;27,BU96&gt;19,Tabla1[[#This Row],[T.A. SISTOLICA (Entre semana 20 y 26)]]="",Tabla1[[#This Row],[T.A. DIATOLICA (Entre semana 20 y 26)]]=""),"COMPLETE REGISTRO TA CONTROL SEM 20 A26 ",IF(AND(BS96&gt;26,BS96&lt;43,Tabla1[[#This Row],[T.A. SISTOLICA (Entre semana 20 y 26)]]="",Tabla1[[#This Row],[T.A. DIATOLICA (Entre semana 20 y 26)]]=""),"NO APLICA REGISTRO TA-INGRESO TARDIO",IF(AND(OR(O96&gt;0,R96&gt;0),OR(CU96&gt;=140,CV96&gt;=90)),"ALTO RIESGO PREECLAMPSIA,DEFINIR ESTADIO HTA",IF(AND(OR(O96&gt;0,R96&gt;0),AND(CU96&gt;120,CU96&lt;=139)),"PRE HTA SEGUIMIENTO,RIESGO HIPERTENSION INDUCIDA POR EL EMBARAZO",IF(AND(OR(O96&gt;0,R96&gt;0),AND(CV96&gt;80,CV96&lt;=89)),"PRE HTA SEGUIMIENTO, RIESGO HIPERTENSION INDUCIDA POR EL EMBARAZO",IF(AND(OR(O96&lt;&gt;"",R96&lt;&gt;""),CS96&lt;&gt;"",CV96&lt;&gt;"",CS96&lt;=CV96),"VIGILAR CIFRAS PRESION ARTERIAL",IF(AND(OR(O96&gt;0,R96&gt;0),AND(CU96&gt;120,CU96&lt;=139)),"PRE HTA SEGUIMIENTO",IF(AND(OR(O96&gt;0,R96&gt;0),AND(CU96&gt;1,CU96&lt;=70),AND(CV96&gt;1,CV96&lt;=40)),"HIPOTENSIÓN",IF(AND(OR(O96&lt;&gt;"",R96&lt;&gt;""),CS96&lt;&gt;"",CV96&lt;&gt;"",CS96&gt;CV96),"APARENTEMENTE NORMAL",IF(AND(OR(O96&gt;0,R96&gt;0),AND(CU96&gt;=80,CU96&lt;=120)),"APARENTEMENTE NORMAL",IF(AND(OR(O96&gt;0,R96&gt;0),AND(CV96&gt;=50,CV96&lt;=80)),"APARENTEMENTE NORMAL","")))))))))))))</f>
        <v xml:space="preserve">COMPLETE REGISTRO TA CONTROL SEM 20 A26 </v>
      </c>
      <c r="CX96" s="21">
        <v>100</v>
      </c>
      <c r="CY96" s="21">
        <v>60</v>
      </c>
      <c r="CZ96" s="216" t="str">
        <f t="shared" si="263"/>
        <v>APARENTEMENTE NORMAL</v>
      </c>
      <c r="DA96" s="21">
        <v>100</v>
      </c>
      <c r="DB96" s="21">
        <v>60</v>
      </c>
      <c r="DC96" s="217" t="str">
        <f t="shared" si="264"/>
        <v>APARENTEMENTE NORMAL</v>
      </c>
      <c r="DD96" s="22"/>
      <c r="DE96" s="22">
        <v>44957</v>
      </c>
      <c r="DF96" s="22">
        <v>44985</v>
      </c>
      <c r="DG96" s="22">
        <v>45072</v>
      </c>
      <c r="DH96" s="22"/>
      <c r="DI96" s="22"/>
      <c r="DJ96" s="22"/>
      <c r="DK96" s="22"/>
      <c r="DL96" s="22"/>
      <c r="DM96" s="22"/>
      <c r="DN96" s="22"/>
      <c r="DO96" s="22"/>
      <c r="DP96" s="22"/>
      <c r="DQ96" s="22"/>
      <c r="DR96" s="28"/>
      <c r="DS96" s="22"/>
      <c r="DT96" s="22"/>
      <c r="DU96" s="216" t="str">
        <f t="shared" ca="1" si="439"/>
        <v>CONCERTAR PLAN DE PARTO INMEDIATO</v>
      </c>
      <c r="DV96" s="226" t="str">
        <f t="shared" si="440"/>
        <v>ACTIVA INGRESO A CPN</v>
      </c>
      <c r="DW9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96" s="216" t="e">
        <f t="shared" ca="1" si="266"/>
        <v>#REF!</v>
      </c>
      <c r="DY96" s="212">
        <f>IF(R96="","",IF(R96&gt;0,MAX(Tabla1[[#This Row],[FECHA C2]:[FECHA C13]],Tabla1[[#This Row],[FECHA CONSULTA PRIMERA VEZ PROGRAMA CPN ]])))</f>
        <v>45072</v>
      </c>
      <c r="DZ96" s="216">
        <f t="shared" si="267"/>
        <v>30</v>
      </c>
      <c r="EA96" s="222">
        <f>IF(R96&gt;0,SUM(COUNTA(DF96:DQ96)+COUNTA(Tabla1[[#This Row],[FECHA CONSULTA PRIMERA VEZ PROGRAMA CPN ]])),"")</f>
        <v>3</v>
      </c>
      <c r="EB96" s="222" t="str">
        <f t="shared" si="268"/>
        <v>NO</v>
      </c>
      <c r="EC96" s="214">
        <f t="shared" si="269"/>
        <v>8</v>
      </c>
      <c r="ED96" s="227">
        <f t="shared" si="270"/>
        <v>0.375</v>
      </c>
      <c r="EE96" s="22">
        <v>44957</v>
      </c>
      <c r="EF96" s="22">
        <v>44957</v>
      </c>
      <c r="EG96" s="22">
        <v>44957</v>
      </c>
      <c r="EH96" s="22">
        <v>44963</v>
      </c>
      <c r="EI96" s="22">
        <v>44957</v>
      </c>
      <c r="EJ96" s="22">
        <v>44988</v>
      </c>
      <c r="EK96" s="344">
        <v>44963</v>
      </c>
      <c r="EL96" s="21"/>
      <c r="EM96" s="21">
        <v>13.2</v>
      </c>
      <c r="EN96" s="22">
        <v>44960</v>
      </c>
      <c r="EO96" s="222">
        <f t="shared" si="271"/>
        <v>14.442857142856935</v>
      </c>
      <c r="EP96" s="214" t="str">
        <f t="shared" si="272"/>
        <v>NORMAL- SUMINISTRAR SULFATO FERROSO</v>
      </c>
      <c r="EQ96" s="216" t="str">
        <f t="shared" si="273"/>
        <v>II TRIM</v>
      </c>
      <c r="ER96" s="24"/>
      <c r="ES96" s="22"/>
      <c r="ET96" s="29" t="str">
        <f t="shared" ca="1" si="441"/>
        <v>TOMA DE HEMOGLOBINA TARDÍA</v>
      </c>
      <c r="EU96" s="25" t="str">
        <f t="shared" si="275"/>
        <v/>
      </c>
      <c r="EV96" s="24" t="s">
        <v>866</v>
      </c>
      <c r="EW96" s="24">
        <v>44960</v>
      </c>
      <c r="EX96" s="22"/>
      <c r="EY96" s="29">
        <f t="shared" ref="EY96:EY159" si="454">IF(AND(BT96="ERROR FUM O INGRESO",EW96&gt;0),"ERROR FUM O INGRESO",IF(AND(EW96="",R96="",O96=""),"",IF(OR(AND(EW96&lt;&gt;"",EW96&lt;RW96),AND(EW96&lt;&gt;"",SUM((EW96-RW96)/7)&gt;40)),"CORREGIR FECHA RESULTADO",IF(AND(EW96="",OR(O96&gt;0,R96&gt;0)),"TOMAR EXAMEN",IF(EW96&gt;0,SUM(EW96-RW96)/7,"")))))</f>
        <v>14.442857142856935</v>
      </c>
      <c r="EZ96" s="25" t="str">
        <f t="shared" ref="EZ96:EZ159" ca="1" si="455">IF(EV96="RH POSITIVO","SIN RIESGO DE ISOINMUNIZACIÓN",IF(AND(EV96="RH NEGATIVO CON COOMBS NEGATIVO",EX96="",BU96&lt;=24),"COOMBS C/MES Y APLICAR RHESUMAN SEM 28",IF(AND(EV96="RH NEGATIVO CON COOMBS NEGATIVO",EX96="",AND(BU96&gt;24,BU96&lt;27)),"FALTAN DE 4 A 2 SEMANAS PARA APLICAR RHESUMAN A SEM 28",IF(AND(EV96="RH NEGATIVO CON COOMBS NEGATIVO",EX96="",AND(BU96&gt;26.99,BU96&lt;27.99)),"FALTAN 1 SEMANAS PARA APLICAR RHESUMAN A SEM 28",IF(AND(EV96="RH NEGATIVO CON COOMBS NEGATIVO",EX96="",AND(BU96&gt;27.99,BU96&lt;29)),"SEMANA 28 APLICAR DE INMEDIATO RHESUMAN",IF(AND(EV96="RH NEGATIVO CON COOMBS NEGATIVO",EX96="",AND(BU96&gt;28.99,BU96&lt;42)),"DEBE APLICAR RHESUMAN, ES NO OPORTUNO &gt; 28 SEMANAS",IF(AND(EV96="RH NEGATIVO CON COOMBS NEGATIVO",EX96&gt;0),SUM(EX96-RW96)/7,IF(EV96="RH NEGATIVO SIN COOMBS","TOMAR COOMBS INMEDIATO PARA DEFINIR MANEJO",IF(EV96="RH NEGATIVO CON COOMBS POSITIVO","TOMAR COOMBS CUANTITATIVO Y REMISIÓN","")))))))))</f>
        <v/>
      </c>
      <c r="FA96" s="21">
        <v>70</v>
      </c>
      <c r="FB96" s="22">
        <v>44960</v>
      </c>
      <c r="FC96" s="29">
        <f t="shared" si="276"/>
        <v>14.442857142856935</v>
      </c>
      <c r="FD96" s="29"/>
      <c r="FE96" s="29"/>
      <c r="FF96" s="29"/>
      <c r="FG96" s="21" t="str">
        <f t="shared" ca="1" si="277"/>
        <v/>
      </c>
      <c r="FH96" s="31"/>
      <c r="FI96" s="29" t="str">
        <f t="shared" si="278"/>
        <v>TOMAR EXAMEN</v>
      </c>
      <c r="FJ96" s="22" t="s">
        <v>867</v>
      </c>
      <c r="FK96" s="22">
        <v>44960</v>
      </c>
      <c r="FL96" s="29" t="str">
        <f t="shared" si="279"/>
        <v>REGISTRAR EN II TRIMESTRE</v>
      </c>
      <c r="FM96" s="22"/>
      <c r="FN96" s="32"/>
      <c r="FO96" s="29" t="str">
        <f t="shared" ca="1" si="442"/>
        <v>PIERDE TOMA DE TAMIZAJE</v>
      </c>
      <c r="FP96" s="22"/>
      <c r="FQ96" s="32"/>
      <c r="FR96" s="29" t="str">
        <f t="shared" ca="1" si="443"/>
        <v>TOMA INMEDIATA DE TAMIZAJE</v>
      </c>
      <c r="FS96" s="22"/>
      <c r="FT96" s="32"/>
      <c r="FU96" s="29" t="str">
        <f>IF(AND(FJ96="",FM96="",FP96="",FS96=""),"",IF(OR(OR(Tabla1[[#This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96" s="28"/>
      <c r="FW96" s="22"/>
      <c r="FX96" s="29" t="str">
        <f t="shared" si="280"/>
        <v>TOMAR EXAMEN</v>
      </c>
      <c r="FY96" s="22">
        <v>44960</v>
      </c>
      <c r="FZ96" s="22">
        <v>44960</v>
      </c>
      <c r="GA96" s="29" t="str">
        <f t="shared" si="453"/>
        <v>REGISTRAR EN II TRIMESTRE</v>
      </c>
      <c r="GB96" s="22"/>
      <c r="GC96" s="22"/>
      <c r="GD96" s="29" t="str">
        <f t="shared" ca="1" si="444"/>
        <v>PIERDE TOMA DE TAMIZAJE</v>
      </c>
      <c r="GE96" s="22"/>
      <c r="GF96" s="22"/>
      <c r="GG96" s="29" t="str">
        <f t="shared" ca="1" si="445"/>
        <v>TOMA INMEDIATA DE TAMIZAJE</v>
      </c>
      <c r="GH96" s="22"/>
      <c r="GI96" s="29"/>
      <c r="GJ96" s="22"/>
      <c r="GK96" s="22"/>
      <c r="GL96" s="22"/>
      <c r="GM96" s="22"/>
      <c r="GN96" s="28" t="s">
        <v>869</v>
      </c>
      <c r="GO96" s="22">
        <v>44960</v>
      </c>
      <c r="GP96" s="29">
        <f t="shared" si="283"/>
        <v>14.442857142856935</v>
      </c>
      <c r="GQ96" s="28" t="s">
        <v>869</v>
      </c>
      <c r="GR96" s="28" t="s">
        <v>869</v>
      </c>
      <c r="GS96" s="22" t="str">
        <f t="shared" si="284"/>
        <v>CONTROL Igm</v>
      </c>
      <c r="GT96" s="22">
        <v>44960</v>
      </c>
      <c r="GU96" s="29">
        <f t="shared" si="285"/>
        <v>11.428571428571429</v>
      </c>
      <c r="GV96" s="21" t="str">
        <f t="shared" si="286"/>
        <v>I TRIM</v>
      </c>
      <c r="GW96" s="28" t="s">
        <v>869</v>
      </c>
      <c r="GX96" s="30"/>
      <c r="GY96" s="21"/>
      <c r="GZ96" s="21"/>
      <c r="HA96" s="21"/>
      <c r="HB96" s="21"/>
      <c r="HC96" s="21"/>
      <c r="HD96" s="21"/>
      <c r="HE96" s="21"/>
      <c r="HF96" s="22"/>
      <c r="HG96" s="22" t="str">
        <f>IF(OR(O96&gt;0,R96&gt;0),CONCATENATE(IF(Tabla1[[#This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96" s="22" t="e">
        <f t="shared" si="287"/>
        <v>#REF!</v>
      </c>
      <c r="HI96" s="22" t="e">
        <f t="shared" ca="1" si="288"/>
        <v>#REF!</v>
      </c>
      <c r="HJ96" s="21" t="str">
        <f t="shared" ca="1" si="289"/>
        <v>**********************MULTIPARIDAD**RIESGO POR EDAD***************</v>
      </c>
      <c r="HK96" s="21" t="str">
        <f t="shared" si="290"/>
        <v>SIN ANTECEDENTES DE RIESGO</v>
      </c>
      <c r="HL96" s="24" t="str">
        <f t="shared" si="291"/>
        <v>APARENTEMENTE NORMAL</v>
      </c>
      <c r="HM96" s="21" t="e">
        <f t="shared" ca="1" si="292"/>
        <v>#REF!</v>
      </c>
      <c r="HN96" s="30" t="str">
        <f t="shared" si="446"/>
        <v>ACTIVA INGRESO A CPN</v>
      </c>
      <c r="HO96" s="21"/>
      <c r="HP96" s="21"/>
      <c r="HQ96" s="21">
        <v>44957</v>
      </c>
      <c r="HR96" s="21" t="str">
        <f>IF(R96="","",IF(Tabla1[[#This Row],[ALARMA FACTORES DE RIESGO COMPLICACIONES HIPERTENSIVAS3]]="SIN ANTECEDENTES DE RIESGO","No Aplica para suministro de ASA",IF(AND(Tabla1[[#This Row],[FECHA INICIO DE SUMINISTRO DE ASA]]&gt;0,RV96&lt;12),"Inicia ASA ANTES de Sem 12",IF(AND(RV96&gt;11,RV96&lt;17,OR(HK96="RIESGO ALTO DE COMPLICACIONES HIPERTENSIVAS VER MANEJO GUIA SUMINISTRO ASA Y CALCIO",HK96="RIESGO MODERADO (2 O MAS CRITERIOS) VER MANEJO GUIA SUMINISTRO ASA Y CALCIO")),"Inicio oportuno de ASA",IF(AND(RV96&gt;12,OR(HK96="RIESGO ALTO DE COMPLICACIONES HIPERTENSIVAS VER MANEJO GUIA SUMINISTRO ASA Y CALCIO",HK96="RIESGO MODERADO (2 O MAS CRITERIOS) VER MANEJO GUIA SUMINISTRO ASA Y CALCIO")),"Inicio no oportuno mayor a 16 semanas",IF(AND(BU96&lt;12,OR(HK96="RIESGO ALTO DE COMPLICACIONES HIPERTENSIVAS VER MANEJO GUIA SUMINISTRO ASA Y CALCIO",HK96="RIESGO MODERADO (2 O MAS CRITERIOS) VER MANEJO GUIA SUMINISTRO ASA Y CALCIO")),"Pendiente Inicio de ASA a la semana 12",IF(AND(BU96&gt;11,BU96&lt;17,OR(HK96="RIESGO ALTO DE COMPLICACIONES HIPERTENSIVAS VER MANEJO GUIA SUMINISTRO ASA Y CALCIO",HK96="RIESGO MODERADO (2 O MAS CRITERIOS) VER MANEJO GUIA SUMINISTRO ASA Y CALCIO")),"Iniciar de inmediato ASA",IF(AND(BU96&gt;16,OR(HK96="RIESGO ALTO DE COMPLICACIONES HIPERTENSIVAS VER MANEJO GUIA SUMINISTRO ASA Y CALCIO",HK96="RIESGO MODERADO (2 O MAS CRITERIOS) VER MANEJO GUIA SUMINISTRO ASA Y CALCIO")),"Pierde Oportunidad, Inicio tardío de ASA","XXXXX"))))))))</f>
        <v>No Aplica para suministro de ASA</v>
      </c>
      <c r="HS96" s="22">
        <v>44957</v>
      </c>
      <c r="HT96" s="22" t="s">
        <v>870</v>
      </c>
      <c r="HU96" s="22">
        <v>44957</v>
      </c>
      <c r="HV96" s="22" t="s">
        <v>870</v>
      </c>
      <c r="HW96" s="22">
        <v>44957</v>
      </c>
      <c r="HX96" s="22" t="s">
        <v>870</v>
      </c>
      <c r="HY96" s="22">
        <v>44952</v>
      </c>
      <c r="HZ96" s="28">
        <f t="shared" si="293"/>
        <v>13.299999999999793</v>
      </c>
      <c r="IA96" s="26"/>
      <c r="IB96" s="26"/>
      <c r="IC96" s="111"/>
      <c r="ID96" s="22"/>
      <c r="IE96" s="22" t="str">
        <f t="shared" ca="1" si="294"/>
        <v/>
      </c>
      <c r="IF96" s="22"/>
      <c r="IG96" s="22">
        <f t="shared" si="295"/>
        <v>45138.9</v>
      </c>
      <c r="IH96" s="29">
        <f t="shared" ca="1" si="296"/>
        <v>-93.099999999998545</v>
      </c>
      <c r="II96" s="22" t="str">
        <f t="shared" ca="1" si="297"/>
        <v>POSIBLEMENTE NACIO</v>
      </c>
      <c r="IJ96" s="22"/>
      <c r="IK96" s="21"/>
      <c r="IL96" s="21"/>
      <c r="IM96" s="34"/>
      <c r="IN96" s="349"/>
      <c r="IO96" s="21"/>
      <c r="IP96" s="29" t="str">
        <f t="shared" si="436"/>
        <v/>
      </c>
      <c r="IQ96" s="110"/>
      <c r="IR96" s="21"/>
      <c r="IS96" s="21"/>
      <c r="IT96" s="21"/>
      <c r="IU96" s="21"/>
      <c r="IV96" s="21"/>
      <c r="IW96" s="21"/>
      <c r="IX96" s="21"/>
      <c r="IY96" s="21"/>
      <c r="IZ96" s="21"/>
      <c r="JA96" s="21"/>
      <c r="JB96" s="30"/>
      <c r="JC96" s="21"/>
      <c r="JD96" s="36"/>
      <c r="JE96" s="21" t="str">
        <f t="shared" si="447"/>
        <v/>
      </c>
      <c r="JF96" s="30"/>
      <c r="JG96" s="21"/>
      <c r="JH96" s="21"/>
      <c r="JI96" s="21"/>
      <c r="JJ96" s="30"/>
      <c r="JK96" s="22"/>
      <c r="JL96" s="22"/>
      <c r="JM96" s="21"/>
      <c r="JN96" s="36"/>
      <c r="JO96" s="21" t="str">
        <f t="shared" si="448"/>
        <v/>
      </c>
      <c r="JP96" s="22"/>
      <c r="JQ96" s="21"/>
      <c r="JR96" s="21"/>
      <c r="JS96" s="21"/>
      <c r="JT96" s="30"/>
      <c r="JU96" s="22"/>
      <c r="JV96" s="22"/>
      <c r="JW96" s="33"/>
      <c r="JX96" s="28" t="str">
        <f t="shared" si="449"/>
        <v/>
      </c>
      <c r="JY96" s="33"/>
      <c r="JZ96" s="28" t="str">
        <f t="shared" si="450"/>
        <v/>
      </c>
      <c r="KA96" s="21"/>
      <c r="KB96" s="21"/>
      <c r="KC96" s="21"/>
      <c r="KD96" s="37"/>
      <c r="KE96" s="28"/>
      <c r="KF96" s="28"/>
      <c r="KG96" s="28"/>
      <c r="KH96" s="39"/>
      <c r="KI96" s="39"/>
      <c r="KJ96" s="66"/>
      <c r="KK96" s="39"/>
      <c r="KL96" s="39"/>
      <c r="KM96" s="66"/>
      <c r="KN96" s="39"/>
      <c r="KO96" s="39"/>
      <c r="KP96" s="39"/>
      <c r="KQ96" s="39"/>
      <c r="KR96" s="39"/>
      <c r="KS96" s="39"/>
      <c r="KT96" s="39"/>
      <c r="KU96" s="38"/>
      <c r="KV96" s="38"/>
      <c r="KW96" s="38"/>
      <c r="KX96" s="38"/>
      <c r="KY96" s="38"/>
      <c r="KZ96" s="38"/>
      <c r="LA96" s="38"/>
      <c r="LB96" s="38"/>
      <c r="LC96" s="38"/>
      <c r="LD96" s="38"/>
      <c r="LE96" s="38"/>
      <c r="LF96" s="38"/>
      <c r="LG96" s="38"/>
      <c r="LH96" s="38"/>
      <c r="LI96" s="38"/>
      <c r="LJ96" s="38"/>
      <c r="LK96" s="38"/>
      <c r="LL96" s="38"/>
      <c r="LM96" s="38"/>
      <c r="LN96" s="38"/>
      <c r="LO96" s="38"/>
      <c r="LP96" s="38"/>
      <c r="LQ96" s="38"/>
      <c r="LR96" s="38"/>
      <c r="LS96" s="38"/>
      <c r="LT96" s="38"/>
      <c r="LU96" s="38"/>
      <c r="LV96" s="38"/>
      <c r="LW96" s="38"/>
      <c r="LX96" s="38"/>
      <c r="LY96" s="38"/>
      <c r="LZ96" s="38"/>
      <c r="MA96" s="38"/>
      <c r="MB96" s="38"/>
      <c r="MC96" s="38"/>
      <c r="MD96" s="38"/>
      <c r="ME96" s="38"/>
      <c r="MF96" s="38"/>
      <c r="MG96" s="38"/>
      <c r="MH96" s="43">
        <f t="shared" si="303"/>
        <v>0</v>
      </c>
      <c r="MI96" s="43" t="str">
        <f t="shared" si="304"/>
        <v/>
      </c>
      <c r="MJ96" s="43" t="str">
        <f t="shared" si="305"/>
        <v/>
      </c>
      <c r="MK96" s="43">
        <f t="shared" si="306"/>
        <v>0</v>
      </c>
      <c r="ML9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96" s="43">
        <f t="shared" si="307"/>
        <v>14.014285714285506</v>
      </c>
      <c r="MN96" s="43">
        <f t="shared" si="308"/>
        <v>1</v>
      </c>
      <c r="MO96" s="43">
        <f t="shared" si="309"/>
        <v>2023</v>
      </c>
      <c r="MP96" s="43" t="str">
        <f t="shared" si="310"/>
        <v>I TRIMESTRE AÑO</v>
      </c>
      <c r="MQ96" s="43">
        <f t="shared" si="311"/>
        <v>15.722185720543145</v>
      </c>
      <c r="MR96" s="43">
        <f t="shared" si="312"/>
        <v>1</v>
      </c>
      <c r="MS96" s="43" t="str">
        <f t="shared" si="313"/>
        <v>DE 14 A 19AÑOS</v>
      </c>
      <c r="MT96" s="43">
        <f t="shared" si="314"/>
        <v>0</v>
      </c>
      <c r="MU96" s="43">
        <f t="shared" si="315"/>
        <v>1</v>
      </c>
      <c r="MV96" s="43">
        <f t="shared" si="316"/>
        <v>0</v>
      </c>
      <c r="MW96" s="43">
        <f t="shared" si="317"/>
        <v>0</v>
      </c>
      <c r="MX96" s="43" t="str">
        <f t="shared" si="318"/>
        <v/>
      </c>
      <c r="MY96" s="43" t="str">
        <f t="shared" ca="1" si="451"/>
        <v/>
      </c>
      <c r="MZ96" s="43" t="str">
        <f t="shared" si="319"/>
        <v/>
      </c>
      <c r="NA96" s="43" t="str">
        <f t="shared" si="320"/>
        <v/>
      </c>
      <c r="NB96" s="43" t="str">
        <f t="shared" si="321"/>
        <v/>
      </c>
      <c r="NC96" s="43" t="str">
        <f t="shared" si="322"/>
        <v/>
      </c>
      <c r="ND96" s="43">
        <f t="shared" ca="1" si="323"/>
        <v>2</v>
      </c>
      <c r="NE96" s="43">
        <f>IF(OR(O96&gt;0,R96&gt;0),SUM(COUNTIF(Tabla1[[#This Row],[AÑOS AL INICIO5 CPN]],"&gt;=40"),COUNTIF(AS96,"0"),COUNTIF(AR96,"SI"),COUNTIF(CC96,"SI"),COUNTIF(BQ96,"&gt;119"),COUNTIF(CI96,"&gt;=35")),"")</f>
        <v>0</v>
      </c>
      <c r="NF96" s="43" t="str">
        <f t="shared" si="324"/>
        <v/>
      </c>
      <c r="NG96" s="43">
        <f t="shared" si="325"/>
        <v>0</v>
      </c>
      <c r="NH96" s="43">
        <f t="shared" si="326"/>
        <v>107.10000000000001</v>
      </c>
      <c r="NI9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CPN",P96="NO"),"Z",IF(AND(Tabla1[[#This Row],[CITA PROXIMO CONTROL]]="CITA MANUAL",Tabla1[[#This Row],[GESTANTES ACTUALES]]="ACTIVA INGRESO A CPN"),"W",IF(AND(Tabla1[[#This Row],[GESTANTES ACTUALES]]="SALIO PROGRAMA",IN96=""),"S",IF(AND(Tabla1[[#This Row],[CITA PROXIMO CONTROL]]&gt;0,IN96=""),(Tabla1[[#This Row],[CITA PROXIMO CONTROL]]-TODAY()),"SD"))))))))</f>
        <v>#REF!</v>
      </c>
      <c r="NJ96" s="43">
        <f>MONTH(Tabla1[[#This Row],[FECHA DE SALIDA  DEL PROGRAMA]])</f>
        <v>1</v>
      </c>
      <c r="NK96" s="43">
        <f>YEAR(Tabla1[[#This Row],[FECHA DE SALIDA  DEL PROGRAMA]])</f>
        <v>1900</v>
      </c>
      <c r="NL96" s="43">
        <f t="shared" si="327"/>
        <v>31</v>
      </c>
      <c r="NM96" s="43" t="str">
        <f t="shared" ref="NM96:NM127" si="456">IF(AND(O96&gt;0,R96=""),"NO CPN",IF(AND(O96="",R96=""),"",IF(AND(EN96&lt;&gt;"",EX96&lt;&gt;"",FB96&lt;&gt;"",FK96&lt;&gt;"",FW96&lt;&gt;"",FZ96&lt;&gt;"",GO96&lt;&gt;"",GQ96&lt;&gt;"",GR96&lt;&gt;""),"SI","NO")))</f>
        <v>NO</v>
      </c>
      <c r="NN96" s="43" t="str">
        <f ca="1">IF(AND(O96&gt;0,R96=""),"NO CPN",IF(AND(O96="",R96=""),"",IF(AND(R96&gt;0,Tabla1[[#This Row],[SEMANAS DE GESTACION ACTUALIZADAS]]&lt;=12),"NO APLICA",IF(AND(FH96&lt;&gt;"",FN96&lt;&gt;""),"SI","NO"))))</f>
        <v>NO</v>
      </c>
      <c r="NO96" s="43" t="str">
        <f ca="1">IF(AND(O96&gt;0,R96=""),"NO CPN",IF(AND(O96="",R96=""),"",IF(AND(R96&gt;0,Tabla1[[#This Row],[SEMANAS DE GESTACION ACTUALIZADAS]]&lt;=27),"NO APLICA",IF(AND(ES96&lt;&gt;"",FQ96&lt;&gt;"",GF96&lt;&gt;""),"SI","NO"))))</f>
        <v>NO</v>
      </c>
      <c r="NP96" s="204" t="str">
        <f t="shared" si="328"/>
        <v>II TRIM</v>
      </c>
      <c r="NQ96" s="21">
        <f t="shared" si="437"/>
        <v>1</v>
      </c>
      <c r="NR96" s="21" t="str">
        <f t="shared" ca="1" si="452"/>
        <v>REVISAR FUM O FECHA SALIDA PROGRAMA</v>
      </c>
      <c r="NS96" s="205">
        <f t="shared" ca="1" si="329"/>
        <v>0</v>
      </c>
      <c r="NT96" s="21">
        <f t="shared" ca="1" si="330"/>
        <v>0</v>
      </c>
      <c r="NU96" s="21" t="str">
        <f t="shared" ca="1" si="331"/>
        <v>POR DEFINIR</v>
      </c>
      <c r="NV96" s="21" t="str">
        <f t="shared" ca="1" si="332"/>
        <v>POR DEFINIR</v>
      </c>
      <c r="NW96" s="206" t="str">
        <f>IF(AND(O96="",R96=""),"",IF(OR(AND(Tabla1[[#This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96" s="207" t="str">
        <f t="shared" ca="1" si="333"/>
        <v>SIN VACUNAR</v>
      </c>
      <c r="NY96" s="43">
        <f>ROW(Tabla1[[#This Row],['# DE TAMIZAJES SIFILIS TOMADOS ]])</f>
        <v>96</v>
      </c>
      <c r="NZ96" s="43">
        <f t="shared" si="334"/>
        <v>14</v>
      </c>
      <c r="OA96" s="43" t="str">
        <f t="shared" si="335"/>
        <v/>
      </c>
      <c r="OB96" s="43" t="str">
        <f t="shared" si="336"/>
        <v/>
      </c>
      <c r="OC96" s="43" t="str">
        <f t="shared" si="337"/>
        <v/>
      </c>
      <c r="OD96" s="43" t="str">
        <f t="shared" si="338"/>
        <v/>
      </c>
      <c r="OE96" s="43" t="str">
        <f t="shared" si="339"/>
        <v/>
      </c>
      <c r="OF96" s="43" t="str">
        <f t="shared" si="340"/>
        <v>BAJO PESO</v>
      </c>
      <c r="OG96" s="43" t="str">
        <f t="shared" si="341"/>
        <v/>
      </c>
      <c r="OH96" s="43" t="str">
        <f t="shared" si="342"/>
        <v/>
      </c>
      <c r="OI96" s="43" t="str">
        <f t="shared" si="343"/>
        <v/>
      </c>
      <c r="OJ96" s="43" t="str">
        <f t="shared" si="344"/>
        <v/>
      </c>
      <c r="OK96" s="43" t="str">
        <f t="shared" si="345"/>
        <v/>
      </c>
      <c r="OL96" s="43" t="str">
        <f t="shared" si="346"/>
        <v/>
      </c>
      <c r="OM96" s="43" t="str">
        <f t="shared" si="347"/>
        <v/>
      </c>
      <c r="ON96" s="43" t="str">
        <f t="shared" si="348"/>
        <v/>
      </c>
      <c r="OO96" s="43" t="str">
        <f t="shared" si="349"/>
        <v/>
      </c>
      <c r="OP96" s="43" t="str">
        <f t="shared" si="350"/>
        <v/>
      </c>
      <c r="OQ96" s="43" t="str">
        <f t="shared" si="351"/>
        <v/>
      </c>
      <c r="OR96" s="43" t="str">
        <f t="shared" si="352"/>
        <v/>
      </c>
      <c r="OS96" s="43" t="str">
        <f t="shared" si="353"/>
        <v/>
      </c>
      <c r="OT96" s="43" t="str">
        <f t="shared" si="354"/>
        <v/>
      </c>
      <c r="OU96" s="43" t="str">
        <f t="shared" si="355"/>
        <v/>
      </c>
      <c r="OV96" s="110" t="str">
        <f t="shared" si="356"/>
        <v/>
      </c>
      <c r="OW96" s="43" t="str">
        <f t="shared" si="357"/>
        <v/>
      </c>
      <c r="OX96" s="43" t="str">
        <f t="shared" si="358"/>
        <v/>
      </c>
      <c r="OY96" s="43" t="str">
        <f t="shared" si="359"/>
        <v/>
      </c>
      <c r="OZ96" s="43" t="str">
        <f t="shared" si="360"/>
        <v/>
      </c>
      <c r="PA96" s="43" t="str">
        <f t="shared" si="361"/>
        <v/>
      </c>
      <c r="PB96" s="43" t="str">
        <f t="shared" si="362"/>
        <v/>
      </c>
      <c r="PC96" s="43" t="str">
        <f t="shared" si="363"/>
        <v/>
      </c>
      <c r="PD96" s="43" t="str">
        <f t="shared" si="364"/>
        <v/>
      </c>
      <c r="PE96" s="43" t="str">
        <f t="shared" si="365"/>
        <v/>
      </c>
      <c r="PF96" s="43" t="str">
        <f t="shared" si="366"/>
        <v/>
      </c>
      <c r="PG96" s="43" t="str">
        <f t="shared" si="367"/>
        <v/>
      </c>
      <c r="PH96" s="43" t="str">
        <f t="shared" si="368"/>
        <v/>
      </c>
      <c r="PI96" s="43">
        <f t="shared" si="369"/>
        <v>30</v>
      </c>
      <c r="PJ96" s="43" t="str">
        <f t="shared" si="370"/>
        <v/>
      </c>
      <c r="PK96" s="43" t="str">
        <f t="shared" si="371"/>
        <v/>
      </c>
      <c r="PL96" s="43" t="str">
        <f t="shared" si="372"/>
        <v/>
      </c>
      <c r="PM96" s="43" t="str">
        <f t="shared" si="373"/>
        <v/>
      </c>
      <c r="PN96" s="43" t="str">
        <f t="shared" si="374"/>
        <v/>
      </c>
      <c r="PO96" s="43" t="str">
        <f t="shared" si="375"/>
        <v/>
      </c>
      <c r="PP96" s="43" t="str">
        <f t="shared" si="376"/>
        <v/>
      </c>
      <c r="PQ96" s="43" t="str">
        <f t="shared" si="377"/>
        <v/>
      </c>
      <c r="PR96" s="43" t="str">
        <f t="shared" si="378"/>
        <v/>
      </c>
      <c r="PS96" s="43" t="str">
        <f t="shared" si="379"/>
        <v/>
      </c>
      <c r="PT96" s="43" t="str">
        <f t="shared" si="380"/>
        <v/>
      </c>
      <c r="PU96" s="43" t="str">
        <f t="shared" si="381"/>
        <v/>
      </c>
      <c r="PV96" s="43" t="str">
        <f t="shared" si="382"/>
        <v/>
      </c>
      <c r="PW96" s="43" t="str">
        <f t="shared" si="383"/>
        <v/>
      </c>
      <c r="PX96" s="43" t="str">
        <f t="shared" si="384"/>
        <v/>
      </c>
      <c r="PY96" s="43" t="str">
        <f t="shared" si="385"/>
        <v/>
      </c>
      <c r="PZ96" s="43" t="str">
        <f t="shared" si="386"/>
        <v/>
      </c>
      <c r="QA96" s="43" t="str">
        <f t="shared" si="387"/>
        <v/>
      </c>
      <c r="QB96" s="43" t="str">
        <f t="shared" si="388"/>
        <v/>
      </c>
      <c r="QC96" s="43" t="str">
        <f t="shared" si="389"/>
        <v/>
      </c>
      <c r="QD96" s="43" t="str">
        <f t="shared" si="390"/>
        <v/>
      </c>
      <c r="QE96" s="43" t="str">
        <f t="shared" si="391"/>
        <v>BAJO PESO</v>
      </c>
      <c r="QF96" s="43" t="str">
        <f t="shared" si="392"/>
        <v/>
      </c>
      <c r="QG96" s="43" t="str">
        <f t="shared" si="393"/>
        <v/>
      </c>
      <c r="QH96" s="43" t="str">
        <f t="shared" si="394"/>
        <v/>
      </c>
      <c r="QI96" s="43" t="str">
        <f t="shared" si="395"/>
        <v/>
      </c>
      <c r="QJ96" s="43" t="str">
        <f t="shared" si="396"/>
        <v/>
      </c>
      <c r="QK96" s="43" t="str">
        <f t="shared" si="397"/>
        <v/>
      </c>
      <c r="QL96" s="43" t="str">
        <f t="shared" si="398"/>
        <v/>
      </c>
      <c r="QM96" s="43" t="str">
        <f t="shared" si="399"/>
        <v/>
      </c>
      <c r="QN96" s="43" t="str">
        <f t="shared" si="400"/>
        <v/>
      </c>
      <c r="QO96" s="43" t="str">
        <f t="shared" si="401"/>
        <v/>
      </c>
      <c r="QP96" s="43" t="str">
        <f t="shared" si="402"/>
        <v/>
      </c>
      <c r="QQ96" s="43" t="str">
        <f t="shared" si="403"/>
        <v/>
      </c>
      <c r="QR96" s="43">
        <f t="shared" si="433"/>
        <v>30</v>
      </c>
      <c r="QS96" s="43"/>
      <c r="QT96" s="21" t="str">
        <f t="shared" si="404"/>
        <v/>
      </c>
      <c r="QU96" s="21" t="str">
        <f t="shared" si="405"/>
        <v/>
      </c>
      <c r="QV96" s="21" t="str">
        <f t="shared" si="406"/>
        <v/>
      </c>
      <c r="QW96" s="21" t="str">
        <f t="shared" si="407"/>
        <v/>
      </c>
      <c r="QX96" s="21" t="str">
        <f t="shared" si="408"/>
        <v/>
      </c>
      <c r="QY96" s="21" t="str">
        <f t="shared" si="409"/>
        <v/>
      </c>
      <c r="QZ96" s="21" t="str">
        <f t="shared" si="410"/>
        <v/>
      </c>
      <c r="RA96" s="21" t="str">
        <f t="shared" si="411"/>
        <v/>
      </c>
      <c r="RB96" s="21" t="str">
        <f t="shared" si="412"/>
        <v/>
      </c>
      <c r="RC96" s="21" t="str">
        <f t="shared" si="413"/>
        <v/>
      </c>
      <c r="RD96" s="21" t="str">
        <f t="shared" si="414"/>
        <v/>
      </c>
      <c r="RE96" s="21" t="str">
        <f t="shared" si="415"/>
        <v/>
      </c>
      <c r="RF96" s="21" t="str">
        <f t="shared" si="416"/>
        <v/>
      </c>
      <c r="RG96" s="21" t="str">
        <f t="shared" si="417"/>
        <v/>
      </c>
      <c r="RH96" s="21" t="str">
        <f t="shared" si="418"/>
        <v/>
      </c>
      <c r="RI96" s="21" t="str">
        <f t="shared" si="419"/>
        <v/>
      </c>
      <c r="RJ96" s="21" t="str">
        <f t="shared" si="420"/>
        <v/>
      </c>
      <c r="RK96" s="21" t="str">
        <f t="shared" si="421"/>
        <v>ADECUADO PARA EDAD GESTACIONAL</v>
      </c>
      <c r="RL96" s="21" t="str">
        <f t="shared" si="422"/>
        <v/>
      </c>
      <c r="RM96" s="21" t="str">
        <f t="shared" si="423"/>
        <v/>
      </c>
      <c r="RN96" s="21" t="str">
        <f t="shared" si="424"/>
        <v/>
      </c>
      <c r="RO96" s="21" t="str">
        <f t="shared" si="425"/>
        <v/>
      </c>
      <c r="RP96" s="21" t="str">
        <f t="shared" si="426"/>
        <v/>
      </c>
      <c r="RQ96" s="21" t="str">
        <f t="shared" si="427"/>
        <v/>
      </c>
      <c r="RR96" s="21" t="str">
        <f t="shared" si="428"/>
        <v/>
      </c>
      <c r="RS96" s="21" t="str">
        <f t="shared" si="429"/>
        <v/>
      </c>
      <c r="RT96" s="21" t="str">
        <f t="shared" si="430"/>
        <v/>
      </c>
      <c r="RU96" s="21" t="str">
        <f t="shared" si="431"/>
        <v/>
      </c>
      <c r="RV96" s="21">
        <f t="shared" si="432"/>
        <v>14.014285714285506</v>
      </c>
      <c r="RW96" s="284">
        <f>IF(OR(Tabla1[[#This Row],[FUM FORMULA CONFIABLE]]="",Tabla1[[#This Row],[FUM FORMULA CONFIABLE]]="SD"),"",IF(Tabla1[[#This Row],[FUM FORMULA CONFIABLE]]="CORREGIDA",Tabla1[[#This Row],[FUM X ECO 1]],Tabla1[[#This Row],[FUM x AMENORREA]]))</f>
        <v>44858.9</v>
      </c>
      <c r="RX96" s="21">
        <f>IF(AND(Tabla1[[#This Row],[FUM X ECO 1]]="",Tabla1[[#This Row],[FUM x AMENORREA]]=""),"",IF(AND(Tabla1[[#This Row],[FUM X ECO 1]]="",Tabla1[[#This Row],[FUM x AMENORREA]]&lt;&gt;""),"X",SUM(Tabla1[[#This Row],[FUM X ECO 1]]-Tabla1[[#This Row],[FUM x AMENORREA]])))</f>
        <v>-21.099999999998545</v>
      </c>
      <c r="RY96" s="21">
        <f t="shared" si="434"/>
        <v>1</v>
      </c>
    </row>
    <row r="97" spans="1:493" ht="45" customHeight="1" x14ac:dyDescent="0.25">
      <c r="A97" s="109"/>
      <c r="B97" s="43"/>
      <c r="C97" s="43" t="s">
        <v>845</v>
      </c>
      <c r="D97" s="124" t="s">
        <v>846</v>
      </c>
      <c r="E97" s="43" t="s">
        <v>884</v>
      </c>
      <c r="F97" s="43"/>
      <c r="G97" s="43" t="s">
        <v>1293</v>
      </c>
      <c r="H97" s="43" t="s">
        <v>1294</v>
      </c>
      <c r="I97" s="109" t="s">
        <v>1094</v>
      </c>
      <c r="J97" s="110">
        <v>1059597528</v>
      </c>
      <c r="K97" s="43"/>
      <c r="L97" s="175" t="s">
        <v>1509</v>
      </c>
      <c r="M97" s="22">
        <v>39066</v>
      </c>
      <c r="N97" s="213">
        <f t="shared" ca="1" si="252"/>
        <v>16.893150684931506</v>
      </c>
      <c r="O97" s="22">
        <v>44957</v>
      </c>
      <c r="P97" s="214" t="str">
        <f t="shared" si="438"/>
        <v>SI</v>
      </c>
      <c r="Q97" s="26" t="s">
        <v>855</v>
      </c>
      <c r="R97" s="22">
        <v>44957</v>
      </c>
      <c r="S97" s="21" t="s">
        <v>856</v>
      </c>
      <c r="T97" s="24" t="s">
        <v>690</v>
      </c>
      <c r="U97" s="21" t="s">
        <v>857</v>
      </c>
      <c r="V97" s="21" t="s">
        <v>858</v>
      </c>
      <c r="W97" s="21" t="s">
        <v>1200</v>
      </c>
      <c r="X97" s="21" t="s">
        <v>1200</v>
      </c>
      <c r="Y97" s="21" t="s">
        <v>859</v>
      </c>
      <c r="Z97" s="21">
        <v>3147913407</v>
      </c>
      <c r="AA97" s="21" t="s">
        <v>860</v>
      </c>
      <c r="AB97" s="27" t="s">
        <v>861</v>
      </c>
      <c r="AC97" s="26" t="s">
        <v>897</v>
      </c>
      <c r="AD97" s="38" t="s">
        <v>846</v>
      </c>
      <c r="AE97" s="26" t="s">
        <v>854</v>
      </c>
      <c r="AF97" s="26" t="s">
        <v>854</v>
      </c>
      <c r="AG97" s="23" t="s">
        <v>864</v>
      </c>
      <c r="AH97" s="23" t="s">
        <v>864</v>
      </c>
      <c r="AI97" s="24" t="s">
        <v>863</v>
      </c>
      <c r="AJ97" s="23" t="s">
        <v>864</v>
      </c>
      <c r="AK97" s="220" t="str">
        <f>IF(AND(AD97="",AE97="",AF97="",AG97="",AH97="",AI97="",AJ97=""),"",IF(OR(Tabla1[[#This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EVALUACIÓN",IF(AND(O97="",R97=""),"",IF(AND(OR(O97&gt;0,R97&gt;0),NG97&gt;=0,NG97&lt;2),"SIN RIESGO",IF(AND(OR(O97&gt;0,R97&gt;0),NG97&gt;=2),"CON RIESGO","ASD")))))</f>
        <v>SIN RIESGO</v>
      </c>
      <c r="AL97" s="23" t="s">
        <v>864</v>
      </c>
      <c r="AM97" s="26" t="s">
        <v>864</v>
      </c>
      <c r="AN97" s="26" t="s">
        <v>864</v>
      </c>
      <c r="AO97" s="26" t="s">
        <v>864</v>
      </c>
      <c r="AP97" s="26" t="s">
        <v>864</v>
      </c>
      <c r="AQ97" s="26" t="s">
        <v>864</v>
      </c>
      <c r="AR97" s="26" t="s">
        <v>864</v>
      </c>
      <c r="AS97" s="21">
        <v>1</v>
      </c>
      <c r="AT97" s="21">
        <v>0</v>
      </c>
      <c r="AU97" s="21">
        <v>0</v>
      </c>
      <c r="AV97" s="26" t="s">
        <v>864</v>
      </c>
      <c r="AW97" s="21">
        <v>0</v>
      </c>
      <c r="AX97" s="26" t="s">
        <v>864</v>
      </c>
      <c r="AY97" s="26" t="s">
        <v>864</v>
      </c>
      <c r="AZ97" s="26" t="s">
        <v>864</v>
      </c>
      <c r="BA97" s="26" t="s">
        <v>864</v>
      </c>
      <c r="BB97" s="26" t="s">
        <v>864</v>
      </c>
      <c r="BC97" s="26" t="s">
        <v>864</v>
      </c>
      <c r="BD97" s="26" t="s">
        <v>864</v>
      </c>
      <c r="BE97" s="26" t="s">
        <v>864</v>
      </c>
      <c r="BF97" s="26" t="s">
        <v>864</v>
      </c>
      <c r="BG97" s="26" t="s">
        <v>864</v>
      </c>
      <c r="BH97" s="26" t="s">
        <v>864</v>
      </c>
      <c r="BI97" s="26" t="s">
        <v>864</v>
      </c>
      <c r="BJ97" s="26"/>
      <c r="BK97" s="26"/>
      <c r="BL97" s="26" t="s">
        <v>864</v>
      </c>
      <c r="BM97" s="26" t="s">
        <v>864</v>
      </c>
      <c r="BN97" s="22"/>
      <c r="BO97" s="22">
        <v>44819</v>
      </c>
      <c r="BP97" s="21" t="s">
        <v>854</v>
      </c>
      <c r="BQ97" s="222">
        <f t="shared" si="254"/>
        <v>0</v>
      </c>
      <c r="BR97" s="223">
        <f t="shared" si="255"/>
        <v>44819.3</v>
      </c>
      <c r="BS97" s="224">
        <f t="shared" si="256"/>
        <v>19.714285714285715</v>
      </c>
      <c r="BT97" s="216" t="str">
        <f t="shared" si="257"/>
        <v>II TRIM</v>
      </c>
      <c r="BU97" s="214" t="str">
        <f t="shared" ca="1" si="258"/>
        <v/>
      </c>
      <c r="BV97" s="25"/>
      <c r="BW97" s="22">
        <v>44960</v>
      </c>
      <c r="BX97" s="28">
        <v>20.100000000000001</v>
      </c>
      <c r="BY97" s="28"/>
      <c r="BZ97" s="22">
        <v>44995</v>
      </c>
      <c r="CA97" s="21">
        <v>24.5</v>
      </c>
      <c r="CB97" s="26" t="s">
        <v>864</v>
      </c>
      <c r="CC97" s="26" t="s">
        <v>864</v>
      </c>
      <c r="CD97" s="26" t="s">
        <v>878</v>
      </c>
      <c r="CE97" s="26" t="s">
        <v>864</v>
      </c>
      <c r="CF97" s="22" t="s">
        <v>1517</v>
      </c>
      <c r="CG97" s="21">
        <v>1.58</v>
      </c>
      <c r="CH97" s="21">
        <v>56</v>
      </c>
      <c r="CI97" s="214">
        <f t="shared" si="259"/>
        <v>22.432302515622492</v>
      </c>
      <c r="CJ97" s="225" t="e">
        <f>IF(AND(CI97&lt;10,CH97="SD"),"SIN DATO PESO PREGESTACION O I TRIM",IF(AND(OR(R97&gt;0,O97&gt;0),CI97="X"),"INGRESAR DATO DE PESO",IF(CI97="SD","INGRESAR DATO DE TALLA Y PESO",IF(AND(OR(Tabla1[[#This Row],[MOMENTO EN QUE SE REALIZA EL PESO AL INGRESO A CPN]]="PREGESTACIÓN",NZ97="Menor"),CI97&lt;18.5),"BAJO PESO",IF(AND(OR(Tabla1[[#This Row],[MOMENTO EN QUE SE REALIZA EL PESO AL INGRESO A CPN]]="PREGESTACIÓN",NZ97="Menor"),CI97&lt;25),"NORMAL",IF(AND(OR(Tabla1[[#This Row],[MOMENTO EN QUE SE REALIZA EL PESO AL INGRESO A CPN]]="PREGESTACIÓN",NZ97="Menor"),CI97&lt;30),"SOBREPESO",IF(AND(OR(Tabla1[[#This Row],[MOMENTO EN QUE SE REALIZA EL PESO AL INGRESO A CPN]]="PREGESTACIÓN",NZ97="Menor"),CI97&gt;=30,CI97&lt;50),"OBESIDAD",IF(AND(BS97&gt;0,Tabla1[[#This Row],[MOMENTO EN QUE SE REALIZA EL PESO AL INGRESO A CPN]]="GESTACIÓN"),HLOOKUP(NZ97,$OA$2:PH97,NY97),""))))))))</f>
        <v>#REF!</v>
      </c>
      <c r="CK97" s="212">
        <f t="shared" si="260"/>
        <v>45072</v>
      </c>
      <c r="CL97" s="21">
        <v>59.9</v>
      </c>
      <c r="CM97" s="214">
        <f t="shared" si="261"/>
        <v>23.994552155103346</v>
      </c>
      <c r="CN97" s="216">
        <f t="shared" si="262"/>
        <v>36</v>
      </c>
      <c r="CO97" s="216" t="e">
        <f>IF(PI97="","",IF(PI97&gt;0,HLOOKUP(PI97,$PJ$2:QQ97,NY97),""))</f>
        <v>#REF!</v>
      </c>
      <c r="CP97" s="21">
        <v>31</v>
      </c>
      <c r="CQ97" s="216" t="e">
        <f>IF(QR97="Menor","NO APLICA-MENOR 13 SEM",IF(AND(CC97="SI",CN97&gt;23),"NO APLICA- GEMELAR",IF(QR97="","",IF(QR97&gt;0,HLOOKUP(QR97,$QS$2:RU97,NY97),""))))</f>
        <v>#REF!</v>
      </c>
      <c r="CR97" s="21"/>
      <c r="CS97" s="21"/>
      <c r="CT97" s="217" t="str">
        <f>IF(R97="","",IF(AND(BS97&gt;1,BS97&lt;12,Tabla1[[#This Row],[T.A. SISTOLICA - ANTES DE SEMANA 12]]="",Tabla1[[#This Row],[T.A. DIASTOLICA - ANTES DE SEMANA 12]]=""),"REGISTRE DATO TA ANTES SEMANA 12",IF(AND(BS97&gt;11,BS97&lt;43,Tabla1[[#This Row],[T.A. SISTOLICA - ANTES DE SEMANA 12]]="",Tabla1[[#This Row],[T.A. DIASTOLICA - ANTES DE SEMANA 12]]=""),"NO APLICA REGISTRO TA-INGRESO TARDIO",IF(AND(OR(O97&gt;0,R97&gt;0),OR(CR97&gt;=140,CS97&gt;=90)),"DEFINIR ESTADIO HTA",IF(AND(OR(O97&gt;0,R97&gt;0),AND(CR97&gt;120,CR97&lt;=139)),"PRE HTA SEGUIMIENTO",IF(AND(OR(O97&gt;0,R97&gt;0),AND(CS97&gt;80,CS97&lt;=89)),"PRE HTA SEGUIMIENTO",IF(AND(OR(O97&gt;0,R97&gt;0),AND(CR97&gt;=80,CR97&lt;=120)),"APARENTEMENTE NORMAL",IF(AND(OR(O97&gt;0,R97&gt;0),AND(CS97&gt;=50,CS97&lt;=80)),"APARENTEMENTE NORMAL",IF(AND(OR(O97&gt;0,R97&gt;0),AND(CR97&gt;1,CR97&lt;=70),AND(CS97&gt;1,CS97&lt;=40)),"HIPOTENSIÓN","")))))))))</f>
        <v>NO APLICA REGISTRO TA-INGRESO TARDIO</v>
      </c>
      <c r="CU97" s="21"/>
      <c r="CV97" s="21"/>
      <c r="CW97" s="217" t="str">
        <f ca="1">IF(R97="","",IF(AND(CN97&gt;19,CN97&lt;27,Tabla1[[#This Row],[T.A. SISTOLICA (Entre semana 20 y 26)]]="",Tabla1[[#This Row],[T.A. DIATOLICA (Entre semana 20 y 26)]]=""),"ACUDE A CONTROL SEM 20 A 26 REGISTRE TA AHORA",IF(AND(BS97&gt;1,BS97&lt;27,BU97&gt;19,Tabla1[[#This Row],[T.A. SISTOLICA (Entre semana 20 y 26)]]="",Tabla1[[#This Row],[T.A. DIATOLICA (Entre semana 20 y 26)]]=""),"COMPLETE REGISTRO TA CONTROL SEM 20 A26 ",IF(AND(BS97&gt;26,BS97&lt;43,Tabla1[[#This Row],[T.A. SISTOLICA (Entre semana 20 y 26)]]="",Tabla1[[#This Row],[T.A. DIATOLICA (Entre semana 20 y 26)]]=""),"NO APLICA REGISTRO TA-INGRESO TARDIO",IF(AND(OR(O97&gt;0,R97&gt;0),OR(CU97&gt;=140,CV97&gt;=90)),"ALTO RIESGO PREECLAMPSIA,DEFINIR ESTADIO HTA",IF(AND(OR(O97&gt;0,R97&gt;0),AND(CU97&gt;120,CU97&lt;=139)),"PRE HTA SEGUIMIENTO,RIESGO HIPERTENSION INDUCIDA POR EL EMBARAZO",IF(AND(OR(O97&gt;0,R97&gt;0),AND(CV97&gt;80,CV97&lt;=89)),"PRE HTA SEGUIMIENTO, RIESGO HIPERTENSION INDUCIDA POR EL EMBARAZO",IF(AND(OR(O97&lt;&gt;"",R97&lt;&gt;""),CS97&lt;&gt;"",CV97&lt;&gt;"",CS97&lt;=CV97),"VIGILAR CIFRAS PRESION ARTERIAL",IF(AND(OR(O97&gt;0,R97&gt;0),AND(CU97&gt;120,CU97&lt;=139)),"PRE HTA SEGUIMIENTO",IF(AND(OR(O97&gt;0,R97&gt;0),AND(CU97&gt;1,CU97&lt;=70),AND(CV97&gt;1,CV97&lt;=40)),"HIPOTENSIÓN",IF(AND(OR(O97&lt;&gt;"",R97&lt;&gt;""),CS97&lt;&gt;"",CV97&lt;&gt;"",CS97&gt;CV97),"APARENTEMENTE NORMAL",IF(AND(OR(O97&gt;0,R97&gt;0),AND(CU97&gt;=80,CU97&lt;=120)),"APARENTEMENTE NORMAL",IF(AND(OR(O97&gt;0,R97&gt;0),AND(CV97&gt;=50,CV97&lt;=80)),"APARENTEMENTE NORMAL","")))))))))))))</f>
        <v xml:space="preserve">COMPLETE REGISTRO TA CONTROL SEM 20 A26 </v>
      </c>
      <c r="CX97" s="21">
        <v>90</v>
      </c>
      <c r="CY97" s="21">
        <v>60</v>
      </c>
      <c r="CZ97" s="216" t="str">
        <f t="shared" si="263"/>
        <v>APARENTEMENTE NORMAL</v>
      </c>
      <c r="DA97" s="21">
        <v>90</v>
      </c>
      <c r="DB97" s="21">
        <v>60</v>
      </c>
      <c r="DC97" s="217" t="str">
        <f t="shared" si="264"/>
        <v>APARENTEMENTE NORMAL</v>
      </c>
      <c r="DD97" s="22">
        <v>44957</v>
      </c>
      <c r="DE97" s="22">
        <v>44957</v>
      </c>
      <c r="DF97" s="22">
        <v>44994</v>
      </c>
      <c r="DG97" s="22">
        <v>45029</v>
      </c>
      <c r="DH97" s="22">
        <v>45072</v>
      </c>
      <c r="DI97" s="22"/>
      <c r="DJ97" s="22"/>
      <c r="DK97" s="22"/>
      <c r="DL97" s="22"/>
      <c r="DM97" s="22"/>
      <c r="DN97" s="22"/>
      <c r="DO97" s="22"/>
      <c r="DP97" s="22"/>
      <c r="DQ97" s="22"/>
      <c r="DR97" s="28"/>
      <c r="DS97" s="22"/>
      <c r="DT97" s="22"/>
      <c r="DU97" s="216" t="str">
        <f t="shared" ca="1" si="439"/>
        <v>SALE SIN PLAN DE PARTO</v>
      </c>
      <c r="DV97" s="226" t="str">
        <f t="shared" si="440"/>
        <v>SALIO PROGRAMA</v>
      </c>
      <c r="DW97"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97" s="216" t="str">
        <f t="shared" ca="1" si="266"/>
        <v/>
      </c>
      <c r="DY97" s="212">
        <f>IF(R97="","",IF(R97&gt;0,MAX(Tabla1[[#This Row],[FECHA C2]:[FECHA C13]],Tabla1[[#This Row],[FECHA CONSULTA PRIMERA VEZ PROGRAMA CPN ]])))</f>
        <v>45072</v>
      </c>
      <c r="DZ97" s="216">
        <f t="shared" si="267"/>
        <v>36</v>
      </c>
      <c r="EA97" s="222">
        <f>IF(R97&gt;0,SUM(COUNTA(DF97:DQ97)+COUNTA(Tabla1[[#This Row],[FECHA CONSULTA PRIMERA VEZ PROGRAMA CPN ]])),"")</f>
        <v>4</v>
      </c>
      <c r="EB97" s="222" t="str">
        <f t="shared" si="268"/>
        <v>SI</v>
      </c>
      <c r="EC97" s="214">
        <f t="shared" si="269"/>
        <v>7</v>
      </c>
      <c r="ED97" s="227">
        <f t="shared" si="270"/>
        <v>0.5714285714285714</v>
      </c>
      <c r="EE97" s="22">
        <v>44957</v>
      </c>
      <c r="EF97" s="22">
        <v>44960</v>
      </c>
      <c r="EG97" s="22">
        <v>44957</v>
      </c>
      <c r="EH97" s="22"/>
      <c r="EI97" s="22">
        <v>44957</v>
      </c>
      <c r="EJ97" s="22">
        <v>45002</v>
      </c>
      <c r="EK97" s="22">
        <v>45002</v>
      </c>
      <c r="EL97" s="21">
        <v>1</v>
      </c>
      <c r="EM97" s="21">
        <v>12</v>
      </c>
      <c r="EN97" s="22">
        <v>44960</v>
      </c>
      <c r="EO97" s="222">
        <f t="shared" si="271"/>
        <v>20.142857142857142</v>
      </c>
      <c r="EP97" s="214" t="str">
        <f t="shared" si="272"/>
        <v>NORMAL- SUMINISTRAR SULFATO FERROSO</v>
      </c>
      <c r="EQ97" s="216" t="str">
        <f t="shared" si="273"/>
        <v>II TRIM</v>
      </c>
      <c r="ER97" s="24"/>
      <c r="ES97" s="22"/>
      <c r="ET97" s="29" t="str">
        <f t="shared" ca="1" si="441"/>
        <v>SALE SIN TAMIZAJE HEMOGLOBINA SEM 28</v>
      </c>
      <c r="EU97" s="25" t="str">
        <f t="shared" si="275"/>
        <v/>
      </c>
      <c r="EV97" s="24" t="s">
        <v>866</v>
      </c>
      <c r="EW97" s="24">
        <v>44960</v>
      </c>
      <c r="EX97" s="22"/>
      <c r="EY97" s="29">
        <f t="shared" si="454"/>
        <v>20.142857142857142</v>
      </c>
      <c r="EZ97" s="25" t="str">
        <f t="shared" ca="1" si="455"/>
        <v/>
      </c>
      <c r="FA97" s="21">
        <v>75</v>
      </c>
      <c r="FB97" s="22">
        <v>44960</v>
      </c>
      <c r="FC97" s="29">
        <f t="shared" si="276"/>
        <v>20.142857142857142</v>
      </c>
      <c r="FD97" s="29"/>
      <c r="FE97" s="29"/>
      <c r="FF97" s="29"/>
      <c r="FG97" s="21" t="str">
        <f t="shared" ca="1" si="277"/>
        <v/>
      </c>
      <c r="FH97" s="31"/>
      <c r="FI97" s="29" t="str">
        <f t="shared" si="278"/>
        <v>TOMAR EXAMEN</v>
      </c>
      <c r="FJ97" s="22" t="s">
        <v>867</v>
      </c>
      <c r="FK97" s="22">
        <v>44960</v>
      </c>
      <c r="FL97" s="29" t="str">
        <f t="shared" si="279"/>
        <v>REGISTRAR EN II TRIMESTRE</v>
      </c>
      <c r="FM97" s="22"/>
      <c r="FN97" s="32"/>
      <c r="FO97" s="29" t="str">
        <f t="shared" ca="1" si="442"/>
        <v>PIERDE TOMA DE TAMIZAJE</v>
      </c>
      <c r="FP97" s="22" t="s">
        <v>867</v>
      </c>
      <c r="FQ97" s="32">
        <v>45072</v>
      </c>
      <c r="FR97" s="29">
        <f t="shared" ca="1" si="443"/>
        <v>36.142857142857146</v>
      </c>
      <c r="FS97" s="22"/>
      <c r="FT97" s="32"/>
      <c r="FU97" s="29" t="str">
        <f>IF(AND(FJ97="",FM97="",FP97="",FS97=""),"",IF(OR(OR(Tabla1[[#This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97" s="28"/>
      <c r="FW97" s="22"/>
      <c r="FX97" s="29" t="str">
        <f t="shared" si="280"/>
        <v>TOMAR EXAMEN</v>
      </c>
      <c r="FY97" s="22">
        <v>44960</v>
      </c>
      <c r="FZ97" s="22">
        <v>44960</v>
      </c>
      <c r="GA97" s="29" t="str">
        <f t="shared" si="453"/>
        <v>REGISTRAR EN II TRIMESTRE</v>
      </c>
      <c r="GB97" s="22"/>
      <c r="GC97" s="22"/>
      <c r="GD97" s="29" t="str">
        <f t="shared" ca="1" si="444"/>
        <v>PIERDE TOMA DE TAMIZAJE</v>
      </c>
      <c r="GE97" s="22" t="s">
        <v>868</v>
      </c>
      <c r="GF97" s="22">
        <v>45072</v>
      </c>
      <c r="GG97" s="29">
        <f t="shared" ca="1" si="445"/>
        <v>36.142857142857146</v>
      </c>
      <c r="GH97" s="22"/>
      <c r="GI97" s="29"/>
      <c r="GJ97" s="22"/>
      <c r="GK97" s="22"/>
      <c r="GL97" s="22"/>
      <c r="GM97" s="22"/>
      <c r="GN97" s="28" t="s">
        <v>869</v>
      </c>
      <c r="GO97" s="22">
        <v>44960</v>
      </c>
      <c r="GP97" s="29">
        <f t="shared" si="283"/>
        <v>20.142857142857142</v>
      </c>
      <c r="GQ97" s="28" t="s">
        <v>869</v>
      </c>
      <c r="GR97" s="28" t="s">
        <v>869</v>
      </c>
      <c r="GS97" s="22" t="str">
        <f t="shared" si="284"/>
        <v>CONTROL Igm</v>
      </c>
      <c r="GT97" s="22">
        <v>44960</v>
      </c>
      <c r="GU97" s="29">
        <f t="shared" si="285"/>
        <v>20.142857142857142</v>
      </c>
      <c r="GV97" s="21" t="str">
        <f t="shared" si="286"/>
        <v>II TRIM</v>
      </c>
      <c r="GW97" s="28" t="s">
        <v>869</v>
      </c>
      <c r="GX97" s="30"/>
      <c r="GY97" s="21"/>
      <c r="GZ97" s="21"/>
      <c r="HA97" s="21"/>
      <c r="HB97" s="21"/>
      <c r="HC97" s="21"/>
      <c r="HD97" s="21"/>
      <c r="HE97" s="21"/>
      <c r="HF97" s="22"/>
      <c r="HG97" s="22" t="str">
        <f>IF(OR(O97&gt;0,R97&gt;0),CONCATENATE(IF(Tabla1[[#This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97" s="22" t="e">
        <f t="shared" si="287"/>
        <v>#REF!</v>
      </c>
      <c r="HI97" s="22" t="e">
        <f t="shared" ca="1" si="288"/>
        <v>#REF!</v>
      </c>
      <c r="HJ97" s="21" t="str">
        <f t="shared" ca="1" si="289"/>
        <v>**********************MULTIPARIDAD**RIESGO POR EDAD***************</v>
      </c>
      <c r="HK97" s="21" t="str">
        <f t="shared" si="290"/>
        <v>SIN ANTECEDENTES DE RIESGO</v>
      </c>
      <c r="HL97" s="24" t="str">
        <f t="shared" si="291"/>
        <v>APARENTEMENTE NORMAL</v>
      </c>
      <c r="HM97" s="21" t="str">
        <f t="shared" ca="1" si="292"/>
        <v/>
      </c>
      <c r="HN97" s="30" t="str">
        <f t="shared" si="446"/>
        <v>SALIO PROGRAMA</v>
      </c>
      <c r="HO97" s="21"/>
      <c r="HP97" s="21"/>
      <c r="HQ97" s="21"/>
      <c r="HR97" s="21" t="str">
        <f>IF(R97="","",IF(Tabla1[[#This Row],[ALARMA FACTORES DE RIESGO COMPLICACIONES HIPERTENSIVAS3]]="SIN ANTECEDENTES DE RIESGO","No Aplica para suministro de ASA",IF(AND(Tabla1[[#This Row],[FECHA INICIO DE SUMINISTRO DE ASA]]&gt;0,RV97&lt;12),"Inicia ASA ANTES de Sem 12",IF(AND(RV97&gt;11,RV97&lt;17,OR(HK97="RIESGO ALTO DE COMPLICACIONES HIPERTENSIVAS VER MANEJO GUIA SUMINISTRO ASA Y CALCIO",HK97="RIESGO MODERADO (2 O MAS CRITERIOS) VER MANEJO GUIA SUMINISTRO ASA Y CALCIO")),"Inicio oportuno de ASA",IF(AND(RV97&gt;12,OR(HK97="RIESGO ALTO DE COMPLICACIONES HIPERTENSIVAS VER MANEJO GUIA SUMINISTRO ASA Y CALCIO",HK97="RIESGO MODERADO (2 O MAS CRITERIOS) VER MANEJO GUIA SUMINISTRO ASA Y CALCIO")),"Inicio no oportuno mayor a 16 semanas",IF(AND(BU97&lt;12,OR(HK97="RIESGO ALTO DE COMPLICACIONES HIPERTENSIVAS VER MANEJO GUIA SUMINISTRO ASA Y CALCIO",HK97="RIESGO MODERADO (2 O MAS CRITERIOS) VER MANEJO GUIA SUMINISTRO ASA Y CALCIO")),"Pendiente Inicio de ASA a la semana 12",IF(AND(BU97&gt;11,BU97&lt;17,OR(HK97="RIESGO ALTO DE COMPLICACIONES HIPERTENSIVAS VER MANEJO GUIA SUMINISTRO ASA Y CALCIO",HK97="RIESGO MODERADO (2 O MAS CRITERIOS) VER MANEJO GUIA SUMINISTRO ASA Y CALCIO")),"Iniciar de inmediato ASA",IF(AND(BU97&gt;16,OR(HK97="RIESGO ALTO DE COMPLICACIONES HIPERTENSIVAS VER MANEJO GUIA SUMINISTRO ASA Y CALCIO",HK97="RIESGO MODERADO (2 O MAS CRITERIOS) VER MANEJO GUIA SUMINISTRO ASA Y CALCIO")),"Pierde Oportunidad, Inicio tardío de ASA","XXXXX"))))))))</f>
        <v>No Aplica para suministro de ASA</v>
      </c>
      <c r="HS97" s="22"/>
      <c r="HT97" s="22"/>
      <c r="HU97" s="22">
        <v>44957</v>
      </c>
      <c r="HV97" s="22" t="s">
        <v>870</v>
      </c>
      <c r="HW97" s="22">
        <v>45029</v>
      </c>
      <c r="HX97" s="22" t="s">
        <v>870</v>
      </c>
      <c r="HY97" s="22">
        <v>44957</v>
      </c>
      <c r="HZ97" s="28">
        <f t="shared" si="293"/>
        <v>19.714285714285715</v>
      </c>
      <c r="IA97" s="26"/>
      <c r="IB97" s="26"/>
      <c r="IC97" s="111"/>
      <c r="ID97" s="22"/>
      <c r="IE97" s="22" t="str">
        <f t="shared" ca="1" si="294"/>
        <v>SALE SIN VACUNA</v>
      </c>
      <c r="IF97" s="22"/>
      <c r="IG97" s="22">
        <f t="shared" si="295"/>
        <v>45099</v>
      </c>
      <c r="IH97" s="29">
        <f t="shared" ca="1" si="296"/>
        <v>-133</v>
      </c>
      <c r="II97" s="22" t="str">
        <f t="shared" ca="1" si="297"/>
        <v>POSIBLEMENTE NACIO</v>
      </c>
      <c r="IJ97" s="22"/>
      <c r="IK97" s="21" t="s">
        <v>898</v>
      </c>
      <c r="IL97" s="21"/>
      <c r="IM97" s="34"/>
      <c r="IN97" s="349">
        <v>45103</v>
      </c>
      <c r="IO97" s="21" t="s">
        <v>1640</v>
      </c>
      <c r="IP97" s="29">
        <f t="shared" si="436"/>
        <v>40.571428571428569</v>
      </c>
      <c r="IQ97" s="110"/>
      <c r="IR97" s="21" t="s">
        <v>879</v>
      </c>
      <c r="IS97" s="21" t="s">
        <v>1641</v>
      </c>
      <c r="IT97" s="21" t="s">
        <v>1642</v>
      </c>
      <c r="IU97" s="21"/>
      <c r="IV97" s="21"/>
      <c r="IW97" s="21"/>
      <c r="IX97" s="21"/>
      <c r="IY97" s="21"/>
      <c r="IZ97" s="21"/>
      <c r="JA97" s="21"/>
      <c r="JB97" s="30">
        <v>1</v>
      </c>
      <c r="JC97" s="21" t="s">
        <v>1643</v>
      </c>
      <c r="JD97" s="36">
        <v>3000</v>
      </c>
      <c r="JE97" s="21" t="str">
        <f t="shared" si="447"/>
        <v>PESO ADECUADO EDAD GESTACIONAL</v>
      </c>
      <c r="JF97" s="30"/>
      <c r="JG97" s="21"/>
      <c r="JH97" s="21"/>
      <c r="JI97" s="21"/>
      <c r="JJ97" s="30"/>
      <c r="JK97" s="22"/>
      <c r="JL97" s="22"/>
      <c r="JM97" s="21"/>
      <c r="JN97" s="36"/>
      <c r="JO97" s="21" t="str">
        <f t="shared" si="448"/>
        <v/>
      </c>
      <c r="JP97" s="22"/>
      <c r="JQ97" s="21"/>
      <c r="JR97" s="21"/>
      <c r="JS97" s="21"/>
      <c r="JT97" s="30"/>
      <c r="JU97" s="22"/>
      <c r="JV97" s="22"/>
      <c r="JW97" s="33"/>
      <c r="JX97" s="28" t="str">
        <f t="shared" si="449"/>
        <v>INASISTENTE</v>
      </c>
      <c r="JY97" s="33"/>
      <c r="JZ97" s="28" t="str">
        <f t="shared" si="450"/>
        <v>INASISTENTE</v>
      </c>
      <c r="KA97" s="21"/>
      <c r="KB97" s="21"/>
      <c r="KC97" s="21"/>
      <c r="KD97" s="37"/>
      <c r="KE97" s="28"/>
      <c r="KF97" s="28"/>
      <c r="KG97" s="28"/>
      <c r="KH97" s="39"/>
      <c r="KI97" s="39"/>
      <c r="KJ97" s="66"/>
      <c r="KK97" s="39"/>
      <c r="KL97" s="39"/>
      <c r="KM97" s="66"/>
      <c r="KN97" s="39"/>
      <c r="KO97" s="39"/>
      <c r="KP97" s="39"/>
      <c r="KQ97" s="39"/>
      <c r="KR97" s="39"/>
      <c r="KS97" s="39"/>
      <c r="KT97" s="39"/>
      <c r="KU97" s="38"/>
      <c r="KV97" s="38"/>
      <c r="KW97" s="38"/>
      <c r="KX97" s="38"/>
      <c r="KY97" s="38"/>
      <c r="KZ97" s="38"/>
      <c r="LA97" s="38"/>
      <c r="LB97" s="38"/>
      <c r="LC97" s="38"/>
      <c r="LD97" s="38"/>
      <c r="LE97" s="38"/>
      <c r="LF97" s="38"/>
      <c r="LG97" s="38"/>
      <c r="LH97" s="38"/>
      <c r="LI97" s="38"/>
      <c r="LJ97" s="38"/>
      <c r="LK97" s="38"/>
      <c r="LL97" s="38"/>
      <c r="LM97" s="38"/>
      <c r="LN97" s="38"/>
      <c r="LO97" s="38"/>
      <c r="LP97" s="38"/>
      <c r="LQ97" s="38"/>
      <c r="LR97" s="38"/>
      <c r="LS97" s="38"/>
      <c r="LT97" s="38"/>
      <c r="LU97" s="38"/>
      <c r="LV97" s="38"/>
      <c r="LW97" s="38"/>
      <c r="LX97" s="38"/>
      <c r="LY97" s="38"/>
      <c r="LZ97" s="38"/>
      <c r="MA97" s="38"/>
      <c r="MB97" s="38"/>
      <c r="MC97" s="38"/>
      <c r="MD97" s="38"/>
      <c r="ME97" s="38"/>
      <c r="MF97" s="38"/>
      <c r="MG97" s="38"/>
      <c r="MH97" s="43">
        <f t="shared" si="303"/>
        <v>0</v>
      </c>
      <c r="MI97" s="43" t="str">
        <f t="shared" si="304"/>
        <v/>
      </c>
      <c r="MJ97" s="43" t="str">
        <f t="shared" si="305"/>
        <v/>
      </c>
      <c r="MK97" s="43">
        <f t="shared" si="306"/>
        <v>0</v>
      </c>
      <c r="ML9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97" s="43">
        <f t="shared" si="307"/>
        <v>19.714285714285715</v>
      </c>
      <c r="MN97" s="43">
        <f t="shared" si="308"/>
        <v>1</v>
      </c>
      <c r="MO97" s="43">
        <f t="shared" si="309"/>
        <v>2023</v>
      </c>
      <c r="MP97" s="43" t="str">
        <f t="shared" si="310"/>
        <v>I TRIMESTRE AÑO</v>
      </c>
      <c r="MQ97" s="43">
        <f t="shared" si="311"/>
        <v>15.894656154183091</v>
      </c>
      <c r="MR97" s="43">
        <f t="shared" si="312"/>
        <v>1</v>
      </c>
      <c r="MS97" s="43" t="str">
        <f t="shared" si="313"/>
        <v>DE 14 A 19AÑOS</v>
      </c>
      <c r="MT97" s="43">
        <f t="shared" si="314"/>
        <v>0</v>
      </c>
      <c r="MU97" s="43">
        <f t="shared" si="315"/>
        <v>1</v>
      </c>
      <c r="MV97" s="43">
        <f t="shared" si="316"/>
        <v>0</v>
      </c>
      <c r="MW97" s="43">
        <f t="shared" si="317"/>
        <v>0</v>
      </c>
      <c r="MX97" s="43" t="str">
        <f t="shared" si="318"/>
        <v/>
      </c>
      <c r="MY97" s="43" t="str">
        <f t="shared" ca="1" si="451"/>
        <v/>
      </c>
      <c r="MZ97" s="43" t="str">
        <f t="shared" si="319"/>
        <v/>
      </c>
      <c r="NA97" s="43">
        <f t="shared" si="320"/>
        <v>0</v>
      </c>
      <c r="NB97" s="43" t="str">
        <f t="shared" si="321"/>
        <v/>
      </c>
      <c r="NC97" s="43" t="str">
        <f t="shared" si="322"/>
        <v/>
      </c>
      <c r="ND97" s="43">
        <f t="shared" ca="1" si="323"/>
        <v>2</v>
      </c>
      <c r="NE97" s="43">
        <f>IF(OR(O97&gt;0,R97&gt;0),SUM(COUNTIF(Tabla1[[#This Row],[AÑOS AL INICIO5 CPN]],"&gt;=40"),COUNTIF(AS97,"0"),COUNTIF(AR97,"SI"),COUNTIF(CC97,"SI"),COUNTIF(BQ97,"&gt;119"),COUNTIF(CI97,"&gt;=35")),"")</f>
        <v>0</v>
      </c>
      <c r="NF97" s="43" t="str">
        <f t="shared" si="324"/>
        <v/>
      </c>
      <c r="NG97" s="43">
        <f t="shared" si="325"/>
        <v>0</v>
      </c>
      <c r="NH97" s="43">
        <f t="shared" si="326"/>
        <v>140.70000000000002</v>
      </c>
      <c r="NI97"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CPN",P97="NO"),"Z",IF(AND(Tabla1[[#This Row],[CITA PROXIMO CONTROL]]="CITA MANUAL",Tabla1[[#This Row],[GESTANTES ACTUALES]]="ACTIVA INGRESO A CPN"),"W",IF(AND(Tabla1[[#This Row],[GESTANTES ACTUALES]]="SALIO PROGRAMA",IN97=""),"S",IF(AND(Tabla1[[#This Row],[CITA PROXIMO CONTROL]]&gt;0,IN97=""),(Tabla1[[#This Row],[CITA PROXIMO CONTROL]]-TODAY()),"SD"))))))))</f>
        <v>SD</v>
      </c>
      <c r="NJ97" s="43">
        <f>MONTH(Tabla1[[#This Row],[FECHA DE SALIDA  DEL PROGRAMA]])</f>
        <v>6</v>
      </c>
      <c r="NK97" s="43">
        <f>YEAR(Tabla1[[#This Row],[FECHA DE SALIDA  DEL PROGRAMA]])</f>
        <v>2023</v>
      </c>
      <c r="NL97" s="43">
        <f t="shared" si="327"/>
        <v>45</v>
      </c>
      <c r="NM97" s="43" t="str">
        <f t="shared" si="456"/>
        <v>NO</v>
      </c>
      <c r="NN97" s="43" t="str">
        <f ca="1">IF(AND(O97&gt;0,R97=""),"NO CPN",IF(AND(O97="",R97=""),"",IF(AND(R97&gt;0,Tabla1[[#This Row],[SEMANAS DE GESTACION ACTUALIZADAS]]&lt;=12),"NO APLICA",IF(AND(FH97&lt;&gt;"",FN97&lt;&gt;""),"SI","NO"))))</f>
        <v>NO</v>
      </c>
      <c r="NO97" s="43" t="str">
        <f ca="1">IF(AND(O97&gt;0,R97=""),"NO CPN",IF(AND(O97="",R97=""),"",IF(AND(R97&gt;0,Tabla1[[#This Row],[SEMANAS DE GESTACION ACTUALIZADAS]]&lt;=27),"NO APLICA",IF(AND(ES97&lt;&gt;"",FQ97&lt;&gt;"",GF97&lt;&gt;""),"SI","NO"))))</f>
        <v>NO</v>
      </c>
      <c r="NP97" s="204" t="str">
        <f t="shared" si="328"/>
        <v>II TRIM</v>
      </c>
      <c r="NQ97" s="21">
        <f t="shared" si="437"/>
        <v>3</v>
      </c>
      <c r="NR97" s="21">
        <f t="shared" si="452"/>
        <v>2</v>
      </c>
      <c r="NS97" s="205">
        <f t="shared" ca="1" si="329"/>
        <v>1</v>
      </c>
      <c r="NT97" s="21">
        <f t="shared" ca="1" si="330"/>
        <v>1</v>
      </c>
      <c r="NU97" s="21" t="str">
        <f t="shared" ca="1" si="331"/>
        <v>INCOMPLETO</v>
      </c>
      <c r="NV97" s="21" t="str">
        <f t="shared" ca="1" si="332"/>
        <v>INCOMPLETO</v>
      </c>
      <c r="NW97" s="206" t="str">
        <f>IF(AND(O97="",R97=""),"",IF(OR(AND(Tabla1[[#This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97" s="207" t="str">
        <f t="shared" ca="1" si="333"/>
        <v>SIN VACUNAR</v>
      </c>
      <c r="NY97" s="43">
        <f>ROW(Tabla1[[#This Row],['# DE TAMIZAJES SIFILIS TOMADOS ]])</f>
        <v>97</v>
      </c>
      <c r="NZ97" s="43">
        <f t="shared" si="334"/>
        <v>19</v>
      </c>
      <c r="OA97" s="43" t="str">
        <f t="shared" si="335"/>
        <v/>
      </c>
      <c r="OB97" s="43" t="str">
        <f t="shared" si="336"/>
        <v/>
      </c>
      <c r="OC97" s="43" t="str">
        <f t="shared" si="337"/>
        <v/>
      </c>
      <c r="OD97" s="43" t="str">
        <f t="shared" si="338"/>
        <v/>
      </c>
      <c r="OE97" s="43" t="str">
        <f t="shared" si="339"/>
        <v/>
      </c>
      <c r="OF97" s="43" t="str">
        <f t="shared" si="340"/>
        <v/>
      </c>
      <c r="OG97" s="43" t="str">
        <f t="shared" si="341"/>
        <v/>
      </c>
      <c r="OH97" s="43" t="str">
        <f t="shared" si="342"/>
        <v/>
      </c>
      <c r="OI97" s="43" t="str">
        <f t="shared" si="343"/>
        <v/>
      </c>
      <c r="OJ97" s="43" t="str">
        <f t="shared" si="344"/>
        <v/>
      </c>
      <c r="OK97" s="43" t="str">
        <f t="shared" si="345"/>
        <v>NORMAL</v>
      </c>
      <c r="OL97" s="43" t="str">
        <f t="shared" si="346"/>
        <v/>
      </c>
      <c r="OM97" s="43" t="str">
        <f t="shared" si="347"/>
        <v/>
      </c>
      <c r="ON97" s="43" t="str">
        <f t="shared" si="348"/>
        <v/>
      </c>
      <c r="OO97" s="43" t="str">
        <f t="shared" si="349"/>
        <v/>
      </c>
      <c r="OP97" s="43" t="str">
        <f t="shared" si="350"/>
        <v/>
      </c>
      <c r="OQ97" s="43" t="str">
        <f t="shared" si="351"/>
        <v/>
      </c>
      <c r="OR97" s="43" t="str">
        <f t="shared" si="352"/>
        <v/>
      </c>
      <c r="OS97" s="43" t="str">
        <f t="shared" si="353"/>
        <v/>
      </c>
      <c r="OT97" s="43" t="str">
        <f t="shared" si="354"/>
        <v/>
      </c>
      <c r="OU97" s="43" t="str">
        <f t="shared" si="355"/>
        <v/>
      </c>
      <c r="OV97" s="110" t="str">
        <f t="shared" si="356"/>
        <v/>
      </c>
      <c r="OW97" s="43" t="str">
        <f t="shared" si="357"/>
        <v/>
      </c>
      <c r="OX97" s="43" t="str">
        <f t="shared" si="358"/>
        <v/>
      </c>
      <c r="OY97" s="43" t="str">
        <f t="shared" si="359"/>
        <v/>
      </c>
      <c r="OZ97" s="43" t="str">
        <f t="shared" si="360"/>
        <v/>
      </c>
      <c r="PA97" s="43" t="str">
        <f t="shared" si="361"/>
        <v/>
      </c>
      <c r="PB97" s="43" t="str">
        <f t="shared" si="362"/>
        <v/>
      </c>
      <c r="PC97" s="43" t="str">
        <f t="shared" si="363"/>
        <v/>
      </c>
      <c r="PD97" s="43" t="str">
        <f t="shared" si="364"/>
        <v/>
      </c>
      <c r="PE97" s="43" t="str">
        <f t="shared" si="365"/>
        <v/>
      </c>
      <c r="PF97" s="43" t="str">
        <f t="shared" si="366"/>
        <v/>
      </c>
      <c r="PG97" s="43" t="str">
        <f t="shared" si="367"/>
        <v/>
      </c>
      <c r="PH97" s="43" t="str">
        <f t="shared" si="368"/>
        <v/>
      </c>
      <c r="PI97" s="43">
        <f t="shared" si="369"/>
        <v>36</v>
      </c>
      <c r="PJ97" s="43" t="str">
        <f t="shared" si="370"/>
        <v/>
      </c>
      <c r="PK97" s="43" t="str">
        <f t="shared" si="371"/>
        <v/>
      </c>
      <c r="PL97" s="43" t="str">
        <f t="shared" si="372"/>
        <v/>
      </c>
      <c r="PM97" s="43" t="str">
        <f t="shared" si="373"/>
        <v/>
      </c>
      <c r="PN97" s="43" t="str">
        <f t="shared" si="374"/>
        <v/>
      </c>
      <c r="PO97" s="43" t="str">
        <f t="shared" si="375"/>
        <v/>
      </c>
      <c r="PP97" s="43" t="str">
        <f t="shared" si="376"/>
        <v/>
      </c>
      <c r="PQ97" s="43" t="str">
        <f t="shared" si="377"/>
        <v/>
      </c>
      <c r="PR97" s="43" t="str">
        <f t="shared" si="378"/>
        <v/>
      </c>
      <c r="PS97" s="43" t="str">
        <f t="shared" si="379"/>
        <v/>
      </c>
      <c r="PT97" s="43" t="str">
        <f t="shared" si="380"/>
        <v/>
      </c>
      <c r="PU97" s="43" t="str">
        <f t="shared" si="381"/>
        <v/>
      </c>
      <c r="PV97" s="43" t="str">
        <f t="shared" si="382"/>
        <v/>
      </c>
      <c r="PW97" s="43" t="str">
        <f t="shared" si="383"/>
        <v/>
      </c>
      <c r="PX97" s="43" t="str">
        <f t="shared" si="384"/>
        <v/>
      </c>
      <c r="PY97" s="43" t="str">
        <f t="shared" si="385"/>
        <v/>
      </c>
      <c r="PZ97" s="43" t="str">
        <f t="shared" si="386"/>
        <v/>
      </c>
      <c r="QA97" s="43" t="str">
        <f t="shared" si="387"/>
        <v/>
      </c>
      <c r="QB97" s="43" t="str">
        <f t="shared" si="388"/>
        <v/>
      </c>
      <c r="QC97" s="43" t="str">
        <f t="shared" si="389"/>
        <v/>
      </c>
      <c r="QD97" s="43" t="str">
        <f t="shared" si="390"/>
        <v/>
      </c>
      <c r="QE97" s="43" t="str">
        <f t="shared" si="391"/>
        <v/>
      </c>
      <c r="QF97" s="43" t="str">
        <f t="shared" si="392"/>
        <v/>
      </c>
      <c r="QG97" s="43" t="str">
        <f t="shared" si="393"/>
        <v/>
      </c>
      <c r="QH97" s="43" t="str">
        <f t="shared" si="394"/>
        <v/>
      </c>
      <c r="QI97" s="43" t="str">
        <f t="shared" si="395"/>
        <v/>
      </c>
      <c r="QJ97" s="43" t="str">
        <f t="shared" si="396"/>
        <v/>
      </c>
      <c r="QK97" s="43" t="str">
        <f t="shared" si="397"/>
        <v>BAJO PESO</v>
      </c>
      <c r="QL97" s="43" t="str">
        <f t="shared" si="398"/>
        <v/>
      </c>
      <c r="QM97" s="43" t="str">
        <f t="shared" si="399"/>
        <v/>
      </c>
      <c r="QN97" s="43" t="str">
        <f t="shared" si="400"/>
        <v/>
      </c>
      <c r="QO97" s="43" t="str">
        <f t="shared" si="401"/>
        <v/>
      </c>
      <c r="QP97" s="43" t="str">
        <f t="shared" si="402"/>
        <v/>
      </c>
      <c r="QQ97" s="43" t="str">
        <f t="shared" si="403"/>
        <v/>
      </c>
      <c r="QR97" s="43">
        <f t="shared" si="433"/>
        <v>36</v>
      </c>
      <c r="QS97" s="43"/>
      <c r="QT97" s="21" t="str">
        <f t="shared" si="404"/>
        <v/>
      </c>
      <c r="QU97" s="21" t="str">
        <f t="shared" si="405"/>
        <v/>
      </c>
      <c r="QV97" s="21" t="str">
        <f t="shared" si="406"/>
        <v/>
      </c>
      <c r="QW97" s="21" t="str">
        <f t="shared" si="407"/>
        <v/>
      </c>
      <c r="QX97" s="21" t="str">
        <f t="shared" si="408"/>
        <v/>
      </c>
      <c r="QY97" s="21" t="str">
        <f t="shared" si="409"/>
        <v/>
      </c>
      <c r="QZ97" s="21" t="str">
        <f t="shared" si="410"/>
        <v/>
      </c>
      <c r="RA97" s="21" t="str">
        <f t="shared" si="411"/>
        <v/>
      </c>
      <c r="RB97" s="21" t="str">
        <f t="shared" si="412"/>
        <v/>
      </c>
      <c r="RC97" s="21" t="str">
        <f t="shared" si="413"/>
        <v/>
      </c>
      <c r="RD97" s="21" t="str">
        <f t="shared" si="414"/>
        <v/>
      </c>
      <c r="RE97" s="21" t="str">
        <f t="shared" si="415"/>
        <v/>
      </c>
      <c r="RF97" s="21" t="str">
        <f t="shared" si="416"/>
        <v/>
      </c>
      <c r="RG97" s="21" t="str">
        <f t="shared" si="417"/>
        <v/>
      </c>
      <c r="RH97" s="21" t="str">
        <f t="shared" si="418"/>
        <v/>
      </c>
      <c r="RI97" s="21" t="str">
        <f t="shared" si="419"/>
        <v/>
      </c>
      <c r="RJ97" s="21" t="str">
        <f t="shared" si="420"/>
        <v/>
      </c>
      <c r="RK97" s="21" t="str">
        <f t="shared" si="421"/>
        <v/>
      </c>
      <c r="RL97" s="21" t="str">
        <f t="shared" si="422"/>
        <v/>
      </c>
      <c r="RM97" s="21" t="str">
        <f t="shared" si="423"/>
        <v/>
      </c>
      <c r="RN97" s="21" t="str">
        <f t="shared" si="424"/>
        <v/>
      </c>
      <c r="RO97" s="21" t="str">
        <f t="shared" si="425"/>
        <v/>
      </c>
      <c r="RP97" s="21" t="str">
        <f t="shared" si="426"/>
        <v/>
      </c>
      <c r="RQ97" s="21" t="str">
        <f t="shared" si="427"/>
        <v>ADECUADO PARA EDAD GESTACIONAL</v>
      </c>
      <c r="RR97" s="21" t="str">
        <f t="shared" si="428"/>
        <v/>
      </c>
      <c r="RS97" s="21" t="str">
        <f t="shared" si="429"/>
        <v/>
      </c>
      <c r="RT97" s="21" t="str">
        <f t="shared" si="430"/>
        <v/>
      </c>
      <c r="RU97" s="21" t="str">
        <f t="shared" si="431"/>
        <v/>
      </c>
      <c r="RV97" s="21">
        <f t="shared" si="432"/>
        <v>-1</v>
      </c>
      <c r="RW97" s="284">
        <f>IF(OR(Tabla1[[#This Row],[FUM FORMULA CONFIABLE]]="",Tabla1[[#This Row],[FUM FORMULA CONFIABLE]]="SD"),"",IF(Tabla1[[#This Row],[FUM FORMULA CONFIABLE]]="CORREGIDA",Tabla1[[#This Row],[FUM X ECO 1]],Tabla1[[#This Row],[FUM x AMENORREA]]))</f>
        <v>44819</v>
      </c>
      <c r="RX97" s="21">
        <f>IF(AND(Tabla1[[#This Row],[FUM X ECO 1]]="",Tabla1[[#This Row],[FUM x AMENORREA]]=""),"",IF(AND(Tabla1[[#This Row],[FUM X ECO 1]]="",Tabla1[[#This Row],[FUM x AMENORREA]]&lt;&gt;""),"X",SUM(Tabla1[[#This Row],[FUM X ECO 1]]-Tabla1[[#This Row],[FUM x AMENORREA]])))</f>
        <v>0.30000000000291038</v>
      </c>
      <c r="RY97" s="21">
        <f t="shared" si="434"/>
        <v>0</v>
      </c>
    </row>
    <row r="98" spans="1:493" ht="45" customHeight="1" x14ac:dyDescent="0.25">
      <c r="A98" s="109"/>
      <c r="B98" s="43"/>
      <c r="C98" s="43" t="s">
        <v>845</v>
      </c>
      <c r="D98" s="124" t="s">
        <v>846</v>
      </c>
      <c r="E98" s="43" t="s">
        <v>953</v>
      </c>
      <c r="F98" s="43" t="s">
        <v>1091</v>
      </c>
      <c r="G98" s="43" t="s">
        <v>1217</v>
      </c>
      <c r="H98" s="43" t="s">
        <v>1295</v>
      </c>
      <c r="I98" s="109" t="s">
        <v>851</v>
      </c>
      <c r="J98" s="110">
        <v>1002847470</v>
      </c>
      <c r="K98" s="43"/>
      <c r="L98" s="175" t="s">
        <v>1509</v>
      </c>
      <c r="M98" s="22">
        <v>37060</v>
      </c>
      <c r="N98" s="213">
        <f t="shared" ca="1" si="252"/>
        <v>22.389041095890413</v>
      </c>
      <c r="O98" s="22">
        <v>44964</v>
      </c>
      <c r="P98" s="214" t="str">
        <f t="shared" si="438"/>
        <v>SI</v>
      </c>
      <c r="Q98" s="26" t="s">
        <v>855</v>
      </c>
      <c r="R98" s="22">
        <v>44964</v>
      </c>
      <c r="S98" s="21" t="s">
        <v>856</v>
      </c>
      <c r="T98" s="24" t="s">
        <v>690</v>
      </c>
      <c r="U98" s="21" t="s">
        <v>857</v>
      </c>
      <c r="V98" s="21" t="s">
        <v>858</v>
      </c>
      <c r="W98" s="21"/>
      <c r="X98" s="21"/>
      <c r="Y98" s="21" t="s">
        <v>859</v>
      </c>
      <c r="Z98" s="21"/>
      <c r="AA98" s="21" t="s">
        <v>860</v>
      </c>
      <c r="AB98" s="27" t="s">
        <v>861</v>
      </c>
      <c r="AC98" s="26"/>
      <c r="AD98" s="38" t="s">
        <v>846</v>
      </c>
      <c r="AE98" s="26" t="s">
        <v>854</v>
      </c>
      <c r="AF98" s="26" t="s">
        <v>854</v>
      </c>
      <c r="AG98" s="23" t="s">
        <v>864</v>
      </c>
      <c r="AH98" s="23" t="s">
        <v>864</v>
      </c>
      <c r="AI98" s="24" t="s">
        <v>863</v>
      </c>
      <c r="AJ98" s="23" t="s">
        <v>864</v>
      </c>
      <c r="AK98" s="220" t="str">
        <f>IF(AND(AD98="",AE98="",AF98="",AG98="",AH98="",AI98="",AJ98=""),"",IF(OR(Tabla1[[#This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EVALUACIÓN",IF(AND(O98="",R98=""),"",IF(AND(OR(O98&gt;0,R98&gt;0),NG98&gt;=0,NG98&lt;2),"SIN RIESGO",IF(AND(OR(O98&gt;0,R98&gt;0),NG98&gt;=2),"CON RIESGO","ASD")))))</f>
        <v>SIN RIESGO</v>
      </c>
      <c r="AL98" s="23" t="s">
        <v>864</v>
      </c>
      <c r="AM98" s="26" t="s">
        <v>864</v>
      </c>
      <c r="AN98" s="26"/>
      <c r="AO98" s="26" t="s">
        <v>864</v>
      </c>
      <c r="AP98" s="26" t="s">
        <v>864</v>
      </c>
      <c r="AQ98" s="26" t="s">
        <v>864</v>
      </c>
      <c r="AR98" s="26" t="s">
        <v>864</v>
      </c>
      <c r="AS98" s="21">
        <v>2</v>
      </c>
      <c r="AT98" s="21">
        <v>1</v>
      </c>
      <c r="AU98" s="21">
        <v>0</v>
      </c>
      <c r="AV98" s="26" t="s">
        <v>864</v>
      </c>
      <c r="AW98" s="21">
        <v>0</v>
      </c>
      <c r="AX98" s="26" t="s">
        <v>864</v>
      </c>
      <c r="AY98" s="26" t="s">
        <v>864</v>
      </c>
      <c r="AZ98" s="26" t="s">
        <v>864</v>
      </c>
      <c r="BA98" s="26" t="s">
        <v>864</v>
      </c>
      <c r="BB98" s="26" t="s">
        <v>864</v>
      </c>
      <c r="BC98" s="26" t="s">
        <v>864</v>
      </c>
      <c r="BD98" s="26" t="s">
        <v>864</v>
      </c>
      <c r="BE98" s="26" t="s">
        <v>864</v>
      </c>
      <c r="BF98" s="26" t="s">
        <v>864</v>
      </c>
      <c r="BG98" s="26" t="s">
        <v>864</v>
      </c>
      <c r="BH98" s="26" t="s">
        <v>864</v>
      </c>
      <c r="BI98" s="26" t="s">
        <v>864</v>
      </c>
      <c r="BJ98" s="26"/>
      <c r="BK98" s="26"/>
      <c r="BL98" s="26" t="s">
        <v>864</v>
      </c>
      <c r="BM98" s="26" t="s">
        <v>864</v>
      </c>
      <c r="BN98" s="22"/>
      <c r="BO98" s="22">
        <v>44824</v>
      </c>
      <c r="BP98" s="21" t="s">
        <v>854</v>
      </c>
      <c r="BQ98" s="222">
        <f t="shared" si="254"/>
        <v>0</v>
      </c>
      <c r="BR98" s="223">
        <f t="shared" si="255"/>
        <v>44803.9</v>
      </c>
      <c r="BS98" s="224">
        <f t="shared" si="256"/>
        <v>20</v>
      </c>
      <c r="BT98" s="216" t="str">
        <f t="shared" si="257"/>
        <v>II TRIM</v>
      </c>
      <c r="BU98" s="214" t="str">
        <f t="shared" ca="1" si="258"/>
        <v/>
      </c>
      <c r="BV98" s="25"/>
      <c r="BW98" s="22">
        <v>44960</v>
      </c>
      <c r="BX98" s="28">
        <v>22.3</v>
      </c>
      <c r="BY98" s="28"/>
      <c r="BZ98" s="22"/>
      <c r="CA98" s="21"/>
      <c r="CB98" s="26" t="s">
        <v>864</v>
      </c>
      <c r="CC98" s="26" t="s">
        <v>864</v>
      </c>
      <c r="CD98" s="26" t="s">
        <v>878</v>
      </c>
      <c r="CE98" s="26" t="s">
        <v>864</v>
      </c>
      <c r="CF98" s="22" t="s">
        <v>1517</v>
      </c>
      <c r="CG98" s="21">
        <v>1.5</v>
      </c>
      <c r="CH98" s="21">
        <v>50</v>
      </c>
      <c r="CI98" s="214">
        <f t="shared" si="259"/>
        <v>22.222222222222221</v>
      </c>
      <c r="CJ98" s="225" t="e">
        <f>IF(AND(CI98&lt;10,CH98="SD"),"SIN DATO PESO PREGESTACION O I TRIM",IF(AND(OR(R98&gt;0,O98&gt;0),CI98="X"),"INGRESAR DATO DE PESO",IF(CI98="SD","INGRESAR DATO DE TALLA Y PESO",IF(AND(OR(Tabla1[[#This Row],[MOMENTO EN QUE SE REALIZA EL PESO AL INGRESO A CPN]]="PREGESTACIÓN",NZ98="Menor"),CI98&lt;18.5),"BAJO PESO",IF(AND(OR(Tabla1[[#This Row],[MOMENTO EN QUE SE REALIZA EL PESO AL INGRESO A CPN]]="PREGESTACIÓN",NZ98="Menor"),CI98&lt;25),"NORMAL",IF(AND(OR(Tabla1[[#This Row],[MOMENTO EN QUE SE REALIZA EL PESO AL INGRESO A CPN]]="PREGESTACIÓN",NZ98="Menor"),CI98&lt;30),"SOBREPESO",IF(AND(OR(Tabla1[[#This Row],[MOMENTO EN QUE SE REALIZA EL PESO AL INGRESO A CPN]]="PREGESTACIÓN",NZ98="Menor"),CI98&gt;=30,CI98&lt;50),"OBESIDAD",IF(AND(BS98&gt;0,Tabla1[[#This Row],[MOMENTO EN QUE SE REALIZA EL PESO AL INGRESO A CPN]]="GESTACIÓN"),HLOOKUP(NZ98,$OA$2:PH98,NY98),""))))))))</f>
        <v>#REF!</v>
      </c>
      <c r="CK98" s="212">
        <f t="shared" si="260"/>
        <v>45016</v>
      </c>
      <c r="CL98" s="21"/>
      <c r="CM98" s="214">
        <f t="shared" si="261"/>
        <v>0</v>
      </c>
      <c r="CN98" s="216">
        <f t="shared" si="262"/>
        <v>27</v>
      </c>
      <c r="CO98" s="216" t="e">
        <f>IF(PI98="","",IF(PI98&gt;0,HLOOKUP(PI98,$PJ$2:QQ98,NY98),""))</f>
        <v>#REF!</v>
      </c>
      <c r="CP98" s="21"/>
      <c r="CQ98" s="216" t="e">
        <f>IF(QR98="Menor","NO APLICA-MENOR 13 SEM",IF(AND(CC98="SI",CN98&gt;23),"NO APLICA- GEMELAR",IF(QR98="","",IF(QR98&gt;0,HLOOKUP(QR98,$QS$2:RU98,NY98),""))))</f>
        <v>#REF!</v>
      </c>
      <c r="CR98" s="21"/>
      <c r="CS98" s="21"/>
      <c r="CT98" s="217" t="str">
        <f>IF(R98="","",IF(AND(BS98&gt;1,BS98&lt;12,Tabla1[[#This Row],[T.A. SISTOLICA - ANTES DE SEMANA 12]]="",Tabla1[[#This Row],[T.A. DIASTOLICA - ANTES DE SEMANA 12]]=""),"REGISTRE DATO TA ANTES SEMANA 12",IF(AND(BS98&gt;11,BS98&lt;43,Tabla1[[#This Row],[T.A. SISTOLICA - ANTES DE SEMANA 12]]="",Tabla1[[#This Row],[T.A. DIASTOLICA - ANTES DE SEMANA 12]]=""),"NO APLICA REGISTRO TA-INGRESO TARDIO",IF(AND(OR(O98&gt;0,R98&gt;0),OR(CR98&gt;=140,CS98&gt;=90)),"DEFINIR ESTADIO HTA",IF(AND(OR(O98&gt;0,R98&gt;0),AND(CR98&gt;120,CR98&lt;=139)),"PRE HTA SEGUIMIENTO",IF(AND(OR(O98&gt;0,R98&gt;0),AND(CS98&gt;80,CS98&lt;=89)),"PRE HTA SEGUIMIENTO",IF(AND(OR(O98&gt;0,R98&gt;0),AND(CR98&gt;=80,CR98&lt;=120)),"APARENTEMENTE NORMAL",IF(AND(OR(O98&gt;0,R98&gt;0),AND(CS98&gt;=50,CS98&lt;=80)),"APARENTEMENTE NORMAL",IF(AND(OR(O98&gt;0,R98&gt;0),AND(CR98&gt;1,CR98&lt;=70),AND(CS98&gt;1,CS98&lt;=40)),"HIPOTENSIÓN","")))))))))</f>
        <v>NO APLICA REGISTRO TA-INGRESO TARDIO</v>
      </c>
      <c r="CU98" s="21">
        <v>90</v>
      </c>
      <c r="CV98" s="21">
        <v>60</v>
      </c>
      <c r="CW98" s="217" t="str">
        <f ca="1">IF(R98="","",IF(AND(CN98&gt;19,CN98&lt;27,Tabla1[[#This Row],[T.A. SISTOLICA (Entre semana 20 y 26)]]="",Tabla1[[#This Row],[T.A. DIATOLICA (Entre semana 20 y 26)]]=""),"ACUDE A CONTROL SEM 20 A 26 REGISTRE TA AHORA",IF(AND(BS98&gt;1,BS98&lt;27,BU98&gt;19,Tabla1[[#This Row],[T.A. SISTOLICA (Entre semana 20 y 26)]]="",Tabla1[[#This Row],[T.A. DIATOLICA (Entre semana 20 y 26)]]=""),"COMPLETE REGISTRO TA CONTROL SEM 20 A26 ",IF(AND(BS98&gt;26,BS98&lt;43,Tabla1[[#This Row],[T.A. SISTOLICA (Entre semana 20 y 26)]]="",Tabla1[[#This Row],[T.A. DIATOLICA (Entre semana 20 y 26)]]=""),"NO APLICA REGISTRO TA-INGRESO TARDIO",IF(AND(OR(O98&gt;0,R98&gt;0),OR(CU98&gt;=140,CV98&gt;=90)),"ALTO RIESGO PREECLAMPSIA,DEFINIR ESTADIO HTA",IF(AND(OR(O98&gt;0,R98&gt;0),AND(CU98&gt;120,CU98&lt;=139)),"PRE HTA SEGUIMIENTO,RIESGO HIPERTENSION INDUCIDA POR EL EMBARAZO",IF(AND(OR(O98&gt;0,R98&gt;0),AND(CV98&gt;80,CV98&lt;=89)),"PRE HTA SEGUIMIENTO, RIESGO HIPERTENSION INDUCIDA POR EL EMBARAZO",IF(AND(OR(O98&lt;&gt;"",R98&lt;&gt;""),CS98&lt;&gt;"",CV98&lt;&gt;"",CS98&lt;=CV98),"VIGILAR CIFRAS PRESION ARTERIAL",IF(AND(OR(O98&gt;0,R98&gt;0),AND(CU98&gt;120,CU98&lt;=139)),"PRE HTA SEGUIMIENTO",IF(AND(OR(O98&gt;0,R98&gt;0),AND(CU98&gt;1,CU98&lt;=70),AND(CV98&gt;1,CV98&lt;=40)),"HIPOTENSIÓN",IF(AND(OR(O98&lt;&gt;"",R98&lt;&gt;""),CS98&lt;&gt;"",CV98&lt;&gt;"",CS98&gt;CV98),"APARENTEMENTE NORMAL",IF(AND(OR(O98&gt;0,R98&gt;0),AND(CU98&gt;=80,CU98&lt;=120)),"APARENTEMENTE NORMAL",IF(AND(OR(O98&gt;0,R98&gt;0),AND(CV98&gt;=50,CV98&lt;=80)),"APARENTEMENTE NORMAL","")))))))))))))</f>
        <v>APARENTEMENTE NORMAL</v>
      </c>
      <c r="CX98" s="21"/>
      <c r="CY98" s="21"/>
      <c r="CZ98" s="216" t="str">
        <f t="shared" si="263"/>
        <v/>
      </c>
      <c r="DA98" s="21"/>
      <c r="DB98" s="21"/>
      <c r="DC98" s="217" t="str">
        <f t="shared" si="264"/>
        <v>REGISTRE DATO PRESIÓN ARTERIAL MENSUAL</v>
      </c>
      <c r="DD98" s="22">
        <v>45016</v>
      </c>
      <c r="DE98" s="22">
        <v>45016</v>
      </c>
      <c r="DF98" s="22">
        <v>45016</v>
      </c>
      <c r="DG98" s="22"/>
      <c r="DH98" s="22"/>
      <c r="DI98" s="22"/>
      <c r="DJ98" s="22"/>
      <c r="DK98" s="22"/>
      <c r="DL98" s="22"/>
      <c r="DM98" s="22"/>
      <c r="DN98" s="22"/>
      <c r="DO98" s="22"/>
      <c r="DP98" s="22"/>
      <c r="DQ98" s="22"/>
      <c r="DR98" s="28">
        <v>1</v>
      </c>
      <c r="DS98" s="22"/>
      <c r="DT98" s="22"/>
      <c r="DU98" s="216" t="str">
        <f t="shared" ca="1" si="439"/>
        <v>SALE SIN PLAN DE PARTO</v>
      </c>
      <c r="DV98" s="226" t="str">
        <f t="shared" si="440"/>
        <v>SALIO PROGRAMA</v>
      </c>
      <c r="DW98"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98" s="216" t="str">
        <f t="shared" ca="1" si="266"/>
        <v/>
      </c>
      <c r="DY98" s="212">
        <f>IF(R98="","",IF(R98&gt;0,MAX(Tabla1[[#This Row],[FECHA C2]:[FECHA C13]],Tabla1[[#This Row],[FECHA CONSULTA PRIMERA VEZ PROGRAMA CPN ]])))</f>
        <v>45016</v>
      </c>
      <c r="DZ98" s="216">
        <f t="shared" si="267"/>
        <v>27</v>
      </c>
      <c r="EA98" s="222">
        <f>IF(R98&gt;0,SUM(COUNTA(DF98:DQ98)+COUNTA(Tabla1[[#This Row],[FECHA CONSULTA PRIMERA VEZ PROGRAMA CPN ]])),"")</f>
        <v>2</v>
      </c>
      <c r="EB98" s="222" t="str">
        <f t="shared" si="268"/>
        <v>NO</v>
      </c>
      <c r="EC98" s="214">
        <f t="shared" si="269"/>
        <v>7</v>
      </c>
      <c r="ED98" s="227">
        <f t="shared" si="270"/>
        <v>0.2857142857142857</v>
      </c>
      <c r="EE98" s="22">
        <v>44964</v>
      </c>
      <c r="EF98" s="22">
        <v>44964</v>
      </c>
      <c r="EG98" s="22">
        <v>44964</v>
      </c>
      <c r="EH98" s="22"/>
      <c r="EI98" s="22">
        <v>44964</v>
      </c>
      <c r="EJ98" s="22"/>
      <c r="EK98" s="22"/>
      <c r="EL98" s="21"/>
      <c r="EM98" s="21"/>
      <c r="EN98" s="22"/>
      <c r="EO98" s="222" t="str">
        <f t="shared" si="271"/>
        <v>TOMAR EXAMEN</v>
      </c>
      <c r="EP98" s="214" t="str">
        <f t="shared" si="272"/>
        <v/>
      </c>
      <c r="EQ98" s="216" t="str">
        <f t="shared" si="273"/>
        <v>POR DEFINIR</v>
      </c>
      <c r="ER98" s="24"/>
      <c r="ES98" s="22"/>
      <c r="ET98" s="29" t="str">
        <f t="shared" ca="1" si="441"/>
        <v>SALE SIN TAMIZAJE HEMOGLOBINA SEM 28</v>
      </c>
      <c r="EU98" s="25" t="str">
        <f t="shared" si="275"/>
        <v/>
      </c>
      <c r="EV98" s="24"/>
      <c r="EW98" s="24"/>
      <c r="EX98" s="22"/>
      <c r="EY98" s="29" t="str">
        <f t="shared" si="454"/>
        <v>TOMAR EXAMEN</v>
      </c>
      <c r="EZ98" s="25" t="str">
        <f t="shared" ca="1" si="455"/>
        <v/>
      </c>
      <c r="FA98" s="21"/>
      <c r="FB98" s="22"/>
      <c r="FC98" s="29" t="str">
        <f t="shared" si="276"/>
        <v>TOMAR EXAMEN</v>
      </c>
      <c r="FD98" s="29"/>
      <c r="FE98" s="29"/>
      <c r="FF98" s="29"/>
      <c r="FG98" s="21" t="str">
        <f t="shared" ca="1" si="277"/>
        <v/>
      </c>
      <c r="FH98" s="31"/>
      <c r="FI98" s="29" t="str">
        <f t="shared" si="278"/>
        <v>TOMAR EXAMEN</v>
      </c>
      <c r="FJ98" s="22"/>
      <c r="FK98" s="22"/>
      <c r="FL98" s="29" t="str">
        <f t="shared" ca="1" si="279"/>
        <v>NO APLICA-INGRESO TARDIO</v>
      </c>
      <c r="FM98" s="22"/>
      <c r="FN98" s="32"/>
      <c r="FO98" s="29" t="str">
        <f t="shared" ca="1" si="442"/>
        <v>PIERDE TOMA DE TAMIZAJE</v>
      </c>
      <c r="FP98" s="22"/>
      <c r="FQ98" s="32"/>
      <c r="FR98" s="29" t="str">
        <f t="shared" ca="1" si="443"/>
        <v>PIERDE TOMA DE TAMIZAJE</v>
      </c>
      <c r="FS98" s="22"/>
      <c r="FT98" s="32"/>
      <c r="FU98" s="29" t="str">
        <f>IF(AND(FJ98="",FM98="",FP98="",FS98=""),"",IF(OR(OR(Tabla1[[#This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98" s="28"/>
      <c r="FW98" s="22"/>
      <c r="FX98" s="29" t="str">
        <f t="shared" si="280"/>
        <v>TOMAR EXAMEN</v>
      </c>
      <c r="FY98" s="22"/>
      <c r="FZ98" s="22"/>
      <c r="GA98" s="29" t="str">
        <f t="shared" ca="1" si="453"/>
        <v>NO APLICA-INGRESO TARDIO</v>
      </c>
      <c r="GB98" s="22"/>
      <c r="GC98" s="22"/>
      <c r="GD98" s="29" t="str">
        <f t="shared" ca="1" si="444"/>
        <v>PIERDE TOMA DE TAMIZAJE</v>
      </c>
      <c r="GE98" s="22"/>
      <c r="GF98" s="22"/>
      <c r="GG98" s="29" t="str">
        <f t="shared" ca="1" si="445"/>
        <v>PIERDE TOMA DE TAMIZAJE</v>
      </c>
      <c r="GH98" s="22"/>
      <c r="GI98" s="29"/>
      <c r="GJ98" s="22"/>
      <c r="GK98" s="22"/>
      <c r="GL98" s="22"/>
      <c r="GM98" s="22"/>
      <c r="GN98" s="28"/>
      <c r="GO98" s="22"/>
      <c r="GP98" s="29" t="str">
        <f t="shared" si="283"/>
        <v>TOMAR EXAMEN</v>
      </c>
      <c r="GQ98" s="28"/>
      <c r="GR98" s="28"/>
      <c r="GS98" s="22" t="str">
        <f t="shared" si="284"/>
        <v/>
      </c>
      <c r="GT98" s="22"/>
      <c r="GU98" s="29" t="str">
        <f t="shared" si="285"/>
        <v>TOMAR EXAMEN</v>
      </c>
      <c r="GV98" s="21" t="str">
        <f t="shared" si="286"/>
        <v>POR DEFINIR</v>
      </c>
      <c r="GW98" s="28"/>
      <c r="GX98" s="30"/>
      <c r="GY98" s="21"/>
      <c r="GZ98" s="21"/>
      <c r="HA98" s="21"/>
      <c r="HB98" s="21"/>
      <c r="HC98" s="21"/>
      <c r="HD98" s="21"/>
      <c r="HE98" s="21"/>
      <c r="HF98" s="22"/>
      <c r="HG98" s="22" t="str">
        <f>IF(OR(O98&gt;0,R98&gt;0),CONCATENATE(IF(Tabla1[[#This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98" s="22" t="e">
        <f t="shared" si="287"/>
        <v>#REF!</v>
      </c>
      <c r="HI98" s="22" t="e">
        <f t="shared" ca="1" si="288"/>
        <v>#REF!</v>
      </c>
      <c r="HJ98" s="21" t="str">
        <f t="shared" ca="1" si="289"/>
        <v>***************************************</v>
      </c>
      <c r="HK98" s="21" t="str">
        <f t="shared" si="290"/>
        <v>SIN ANTECEDENTES DE RIESGO</v>
      </c>
      <c r="HL98" s="24" t="str">
        <f t="shared" si="291"/>
        <v>REGISTRE DATO PRESIÓN ARTERIAL MENSUAL</v>
      </c>
      <c r="HM98" s="21" t="str">
        <f t="shared" ca="1" si="292"/>
        <v/>
      </c>
      <c r="HN98" s="30" t="str">
        <f t="shared" si="446"/>
        <v>SALIO PROGRAMA</v>
      </c>
      <c r="HO98" s="21"/>
      <c r="HP98" s="21"/>
      <c r="HQ98" s="21"/>
      <c r="HR98" s="21" t="str">
        <f>IF(R98="","",IF(Tabla1[[#This Row],[ALARMA FACTORES DE RIESGO COMPLICACIONES HIPERTENSIVAS3]]="SIN ANTECEDENTES DE RIESGO","No Aplica para suministro de ASA",IF(AND(Tabla1[[#This Row],[FECHA INICIO DE SUMINISTRO DE ASA]]&gt;0,RV98&lt;12),"Inicia ASA ANTES de Sem 12",IF(AND(RV98&gt;11,RV98&lt;17,OR(HK98="RIESGO ALTO DE COMPLICACIONES HIPERTENSIVAS VER MANEJO GUIA SUMINISTRO ASA Y CALCIO",HK98="RIESGO MODERADO (2 O MAS CRITERIOS) VER MANEJO GUIA SUMINISTRO ASA Y CALCIO")),"Inicio oportuno de ASA",IF(AND(RV98&gt;12,OR(HK98="RIESGO ALTO DE COMPLICACIONES HIPERTENSIVAS VER MANEJO GUIA SUMINISTRO ASA Y CALCIO",HK98="RIESGO MODERADO (2 O MAS CRITERIOS) VER MANEJO GUIA SUMINISTRO ASA Y CALCIO")),"Inicio no oportuno mayor a 16 semanas",IF(AND(BU98&lt;12,OR(HK98="RIESGO ALTO DE COMPLICACIONES HIPERTENSIVAS VER MANEJO GUIA SUMINISTRO ASA Y CALCIO",HK98="RIESGO MODERADO (2 O MAS CRITERIOS) VER MANEJO GUIA SUMINISTRO ASA Y CALCIO")),"Pendiente Inicio de ASA a la semana 12",IF(AND(BU98&gt;11,BU98&lt;17,OR(HK98="RIESGO ALTO DE COMPLICACIONES HIPERTENSIVAS VER MANEJO GUIA SUMINISTRO ASA Y CALCIO",HK98="RIESGO MODERADO (2 O MAS CRITERIOS) VER MANEJO GUIA SUMINISTRO ASA Y CALCIO")),"Iniciar de inmediato ASA",IF(AND(BU98&gt;16,OR(HK98="RIESGO ALTO DE COMPLICACIONES HIPERTENSIVAS VER MANEJO GUIA SUMINISTRO ASA Y CALCIO",HK98="RIESGO MODERADO (2 O MAS CRITERIOS) VER MANEJO GUIA SUMINISTRO ASA Y CALCIO")),"Pierde Oportunidad, Inicio tardío de ASA","XXXXX"))))))))</f>
        <v>No Aplica para suministro de ASA</v>
      </c>
      <c r="HS98" s="22"/>
      <c r="HT98" s="22"/>
      <c r="HU98" s="22"/>
      <c r="HV98" s="22"/>
      <c r="HW98" s="22"/>
      <c r="HX98" s="22"/>
      <c r="HY98" s="22">
        <v>44964</v>
      </c>
      <c r="HZ98" s="28">
        <f t="shared" si="293"/>
        <v>20</v>
      </c>
      <c r="IA98" s="26"/>
      <c r="IB98" s="26"/>
      <c r="IC98" s="111"/>
      <c r="ID98" s="22"/>
      <c r="IE98" s="22" t="str">
        <f t="shared" ca="1" si="294"/>
        <v>SALE SIN VACUNA</v>
      </c>
      <c r="IF98" s="22"/>
      <c r="IG98" s="22">
        <f t="shared" si="295"/>
        <v>45104</v>
      </c>
      <c r="IH98" s="29">
        <f t="shared" ca="1" si="296"/>
        <v>-128</v>
      </c>
      <c r="II98" s="22" t="str">
        <f t="shared" ca="1" si="297"/>
        <v>POSIBLEMENTE NACIO</v>
      </c>
      <c r="IJ98" s="22"/>
      <c r="IK98" s="21" t="s">
        <v>898</v>
      </c>
      <c r="IL98" s="21"/>
      <c r="IM98" s="34"/>
      <c r="IN98" s="349">
        <v>45090</v>
      </c>
      <c r="IO98" s="21" t="s">
        <v>1640</v>
      </c>
      <c r="IP98" s="29">
        <f t="shared" si="436"/>
        <v>38</v>
      </c>
      <c r="IQ98" s="110"/>
      <c r="IR98" s="21" t="s">
        <v>879</v>
      </c>
      <c r="IS98" s="21" t="s">
        <v>1641</v>
      </c>
      <c r="IT98" s="290" t="s">
        <v>1642</v>
      </c>
      <c r="IU98" s="21"/>
      <c r="IV98" s="21"/>
      <c r="IW98" s="21"/>
      <c r="IX98" s="21"/>
      <c r="IY98" s="21"/>
      <c r="IZ98" s="21"/>
      <c r="JA98" s="21"/>
      <c r="JB98" s="30">
        <v>1</v>
      </c>
      <c r="JC98" s="21" t="s">
        <v>1647</v>
      </c>
      <c r="JD98" s="36">
        <v>2500</v>
      </c>
      <c r="JE98" s="21" t="str">
        <f t="shared" si="447"/>
        <v>PESO ADECUADO EDAD GESTACIONAL</v>
      </c>
      <c r="JF98" s="30"/>
      <c r="JG98" s="21"/>
      <c r="JH98" s="21"/>
      <c r="JI98" s="21"/>
      <c r="JJ98" s="30"/>
      <c r="JK98" s="22"/>
      <c r="JL98" s="22"/>
      <c r="JM98" s="21"/>
      <c r="JN98" s="36"/>
      <c r="JO98" s="21" t="str">
        <f t="shared" si="448"/>
        <v/>
      </c>
      <c r="JP98" s="22"/>
      <c r="JQ98" s="21"/>
      <c r="JR98" s="21"/>
      <c r="JS98" s="21"/>
      <c r="JT98" s="30"/>
      <c r="JU98" s="22"/>
      <c r="JV98" s="22"/>
      <c r="JW98" s="33"/>
      <c r="JX98" s="28" t="str">
        <f t="shared" si="449"/>
        <v>INASISTENTE</v>
      </c>
      <c r="JY98" s="33"/>
      <c r="JZ98" s="28" t="str">
        <f t="shared" si="450"/>
        <v>INASISTENTE</v>
      </c>
      <c r="KA98" s="21"/>
      <c r="KB98" s="21"/>
      <c r="KC98" s="21"/>
      <c r="KD98" s="37"/>
      <c r="KE98" s="28"/>
      <c r="KF98" s="28"/>
      <c r="KG98" s="28"/>
      <c r="KH98" s="39"/>
      <c r="KI98" s="39"/>
      <c r="KJ98" s="66"/>
      <c r="KK98" s="39"/>
      <c r="KL98" s="39"/>
      <c r="KM98" s="66"/>
      <c r="KN98" s="39"/>
      <c r="KO98" s="39"/>
      <c r="KP98" s="39"/>
      <c r="KQ98" s="39"/>
      <c r="KR98" s="39"/>
      <c r="KS98" s="39"/>
      <c r="KT98" s="39"/>
      <c r="KU98" s="38"/>
      <c r="KV98" s="38"/>
      <c r="KW98" s="38"/>
      <c r="KX98" s="38"/>
      <c r="KY98" s="38"/>
      <c r="KZ98" s="38"/>
      <c r="LA98" s="38"/>
      <c r="LB98" s="38"/>
      <c r="LC98" s="38"/>
      <c r="LD98" s="38"/>
      <c r="LE98" s="38"/>
      <c r="LF98" s="38"/>
      <c r="LG98" s="38"/>
      <c r="LH98" s="38"/>
      <c r="LI98" s="38"/>
      <c r="LJ98" s="38"/>
      <c r="LK98" s="38"/>
      <c r="LL98" s="38"/>
      <c r="LM98" s="38"/>
      <c r="LN98" s="38"/>
      <c r="LO98" s="38"/>
      <c r="LP98" s="38"/>
      <c r="LQ98" s="38"/>
      <c r="LR98" s="38"/>
      <c r="LS98" s="38"/>
      <c r="LT98" s="38"/>
      <c r="LU98" s="38"/>
      <c r="LV98" s="38"/>
      <c r="LW98" s="38"/>
      <c r="LX98" s="38"/>
      <c r="LY98" s="38"/>
      <c r="LZ98" s="38"/>
      <c r="MA98" s="38"/>
      <c r="MB98" s="38"/>
      <c r="MC98" s="38"/>
      <c r="MD98" s="38"/>
      <c r="ME98" s="38"/>
      <c r="MF98" s="38"/>
      <c r="MG98" s="38"/>
      <c r="MH98" s="43">
        <f t="shared" si="303"/>
        <v>0</v>
      </c>
      <c r="MI98" s="43" t="str">
        <f t="shared" si="304"/>
        <v/>
      </c>
      <c r="MJ98" s="43" t="str">
        <f t="shared" si="305"/>
        <v/>
      </c>
      <c r="MK98" s="43">
        <f t="shared" si="306"/>
        <v>0</v>
      </c>
      <c r="ML9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98" s="43">
        <f t="shared" si="307"/>
        <v>20</v>
      </c>
      <c r="MN98" s="43">
        <f t="shared" si="308"/>
        <v>2</v>
      </c>
      <c r="MO98" s="43">
        <f t="shared" si="309"/>
        <v>2023</v>
      </c>
      <c r="MP98" s="43" t="str">
        <f t="shared" si="310"/>
        <v>I TRIMESTRE AÑO</v>
      </c>
      <c r="MQ98" s="43">
        <f t="shared" si="311"/>
        <v>21.323368374945247</v>
      </c>
      <c r="MR98" s="43">
        <f t="shared" si="312"/>
        <v>0</v>
      </c>
      <c r="MS98" s="43" t="str">
        <f t="shared" si="313"/>
        <v xml:space="preserve"> DE 20 A 24 AÑOS</v>
      </c>
      <c r="MT98" s="43">
        <f t="shared" si="314"/>
        <v>0</v>
      </c>
      <c r="MU98" s="43">
        <f t="shared" si="315"/>
        <v>0</v>
      </c>
      <c r="MV98" s="43">
        <f t="shared" si="316"/>
        <v>0</v>
      </c>
      <c r="MW98" s="43">
        <f t="shared" si="317"/>
        <v>0</v>
      </c>
      <c r="MX98" s="43" t="str">
        <f t="shared" si="318"/>
        <v/>
      </c>
      <c r="MY98" s="43" t="str">
        <f t="shared" ca="1" si="451"/>
        <v/>
      </c>
      <c r="MZ98" s="43" t="str">
        <f t="shared" si="319"/>
        <v/>
      </c>
      <c r="NA98" s="43">
        <f t="shared" si="320"/>
        <v>0</v>
      </c>
      <c r="NB98" s="43" t="str">
        <f t="shared" si="321"/>
        <v/>
      </c>
      <c r="NC98" s="43" t="str">
        <f t="shared" si="322"/>
        <v/>
      </c>
      <c r="ND98" s="43">
        <f t="shared" ca="1" si="323"/>
        <v>0</v>
      </c>
      <c r="NE98" s="43">
        <f>IF(OR(O98&gt;0,R98&gt;0),SUM(COUNTIF(Tabla1[[#This Row],[AÑOS AL INICIO5 CPN]],"&gt;=40"),COUNTIF(AS98,"0"),COUNTIF(AR98,"SI"),COUNTIF(CC98,"SI"),COUNTIF(BQ98,"&gt;119"),COUNTIF(CI98,"&gt;=35")),"")</f>
        <v>0</v>
      </c>
      <c r="NF98" s="43" t="str">
        <f t="shared" si="324"/>
        <v/>
      </c>
      <c r="NG98" s="43">
        <f t="shared" si="325"/>
        <v>0</v>
      </c>
      <c r="NH98" s="43">
        <f t="shared" si="326"/>
        <v>156.1</v>
      </c>
      <c r="NI98"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CPN",P98="NO"),"Z",IF(AND(Tabla1[[#This Row],[CITA PROXIMO CONTROL]]="CITA MANUAL",Tabla1[[#This Row],[GESTANTES ACTUALES]]="ACTIVA INGRESO A CPN"),"W",IF(AND(Tabla1[[#This Row],[GESTANTES ACTUALES]]="SALIO PROGRAMA",IN98=""),"S",IF(AND(Tabla1[[#This Row],[CITA PROXIMO CONTROL]]&gt;0,IN98=""),(Tabla1[[#This Row],[CITA PROXIMO CONTROL]]-TODAY()),"SD"))))))))</f>
        <v>SD</v>
      </c>
      <c r="NJ98" s="43">
        <f>MONTH(Tabla1[[#This Row],[FECHA DE SALIDA  DEL PROGRAMA]])</f>
        <v>6</v>
      </c>
      <c r="NK98" s="43">
        <f>YEAR(Tabla1[[#This Row],[FECHA DE SALIDA  DEL PROGRAMA]])</f>
        <v>2023</v>
      </c>
      <c r="NL98" s="43" t="str">
        <f t="shared" si="327"/>
        <v>X</v>
      </c>
      <c r="NM98" s="43" t="str">
        <f t="shared" si="456"/>
        <v>NO</v>
      </c>
      <c r="NN98" s="43" t="str">
        <f ca="1">IF(AND(O98&gt;0,R98=""),"NO CPN",IF(AND(O98="",R98=""),"",IF(AND(R98&gt;0,Tabla1[[#This Row],[SEMANAS DE GESTACION ACTUALIZADAS]]&lt;=12),"NO APLICA",IF(AND(FH98&lt;&gt;"",FN98&lt;&gt;""),"SI","NO"))))</f>
        <v>NO</v>
      </c>
      <c r="NO98" s="43" t="str">
        <f ca="1">IF(AND(O98&gt;0,R98=""),"NO CPN",IF(AND(O98="",R98=""),"",IF(AND(R98&gt;0,Tabla1[[#This Row],[SEMANAS DE GESTACION ACTUALIZADAS]]&lt;=27),"NO APLICA",IF(AND(ES98&lt;&gt;"",FQ98&lt;&gt;"",GF98&lt;&gt;""),"SI","NO"))))</f>
        <v>NO</v>
      </c>
      <c r="NP98" s="204" t="str">
        <f t="shared" si="328"/>
        <v>II TRIM</v>
      </c>
      <c r="NQ98" s="21" t="str">
        <f t="shared" si="437"/>
        <v/>
      </c>
      <c r="NR98" s="21">
        <f t="shared" si="452"/>
        <v>2</v>
      </c>
      <c r="NS98" s="205">
        <f t="shared" ca="1" si="329"/>
        <v>0</v>
      </c>
      <c r="NT98" s="21">
        <f t="shared" ca="1" si="330"/>
        <v>0</v>
      </c>
      <c r="NU98" s="21" t="str">
        <f t="shared" ca="1" si="331"/>
        <v>INCOMPLETO</v>
      </c>
      <c r="NV98" s="21" t="str">
        <f t="shared" ca="1" si="332"/>
        <v>INCOMPLETO</v>
      </c>
      <c r="NW98" s="206" t="str">
        <f>IF(AND(O98="",R98=""),"",IF(OR(AND(Tabla1[[#This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98" s="207" t="str">
        <f t="shared" ca="1" si="333"/>
        <v>SIN VACUNAR</v>
      </c>
      <c r="NY98" s="43">
        <f>ROW(Tabla1[[#This Row],['# DE TAMIZAJES SIFILIS TOMADOS ]])</f>
        <v>98</v>
      </c>
      <c r="NZ98" s="43">
        <f t="shared" si="334"/>
        <v>20</v>
      </c>
      <c r="OA98" s="43" t="str">
        <f t="shared" si="335"/>
        <v/>
      </c>
      <c r="OB98" s="43" t="str">
        <f t="shared" si="336"/>
        <v/>
      </c>
      <c r="OC98" s="43" t="str">
        <f t="shared" si="337"/>
        <v/>
      </c>
      <c r="OD98" s="43" t="str">
        <f t="shared" si="338"/>
        <v/>
      </c>
      <c r="OE98" s="43" t="str">
        <f t="shared" si="339"/>
        <v/>
      </c>
      <c r="OF98" s="43" t="str">
        <f t="shared" si="340"/>
        <v/>
      </c>
      <c r="OG98" s="43" t="str">
        <f t="shared" si="341"/>
        <v/>
      </c>
      <c r="OH98" s="43" t="str">
        <f t="shared" si="342"/>
        <v/>
      </c>
      <c r="OI98" s="43" t="str">
        <f t="shared" si="343"/>
        <v/>
      </c>
      <c r="OJ98" s="43" t="str">
        <f t="shared" si="344"/>
        <v/>
      </c>
      <c r="OK98" s="43" t="str">
        <f t="shared" si="345"/>
        <v/>
      </c>
      <c r="OL98" s="43" t="str">
        <f t="shared" si="346"/>
        <v>NORMAL</v>
      </c>
      <c r="OM98" s="43" t="str">
        <f t="shared" si="347"/>
        <v/>
      </c>
      <c r="ON98" s="43" t="str">
        <f t="shared" si="348"/>
        <v/>
      </c>
      <c r="OO98" s="43" t="str">
        <f t="shared" si="349"/>
        <v/>
      </c>
      <c r="OP98" s="43" t="str">
        <f t="shared" si="350"/>
        <v/>
      </c>
      <c r="OQ98" s="43" t="str">
        <f t="shared" si="351"/>
        <v/>
      </c>
      <c r="OR98" s="43" t="str">
        <f t="shared" si="352"/>
        <v/>
      </c>
      <c r="OS98" s="43" t="str">
        <f t="shared" si="353"/>
        <v/>
      </c>
      <c r="OT98" s="43" t="str">
        <f t="shared" si="354"/>
        <v/>
      </c>
      <c r="OU98" s="43" t="str">
        <f t="shared" si="355"/>
        <v/>
      </c>
      <c r="OV98" s="110" t="str">
        <f t="shared" si="356"/>
        <v/>
      </c>
      <c r="OW98" s="43" t="str">
        <f t="shared" si="357"/>
        <v/>
      </c>
      <c r="OX98" s="43" t="str">
        <f t="shared" si="358"/>
        <v/>
      </c>
      <c r="OY98" s="43" t="str">
        <f t="shared" si="359"/>
        <v/>
      </c>
      <c r="OZ98" s="43" t="str">
        <f t="shared" si="360"/>
        <v/>
      </c>
      <c r="PA98" s="43" t="str">
        <f t="shared" si="361"/>
        <v/>
      </c>
      <c r="PB98" s="43" t="str">
        <f t="shared" si="362"/>
        <v/>
      </c>
      <c r="PC98" s="43" t="str">
        <f t="shared" si="363"/>
        <v/>
      </c>
      <c r="PD98" s="43" t="str">
        <f t="shared" si="364"/>
        <v/>
      </c>
      <c r="PE98" s="43" t="str">
        <f t="shared" si="365"/>
        <v/>
      </c>
      <c r="PF98" s="43" t="str">
        <f t="shared" si="366"/>
        <v/>
      </c>
      <c r="PG98" s="43" t="str">
        <f t="shared" si="367"/>
        <v/>
      </c>
      <c r="PH98" s="43" t="str">
        <f t="shared" si="368"/>
        <v/>
      </c>
      <c r="PI98" s="43">
        <f t="shared" si="369"/>
        <v>27</v>
      </c>
      <c r="PJ98" s="43" t="str">
        <f t="shared" si="370"/>
        <v/>
      </c>
      <c r="PK98" s="43" t="str">
        <f t="shared" si="371"/>
        <v/>
      </c>
      <c r="PL98" s="43" t="str">
        <f t="shared" si="372"/>
        <v/>
      </c>
      <c r="PM98" s="43" t="str">
        <f t="shared" si="373"/>
        <v/>
      </c>
      <c r="PN98" s="43" t="str">
        <f t="shared" si="374"/>
        <v/>
      </c>
      <c r="PO98" s="43" t="str">
        <f t="shared" si="375"/>
        <v/>
      </c>
      <c r="PP98" s="43" t="str">
        <f t="shared" si="376"/>
        <v/>
      </c>
      <c r="PQ98" s="43" t="str">
        <f t="shared" si="377"/>
        <v/>
      </c>
      <c r="PR98" s="43" t="str">
        <f t="shared" si="378"/>
        <v/>
      </c>
      <c r="PS98" s="43" t="str">
        <f t="shared" si="379"/>
        <v/>
      </c>
      <c r="PT98" s="43" t="str">
        <f t="shared" si="380"/>
        <v/>
      </c>
      <c r="PU98" s="43" t="str">
        <f t="shared" si="381"/>
        <v/>
      </c>
      <c r="PV98" s="43" t="str">
        <f t="shared" si="382"/>
        <v/>
      </c>
      <c r="PW98" s="43" t="str">
        <f t="shared" si="383"/>
        <v/>
      </c>
      <c r="PX98" s="43" t="str">
        <f t="shared" si="384"/>
        <v/>
      </c>
      <c r="PY98" s="43" t="str">
        <f t="shared" si="385"/>
        <v/>
      </c>
      <c r="PZ98" s="43" t="str">
        <f t="shared" si="386"/>
        <v/>
      </c>
      <c r="QA98" s="43" t="str">
        <f t="shared" si="387"/>
        <v/>
      </c>
      <c r="QB98" s="43" t="str">
        <f t="shared" si="388"/>
        <v/>
      </c>
      <c r="QC98" s="43" t="str">
        <f t="shared" si="389"/>
        <v/>
      </c>
      <c r="QD98" s="43" t="str">
        <f t="shared" si="390"/>
        <v/>
      </c>
      <c r="QE98" s="43" t="str">
        <f t="shared" si="391"/>
        <v/>
      </c>
      <c r="QF98" s="43" t="str">
        <f t="shared" si="392"/>
        <v/>
      </c>
      <c r="QG98" s="43" t="str">
        <f t="shared" si="393"/>
        <v/>
      </c>
      <c r="QH98" s="43" t="str">
        <f t="shared" si="394"/>
        <v/>
      </c>
      <c r="QI98" s="43" t="str">
        <f t="shared" si="395"/>
        <v/>
      </c>
      <c r="QJ98" s="43" t="str">
        <f t="shared" si="396"/>
        <v/>
      </c>
      <c r="QK98" s="43" t="str">
        <f t="shared" si="397"/>
        <v/>
      </c>
      <c r="QL98" s="43" t="str">
        <f t="shared" si="398"/>
        <v/>
      </c>
      <c r="QM98" s="43" t="str">
        <f t="shared" si="399"/>
        <v/>
      </c>
      <c r="QN98" s="43" t="str">
        <f t="shared" si="400"/>
        <v/>
      </c>
      <c r="QO98" s="43" t="str">
        <f t="shared" si="401"/>
        <v/>
      </c>
      <c r="QP98" s="43" t="str">
        <f t="shared" si="402"/>
        <v/>
      </c>
      <c r="QQ98" s="43" t="str">
        <f t="shared" si="403"/>
        <v/>
      </c>
      <c r="QR98" s="43">
        <f t="shared" si="433"/>
        <v>27</v>
      </c>
      <c r="QS98" s="43"/>
      <c r="QT98" s="21" t="str">
        <f t="shared" si="404"/>
        <v/>
      </c>
      <c r="QU98" s="21" t="str">
        <f t="shared" si="405"/>
        <v/>
      </c>
      <c r="QV98" s="21" t="str">
        <f t="shared" si="406"/>
        <v/>
      </c>
      <c r="QW98" s="21" t="str">
        <f t="shared" si="407"/>
        <v/>
      </c>
      <c r="QX98" s="21" t="str">
        <f t="shared" si="408"/>
        <v/>
      </c>
      <c r="QY98" s="21" t="str">
        <f t="shared" si="409"/>
        <v/>
      </c>
      <c r="QZ98" s="21" t="str">
        <f t="shared" si="410"/>
        <v/>
      </c>
      <c r="RA98" s="21" t="str">
        <f t="shared" si="411"/>
        <v/>
      </c>
      <c r="RB98" s="21" t="str">
        <f t="shared" si="412"/>
        <v/>
      </c>
      <c r="RC98" s="21" t="str">
        <f t="shared" si="413"/>
        <v/>
      </c>
      <c r="RD98" s="21" t="str">
        <f t="shared" si="414"/>
        <v/>
      </c>
      <c r="RE98" s="21" t="str">
        <f t="shared" si="415"/>
        <v/>
      </c>
      <c r="RF98" s="21" t="str">
        <f t="shared" si="416"/>
        <v/>
      </c>
      <c r="RG98" s="21" t="str">
        <f t="shared" si="417"/>
        <v/>
      </c>
      <c r="RH98" s="21" t="str">
        <f t="shared" si="418"/>
        <v/>
      </c>
      <c r="RI98" s="21" t="str">
        <f t="shared" si="419"/>
        <v/>
      </c>
      <c r="RJ98" s="21" t="str">
        <f t="shared" si="420"/>
        <v/>
      </c>
      <c r="RK98" s="21" t="str">
        <f t="shared" si="421"/>
        <v/>
      </c>
      <c r="RL98" s="21" t="str">
        <f t="shared" si="422"/>
        <v/>
      </c>
      <c r="RM98" s="21" t="str">
        <f t="shared" si="423"/>
        <v/>
      </c>
      <c r="RN98" s="21" t="str">
        <f t="shared" si="424"/>
        <v/>
      </c>
      <c r="RO98" s="21" t="str">
        <f t="shared" si="425"/>
        <v/>
      </c>
      <c r="RP98" s="21" t="str">
        <f t="shared" si="426"/>
        <v/>
      </c>
      <c r="RQ98" s="21" t="str">
        <f t="shared" si="427"/>
        <v/>
      </c>
      <c r="RR98" s="21" t="str">
        <f t="shared" si="428"/>
        <v/>
      </c>
      <c r="RS98" s="21" t="str">
        <f t="shared" si="429"/>
        <v/>
      </c>
      <c r="RT98" s="21" t="str">
        <f t="shared" si="430"/>
        <v/>
      </c>
      <c r="RU98" s="21" t="str">
        <f t="shared" si="431"/>
        <v/>
      </c>
      <c r="RV98" s="21">
        <f t="shared" si="432"/>
        <v>-1</v>
      </c>
      <c r="RW98" s="284">
        <f>IF(OR(Tabla1[[#This Row],[FUM FORMULA CONFIABLE]]="",Tabla1[[#This Row],[FUM FORMULA CONFIABLE]]="SD"),"",IF(Tabla1[[#This Row],[FUM FORMULA CONFIABLE]]="CORREGIDA",Tabla1[[#This Row],[FUM X ECO 1]],Tabla1[[#This Row],[FUM x AMENORREA]]))</f>
        <v>44824</v>
      </c>
      <c r="RX98" s="21">
        <f>IF(AND(Tabla1[[#This Row],[FUM X ECO 1]]="",Tabla1[[#This Row],[FUM x AMENORREA]]=""),"",IF(AND(Tabla1[[#This Row],[FUM X ECO 1]]="",Tabla1[[#This Row],[FUM x AMENORREA]]&lt;&gt;""),"X",SUM(Tabla1[[#This Row],[FUM X ECO 1]]-Tabla1[[#This Row],[FUM x AMENORREA]])))</f>
        <v>-20.099999999998545</v>
      </c>
      <c r="RY98" s="21">
        <f t="shared" si="434"/>
        <v>1</v>
      </c>
    </row>
    <row r="99" spans="1:493" ht="45" customHeight="1" x14ac:dyDescent="0.25">
      <c r="A99" s="300"/>
      <c r="B99" s="301"/>
      <c r="C99" s="301" t="s">
        <v>845</v>
      </c>
      <c r="D99" s="302"/>
      <c r="E99" s="43" t="s">
        <v>914</v>
      </c>
      <c r="F99" s="43" t="s">
        <v>884</v>
      </c>
      <c r="G99" s="43" t="s">
        <v>1296</v>
      </c>
      <c r="H99" s="43" t="s">
        <v>850</v>
      </c>
      <c r="I99" s="109" t="s">
        <v>851</v>
      </c>
      <c r="J99" s="110">
        <v>1060186045</v>
      </c>
      <c r="K99" s="301" t="s">
        <v>852</v>
      </c>
      <c r="L99" s="304" t="s">
        <v>1509</v>
      </c>
      <c r="M99" s="305">
        <v>38193</v>
      </c>
      <c r="N99" s="306">
        <f t="shared" ca="1" si="252"/>
        <v>19.284931506849315</v>
      </c>
      <c r="O99" s="305">
        <v>44971</v>
      </c>
      <c r="P99" s="307" t="str">
        <f t="shared" si="438"/>
        <v>SI</v>
      </c>
      <c r="Q99" s="308" t="s">
        <v>855</v>
      </c>
      <c r="R99" s="305">
        <v>44971</v>
      </c>
      <c r="S99" s="309" t="s">
        <v>856</v>
      </c>
      <c r="T99" s="310" t="s">
        <v>690</v>
      </c>
      <c r="U99" s="309" t="s">
        <v>857</v>
      </c>
      <c r="V99" s="309" t="s">
        <v>858</v>
      </c>
      <c r="W99" s="309" t="s">
        <v>1297</v>
      </c>
      <c r="X99" s="309" t="s">
        <v>1044</v>
      </c>
      <c r="Y99" s="309" t="s">
        <v>859</v>
      </c>
      <c r="Z99" s="309">
        <v>3137616407</v>
      </c>
      <c r="AA99" s="309" t="s">
        <v>860</v>
      </c>
      <c r="AB99" s="311" t="s">
        <v>861</v>
      </c>
      <c r="AC99" s="308" t="s">
        <v>888</v>
      </c>
      <c r="AD99" s="312" t="s">
        <v>846</v>
      </c>
      <c r="AE99" s="308" t="s">
        <v>854</v>
      </c>
      <c r="AF99" s="308" t="s">
        <v>854</v>
      </c>
      <c r="AG99" s="313" t="s">
        <v>864</v>
      </c>
      <c r="AH99" s="313" t="s">
        <v>864</v>
      </c>
      <c r="AI99" s="310" t="s">
        <v>863</v>
      </c>
      <c r="AJ99" s="313" t="s">
        <v>864</v>
      </c>
      <c r="AK99" s="314" t="str">
        <f>IF(AND(AD99="",AE99="",AF99="",AG99="",AH99="",AI99="",AJ99=""),"",IF(OR(Tabla1[[#This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EVALUACIÓN",IF(AND(O99="",R99=""),"",IF(AND(OR(O99&gt;0,R99&gt;0),NG99&gt;=0,NG99&lt;2),"SIN RIESGO",IF(AND(OR(O99&gt;0,R99&gt;0),NG99&gt;=2),"CON RIESGO","ASD")))))</f>
        <v>SIN RIESGO</v>
      </c>
      <c r="AL99" s="313" t="s">
        <v>864</v>
      </c>
      <c r="AM99" s="308" t="s">
        <v>864</v>
      </c>
      <c r="AN99" s="308" t="s">
        <v>864</v>
      </c>
      <c r="AO99" s="308" t="s">
        <v>864</v>
      </c>
      <c r="AP99" s="308" t="s">
        <v>864</v>
      </c>
      <c r="AQ99" s="308" t="s">
        <v>864</v>
      </c>
      <c r="AR99" s="308" t="s">
        <v>864</v>
      </c>
      <c r="AS99" s="309">
        <v>0</v>
      </c>
      <c r="AT99" s="309">
        <v>0</v>
      </c>
      <c r="AU99" s="309">
        <v>0</v>
      </c>
      <c r="AV99" s="308" t="s">
        <v>864</v>
      </c>
      <c r="AW99" s="309">
        <v>0</v>
      </c>
      <c r="AX99" s="308" t="s">
        <v>864</v>
      </c>
      <c r="AY99" s="308" t="s">
        <v>864</v>
      </c>
      <c r="AZ99" s="308" t="s">
        <v>864</v>
      </c>
      <c r="BA99" s="308" t="s">
        <v>864</v>
      </c>
      <c r="BB99" s="308" t="s">
        <v>864</v>
      </c>
      <c r="BC99" s="308" t="s">
        <v>864</v>
      </c>
      <c r="BD99" s="308" t="s">
        <v>864</v>
      </c>
      <c r="BE99" s="308" t="s">
        <v>864</v>
      </c>
      <c r="BF99" s="308" t="s">
        <v>864</v>
      </c>
      <c r="BG99" s="308" t="s">
        <v>864</v>
      </c>
      <c r="BH99" s="308" t="s">
        <v>864</v>
      </c>
      <c r="BI99" s="308" t="s">
        <v>864</v>
      </c>
      <c r="BJ99" s="308"/>
      <c r="BK99" s="308"/>
      <c r="BL99" s="308" t="s">
        <v>864</v>
      </c>
      <c r="BM99" s="308" t="s">
        <v>864</v>
      </c>
      <c r="BN99" s="305"/>
      <c r="BO99" s="305">
        <v>44850</v>
      </c>
      <c r="BP99" s="309" t="s">
        <v>1380</v>
      </c>
      <c r="BQ99" s="315">
        <f t="shared" si="254"/>
        <v>0</v>
      </c>
      <c r="BR99" s="316">
        <f t="shared" si="255"/>
        <v>44920.800000000003</v>
      </c>
      <c r="BS99" s="317">
        <f t="shared" si="256"/>
        <v>7.171428571428156</v>
      </c>
      <c r="BT99" s="318" t="str">
        <f t="shared" si="257"/>
        <v>I TRIM</v>
      </c>
      <c r="BU99" s="307" t="str">
        <f t="shared" ca="1" si="258"/>
        <v/>
      </c>
      <c r="BV99" s="319" t="s">
        <v>1525</v>
      </c>
      <c r="BW99" s="305">
        <v>45016</v>
      </c>
      <c r="BX99" s="320">
        <v>13.6</v>
      </c>
      <c r="BY99" s="320"/>
      <c r="BZ99" s="305"/>
      <c r="CA99" s="309"/>
      <c r="CB99" s="308" t="s">
        <v>864</v>
      </c>
      <c r="CC99" s="308" t="s">
        <v>864</v>
      </c>
      <c r="CD99" s="308"/>
      <c r="CE99" s="308"/>
      <c r="CF99" s="22" t="s">
        <v>1517</v>
      </c>
      <c r="CG99" s="309">
        <v>1.58</v>
      </c>
      <c r="CH99" s="309"/>
      <c r="CI99" s="307" t="str">
        <f t="shared" si="259"/>
        <v>X</v>
      </c>
      <c r="CJ99" s="321" t="str">
        <f>IF(AND(CI99&lt;10,CH99="SD"),"SIN DATO PESO PREGESTACION O I TRIM",IF(AND(OR(R99&gt;0,O99&gt;0),CI99="X"),"INGRESAR DATO DE PESO",IF(CI99="SD","INGRESAR DATO DE TALLA Y PESO",IF(AND(OR(Tabla1[[#This Row],[MOMENTO EN QUE SE REALIZA EL PESO AL INGRESO A CPN]]="PREGESTACIÓN",NZ99="Menor"),CI99&lt;18.5),"BAJO PESO",IF(AND(OR(Tabla1[[#This Row],[MOMENTO EN QUE SE REALIZA EL PESO AL INGRESO A CPN]]="PREGESTACIÓN",NZ99="Menor"),CI99&lt;25),"NORMAL",IF(AND(OR(Tabla1[[#This Row],[MOMENTO EN QUE SE REALIZA EL PESO AL INGRESO A CPN]]="PREGESTACIÓN",NZ99="Menor"),CI99&lt;30),"SOBREPESO",IF(AND(OR(Tabla1[[#This Row],[MOMENTO EN QUE SE REALIZA EL PESO AL INGRESO A CPN]]="PREGESTACIÓN",NZ99="Menor"),CI99&gt;=30,CI99&lt;50),"OBESIDAD",IF(AND(BS99&gt;0,Tabla1[[#This Row],[MOMENTO EN QUE SE REALIZA EL PESO AL INGRESO A CPN]]="GESTACIÓN"),HLOOKUP(NZ99,$OA$2:PH99,NY99),""))))))))</f>
        <v>INGRESAR DATO DE PESO</v>
      </c>
      <c r="CK99" s="322">
        <f t="shared" si="260"/>
        <v>45168</v>
      </c>
      <c r="CL99" s="309">
        <v>50.6</v>
      </c>
      <c r="CM99" s="307">
        <f t="shared" si="261"/>
        <v>20.269187630187467</v>
      </c>
      <c r="CN99" s="318">
        <f t="shared" si="262"/>
        <v>35</v>
      </c>
      <c r="CO99" s="318" t="e">
        <f>IF(PI99="","",IF(PI99&gt;0,HLOOKUP(PI99,$PJ$2:QQ99,NY99),""))</f>
        <v>#REF!</v>
      </c>
      <c r="CP99" s="309">
        <v>28</v>
      </c>
      <c r="CQ99" s="318" t="e">
        <f>IF(QR99="Menor","NO APLICA-MENOR 13 SEM",IF(AND(CC99="SI",CN99&gt;23),"NO APLICA- GEMELAR",IF(QR99="","",IF(QR99&gt;0,HLOOKUP(QR99,$QS$2:RU99,NY99),""))))</f>
        <v>#REF!</v>
      </c>
      <c r="CR99" s="309">
        <v>100</v>
      </c>
      <c r="CS99" s="309">
        <v>60</v>
      </c>
      <c r="CT99" s="323" t="str">
        <f>IF(R99="","",IF(AND(BS99&gt;1,BS99&lt;12,Tabla1[[#This Row],[T.A. SISTOLICA - ANTES DE SEMANA 12]]="",Tabla1[[#This Row],[T.A. DIASTOLICA - ANTES DE SEMANA 12]]=""),"REGISTRE DATO TA ANTES SEMANA 12",IF(AND(BS99&gt;11,BS99&lt;43,Tabla1[[#This Row],[T.A. SISTOLICA - ANTES DE SEMANA 12]]="",Tabla1[[#This Row],[T.A. DIASTOLICA - ANTES DE SEMANA 12]]=""),"NO APLICA REGISTRO TA-INGRESO TARDIO",IF(AND(OR(O99&gt;0,R99&gt;0),OR(CR99&gt;=140,CS99&gt;=90)),"DEFINIR ESTADIO HTA",IF(AND(OR(O99&gt;0,R99&gt;0),AND(CR99&gt;120,CR99&lt;=139)),"PRE HTA SEGUIMIENTO",IF(AND(OR(O99&gt;0,R99&gt;0),AND(CS99&gt;80,CS99&lt;=89)),"PRE HTA SEGUIMIENTO",IF(AND(OR(O99&gt;0,R99&gt;0),AND(CR99&gt;=80,CR99&lt;=120)),"APARENTEMENTE NORMAL",IF(AND(OR(O99&gt;0,R99&gt;0),AND(CS99&gt;=50,CS99&lt;=80)),"APARENTEMENTE NORMAL",IF(AND(OR(O99&gt;0,R99&gt;0),AND(CR99&gt;1,CR99&lt;=70),AND(CS99&gt;1,CS99&lt;=40)),"HIPOTENSIÓN","")))))))))</f>
        <v>APARENTEMENTE NORMAL</v>
      </c>
      <c r="CU99" s="309"/>
      <c r="CV99" s="309"/>
      <c r="CW99" s="323" t="str">
        <f ca="1">IF(R99="","",IF(AND(CN99&gt;19,CN99&lt;27,Tabla1[[#This Row],[T.A. SISTOLICA (Entre semana 20 y 26)]]="",Tabla1[[#This Row],[T.A. DIATOLICA (Entre semana 20 y 26)]]=""),"ACUDE A CONTROL SEM 20 A 26 REGISTRE TA AHORA",IF(AND(BS99&gt;1,BS99&lt;27,BU99&gt;19,Tabla1[[#This Row],[T.A. SISTOLICA (Entre semana 20 y 26)]]="",Tabla1[[#This Row],[T.A. DIATOLICA (Entre semana 20 y 26)]]=""),"COMPLETE REGISTRO TA CONTROL SEM 20 A26 ",IF(AND(BS99&gt;26,BS99&lt;43,Tabla1[[#This Row],[T.A. SISTOLICA (Entre semana 20 y 26)]]="",Tabla1[[#This Row],[T.A. DIATOLICA (Entre semana 20 y 26)]]=""),"NO APLICA REGISTRO TA-INGRESO TARDIO",IF(AND(OR(O99&gt;0,R99&gt;0),OR(CU99&gt;=140,CV99&gt;=90)),"ALTO RIESGO PREECLAMPSIA,DEFINIR ESTADIO HTA",IF(AND(OR(O99&gt;0,R99&gt;0),AND(CU99&gt;120,CU99&lt;=139)),"PRE HTA SEGUIMIENTO,RIESGO HIPERTENSION INDUCIDA POR EL EMBARAZO",IF(AND(OR(O99&gt;0,R99&gt;0),AND(CV99&gt;80,CV99&lt;=89)),"PRE HTA SEGUIMIENTO, RIESGO HIPERTENSION INDUCIDA POR EL EMBARAZO",IF(AND(OR(O99&lt;&gt;"",R99&lt;&gt;""),CS99&lt;&gt;"",CV99&lt;&gt;"",CS99&lt;=CV99),"VIGILAR CIFRAS PRESION ARTERIAL",IF(AND(OR(O99&gt;0,R99&gt;0),AND(CU99&gt;120,CU99&lt;=139)),"PRE HTA SEGUIMIENTO",IF(AND(OR(O99&gt;0,R99&gt;0),AND(CU99&gt;1,CU99&lt;=70),AND(CV99&gt;1,CV99&lt;=40)),"HIPOTENSIÓN",IF(AND(OR(O99&lt;&gt;"",R99&lt;&gt;""),CS99&lt;&gt;"",CV99&lt;&gt;"",CS99&gt;CV99),"APARENTEMENTE NORMAL",IF(AND(OR(O99&gt;0,R99&gt;0),AND(CU99&gt;=80,CU99&lt;=120)),"APARENTEMENTE NORMAL",IF(AND(OR(O99&gt;0,R99&gt;0),AND(CV99&gt;=50,CV99&lt;=80)),"APARENTEMENTE NORMAL","")))))))))))))</f>
        <v xml:space="preserve">COMPLETE REGISTRO TA CONTROL SEM 20 A26 </v>
      </c>
      <c r="CX99" s="309">
        <v>90</v>
      </c>
      <c r="CY99" s="309">
        <v>60</v>
      </c>
      <c r="CZ99" s="318" t="str">
        <f t="shared" ref="CZ99:CZ124" si="457">IF(R99="","",IF(AND(CN99&gt;31,CN99&lt;35,CX99="",CY99=""),"ACUDE A CONTROL SEM 30 A 34- REGISTRE AHORA",IF(AND(BS99&gt;34,BS99&lt;43,CX100="",CY100=""),"NO APLICA-INGRESO TARDIO",IF(AND(OR(O99&gt;0,R99&gt;0),OR(CX99&gt;=140,CY99&gt;=90)),"ESTUDIO INMEDIATO HTA PARA DESCARTAR PREECLAMSIA",IF(AND(OR(O99&gt;0,R99&gt;0),AND(CX99&gt;=130,CX99&lt;=139)),"PRE HTA,RIESGO ALTO PREECLAMPSIA",IF(AND(OR(O99&gt;0,R99&gt;0),AND(CY99&gt;80,CY99&lt;=89)),"PRE HTA,RIESGO ALTO PREECLAMPSIA",IF(AND(OR(O99&gt;0,R99&gt;0),AND(CX99&gt;120,CX99&lt;=129)),"RANGO PREHIPERTENSIVO SEGUIMIENTO HTA",IF(AND(OR(O99&lt;&gt;"",R99&lt;&gt;""),CS99&lt;&gt;"",CY99&lt;&gt;"",CS99&lt;CY99),"VIGILAR CIFRAS PRESION ARTERIAL",IF(AND(OR(O99&lt;&gt;"",R99&lt;&gt;""),CS99&lt;&gt;"",CY99&lt;&gt;"",CS99=CY99),"APARENTEMENTE NORMAL",IF(AND(OR(O99&gt;0,R99&gt;0),CX99&gt;=80,CX99&lt;=120),"APARENTEMENTE NORMAL",IF(AND(OR(O99&gt;0,R99&gt;0),CY99&gt;=50,CY99&lt;=80),"APARENTEMENTE NORMAL","")))))))))))</f>
        <v>APARENTEMENTE NORMAL</v>
      </c>
      <c r="DA99" s="309">
        <v>90</v>
      </c>
      <c r="DB99" s="318">
        <v>60</v>
      </c>
      <c r="DC99" s="323" t="str">
        <f t="shared" si="264"/>
        <v>APARENTEMENTE NORMAL</v>
      </c>
      <c r="DD99" s="305">
        <v>44971</v>
      </c>
      <c r="DE99" s="305">
        <v>44971</v>
      </c>
      <c r="DF99" s="305">
        <v>45020</v>
      </c>
      <c r="DG99" s="305"/>
      <c r="DH99" s="305"/>
      <c r="DI99" s="305">
        <v>45141</v>
      </c>
      <c r="DJ99" s="305">
        <v>45168</v>
      </c>
      <c r="DK99" s="305"/>
      <c r="DL99" s="305"/>
      <c r="DM99" s="305"/>
      <c r="DN99" s="305"/>
      <c r="DO99" s="305"/>
      <c r="DP99" s="305"/>
      <c r="DQ99" s="305"/>
      <c r="DR99" s="320"/>
      <c r="DS99" s="305"/>
      <c r="DT99" s="305"/>
      <c r="DU99" s="318" t="str">
        <f t="shared" ca="1" si="439"/>
        <v>CONCERTAR PLAN DE PARTO INMEDIATO</v>
      </c>
      <c r="DV99" s="324" t="str">
        <f t="shared" si="440"/>
        <v>ACTIVA INGRESO A CPN</v>
      </c>
      <c r="DW99" s="32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99" s="318" t="e">
        <f t="shared" ca="1" si="266"/>
        <v>#REF!</v>
      </c>
      <c r="DY99" s="322">
        <f>IF(R99="","",IF(R99&gt;0,MAX(Tabla1[[#This Row],[FECHA C2]:[FECHA C13]],Tabla1[[#This Row],[FECHA CONSULTA PRIMERA VEZ PROGRAMA CPN ]])))</f>
        <v>45168</v>
      </c>
      <c r="DZ99" s="318">
        <f t="shared" si="267"/>
        <v>35</v>
      </c>
      <c r="EA99" s="315">
        <f>IF(R99&gt;0,SUM(COUNTA(DF99:DQ99)+COUNTA(Tabla1[[#This Row],[FECHA CONSULTA PRIMERA VEZ PROGRAMA CPN ]])),"")</f>
        <v>4</v>
      </c>
      <c r="EB99" s="315" t="str">
        <f t="shared" si="268"/>
        <v>SI</v>
      </c>
      <c r="EC99" s="307">
        <f t="shared" si="269"/>
        <v>10</v>
      </c>
      <c r="ED99" s="325">
        <f t="shared" si="270"/>
        <v>0.4</v>
      </c>
      <c r="EE99" s="305">
        <v>44971</v>
      </c>
      <c r="EF99" s="22">
        <v>44971</v>
      </c>
      <c r="EG99" s="22">
        <v>44971</v>
      </c>
      <c r="EH99" s="22"/>
      <c r="EI99" s="22">
        <v>44971</v>
      </c>
      <c r="EJ99" s="22"/>
      <c r="EK99" s="22"/>
      <c r="EL99" s="309"/>
      <c r="EM99" s="309">
        <v>14</v>
      </c>
      <c r="EN99" s="305">
        <v>45003</v>
      </c>
      <c r="EO99" s="315">
        <f t="shared" si="271"/>
        <v>11.742857142856726</v>
      </c>
      <c r="EP99" s="307" t="str">
        <f t="shared" si="272"/>
        <v>NORMAL- SUMINISTRAR SULFATO FERROSO</v>
      </c>
      <c r="EQ99" s="318" t="str">
        <f t="shared" si="273"/>
        <v>I TRIM</v>
      </c>
      <c r="ER99" s="310"/>
      <c r="ES99" s="305"/>
      <c r="ET99" s="326" t="str">
        <f t="shared" ca="1" si="441"/>
        <v>TOMA DE HEMOGLOBINA TARDÍA</v>
      </c>
      <c r="EU99" s="319" t="str">
        <f t="shared" si="275"/>
        <v/>
      </c>
      <c r="EV99" s="310" t="s">
        <v>1510</v>
      </c>
      <c r="EW99" s="305">
        <v>45003</v>
      </c>
      <c r="EX99" s="305"/>
      <c r="EY99" s="326">
        <f t="shared" si="454"/>
        <v>11.742857142856726</v>
      </c>
      <c r="EZ99" s="319" t="str">
        <f t="shared" si="455"/>
        <v>SIN RIESGO DE ISOINMUNIZACIÓN</v>
      </c>
      <c r="FA99" s="309">
        <v>72</v>
      </c>
      <c r="FB99" s="305">
        <v>45003</v>
      </c>
      <c r="FC99" s="326">
        <f t="shared" si="276"/>
        <v>11.742857142856726</v>
      </c>
      <c r="FD99" s="326"/>
      <c r="FE99" s="326"/>
      <c r="FF99" s="326"/>
      <c r="FG99" s="309" t="str">
        <f t="shared" ca="1" si="277"/>
        <v/>
      </c>
      <c r="FH99" s="327"/>
      <c r="FI99" s="326" t="str">
        <f t="shared" si="278"/>
        <v>TOMAR EXAMEN</v>
      </c>
      <c r="FJ99" s="305" t="s">
        <v>867</v>
      </c>
      <c r="FK99" s="305">
        <v>45003</v>
      </c>
      <c r="FL99" s="326">
        <f t="shared" ca="1" si="279"/>
        <v>11.742857142856726</v>
      </c>
      <c r="FM99" s="305"/>
      <c r="FN99" s="328"/>
      <c r="FO99" s="326" t="str">
        <f t="shared" ca="1" si="442"/>
        <v>PIERDE TOMA DE TAMIZAJE</v>
      </c>
      <c r="FP99" s="305"/>
      <c r="FQ99" s="328"/>
      <c r="FR99" s="326" t="str">
        <f t="shared" ca="1" si="443"/>
        <v>TOMA INMEDIATA DE TAMIZAJE</v>
      </c>
      <c r="FS99" s="305"/>
      <c r="FT99" s="328"/>
      <c r="FU99" s="326" t="str">
        <f>IF(AND(FJ99="",FM99="",FP99="",FS99=""),"",IF(OR(OR(Tabla1[[#This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99" s="320"/>
      <c r="FW99" s="305"/>
      <c r="FX99" s="326" t="str">
        <f t="shared" si="280"/>
        <v>TOMAR EXAMEN</v>
      </c>
      <c r="FY99" s="305" t="s">
        <v>868</v>
      </c>
      <c r="FZ99" s="305">
        <v>45003</v>
      </c>
      <c r="GA99" s="326">
        <f t="shared" ca="1" si="453"/>
        <v>11.742857142856726</v>
      </c>
      <c r="GB99" s="305"/>
      <c r="GC99" s="305"/>
      <c r="GD99" s="326" t="str">
        <f t="shared" ca="1" si="444"/>
        <v>PIERDE TOMA DE TAMIZAJE</v>
      </c>
      <c r="GE99" s="305"/>
      <c r="GF99" s="305"/>
      <c r="GG99" s="326" t="str">
        <f t="shared" ca="1" si="445"/>
        <v>TOMA INMEDIATA DE TAMIZAJE</v>
      </c>
      <c r="GH99" s="305"/>
      <c r="GI99" s="326"/>
      <c r="GJ99" s="305"/>
      <c r="GK99" s="305"/>
      <c r="GL99" s="305"/>
      <c r="GM99" s="305"/>
      <c r="GN99" s="320" t="s">
        <v>869</v>
      </c>
      <c r="GO99" s="305">
        <v>45003</v>
      </c>
      <c r="GP99" s="326">
        <f t="shared" si="283"/>
        <v>11.742857142856726</v>
      </c>
      <c r="GQ99" s="320" t="s">
        <v>846</v>
      </c>
      <c r="GR99" s="305"/>
      <c r="GS99" s="305" t="str">
        <f t="shared" ref="GS99:GS130" si="458">IF(GQ99="NEGATIVO","CONTROL Igm",IF(AND(GQ99="POSITIVO",GR99="NEGATIVO"),"SE EXCLUYE INFECCION",IF(AND(GQ99="POSITIVO",GR99="POSITIVO"),"TOXOPLASMOSIS, REMITIR PARA MANEJO","")))</f>
        <v/>
      </c>
      <c r="GT99" s="305"/>
      <c r="GU99" s="326" t="str">
        <f t="shared" si="285"/>
        <v>TOMAR EXAMEN</v>
      </c>
      <c r="GV99" s="309" t="str">
        <f t="shared" si="286"/>
        <v>POR DEFINIR</v>
      </c>
      <c r="GW99" s="320"/>
      <c r="GX99" s="329"/>
      <c r="GY99" s="309"/>
      <c r="GZ99" s="309"/>
      <c r="HA99" s="309"/>
      <c r="HB99" s="309"/>
      <c r="HC99" s="309"/>
      <c r="HD99" s="309"/>
      <c r="HE99" s="309"/>
      <c r="HF99" s="305"/>
      <c r="HG99" s="305" t="str">
        <f>IF(OR(O99&gt;0,R99&gt;0),CONCATENATE(IF(Tabla1[[#This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99" s="305" t="e">
        <f t="shared" si="287"/>
        <v>#REF!</v>
      </c>
      <c r="HI99" s="305" t="e">
        <f t="shared" ca="1" si="288"/>
        <v>#REF!</v>
      </c>
      <c r="HJ99" s="309" t="str">
        <f t="shared" ca="1" si="289"/>
        <v>**********************MULTIPARIDAD*****************</v>
      </c>
      <c r="HK99" s="309" t="str">
        <f t="shared" si="290"/>
        <v>SIN ANTECEDENTES DE RIESGO</v>
      </c>
      <c r="HL99" s="310" t="str">
        <f t="shared" si="291"/>
        <v>APARENTEMENTE NORMAL</v>
      </c>
      <c r="HM99" s="309" t="e">
        <f t="shared" ca="1" si="292"/>
        <v>#REF!</v>
      </c>
      <c r="HN99" s="329" t="str">
        <f t="shared" si="446"/>
        <v>ACTIVA INGRESO A CPN</v>
      </c>
      <c r="HO99" s="309"/>
      <c r="HP99" s="309"/>
      <c r="HQ99" s="350">
        <v>44971</v>
      </c>
      <c r="HR99" s="309" t="str">
        <f>IF(R99="","",IF(Tabla1[[#This Row],[ALARMA FACTORES DE RIESGO COMPLICACIONES HIPERTENSIVAS3]]="SIN ANTECEDENTES DE RIESGO","No Aplica para suministro de ASA",IF(AND(Tabla1[[#This Row],[FECHA INICIO DE SUMINISTRO DE ASA]]&gt;0,RV99&lt;12),"Inicia ASA ANTES de Sem 12",IF(AND(RV99&gt;11,RV99&lt;17,OR(HK99="RIESGO ALTO DE COMPLICACIONES HIPERTENSIVAS VER MANEJO GUIA SUMINISTRO ASA Y CALCIO",HK99="RIESGO MODERADO (2 O MAS CRITERIOS) VER MANEJO GUIA SUMINISTRO ASA Y CALCIO")),"Inicio oportuno de ASA",IF(AND(RV99&gt;12,OR(HK99="RIESGO ALTO DE COMPLICACIONES HIPERTENSIVAS VER MANEJO GUIA SUMINISTRO ASA Y CALCIO",HK99="RIESGO MODERADO (2 O MAS CRITERIOS) VER MANEJO GUIA SUMINISTRO ASA Y CALCIO")),"Inicio no oportuno mayor a 16 semanas",IF(AND(BU99&lt;12,OR(HK99="RIESGO ALTO DE COMPLICACIONES HIPERTENSIVAS VER MANEJO GUIA SUMINISTRO ASA Y CALCIO",HK99="RIESGO MODERADO (2 O MAS CRITERIOS) VER MANEJO GUIA SUMINISTRO ASA Y CALCIO")),"Pendiente Inicio de ASA a la semana 12",IF(AND(BU99&gt;11,BU99&lt;17,OR(HK99="RIESGO ALTO DE COMPLICACIONES HIPERTENSIVAS VER MANEJO GUIA SUMINISTRO ASA Y CALCIO",HK99="RIESGO MODERADO (2 O MAS CRITERIOS) VER MANEJO GUIA SUMINISTRO ASA Y CALCIO")),"Iniciar de inmediato ASA",IF(AND(BU99&gt;16,OR(HK99="RIESGO ALTO DE COMPLICACIONES HIPERTENSIVAS VER MANEJO GUIA SUMINISTRO ASA Y CALCIO",HK99="RIESGO MODERADO (2 O MAS CRITERIOS) VER MANEJO GUIA SUMINISTRO ASA Y CALCIO")),"Pierde Oportunidad, Inicio tardío de ASA","XXXXX"))))))))</f>
        <v>No Aplica para suministro de ASA</v>
      </c>
      <c r="HS99" s="305">
        <v>44971</v>
      </c>
      <c r="HT99" s="305" t="s">
        <v>870</v>
      </c>
      <c r="HU99" s="305"/>
      <c r="HV99" s="305"/>
      <c r="HW99" s="305">
        <v>44971</v>
      </c>
      <c r="HX99" s="305" t="s">
        <v>870</v>
      </c>
      <c r="HY99" s="305">
        <v>44971</v>
      </c>
      <c r="HZ99" s="320">
        <f t="shared" si="293"/>
        <v>7.171428571428156</v>
      </c>
      <c r="IA99" s="308"/>
      <c r="IB99" s="308"/>
      <c r="IC99" s="330"/>
      <c r="ID99" s="305"/>
      <c r="IE99" s="305" t="str">
        <f t="shared" ca="1" si="294"/>
        <v/>
      </c>
      <c r="IF99" s="305"/>
      <c r="IG99" s="305">
        <f t="shared" si="295"/>
        <v>45200.800000000003</v>
      </c>
      <c r="IH99" s="326">
        <f t="shared" ca="1" si="296"/>
        <v>-31.19999999999709</v>
      </c>
      <c r="II99" s="305" t="str">
        <f t="shared" ca="1" si="297"/>
        <v>POSIBLEMENTE NACIO</v>
      </c>
      <c r="IJ99" s="305"/>
      <c r="IK99" s="309"/>
      <c r="IL99" s="309"/>
      <c r="IM99" s="331"/>
      <c r="IN99" s="305"/>
      <c r="IO99" s="309"/>
      <c r="IP99" s="326" t="str">
        <f t="shared" si="436"/>
        <v/>
      </c>
      <c r="IQ99" s="303"/>
      <c r="IR99" s="309"/>
      <c r="IS99" s="309"/>
      <c r="IT99" s="309"/>
      <c r="IU99" s="309"/>
      <c r="IV99" s="309"/>
      <c r="IW99" s="309"/>
      <c r="IX99" s="309"/>
      <c r="IY99" s="309"/>
      <c r="IZ99" s="309"/>
      <c r="JA99" s="309"/>
      <c r="JB99" s="329"/>
      <c r="JC99" s="309"/>
      <c r="JD99" s="333"/>
      <c r="JE99" s="309" t="str">
        <f t="shared" si="447"/>
        <v/>
      </c>
      <c r="JF99" s="329"/>
      <c r="JG99" s="309"/>
      <c r="JH99" s="309"/>
      <c r="JI99" s="309"/>
      <c r="JJ99" s="329"/>
      <c r="JK99" s="305"/>
      <c r="JL99" s="305"/>
      <c r="JM99" s="309"/>
      <c r="JN99" s="333"/>
      <c r="JO99" s="309" t="str">
        <f t="shared" si="448"/>
        <v/>
      </c>
      <c r="JP99" s="305"/>
      <c r="JQ99" s="309"/>
      <c r="JR99" s="309"/>
      <c r="JS99" s="309"/>
      <c r="JT99" s="329"/>
      <c r="JU99" s="305"/>
      <c r="JV99" s="305"/>
      <c r="JW99" s="334"/>
      <c r="JX99" s="320" t="str">
        <f t="shared" si="449"/>
        <v/>
      </c>
      <c r="JY99" s="334"/>
      <c r="JZ99" s="320" t="str">
        <f t="shared" si="450"/>
        <v/>
      </c>
      <c r="KA99" s="309"/>
      <c r="KB99" s="309"/>
      <c r="KC99" s="309"/>
      <c r="KD99" s="335"/>
      <c r="KE99" s="320"/>
      <c r="KF99" s="320"/>
      <c r="KG99" s="320"/>
      <c r="KH99" s="336"/>
      <c r="KI99" s="336"/>
      <c r="KJ99" s="337"/>
      <c r="KK99" s="336"/>
      <c r="KL99" s="336"/>
      <c r="KM99" s="337"/>
      <c r="KN99" s="336"/>
      <c r="KO99" s="336"/>
      <c r="KP99" s="336"/>
      <c r="KQ99" s="336"/>
      <c r="KR99" s="336"/>
      <c r="KS99" s="336"/>
      <c r="KT99" s="336"/>
      <c r="KU99" s="312"/>
      <c r="KV99" s="312"/>
      <c r="KW99" s="312"/>
      <c r="KX99" s="312"/>
      <c r="KY99" s="312"/>
      <c r="KZ99" s="312"/>
      <c r="LA99" s="312"/>
      <c r="LB99" s="312"/>
      <c r="LC99" s="312"/>
      <c r="LD99" s="312"/>
      <c r="LE99" s="312"/>
      <c r="LF99" s="312"/>
      <c r="LG99" s="312"/>
      <c r="LH99" s="312"/>
      <c r="LI99" s="312"/>
      <c r="LJ99" s="312"/>
      <c r="LK99" s="312"/>
      <c r="LL99" s="312"/>
      <c r="LM99" s="312"/>
      <c r="LN99" s="312"/>
      <c r="LO99" s="312"/>
      <c r="LP99" s="312"/>
      <c r="LQ99" s="312"/>
      <c r="LR99" s="312"/>
      <c r="LS99" s="312"/>
      <c r="LT99" s="312"/>
      <c r="LU99" s="312"/>
      <c r="LV99" s="312"/>
      <c r="LW99" s="312"/>
      <c r="LX99" s="312"/>
      <c r="LY99" s="312"/>
      <c r="LZ99" s="312"/>
      <c r="MA99" s="312"/>
      <c r="MB99" s="312"/>
      <c r="MC99" s="312"/>
      <c r="MD99" s="312"/>
      <c r="ME99" s="312"/>
      <c r="MF99" s="312"/>
      <c r="MG99" s="312"/>
      <c r="MH99" s="43">
        <f t="shared" ref="MH99:MH130" si="459">SUM(COUNTIF(KU99,"PARTERO (A)"),COUNTIF(KY99,"PARTERO (A)"),COUNTIF(LC99,"PARTERO (A)"),COUNTIF(LG99,"PARTERO (A)"),COUNTIF(LK99,"PARTERO (A)"),COUNTIF(LO99,"PARTERO (A)"),COUNTIF(ME99,"PARTERO (A)"))</f>
        <v>0</v>
      </c>
      <c r="MI99" s="43" t="str">
        <f t="shared" ref="MI99:MI130" si="460">IF(AND(R99="",O99=""),"",IF(AND(OR(O99&gt;0,R99&gt;0),KT99&gt;0),SUM(KT99-RW99)/7,""))</f>
        <v/>
      </c>
      <c r="MJ99" s="43" t="str">
        <f t="shared" ref="MJ99:MJ130" si="461">IF(AND(MI99="",BT99=""),"",IF(AND(MI99&lt;&gt;"",BT99="SIN DATO"),"SIN DATO",IF(AND(MI99="",BT99&lt;&gt;""),"",IF(AND(MI99&lt;0,BT99&gt;0),"ERROR FUM O INGRESO",IF(MI99&lt;=13,"I TRIM",IF(MI99&lt;28,"II TRIM",IF(AND(MI99&gt;27,MI99&lt;45),"III TRIM","POR DEFINIR")))))))</f>
        <v/>
      </c>
      <c r="MK99" s="43">
        <f t="shared" ref="MK99:MK130" si="462">SUM(COUNTIF(KU99,"MEDICO (A) TRADICIONAL"),COUNTIF(KY99,"MEDICO (A) TRADICIONAL"),COUNTIF(LC99,"MEDICO (A) TRADICIONAL"),COUNTIF(LG99,"MEDICO (A) TRADICIONAL"),COUNTIF(LK99,"MEDICO (A) TRADICIONAL"),COUNTIF(LO99,"MEDICO (A) TRADICIONAL"),COUNTIF(ME99,"MEDICO (A) TRADICIONAL"))</f>
        <v>0</v>
      </c>
      <c r="ML9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99" s="43">
        <f t="shared" ref="MM99:MM130" si="463">IF(AND(O99&gt;0,RW99&gt;0),SUM(O99-RW99)/7,"")</f>
        <v>7.171428571428156</v>
      </c>
      <c r="MN99" s="43">
        <f t="shared" ref="MN99:MN130" si="464">IF(R99&gt;0,MONTH(R99),"")</f>
        <v>2</v>
      </c>
      <c r="MO99" s="43">
        <f t="shared" ref="MO99:MO130" si="465">IF(R99&gt;0,YEAR(R99),"")</f>
        <v>2023</v>
      </c>
      <c r="MP99" s="43" t="str">
        <f t="shared" ref="MP99:MP130" si="466">IF(AND(MN99&gt;=1,MN99&lt;=3),"I TRIMESTRE AÑO",IF(AND(MN99&gt;=4,MN99&lt;=6),"II TRIMESTRE AÑO",IF(AND(MN99&gt;=7,MN99&lt;=9),"III TRIMESTRE AÑO",IF(AND(MN99&gt;=10,MN99&lt;=12),"IV TRIMESTRE AÑO",""))))</f>
        <v>I TRIMESTRE AÑO</v>
      </c>
      <c r="MQ99" s="43">
        <f t="shared" ref="MQ99:MQ130" si="467">IF(AND(M99&gt;0,R99&gt;0),DAYS360(M99,R99)/30.44/12,IF(AND(M99&gt;0,O99&gt;0,R99=""),DAYS360(M99,O99)/30.44/12,""))</f>
        <v>18.284603591765222</v>
      </c>
      <c r="MR99" s="43">
        <f t="shared" ref="MR99:MR130" si="468">IF(AND(MQ99&gt;7,MQ99&lt;14),2,IF(MQ99&lt;16,1,IF(MQ99&lt;=35,0,IF(AND(MQ99&gt;35,MQ99&lt;50),2,""))))</f>
        <v>0</v>
      </c>
      <c r="MS99" s="43" t="str">
        <f t="shared" ref="MS99:MS130" si="469">+IF(MQ99="","",IF(MQ99&lt;14,"MENOR 14 AÑOS",IF(MQ99&lt;20,"DE 14 A 19AÑOS",IF(MQ99&lt;25," DE 20 A 24 AÑOS",IF(MQ99&lt;30," DE 25 A 29 AÑOS",IF(MQ99&lt;35," DE 30 A 34 AÑOS",IF(MQ99&lt;40," DE 35 A 39 AÑOS"," DE 40 Y MAS")))))))</f>
        <v>DE 14 A 19AÑOS</v>
      </c>
      <c r="MT99" s="43">
        <f t="shared" ref="MT99:MT130" si="470">IF(OR(AX99="SI",BA99="SI"),1,IF(AND(AX99="NO",BA99="NO"),0,""))</f>
        <v>0</v>
      </c>
      <c r="MU99" s="43">
        <f t="shared" ref="MU99:MU130" si="471">IF(AT99="","",IF(AT99=0,1,IF(AND(AT99&gt;=1,AT99&lt;=4),0,IF(AT99&gt;=5,2,"X"))))</f>
        <v>1</v>
      </c>
      <c r="MV99" s="43">
        <f t="shared" ref="MV99:MV130" si="472">IF(AW99="","",IF(AW99=0,0,IF(AW99=1,1,IF(OR(AW99=2,AW99="3 o MAS"),2,"X"))))</f>
        <v>0</v>
      </c>
      <c r="MW99" s="43">
        <f t="shared" ref="MW99:MW130" si="473">IF(AY99="SI",1,IF(AY99="NO",0,""))</f>
        <v>0</v>
      </c>
      <c r="MX99" s="43" t="str">
        <f t="shared" ref="MX99:MX130" si="474">IF(OR(AND(EM99&gt;0,EM99&lt;11),AND(ER99&gt;0,ER99&lt;10.5)),1,"")</f>
        <v/>
      </c>
      <c r="MY99" s="43" t="str">
        <f t="shared" ca="1" si="451"/>
        <v/>
      </c>
      <c r="MZ99" s="43" t="str">
        <f t="shared" ref="MZ99:MZ130" si="475">IF(AND(GJ99="",GL99="",BB99=""),"",IF(OR(OR(GJ99="P.R REACTIVA",GJ99="ELISA REACTIVA"),OR(BB99="SI",GL99="POSITIVA",GL99="NO CONCLUYENTE")),3,""))</f>
        <v/>
      </c>
      <c r="NA99" s="43" t="str">
        <f t="shared" ref="NA99:NA130" si="476">IF(CD99="","",IF(OR(CD99="CEFÁLICA",CD99="SD"),0,IF(OR(CD99="PODÁLICA",CD99="TRANSVERSA O DE FRENTE",CD99="OBLICUA"),3,"")))</f>
        <v/>
      </c>
      <c r="NB99" s="43" t="str">
        <f t="shared" ref="NB99:NB130" si="477">IF(GZ99="","",IF(GZ99="POSITIVO",2,"0"))</f>
        <v/>
      </c>
      <c r="NC99" s="43" t="str">
        <f t="shared" ref="NC99:NC130" si="478">IF(AND(HB99="",HD99=""),"",IF(OR(HB99="POSITIVO",HD99="POSITIVO"),3,0))</f>
        <v/>
      </c>
      <c r="ND99" s="43">
        <f t="shared" ref="ND99:ND130" ca="1" si="479">IF(AND(O99="",R99=""),"",IF(OR(O99&lt;&gt;"",R99&lt;&gt;""),SUM(COUNTIF(AL99:AR99,"SI"),COUNTIF(AV99,"SI"),COUNTIF(BC99,"SI, CONTROLADA"),COUNTIF(BI99,"SI"),COUNTIF(BM99,"SI"),SUM(COUNTIF(BC99,"SI, SIN MANEJO")*3),SUM(COUNTIF(BC99,"SI, NO CONTROLADA")*3),SUM(COUNTIF(BD99:BG99,"SI")*3),SUM(COUNTIF(CB99:CC99,"SI")*3),SUM(COUNTIF(AD99,"Consumo Actual")*3),SUM(COUNTIF(AD99,"Hasta Antes de la Gestación")*2),SUM(COUNTIF(BK99,"SI")*3),SUM(COUNTIF(BL99,"SI")*2),SUM(COUNTIF(CE99,"SI")*2),SUM(COUNTIF(BH99,"SI")*2),SUM(COUNTIF(FG99,"DIABETES, REMITIR")*2),SUM(MT99:NC99),SUM(MR99),SUM(NG99),SUM(COUNTIF(EZ99,"COOMBS C/MES Y RESUMAN SEM 28")*2),SUM(COUNTIF(EZ99,"TOMAR COOMBS CUANTITATIVO Y REMISIÓN")*3),SUM(COUNTIF(FU99,"SIFILIS GESTACIONAL")*3)),""))</f>
        <v>1</v>
      </c>
      <c r="NE99" s="43">
        <f>IF(OR(O99&gt;0,R99&gt;0),SUM(COUNTIF(Tabla1[[#This Row],[AÑOS AL INICIO5 CPN]],"&gt;=40"),COUNTIF(AS99,"0"),COUNTIF(AR99,"SI"),COUNTIF(CC99,"SI"),COUNTIF(BQ99,"&gt;119"),COUNTIF(CI99,"&gt;=35")),"")</f>
        <v>1</v>
      </c>
      <c r="NF99" s="43" t="str">
        <f t="shared" ref="NF99:NF130" si="480">IF(AND(R99="",O99=""),"",IF(AND(OR(O99&gt;0,R99&gt;0),RW99=""),"SD",IF(AND(OR(O99&gt;0,R99&gt;0),ID99&gt;0),SUM(ID99-RW99)/7,"")))</f>
        <v/>
      </c>
      <c r="NG99" s="43">
        <f t="shared" ref="NG99:NG130" si="481">IF(AND(AD99="",AE99="",AF99="",AG99="",AH99="",AI99="",AJ99=""),"",SUM(COUNTIF(AD99,"Hasta Antes de la Gestación")/2,SUM(COUNTIF(AE99,"NO")/2),COUNTIF(AF99,"NO"),SUM(COUNTIF(AG99,"SI")/2),COUNTIF(AH99,"SI"),SUM(COUNTIF(AJ99,"SI")*2),COUNTIF(AD99,"Consumo Actual"),COUNTIF(AI99,"HABITANTE DE CALLE"),COUNTIF(AI99,"DESPLAZADA"),COUNTIF(AI99,"MIGRATORIA"),COUNTIF(AI99,"DISCAPACIDAD FISICA"),COUNTIF(AI99,"DISCAPACIDAD CONDUCTUAL"),COUNTIF(AI99,"DISCAPACIDAD VISUAL"),COUNTIF(AI99,"DISCAPACIDAD AUDITIVA"),COUNTIF(AI99,"DISCAPACIDAD MULTIPLE"),COUNTIF(AI99,"DISCAPACIDAD SISTEMICA")))</f>
        <v>0</v>
      </c>
      <c r="NH99" s="43">
        <f t="shared" ref="NH99:NH130" si="482">IF(BX99&gt;0,BX99*7,"")</f>
        <v>95.2</v>
      </c>
      <c r="NI99"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CPN",P99="NO"),"Z",IF(AND(Tabla1[[#This Row],[CITA PROXIMO CONTROL]]="CITA MANUAL",Tabla1[[#This Row],[GESTANTES ACTUALES]]="ACTIVA INGRESO A CPN"),"W",IF(AND(Tabla1[[#This Row],[GESTANTES ACTUALES]]="SALIO PROGRAMA",IN99=""),"S",IF(AND(Tabla1[[#This Row],[CITA PROXIMO CONTROL]]&gt;0,IN99=""),(Tabla1[[#This Row],[CITA PROXIMO CONTROL]]-TODAY()),"SD"))))))))</f>
        <v>#REF!</v>
      </c>
      <c r="NJ99" s="43">
        <f>MONTH(Tabla1[[#This Row],[FECHA DE SALIDA  DEL PROGRAMA]])</f>
        <v>1</v>
      </c>
      <c r="NK99" s="43">
        <f>YEAR(Tabla1[[#This Row],[FECHA DE SALIDA  DEL PROGRAMA]])</f>
        <v>1900</v>
      </c>
      <c r="NL99" s="43" t="str">
        <f t="shared" ref="NL99:NL130" si="483">IF(AND(O99&gt;0,R99=""),"NO CPN",IF(AND(O99="",R99=""),"",IF(AND(R99&gt;0,EJ99&gt;0,EI99&gt;0),_xlfn.DAYS(EJ99,EI99),IF(AND(R99&gt;0,EJ99&gt;0,EI99=""),"NO CITA","X"))))</f>
        <v>X</v>
      </c>
      <c r="NM99" s="43" t="str">
        <f t="shared" si="456"/>
        <v>NO</v>
      </c>
      <c r="NN99" s="43" t="str">
        <f ca="1">IF(AND(O99&gt;0,R99=""),"NO CPN",IF(AND(O99="",R99=""),"",IF(AND(R99&gt;0,Tabla1[[#This Row],[SEMANAS DE GESTACION ACTUALIZADAS]]&lt;=12),"NO APLICA",IF(AND(FH99&lt;&gt;"",FN99&lt;&gt;""),"SI","NO"))))</f>
        <v>NO</v>
      </c>
      <c r="NO99" s="43" t="str">
        <f ca="1">IF(AND(O99&gt;0,R99=""),"NO CPN",IF(AND(O99="",R99=""),"",IF(AND(R99&gt;0,Tabla1[[#This Row],[SEMANAS DE GESTACION ACTUALIZADAS]]&lt;=27),"NO APLICA",IF(AND(ES99&lt;&gt;"",FQ99&lt;&gt;"",GF99&lt;&gt;""),"SI","NO"))))</f>
        <v>NO</v>
      </c>
      <c r="NP99" s="204" t="str">
        <f t="shared" ref="NP99:NP130" si="484">IF(AND(BS99="",IG99=""),"",IF(AND(BS99="",IG99="DEFINIR FPP POR ECO"),"SIN DATO",IF(BS99&lt;0,"ERROR FUM O INGRESO",IF(BP99="NO","DEFINIR CON ECO",IF(BS99&lt;12,"I TRIM",IF(BS99&lt;27,"II TRIM",IF(AND(BS99&gt;26,BS99&lt;45),"III TRIM","ERROR FUM O INGRESO")))))))</f>
        <v>I TRIM</v>
      </c>
      <c r="NQ99" s="21" t="str">
        <f t="shared" si="437"/>
        <v/>
      </c>
      <c r="NR99" s="21" t="str">
        <f t="shared" ca="1" si="452"/>
        <v>REVISAR FUM O FECHA SALIDA PROGRAMA</v>
      </c>
      <c r="NS99" s="205">
        <f t="shared" ref="NS99:NS130" ca="1" si="485">COUNT(FL99,FO99,FR99,FT99)</f>
        <v>1</v>
      </c>
      <c r="NT99" s="21">
        <f t="shared" ref="NT99:NT130" ca="1" si="486">COUNT(GA99,GD99,GG99,GI99)</f>
        <v>1</v>
      </c>
      <c r="NU99" s="21" t="str">
        <f t="shared" ref="NU99:NU130" ca="1" si="487">IF(NR99="","",IF(NR99="REVISAR FUM O FECHA SALIDA PROGRAMA","POR DEFINIR",IF(OR(NR99=NS99,NS99&gt;NR99),"COMPLETO",IF(NS99&lt;NR99,"INCOMPLETO",""))))</f>
        <v>POR DEFINIR</v>
      </c>
      <c r="NV99" s="21" t="str">
        <f t="shared" ref="NV99:NV130" ca="1" si="488">IF(NR99="","",IF(NR99="REVISAR FUM O FECHA SALIDA PROGRAMA","POR DEFINIR",IF(OR(NR99=NT99,NT99&gt;NR99),"COMPLETO",IF(NT99&lt;NR99,"INCOMPLETO",""))))</f>
        <v>POR DEFINIR</v>
      </c>
      <c r="NW99" s="206" t="str">
        <f>IF(AND(O99="",R99=""),"",IF(OR(AND(Tabla1[[#This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99" s="207" t="str">
        <f t="shared" ref="NX99:NX130" ca="1" si="489">IF(AND(O99="",R99=""),"",IF(OR(IE99="VACUNA APLICADA ENTRE SEMANA 20 Y SEMANA 26",IE99="VACUNA APLICADA ENTRE SEMANA 27 Y EL PARTO",IE99="VACUNA APLICADA ANTES SEMANA 20"),"VACUNADA","SIN VACUNAR"))</f>
        <v>SIN VACUNAR</v>
      </c>
      <c r="NY99" s="43">
        <f>ROW(Tabla1[[#This Row],['# DE TAMIZAJES SIFILIS TOMADOS ]])</f>
        <v>99</v>
      </c>
      <c r="NZ99" s="43" t="str">
        <f t="shared" si="334"/>
        <v>Menor</v>
      </c>
      <c r="OA99" s="43" t="str">
        <f t="shared" si="335"/>
        <v/>
      </c>
      <c r="OB99" s="43" t="str">
        <f t="shared" si="336"/>
        <v/>
      </c>
      <c r="OC99" s="43" t="str">
        <f t="shared" si="337"/>
        <v/>
      </c>
      <c r="OD99" s="43" t="str">
        <f t="shared" si="338"/>
        <v/>
      </c>
      <c r="OE99" s="43" t="str">
        <f t="shared" si="339"/>
        <v/>
      </c>
      <c r="OF99" s="43" t="str">
        <f t="shared" si="340"/>
        <v/>
      </c>
      <c r="OG99" s="43" t="str">
        <f t="shared" si="341"/>
        <v/>
      </c>
      <c r="OH99" s="43" t="str">
        <f t="shared" si="342"/>
        <v/>
      </c>
      <c r="OI99" s="43" t="str">
        <f t="shared" si="343"/>
        <v/>
      </c>
      <c r="OJ99" s="43" t="str">
        <f t="shared" si="344"/>
        <v/>
      </c>
      <c r="OK99" s="43" t="str">
        <f t="shared" si="345"/>
        <v/>
      </c>
      <c r="OL99" s="43" t="str">
        <f t="shared" si="346"/>
        <v/>
      </c>
      <c r="OM99" s="43" t="str">
        <f t="shared" si="347"/>
        <v/>
      </c>
      <c r="ON99" s="43" t="str">
        <f t="shared" si="348"/>
        <v/>
      </c>
      <c r="OO99" s="43" t="str">
        <f t="shared" si="349"/>
        <v/>
      </c>
      <c r="OP99" s="43" t="str">
        <f t="shared" si="350"/>
        <v/>
      </c>
      <c r="OQ99" s="43" t="str">
        <f t="shared" si="351"/>
        <v/>
      </c>
      <c r="OR99" s="43" t="str">
        <f t="shared" si="352"/>
        <v/>
      </c>
      <c r="OS99" s="43" t="str">
        <f t="shared" si="353"/>
        <v/>
      </c>
      <c r="OT99" s="43" t="str">
        <f t="shared" si="354"/>
        <v/>
      </c>
      <c r="OU99" s="43" t="str">
        <f t="shared" si="355"/>
        <v/>
      </c>
      <c r="OV99" s="110" t="str">
        <f t="shared" si="356"/>
        <v/>
      </c>
      <c r="OW99" s="43" t="str">
        <f t="shared" si="357"/>
        <v/>
      </c>
      <c r="OX99" s="43" t="str">
        <f t="shared" si="358"/>
        <v/>
      </c>
      <c r="OY99" s="43" t="str">
        <f t="shared" si="359"/>
        <v/>
      </c>
      <c r="OZ99" s="43" t="str">
        <f t="shared" si="360"/>
        <v/>
      </c>
      <c r="PA99" s="43" t="str">
        <f t="shared" si="361"/>
        <v/>
      </c>
      <c r="PB99" s="43" t="str">
        <f t="shared" si="362"/>
        <v/>
      </c>
      <c r="PC99" s="43" t="str">
        <f t="shared" si="363"/>
        <v/>
      </c>
      <c r="PD99" s="43" t="str">
        <f t="shared" si="364"/>
        <v/>
      </c>
      <c r="PE99" s="43" t="str">
        <f t="shared" si="365"/>
        <v/>
      </c>
      <c r="PF99" s="43" t="str">
        <f t="shared" si="366"/>
        <v/>
      </c>
      <c r="PG99" s="43" t="str">
        <f t="shared" si="367"/>
        <v/>
      </c>
      <c r="PH99" s="43" t="str">
        <f t="shared" si="368"/>
        <v/>
      </c>
      <c r="PI99" s="43">
        <f t="shared" si="369"/>
        <v>35</v>
      </c>
      <c r="PJ99" s="43" t="str">
        <f t="shared" si="370"/>
        <v/>
      </c>
      <c r="PK99" s="43" t="str">
        <f t="shared" si="371"/>
        <v/>
      </c>
      <c r="PL99" s="43" t="str">
        <f t="shared" si="372"/>
        <v/>
      </c>
      <c r="PM99" s="43" t="str">
        <f t="shared" si="373"/>
        <v/>
      </c>
      <c r="PN99" s="43" t="str">
        <f t="shared" si="374"/>
        <v/>
      </c>
      <c r="PO99" s="43" t="str">
        <f t="shared" si="375"/>
        <v/>
      </c>
      <c r="PP99" s="43" t="str">
        <f t="shared" si="376"/>
        <v/>
      </c>
      <c r="PQ99" s="43" t="str">
        <f t="shared" si="377"/>
        <v/>
      </c>
      <c r="PR99" s="43" t="str">
        <f t="shared" si="378"/>
        <v/>
      </c>
      <c r="PS99" s="43" t="str">
        <f t="shared" si="379"/>
        <v/>
      </c>
      <c r="PT99" s="43" t="str">
        <f t="shared" si="380"/>
        <v/>
      </c>
      <c r="PU99" s="43" t="str">
        <f t="shared" si="381"/>
        <v/>
      </c>
      <c r="PV99" s="43" t="str">
        <f t="shared" si="382"/>
        <v/>
      </c>
      <c r="PW99" s="43" t="str">
        <f t="shared" si="383"/>
        <v/>
      </c>
      <c r="PX99" s="43" t="str">
        <f t="shared" si="384"/>
        <v/>
      </c>
      <c r="PY99" s="43" t="str">
        <f t="shared" si="385"/>
        <v/>
      </c>
      <c r="PZ99" s="43" t="str">
        <f t="shared" si="386"/>
        <v/>
      </c>
      <c r="QA99" s="43" t="str">
        <f t="shared" si="387"/>
        <v/>
      </c>
      <c r="QB99" s="43" t="str">
        <f t="shared" si="388"/>
        <v/>
      </c>
      <c r="QC99" s="43" t="str">
        <f t="shared" si="389"/>
        <v/>
      </c>
      <c r="QD99" s="43" t="str">
        <f t="shared" si="390"/>
        <v/>
      </c>
      <c r="QE99" s="43" t="str">
        <f t="shared" si="391"/>
        <v/>
      </c>
      <c r="QF99" s="43" t="str">
        <f t="shared" si="392"/>
        <v/>
      </c>
      <c r="QG99" s="43" t="str">
        <f t="shared" si="393"/>
        <v/>
      </c>
      <c r="QH99" s="43" t="str">
        <f t="shared" si="394"/>
        <v/>
      </c>
      <c r="QI99" s="43" t="str">
        <f t="shared" si="395"/>
        <v/>
      </c>
      <c r="QJ99" s="43" t="str">
        <f t="shared" si="396"/>
        <v>BAJO PESO</v>
      </c>
      <c r="QK99" s="43" t="str">
        <f t="shared" si="397"/>
        <v/>
      </c>
      <c r="QL99" s="43" t="str">
        <f t="shared" si="398"/>
        <v/>
      </c>
      <c r="QM99" s="43" t="str">
        <f t="shared" si="399"/>
        <v/>
      </c>
      <c r="QN99" s="43" t="str">
        <f t="shared" si="400"/>
        <v/>
      </c>
      <c r="QO99" s="43" t="str">
        <f t="shared" si="401"/>
        <v/>
      </c>
      <c r="QP99" s="43" t="str">
        <f t="shared" si="402"/>
        <v/>
      </c>
      <c r="QQ99" s="43" t="str">
        <f t="shared" si="403"/>
        <v/>
      </c>
      <c r="QR99" s="43">
        <f t="shared" si="433"/>
        <v>35</v>
      </c>
      <c r="QS99" s="43"/>
      <c r="QT99" s="21" t="str">
        <f t="shared" si="404"/>
        <v/>
      </c>
      <c r="QU99" s="21" t="str">
        <f t="shared" si="405"/>
        <v/>
      </c>
      <c r="QV99" s="21" t="str">
        <f t="shared" si="406"/>
        <v/>
      </c>
      <c r="QW99" s="21" t="str">
        <f t="shared" si="407"/>
        <v/>
      </c>
      <c r="QX99" s="21" t="str">
        <f t="shared" si="408"/>
        <v/>
      </c>
      <c r="QY99" s="21" t="str">
        <f t="shared" si="409"/>
        <v/>
      </c>
      <c r="QZ99" s="21" t="str">
        <f t="shared" si="410"/>
        <v/>
      </c>
      <c r="RA99" s="21" t="str">
        <f t="shared" si="411"/>
        <v/>
      </c>
      <c r="RB99" s="21" t="str">
        <f t="shared" si="412"/>
        <v/>
      </c>
      <c r="RC99" s="21" t="str">
        <f t="shared" si="413"/>
        <v/>
      </c>
      <c r="RD99" s="21" t="str">
        <f t="shared" si="414"/>
        <v/>
      </c>
      <c r="RE99" s="21" t="str">
        <f t="shared" si="415"/>
        <v/>
      </c>
      <c r="RF99" s="21" t="str">
        <f t="shared" si="416"/>
        <v/>
      </c>
      <c r="RG99" s="21" t="str">
        <f t="shared" si="417"/>
        <v/>
      </c>
      <c r="RH99" s="21" t="str">
        <f t="shared" si="418"/>
        <v/>
      </c>
      <c r="RI99" s="21" t="str">
        <f t="shared" si="419"/>
        <v/>
      </c>
      <c r="RJ99" s="21" t="str">
        <f t="shared" si="420"/>
        <v/>
      </c>
      <c r="RK99" s="21" t="str">
        <f t="shared" si="421"/>
        <v/>
      </c>
      <c r="RL99" s="21" t="str">
        <f t="shared" si="422"/>
        <v/>
      </c>
      <c r="RM99" s="21" t="str">
        <f t="shared" si="423"/>
        <v/>
      </c>
      <c r="RN99" s="21" t="str">
        <f t="shared" si="424"/>
        <v/>
      </c>
      <c r="RO99" s="21" t="str">
        <f t="shared" si="425"/>
        <v/>
      </c>
      <c r="RP99" s="21" t="str">
        <f t="shared" si="426"/>
        <v>ADECUADO PARA EDAD GESTACIONAL</v>
      </c>
      <c r="RQ99" s="21" t="str">
        <f t="shared" si="427"/>
        <v/>
      </c>
      <c r="RR99" s="21" t="str">
        <f t="shared" si="428"/>
        <v/>
      </c>
      <c r="RS99" s="21" t="str">
        <f t="shared" si="429"/>
        <v/>
      </c>
      <c r="RT99" s="21" t="str">
        <f t="shared" si="430"/>
        <v/>
      </c>
      <c r="RU99" s="21" t="str">
        <f t="shared" si="431"/>
        <v/>
      </c>
      <c r="RV99" s="21">
        <f t="shared" si="432"/>
        <v>7.171428571428156</v>
      </c>
      <c r="RW99" s="284">
        <f>IF(OR(Tabla1[[#This Row],[FUM FORMULA CONFIABLE]]="",Tabla1[[#This Row],[FUM FORMULA CONFIABLE]]="SD"),"",IF(Tabla1[[#This Row],[FUM FORMULA CONFIABLE]]="CORREGIDA",Tabla1[[#This Row],[FUM X ECO 1]],Tabla1[[#This Row],[FUM x AMENORREA]]))</f>
        <v>44920.800000000003</v>
      </c>
      <c r="RX99" s="21">
        <f>IF(AND(Tabla1[[#This Row],[FUM X ECO 1]]="",Tabla1[[#This Row],[FUM x AMENORREA]]=""),"",IF(AND(Tabla1[[#This Row],[FUM X ECO 1]]="",Tabla1[[#This Row],[FUM x AMENORREA]]&lt;&gt;""),"X",SUM(Tabla1[[#This Row],[FUM X ECO 1]]-Tabla1[[#This Row],[FUM x AMENORREA]])))</f>
        <v>70.80000000000291</v>
      </c>
      <c r="RY99" s="21">
        <f t="shared" si="434"/>
        <v>1</v>
      </c>
    </row>
    <row r="100" spans="1:493" ht="45" customHeight="1" x14ac:dyDescent="0.25">
      <c r="A100" s="109"/>
      <c r="B100" s="43"/>
      <c r="C100" s="43" t="s">
        <v>845</v>
      </c>
      <c r="D100" s="124"/>
      <c r="E100" s="43" t="s">
        <v>1298</v>
      </c>
      <c r="F100" s="43" t="s">
        <v>914</v>
      </c>
      <c r="G100" s="43" t="s">
        <v>1299</v>
      </c>
      <c r="H100" s="43" t="s">
        <v>1300</v>
      </c>
      <c r="I100" s="109" t="s">
        <v>851</v>
      </c>
      <c r="J100" s="110" t="s">
        <v>1301</v>
      </c>
      <c r="K100" s="43" t="s">
        <v>852</v>
      </c>
      <c r="L100" s="175" t="s">
        <v>886</v>
      </c>
      <c r="M100" s="22">
        <v>38269</v>
      </c>
      <c r="N100" s="213">
        <f t="shared" ca="1" si="252"/>
        <v>19.076712328767123</v>
      </c>
      <c r="O100" s="22">
        <v>44971</v>
      </c>
      <c r="P100" s="214" t="str">
        <f t="shared" si="438"/>
        <v>SI</v>
      </c>
      <c r="Q100" s="26" t="s">
        <v>855</v>
      </c>
      <c r="R100" s="22">
        <v>44971</v>
      </c>
      <c r="S100" s="21" t="s">
        <v>856</v>
      </c>
      <c r="T100" s="24" t="s">
        <v>690</v>
      </c>
      <c r="U100" s="21" t="s">
        <v>857</v>
      </c>
      <c r="V100" s="21" t="s">
        <v>858</v>
      </c>
      <c r="W100" s="21" t="s">
        <v>1302</v>
      </c>
      <c r="X100" s="21" t="s">
        <v>1302</v>
      </c>
      <c r="Y100" s="21" t="s">
        <v>859</v>
      </c>
      <c r="Z100" s="21">
        <v>3152343840</v>
      </c>
      <c r="AA100" s="21" t="s">
        <v>860</v>
      </c>
      <c r="AB100" s="27" t="s">
        <v>861</v>
      </c>
      <c r="AC100" s="26" t="s">
        <v>888</v>
      </c>
      <c r="AD100" s="38" t="s">
        <v>1546</v>
      </c>
      <c r="AE100" s="26" t="s">
        <v>854</v>
      </c>
      <c r="AF100" s="26" t="s">
        <v>854</v>
      </c>
      <c r="AG100" s="23" t="s">
        <v>864</v>
      </c>
      <c r="AH100" s="23" t="s">
        <v>864</v>
      </c>
      <c r="AI100" s="24" t="s">
        <v>863</v>
      </c>
      <c r="AJ100" s="23" t="s">
        <v>864</v>
      </c>
      <c r="AK100" s="220" t="str">
        <f>IF(AND(AD100="",AE100="",AF100="",AG100="",AH100="",AI100="",AJ100=""),"",IF(OR(Tabla1[[#This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EVALUACIÓN",IF(AND(O100="",R100=""),"",IF(AND(OR(O100&gt;0,R100&gt;0),NG100&gt;=0,NG100&lt;2),"SIN RIESGO",IF(AND(OR(O100&gt;0,R100&gt;0),NG100&gt;=2),"CON RIESGO","ASD")))))</f>
        <v>SIN RIESGO</v>
      </c>
      <c r="AL100" s="23" t="s">
        <v>864</v>
      </c>
      <c r="AM100" s="26" t="s">
        <v>864</v>
      </c>
      <c r="AN100" s="26" t="s">
        <v>864</v>
      </c>
      <c r="AO100" s="26" t="s">
        <v>864</v>
      </c>
      <c r="AP100" s="26" t="s">
        <v>864</v>
      </c>
      <c r="AQ100" s="26" t="s">
        <v>864</v>
      </c>
      <c r="AR100" s="26" t="s">
        <v>864</v>
      </c>
      <c r="AS100" s="21">
        <v>0</v>
      </c>
      <c r="AT100" s="21">
        <v>0</v>
      </c>
      <c r="AU100" s="21">
        <v>0</v>
      </c>
      <c r="AV100" s="26" t="s">
        <v>864</v>
      </c>
      <c r="AW100" s="21">
        <v>0</v>
      </c>
      <c r="AX100" s="26" t="s">
        <v>864</v>
      </c>
      <c r="AY100" s="26" t="s">
        <v>864</v>
      </c>
      <c r="AZ100" s="26" t="s">
        <v>864</v>
      </c>
      <c r="BA100" s="26" t="s">
        <v>864</v>
      </c>
      <c r="BB100" s="26" t="s">
        <v>864</v>
      </c>
      <c r="BC100" s="26" t="s">
        <v>864</v>
      </c>
      <c r="BD100" s="26" t="s">
        <v>864</v>
      </c>
      <c r="BE100" s="26" t="s">
        <v>864</v>
      </c>
      <c r="BF100" s="26" t="s">
        <v>864</v>
      </c>
      <c r="BG100" s="26" t="s">
        <v>864</v>
      </c>
      <c r="BH100" s="26" t="s">
        <v>864</v>
      </c>
      <c r="BI100" s="26" t="s">
        <v>864</v>
      </c>
      <c r="BJ100" s="26" t="s">
        <v>864</v>
      </c>
      <c r="BK100" s="26" t="s">
        <v>864</v>
      </c>
      <c r="BL100" s="26" t="s">
        <v>864</v>
      </c>
      <c r="BM100" s="26" t="s">
        <v>864</v>
      </c>
      <c r="BN100" s="22"/>
      <c r="BO100" s="22">
        <v>44920</v>
      </c>
      <c r="BP100" s="21" t="s">
        <v>854</v>
      </c>
      <c r="BQ100" s="222">
        <f t="shared" si="254"/>
        <v>0</v>
      </c>
      <c r="BR100" s="223">
        <f t="shared" si="255"/>
        <v>44915.3</v>
      </c>
      <c r="BS100" s="224">
        <f t="shared" si="256"/>
        <v>7.2857142857142856</v>
      </c>
      <c r="BT100" s="216" t="str">
        <f t="shared" si="257"/>
        <v>I TRIM</v>
      </c>
      <c r="BU100" s="214" t="str">
        <f t="shared" ca="1" si="258"/>
        <v/>
      </c>
      <c r="BV100" s="25"/>
      <c r="BW100" s="22">
        <v>45014</v>
      </c>
      <c r="BX100" s="28">
        <v>14.1</v>
      </c>
      <c r="BY100" s="28"/>
      <c r="BZ100" s="22"/>
      <c r="CA100" s="21"/>
      <c r="CB100" s="26" t="s">
        <v>864</v>
      </c>
      <c r="CC100" s="26" t="s">
        <v>864</v>
      </c>
      <c r="CD100" s="26"/>
      <c r="CE100" s="26" t="s">
        <v>864</v>
      </c>
      <c r="CF100" s="22" t="s">
        <v>1517</v>
      </c>
      <c r="CG100" s="21">
        <v>1.65</v>
      </c>
      <c r="CH100" s="21">
        <v>68</v>
      </c>
      <c r="CI100" s="214">
        <f t="shared" si="259"/>
        <v>24.977043158861342</v>
      </c>
      <c r="CJ100" s="225" t="str">
        <f>IF(AND(CI100&lt;10,CH100="SD"),"SIN DATO PESO PREGESTACION O I TRIM",IF(AND(OR(R100&gt;0,O100&gt;0),CI100="X"),"INGRESAR DATO DE PESO",IF(CI100="SD","INGRESAR DATO DE TALLA Y PESO",IF(AND(OR(Tabla1[[#This Row],[MOMENTO EN QUE SE REALIZA EL PESO AL INGRESO A CPN]]="PREGESTACIÓN",NZ100="Menor"),CI100&lt;18.5),"BAJO PESO",IF(AND(OR(Tabla1[[#This Row],[MOMENTO EN QUE SE REALIZA EL PESO AL INGRESO A CPN]]="PREGESTACIÓN",NZ100="Menor"),CI100&lt;25),"NORMAL",IF(AND(OR(Tabla1[[#This Row],[MOMENTO EN QUE SE REALIZA EL PESO AL INGRESO A CPN]]="PREGESTACIÓN",NZ100="Menor"),CI100&lt;30),"SOBREPESO",IF(AND(OR(Tabla1[[#This Row],[MOMENTO EN QUE SE REALIZA EL PESO AL INGRESO A CPN]]="PREGESTACIÓN",NZ100="Menor"),CI100&gt;=30,CI100&lt;50),"OBESIDAD",IF(AND(BS100&gt;0,Tabla1[[#This Row],[MOMENTO EN QUE SE REALIZA EL PESO AL INGRESO A CPN]]="GESTACIÓN"),HLOOKUP(NZ100,$OA$2:PH100,NY100),""))))))))</f>
        <v>NORMAL</v>
      </c>
      <c r="CK100" s="212">
        <f t="shared" si="260"/>
        <v>45128</v>
      </c>
      <c r="CL100" s="21">
        <v>86</v>
      </c>
      <c r="CM100" s="214">
        <f t="shared" si="261"/>
        <v>31.588613406795229</v>
      </c>
      <c r="CN100" s="216">
        <f t="shared" si="262"/>
        <v>29</v>
      </c>
      <c r="CO100" s="216" t="e">
        <f>IF(PI100="","",IF(PI100&gt;0,HLOOKUP(PI100,$PJ$2:QQ100,NY100),""))</f>
        <v>#REF!</v>
      </c>
      <c r="CP100" s="21">
        <v>26</v>
      </c>
      <c r="CQ100" s="216" t="e">
        <f>IF(QR100="Menor","NO APLICA-MENOR 13 SEM",IF(AND(CC100="SI",CN100&gt;23),"NO APLICA- GEMELAR",IF(QR100="","",IF(QR100&gt;0,HLOOKUP(QR100,$QS$2:RU100,NY100),""))))</f>
        <v>#REF!</v>
      </c>
      <c r="CR100" s="21">
        <v>90</v>
      </c>
      <c r="CS100" s="21">
        <v>60</v>
      </c>
      <c r="CT100" s="217" t="str">
        <f>IF(R100="","",IF(AND(BS100&gt;1,BS100&lt;12,Tabla1[[#This Row],[T.A. SISTOLICA - ANTES DE SEMANA 12]]="",Tabla1[[#This Row],[T.A. DIASTOLICA - ANTES DE SEMANA 12]]=""),"REGISTRE DATO TA ANTES SEMANA 12",IF(AND(BS100&gt;11,BS100&lt;43,Tabla1[[#This Row],[T.A. SISTOLICA - ANTES DE SEMANA 12]]="",Tabla1[[#This Row],[T.A. DIASTOLICA - ANTES DE SEMANA 12]]=""),"NO APLICA REGISTRO TA-INGRESO TARDIO",IF(AND(OR(O100&gt;0,R100&gt;0),OR(CR100&gt;=140,CS100&gt;=90)),"DEFINIR ESTADIO HTA",IF(AND(OR(O100&gt;0,R100&gt;0),AND(CR100&gt;120,CR100&lt;=139)),"PRE HTA SEGUIMIENTO",IF(AND(OR(O100&gt;0,R100&gt;0),AND(CS100&gt;80,CS100&lt;=89)),"PRE HTA SEGUIMIENTO",IF(AND(OR(O100&gt;0,R100&gt;0),AND(CR100&gt;=80,CR100&lt;=120)),"APARENTEMENTE NORMAL",IF(AND(OR(O100&gt;0,R100&gt;0),AND(CS100&gt;=50,CS100&lt;=80)),"APARENTEMENTE NORMAL",IF(AND(OR(O100&gt;0,R100&gt;0),AND(CR100&gt;1,CR100&lt;=70),AND(CS100&gt;1,CS100&lt;=40)),"HIPOTENSIÓN","")))))))))</f>
        <v>APARENTEMENTE NORMAL</v>
      </c>
      <c r="CU100" s="21"/>
      <c r="CV100" s="21"/>
      <c r="CW100" s="217" t="str">
        <f ca="1">IF(R100="","",IF(AND(CN100&gt;19,CN100&lt;27,Tabla1[[#This Row],[T.A. SISTOLICA (Entre semana 20 y 26)]]="",Tabla1[[#This Row],[T.A. DIATOLICA (Entre semana 20 y 26)]]=""),"ACUDE A CONTROL SEM 20 A 26 REGISTRE TA AHORA",IF(AND(BS100&gt;1,BS100&lt;27,BU100&gt;19,Tabla1[[#This Row],[T.A. SISTOLICA (Entre semana 20 y 26)]]="",Tabla1[[#This Row],[T.A. DIATOLICA (Entre semana 20 y 26)]]=""),"COMPLETE REGISTRO TA CONTROL SEM 20 A26 ",IF(AND(BS100&gt;26,BS100&lt;43,Tabla1[[#This Row],[T.A. SISTOLICA (Entre semana 20 y 26)]]="",Tabla1[[#This Row],[T.A. DIATOLICA (Entre semana 20 y 26)]]=""),"NO APLICA REGISTRO TA-INGRESO TARDIO",IF(AND(OR(O100&gt;0,R100&gt;0),OR(CU100&gt;=140,CV100&gt;=90)),"ALTO RIESGO PREECLAMPSIA,DEFINIR ESTADIO HTA",IF(AND(OR(O100&gt;0,R100&gt;0),AND(CU100&gt;120,CU100&lt;=139)),"PRE HTA SEGUIMIENTO,RIESGO HIPERTENSION INDUCIDA POR EL EMBARAZO",IF(AND(OR(O100&gt;0,R100&gt;0),AND(CV100&gt;80,CV100&lt;=89)),"PRE HTA SEGUIMIENTO, RIESGO HIPERTENSION INDUCIDA POR EL EMBARAZO",IF(AND(OR(O100&lt;&gt;"",R100&lt;&gt;""),CS100&lt;&gt;"",CV100&lt;&gt;"",CS100&lt;=CV100),"VIGILAR CIFRAS PRESION ARTERIAL",IF(AND(OR(O100&gt;0,R100&gt;0),AND(CU100&gt;120,CU100&lt;=139)),"PRE HTA SEGUIMIENTO",IF(AND(OR(O100&gt;0,R100&gt;0),AND(CU100&gt;1,CU100&lt;=70),AND(CV100&gt;1,CV100&lt;=40)),"HIPOTENSIÓN",IF(AND(OR(O100&lt;&gt;"",R100&lt;&gt;""),CS100&lt;&gt;"",CV100&lt;&gt;"",CS100&gt;CV100),"APARENTEMENTE NORMAL",IF(AND(OR(O100&gt;0,R100&gt;0),AND(CU100&gt;=80,CU100&lt;=120)),"APARENTEMENTE NORMAL",IF(AND(OR(O100&gt;0,R100&gt;0),AND(CV100&gt;=50,CV100&lt;=80)),"APARENTEMENTE NORMAL","")))))))))))))</f>
        <v xml:space="preserve">COMPLETE REGISTRO TA CONTROL SEM 20 A26 </v>
      </c>
      <c r="CX100" s="21"/>
      <c r="CY100" s="21"/>
      <c r="CZ100" s="216" t="str">
        <f t="shared" si="457"/>
        <v/>
      </c>
      <c r="DA100" s="21">
        <v>90</v>
      </c>
      <c r="DB100" s="21">
        <v>60</v>
      </c>
      <c r="DC100" s="217" t="str">
        <f t="shared" si="264"/>
        <v>APARENTEMENTE NORMAL</v>
      </c>
      <c r="DD100" s="22">
        <v>44971</v>
      </c>
      <c r="DE100" s="22">
        <v>44971</v>
      </c>
      <c r="DF100" s="22">
        <v>45030</v>
      </c>
      <c r="DG100" s="22">
        <v>45062</v>
      </c>
      <c r="DH100" s="22">
        <v>45097</v>
      </c>
      <c r="DI100" s="22">
        <v>45128</v>
      </c>
      <c r="DJ100" s="22"/>
      <c r="DK100" s="22"/>
      <c r="DL100" s="22"/>
      <c r="DM100" s="22"/>
      <c r="DN100" s="22"/>
      <c r="DO100" s="22"/>
      <c r="DP100" s="22"/>
      <c r="DQ100" s="22"/>
      <c r="DR100" s="28"/>
      <c r="DS100" s="22"/>
      <c r="DT100" s="22"/>
      <c r="DU100" s="216" t="str">
        <f t="shared" ca="1" si="439"/>
        <v>CONCERTAR PLAN DE PARTO INMEDIATO</v>
      </c>
      <c r="DV100" s="226" t="str">
        <f t="shared" si="440"/>
        <v>ACTIVA INGRESO A CPN</v>
      </c>
      <c r="DW100"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00" s="216" t="e">
        <f t="shared" ca="1" si="266"/>
        <v>#REF!</v>
      </c>
      <c r="DY100" s="212">
        <f>IF(R100="","",IF(R100&gt;0,MAX(Tabla1[[#This Row],[FECHA C2]:[FECHA C13]],Tabla1[[#This Row],[FECHA CONSULTA PRIMERA VEZ PROGRAMA CPN ]])))</f>
        <v>45128</v>
      </c>
      <c r="DZ100" s="216">
        <f t="shared" si="267"/>
        <v>29</v>
      </c>
      <c r="EA100" s="222">
        <f>IF(R100&gt;0,SUM(COUNTA(DF100:DQ100)+COUNTA(Tabla1[[#This Row],[FECHA CONSULTA PRIMERA VEZ PROGRAMA CPN ]])),"")</f>
        <v>5</v>
      </c>
      <c r="EB100" s="222" t="str">
        <f t="shared" si="268"/>
        <v>SI</v>
      </c>
      <c r="EC100" s="214">
        <f t="shared" si="269"/>
        <v>10</v>
      </c>
      <c r="ED100" s="227">
        <f t="shared" si="270"/>
        <v>0.5</v>
      </c>
      <c r="EE100" s="22">
        <v>44971</v>
      </c>
      <c r="EF100" s="22">
        <v>44971</v>
      </c>
      <c r="EG100" s="22">
        <v>44971</v>
      </c>
      <c r="EH100" s="22"/>
      <c r="EI100" s="22">
        <v>44971</v>
      </c>
      <c r="EJ100" s="22"/>
      <c r="EK100" s="22"/>
      <c r="EL100" s="21"/>
      <c r="EM100" s="21">
        <v>13.9</v>
      </c>
      <c r="EN100" s="22">
        <v>44981</v>
      </c>
      <c r="EO100" s="222">
        <f t="shared" si="271"/>
        <v>8.7142857142857135</v>
      </c>
      <c r="EP100" s="214" t="str">
        <f t="shared" si="272"/>
        <v>NORMAL- SUMINISTRAR SULFATO FERROSO</v>
      </c>
      <c r="EQ100" s="216" t="str">
        <f t="shared" si="273"/>
        <v>I TRIM</v>
      </c>
      <c r="ER100" s="24">
        <v>12.1</v>
      </c>
      <c r="ES100" s="22">
        <v>45119</v>
      </c>
      <c r="ET100" s="29">
        <f t="shared" ca="1" si="441"/>
        <v>28.428571428571427</v>
      </c>
      <c r="EU100" s="25" t="str">
        <f t="shared" si="275"/>
        <v>NORMAL- SUMINISTRAR SULFATO FERROSO</v>
      </c>
      <c r="EV100" s="24" t="s">
        <v>866</v>
      </c>
      <c r="EW100" s="24">
        <v>44981</v>
      </c>
      <c r="EX100" s="22"/>
      <c r="EY100" s="29">
        <f t="shared" si="454"/>
        <v>8.7142857142857135</v>
      </c>
      <c r="EZ100" s="25" t="str">
        <f t="shared" ca="1" si="455"/>
        <v/>
      </c>
      <c r="FA100" s="21">
        <v>77</v>
      </c>
      <c r="FB100" s="22">
        <v>44981</v>
      </c>
      <c r="FC100" s="29">
        <f t="shared" si="276"/>
        <v>8.7142857142857135</v>
      </c>
      <c r="FD100" s="29">
        <v>69</v>
      </c>
      <c r="FE100" s="29">
        <v>128</v>
      </c>
      <c r="FF100" s="29">
        <v>95</v>
      </c>
      <c r="FG100" s="21" t="str">
        <f t="shared" ca="1" si="277"/>
        <v>NORMAL</v>
      </c>
      <c r="FH100" s="31">
        <v>45119</v>
      </c>
      <c r="FI100" s="29">
        <f t="shared" si="278"/>
        <v>28.428571428571427</v>
      </c>
      <c r="FJ100" s="22" t="s">
        <v>867</v>
      </c>
      <c r="FK100" s="22">
        <v>44981</v>
      </c>
      <c r="FL100" s="29">
        <f t="shared" ca="1" si="279"/>
        <v>8.7142857142857135</v>
      </c>
      <c r="FM100" s="22"/>
      <c r="FN100" s="32"/>
      <c r="FO100" s="29" t="str">
        <f t="shared" ca="1" si="442"/>
        <v>PIERDE TOMA DE TAMIZAJE</v>
      </c>
      <c r="FP100" s="22" t="s">
        <v>867</v>
      </c>
      <c r="FQ100" s="32">
        <v>45119</v>
      </c>
      <c r="FR100" s="29">
        <f t="shared" ca="1" si="443"/>
        <v>28.428571428571427</v>
      </c>
      <c r="FS100" s="22"/>
      <c r="FT100" s="32"/>
      <c r="FU100" s="29" t="str">
        <f>IF(AND(FJ100="",FM100="",FP100="",FS100=""),"",IF(OR(OR(Tabla1[[#This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00" s="28"/>
      <c r="FW100" s="22"/>
      <c r="FX100" s="29" t="str">
        <f t="shared" si="280"/>
        <v>TOMAR EXAMEN</v>
      </c>
      <c r="FY100" s="22">
        <v>44981</v>
      </c>
      <c r="FZ100" s="22">
        <v>44981</v>
      </c>
      <c r="GA100" s="29">
        <f t="shared" ca="1" si="453"/>
        <v>8.7142857142857135</v>
      </c>
      <c r="GB100" s="22"/>
      <c r="GC100" s="22"/>
      <c r="GD100" s="29" t="str">
        <f t="shared" ca="1" si="444"/>
        <v>PIERDE TOMA DE TAMIZAJE</v>
      </c>
      <c r="GE100" s="22"/>
      <c r="GF100" s="22"/>
      <c r="GG100" s="29" t="str">
        <f t="shared" ca="1" si="445"/>
        <v>TOMA INMEDIATA DE TAMIZAJE</v>
      </c>
      <c r="GH100" s="22"/>
      <c r="GI100" s="29"/>
      <c r="GJ100" s="22"/>
      <c r="GK100" s="22"/>
      <c r="GL100" s="22"/>
      <c r="GM100" s="22"/>
      <c r="GN100" s="28" t="s">
        <v>869</v>
      </c>
      <c r="GO100" s="22">
        <v>44981</v>
      </c>
      <c r="GP100" s="29">
        <f t="shared" si="283"/>
        <v>8.7142857142857135</v>
      </c>
      <c r="GQ100" s="28" t="s">
        <v>869</v>
      </c>
      <c r="GR100" s="28" t="s">
        <v>869</v>
      </c>
      <c r="GS100" s="22" t="str">
        <f t="shared" si="458"/>
        <v>CONTROL Igm</v>
      </c>
      <c r="GT100" s="22">
        <v>44981</v>
      </c>
      <c r="GU100" s="29">
        <f t="shared" si="285"/>
        <v>8.7142857142857135</v>
      </c>
      <c r="GV100" s="21" t="str">
        <f t="shared" si="286"/>
        <v>I TRIM</v>
      </c>
      <c r="GW100" s="28" t="s">
        <v>869</v>
      </c>
      <c r="GX100" s="30"/>
      <c r="GY100" s="21"/>
      <c r="GZ100" s="21"/>
      <c r="HA100" s="21"/>
      <c r="HB100" s="21"/>
      <c r="HC100" s="21"/>
      <c r="HD100" s="21"/>
      <c r="HE100" s="21"/>
      <c r="HF100" s="22"/>
      <c r="HG100" s="22" t="str">
        <f>IF(OR(O100&gt;0,R100&gt;0),CONCATENATE(IF(Tabla1[[#This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00" s="22" t="e">
        <f t="shared" si="287"/>
        <v>#REF!</v>
      </c>
      <c r="HI100" s="22" t="e">
        <f t="shared" ca="1" si="288"/>
        <v>#REF!</v>
      </c>
      <c r="HJ100" s="21" t="str">
        <f t="shared" ca="1" si="289"/>
        <v>**********************MULTIPARIDAD*****************</v>
      </c>
      <c r="HK100" s="21" t="str">
        <f t="shared" si="290"/>
        <v>SIN ANTECEDENTES DE RIESGO</v>
      </c>
      <c r="HL100" s="24" t="str">
        <f t="shared" si="291"/>
        <v>APARENTEMENTE NORMAL</v>
      </c>
      <c r="HM100" s="21" t="e">
        <f t="shared" ca="1" si="292"/>
        <v>#REF!</v>
      </c>
      <c r="HN100" s="30" t="str">
        <f t="shared" si="446"/>
        <v>ACTIVA INGRESO A CPN</v>
      </c>
      <c r="HO100" s="21"/>
      <c r="HP100" s="21"/>
      <c r="HQ100" s="349"/>
      <c r="HR100" s="21" t="str">
        <f>IF(R100="","",IF(Tabla1[[#This Row],[ALARMA FACTORES DE RIESGO COMPLICACIONES HIPERTENSIVAS3]]="SIN ANTECEDENTES DE RIESGO","No Aplica para suministro de ASA",IF(AND(Tabla1[[#This Row],[FECHA INICIO DE SUMINISTRO DE ASA]]&gt;0,RV100&lt;12),"Inicia ASA ANTES de Sem 12",IF(AND(RV100&gt;11,RV100&lt;17,OR(HK100="RIESGO ALTO DE COMPLICACIONES HIPERTENSIVAS VER MANEJO GUIA SUMINISTRO ASA Y CALCIO",HK100="RIESGO MODERADO (2 O MAS CRITERIOS) VER MANEJO GUIA SUMINISTRO ASA Y CALCIO")),"Inicio oportuno de ASA",IF(AND(RV100&gt;12,OR(HK100="RIESGO ALTO DE COMPLICACIONES HIPERTENSIVAS VER MANEJO GUIA SUMINISTRO ASA Y CALCIO",HK100="RIESGO MODERADO (2 O MAS CRITERIOS) VER MANEJO GUIA SUMINISTRO ASA Y CALCIO")),"Inicio no oportuno mayor a 16 semanas",IF(AND(BU100&lt;12,OR(HK100="RIESGO ALTO DE COMPLICACIONES HIPERTENSIVAS VER MANEJO GUIA SUMINISTRO ASA Y CALCIO",HK100="RIESGO MODERADO (2 O MAS CRITERIOS) VER MANEJO GUIA SUMINISTRO ASA Y CALCIO")),"Pendiente Inicio de ASA a la semana 12",IF(AND(BU100&gt;11,BU100&lt;17,OR(HK100="RIESGO ALTO DE COMPLICACIONES HIPERTENSIVAS VER MANEJO GUIA SUMINISTRO ASA Y CALCIO",HK100="RIESGO MODERADO (2 O MAS CRITERIOS) VER MANEJO GUIA SUMINISTRO ASA Y CALCIO")),"Iniciar de inmediato ASA",IF(AND(BU100&gt;16,OR(HK100="RIESGO ALTO DE COMPLICACIONES HIPERTENSIVAS VER MANEJO GUIA SUMINISTRO ASA Y CALCIO",HK100="RIESGO MODERADO (2 O MAS CRITERIOS) VER MANEJO GUIA SUMINISTRO ASA Y CALCIO")),"Pierde Oportunidad, Inicio tardío de ASA","XXXXX"))))))))</f>
        <v>No Aplica para suministro de ASA</v>
      </c>
      <c r="HS100" s="22"/>
      <c r="HT100" s="22" t="s">
        <v>870</v>
      </c>
      <c r="HU100" s="22">
        <v>45030</v>
      </c>
      <c r="HV100" s="22" t="s">
        <v>870</v>
      </c>
      <c r="HW100" s="22">
        <v>45030</v>
      </c>
      <c r="HX100" s="22" t="s">
        <v>870</v>
      </c>
      <c r="HY100" s="22">
        <v>44971</v>
      </c>
      <c r="HZ100" s="28">
        <f t="shared" si="293"/>
        <v>7.2857142857142856</v>
      </c>
      <c r="IA100" s="26"/>
      <c r="IB100" s="26"/>
      <c r="IC100" s="111"/>
      <c r="ID100" s="22"/>
      <c r="IE100" s="22" t="str">
        <f t="shared" ca="1" si="294"/>
        <v/>
      </c>
      <c r="IF100" s="22"/>
      <c r="IG100" s="22">
        <f t="shared" si="295"/>
        <v>45200</v>
      </c>
      <c r="IH100" s="29">
        <f t="shared" ca="1" si="296"/>
        <v>-32</v>
      </c>
      <c r="II100" s="22" t="str">
        <f t="shared" ca="1" si="297"/>
        <v>POSIBLEMENTE NACIO</v>
      </c>
      <c r="IJ100" s="22"/>
      <c r="IK100" s="21"/>
      <c r="IL100" s="21"/>
      <c r="IM100" s="34"/>
      <c r="IN100" s="22"/>
      <c r="IO100" s="21"/>
      <c r="IP100" s="29" t="str">
        <f t="shared" si="436"/>
        <v/>
      </c>
      <c r="IQ100" s="110"/>
      <c r="IR100" s="21"/>
      <c r="IS100" s="21"/>
      <c r="IT100" s="21"/>
      <c r="IU100" s="21"/>
      <c r="IV100" s="21"/>
      <c r="IW100" s="21"/>
      <c r="IX100" s="21"/>
      <c r="IY100" s="21"/>
      <c r="IZ100" s="21"/>
      <c r="JA100" s="21"/>
      <c r="JB100" s="30"/>
      <c r="JC100" s="21"/>
      <c r="JD100" s="36"/>
      <c r="JE100" s="21" t="str">
        <f t="shared" si="447"/>
        <v/>
      </c>
      <c r="JF100" s="30"/>
      <c r="JG100" s="21"/>
      <c r="JH100" s="21"/>
      <c r="JI100" s="21"/>
      <c r="JJ100" s="30"/>
      <c r="JK100" s="22"/>
      <c r="JL100" s="22"/>
      <c r="JM100" s="21"/>
      <c r="JN100" s="36"/>
      <c r="JO100" s="21" t="str">
        <f t="shared" si="448"/>
        <v/>
      </c>
      <c r="JP100" s="22"/>
      <c r="JQ100" s="21"/>
      <c r="JR100" s="21"/>
      <c r="JS100" s="21"/>
      <c r="JT100" s="30"/>
      <c r="JU100" s="22"/>
      <c r="JV100" s="22"/>
      <c r="JW100" s="33"/>
      <c r="JX100" s="28" t="str">
        <f t="shared" si="449"/>
        <v/>
      </c>
      <c r="JY100" s="33"/>
      <c r="JZ100" s="28" t="str">
        <f t="shared" si="450"/>
        <v/>
      </c>
      <c r="KA100" s="21"/>
      <c r="KB100" s="21"/>
      <c r="KC100" s="21"/>
      <c r="KD100" s="37"/>
      <c r="KE100" s="28"/>
      <c r="KF100" s="28"/>
      <c r="KG100" s="28"/>
      <c r="KH100" s="39"/>
      <c r="KI100" s="39"/>
      <c r="KJ100" s="66"/>
      <c r="KK100" s="39"/>
      <c r="KL100" s="39"/>
      <c r="KM100" s="66"/>
      <c r="KN100" s="39"/>
      <c r="KO100" s="39"/>
      <c r="KP100" s="39"/>
      <c r="KQ100" s="39"/>
      <c r="KR100" s="39"/>
      <c r="KS100" s="39"/>
      <c r="KT100" s="39"/>
      <c r="KU100" s="38"/>
      <c r="KV100" s="38"/>
      <c r="KW100" s="38"/>
      <c r="KX100" s="38"/>
      <c r="KY100" s="38"/>
      <c r="KZ100" s="38"/>
      <c r="LA100" s="38"/>
      <c r="LB100" s="38"/>
      <c r="LC100" s="38"/>
      <c r="LD100" s="38"/>
      <c r="LE100" s="38"/>
      <c r="LF100" s="38"/>
      <c r="LG100" s="38"/>
      <c r="LH100" s="38"/>
      <c r="LI100" s="38"/>
      <c r="LJ100" s="38"/>
      <c r="LK100" s="38"/>
      <c r="LL100" s="38"/>
      <c r="LM100" s="38"/>
      <c r="LN100" s="38"/>
      <c r="LO100" s="38"/>
      <c r="LP100" s="38"/>
      <c r="LQ100" s="38"/>
      <c r="LR100" s="38"/>
      <c r="LS100" s="38"/>
      <c r="LT100" s="38"/>
      <c r="LU100" s="38"/>
      <c r="LV100" s="38"/>
      <c r="LW100" s="38"/>
      <c r="LX100" s="38"/>
      <c r="LY100" s="38"/>
      <c r="LZ100" s="38"/>
      <c r="MA100" s="38"/>
      <c r="MB100" s="38"/>
      <c r="MC100" s="38"/>
      <c r="MD100" s="38"/>
      <c r="ME100" s="38"/>
      <c r="MF100" s="38"/>
      <c r="MG100" s="38"/>
      <c r="MH100" s="43">
        <f t="shared" si="459"/>
        <v>0</v>
      </c>
      <c r="MI100" s="43" t="str">
        <f t="shared" si="460"/>
        <v/>
      </c>
      <c r="MJ100" s="43" t="str">
        <f t="shared" si="461"/>
        <v/>
      </c>
      <c r="MK100" s="43">
        <f t="shared" si="462"/>
        <v>0</v>
      </c>
      <c r="ML10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00" s="43">
        <f t="shared" si="463"/>
        <v>7.2857142857142856</v>
      </c>
      <c r="MN100" s="43">
        <f t="shared" si="464"/>
        <v>2</v>
      </c>
      <c r="MO100" s="43">
        <f t="shared" si="465"/>
        <v>2023</v>
      </c>
      <c r="MP100" s="43" t="str">
        <f t="shared" si="466"/>
        <v>I TRIMESTRE AÑO</v>
      </c>
      <c r="MQ100" s="43">
        <f t="shared" si="467"/>
        <v>18.082019272886551</v>
      </c>
      <c r="MR100" s="43">
        <f t="shared" si="468"/>
        <v>0</v>
      </c>
      <c r="MS100" s="43" t="str">
        <f t="shared" si="469"/>
        <v>DE 14 A 19AÑOS</v>
      </c>
      <c r="MT100" s="43">
        <f t="shared" si="470"/>
        <v>0</v>
      </c>
      <c r="MU100" s="43">
        <f t="shared" si="471"/>
        <v>1</v>
      </c>
      <c r="MV100" s="43">
        <f t="shared" si="472"/>
        <v>0</v>
      </c>
      <c r="MW100" s="43">
        <f t="shared" si="473"/>
        <v>0</v>
      </c>
      <c r="MX100" s="43" t="str">
        <f t="shared" si="474"/>
        <v/>
      </c>
      <c r="MY100" s="43" t="str">
        <f t="shared" ca="1" si="451"/>
        <v/>
      </c>
      <c r="MZ100" s="43" t="str">
        <f t="shared" si="475"/>
        <v/>
      </c>
      <c r="NA100" s="43" t="str">
        <f t="shared" si="476"/>
        <v/>
      </c>
      <c r="NB100" s="43" t="str">
        <f t="shared" si="477"/>
        <v/>
      </c>
      <c r="NC100" s="43" t="str">
        <f t="shared" si="478"/>
        <v/>
      </c>
      <c r="ND100" s="43">
        <f t="shared" ca="1" si="479"/>
        <v>1</v>
      </c>
      <c r="NE100" s="43">
        <f>IF(OR(O100&gt;0,R100&gt;0),SUM(COUNTIF(Tabla1[[#This Row],[AÑOS AL INICIO5 CPN]],"&gt;=40"),COUNTIF(AS100,"0"),COUNTIF(AR100,"SI"),COUNTIF(CC100,"SI"),COUNTIF(BQ100,"&gt;119"),COUNTIF(CI100,"&gt;=35")),"")</f>
        <v>1</v>
      </c>
      <c r="NF100" s="43" t="str">
        <f t="shared" si="480"/>
        <v/>
      </c>
      <c r="NG100" s="43">
        <f t="shared" si="481"/>
        <v>0</v>
      </c>
      <c r="NH100" s="43">
        <f t="shared" si="482"/>
        <v>98.7</v>
      </c>
      <c r="NI100"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CPN",P100="NO"),"Z",IF(AND(Tabla1[[#This Row],[CITA PROXIMO CONTROL]]="CITA MANUAL",Tabla1[[#This Row],[GESTANTES ACTUALES]]="ACTIVA INGRESO A CPN"),"W",IF(AND(Tabla1[[#This Row],[GESTANTES ACTUALES]]="SALIO PROGRAMA",IN100=""),"S",IF(AND(Tabla1[[#This Row],[CITA PROXIMO CONTROL]]&gt;0,IN100=""),(Tabla1[[#This Row],[CITA PROXIMO CONTROL]]-TODAY()),"SD"))))))))</f>
        <v>#REF!</v>
      </c>
      <c r="NJ100" s="43">
        <f>MONTH(Tabla1[[#This Row],[FECHA DE SALIDA  DEL PROGRAMA]])</f>
        <v>1</v>
      </c>
      <c r="NK100" s="43">
        <f>YEAR(Tabla1[[#This Row],[FECHA DE SALIDA  DEL PROGRAMA]])</f>
        <v>1900</v>
      </c>
      <c r="NL100" s="43" t="str">
        <f t="shared" si="483"/>
        <v>X</v>
      </c>
      <c r="NM100" s="43" t="str">
        <f t="shared" si="456"/>
        <v>NO</v>
      </c>
      <c r="NN100" s="43" t="str">
        <f ca="1">IF(AND(O100&gt;0,R100=""),"NO CPN",IF(AND(O100="",R100=""),"",IF(AND(R100&gt;0,Tabla1[[#This Row],[SEMANAS DE GESTACION ACTUALIZADAS]]&lt;=12),"NO APLICA",IF(AND(FH100&lt;&gt;"",FN100&lt;&gt;""),"SI","NO"))))</f>
        <v>NO</v>
      </c>
      <c r="NO100" s="43" t="str">
        <f ca="1">IF(AND(O100&gt;0,R100=""),"NO CPN",IF(AND(O100="",R100=""),"",IF(AND(R100&gt;0,Tabla1[[#This Row],[SEMANAS DE GESTACION ACTUALIZADAS]]&lt;=27),"NO APLICA",IF(AND(ES100&lt;&gt;"",FQ100&lt;&gt;"",GF100&lt;&gt;""),"SI","NO"))))</f>
        <v>NO</v>
      </c>
      <c r="NP100" s="204" t="str">
        <f t="shared" si="484"/>
        <v>I TRIM</v>
      </c>
      <c r="NQ100" s="21" t="str">
        <f t="shared" si="437"/>
        <v/>
      </c>
      <c r="NR100" s="21" t="str">
        <f t="shared" ca="1" si="452"/>
        <v>REVISAR FUM O FECHA SALIDA PROGRAMA</v>
      </c>
      <c r="NS100" s="205">
        <f t="shared" ca="1" si="485"/>
        <v>2</v>
      </c>
      <c r="NT100" s="21">
        <f t="shared" ca="1" si="486"/>
        <v>1</v>
      </c>
      <c r="NU100" s="21" t="str">
        <f t="shared" ca="1" si="487"/>
        <v>POR DEFINIR</v>
      </c>
      <c r="NV100" s="21" t="str">
        <f t="shared" ca="1" si="488"/>
        <v>POR DEFINIR</v>
      </c>
      <c r="NW100" s="206" t="str">
        <f>IF(AND(O100="",R100=""),"",IF(OR(AND(Tabla1[[#This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00" s="207" t="str">
        <f t="shared" ca="1" si="489"/>
        <v>SIN VACUNAR</v>
      </c>
      <c r="NY100" s="43">
        <f>ROW(Tabla1[[#This Row],['# DE TAMIZAJES SIFILIS TOMADOS ]])</f>
        <v>100</v>
      </c>
      <c r="NZ100" s="43" t="str">
        <f t="shared" si="334"/>
        <v>Menor</v>
      </c>
      <c r="OA100" s="43" t="str">
        <f t="shared" si="335"/>
        <v>NORMAL</v>
      </c>
      <c r="OB100" s="43" t="str">
        <f t="shared" si="336"/>
        <v/>
      </c>
      <c r="OC100" s="43" t="str">
        <f t="shared" si="337"/>
        <v/>
      </c>
      <c r="OD100" s="43" t="str">
        <f t="shared" si="338"/>
        <v/>
      </c>
      <c r="OE100" s="43" t="str">
        <f t="shared" si="339"/>
        <v/>
      </c>
      <c r="OF100" s="43" t="str">
        <f t="shared" si="340"/>
        <v/>
      </c>
      <c r="OG100" s="43" t="str">
        <f t="shared" si="341"/>
        <v/>
      </c>
      <c r="OH100" s="43" t="str">
        <f t="shared" si="342"/>
        <v/>
      </c>
      <c r="OI100" s="43" t="str">
        <f t="shared" si="343"/>
        <v/>
      </c>
      <c r="OJ100" s="43" t="str">
        <f t="shared" si="344"/>
        <v/>
      </c>
      <c r="OK100" s="43" t="str">
        <f t="shared" si="345"/>
        <v/>
      </c>
      <c r="OL100" s="43" t="str">
        <f t="shared" si="346"/>
        <v/>
      </c>
      <c r="OM100" s="43" t="str">
        <f t="shared" si="347"/>
        <v/>
      </c>
      <c r="ON100" s="43" t="str">
        <f t="shared" si="348"/>
        <v/>
      </c>
      <c r="OO100" s="43" t="str">
        <f t="shared" si="349"/>
        <v/>
      </c>
      <c r="OP100" s="43" t="str">
        <f t="shared" si="350"/>
        <v/>
      </c>
      <c r="OQ100" s="43" t="str">
        <f t="shared" si="351"/>
        <v/>
      </c>
      <c r="OR100" s="43" t="str">
        <f t="shared" si="352"/>
        <v/>
      </c>
      <c r="OS100" s="43" t="str">
        <f t="shared" si="353"/>
        <v/>
      </c>
      <c r="OT100" s="43" t="str">
        <f t="shared" si="354"/>
        <v/>
      </c>
      <c r="OU100" s="43" t="str">
        <f t="shared" si="355"/>
        <v/>
      </c>
      <c r="OV100" s="110" t="str">
        <f t="shared" si="356"/>
        <v/>
      </c>
      <c r="OW100" s="43" t="str">
        <f t="shared" si="357"/>
        <v/>
      </c>
      <c r="OX100" s="43" t="str">
        <f t="shared" si="358"/>
        <v/>
      </c>
      <c r="OY100" s="43" t="str">
        <f t="shared" si="359"/>
        <v/>
      </c>
      <c r="OZ100" s="43" t="str">
        <f t="shared" si="360"/>
        <v/>
      </c>
      <c r="PA100" s="43" t="str">
        <f t="shared" si="361"/>
        <v/>
      </c>
      <c r="PB100" s="43" t="str">
        <f t="shared" si="362"/>
        <v/>
      </c>
      <c r="PC100" s="43" t="str">
        <f t="shared" si="363"/>
        <v/>
      </c>
      <c r="PD100" s="43" t="str">
        <f t="shared" si="364"/>
        <v/>
      </c>
      <c r="PE100" s="43" t="str">
        <f t="shared" si="365"/>
        <v/>
      </c>
      <c r="PF100" s="43" t="str">
        <f t="shared" si="366"/>
        <v/>
      </c>
      <c r="PG100" s="43" t="str">
        <f t="shared" si="367"/>
        <v/>
      </c>
      <c r="PH100" s="43" t="str">
        <f t="shared" si="368"/>
        <v/>
      </c>
      <c r="PI100" s="43">
        <f t="shared" si="369"/>
        <v>29</v>
      </c>
      <c r="PJ100" s="43" t="str">
        <f t="shared" si="370"/>
        <v/>
      </c>
      <c r="PK100" s="43" t="str">
        <f t="shared" si="371"/>
        <v/>
      </c>
      <c r="PL100" s="43" t="str">
        <f t="shared" si="372"/>
        <v/>
      </c>
      <c r="PM100" s="43" t="str">
        <f t="shared" si="373"/>
        <v/>
      </c>
      <c r="PN100" s="43" t="str">
        <f t="shared" si="374"/>
        <v/>
      </c>
      <c r="PO100" s="43" t="str">
        <f t="shared" si="375"/>
        <v/>
      </c>
      <c r="PP100" s="43" t="str">
        <f t="shared" si="376"/>
        <v/>
      </c>
      <c r="PQ100" s="43" t="str">
        <f t="shared" si="377"/>
        <v/>
      </c>
      <c r="PR100" s="43" t="str">
        <f t="shared" si="378"/>
        <v/>
      </c>
      <c r="PS100" s="43" t="str">
        <f t="shared" si="379"/>
        <v/>
      </c>
      <c r="PT100" s="43" t="str">
        <f t="shared" si="380"/>
        <v/>
      </c>
      <c r="PU100" s="43" t="str">
        <f t="shared" si="381"/>
        <v/>
      </c>
      <c r="PV100" s="43" t="str">
        <f t="shared" si="382"/>
        <v/>
      </c>
      <c r="PW100" s="43" t="str">
        <f t="shared" si="383"/>
        <v/>
      </c>
      <c r="PX100" s="43" t="str">
        <f t="shared" si="384"/>
        <v/>
      </c>
      <c r="PY100" s="43" t="str">
        <f t="shared" si="385"/>
        <v/>
      </c>
      <c r="PZ100" s="43" t="str">
        <f t="shared" si="386"/>
        <v/>
      </c>
      <c r="QA100" s="43" t="str">
        <f t="shared" si="387"/>
        <v/>
      </c>
      <c r="QB100" s="43" t="str">
        <f t="shared" si="388"/>
        <v/>
      </c>
      <c r="QC100" s="43" t="str">
        <f t="shared" si="389"/>
        <v/>
      </c>
      <c r="QD100" s="43" t="str">
        <f t="shared" si="390"/>
        <v>SOBREPESO</v>
      </c>
      <c r="QE100" s="43" t="str">
        <f t="shared" si="391"/>
        <v/>
      </c>
      <c r="QF100" s="43" t="str">
        <f t="shared" si="392"/>
        <v/>
      </c>
      <c r="QG100" s="43" t="str">
        <f t="shared" si="393"/>
        <v/>
      </c>
      <c r="QH100" s="43" t="str">
        <f t="shared" si="394"/>
        <v/>
      </c>
      <c r="QI100" s="43" t="str">
        <f t="shared" si="395"/>
        <v/>
      </c>
      <c r="QJ100" s="43" t="str">
        <f t="shared" si="396"/>
        <v/>
      </c>
      <c r="QK100" s="43" t="str">
        <f t="shared" si="397"/>
        <v/>
      </c>
      <c r="QL100" s="43" t="str">
        <f t="shared" si="398"/>
        <v/>
      </c>
      <c r="QM100" s="43" t="str">
        <f t="shared" si="399"/>
        <v/>
      </c>
      <c r="QN100" s="43" t="str">
        <f t="shared" si="400"/>
        <v/>
      </c>
      <c r="QO100" s="43" t="str">
        <f t="shared" si="401"/>
        <v/>
      </c>
      <c r="QP100" s="43" t="str">
        <f t="shared" si="402"/>
        <v/>
      </c>
      <c r="QQ100" s="43" t="str">
        <f t="shared" si="403"/>
        <v/>
      </c>
      <c r="QR100" s="43">
        <f t="shared" si="433"/>
        <v>29</v>
      </c>
      <c r="QS100" s="43"/>
      <c r="QT100" s="21" t="str">
        <f t="shared" si="404"/>
        <v/>
      </c>
      <c r="QU100" s="21" t="str">
        <f t="shared" si="405"/>
        <v/>
      </c>
      <c r="QV100" s="21" t="str">
        <f t="shared" si="406"/>
        <v/>
      </c>
      <c r="QW100" s="21" t="str">
        <f t="shared" si="407"/>
        <v/>
      </c>
      <c r="QX100" s="21" t="str">
        <f t="shared" si="408"/>
        <v/>
      </c>
      <c r="QY100" s="21" t="str">
        <f t="shared" si="409"/>
        <v/>
      </c>
      <c r="QZ100" s="21" t="str">
        <f t="shared" si="410"/>
        <v/>
      </c>
      <c r="RA100" s="21" t="str">
        <f t="shared" si="411"/>
        <v/>
      </c>
      <c r="RB100" s="21" t="str">
        <f t="shared" si="412"/>
        <v/>
      </c>
      <c r="RC100" s="21" t="str">
        <f t="shared" si="413"/>
        <v/>
      </c>
      <c r="RD100" s="21" t="str">
        <f t="shared" si="414"/>
        <v/>
      </c>
      <c r="RE100" s="21" t="str">
        <f t="shared" si="415"/>
        <v/>
      </c>
      <c r="RF100" s="21" t="str">
        <f t="shared" si="416"/>
        <v/>
      </c>
      <c r="RG100" s="21" t="str">
        <f t="shared" si="417"/>
        <v/>
      </c>
      <c r="RH100" s="21" t="str">
        <f t="shared" si="418"/>
        <v/>
      </c>
      <c r="RI100" s="21" t="str">
        <f t="shared" si="419"/>
        <v/>
      </c>
      <c r="RJ100" s="21" t="str">
        <f t="shared" si="420"/>
        <v>ADECUADO PARA EDAD GESTACIONAL</v>
      </c>
      <c r="RK100" s="21" t="str">
        <f t="shared" si="421"/>
        <v/>
      </c>
      <c r="RL100" s="21" t="str">
        <f t="shared" si="422"/>
        <v/>
      </c>
      <c r="RM100" s="21" t="str">
        <f t="shared" si="423"/>
        <v/>
      </c>
      <c r="RN100" s="21" t="str">
        <f t="shared" si="424"/>
        <v/>
      </c>
      <c r="RO100" s="21" t="str">
        <f t="shared" si="425"/>
        <v/>
      </c>
      <c r="RP100" s="21" t="str">
        <f t="shared" si="426"/>
        <v/>
      </c>
      <c r="RQ100" s="21" t="str">
        <f t="shared" si="427"/>
        <v/>
      </c>
      <c r="RR100" s="21" t="str">
        <f t="shared" si="428"/>
        <v/>
      </c>
      <c r="RS100" s="21" t="str">
        <f t="shared" si="429"/>
        <v/>
      </c>
      <c r="RT100" s="21" t="str">
        <f t="shared" si="430"/>
        <v/>
      </c>
      <c r="RU100" s="21" t="str">
        <f t="shared" si="431"/>
        <v/>
      </c>
      <c r="RV100" s="21">
        <f t="shared" si="432"/>
        <v>-1</v>
      </c>
      <c r="RW100" s="284">
        <f>IF(OR(Tabla1[[#This Row],[FUM FORMULA CONFIABLE]]="",Tabla1[[#This Row],[FUM FORMULA CONFIABLE]]="SD"),"",IF(Tabla1[[#This Row],[FUM FORMULA CONFIABLE]]="CORREGIDA",Tabla1[[#This Row],[FUM X ECO 1]],Tabla1[[#This Row],[FUM x AMENORREA]]))</f>
        <v>44920</v>
      </c>
      <c r="RX100" s="21">
        <f>IF(AND(Tabla1[[#This Row],[FUM X ECO 1]]="",Tabla1[[#This Row],[FUM x AMENORREA]]=""),"",IF(AND(Tabla1[[#This Row],[FUM X ECO 1]]="",Tabla1[[#This Row],[FUM x AMENORREA]]&lt;&gt;""),"X",SUM(Tabla1[[#This Row],[FUM X ECO 1]]-Tabla1[[#This Row],[FUM x AMENORREA]])))</f>
        <v>-4.6999999999970896</v>
      </c>
      <c r="RY100" s="21">
        <f t="shared" si="434"/>
        <v>0</v>
      </c>
    </row>
    <row r="101" spans="1:493" ht="45" customHeight="1" x14ac:dyDescent="0.25">
      <c r="A101" s="109"/>
      <c r="B101" s="43"/>
      <c r="C101" s="43" t="s">
        <v>845</v>
      </c>
      <c r="D101" s="124"/>
      <c r="E101" s="43" t="s">
        <v>1144</v>
      </c>
      <c r="F101" s="43" t="s">
        <v>914</v>
      </c>
      <c r="G101" s="43" t="s">
        <v>1303</v>
      </c>
      <c r="H101" s="43"/>
      <c r="I101" s="109" t="s">
        <v>851</v>
      </c>
      <c r="J101" s="110">
        <v>1059594726</v>
      </c>
      <c r="K101" s="43" t="s">
        <v>852</v>
      </c>
      <c r="L101" s="175" t="s">
        <v>853</v>
      </c>
      <c r="M101" s="22">
        <v>30828</v>
      </c>
      <c r="N101" s="213">
        <f t="shared" ca="1" si="252"/>
        <v>39.463013698630135</v>
      </c>
      <c r="O101" s="22">
        <v>44982</v>
      </c>
      <c r="P101" s="214" t="str">
        <f t="shared" si="438"/>
        <v>SI</v>
      </c>
      <c r="Q101" s="26" t="s">
        <v>855</v>
      </c>
      <c r="R101" s="22">
        <v>44982</v>
      </c>
      <c r="S101" s="21" t="s">
        <v>856</v>
      </c>
      <c r="T101" s="24" t="s">
        <v>690</v>
      </c>
      <c r="U101" s="21" t="s">
        <v>857</v>
      </c>
      <c r="V101" s="21" t="s">
        <v>858</v>
      </c>
      <c r="W101" s="21" t="s">
        <v>1195</v>
      </c>
      <c r="X101" s="21" t="s">
        <v>1195</v>
      </c>
      <c r="Y101" s="21" t="s">
        <v>859</v>
      </c>
      <c r="Z101" s="21">
        <v>3133680711</v>
      </c>
      <c r="AA101" s="21" t="s">
        <v>860</v>
      </c>
      <c r="AB101" s="27" t="s">
        <v>861</v>
      </c>
      <c r="AC101" s="26" t="s">
        <v>877</v>
      </c>
      <c r="AD101" s="38" t="s">
        <v>1546</v>
      </c>
      <c r="AE101" s="26" t="s">
        <v>854</v>
      </c>
      <c r="AF101" s="26" t="s">
        <v>854</v>
      </c>
      <c r="AG101" s="23" t="s">
        <v>864</v>
      </c>
      <c r="AH101" s="23" t="s">
        <v>864</v>
      </c>
      <c r="AI101" s="24" t="s">
        <v>863</v>
      </c>
      <c r="AJ101" s="23" t="s">
        <v>864</v>
      </c>
      <c r="AK101" s="220" t="str">
        <f>IF(AND(AD101="",AE101="",AF101="",AG101="",AH101="",AI101="",AJ101=""),"",IF(OR(Tabla1[[#This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EVALUACIÓN",IF(AND(O101="",R101=""),"",IF(AND(OR(O101&gt;0,R101&gt;0),NG101&gt;=0,NG101&lt;2),"SIN RIESGO",IF(AND(OR(O101&gt;0,R101&gt;0),NG101&gt;=2),"CON RIESGO","ASD")))))</f>
        <v>SIN RIESGO</v>
      </c>
      <c r="AL101" s="23" t="s">
        <v>864</v>
      </c>
      <c r="AM101" s="26" t="s">
        <v>864</v>
      </c>
      <c r="AN101" s="26" t="s">
        <v>864</v>
      </c>
      <c r="AO101" s="26" t="s">
        <v>864</v>
      </c>
      <c r="AP101" s="26" t="s">
        <v>864</v>
      </c>
      <c r="AQ101" s="26" t="s">
        <v>864</v>
      </c>
      <c r="AR101" s="26" t="s">
        <v>864</v>
      </c>
      <c r="AS101" s="21">
        <v>4</v>
      </c>
      <c r="AT101" s="21">
        <v>3</v>
      </c>
      <c r="AU101" s="21">
        <v>0</v>
      </c>
      <c r="AV101" s="26" t="s">
        <v>864</v>
      </c>
      <c r="AW101" s="21">
        <v>0</v>
      </c>
      <c r="AX101" s="26" t="s">
        <v>864</v>
      </c>
      <c r="AY101" s="26" t="s">
        <v>864</v>
      </c>
      <c r="AZ101" s="26" t="s">
        <v>864</v>
      </c>
      <c r="BA101" s="26" t="s">
        <v>864</v>
      </c>
      <c r="BB101" s="26" t="s">
        <v>864</v>
      </c>
      <c r="BC101" s="26" t="s">
        <v>864</v>
      </c>
      <c r="BD101" s="26" t="s">
        <v>864</v>
      </c>
      <c r="BE101" s="26" t="s">
        <v>864</v>
      </c>
      <c r="BF101" s="26" t="s">
        <v>864</v>
      </c>
      <c r="BG101" s="26" t="s">
        <v>864</v>
      </c>
      <c r="BH101" s="26" t="s">
        <v>864</v>
      </c>
      <c r="BI101" s="26" t="s">
        <v>864</v>
      </c>
      <c r="BJ101" s="26" t="s">
        <v>864</v>
      </c>
      <c r="BK101" s="26" t="s">
        <v>864</v>
      </c>
      <c r="BL101" s="26" t="s">
        <v>864</v>
      </c>
      <c r="BM101" s="26" t="s">
        <v>864</v>
      </c>
      <c r="BN101" s="22">
        <v>44262</v>
      </c>
      <c r="BO101" s="22">
        <v>44971</v>
      </c>
      <c r="BP101" s="21" t="s">
        <v>1380</v>
      </c>
      <c r="BQ101" s="222">
        <f t="shared" si="254"/>
        <v>21.366666666666667</v>
      </c>
      <c r="BR101" s="223">
        <f t="shared" si="255"/>
        <v>44903</v>
      </c>
      <c r="BS101" s="224">
        <f t="shared" si="256"/>
        <v>11.285714285714286</v>
      </c>
      <c r="BT101" s="216" t="str">
        <f t="shared" si="257"/>
        <v>II TRIM</v>
      </c>
      <c r="BU101" s="214" t="str">
        <f t="shared" ca="1" si="258"/>
        <v/>
      </c>
      <c r="BV101" s="25"/>
      <c r="BW101" s="22">
        <v>45001</v>
      </c>
      <c r="BX101" s="28">
        <v>14</v>
      </c>
      <c r="BY101" s="28"/>
      <c r="BZ101" s="22"/>
      <c r="CA101" s="21"/>
      <c r="CB101" s="26" t="s">
        <v>864</v>
      </c>
      <c r="CC101" s="26" t="s">
        <v>864</v>
      </c>
      <c r="CD101" s="26"/>
      <c r="CE101" s="26" t="s">
        <v>864</v>
      </c>
      <c r="CF101" s="22" t="s">
        <v>1517</v>
      </c>
      <c r="CG101" s="21">
        <v>1.53</v>
      </c>
      <c r="CH101" s="21">
        <v>64</v>
      </c>
      <c r="CI101" s="214">
        <f t="shared" si="259"/>
        <v>27.339911999658252</v>
      </c>
      <c r="CJ101" s="225" t="e">
        <f>IF(AND(CI101&lt;10,CH101="SD"),"SIN DATO PESO PREGESTACION O I TRIM",IF(AND(OR(R101&gt;0,O101&gt;0),CI101="X"),"INGRESAR DATO DE PESO",IF(CI101="SD","INGRESAR DATO DE TALLA Y PESO",IF(AND(OR(Tabla1[[#This Row],[MOMENTO EN QUE SE REALIZA EL PESO AL INGRESO A CPN]]="PREGESTACIÓN",NZ101="Menor"),CI101&lt;18.5),"BAJO PESO",IF(AND(OR(Tabla1[[#This Row],[MOMENTO EN QUE SE REALIZA EL PESO AL INGRESO A CPN]]="PREGESTACIÓN",NZ101="Menor"),CI101&lt;25),"NORMAL",IF(AND(OR(Tabla1[[#This Row],[MOMENTO EN QUE SE REALIZA EL PESO AL INGRESO A CPN]]="PREGESTACIÓN",NZ101="Menor"),CI101&lt;30),"SOBREPESO",IF(AND(OR(Tabla1[[#This Row],[MOMENTO EN QUE SE REALIZA EL PESO AL INGRESO A CPN]]="PREGESTACIÓN",NZ101="Menor"),CI101&gt;=30,CI101&lt;50),"OBESIDAD",IF(AND(BS101&gt;0,Tabla1[[#This Row],[MOMENTO EN QUE SE REALIZA EL PESO AL INGRESO A CPN]]="GESTACIÓN"),HLOOKUP(NZ101,$OA$2:PH101,NY101),""))))))))</f>
        <v>#REF!</v>
      </c>
      <c r="CK101" s="212">
        <f t="shared" si="260"/>
        <v>45154</v>
      </c>
      <c r="CL101" s="21">
        <v>66.7</v>
      </c>
      <c r="CM101" s="214">
        <f t="shared" si="261"/>
        <v>28.493314537143835</v>
      </c>
      <c r="CN101" s="216">
        <f t="shared" si="262"/>
        <v>35</v>
      </c>
      <c r="CO101" s="216" t="e">
        <f>IF(PI101="","",IF(PI101&gt;0,HLOOKUP(PI101,$PJ$2:QQ101,NY101),""))</f>
        <v>#REF!</v>
      </c>
      <c r="CP101" s="21">
        <v>29</v>
      </c>
      <c r="CQ101" s="216" t="e">
        <f>IF(QR101="Menor","NO APLICA-MENOR 13 SEM",IF(AND(CC101="SI",CN101&gt;23),"NO APLICA- GEMELAR",IF(QR101="","",IF(QR101&gt;0,HLOOKUP(QR101,$QS$2:RU101,NY101),""))))</f>
        <v>#REF!</v>
      </c>
      <c r="CR101" s="21"/>
      <c r="CS101" s="21"/>
      <c r="CT101" s="217" t="str">
        <f>IF(R101="","",IF(AND(BS101&gt;1,BS101&lt;12,Tabla1[[#This Row],[T.A. SISTOLICA - ANTES DE SEMANA 12]]="",Tabla1[[#This Row],[T.A. DIASTOLICA - ANTES DE SEMANA 12]]=""),"REGISTRE DATO TA ANTES SEMANA 12",IF(AND(BS101&gt;11,BS101&lt;43,Tabla1[[#This Row],[T.A. SISTOLICA - ANTES DE SEMANA 12]]="",Tabla1[[#This Row],[T.A. DIASTOLICA - ANTES DE SEMANA 12]]=""),"NO APLICA REGISTRO TA-INGRESO TARDIO",IF(AND(OR(O101&gt;0,R101&gt;0),OR(CR101&gt;=140,CS101&gt;=90)),"DEFINIR ESTADIO HTA",IF(AND(OR(O101&gt;0,R101&gt;0),AND(CR101&gt;120,CR101&lt;=139)),"PRE HTA SEGUIMIENTO",IF(AND(OR(O101&gt;0,R101&gt;0),AND(CS101&gt;80,CS101&lt;=89)),"PRE HTA SEGUIMIENTO",IF(AND(OR(O101&gt;0,R101&gt;0),AND(CR101&gt;=80,CR101&lt;=120)),"APARENTEMENTE NORMAL",IF(AND(OR(O101&gt;0,R101&gt;0),AND(CS101&gt;=50,CS101&lt;=80)),"APARENTEMENTE NORMAL",IF(AND(OR(O101&gt;0,R101&gt;0),AND(CR101&gt;1,CR101&lt;=70),AND(CS101&gt;1,CS101&lt;=40)),"HIPOTENSIÓN","")))))))))</f>
        <v>REGISTRE DATO TA ANTES SEMANA 12</v>
      </c>
      <c r="CU101" s="21"/>
      <c r="CV101" s="21"/>
      <c r="CW101" s="217" t="str">
        <f ca="1">IF(R101="","",IF(AND(CN101&gt;19,CN101&lt;27,Tabla1[[#This Row],[T.A. SISTOLICA (Entre semana 20 y 26)]]="",Tabla1[[#This Row],[T.A. DIATOLICA (Entre semana 20 y 26)]]=""),"ACUDE A CONTROL SEM 20 A 26 REGISTRE TA AHORA",IF(AND(BS101&gt;1,BS101&lt;27,BU101&gt;19,Tabla1[[#This Row],[T.A. SISTOLICA (Entre semana 20 y 26)]]="",Tabla1[[#This Row],[T.A. DIATOLICA (Entre semana 20 y 26)]]=""),"COMPLETE REGISTRO TA CONTROL SEM 20 A26 ",IF(AND(BS101&gt;26,BS101&lt;43,Tabla1[[#This Row],[T.A. SISTOLICA (Entre semana 20 y 26)]]="",Tabla1[[#This Row],[T.A. DIATOLICA (Entre semana 20 y 26)]]=""),"NO APLICA REGISTRO TA-INGRESO TARDIO",IF(AND(OR(O101&gt;0,R101&gt;0),OR(CU101&gt;=140,CV101&gt;=90)),"ALTO RIESGO PREECLAMPSIA,DEFINIR ESTADIO HTA",IF(AND(OR(O101&gt;0,R101&gt;0),AND(CU101&gt;120,CU101&lt;=139)),"PRE HTA SEGUIMIENTO,RIESGO HIPERTENSION INDUCIDA POR EL EMBARAZO",IF(AND(OR(O101&gt;0,R101&gt;0),AND(CV101&gt;80,CV101&lt;=89)),"PRE HTA SEGUIMIENTO, RIESGO HIPERTENSION INDUCIDA POR EL EMBARAZO",IF(AND(OR(O101&lt;&gt;"",R101&lt;&gt;""),CS101&lt;&gt;"",CV101&lt;&gt;"",CS101&lt;=CV101),"VIGILAR CIFRAS PRESION ARTERIAL",IF(AND(OR(O101&gt;0,R101&gt;0),AND(CU101&gt;120,CU101&lt;=139)),"PRE HTA SEGUIMIENTO",IF(AND(OR(O101&gt;0,R101&gt;0),AND(CU101&gt;1,CU101&lt;=70),AND(CV101&gt;1,CV101&lt;=40)),"HIPOTENSIÓN",IF(AND(OR(O101&lt;&gt;"",R101&lt;&gt;""),CS101&lt;&gt;"",CV101&lt;&gt;"",CS101&gt;CV101),"APARENTEMENTE NORMAL",IF(AND(OR(O101&gt;0,R101&gt;0),AND(CU101&gt;=80,CU101&lt;=120)),"APARENTEMENTE NORMAL",IF(AND(OR(O101&gt;0,R101&gt;0),AND(CV101&gt;=50,CV101&lt;=80)),"APARENTEMENTE NORMAL","")))))))))))))</f>
        <v xml:space="preserve">COMPLETE REGISTRO TA CONTROL SEM 20 A26 </v>
      </c>
      <c r="CX101" s="21">
        <v>100</v>
      </c>
      <c r="CY101" s="21">
        <v>60</v>
      </c>
      <c r="CZ101" s="216" t="str">
        <f t="shared" si="457"/>
        <v>APARENTEMENTE NORMAL</v>
      </c>
      <c r="DA101" s="21">
        <v>100</v>
      </c>
      <c r="DB101" s="21">
        <v>70</v>
      </c>
      <c r="DC101" s="217" t="str">
        <f t="shared" si="264"/>
        <v>VIGILAR CIFRAS PRESION ARTERIAL</v>
      </c>
      <c r="DD101" s="22">
        <v>44971</v>
      </c>
      <c r="DE101" s="22">
        <v>44971</v>
      </c>
      <c r="DF101" s="22">
        <v>44999</v>
      </c>
      <c r="DG101" s="22">
        <v>44999</v>
      </c>
      <c r="DH101" s="22">
        <v>45090</v>
      </c>
      <c r="DI101" s="22">
        <v>45120</v>
      </c>
      <c r="DJ101" s="339"/>
      <c r="DK101" s="22">
        <v>45154</v>
      </c>
      <c r="DL101" s="22"/>
      <c r="DM101" s="22"/>
      <c r="DN101" s="22"/>
      <c r="DO101" s="22"/>
      <c r="DP101" s="22"/>
      <c r="DQ101" s="22"/>
      <c r="DR101" s="28">
        <v>0</v>
      </c>
      <c r="DS101" s="22"/>
      <c r="DT101" s="22"/>
      <c r="DU101" s="216" t="str">
        <f t="shared" ca="1" si="439"/>
        <v>CONCERTAR PLAN DE PARTO INMEDIATO</v>
      </c>
      <c r="DV101" s="226" t="str">
        <f t="shared" si="440"/>
        <v>ACTIVA INGRESO A CPN</v>
      </c>
      <c r="DW10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01" s="216" t="e">
        <f t="shared" ca="1" si="266"/>
        <v>#REF!</v>
      </c>
      <c r="DY101" s="212">
        <f>IF(R101="","",IF(R101&gt;0,MAX(Tabla1[[#This Row],[FECHA C2]:[FECHA C13]],Tabla1[[#This Row],[FECHA CONSULTA PRIMERA VEZ PROGRAMA CPN ]])))</f>
        <v>45154</v>
      </c>
      <c r="DZ101" s="216">
        <f t="shared" si="267"/>
        <v>35</v>
      </c>
      <c r="EA101" s="222">
        <f>IF(R101&gt;0,SUM(COUNTA(DF101:DQ101)+COUNTA(Tabla1[[#This Row],[FECHA CONSULTA PRIMERA VEZ PROGRAMA CPN ]])),"")</f>
        <v>6</v>
      </c>
      <c r="EB101" s="222" t="str">
        <f t="shared" si="268"/>
        <v>SI</v>
      </c>
      <c r="EC101" s="214">
        <f t="shared" si="269"/>
        <v>9</v>
      </c>
      <c r="ED101" s="227">
        <f t="shared" si="270"/>
        <v>0.66666666666666663</v>
      </c>
      <c r="EE101" s="22">
        <v>44971</v>
      </c>
      <c r="EF101" s="22">
        <v>44971</v>
      </c>
      <c r="EG101" s="22">
        <v>44971</v>
      </c>
      <c r="EH101" s="22"/>
      <c r="EI101" s="22">
        <v>44971</v>
      </c>
      <c r="EJ101" s="22">
        <v>44987</v>
      </c>
      <c r="EK101" s="344">
        <v>44992</v>
      </c>
      <c r="EL101" s="21"/>
      <c r="EM101" s="21">
        <v>14.3</v>
      </c>
      <c r="EN101" s="22">
        <v>44989</v>
      </c>
      <c r="EO101" s="222">
        <f t="shared" si="271"/>
        <v>12.285714285714286</v>
      </c>
      <c r="EP101" s="214" t="str">
        <f t="shared" si="272"/>
        <v>NO DAR SULFATO FERROSO</v>
      </c>
      <c r="EQ101" s="216" t="str">
        <f t="shared" si="273"/>
        <v>I TRIM</v>
      </c>
      <c r="ER101" s="24">
        <v>13.7</v>
      </c>
      <c r="ES101" s="22">
        <v>45124</v>
      </c>
      <c r="ET101" s="29">
        <f t="shared" ca="1" si="441"/>
        <v>31.571428571428573</v>
      </c>
      <c r="EU101" s="25" t="str">
        <f t="shared" si="275"/>
        <v>NORMAL- SUMINISTRAR SULFATO FERROSO</v>
      </c>
      <c r="EV101" s="24" t="s">
        <v>1510</v>
      </c>
      <c r="EW101" s="24">
        <v>44989</v>
      </c>
      <c r="EX101" s="22"/>
      <c r="EY101" s="29">
        <f t="shared" si="454"/>
        <v>12.285714285714286</v>
      </c>
      <c r="EZ101" s="25" t="str">
        <f t="shared" si="455"/>
        <v>SIN RIESGO DE ISOINMUNIZACIÓN</v>
      </c>
      <c r="FA101" s="21"/>
      <c r="FB101" s="22"/>
      <c r="FC101" s="29" t="str">
        <f t="shared" si="276"/>
        <v>TOMAR EXAMEN</v>
      </c>
      <c r="FD101" s="29">
        <v>77</v>
      </c>
      <c r="FE101" s="29">
        <v>160</v>
      </c>
      <c r="FF101" s="29">
        <v>149</v>
      </c>
      <c r="FG101" s="21" t="str">
        <f t="shared" ca="1" si="277"/>
        <v>NORMAL</v>
      </c>
      <c r="FH101" s="31">
        <v>45097</v>
      </c>
      <c r="FI101" s="29">
        <f t="shared" si="278"/>
        <v>27.714285714285715</v>
      </c>
      <c r="FJ101" s="22" t="s">
        <v>867</v>
      </c>
      <c r="FK101" s="22">
        <v>44989</v>
      </c>
      <c r="FL101" s="29">
        <f t="shared" ca="1" si="279"/>
        <v>12.285714285714286</v>
      </c>
      <c r="FM101" s="22"/>
      <c r="FN101" s="32"/>
      <c r="FO101" s="29" t="str">
        <f t="shared" ca="1" si="442"/>
        <v>PIERDE TOMA DE TAMIZAJE</v>
      </c>
      <c r="FP101" s="22" t="s">
        <v>867</v>
      </c>
      <c r="FQ101" s="32">
        <v>45097</v>
      </c>
      <c r="FR101" s="29">
        <f t="shared" ca="1" si="443"/>
        <v>27.714285714285715</v>
      </c>
      <c r="FS101" s="22"/>
      <c r="FT101" s="32"/>
      <c r="FU101" s="29" t="str">
        <f>IF(AND(FJ101="",FM101="",FP101="",FS101=""),"",IF(OR(OR(Tabla1[[#This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01" s="28"/>
      <c r="FW101" s="22"/>
      <c r="FX101" s="29" t="str">
        <f t="shared" si="280"/>
        <v>TOMAR EXAMEN</v>
      </c>
      <c r="FY101" s="22">
        <v>44989</v>
      </c>
      <c r="FZ101" s="22">
        <v>44989</v>
      </c>
      <c r="GA101" s="29">
        <f t="shared" ca="1" si="453"/>
        <v>12.285714285714286</v>
      </c>
      <c r="GB101" s="22" t="s">
        <v>868</v>
      </c>
      <c r="GC101" s="22">
        <v>45097</v>
      </c>
      <c r="GD101" s="29" t="str">
        <f t="shared" ca="1" si="444"/>
        <v>REGISTRAR EN III TRIMESTRE</v>
      </c>
      <c r="GE101" s="22" t="s">
        <v>868</v>
      </c>
      <c r="GF101" s="22">
        <v>45097</v>
      </c>
      <c r="GG101" s="29">
        <f t="shared" ca="1" si="445"/>
        <v>27.714285714285715</v>
      </c>
      <c r="GH101" s="22"/>
      <c r="GI101" s="29"/>
      <c r="GJ101" s="22"/>
      <c r="GK101" s="22"/>
      <c r="GL101" s="22"/>
      <c r="GM101" s="22"/>
      <c r="GN101" s="28" t="s">
        <v>869</v>
      </c>
      <c r="GO101" s="22">
        <v>44989</v>
      </c>
      <c r="GP101" s="29">
        <f t="shared" si="283"/>
        <v>12.285714285714286</v>
      </c>
      <c r="GQ101" s="28" t="s">
        <v>869</v>
      </c>
      <c r="GR101" s="28" t="s">
        <v>869</v>
      </c>
      <c r="GS101" s="22" t="str">
        <f t="shared" si="458"/>
        <v>CONTROL Igm</v>
      </c>
      <c r="GT101" s="22">
        <v>44989</v>
      </c>
      <c r="GU101" s="29">
        <f t="shared" si="285"/>
        <v>2.5714285714285716</v>
      </c>
      <c r="GV101" s="21" t="str">
        <f t="shared" si="286"/>
        <v>I TRIM</v>
      </c>
      <c r="GW101" s="28" t="s">
        <v>869</v>
      </c>
      <c r="GX101" s="30"/>
      <c r="GY101" s="21"/>
      <c r="GZ101" s="21"/>
      <c r="HA101" s="21"/>
      <c r="HB101" s="21"/>
      <c r="HC101" s="21"/>
      <c r="HD101" s="21"/>
      <c r="HE101" s="21"/>
      <c r="HF101" s="22"/>
      <c r="HG101" s="22" t="str">
        <f>IF(OR(O101&gt;0,R101&gt;0),CONCATENATE(IF(Tabla1[[#This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01" s="22" t="e">
        <f t="shared" si="287"/>
        <v>#REF!</v>
      </c>
      <c r="HI101" s="22" t="e">
        <f t="shared" ca="1" si="288"/>
        <v>#REF!</v>
      </c>
      <c r="HJ101" s="21" t="str">
        <f t="shared" ca="1" si="289"/>
        <v>************************RIESGO POR EDAD***************</v>
      </c>
      <c r="HK101" s="21" t="str">
        <f t="shared" si="290"/>
        <v>SIN ANTECEDENTES DE RIESGO</v>
      </c>
      <c r="HL101" s="24" t="str">
        <f t="shared" si="291"/>
        <v>VIGILAR CIFRAS PRESION ARTERIAL</v>
      </c>
      <c r="HM101" s="21" t="e">
        <f t="shared" ca="1" si="292"/>
        <v>#REF!</v>
      </c>
      <c r="HN101" s="30" t="str">
        <f t="shared" si="446"/>
        <v>ACTIVA INGRESO A CPN</v>
      </c>
      <c r="HO101" s="21"/>
      <c r="HP101" s="21"/>
      <c r="HQ101" s="21">
        <v>45030</v>
      </c>
      <c r="HR101" s="21" t="str">
        <f>IF(R101="","",IF(Tabla1[[#This Row],[ALARMA FACTORES DE RIESGO COMPLICACIONES HIPERTENSIVAS3]]="SIN ANTECEDENTES DE RIESGO","No Aplica para suministro de ASA",IF(AND(Tabla1[[#This Row],[FECHA INICIO DE SUMINISTRO DE ASA]]&gt;0,RV101&lt;12),"Inicia ASA ANTES de Sem 12",IF(AND(RV101&gt;11,RV101&lt;17,OR(HK101="RIESGO ALTO DE COMPLICACIONES HIPERTENSIVAS VER MANEJO GUIA SUMINISTRO ASA Y CALCIO",HK101="RIESGO MODERADO (2 O MAS CRITERIOS) VER MANEJO GUIA SUMINISTRO ASA Y CALCIO")),"Inicio oportuno de ASA",IF(AND(RV101&gt;12,OR(HK101="RIESGO ALTO DE COMPLICACIONES HIPERTENSIVAS VER MANEJO GUIA SUMINISTRO ASA Y CALCIO",HK101="RIESGO MODERADO (2 O MAS CRITERIOS) VER MANEJO GUIA SUMINISTRO ASA Y CALCIO")),"Inicio no oportuno mayor a 16 semanas",IF(AND(BU101&lt;12,OR(HK101="RIESGO ALTO DE COMPLICACIONES HIPERTENSIVAS VER MANEJO GUIA SUMINISTRO ASA Y CALCIO",HK101="RIESGO MODERADO (2 O MAS CRITERIOS) VER MANEJO GUIA SUMINISTRO ASA Y CALCIO")),"Pendiente Inicio de ASA a la semana 12",IF(AND(BU101&gt;11,BU101&lt;17,OR(HK101="RIESGO ALTO DE COMPLICACIONES HIPERTENSIVAS VER MANEJO GUIA SUMINISTRO ASA Y CALCIO",HK101="RIESGO MODERADO (2 O MAS CRITERIOS) VER MANEJO GUIA SUMINISTRO ASA Y CALCIO")),"Iniciar de inmediato ASA",IF(AND(BU101&gt;16,OR(HK101="RIESGO ALTO DE COMPLICACIONES HIPERTENSIVAS VER MANEJO GUIA SUMINISTRO ASA Y CALCIO",HK101="RIESGO MODERADO (2 O MAS CRITERIOS) VER MANEJO GUIA SUMINISTRO ASA Y CALCIO")),"Pierde Oportunidad, Inicio tardío de ASA","XXXXX"))))))))</f>
        <v>No Aplica para suministro de ASA</v>
      </c>
      <c r="HS101" s="22">
        <v>45030</v>
      </c>
      <c r="HT101" s="22" t="s">
        <v>870</v>
      </c>
      <c r="HU101" s="22"/>
      <c r="HV101" s="22"/>
      <c r="HW101" s="22">
        <v>45030</v>
      </c>
      <c r="HX101" s="22" t="s">
        <v>870</v>
      </c>
      <c r="HY101" s="22"/>
      <c r="HZ101" s="28" t="str">
        <f t="shared" si="293"/>
        <v>PENDIENTE CONSULTA</v>
      </c>
      <c r="IA101" s="26"/>
      <c r="IB101" s="26"/>
      <c r="IC101" s="111"/>
      <c r="ID101" s="22"/>
      <c r="IE101" s="22" t="str">
        <f t="shared" ca="1" si="294"/>
        <v/>
      </c>
      <c r="IF101" s="22"/>
      <c r="IG101" s="22">
        <f t="shared" si="295"/>
        <v>45183</v>
      </c>
      <c r="IH101" s="29">
        <f t="shared" ca="1" si="296"/>
        <v>-49</v>
      </c>
      <c r="II101" s="22" t="str">
        <f t="shared" ca="1" si="297"/>
        <v>POSIBLEMENTE NACIO</v>
      </c>
      <c r="IJ101" s="22"/>
      <c r="IK101" s="21"/>
      <c r="IL101" s="21"/>
      <c r="IM101" s="34"/>
      <c r="IN101" s="349"/>
      <c r="IO101" s="21"/>
      <c r="IP101" s="29" t="str">
        <f t="shared" si="436"/>
        <v/>
      </c>
      <c r="IQ101" s="110"/>
      <c r="IR101" s="21"/>
      <c r="IS101" s="21"/>
      <c r="IT101" s="21"/>
      <c r="IU101" s="21"/>
      <c r="IV101" s="21"/>
      <c r="IW101" s="21"/>
      <c r="IX101" s="21"/>
      <c r="IY101" s="21"/>
      <c r="IZ101" s="21"/>
      <c r="JA101" s="21"/>
      <c r="JB101" s="30"/>
      <c r="JC101" s="21"/>
      <c r="JD101" s="36"/>
      <c r="JE101" s="21" t="str">
        <f t="shared" si="447"/>
        <v/>
      </c>
      <c r="JF101" s="30"/>
      <c r="JG101" s="21"/>
      <c r="JH101" s="21"/>
      <c r="JI101" s="21"/>
      <c r="JJ101" s="30"/>
      <c r="JK101" s="22"/>
      <c r="JL101" s="22"/>
      <c r="JM101" s="21"/>
      <c r="JN101" s="36"/>
      <c r="JO101" s="21" t="str">
        <f t="shared" si="448"/>
        <v/>
      </c>
      <c r="JP101" s="22"/>
      <c r="JQ101" s="21"/>
      <c r="JR101" s="21"/>
      <c r="JS101" s="21"/>
      <c r="JT101" s="30"/>
      <c r="JU101" s="22"/>
      <c r="JV101" s="22"/>
      <c r="JW101" s="33"/>
      <c r="JX101" s="28" t="str">
        <f t="shared" si="449"/>
        <v/>
      </c>
      <c r="JY101" s="33"/>
      <c r="JZ101" s="28" t="str">
        <f t="shared" si="450"/>
        <v/>
      </c>
      <c r="KA101" s="21"/>
      <c r="KB101" s="21"/>
      <c r="KC101" s="21"/>
      <c r="KD101" s="37"/>
      <c r="KE101" s="28"/>
      <c r="KF101" s="28"/>
      <c r="KG101" s="28"/>
      <c r="KH101" s="39"/>
      <c r="KI101" s="39"/>
      <c r="KJ101" s="66"/>
      <c r="KK101" s="39"/>
      <c r="KL101" s="39"/>
      <c r="KM101" s="66"/>
      <c r="KN101" s="39"/>
      <c r="KO101" s="39"/>
      <c r="KP101" s="39"/>
      <c r="KQ101" s="39"/>
      <c r="KR101" s="39"/>
      <c r="KS101" s="39"/>
      <c r="KT101" s="39"/>
      <c r="KU101" s="38"/>
      <c r="KV101" s="38"/>
      <c r="KW101" s="38"/>
      <c r="KX101" s="38"/>
      <c r="KY101" s="38"/>
      <c r="KZ101" s="38"/>
      <c r="LA101" s="38"/>
      <c r="LB101" s="38"/>
      <c r="LC101" s="38"/>
      <c r="LD101" s="38"/>
      <c r="LE101" s="38"/>
      <c r="LF101" s="38"/>
      <c r="LG101" s="38"/>
      <c r="LH101" s="38"/>
      <c r="LI101" s="38"/>
      <c r="LJ101" s="38"/>
      <c r="LK101" s="38"/>
      <c r="LL101" s="38"/>
      <c r="LM101" s="38"/>
      <c r="LN101" s="38"/>
      <c r="LO101" s="38"/>
      <c r="LP101" s="38"/>
      <c r="LQ101" s="38"/>
      <c r="LR101" s="38"/>
      <c r="LS101" s="38"/>
      <c r="LT101" s="38"/>
      <c r="LU101" s="38"/>
      <c r="LV101" s="38"/>
      <c r="LW101" s="38"/>
      <c r="LX101" s="38"/>
      <c r="LY101" s="38"/>
      <c r="LZ101" s="38"/>
      <c r="MA101" s="38"/>
      <c r="MB101" s="38"/>
      <c r="MC101" s="38"/>
      <c r="MD101" s="38"/>
      <c r="ME101" s="38"/>
      <c r="MF101" s="38"/>
      <c r="MG101" s="38"/>
      <c r="MH101" s="43">
        <f t="shared" si="459"/>
        <v>0</v>
      </c>
      <c r="MI101" s="43" t="str">
        <f t="shared" si="460"/>
        <v/>
      </c>
      <c r="MJ101" s="43" t="str">
        <f t="shared" si="461"/>
        <v/>
      </c>
      <c r="MK101" s="43">
        <f t="shared" si="462"/>
        <v>0</v>
      </c>
      <c r="ML10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01" s="43">
        <f t="shared" si="463"/>
        <v>11.285714285714286</v>
      </c>
      <c r="MN101" s="43">
        <f t="shared" si="464"/>
        <v>2</v>
      </c>
      <c r="MO101" s="43">
        <f t="shared" si="465"/>
        <v>2023</v>
      </c>
      <c r="MP101" s="43" t="str">
        <f t="shared" si="466"/>
        <v>I TRIMESTRE AÑO</v>
      </c>
      <c r="MQ101" s="43">
        <f t="shared" si="467"/>
        <v>38.187144108628992</v>
      </c>
      <c r="MR101" s="43">
        <f t="shared" si="468"/>
        <v>2</v>
      </c>
      <c r="MS101" s="43" t="str">
        <f t="shared" si="469"/>
        <v xml:space="preserve"> DE 35 A 39 AÑOS</v>
      </c>
      <c r="MT101" s="43">
        <f t="shared" si="470"/>
        <v>0</v>
      </c>
      <c r="MU101" s="43">
        <f t="shared" si="471"/>
        <v>0</v>
      </c>
      <c r="MV101" s="43">
        <f t="shared" si="472"/>
        <v>0</v>
      </c>
      <c r="MW101" s="43">
        <f t="shared" si="473"/>
        <v>0</v>
      </c>
      <c r="MX101" s="43" t="str">
        <f t="shared" si="474"/>
        <v/>
      </c>
      <c r="MY101" s="43" t="str">
        <f t="shared" ca="1" si="451"/>
        <v/>
      </c>
      <c r="MZ101" s="43" t="str">
        <f t="shared" si="475"/>
        <v/>
      </c>
      <c r="NA101" s="43" t="str">
        <f t="shared" si="476"/>
        <v/>
      </c>
      <c r="NB101" s="43" t="str">
        <f t="shared" si="477"/>
        <v/>
      </c>
      <c r="NC101" s="43" t="str">
        <f t="shared" si="478"/>
        <v/>
      </c>
      <c r="ND101" s="43">
        <f t="shared" ca="1" si="479"/>
        <v>2</v>
      </c>
      <c r="NE101" s="43">
        <f>IF(OR(O101&gt;0,R101&gt;0),SUM(COUNTIF(Tabla1[[#This Row],[AÑOS AL INICIO5 CPN]],"&gt;=40"),COUNTIF(AS101,"0"),COUNTIF(AR101,"SI"),COUNTIF(CC101,"SI"),COUNTIF(BQ101,"&gt;119"),COUNTIF(CI101,"&gt;=35")),"")</f>
        <v>0</v>
      </c>
      <c r="NF101" s="43" t="str">
        <f t="shared" si="480"/>
        <v/>
      </c>
      <c r="NG101" s="43">
        <f t="shared" si="481"/>
        <v>0</v>
      </c>
      <c r="NH101" s="43">
        <f t="shared" si="482"/>
        <v>98</v>
      </c>
      <c r="NI10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CPN",P101="NO"),"Z",IF(AND(Tabla1[[#This Row],[CITA PROXIMO CONTROL]]="CITA MANUAL",Tabla1[[#This Row],[GESTANTES ACTUALES]]="ACTIVA INGRESO A CPN"),"W",IF(AND(Tabla1[[#This Row],[GESTANTES ACTUALES]]="SALIO PROGRAMA",IN101=""),"S",IF(AND(Tabla1[[#This Row],[CITA PROXIMO CONTROL]]&gt;0,IN101=""),(Tabla1[[#This Row],[CITA PROXIMO CONTROL]]-TODAY()),"SD"))))))))</f>
        <v>#REF!</v>
      </c>
      <c r="NJ101" s="43">
        <f>MONTH(Tabla1[[#This Row],[FECHA DE SALIDA  DEL PROGRAMA]])</f>
        <v>1</v>
      </c>
      <c r="NK101" s="43">
        <f>YEAR(Tabla1[[#This Row],[FECHA DE SALIDA  DEL PROGRAMA]])</f>
        <v>1900</v>
      </c>
      <c r="NL101" s="43">
        <f t="shared" si="483"/>
        <v>16</v>
      </c>
      <c r="NM101" s="43" t="str">
        <f t="shared" si="456"/>
        <v>NO</v>
      </c>
      <c r="NN101" s="43" t="str">
        <f ca="1">IF(AND(O101&gt;0,R101=""),"NO CPN",IF(AND(O101="",R101=""),"",IF(AND(R101&gt;0,Tabla1[[#This Row],[SEMANAS DE GESTACION ACTUALIZADAS]]&lt;=12),"NO APLICA",IF(AND(FH101&lt;&gt;"",FN101&lt;&gt;""),"SI","NO"))))</f>
        <v>NO</v>
      </c>
      <c r="NO101" s="43" t="str">
        <f ca="1">IF(AND(O101&gt;0,R101=""),"NO CPN",IF(AND(O101="",R101=""),"",IF(AND(R101&gt;0,Tabla1[[#This Row],[SEMANAS DE GESTACION ACTUALIZADAS]]&lt;=27),"NO APLICA",IF(AND(ES101&lt;&gt;"",FQ101&lt;&gt;"",GF101&lt;&gt;""),"SI","NO"))))</f>
        <v>SI</v>
      </c>
      <c r="NP101" s="204" t="str">
        <f t="shared" si="484"/>
        <v>I TRIM</v>
      </c>
      <c r="NQ101" s="21">
        <f t="shared" si="437"/>
        <v>10</v>
      </c>
      <c r="NR101" s="21" t="str">
        <f t="shared" ca="1" si="452"/>
        <v>REVISAR FUM O FECHA SALIDA PROGRAMA</v>
      </c>
      <c r="NS101" s="205">
        <f t="shared" ca="1" si="485"/>
        <v>2</v>
      </c>
      <c r="NT101" s="21">
        <f t="shared" ca="1" si="486"/>
        <v>2</v>
      </c>
      <c r="NU101" s="21" t="str">
        <f t="shared" ca="1" si="487"/>
        <v>POR DEFINIR</v>
      </c>
      <c r="NV101" s="21" t="str">
        <f t="shared" ca="1" si="488"/>
        <v>POR DEFINIR</v>
      </c>
      <c r="NW101" s="206" t="str">
        <f>IF(AND(O101="",R101=""),"",IF(OR(AND(Tabla1[[#This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01" s="207" t="str">
        <f t="shared" ca="1" si="489"/>
        <v>SIN VACUNAR</v>
      </c>
      <c r="NY101" s="43">
        <f>ROW(Tabla1[[#This Row],['# DE TAMIZAJES SIFILIS TOMADOS ]])</f>
        <v>101</v>
      </c>
      <c r="NZ101" s="43">
        <f t="shared" si="334"/>
        <v>11</v>
      </c>
      <c r="OA101" s="43" t="str">
        <f t="shared" si="335"/>
        <v/>
      </c>
      <c r="OB101" s="43" t="str">
        <f t="shared" si="336"/>
        <v/>
      </c>
      <c r="OC101" s="43" t="str">
        <f t="shared" si="337"/>
        <v>SOBREPESO</v>
      </c>
      <c r="OD101" s="43" t="str">
        <f t="shared" si="338"/>
        <v/>
      </c>
      <c r="OE101" s="43" t="str">
        <f t="shared" si="339"/>
        <v/>
      </c>
      <c r="OF101" s="43" t="str">
        <f t="shared" si="340"/>
        <v/>
      </c>
      <c r="OG101" s="43" t="str">
        <f t="shared" si="341"/>
        <v/>
      </c>
      <c r="OH101" s="43" t="str">
        <f t="shared" si="342"/>
        <v/>
      </c>
      <c r="OI101" s="43" t="str">
        <f t="shared" si="343"/>
        <v/>
      </c>
      <c r="OJ101" s="43" t="str">
        <f t="shared" si="344"/>
        <v/>
      </c>
      <c r="OK101" s="43" t="str">
        <f t="shared" si="345"/>
        <v/>
      </c>
      <c r="OL101" s="43" t="str">
        <f t="shared" si="346"/>
        <v/>
      </c>
      <c r="OM101" s="43" t="str">
        <f t="shared" si="347"/>
        <v/>
      </c>
      <c r="ON101" s="43" t="str">
        <f t="shared" si="348"/>
        <v/>
      </c>
      <c r="OO101" s="43" t="str">
        <f t="shared" si="349"/>
        <v/>
      </c>
      <c r="OP101" s="43" t="str">
        <f t="shared" si="350"/>
        <v/>
      </c>
      <c r="OQ101" s="43" t="str">
        <f t="shared" si="351"/>
        <v/>
      </c>
      <c r="OR101" s="43" t="str">
        <f t="shared" si="352"/>
        <v/>
      </c>
      <c r="OS101" s="43" t="str">
        <f t="shared" si="353"/>
        <v/>
      </c>
      <c r="OT101" s="43" t="str">
        <f t="shared" si="354"/>
        <v/>
      </c>
      <c r="OU101" s="43" t="str">
        <f t="shared" si="355"/>
        <v/>
      </c>
      <c r="OV101" s="110" t="str">
        <f t="shared" si="356"/>
        <v/>
      </c>
      <c r="OW101" s="43" t="str">
        <f t="shared" si="357"/>
        <v/>
      </c>
      <c r="OX101" s="43" t="str">
        <f t="shared" si="358"/>
        <v/>
      </c>
      <c r="OY101" s="43" t="str">
        <f t="shared" si="359"/>
        <v/>
      </c>
      <c r="OZ101" s="43" t="str">
        <f t="shared" si="360"/>
        <v/>
      </c>
      <c r="PA101" s="43" t="str">
        <f t="shared" si="361"/>
        <v/>
      </c>
      <c r="PB101" s="43" t="str">
        <f t="shared" si="362"/>
        <v/>
      </c>
      <c r="PC101" s="43" t="str">
        <f t="shared" si="363"/>
        <v/>
      </c>
      <c r="PD101" s="43" t="str">
        <f t="shared" si="364"/>
        <v/>
      </c>
      <c r="PE101" s="43" t="str">
        <f t="shared" si="365"/>
        <v/>
      </c>
      <c r="PF101" s="43" t="str">
        <f t="shared" si="366"/>
        <v/>
      </c>
      <c r="PG101" s="43" t="str">
        <f t="shared" si="367"/>
        <v/>
      </c>
      <c r="PH101" s="43" t="str">
        <f t="shared" si="368"/>
        <v/>
      </c>
      <c r="PI101" s="43">
        <f t="shared" si="369"/>
        <v>35</v>
      </c>
      <c r="PJ101" s="43" t="str">
        <f t="shared" si="370"/>
        <v/>
      </c>
      <c r="PK101" s="43" t="str">
        <f t="shared" si="371"/>
        <v/>
      </c>
      <c r="PL101" s="43" t="str">
        <f t="shared" si="372"/>
        <v/>
      </c>
      <c r="PM101" s="43" t="str">
        <f t="shared" si="373"/>
        <v/>
      </c>
      <c r="PN101" s="43" t="str">
        <f t="shared" si="374"/>
        <v/>
      </c>
      <c r="PO101" s="43" t="str">
        <f t="shared" si="375"/>
        <v/>
      </c>
      <c r="PP101" s="43" t="str">
        <f t="shared" si="376"/>
        <v/>
      </c>
      <c r="PQ101" s="43" t="str">
        <f t="shared" si="377"/>
        <v/>
      </c>
      <c r="PR101" s="43" t="str">
        <f t="shared" si="378"/>
        <v/>
      </c>
      <c r="PS101" s="43" t="str">
        <f t="shared" si="379"/>
        <v/>
      </c>
      <c r="PT101" s="43" t="str">
        <f t="shared" si="380"/>
        <v/>
      </c>
      <c r="PU101" s="43" t="str">
        <f t="shared" si="381"/>
        <v/>
      </c>
      <c r="PV101" s="43" t="str">
        <f t="shared" si="382"/>
        <v/>
      </c>
      <c r="PW101" s="43" t="str">
        <f t="shared" si="383"/>
        <v/>
      </c>
      <c r="PX101" s="43" t="str">
        <f t="shared" si="384"/>
        <v/>
      </c>
      <c r="PY101" s="43" t="str">
        <f t="shared" si="385"/>
        <v/>
      </c>
      <c r="PZ101" s="43" t="str">
        <f t="shared" si="386"/>
        <v/>
      </c>
      <c r="QA101" s="43" t="str">
        <f t="shared" si="387"/>
        <v/>
      </c>
      <c r="QB101" s="43" t="str">
        <f t="shared" si="388"/>
        <v/>
      </c>
      <c r="QC101" s="43" t="str">
        <f t="shared" si="389"/>
        <v/>
      </c>
      <c r="QD101" s="43" t="str">
        <f t="shared" si="390"/>
        <v/>
      </c>
      <c r="QE101" s="43" t="str">
        <f t="shared" si="391"/>
        <v/>
      </c>
      <c r="QF101" s="43" t="str">
        <f t="shared" si="392"/>
        <v/>
      </c>
      <c r="QG101" s="43" t="str">
        <f t="shared" si="393"/>
        <v/>
      </c>
      <c r="QH101" s="43" t="str">
        <f t="shared" si="394"/>
        <v/>
      </c>
      <c r="QI101" s="43" t="str">
        <f t="shared" si="395"/>
        <v/>
      </c>
      <c r="QJ101" s="43" t="str">
        <f t="shared" si="396"/>
        <v>NORMAL</v>
      </c>
      <c r="QK101" s="43" t="str">
        <f t="shared" si="397"/>
        <v/>
      </c>
      <c r="QL101" s="43" t="str">
        <f t="shared" si="398"/>
        <v/>
      </c>
      <c r="QM101" s="43" t="str">
        <f t="shared" si="399"/>
        <v/>
      </c>
      <c r="QN101" s="43" t="str">
        <f t="shared" si="400"/>
        <v/>
      </c>
      <c r="QO101" s="43" t="str">
        <f t="shared" si="401"/>
        <v/>
      </c>
      <c r="QP101" s="43" t="str">
        <f t="shared" si="402"/>
        <v/>
      </c>
      <c r="QQ101" s="43" t="str">
        <f t="shared" si="403"/>
        <v/>
      </c>
      <c r="QR101" s="43">
        <f t="shared" si="433"/>
        <v>35</v>
      </c>
      <c r="QS101" s="43"/>
      <c r="QT101" s="21" t="str">
        <f t="shared" si="404"/>
        <v/>
      </c>
      <c r="QU101" s="21" t="str">
        <f t="shared" si="405"/>
        <v/>
      </c>
      <c r="QV101" s="21" t="str">
        <f t="shared" si="406"/>
        <v/>
      </c>
      <c r="QW101" s="21" t="str">
        <f t="shared" si="407"/>
        <v/>
      </c>
      <c r="QX101" s="21" t="str">
        <f t="shared" si="408"/>
        <v/>
      </c>
      <c r="QY101" s="21" t="str">
        <f t="shared" si="409"/>
        <v/>
      </c>
      <c r="QZ101" s="21" t="str">
        <f t="shared" si="410"/>
        <v/>
      </c>
      <c r="RA101" s="21" t="str">
        <f t="shared" si="411"/>
        <v/>
      </c>
      <c r="RB101" s="21" t="str">
        <f t="shared" si="412"/>
        <v/>
      </c>
      <c r="RC101" s="21" t="str">
        <f t="shared" si="413"/>
        <v/>
      </c>
      <c r="RD101" s="21" t="str">
        <f t="shared" si="414"/>
        <v/>
      </c>
      <c r="RE101" s="21" t="str">
        <f t="shared" si="415"/>
        <v/>
      </c>
      <c r="RF101" s="21" t="str">
        <f t="shared" si="416"/>
        <v/>
      </c>
      <c r="RG101" s="21" t="str">
        <f t="shared" si="417"/>
        <v/>
      </c>
      <c r="RH101" s="21" t="str">
        <f t="shared" si="418"/>
        <v/>
      </c>
      <c r="RI101" s="21" t="str">
        <f t="shared" si="419"/>
        <v/>
      </c>
      <c r="RJ101" s="21" t="str">
        <f t="shared" si="420"/>
        <v/>
      </c>
      <c r="RK101" s="21" t="str">
        <f t="shared" si="421"/>
        <v/>
      </c>
      <c r="RL101" s="21" t="str">
        <f t="shared" si="422"/>
        <v/>
      </c>
      <c r="RM101" s="21" t="str">
        <f t="shared" si="423"/>
        <v/>
      </c>
      <c r="RN101" s="21" t="str">
        <f t="shared" si="424"/>
        <v/>
      </c>
      <c r="RO101" s="21" t="str">
        <f t="shared" si="425"/>
        <v/>
      </c>
      <c r="RP101" s="21" t="str">
        <f t="shared" si="426"/>
        <v>ADECUADO PARA EDAD GESTACIONAL</v>
      </c>
      <c r="RQ101" s="21" t="str">
        <f t="shared" si="427"/>
        <v/>
      </c>
      <c r="RR101" s="21" t="str">
        <f t="shared" si="428"/>
        <v/>
      </c>
      <c r="RS101" s="21" t="str">
        <f t="shared" si="429"/>
        <v/>
      </c>
      <c r="RT101" s="21" t="str">
        <f t="shared" si="430"/>
        <v/>
      </c>
      <c r="RU101" s="21" t="str">
        <f t="shared" si="431"/>
        <v/>
      </c>
      <c r="RV101" s="21">
        <f t="shared" si="432"/>
        <v>18.142857142857142</v>
      </c>
      <c r="RW101" s="284">
        <f>IF(OR(Tabla1[[#This Row],[FUM FORMULA CONFIABLE]]="",Tabla1[[#This Row],[FUM FORMULA CONFIABLE]]="SD"),"",IF(Tabla1[[#This Row],[FUM FORMULA CONFIABLE]]="CORREGIDA",Tabla1[[#This Row],[FUM X ECO 1]],Tabla1[[#This Row],[FUM x AMENORREA]]))</f>
        <v>44903</v>
      </c>
      <c r="RX101" s="21">
        <f>IF(AND(Tabla1[[#This Row],[FUM X ECO 1]]="",Tabla1[[#This Row],[FUM x AMENORREA]]=""),"",IF(AND(Tabla1[[#This Row],[FUM X ECO 1]]="",Tabla1[[#This Row],[FUM x AMENORREA]]&lt;&gt;""),"X",SUM(Tabla1[[#This Row],[FUM X ECO 1]]-Tabla1[[#This Row],[FUM x AMENORREA]])))</f>
        <v>-68</v>
      </c>
      <c r="RY101" s="21">
        <f t="shared" si="434"/>
        <v>1</v>
      </c>
    </row>
    <row r="102" spans="1:493" ht="45" customHeight="1" x14ac:dyDescent="0.25">
      <c r="A102" s="109"/>
      <c r="B102" s="43"/>
      <c r="C102" s="43" t="s">
        <v>845</v>
      </c>
      <c r="D102" s="124"/>
      <c r="E102" s="43" t="s">
        <v>944</v>
      </c>
      <c r="F102" s="43" t="s">
        <v>1147</v>
      </c>
      <c r="G102" s="43" t="s">
        <v>1304</v>
      </c>
      <c r="H102" s="43"/>
      <c r="I102" s="109" t="s">
        <v>851</v>
      </c>
      <c r="J102" s="110">
        <v>1002848765</v>
      </c>
      <c r="K102" s="43" t="s">
        <v>852</v>
      </c>
      <c r="L102" s="175" t="s">
        <v>853</v>
      </c>
      <c r="M102" s="22">
        <v>36517</v>
      </c>
      <c r="N102" s="213">
        <f t="shared" ca="1" si="252"/>
        <v>23.876712328767123</v>
      </c>
      <c r="O102" s="22">
        <v>44973</v>
      </c>
      <c r="P102" s="214" t="str">
        <f t="shared" si="438"/>
        <v>SI</v>
      </c>
      <c r="Q102" s="26" t="s">
        <v>855</v>
      </c>
      <c r="R102" s="22">
        <v>44973</v>
      </c>
      <c r="S102" s="21" t="s">
        <v>856</v>
      </c>
      <c r="T102" s="24" t="s">
        <v>690</v>
      </c>
      <c r="U102" s="21" t="s">
        <v>857</v>
      </c>
      <c r="V102" s="21" t="s">
        <v>858</v>
      </c>
      <c r="W102" s="21" t="s">
        <v>955</v>
      </c>
      <c r="X102" s="21" t="s">
        <v>955</v>
      </c>
      <c r="Y102" s="21" t="s">
        <v>859</v>
      </c>
      <c r="Z102" s="21" t="s">
        <v>894</v>
      </c>
      <c r="AA102" s="21" t="s">
        <v>860</v>
      </c>
      <c r="AB102" s="27" t="s">
        <v>861</v>
      </c>
      <c r="AC102" s="26" t="s">
        <v>862</v>
      </c>
      <c r="AD102" s="38" t="s">
        <v>846</v>
      </c>
      <c r="AE102" s="26" t="s">
        <v>854</v>
      </c>
      <c r="AF102" s="26" t="s">
        <v>854</v>
      </c>
      <c r="AG102" s="23" t="s">
        <v>864</v>
      </c>
      <c r="AH102" s="23" t="s">
        <v>864</v>
      </c>
      <c r="AI102" s="24" t="s">
        <v>863</v>
      </c>
      <c r="AJ102" s="23" t="s">
        <v>864</v>
      </c>
      <c r="AK102" s="220" t="str">
        <f>IF(AND(AD102="",AE102="",AF102="",AG102="",AH102="",AI102="",AJ102=""),"",IF(OR(Tabla1[[#This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EVALUACIÓN",IF(AND(O102="",R102=""),"",IF(AND(OR(O102&gt;0,R102&gt;0),NG102&gt;=0,NG102&lt;2),"SIN RIESGO",IF(AND(OR(O102&gt;0,R102&gt;0),NG102&gt;=2),"CON RIESGO","ASD")))))</f>
        <v>SIN RIESGO</v>
      </c>
      <c r="AL102" s="23" t="s">
        <v>864</v>
      </c>
      <c r="AM102" s="26" t="s">
        <v>864</v>
      </c>
      <c r="AN102" s="26" t="s">
        <v>864</v>
      </c>
      <c r="AO102" s="26" t="s">
        <v>864</v>
      </c>
      <c r="AP102" s="26" t="s">
        <v>864</v>
      </c>
      <c r="AQ102" s="26" t="s">
        <v>864</v>
      </c>
      <c r="AR102" s="26" t="s">
        <v>864</v>
      </c>
      <c r="AS102" s="21">
        <v>3</v>
      </c>
      <c r="AT102" s="21">
        <v>2</v>
      </c>
      <c r="AU102" s="21">
        <v>0</v>
      </c>
      <c r="AV102" s="26" t="s">
        <v>864</v>
      </c>
      <c r="AW102" s="21">
        <v>0</v>
      </c>
      <c r="AX102" s="26" t="s">
        <v>864</v>
      </c>
      <c r="AY102" s="26" t="s">
        <v>864</v>
      </c>
      <c r="AZ102" s="26" t="s">
        <v>864</v>
      </c>
      <c r="BA102" s="26" t="s">
        <v>864</v>
      </c>
      <c r="BB102" s="26" t="s">
        <v>864</v>
      </c>
      <c r="BC102" s="26" t="s">
        <v>864</v>
      </c>
      <c r="BD102" s="26" t="s">
        <v>864</v>
      </c>
      <c r="BE102" s="26" t="s">
        <v>864</v>
      </c>
      <c r="BF102" s="26" t="s">
        <v>864</v>
      </c>
      <c r="BG102" s="26" t="s">
        <v>864</v>
      </c>
      <c r="BH102" s="26" t="s">
        <v>864</v>
      </c>
      <c r="BI102" s="26" t="s">
        <v>864</v>
      </c>
      <c r="BJ102" s="26" t="s">
        <v>864</v>
      </c>
      <c r="BK102" s="26" t="s">
        <v>864</v>
      </c>
      <c r="BL102" s="26" t="s">
        <v>864</v>
      </c>
      <c r="BM102" s="26" t="s">
        <v>864</v>
      </c>
      <c r="BN102" s="22"/>
      <c r="BO102" s="22">
        <v>44901</v>
      </c>
      <c r="BP102" s="21" t="s">
        <v>854</v>
      </c>
      <c r="BQ102" s="222">
        <f t="shared" si="254"/>
        <v>0</v>
      </c>
      <c r="BR102" s="223">
        <f t="shared" si="255"/>
        <v>44852.2</v>
      </c>
      <c r="BS102" s="224">
        <f t="shared" si="256"/>
        <v>10.285714285714286</v>
      </c>
      <c r="BT102" s="216" t="str">
        <f t="shared" si="257"/>
        <v>II TRIM</v>
      </c>
      <c r="BU102" s="214" t="str">
        <f t="shared" ca="1" si="258"/>
        <v/>
      </c>
      <c r="BV102" s="25" t="s">
        <v>988</v>
      </c>
      <c r="BW102" s="22">
        <v>45016</v>
      </c>
      <c r="BX102" s="28">
        <v>23.4</v>
      </c>
      <c r="BY102" s="28" t="s">
        <v>988</v>
      </c>
      <c r="BZ102" s="22">
        <v>45051</v>
      </c>
      <c r="CA102" s="21">
        <v>28.2</v>
      </c>
      <c r="CB102" s="26" t="s">
        <v>864</v>
      </c>
      <c r="CC102" s="26" t="s">
        <v>864</v>
      </c>
      <c r="CD102" s="26" t="s">
        <v>878</v>
      </c>
      <c r="CE102" s="26" t="s">
        <v>864</v>
      </c>
      <c r="CF102" s="22" t="s">
        <v>1517</v>
      </c>
      <c r="CG102" s="21">
        <v>1.41</v>
      </c>
      <c r="CH102" s="21">
        <v>49.3</v>
      </c>
      <c r="CI102" s="214">
        <f t="shared" si="259"/>
        <v>24.797545395100851</v>
      </c>
      <c r="CJ102" s="225" t="e">
        <f>IF(AND(CI102&lt;10,CH102="SD"),"SIN DATO PESO PREGESTACION O I TRIM",IF(AND(OR(R102&gt;0,O102&gt;0),CI102="X"),"INGRESAR DATO DE PESO",IF(CI102="SD","INGRESAR DATO DE TALLA Y PESO",IF(AND(OR(Tabla1[[#This Row],[MOMENTO EN QUE SE REALIZA EL PESO AL INGRESO A CPN]]="PREGESTACIÓN",NZ102="Menor"),CI102&lt;18.5),"BAJO PESO",IF(AND(OR(Tabla1[[#This Row],[MOMENTO EN QUE SE REALIZA EL PESO AL INGRESO A CPN]]="PREGESTACIÓN",NZ102="Menor"),CI102&lt;25),"NORMAL",IF(AND(OR(Tabla1[[#This Row],[MOMENTO EN QUE SE REALIZA EL PESO AL INGRESO A CPN]]="PREGESTACIÓN",NZ102="Menor"),CI102&lt;30),"SOBREPESO",IF(AND(OR(Tabla1[[#This Row],[MOMENTO EN QUE SE REALIZA EL PESO AL INGRESO A CPN]]="PREGESTACIÓN",NZ102="Menor"),CI102&gt;=30,CI102&lt;50),"OBESIDAD",IF(AND(BS102&gt;0,Tabla1[[#This Row],[MOMENTO EN QUE SE REALIZA EL PESO AL INGRESO A CPN]]="GESTACIÓN"),HLOOKUP(NZ102,$OA$2:PH102,NY102),""))))))))</f>
        <v>#REF!</v>
      </c>
      <c r="CK102" s="212">
        <f t="shared" si="260"/>
        <v>45112</v>
      </c>
      <c r="CL102" s="21">
        <v>56.2</v>
      </c>
      <c r="CM102" s="214">
        <f t="shared" si="261"/>
        <v>28.26819576480057</v>
      </c>
      <c r="CN102" s="216">
        <f t="shared" si="262"/>
        <v>30</v>
      </c>
      <c r="CO102" s="216" t="e">
        <f>IF(PI102="","",IF(PI102&gt;0,HLOOKUP(PI102,$PJ$2:QQ102,NY102),""))</f>
        <v>#REF!</v>
      </c>
      <c r="CP102" s="21">
        <v>35</v>
      </c>
      <c r="CQ102" s="216" t="e">
        <f>IF(QR102="Menor","NO APLICA-MENOR 13 SEM",IF(AND(CC102="SI",CN102&gt;23),"NO APLICA- GEMELAR",IF(QR102="","",IF(QR102&gt;0,HLOOKUP(QR102,$QS$2:RU102,NY102),""))))</f>
        <v>#REF!</v>
      </c>
      <c r="CR102" s="21">
        <v>90</v>
      </c>
      <c r="CS102" s="21">
        <v>60</v>
      </c>
      <c r="CT102" s="217" t="str">
        <f>IF(R102="","",IF(AND(BS102&gt;1,BS102&lt;12,Tabla1[[#This Row],[T.A. SISTOLICA - ANTES DE SEMANA 12]]="",Tabla1[[#This Row],[T.A. DIASTOLICA - ANTES DE SEMANA 12]]=""),"REGISTRE DATO TA ANTES SEMANA 12",IF(AND(BS102&gt;11,BS102&lt;43,Tabla1[[#This Row],[T.A. SISTOLICA - ANTES DE SEMANA 12]]="",Tabla1[[#This Row],[T.A. DIASTOLICA - ANTES DE SEMANA 12]]=""),"NO APLICA REGISTRO TA-INGRESO TARDIO",IF(AND(OR(O102&gt;0,R102&gt;0),OR(CR102&gt;=140,CS102&gt;=90)),"DEFINIR ESTADIO HTA",IF(AND(OR(O102&gt;0,R102&gt;0),AND(CR102&gt;120,CR102&lt;=139)),"PRE HTA SEGUIMIENTO",IF(AND(OR(O102&gt;0,R102&gt;0),AND(CS102&gt;80,CS102&lt;=89)),"PRE HTA SEGUIMIENTO",IF(AND(OR(O102&gt;0,R102&gt;0),AND(CR102&gt;=80,CR102&lt;=120)),"APARENTEMENTE NORMAL",IF(AND(OR(O102&gt;0,R102&gt;0),AND(CS102&gt;=50,CS102&lt;=80)),"APARENTEMENTE NORMAL",IF(AND(OR(O102&gt;0,R102&gt;0),AND(CR102&gt;1,CR102&lt;=70),AND(CS102&gt;1,CS102&lt;=40)),"HIPOTENSIÓN","")))))))))</f>
        <v>APARENTEMENTE NORMAL</v>
      </c>
      <c r="CU102" s="21">
        <v>90</v>
      </c>
      <c r="CV102" s="21">
        <v>60</v>
      </c>
      <c r="CW102" s="217" t="str">
        <f ca="1">IF(R102="","",IF(AND(CN102&gt;19,CN102&lt;27,Tabla1[[#This Row],[T.A. SISTOLICA (Entre semana 20 y 26)]]="",Tabla1[[#This Row],[T.A. DIATOLICA (Entre semana 20 y 26)]]=""),"ACUDE A CONTROL SEM 20 A 26 REGISTRE TA AHORA",IF(AND(BS102&gt;1,BS102&lt;27,BU102&gt;19,Tabla1[[#This Row],[T.A. SISTOLICA (Entre semana 20 y 26)]]="",Tabla1[[#This Row],[T.A. DIATOLICA (Entre semana 20 y 26)]]=""),"COMPLETE REGISTRO TA CONTROL SEM 20 A26 ",IF(AND(BS102&gt;26,BS102&lt;43,Tabla1[[#This Row],[T.A. SISTOLICA (Entre semana 20 y 26)]]="",Tabla1[[#This Row],[T.A. DIATOLICA (Entre semana 20 y 26)]]=""),"NO APLICA REGISTRO TA-INGRESO TARDIO",IF(AND(OR(O102&gt;0,R102&gt;0),OR(CU102&gt;=140,CV102&gt;=90)),"ALTO RIESGO PREECLAMPSIA,DEFINIR ESTADIO HTA",IF(AND(OR(O102&gt;0,R102&gt;0),AND(CU102&gt;120,CU102&lt;=139)),"PRE HTA SEGUIMIENTO,RIESGO HIPERTENSION INDUCIDA POR EL EMBARAZO",IF(AND(OR(O102&gt;0,R102&gt;0),AND(CV102&gt;80,CV102&lt;=89)),"PRE HTA SEGUIMIENTO, RIESGO HIPERTENSION INDUCIDA POR EL EMBARAZO",IF(AND(OR(O102&lt;&gt;"",R102&lt;&gt;""),CS102&lt;&gt;"",CV102&lt;&gt;"",CS102&lt;=CV102),"VIGILAR CIFRAS PRESION ARTERIAL",IF(AND(OR(O102&gt;0,R102&gt;0),AND(CU102&gt;120,CU102&lt;=139)),"PRE HTA SEGUIMIENTO",IF(AND(OR(O102&gt;0,R102&gt;0),AND(CU102&gt;1,CU102&lt;=70),AND(CV102&gt;1,CV102&lt;=40)),"HIPOTENSIÓN",IF(AND(OR(O102&lt;&gt;"",R102&lt;&gt;""),CS102&lt;&gt;"",CV102&lt;&gt;"",CS102&gt;CV102),"APARENTEMENTE NORMAL",IF(AND(OR(O102&gt;0,R102&gt;0),AND(CU102&gt;=80,CU102&lt;=120)),"APARENTEMENTE NORMAL",IF(AND(OR(O102&gt;0,R102&gt;0),AND(CV102&gt;=50,CV102&lt;=80)),"APARENTEMENTE NORMAL","")))))))))))))</f>
        <v>VIGILAR CIFRAS PRESION ARTERIAL</v>
      </c>
      <c r="CX102" s="21"/>
      <c r="CY102" s="21"/>
      <c r="CZ102" s="216" t="str">
        <f t="shared" si="457"/>
        <v/>
      </c>
      <c r="DA102" s="21">
        <v>90</v>
      </c>
      <c r="DB102" s="21">
        <v>60</v>
      </c>
      <c r="DC102" s="217" t="str">
        <f t="shared" si="264"/>
        <v>APARENTEMENTE NORMAL</v>
      </c>
      <c r="DD102" s="22">
        <v>44973</v>
      </c>
      <c r="DE102" s="22">
        <v>44973</v>
      </c>
      <c r="DF102" s="22">
        <v>45016</v>
      </c>
      <c r="DG102" s="22">
        <v>45051</v>
      </c>
      <c r="DH102" s="22">
        <v>45112</v>
      </c>
      <c r="DI102" s="22"/>
      <c r="DJ102" s="22"/>
      <c r="DK102" s="22"/>
      <c r="DL102" s="22"/>
      <c r="DM102" s="22"/>
      <c r="DN102" s="22"/>
      <c r="DO102" s="22"/>
      <c r="DP102" s="22"/>
      <c r="DQ102" s="22"/>
      <c r="DR102" s="28">
        <v>2</v>
      </c>
      <c r="DS102" s="22"/>
      <c r="DT102" s="22"/>
      <c r="DU102" s="216" t="str">
        <f t="shared" ca="1" si="439"/>
        <v>SALE PROGRAMA ANTES SEMANA 35</v>
      </c>
      <c r="DV102" s="226" t="str">
        <f t="shared" si="440"/>
        <v>SALIO PROGRAMA</v>
      </c>
      <c r="DW102"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02" s="216" t="str">
        <f t="shared" ca="1" si="266"/>
        <v/>
      </c>
      <c r="DY102" s="212">
        <f>IF(R102="","",IF(R102&gt;0,MAX(Tabla1[[#This Row],[FECHA C2]:[FECHA C13]],Tabla1[[#This Row],[FECHA CONSULTA PRIMERA VEZ PROGRAMA CPN ]])))</f>
        <v>45112</v>
      </c>
      <c r="DZ102" s="216">
        <f t="shared" si="267"/>
        <v>30</v>
      </c>
      <c r="EA102" s="222">
        <f>IF(R102&gt;0,SUM(COUNTA(DF102:DQ102)+COUNTA(Tabla1[[#This Row],[FECHA CONSULTA PRIMERA VEZ PROGRAMA CPN ]])),"")</f>
        <v>4</v>
      </c>
      <c r="EB102" s="222" t="str">
        <f t="shared" si="268"/>
        <v>SI</v>
      </c>
      <c r="EC102" s="214">
        <f t="shared" si="269"/>
        <v>9</v>
      </c>
      <c r="ED102" s="227">
        <f t="shared" si="270"/>
        <v>0.44444444444444442</v>
      </c>
      <c r="EE102" s="22">
        <v>44973</v>
      </c>
      <c r="EF102" s="22">
        <v>44973</v>
      </c>
      <c r="EG102" s="22">
        <v>44973</v>
      </c>
      <c r="EH102" s="22">
        <v>44993</v>
      </c>
      <c r="EI102" s="22">
        <v>44973</v>
      </c>
      <c r="EJ102" s="22">
        <v>44993</v>
      </c>
      <c r="EK102" s="22">
        <v>44993</v>
      </c>
      <c r="EL102" s="21">
        <v>1</v>
      </c>
      <c r="EM102" s="21">
        <v>13.3</v>
      </c>
      <c r="EN102" s="22">
        <v>44970</v>
      </c>
      <c r="EO102" s="222">
        <f t="shared" si="271"/>
        <v>9.8571428571428577</v>
      </c>
      <c r="EP102" s="214" t="str">
        <f t="shared" si="272"/>
        <v>NORMAL- SUMINISTRAR SULFATO FERROSO</v>
      </c>
      <c r="EQ102" s="216" t="str">
        <f t="shared" si="273"/>
        <v>I TRIM</v>
      </c>
      <c r="ER102" s="24"/>
      <c r="ES102" s="22"/>
      <c r="ET102" s="29" t="str">
        <f t="shared" ca="1" si="441"/>
        <v>SALE SIN TAMIZAJE HEMOGLOBINA SEM 28</v>
      </c>
      <c r="EU102" s="25" t="str">
        <f t="shared" si="275"/>
        <v/>
      </c>
      <c r="EV102" s="24" t="s">
        <v>866</v>
      </c>
      <c r="EW102" s="24">
        <v>44970</v>
      </c>
      <c r="EX102" s="22"/>
      <c r="EY102" s="29">
        <f t="shared" si="454"/>
        <v>9.8571428571428577</v>
      </c>
      <c r="EZ102" s="25" t="str">
        <f t="shared" ca="1" si="455"/>
        <v/>
      </c>
      <c r="FA102" s="21">
        <v>86</v>
      </c>
      <c r="FB102" s="22">
        <v>44970</v>
      </c>
      <c r="FC102" s="29">
        <f t="shared" si="276"/>
        <v>9.8571428571428577</v>
      </c>
      <c r="FD102" s="29">
        <v>85</v>
      </c>
      <c r="FE102" s="29">
        <v>133</v>
      </c>
      <c r="FF102" s="29">
        <v>154</v>
      </c>
      <c r="FG102" s="21" t="str">
        <f t="shared" si="277"/>
        <v>DIABETES, REMITIR</v>
      </c>
      <c r="FH102" s="31">
        <v>45051</v>
      </c>
      <c r="FI102" s="29">
        <f t="shared" si="278"/>
        <v>21.428571428571427</v>
      </c>
      <c r="FJ102" s="22" t="s">
        <v>867</v>
      </c>
      <c r="FK102" s="22">
        <v>44970</v>
      </c>
      <c r="FL102" s="29">
        <f t="shared" ca="1" si="279"/>
        <v>9.8571428571428577</v>
      </c>
      <c r="FM102" s="22" t="s">
        <v>867</v>
      </c>
      <c r="FN102" s="32">
        <v>45051</v>
      </c>
      <c r="FO102" s="29">
        <f t="shared" ca="1" si="442"/>
        <v>21.428571428571427</v>
      </c>
      <c r="FP102" s="22"/>
      <c r="FQ102" s="32"/>
      <c r="FR102" s="29" t="str">
        <f t="shared" ca="1" si="443"/>
        <v>PIERDE TOMA DE TAMIZAJE</v>
      </c>
      <c r="FS102" s="22"/>
      <c r="FT102" s="32"/>
      <c r="FU102" s="29" t="str">
        <f>IF(AND(FJ102="",FM102="",FP102="",FS102=""),"",IF(OR(OR(Tabla1[[#This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02" s="28"/>
      <c r="FW102" s="22"/>
      <c r="FX102" s="29" t="str">
        <f t="shared" si="280"/>
        <v>TOMAR EXAMEN</v>
      </c>
      <c r="FY102" s="22"/>
      <c r="FZ102" s="22"/>
      <c r="GA102" s="29" t="str">
        <f t="shared" ca="1" si="453"/>
        <v>PIERDE TOMA DE TAMIZAJE</v>
      </c>
      <c r="GB102" s="22" t="s">
        <v>868</v>
      </c>
      <c r="GC102" s="22">
        <v>45051</v>
      </c>
      <c r="GD102" s="29">
        <f t="shared" ca="1" si="444"/>
        <v>21.428571428571427</v>
      </c>
      <c r="GE102" s="22"/>
      <c r="GF102" s="22"/>
      <c r="GG102" s="29" t="str">
        <f t="shared" ca="1" si="445"/>
        <v>PIERDE TOMA DE TAMIZAJE</v>
      </c>
      <c r="GH102" s="22"/>
      <c r="GI102" s="29"/>
      <c r="GJ102" s="22"/>
      <c r="GK102" s="22"/>
      <c r="GL102" s="22"/>
      <c r="GM102" s="22"/>
      <c r="GN102" s="28" t="s">
        <v>869</v>
      </c>
      <c r="GO102" s="22">
        <v>44970</v>
      </c>
      <c r="GP102" s="29">
        <f t="shared" si="283"/>
        <v>9.8571428571428577</v>
      </c>
      <c r="GQ102" s="28" t="s">
        <v>869</v>
      </c>
      <c r="GR102" s="28" t="s">
        <v>869</v>
      </c>
      <c r="GS102" s="22" t="str">
        <f t="shared" si="458"/>
        <v>CONTROL Igm</v>
      </c>
      <c r="GT102" s="22">
        <v>44970</v>
      </c>
      <c r="GU102" s="29">
        <f t="shared" si="285"/>
        <v>9.8571428571428577</v>
      </c>
      <c r="GV102" s="21" t="str">
        <f t="shared" si="286"/>
        <v>I TRIM</v>
      </c>
      <c r="GW102" s="28" t="s">
        <v>869</v>
      </c>
      <c r="GX102" s="30"/>
      <c r="GY102" s="21"/>
      <c r="GZ102" s="21"/>
      <c r="HA102" s="21"/>
      <c r="HB102" s="21"/>
      <c r="HC102" s="21"/>
      <c r="HD102" s="21"/>
      <c r="HE102" s="21"/>
      <c r="HF102" s="22"/>
      <c r="HG102" s="22" t="str">
        <f>IF(OR(O102&gt;0,R102&gt;0),CONCATENATE(IF(Tabla1[[#This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02" s="22" t="e">
        <f t="shared" si="287"/>
        <v>#REF!</v>
      </c>
      <c r="HI102" s="22" t="e">
        <f t="shared" ca="1" si="288"/>
        <v>#REF!</v>
      </c>
      <c r="HJ102" s="21" t="str">
        <f t="shared" ca="1" si="289"/>
        <v>*****************DIABETES GESTACIONAL**********************</v>
      </c>
      <c r="HK102" s="21" t="str">
        <f t="shared" si="290"/>
        <v>SIN ANTECEDENTES DE RIESGO</v>
      </c>
      <c r="HL102" s="24" t="str">
        <f t="shared" si="291"/>
        <v>APARENTEMENTE NORMAL</v>
      </c>
      <c r="HM102" s="21" t="str">
        <f t="shared" ca="1" si="292"/>
        <v/>
      </c>
      <c r="HN102" s="30" t="str">
        <f t="shared" si="446"/>
        <v>SALIO PROGRAMA</v>
      </c>
      <c r="HO102" s="21"/>
      <c r="HP102" s="21"/>
      <c r="HQ102" s="21">
        <v>45051</v>
      </c>
      <c r="HR102" s="21" t="str">
        <f>IF(R102="","",IF(Tabla1[[#This Row],[ALARMA FACTORES DE RIESGO COMPLICACIONES HIPERTENSIVAS3]]="SIN ANTECEDENTES DE RIESGO","No Aplica para suministro de ASA",IF(AND(Tabla1[[#This Row],[FECHA INICIO DE SUMINISTRO DE ASA]]&gt;0,RV102&lt;12),"Inicia ASA ANTES de Sem 12",IF(AND(RV102&gt;11,RV102&lt;17,OR(HK102="RIESGO ALTO DE COMPLICACIONES HIPERTENSIVAS VER MANEJO GUIA SUMINISTRO ASA Y CALCIO",HK102="RIESGO MODERADO (2 O MAS CRITERIOS) VER MANEJO GUIA SUMINISTRO ASA Y CALCIO")),"Inicio oportuno de ASA",IF(AND(RV102&gt;12,OR(HK102="RIESGO ALTO DE COMPLICACIONES HIPERTENSIVAS VER MANEJO GUIA SUMINISTRO ASA Y CALCIO",HK102="RIESGO MODERADO (2 O MAS CRITERIOS) VER MANEJO GUIA SUMINISTRO ASA Y CALCIO")),"Inicio no oportuno mayor a 16 semanas",IF(AND(BU102&lt;12,OR(HK102="RIESGO ALTO DE COMPLICACIONES HIPERTENSIVAS VER MANEJO GUIA SUMINISTRO ASA Y CALCIO",HK102="RIESGO MODERADO (2 O MAS CRITERIOS) VER MANEJO GUIA SUMINISTRO ASA Y CALCIO")),"Pendiente Inicio de ASA a la semana 12",IF(AND(BU102&gt;11,BU102&lt;17,OR(HK102="RIESGO ALTO DE COMPLICACIONES HIPERTENSIVAS VER MANEJO GUIA SUMINISTRO ASA Y CALCIO",HK102="RIESGO MODERADO (2 O MAS CRITERIOS) VER MANEJO GUIA SUMINISTRO ASA Y CALCIO")),"Iniciar de inmediato ASA",IF(AND(BU102&gt;16,OR(HK102="RIESGO ALTO DE COMPLICACIONES HIPERTENSIVAS VER MANEJO GUIA SUMINISTRO ASA Y CALCIO",HK102="RIESGO MODERADO (2 O MAS CRITERIOS) VER MANEJO GUIA SUMINISTRO ASA Y CALCIO")),"Pierde Oportunidad, Inicio tardío de ASA","XXXXX"))))))))</f>
        <v>No Aplica para suministro de ASA</v>
      </c>
      <c r="HS102" s="22">
        <v>45051</v>
      </c>
      <c r="HT102" s="22" t="s">
        <v>870</v>
      </c>
      <c r="HU102" s="22">
        <v>45051</v>
      </c>
      <c r="HV102" s="22"/>
      <c r="HW102" s="22">
        <v>45051</v>
      </c>
      <c r="HX102" s="22" t="s">
        <v>870</v>
      </c>
      <c r="HY102" s="22">
        <v>44973</v>
      </c>
      <c r="HZ102" s="28">
        <f t="shared" si="293"/>
        <v>10.285714285714286</v>
      </c>
      <c r="IA102" s="26"/>
      <c r="IB102" s="26"/>
      <c r="IC102" s="111"/>
      <c r="ID102" s="22">
        <v>45016</v>
      </c>
      <c r="IE102" s="22" t="str">
        <f t="shared" ca="1" si="294"/>
        <v>VACUNA APLICADA ANTES SEMANA 20</v>
      </c>
      <c r="IF102" s="22"/>
      <c r="IG102" s="22">
        <f t="shared" si="295"/>
        <v>45181</v>
      </c>
      <c r="IH102" s="29">
        <f t="shared" ca="1" si="296"/>
        <v>-51</v>
      </c>
      <c r="II102" s="22" t="str">
        <f t="shared" ca="1" si="297"/>
        <v>POSIBLEMENTE NACIO</v>
      </c>
      <c r="IJ102" s="22"/>
      <c r="IK102" s="21" t="s">
        <v>898</v>
      </c>
      <c r="IL102" s="21"/>
      <c r="IM102" s="34"/>
      <c r="IN102" s="349">
        <v>45126</v>
      </c>
      <c r="IO102" s="21" t="s">
        <v>1640</v>
      </c>
      <c r="IP102" s="29">
        <f t="shared" si="436"/>
        <v>32.142857142857146</v>
      </c>
      <c r="IQ102" s="110">
        <v>1059604950</v>
      </c>
      <c r="IR102" s="21" t="s">
        <v>879</v>
      </c>
      <c r="IS102" s="21" t="s">
        <v>1641</v>
      </c>
      <c r="IT102" s="21" t="s">
        <v>1642</v>
      </c>
      <c r="IU102" s="21"/>
      <c r="IV102" s="21"/>
      <c r="IW102" s="21"/>
      <c r="IX102" s="21"/>
      <c r="IY102" s="21"/>
      <c r="IZ102" s="21"/>
      <c r="JA102" s="21"/>
      <c r="JB102" s="30">
        <v>1</v>
      </c>
      <c r="JC102" s="21" t="s">
        <v>1643</v>
      </c>
      <c r="JD102" s="36">
        <v>3680</v>
      </c>
      <c r="JE102" s="21" t="str">
        <f t="shared" si="447"/>
        <v>ERROR VERIFICAR DATO EDAD GESTACIONAL VS PESO</v>
      </c>
      <c r="JF102" s="30"/>
      <c r="JG102" s="21"/>
      <c r="JH102" s="21"/>
      <c r="JI102" s="21"/>
      <c r="JJ102" s="30"/>
      <c r="JK102" s="22"/>
      <c r="JL102" s="22"/>
      <c r="JM102" s="21"/>
      <c r="JN102" s="36"/>
      <c r="JO102" s="21" t="str">
        <f t="shared" si="448"/>
        <v/>
      </c>
      <c r="JP102" s="22"/>
      <c r="JQ102" s="21"/>
      <c r="JR102" s="21"/>
      <c r="JS102" s="21"/>
      <c r="JT102" s="30"/>
      <c r="JU102" s="22"/>
      <c r="JV102" s="22"/>
      <c r="JW102" s="33"/>
      <c r="JX102" s="28" t="str">
        <f t="shared" si="449"/>
        <v>INASISTENTE</v>
      </c>
      <c r="JY102" s="33"/>
      <c r="JZ102" s="28" t="str">
        <f t="shared" si="450"/>
        <v>INASISTENTE</v>
      </c>
      <c r="KA102" s="21"/>
      <c r="KB102" s="21"/>
      <c r="KC102" s="21"/>
      <c r="KD102" s="37"/>
      <c r="KE102" s="28"/>
      <c r="KF102" s="28"/>
      <c r="KG102" s="28"/>
      <c r="KH102" s="39"/>
      <c r="KI102" s="39"/>
      <c r="KJ102" s="66"/>
      <c r="KK102" s="39"/>
      <c r="KL102" s="39"/>
      <c r="KM102" s="66"/>
      <c r="KN102" s="39"/>
      <c r="KO102" s="39"/>
      <c r="KP102" s="39"/>
      <c r="KQ102" s="39"/>
      <c r="KR102" s="39"/>
      <c r="KS102" s="39"/>
      <c r="KT102" s="39"/>
      <c r="KU102" s="38"/>
      <c r="KV102" s="38"/>
      <c r="KW102" s="38"/>
      <c r="KX102" s="38"/>
      <c r="KY102" s="38"/>
      <c r="KZ102" s="38"/>
      <c r="LA102" s="38"/>
      <c r="LB102" s="38"/>
      <c r="LC102" s="38"/>
      <c r="LD102" s="38"/>
      <c r="LE102" s="38"/>
      <c r="LF102" s="38"/>
      <c r="LG102" s="38"/>
      <c r="LH102" s="38"/>
      <c r="LI102" s="38"/>
      <c r="LJ102" s="38"/>
      <c r="LK102" s="38"/>
      <c r="LL102" s="38"/>
      <c r="LM102" s="38"/>
      <c r="LN102" s="38"/>
      <c r="LO102" s="38"/>
      <c r="LP102" s="38"/>
      <c r="LQ102" s="38"/>
      <c r="LR102" s="38"/>
      <c r="LS102" s="38"/>
      <c r="LT102" s="38"/>
      <c r="LU102" s="38"/>
      <c r="LV102" s="38"/>
      <c r="LW102" s="38"/>
      <c r="LX102" s="38"/>
      <c r="LY102" s="38"/>
      <c r="LZ102" s="38"/>
      <c r="MA102" s="38"/>
      <c r="MB102" s="38"/>
      <c r="MC102" s="38"/>
      <c r="MD102" s="38"/>
      <c r="ME102" s="38"/>
      <c r="MF102" s="38"/>
      <c r="MG102" s="38"/>
      <c r="MH102" s="43">
        <f t="shared" si="459"/>
        <v>0</v>
      </c>
      <c r="MI102" s="43" t="str">
        <f t="shared" si="460"/>
        <v/>
      </c>
      <c r="MJ102" s="43" t="str">
        <f t="shared" si="461"/>
        <v/>
      </c>
      <c r="MK102" s="43">
        <f t="shared" si="462"/>
        <v>0</v>
      </c>
      <c r="ML10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02" s="43">
        <f t="shared" si="463"/>
        <v>10.285714285714286</v>
      </c>
      <c r="MN102" s="43">
        <f t="shared" si="464"/>
        <v>2</v>
      </c>
      <c r="MO102" s="43">
        <f t="shared" si="465"/>
        <v>2023</v>
      </c>
      <c r="MP102" s="43" t="str">
        <f t="shared" si="466"/>
        <v>I TRIMESTRE AÑO</v>
      </c>
      <c r="MQ102" s="43">
        <f t="shared" si="467"/>
        <v>22.812636881296541</v>
      </c>
      <c r="MR102" s="43">
        <f t="shared" si="468"/>
        <v>0</v>
      </c>
      <c r="MS102" s="43" t="str">
        <f t="shared" si="469"/>
        <v xml:space="preserve"> DE 20 A 24 AÑOS</v>
      </c>
      <c r="MT102" s="43">
        <f t="shared" si="470"/>
        <v>0</v>
      </c>
      <c r="MU102" s="43">
        <f t="shared" si="471"/>
        <v>0</v>
      </c>
      <c r="MV102" s="43">
        <f t="shared" si="472"/>
        <v>0</v>
      </c>
      <c r="MW102" s="43">
        <f t="shared" si="473"/>
        <v>0</v>
      </c>
      <c r="MX102" s="43" t="str">
        <f t="shared" si="474"/>
        <v/>
      </c>
      <c r="MY102" s="43" t="str">
        <f t="shared" ca="1" si="451"/>
        <v/>
      </c>
      <c r="MZ102" s="43" t="str">
        <f t="shared" si="475"/>
        <v/>
      </c>
      <c r="NA102" s="43">
        <f t="shared" si="476"/>
        <v>0</v>
      </c>
      <c r="NB102" s="43" t="str">
        <f t="shared" si="477"/>
        <v/>
      </c>
      <c r="NC102" s="43" t="str">
        <f t="shared" si="478"/>
        <v/>
      </c>
      <c r="ND102" s="43">
        <f t="shared" ca="1" si="479"/>
        <v>2</v>
      </c>
      <c r="NE102" s="43">
        <f>IF(OR(O102&gt;0,R102&gt;0),SUM(COUNTIF(Tabla1[[#This Row],[AÑOS AL INICIO5 CPN]],"&gt;=40"),COUNTIF(AS102,"0"),COUNTIF(AR102,"SI"),COUNTIF(CC102,"SI"),COUNTIF(BQ102,"&gt;119"),COUNTIF(CI102,"&gt;=35")),"")</f>
        <v>0</v>
      </c>
      <c r="NF102" s="43">
        <f t="shared" si="480"/>
        <v>16.428571428571427</v>
      </c>
      <c r="NG102" s="43">
        <f t="shared" si="481"/>
        <v>0</v>
      </c>
      <c r="NH102" s="43">
        <f t="shared" si="482"/>
        <v>163.79999999999998</v>
      </c>
      <c r="NI102"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CPN",P102="NO"),"Z",IF(AND(Tabla1[[#This Row],[CITA PROXIMO CONTROL]]="CITA MANUAL",Tabla1[[#This Row],[GESTANTES ACTUALES]]="ACTIVA INGRESO A CPN"),"W",IF(AND(Tabla1[[#This Row],[GESTANTES ACTUALES]]="SALIO PROGRAMA",IN102=""),"S",IF(AND(Tabla1[[#This Row],[CITA PROXIMO CONTROL]]&gt;0,IN102=""),(Tabla1[[#This Row],[CITA PROXIMO CONTROL]]-TODAY()),"SD"))))))))</f>
        <v>SD</v>
      </c>
      <c r="NJ102" s="43">
        <f>MONTH(Tabla1[[#This Row],[FECHA DE SALIDA  DEL PROGRAMA]])</f>
        <v>7</v>
      </c>
      <c r="NK102" s="43">
        <f>YEAR(Tabla1[[#This Row],[FECHA DE SALIDA  DEL PROGRAMA]])</f>
        <v>2023</v>
      </c>
      <c r="NL102" s="43">
        <f t="shared" si="483"/>
        <v>20</v>
      </c>
      <c r="NM102" s="43" t="str">
        <f t="shared" si="456"/>
        <v>NO</v>
      </c>
      <c r="NN102" s="43" t="str">
        <f ca="1">IF(AND(O102&gt;0,R102=""),"NO CPN",IF(AND(O102="",R102=""),"",IF(AND(R102&gt;0,Tabla1[[#This Row],[SEMANAS DE GESTACION ACTUALIZADAS]]&lt;=12),"NO APLICA",IF(AND(FH102&lt;&gt;"",FN102&lt;&gt;""),"SI","NO"))))</f>
        <v>SI</v>
      </c>
      <c r="NO102" s="43" t="str">
        <f ca="1">IF(AND(O102&gt;0,R102=""),"NO CPN",IF(AND(O102="",R102=""),"",IF(AND(R102&gt;0,Tabla1[[#This Row],[SEMANAS DE GESTACION ACTUALIZADAS]]&lt;=27),"NO APLICA",IF(AND(ES102&lt;&gt;"",FQ102&lt;&gt;"",GF102&lt;&gt;""),"SI","NO"))))</f>
        <v>NO</v>
      </c>
      <c r="NP102" s="204" t="str">
        <f t="shared" si="484"/>
        <v>I TRIM</v>
      </c>
      <c r="NQ102" s="21" t="str">
        <f t="shared" si="437"/>
        <v/>
      </c>
      <c r="NR102" s="21">
        <f t="shared" si="452"/>
        <v>3</v>
      </c>
      <c r="NS102" s="205">
        <f t="shared" ca="1" si="485"/>
        <v>2</v>
      </c>
      <c r="NT102" s="21">
        <f t="shared" ca="1" si="486"/>
        <v>1</v>
      </c>
      <c r="NU102" s="21" t="str">
        <f t="shared" ca="1" si="487"/>
        <v>INCOMPLETO</v>
      </c>
      <c r="NV102" s="21" t="str">
        <f t="shared" ca="1" si="488"/>
        <v>INCOMPLETO</v>
      </c>
      <c r="NW102" s="206" t="str">
        <f>IF(AND(O102="",R102=""),"",IF(OR(AND(Tabla1[[#This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02" s="207" t="str">
        <f t="shared" ca="1" si="489"/>
        <v>VACUNADA</v>
      </c>
      <c r="NY102" s="43">
        <f>ROW(Tabla1[[#This Row],['# DE TAMIZAJES SIFILIS TOMADOS ]])</f>
        <v>102</v>
      </c>
      <c r="NZ102" s="43">
        <f t="shared" si="334"/>
        <v>10</v>
      </c>
      <c r="OA102" s="43" t="str">
        <f t="shared" si="335"/>
        <v/>
      </c>
      <c r="OB102" s="43" t="str">
        <f t="shared" si="336"/>
        <v>NORMAL</v>
      </c>
      <c r="OC102" s="43" t="str">
        <f t="shared" si="337"/>
        <v/>
      </c>
      <c r="OD102" s="43" t="str">
        <f t="shared" si="338"/>
        <v/>
      </c>
      <c r="OE102" s="43" t="str">
        <f t="shared" si="339"/>
        <v/>
      </c>
      <c r="OF102" s="43" t="str">
        <f t="shared" si="340"/>
        <v/>
      </c>
      <c r="OG102" s="43" t="str">
        <f t="shared" si="341"/>
        <v/>
      </c>
      <c r="OH102" s="43" t="str">
        <f t="shared" si="342"/>
        <v/>
      </c>
      <c r="OI102" s="43" t="str">
        <f t="shared" si="343"/>
        <v/>
      </c>
      <c r="OJ102" s="43" t="str">
        <f t="shared" si="344"/>
        <v/>
      </c>
      <c r="OK102" s="43" t="str">
        <f t="shared" si="345"/>
        <v/>
      </c>
      <c r="OL102" s="43" t="str">
        <f t="shared" si="346"/>
        <v/>
      </c>
      <c r="OM102" s="43" t="str">
        <f t="shared" si="347"/>
        <v/>
      </c>
      <c r="ON102" s="43" t="str">
        <f t="shared" si="348"/>
        <v/>
      </c>
      <c r="OO102" s="43" t="str">
        <f t="shared" si="349"/>
        <v/>
      </c>
      <c r="OP102" s="43" t="str">
        <f t="shared" si="350"/>
        <v/>
      </c>
      <c r="OQ102" s="43" t="str">
        <f t="shared" si="351"/>
        <v/>
      </c>
      <c r="OR102" s="43" t="str">
        <f t="shared" si="352"/>
        <v/>
      </c>
      <c r="OS102" s="43" t="str">
        <f t="shared" si="353"/>
        <v/>
      </c>
      <c r="OT102" s="43" t="str">
        <f t="shared" si="354"/>
        <v/>
      </c>
      <c r="OU102" s="43" t="str">
        <f t="shared" si="355"/>
        <v/>
      </c>
      <c r="OV102" s="110" t="str">
        <f t="shared" si="356"/>
        <v/>
      </c>
      <c r="OW102" s="43" t="str">
        <f t="shared" si="357"/>
        <v/>
      </c>
      <c r="OX102" s="43" t="str">
        <f t="shared" si="358"/>
        <v/>
      </c>
      <c r="OY102" s="43" t="str">
        <f t="shared" si="359"/>
        <v/>
      </c>
      <c r="OZ102" s="43" t="str">
        <f t="shared" si="360"/>
        <v/>
      </c>
      <c r="PA102" s="43" t="str">
        <f t="shared" si="361"/>
        <v/>
      </c>
      <c r="PB102" s="43" t="str">
        <f t="shared" si="362"/>
        <v/>
      </c>
      <c r="PC102" s="43" t="str">
        <f t="shared" si="363"/>
        <v/>
      </c>
      <c r="PD102" s="43" t="str">
        <f t="shared" si="364"/>
        <v/>
      </c>
      <c r="PE102" s="43" t="str">
        <f t="shared" si="365"/>
        <v/>
      </c>
      <c r="PF102" s="43" t="str">
        <f t="shared" si="366"/>
        <v/>
      </c>
      <c r="PG102" s="43" t="str">
        <f t="shared" si="367"/>
        <v/>
      </c>
      <c r="PH102" s="43" t="str">
        <f t="shared" si="368"/>
        <v/>
      </c>
      <c r="PI102" s="43">
        <f t="shared" si="369"/>
        <v>30</v>
      </c>
      <c r="PJ102" s="43" t="str">
        <f t="shared" si="370"/>
        <v/>
      </c>
      <c r="PK102" s="43" t="str">
        <f t="shared" si="371"/>
        <v/>
      </c>
      <c r="PL102" s="43" t="str">
        <f t="shared" si="372"/>
        <v/>
      </c>
      <c r="PM102" s="43" t="str">
        <f t="shared" si="373"/>
        <v/>
      </c>
      <c r="PN102" s="43" t="str">
        <f t="shared" si="374"/>
        <v/>
      </c>
      <c r="PO102" s="43" t="str">
        <f t="shared" si="375"/>
        <v/>
      </c>
      <c r="PP102" s="43" t="str">
        <f t="shared" si="376"/>
        <v/>
      </c>
      <c r="PQ102" s="43" t="str">
        <f t="shared" si="377"/>
        <v/>
      </c>
      <c r="PR102" s="43" t="str">
        <f t="shared" si="378"/>
        <v/>
      </c>
      <c r="PS102" s="43" t="str">
        <f t="shared" si="379"/>
        <v/>
      </c>
      <c r="PT102" s="43" t="str">
        <f t="shared" si="380"/>
        <v/>
      </c>
      <c r="PU102" s="43" t="str">
        <f t="shared" si="381"/>
        <v/>
      </c>
      <c r="PV102" s="43" t="str">
        <f t="shared" si="382"/>
        <v/>
      </c>
      <c r="PW102" s="43" t="str">
        <f t="shared" si="383"/>
        <v/>
      </c>
      <c r="PX102" s="43" t="str">
        <f t="shared" si="384"/>
        <v/>
      </c>
      <c r="PY102" s="43" t="str">
        <f t="shared" si="385"/>
        <v/>
      </c>
      <c r="PZ102" s="43" t="str">
        <f t="shared" si="386"/>
        <v/>
      </c>
      <c r="QA102" s="43" t="str">
        <f t="shared" si="387"/>
        <v/>
      </c>
      <c r="QB102" s="43" t="str">
        <f t="shared" si="388"/>
        <v/>
      </c>
      <c r="QC102" s="43" t="str">
        <f t="shared" si="389"/>
        <v/>
      </c>
      <c r="QD102" s="43" t="str">
        <f t="shared" si="390"/>
        <v/>
      </c>
      <c r="QE102" s="43" t="str">
        <f t="shared" si="391"/>
        <v>SOBREPESO</v>
      </c>
      <c r="QF102" s="43" t="str">
        <f t="shared" si="392"/>
        <v/>
      </c>
      <c r="QG102" s="43" t="str">
        <f t="shared" si="393"/>
        <v/>
      </c>
      <c r="QH102" s="43" t="str">
        <f t="shared" si="394"/>
        <v/>
      </c>
      <c r="QI102" s="43" t="str">
        <f t="shared" si="395"/>
        <v/>
      </c>
      <c r="QJ102" s="43" t="str">
        <f t="shared" si="396"/>
        <v/>
      </c>
      <c r="QK102" s="43" t="str">
        <f t="shared" si="397"/>
        <v/>
      </c>
      <c r="QL102" s="43" t="str">
        <f t="shared" si="398"/>
        <v/>
      </c>
      <c r="QM102" s="43" t="str">
        <f t="shared" si="399"/>
        <v/>
      </c>
      <c r="QN102" s="43" t="str">
        <f t="shared" si="400"/>
        <v/>
      </c>
      <c r="QO102" s="43" t="str">
        <f t="shared" si="401"/>
        <v/>
      </c>
      <c r="QP102" s="43" t="str">
        <f t="shared" si="402"/>
        <v/>
      </c>
      <c r="QQ102" s="43" t="str">
        <f t="shared" si="403"/>
        <v/>
      </c>
      <c r="QR102" s="43">
        <f t="shared" si="433"/>
        <v>30</v>
      </c>
      <c r="QS102" s="43"/>
      <c r="QT102" s="21" t="str">
        <f t="shared" si="404"/>
        <v/>
      </c>
      <c r="QU102" s="21" t="str">
        <f t="shared" si="405"/>
        <v/>
      </c>
      <c r="QV102" s="21" t="str">
        <f t="shared" si="406"/>
        <v/>
      </c>
      <c r="QW102" s="21" t="str">
        <f t="shared" si="407"/>
        <v/>
      </c>
      <c r="QX102" s="21" t="str">
        <f t="shared" si="408"/>
        <v/>
      </c>
      <c r="QY102" s="21" t="str">
        <f t="shared" si="409"/>
        <v/>
      </c>
      <c r="QZ102" s="21" t="str">
        <f t="shared" si="410"/>
        <v/>
      </c>
      <c r="RA102" s="21" t="str">
        <f t="shared" si="411"/>
        <v/>
      </c>
      <c r="RB102" s="21" t="str">
        <f t="shared" si="412"/>
        <v/>
      </c>
      <c r="RC102" s="21" t="str">
        <f t="shared" si="413"/>
        <v/>
      </c>
      <c r="RD102" s="21" t="str">
        <f t="shared" si="414"/>
        <v/>
      </c>
      <c r="RE102" s="21" t="str">
        <f t="shared" si="415"/>
        <v/>
      </c>
      <c r="RF102" s="21" t="str">
        <f t="shared" si="416"/>
        <v/>
      </c>
      <c r="RG102" s="21" t="str">
        <f t="shared" si="417"/>
        <v/>
      </c>
      <c r="RH102" s="21" t="str">
        <f t="shared" si="418"/>
        <v/>
      </c>
      <c r="RI102" s="21" t="str">
        <f t="shared" si="419"/>
        <v/>
      </c>
      <c r="RJ102" s="21" t="str">
        <f t="shared" si="420"/>
        <v/>
      </c>
      <c r="RK102" s="21" t="str">
        <f t="shared" si="421"/>
        <v>ALTO PARA EDAD GESTACIONAL</v>
      </c>
      <c r="RL102" s="21" t="str">
        <f t="shared" si="422"/>
        <v/>
      </c>
      <c r="RM102" s="21" t="str">
        <f t="shared" si="423"/>
        <v/>
      </c>
      <c r="RN102" s="21" t="str">
        <f t="shared" si="424"/>
        <v/>
      </c>
      <c r="RO102" s="21" t="str">
        <f t="shared" si="425"/>
        <v/>
      </c>
      <c r="RP102" s="21" t="str">
        <f t="shared" si="426"/>
        <v/>
      </c>
      <c r="RQ102" s="21" t="str">
        <f t="shared" si="427"/>
        <v/>
      </c>
      <c r="RR102" s="21" t="str">
        <f t="shared" si="428"/>
        <v/>
      </c>
      <c r="RS102" s="21" t="str">
        <f t="shared" si="429"/>
        <v/>
      </c>
      <c r="RT102" s="21" t="str">
        <f t="shared" si="430"/>
        <v/>
      </c>
      <c r="RU102" s="21" t="str">
        <f t="shared" si="431"/>
        <v/>
      </c>
      <c r="RV102" s="21">
        <f t="shared" si="432"/>
        <v>21.428571428571427</v>
      </c>
      <c r="RW102" s="284">
        <f>IF(OR(Tabla1[[#This Row],[FUM FORMULA CONFIABLE]]="",Tabla1[[#This Row],[FUM FORMULA CONFIABLE]]="SD"),"",IF(Tabla1[[#This Row],[FUM FORMULA CONFIABLE]]="CORREGIDA",Tabla1[[#This Row],[FUM X ECO 1]],Tabla1[[#This Row],[FUM x AMENORREA]]))</f>
        <v>44901</v>
      </c>
      <c r="RX102" s="21">
        <f>IF(AND(Tabla1[[#This Row],[FUM X ECO 1]]="",Tabla1[[#This Row],[FUM x AMENORREA]]=""),"",IF(AND(Tabla1[[#This Row],[FUM X ECO 1]]="",Tabla1[[#This Row],[FUM x AMENORREA]]&lt;&gt;""),"X",SUM(Tabla1[[#This Row],[FUM X ECO 1]]-Tabla1[[#This Row],[FUM x AMENORREA]])))</f>
        <v>-48.80000000000291</v>
      </c>
      <c r="RY102" s="21">
        <f t="shared" si="434"/>
        <v>1</v>
      </c>
    </row>
    <row r="103" spans="1:493" ht="45" customHeight="1" x14ac:dyDescent="0.25">
      <c r="A103" s="109"/>
      <c r="B103" s="43"/>
      <c r="C103" s="43" t="s">
        <v>845</v>
      </c>
      <c r="D103" s="124"/>
      <c r="E103" s="43" t="s">
        <v>1305</v>
      </c>
      <c r="F103" s="43" t="s">
        <v>884</v>
      </c>
      <c r="G103" s="43" t="s">
        <v>1306</v>
      </c>
      <c r="H103" s="43" t="s">
        <v>1307</v>
      </c>
      <c r="I103" s="109" t="s">
        <v>851</v>
      </c>
      <c r="J103" s="110">
        <v>1059604869</v>
      </c>
      <c r="K103" s="43" t="s">
        <v>852</v>
      </c>
      <c r="L103" s="175" t="s">
        <v>1509</v>
      </c>
      <c r="M103" s="22">
        <v>35395</v>
      </c>
      <c r="N103" s="213">
        <f t="shared" ca="1" si="252"/>
        <v>26.950684931506849</v>
      </c>
      <c r="O103" s="22">
        <v>44973</v>
      </c>
      <c r="P103" s="214" t="str">
        <f t="shared" si="438"/>
        <v>SI</v>
      </c>
      <c r="Q103" s="26" t="s">
        <v>855</v>
      </c>
      <c r="R103" s="22">
        <v>44973</v>
      </c>
      <c r="S103" s="21" t="s">
        <v>856</v>
      </c>
      <c r="T103" s="24" t="s">
        <v>690</v>
      </c>
      <c r="U103" s="21" t="s">
        <v>857</v>
      </c>
      <c r="V103" s="21" t="s">
        <v>1009</v>
      </c>
      <c r="W103" s="21" t="s">
        <v>1308</v>
      </c>
      <c r="X103" s="21" t="s">
        <v>1308</v>
      </c>
      <c r="Y103" s="21" t="s">
        <v>859</v>
      </c>
      <c r="Z103" s="21">
        <v>3173409816</v>
      </c>
      <c r="AA103" s="21" t="s">
        <v>860</v>
      </c>
      <c r="AB103" s="27" t="s">
        <v>861</v>
      </c>
      <c r="AC103" s="26" t="s">
        <v>888</v>
      </c>
      <c r="AD103" s="38" t="s">
        <v>1546</v>
      </c>
      <c r="AE103" s="26" t="s">
        <v>854</v>
      </c>
      <c r="AF103" s="26" t="s">
        <v>854</v>
      </c>
      <c r="AG103" s="23" t="s">
        <v>864</v>
      </c>
      <c r="AH103" s="23" t="s">
        <v>864</v>
      </c>
      <c r="AI103" s="24" t="s">
        <v>863</v>
      </c>
      <c r="AJ103" s="23" t="s">
        <v>864</v>
      </c>
      <c r="AK103" s="220" t="str">
        <f>IF(AND(AD103="",AE103="",AF103="",AG103="",AH103="",AI103="",AJ103=""),"",IF(OR(Tabla1[[#This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EVALUACIÓN",IF(AND(O103="",R103=""),"",IF(AND(OR(O103&gt;0,R103&gt;0),NG103&gt;=0,NG103&lt;2),"SIN RIESGO",IF(AND(OR(O103&gt;0,R103&gt;0),NG103&gt;=2),"CON RIESGO","ASD")))))</f>
        <v>SIN RIESGO</v>
      </c>
      <c r="AL103" s="23" t="s">
        <v>864</v>
      </c>
      <c r="AM103" s="26" t="s">
        <v>864</v>
      </c>
      <c r="AN103" s="26" t="s">
        <v>864</v>
      </c>
      <c r="AO103" s="26" t="s">
        <v>864</v>
      </c>
      <c r="AP103" s="26" t="s">
        <v>864</v>
      </c>
      <c r="AQ103" s="26" t="s">
        <v>864</v>
      </c>
      <c r="AR103" s="26" t="s">
        <v>864</v>
      </c>
      <c r="AS103" s="21">
        <v>2</v>
      </c>
      <c r="AT103" s="21">
        <v>1</v>
      </c>
      <c r="AU103" s="21">
        <v>0</v>
      </c>
      <c r="AV103" s="26" t="s">
        <v>864</v>
      </c>
      <c r="AW103" s="21">
        <v>1</v>
      </c>
      <c r="AX103" s="26" t="s">
        <v>864</v>
      </c>
      <c r="AY103" s="26" t="s">
        <v>864</v>
      </c>
      <c r="AZ103" s="26" t="s">
        <v>864</v>
      </c>
      <c r="BA103" s="26" t="s">
        <v>864</v>
      </c>
      <c r="BB103" s="26" t="s">
        <v>864</v>
      </c>
      <c r="BC103" s="26" t="s">
        <v>864</v>
      </c>
      <c r="BD103" s="26" t="s">
        <v>864</v>
      </c>
      <c r="BE103" s="26" t="s">
        <v>864</v>
      </c>
      <c r="BF103" s="26" t="s">
        <v>864</v>
      </c>
      <c r="BG103" s="26" t="s">
        <v>864</v>
      </c>
      <c r="BH103" s="26" t="s">
        <v>864</v>
      </c>
      <c r="BI103" s="26" t="s">
        <v>864</v>
      </c>
      <c r="BJ103" s="26" t="s">
        <v>864</v>
      </c>
      <c r="BK103" s="26" t="s">
        <v>864</v>
      </c>
      <c r="BL103" s="26" t="s">
        <v>864</v>
      </c>
      <c r="BM103" s="26" t="s">
        <v>864</v>
      </c>
      <c r="BN103" s="22">
        <v>42913</v>
      </c>
      <c r="BO103" s="22">
        <v>44917</v>
      </c>
      <c r="BP103" s="21" t="s">
        <v>854</v>
      </c>
      <c r="BQ103" s="222">
        <f t="shared" si="254"/>
        <v>66.8</v>
      </c>
      <c r="BR103" s="223">
        <f t="shared" si="255"/>
        <v>44921.599999999999</v>
      </c>
      <c r="BS103" s="224">
        <f t="shared" si="256"/>
        <v>8</v>
      </c>
      <c r="BT103" s="216" t="str">
        <f t="shared" si="257"/>
        <v>I TRIM</v>
      </c>
      <c r="BU103" s="214" t="str">
        <f t="shared" ca="1" si="258"/>
        <v/>
      </c>
      <c r="BV103" s="25"/>
      <c r="BW103" s="22">
        <v>45000</v>
      </c>
      <c r="BX103" s="28">
        <v>11.2</v>
      </c>
      <c r="BY103" s="28"/>
      <c r="BZ103" s="22">
        <v>45014</v>
      </c>
      <c r="CA103" s="21">
        <v>13.1</v>
      </c>
      <c r="CB103" s="26" t="s">
        <v>864</v>
      </c>
      <c r="CC103" s="26" t="s">
        <v>864</v>
      </c>
      <c r="CD103" s="26"/>
      <c r="CE103" s="26" t="s">
        <v>864</v>
      </c>
      <c r="CF103" s="22" t="s">
        <v>1517</v>
      </c>
      <c r="CG103" s="21">
        <v>1.58</v>
      </c>
      <c r="CH103" s="21">
        <v>64.8</v>
      </c>
      <c r="CI103" s="214">
        <f t="shared" si="259"/>
        <v>25.957378625220311</v>
      </c>
      <c r="CJ103" s="225" t="str">
        <f>IF(AND(CI103&lt;10,CH103="SD"),"SIN DATO PESO PREGESTACION O I TRIM",IF(AND(OR(R103&gt;0,O103&gt;0),CI103="X"),"INGRESAR DATO DE PESO",IF(CI103="SD","INGRESAR DATO DE TALLA Y PESO",IF(AND(OR(Tabla1[[#This Row],[MOMENTO EN QUE SE REALIZA EL PESO AL INGRESO A CPN]]="PREGESTACIÓN",NZ103="Menor"),CI103&lt;18.5),"BAJO PESO",IF(AND(OR(Tabla1[[#This Row],[MOMENTO EN QUE SE REALIZA EL PESO AL INGRESO A CPN]]="PREGESTACIÓN",NZ103="Menor"),CI103&lt;25),"NORMAL",IF(AND(OR(Tabla1[[#This Row],[MOMENTO EN QUE SE REALIZA EL PESO AL INGRESO A CPN]]="PREGESTACIÓN",NZ103="Menor"),CI103&lt;30),"SOBREPESO",IF(AND(OR(Tabla1[[#This Row],[MOMENTO EN QUE SE REALIZA EL PESO AL INGRESO A CPN]]="PREGESTACIÓN",NZ103="Menor"),CI103&gt;=30,CI103&lt;50),"OBESIDAD",IF(AND(BS103&gt;0,Tabla1[[#This Row],[MOMENTO EN QUE SE REALIZA EL PESO AL INGRESO A CPN]]="GESTACIÓN"),HLOOKUP(NZ103,$OA$2:PH103,NY103),""))))))))</f>
        <v>SOBREPESO</v>
      </c>
      <c r="CK103" s="212">
        <f t="shared" si="260"/>
        <v>45134</v>
      </c>
      <c r="CL103" s="21">
        <v>74.2</v>
      </c>
      <c r="CM103" s="214">
        <f t="shared" si="261"/>
        <v>29.722800833199805</v>
      </c>
      <c r="CN103" s="216">
        <f t="shared" si="262"/>
        <v>31</v>
      </c>
      <c r="CO103" s="216" t="e">
        <f>IF(PI103="","",IF(PI103&gt;0,HLOOKUP(PI103,$PJ$2:QQ103,NY103),""))</f>
        <v>#REF!</v>
      </c>
      <c r="CP103" s="21">
        <v>28</v>
      </c>
      <c r="CQ103" s="216" t="e">
        <f>IF(QR103="Menor","NO APLICA-MENOR 13 SEM",IF(AND(CC103="SI",CN103&gt;23),"NO APLICA- GEMELAR",IF(QR103="","",IF(QR103&gt;0,HLOOKUP(QR103,$QS$2:RU103,NY103),""))))</f>
        <v>#REF!</v>
      </c>
      <c r="CR103" s="21">
        <v>100</v>
      </c>
      <c r="CS103" s="21">
        <v>60</v>
      </c>
      <c r="CT103" s="217" t="str">
        <f>IF(R103="","",IF(AND(BS103&gt;1,BS103&lt;12,Tabla1[[#This Row],[T.A. SISTOLICA - ANTES DE SEMANA 12]]="",Tabla1[[#This Row],[T.A. DIASTOLICA - ANTES DE SEMANA 12]]=""),"REGISTRE DATO TA ANTES SEMANA 12",IF(AND(BS103&gt;11,BS103&lt;43,Tabla1[[#This Row],[T.A. SISTOLICA - ANTES DE SEMANA 12]]="",Tabla1[[#This Row],[T.A. DIASTOLICA - ANTES DE SEMANA 12]]=""),"NO APLICA REGISTRO TA-INGRESO TARDIO",IF(AND(OR(O103&gt;0,R103&gt;0),OR(CR103&gt;=140,CS103&gt;=90)),"DEFINIR ESTADIO HTA",IF(AND(OR(O103&gt;0,R103&gt;0),AND(CR103&gt;120,CR103&lt;=139)),"PRE HTA SEGUIMIENTO",IF(AND(OR(O103&gt;0,R103&gt;0),AND(CS103&gt;80,CS103&lt;=89)),"PRE HTA SEGUIMIENTO",IF(AND(OR(O103&gt;0,R103&gt;0),AND(CR103&gt;=80,CR103&lt;=120)),"APARENTEMENTE NORMAL",IF(AND(OR(O103&gt;0,R103&gt;0),AND(CS103&gt;=50,CS103&lt;=80)),"APARENTEMENTE NORMAL",IF(AND(OR(O103&gt;0,R103&gt;0),AND(CR103&gt;1,CR103&lt;=70),AND(CS103&gt;1,CS103&lt;=40)),"HIPOTENSIÓN","")))))))))</f>
        <v>APARENTEMENTE NORMAL</v>
      </c>
      <c r="CU103" s="21"/>
      <c r="CV103" s="21"/>
      <c r="CW103" s="217" t="str">
        <f ca="1">IF(R103="","",IF(AND(CN103&gt;19,CN103&lt;27,Tabla1[[#This Row],[T.A. SISTOLICA (Entre semana 20 y 26)]]="",Tabla1[[#This Row],[T.A. DIATOLICA (Entre semana 20 y 26)]]=""),"ACUDE A CONTROL SEM 20 A 26 REGISTRE TA AHORA",IF(AND(BS103&gt;1,BS103&lt;27,BU103&gt;19,Tabla1[[#This Row],[T.A. SISTOLICA (Entre semana 20 y 26)]]="",Tabla1[[#This Row],[T.A. DIATOLICA (Entre semana 20 y 26)]]=""),"COMPLETE REGISTRO TA CONTROL SEM 20 A26 ",IF(AND(BS103&gt;26,BS103&lt;43,Tabla1[[#This Row],[T.A. SISTOLICA (Entre semana 20 y 26)]]="",Tabla1[[#This Row],[T.A. DIATOLICA (Entre semana 20 y 26)]]=""),"NO APLICA REGISTRO TA-INGRESO TARDIO",IF(AND(OR(O103&gt;0,R103&gt;0),OR(CU103&gt;=140,CV103&gt;=90)),"ALTO RIESGO PREECLAMPSIA,DEFINIR ESTADIO HTA",IF(AND(OR(O103&gt;0,R103&gt;0),AND(CU103&gt;120,CU103&lt;=139)),"PRE HTA SEGUIMIENTO,RIESGO HIPERTENSION INDUCIDA POR EL EMBARAZO",IF(AND(OR(O103&gt;0,R103&gt;0),AND(CV103&gt;80,CV103&lt;=89)),"PRE HTA SEGUIMIENTO, RIESGO HIPERTENSION INDUCIDA POR EL EMBARAZO",IF(AND(OR(O103&lt;&gt;"",R103&lt;&gt;""),CS103&lt;&gt;"",CV103&lt;&gt;"",CS103&lt;=CV103),"VIGILAR CIFRAS PRESION ARTERIAL",IF(AND(OR(O103&gt;0,R103&gt;0),AND(CU103&gt;120,CU103&lt;=139)),"PRE HTA SEGUIMIENTO",IF(AND(OR(O103&gt;0,R103&gt;0),AND(CU103&gt;1,CU103&lt;=70),AND(CV103&gt;1,CV103&lt;=40)),"HIPOTENSIÓN",IF(AND(OR(O103&lt;&gt;"",R103&lt;&gt;""),CS103&lt;&gt;"",CV103&lt;&gt;"",CS103&gt;CV103),"APARENTEMENTE NORMAL",IF(AND(OR(O103&gt;0,R103&gt;0),AND(CU103&gt;=80,CU103&lt;=120)),"APARENTEMENTE NORMAL",IF(AND(OR(O103&gt;0,R103&gt;0),AND(CV103&gt;=50,CV103&lt;=80)),"APARENTEMENTE NORMAL","")))))))))))))</f>
        <v xml:space="preserve">COMPLETE REGISTRO TA CONTROL SEM 20 A26 </v>
      </c>
      <c r="CX103" s="21">
        <v>90</v>
      </c>
      <c r="CY103" s="21">
        <v>60</v>
      </c>
      <c r="CZ103" s="216" t="str">
        <f t="shared" si="457"/>
        <v>APARENTEMENTE NORMAL</v>
      </c>
      <c r="DA103" s="21">
        <v>90</v>
      </c>
      <c r="DB103" s="21">
        <v>60</v>
      </c>
      <c r="DC103" s="217" t="str">
        <f t="shared" si="264"/>
        <v>APARENTEMENTE NORMAL</v>
      </c>
      <c r="DD103" s="22">
        <v>44973</v>
      </c>
      <c r="DE103" s="22">
        <v>44973</v>
      </c>
      <c r="DF103" s="22">
        <v>45001</v>
      </c>
      <c r="DG103" s="22">
        <v>45036</v>
      </c>
      <c r="DH103" s="22">
        <v>45066</v>
      </c>
      <c r="DI103" s="22">
        <v>45097</v>
      </c>
      <c r="DJ103" s="22">
        <v>45134</v>
      </c>
      <c r="DK103" s="22"/>
      <c r="DL103" s="22"/>
      <c r="DM103" s="22"/>
      <c r="DN103" s="22"/>
      <c r="DO103" s="22"/>
      <c r="DP103" s="22"/>
      <c r="DQ103" s="22"/>
      <c r="DR103" s="28">
        <v>1</v>
      </c>
      <c r="DS103" s="22"/>
      <c r="DT103" s="22"/>
      <c r="DU103" s="216" t="str">
        <f t="shared" ca="1" si="439"/>
        <v>CONCERTAR PLAN DE PARTO INMEDIATO</v>
      </c>
      <c r="DV103" s="226" t="str">
        <f t="shared" si="440"/>
        <v>ACTIVA INGRESO A CPN</v>
      </c>
      <c r="DW103"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03" s="216" t="e">
        <f t="shared" ca="1" si="266"/>
        <v>#REF!</v>
      </c>
      <c r="DY103" s="212">
        <f>IF(R103="","",IF(R103&gt;0,MAX(Tabla1[[#This Row],[FECHA C2]:[FECHA C13]],Tabla1[[#This Row],[FECHA CONSULTA PRIMERA VEZ PROGRAMA CPN ]])))</f>
        <v>45134</v>
      </c>
      <c r="DZ103" s="216">
        <f t="shared" si="267"/>
        <v>31</v>
      </c>
      <c r="EA103" s="222">
        <f>IF(R103&gt;0,SUM(COUNTA(DF103:DQ103)+COUNTA(Tabla1[[#This Row],[FECHA CONSULTA PRIMERA VEZ PROGRAMA CPN ]])),"")</f>
        <v>6</v>
      </c>
      <c r="EB103" s="222" t="str">
        <f t="shared" si="268"/>
        <v>SI</v>
      </c>
      <c r="EC103" s="214">
        <f t="shared" si="269"/>
        <v>10</v>
      </c>
      <c r="ED103" s="227">
        <f t="shared" si="270"/>
        <v>0.6</v>
      </c>
      <c r="EE103" s="22">
        <v>44973</v>
      </c>
      <c r="EF103" s="22">
        <v>44973</v>
      </c>
      <c r="EG103" s="22">
        <v>44973</v>
      </c>
      <c r="EH103" s="22"/>
      <c r="EI103" s="22">
        <v>44973</v>
      </c>
      <c r="EJ103" s="22">
        <v>45000</v>
      </c>
      <c r="EK103" s="22">
        <v>45026</v>
      </c>
      <c r="EL103" s="21">
        <v>2</v>
      </c>
      <c r="EM103" s="21">
        <v>12.8</v>
      </c>
      <c r="EN103" s="22">
        <v>44978</v>
      </c>
      <c r="EO103" s="222">
        <f t="shared" si="271"/>
        <v>8.7142857142857135</v>
      </c>
      <c r="EP103" s="214" t="str">
        <f t="shared" si="272"/>
        <v>NORMAL- SUMINISTRAR SULFATO FERROSO</v>
      </c>
      <c r="EQ103" s="216" t="str">
        <f t="shared" si="273"/>
        <v>I TRIM</v>
      </c>
      <c r="ER103" s="24">
        <v>12.1</v>
      </c>
      <c r="ES103" s="22">
        <v>45099</v>
      </c>
      <c r="ET103" s="29">
        <f t="shared" ca="1" si="441"/>
        <v>26</v>
      </c>
      <c r="EU103" s="25" t="str">
        <f t="shared" si="275"/>
        <v>NORMAL- SUMINISTRAR SULFATO FERROSO</v>
      </c>
      <c r="EV103" s="24" t="s">
        <v>1510</v>
      </c>
      <c r="EW103" s="32">
        <v>44973</v>
      </c>
      <c r="EX103" s="22"/>
      <c r="EY103" s="29">
        <f t="shared" si="454"/>
        <v>8</v>
      </c>
      <c r="EZ103" s="25" t="str">
        <f t="shared" si="455"/>
        <v>SIN RIESGO DE ISOINMUNIZACIÓN</v>
      </c>
      <c r="FA103" s="21">
        <v>78</v>
      </c>
      <c r="FB103" s="22">
        <v>44973</v>
      </c>
      <c r="FC103" s="29">
        <f t="shared" si="276"/>
        <v>8</v>
      </c>
      <c r="FD103" s="29">
        <v>76</v>
      </c>
      <c r="FE103" s="29">
        <v>84</v>
      </c>
      <c r="FF103" s="29">
        <v>69</v>
      </c>
      <c r="FG103" s="21" t="str">
        <f t="shared" ca="1" si="277"/>
        <v>NORMAL</v>
      </c>
      <c r="FH103" s="31">
        <v>45098</v>
      </c>
      <c r="FI103" s="29">
        <f t="shared" si="278"/>
        <v>25.857142857142858</v>
      </c>
      <c r="FJ103" s="22" t="s">
        <v>867</v>
      </c>
      <c r="FK103" s="22">
        <v>44973</v>
      </c>
      <c r="FL103" s="29">
        <f t="shared" ca="1" si="279"/>
        <v>8</v>
      </c>
      <c r="FM103" s="22"/>
      <c r="FN103" s="32"/>
      <c r="FO103" s="29" t="str">
        <f t="shared" ca="1" si="442"/>
        <v>PIERDE TOMA DE TAMIZAJE</v>
      </c>
      <c r="FP103" s="22"/>
      <c r="FQ103" s="32"/>
      <c r="FR103" s="29" t="str">
        <f t="shared" ca="1" si="443"/>
        <v>TOMA INMEDIATA DE TAMIZAJE</v>
      </c>
      <c r="FS103" s="22"/>
      <c r="FT103" s="32"/>
      <c r="FU103" s="29" t="str">
        <f>IF(AND(FJ103="",FM103="",FP103="",FS103=""),"",IF(OR(OR(Tabla1[[#This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03" s="28"/>
      <c r="FW103" s="22"/>
      <c r="FX103" s="29" t="str">
        <f t="shared" si="280"/>
        <v>TOMAR EXAMEN</v>
      </c>
      <c r="FY103" s="22"/>
      <c r="FZ103" s="22"/>
      <c r="GA103" s="29" t="str">
        <f t="shared" ca="1" si="453"/>
        <v>PIERDE TOMA DE TAMIZAJE</v>
      </c>
      <c r="GB103" s="22"/>
      <c r="GC103" s="22"/>
      <c r="GD103" s="29" t="str">
        <f t="shared" ca="1" si="444"/>
        <v>PIERDE TOMA DE TAMIZAJE</v>
      </c>
      <c r="GE103" s="22"/>
      <c r="GF103" s="22"/>
      <c r="GG103" s="29" t="str">
        <f t="shared" ca="1" si="445"/>
        <v>TOMA INMEDIATA DE TAMIZAJE</v>
      </c>
      <c r="GH103" s="22"/>
      <c r="GI103" s="29"/>
      <c r="GJ103" s="22"/>
      <c r="GK103" s="22"/>
      <c r="GL103" s="22"/>
      <c r="GM103" s="22"/>
      <c r="GN103" s="28" t="s">
        <v>869</v>
      </c>
      <c r="GO103" s="22">
        <v>44973</v>
      </c>
      <c r="GP103" s="29">
        <f t="shared" si="283"/>
        <v>8</v>
      </c>
      <c r="GQ103" s="28" t="s">
        <v>869</v>
      </c>
      <c r="GR103" s="28" t="s">
        <v>869</v>
      </c>
      <c r="GS103" s="22" t="str">
        <f t="shared" si="458"/>
        <v>CONTROL Igm</v>
      </c>
      <c r="GT103" s="22">
        <v>45003</v>
      </c>
      <c r="GU103" s="29">
        <f t="shared" si="285"/>
        <v>12.285714285714286</v>
      </c>
      <c r="GV103" s="21" t="str">
        <f t="shared" si="286"/>
        <v>I TRIM</v>
      </c>
      <c r="GW103" s="28" t="s">
        <v>869</v>
      </c>
      <c r="GX103" s="30"/>
      <c r="GY103" s="21"/>
      <c r="GZ103" s="21"/>
      <c r="HA103" s="21"/>
      <c r="HB103" s="21"/>
      <c r="HC103" s="21"/>
      <c r="HD103" s="21"/>
      <c r="HE103" s="21"/>
      <c r="HF103" s="22"/>
      <c r="HG103" s="22" t="str">
        <f>IF(OR(O103&gt;0,R103&gt;0),CONCATENATE(IF(Tabla1[[#This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03" s="22" t="e">
        <f t="shared" si="287"/>
        <v>#REF!</v>
      </c>
      <c r="HI103" s="22" t="e">
        <f t="shared" ca="1" si="288"/>
        <v>#REF!</v>
      </c>
      <c r="HJ103" s="21" t="str">
        <f t="shared" ca="1" si="289"/>
        <v>*************************CESAREAS PREVIAS**************</v>
      </c>
      <c r="HK103" s="21" t="str">
        <f t="shared" si="290"/>
        <v>SIN ANTECEDENTES DE RIESGO</v>
      </c>
      <c r="HL103" s="24" t="str">
        <f t="shared" si="291"/>
        <v>APARENTEMENTE NORMAL</v>
      </c>
      <c r="HM103" s="21" t="e">
        <f t="shared" ca="1" si="292"/>
        <v>#REF!</v>
      </c>
      <c r="HN103" s="30" t="str">
        <f t="shared" si="446"/>
        <v>ACTIVA INGRESO A CPN</v>
      </c>
      <c r="HO103" s="21"/>
      <c r="HP103" s="21"/>
      <c r="HQ103" s="349">
        <v>44973</v>
      </c>
      <c r="HR103" s="21" t="str">
        <f>IF(R103="","",IF(Tabla1[[#This Row],[ALARMA FACTORES DE RIESGO COMPLICACIONES HIPERTENSIVAS3]]="SIN ANTECEDENTES DE RIESGO","No Aplica para suministro de ASA",IF(AND(Tabla1[[#This Row],[FECHA INICIO DE SUMINISTRO DE ASA]]&gt;0,RV103&lt;12),"Inicia ASA ANTES de Sem 12",IF(AND(RV103&gt;11,RV103&lt;17,OR(HK103="RIESGO ALTO DE COMPLICACIONES HIPERTENSIVAS VER MANEJO GUIA SUMINISTRO ASA Y CALCIO",HK103="RIESGO MODERADO (2 O MAS CRITERIOS) VER MANEJO GUIA SUMINISTRO ASA Y CALCIO")),"Inicio oportuno de ASA",IF(AND(RV103&gt;12,OR(HK103="RIESGO ALTO DE COMPLICACIONES HIPERTENSIVAS VER MANEJO GUIA SUMINISTRO ASA Y CALCIO",HK103="RIESGO MODERADO (2 O MAS CRITERIOS) VER MANEJO GUIA SUMINISTRO ASA Y CALCIO")),"Inicio no oportuno mayor a 16 semanas",IF(AND(BU103&lt;12,OR(HK103="RIESGO ALTO DE COMPLICACIONES HIPERTENSIVAS VER MANEJO GUIA SUMINISTRO ASA Y CALCIO",HK103="RIESGO MODERADO (2 O MAS CRITERIOS) VER MANEJO GUIA SUMINISTRO ASA Y CALCIO")),"Pendiente Inicio de ASA a la semana 12",IF(AND(BU103&gt;11,BU103&lt;17,OR(HK103="RIESGO ALTO DE COMPLICACIONES HIPERTENSIVAS VER MANEJO GUIA SUMINISTRO ASA Y CALCIO",HK103="RIESGO MODERADO (2 O MAS CRITERIOS) VER MANEJO GUIA SUMINISTRO ASA Y CALCIO")),"Iniciar de inmediato ASA",IF(AND(BU103&gt;16,OR(HK103="RIESGO ALTO DE COMPLICACIONES HIPERTENSIVAS VER MANEJO GUIA SUMINISTRO ASA Y CALCIO",HK103="RIESGO MODERADO (2 O MAS CRITERIOS) VER MANEJO GUIA SUMINISTRO ASA Y CALCIO")),"Pierde Oportunidad, Inicio tardío de ASA","XXXXX"))))))))</f>
        <v>No Aplica para suministro de ASA</v>
      </c>
      <c r="HS103" s="22">
        <v>44973</v>
      </c>
      <c r="HT103" s="22" t="s">
        <v>870</v>
      </c>
      <c r="HU103" s="22">
        <v>44973</v>
      </c>
      <c r="HV103" s="22" t="s">
        <v>870</v>
      </c>
      <c r="HW103" s="22">
        <v>44973</v>
      </c>
      <c r="HX103" s="22" t="s">
        <v>870</v>
      </c>
      <c r="HY103" s="22"/>
      <c r="HZ103" s="28" t="str">
        <f t="shared" si="293"/>
        <v>PENDIENTE CONSULTA</v>
      </c>
      <c r="IA103" s="26"/>
      <c r="IB103" s="26"/>
      <c r="IC103" s="111"/>
      <c r="ID103" s="22"/>
      <c r="IE103" s="22" t="str">
        <f t="shared" ca="1" si="294"/>
        <v/>
      </c>
      <c r="IF103" s="22"/>
      <c r="IG103" s="22">
        <f t="shared" si="295"/>
        <v>45197</v>
      </c>
      <c r="IH103" s="29">
        <f t="shared" ca="1" si="296"/>
        <v>-35</v>
      </c>
      <c r="II103" s="22" t="str">
        <f t="shared" ca="1" si="297"/>
        <v>POSIBLEMENTE NACIO</v>
      </c>
      <c r="IJ103" s="22"/>
      <c r="IK103" s="21"/>
      <c r="IL103" s="21"/>
      <c r="IM103" s="34"/>
      <c r="IN103" s="22"/>
      <c r="IO103" s="21"/>
      <c r="IP103" s="29" t="str">
        <f t="shared" si="436"/>
        <v/>
      </c>
      <c r="IQ103" s="110"/>
      <c r="IR103" s="21"/>
      <c r="IS103" s="21"/>
      <c r="IT103" s="21"/>
      <c r="IU103" s="21"/>
      <c r="IV103" s="21"/>
      <c r="IW103" s="21"/>
      <c r="IX103" s="21"/>
      <c r="IY103" s="21"/>
      <c r="IZ103" s="21"/>
      <c r="JA103" s="21"/>
      <c r="JB103" s="30"/>
      <c r="JC103" s="21"/>
      <c r="JD103" s="36"/>
      <c r="JE103" s="21" t="str">
        <f t="shared" si="447"/>
        <v/>
      </c>
      <c r="JF103" s="30"/>
      <c r="JG103" s="21"/>
      <c r="JH103" s="21"/>
      <c r="JI103" s="21"/>
      <c r="JJ103" s="30"/>
      <c r="JK103" s="22"/>
      <c r="JL103" s="22"/>
      <c r="JM103" s="21"/>
      <c r="JN103" s="36"/>
      <c r="JO103" s="21" t="str">
        <f t="shared" si="448"/>
        <v/>
      </c>
      <c r="JP103" s="22"/>
      <c r="JQ103" s="21"/>
      <c r="JR103" s="21"/>
      <c r="JS103" s="21"/>
      <c r="JT103" s="30"/>
      <c r="JU103" s="22"/>
      <c r="JV103" s="22"/>
      <c r="JW103" s="33"/>
      <c r="JX103" s="28" t="str">
        <f t="shared" si="449"/>
        <v/>
      </c>
      <c r="JY103" s="33"/>
      <c r="JZ103" s="28" t="str">
        <f t="shared" si="450"/>
        <v/>
      </c>
      <c r="KA103" s="21"/>
      <c r="KB103" s="21"/>
      <c r="KC103" s="21"/>
      <c r="KD103" s="37"/>
      <c r="KE103" s="28"/>
      <c r="KF103" s="28"/>
      <c r="KG103" s="28"/>
      <c r="KH103" s="39"/>
      <c r="KI103" s="39"/>
      <c r="KJ103" s="66"/>
      <c r="KK103" s="39"/>
      <c r="KL103" s="39"/>
      <c r="KM103" s="66"/>
      <c r="KN103" s="39"/>
      <c r="KO103" s="39"/>
      <c r="KP103" s="39"/>
      <c r="KQ103" s="39"/>
      <c r="KR103" s="39"/>
      <c r="KS103" s="39"/>
      <c r="KT103" s="39"/>
      <c r="KU103" s="38"/>
      <c r="KV103" s="38"/>
      <c r="KW103" s="38"/>
      <c r="KX103" s="38"/>
      <c r="KY103" s="38"/>
      <c r="KZ103" s="38"/>
      <c r="LA103" s="38"/>
      <c r="LB103" s="38"/>
      <c r="LC103" s="38"/>
      <c r="LD103" s="38"/>
      <c r="LE103" s="38"/>
      <c r="LF103" s="38"/>
      <c r="LG103" s="38"/>
      <c r="LH103" s="38"/>
      <c r="LI103" s="38"/>
      <c r="LJ103" s="38"/>
      <c r="LK103" s="38"/>
      <c r="LL103" s="38"/>
      <c r="LM103" s="38"/>
      <c r="LN103" s="38"/>
      <c r="LO103" s="38"/>
      <c r="LP103" s="38"/>
      <c r="LQ103" s="38"/>
      <c r="LR103" s="38"/>
      <c r="LS103" s="38"/>
      <c r="LT103" s="38"/>
      <c r="LU103" s="38"/>
      <c r="LV103" s="38"/>
      <c r="LW103" s="38"/>
      <c r="LX103" s="38"/>
      <c r="LY103" s="38"/>
      <c r="LZ103" s="38"/>
      <c r="MA103" s="38"/>
      <c r="MB103" s="38"/>
      <c r="MC103" s="38"/>
      <c r="MD103" s="38"/>
      <c r="ME103" s="38"/>
      <c r="MF103" s="38"/>
      <c r="MG103" s="38"/>
      <c r="MH103" s="43">
        <f t="shared" si="459"/>
        <v>0</v>
      </c>
      <c r="MI103" s="43" t="str">
        <f t="shared" si="460"/>
        <v/>
      </c>
      <c r="MJ103" s="43" t="str">
        <f t="shared" si="461"/>
        <v/>
      </c>
      <c r="MK103" s="43">
        <f t="shared" si="462"/>
        <v>0</v>
      </c>
      <c r="ML10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03" s="43">
        <f t="shared" si="463"/>
        <v>8</v>
      </c>
      <c r="MN103" s="43">
        <f t="shared" si="464"/>
        <v>2</v>
      </c>
      <c r="MO103" s="43">
        <f t="shared" si="465"/>
        <v>2023</v>
      </c>
      <c r="MP103" s="43" t="str">
        <f t="shared" si="466"/>
        <v>I TRIMESTRE AÑO</v>
      </c>
      <c r="MQ103" s="43">
        <f t="shared" si="467"/>
        <v>25.843188786684184</v>
      </c>
      <c r="MR103" s="43">
        <f t="shared" si="468"/>
        <v>0</v>
      </c>
      <c r="MS103" s="43" t="str">
        <f t="shared" si="469"/>
        <v xml:space="preserve"> DE 25 A 29 AÑOS</v>
      </c>
      <c r="MT103" s="43">
        <f t="shared" si="470"/>
        <v>0</v>
      </c>
      <c r="MU103" s="43">
        <f t="shared" si="471"/>
        <v>0</v>
      </c>
      <c r="MV103" s="43">
        <f t="shared" si="472"/>
        <v>1</v>
      </c>
      <c r="MW103" s="43">
        <f t="shared" si="473"/>
        <v>0</v>
      </c>
      <c r="MX103" s="43" t="str">
        <f t="shared" si="474"/>
        <v/>
      </c>
      <c r="MY103" s="43" t="str">
        <f t="shared" ca="1" si="451"/>
        <v/>
      </c>
      <c r="MZ103" s="43" t="str">
        <f t="shared" si="475"/>
        <v/>
      </c>
      <c r="NA103" s="43" t="str">
        <f t="shared" si="476"/>
        <v/>
      </c>
      <c r="NB103" s="43" t="str">
        <f t="shared" si="477"/>
        <v/>
      </c>
      <c r="NC103" s="43" t="str">
        <f t="shared" si="478"/>
        <v/>
      </c>
      <c r="ND103" s="43">
        <f t="shared" ca="1" si="479"/>
        <v>1</v>
      </c>
      <c r="NE103" s="43">
        <f>IF(OR(O103&gt;0,R103&gt;0),SUM(COUNTIF(Tabla1[[#This Row],[AÑOS AL INICIO5 CPN]],"&gt;=40"),COUNTIF(AS103,"0"),COUNTIF(AR103,"SI"),COUNTIF(CC103,"SI"),COUNTIF(BQ103,"&gt;119"),COUNTIF(CI103,"&gt;=35")),"")</f>
        <v>0</v>
      </c>
      <c r="NF103" s="43" t="str">
        <f t="shared" si="480"/>
        <v/>
      </c>
      <c r="NG103" s="43">
        <f t="shared" si="481"/>
        <v>0</v>
      </c>
      <c r="NH103" s="43">
        <f t="shared" si="482"/>
        <v>78.399999999999991</v>
      </c>
      <c r="NI10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CPN",P103="NO"),"Z",IF(AND(Tabla1[[#This Row],[CITA PROXIMO CONTROL]]="CITA MANUAL",Tabla1[[#This Row],[GESTANTES ACTUALES]]="ACTIVA INGRESO A CPN"),"W",IF(AND(Tabla1[[#This Row],[GESTANTES ACTUALES]]="SALIO PROGRAMA",IN103=""),"S",IF(AND(Tabla1[[#This Row],[CITA PROXIMO CONTROL]]&gt;0,IN103=""),(Tabla1[[#This Row],[CITA PROXIMO CONTROL]]-TODAY()),"SD"))))))))</f>
        <v>#REF!</v>
      </c>
      <c r="NJ103" s="43">
        <f>MONTH(Tabla1[[#This Row],[FECHA DE SALIDA  DEL PROGRAMA]])</f>
        <v>1</v>
      </c>
      <c r="NK103" s="43">
        <f>YEAR(Tabla1[[#This Row],[FECHA DE SALIDA  DEL PROGRAMA]])</f>
        <v>1900</v>
      </c>
      <c r="NL103" s="43">
        <f t="shared" si="483"/>
        <v>27</v>
      </c>
      <c r="NM103" s="43" t="str">
        <f t="shared" si="456"/>
        <v>NO</v>
      </c>
      <c r="NN103" s="43" t="str">
        <f ca="1">IF(AND(O103&gt;0,R103=""),"NO CPN",IF(AND(O103="",R103=""),"",IF(AND(R103&gt;0,Tabla1[[#This Row],[SEMANAS DE GESTACION ACTUALIZADAS]]&lt;=12),"NO APLICA",IF(AND(FH103&lt;&gt;"",FN103&lt;&gt;""),"SI","NO"))))</f>
        <v>NO</v>
      </c>
      <c r="NO103" s="43" t="str">
        <f ca="1">IF(AND(O103&gt;0,R103=""),"NO CPN",IF(AND(O103="",R103=""),"",IF(AND(R103&gt;0,Tabla1[[#This Row],[SEMANAS DE GESTACION ACTUALIZADAS]]&lt;=27),"NO APLICA",IF(AND(ES103&lt;&gt;"",FQ103&lt;&gt;"",GF103&lt;&gt;""),"SI","NO"))))</f>
        <v>NO</v>
      </c>
      <c r="NP103" s="204" t="str">
        <f t="shared" si="484"/>
        <v>I TRIM</v>
      </c>
      <c r="NQ103" s="21">
        <f t="shared" si="437"/>
        <v>10</v>
      </c>
      <c r="NR103" s="21" t="str">
        <f t="shared" ca="1" si="452"/>
        <v>REVISAR FUM O FECHA SALIDA PROGRAMA</v>
      </c>
      <c r="NS103" s="205">
        <f t="shared" ca="1" si="485"/>
        <v>1</v>
      </c>
      <c r="NT103" s="21">
        <f t="shared" ca="1" si="486"/>
        <v>0</v>
      </c>
      <c r="NU103" s="21" t="str">
        <f t="shared" ca="1" si="487"/>
        <v>POR DEFINIR</v>
      </c>
      <c r="NV103" s="21" t="str">
        <f t="shared" ca="1" si="488"/>
        <v>POR DEFINIR</v>
      </c>
      <c r="NW103" s="206" t="str">
        <f>IF(AND(O103="",R103=""),"",IF(OR(AND(Tabla1[[#This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03" s="207" t="str">
        <f t="shared" ca="1" si="489"/>
        <v>SIN VACUNAR</v>
      </c>
      <c r="NY103" s="43">
        <f>ROW(Tabla1[[#This Row],['# DE TAMIZAJES SIFILIS TOMADOS ]])</f>
        <v>103</v>
      </c>
      <c r="NZ103" s="43" t="str">
        <f t="shared" si="334"/>
        <v>Menor</v>
      </c>
      <c r="OA103" s="43" t="str">
        <f t="shared" si="335"/>
        <v>SOBREPESO</v>
      </c>
      <c r="OB103" s="43" t="str">
        <f t="shared" si="336"/>
        <v/>
      </c>
      <c r="OC103" s="43" t="str">
        <f t="shared" si="337"/>
        <v/>
      </c>
      <c r="OD103" s="43" t="str">
        <f t="shared" si="338"/>
        <v/>
      </c>
      <c r="OE103" s="43" t="str">
        <f t="shared" si="339"/>
        <v/>
      </c>
      <c r="OF103" s="43" t="str">
        <f t="shared" si="340"/>
        <v/>
      </c>
      <c r="OG103" s="43" t="str">
        <f t="shared" si="341"/>
        <v/>
      </c>
      <c r="OH103" s="43" t="str">
        <f t="shared" si="342"/>
        <v/>
      </c>
      <c r="OI103" s="43" t="str">
        <f t="shared" si="343"/>
        <v/>
      </c>
      <c r="OJ103" s="43" t="str">
        <f t="shared" si="344"/>
        <v/>
      </c>
      <c r="OK103" s="43" t="str">
        <f t="shared" si="345"/>
        <v/>
      </c>
      <c r="OL103" s="43" t="str">
        <f t="shared" si="346"/>
        <v/>
      </c>
      <c r="OM103" s="43" t="str">
        <f t="shared" si="347"/>
        <v/>
      </c>
      <c r="ON103" s="43" t="str">
        <f t="shared" si="348"/>
        <v/>
      </c>
      <c r="OO103" s="43" t="str">
        <f t="shared" si="349"/>
        <v/>
      </c>
      <c r="OP103" s="43" t="str">
        <f t="shared" si="350"/>
        <v/>
      </c>
      <c r="OQ103" s="43" t="str">
        <f t="shared" si="351"/>
        <v/>
      </c>
      <c r="OR103" s="43" t="str">
        <f t="shared" si="352"/>
        <v/>
      </c>
      <c r="OS103" s="43" t="str">
        <f t="shared" si="353"/>
        <v/>
      </c>
      <c r="OT103" s="43" t="str">
        <f t="shared" si="354"/>
        <v/>
      </c>
      <c r="OU103" s="43" t="str">
        <f t="shared" si="355"/>
        <v/>
      </c>
      <c r="OV103" s="110" t="str">
        <f t="shared" si="356"/>
        <v/>
      </c>
      <c r="OW103" s="43" t="str">
        <f t="shared" si="357"/>
        <v/>
      </c>
      <c r="OX103" s="43" t="str">
        <f t="shared" si="358"/>
        <v/>
      </c>
      <c r="OY103" s="43" t="str">
        <f t="shared" si="359"/>
        <v/>
      </c>
      <c r="OZ103" s="43" t="str">
        <f t="shared" si="360"/>
        <v/>
      </c>
      <c r="PA103" s="43" t="str">
        <f t="shared" si="361"/>
        <v/>
      </c>
      <c r="PB103" s="43" t="str">
        <f t="shared" si="362"/>
        <v/>
      </c>
      <c r="PC103" s="43" t="str">
        <f t="shared" si="363"/>
        <v/>
      </c>
      <c r="PD103" s="43" t="str">
        <f t="shared" si="364"/>
        <v/>
      </c>
      <c r="PE103" s="43" t="str">
        <f t="shared" si="365"/>
        <v/>
      </c>
      <c r="PF103" s="43" t="str">
        <f t="shared" si="366"/>
        <v/>
      </c>
      <c r="PG103" s="43" t="str">
        <f t="shared" si="367"/>
        <v/>
      </c>
      <c r="PH103" s="43" t="str">
        <f t="shared" si="368"/>
        <v/>
      </c>
      <c r="PI103" s="43">
        <f t="shared" si="369"/>
        <v>31</v>
      </c>
      <c r="PJ103" s="43" t="str">
        <f t="shared" si="370"/>
        <v/>
      </c>
      <c r="PK103" s="43" t="str">
        <f t="shared" si="371"/>
        <v/>
      </c>
      <c r="PL103" s="43" t="str">
        <f t="shared" si="372"/>
        <v/>
      </c>
      <c r="PM103" s="43" t="str">
        <f t="shared" si="373"/>
        <v/>
      </c>
      <c r="PN103" s="43" t="str">
        <f t="shared" si="374"/>
        <v/>
      </c>
      <c r="PO103" s="43" t="str">
        <f t="shared" si="375"/>
        <v/>
      </c>
      <c r="PP103" s="43" t="str">
        <f t="shared" si="376"/>
        <v/>
      </c>
      <c r="PQ103" s="43" t="str">
        <f t="shared" si="377"/>
        <v/>
      </c>
      <c r="PR103" s="43" t="str">
        <f t="shared" si="378"/>
        <v/>
      </c>
      <c r="PS103" s="43" t="str">
        <f t="shared" si="379"/>
        <v/>
      </c>
      <c r="PT103" s="43" t="str">
        <f t="shared" si="380"/>
        <v/>
      </c>
      <c r="PU103" s="43" t="str">
        <f t="shared" si="381"/>
        <v/>
      </c>
      <c r="PV103" s="43" t="str">
        <f t="shared" si="382"/>
        <v/>
      </c>
      <c r="PW103" s="43" t="str">
        <f t="shared" si="383"/>
        <v/>
      </c>
      <c r="PX103" s="43" t="str">
        <f t="shared" si="384"/>
        <v/>
      </c>
      <c r="PY103" s="43" t="str">
        <f t="shared" si="385"/>
        <v/>
      </c>
      <c r="PZ103" s="43" t="str">
        <f t="shared" si="386"/>
        <v/>
      </c>
      <c r="QA103" s="43" t="str">
        <f t="shared" si="387"/>
        <v/>
      </c>
      <c r="QB103" s="43" t="str">
        <f t="shared" si="388"/>
        <v/>
      </c>
      <c r="QC103" s="43" t="str">
        <f t="shared" si="389"/>
        <v/>
      </c>
      <c r="QD103" s="43" t="str">
        <f t="shared" si="390"/>
        <v/>
      </c>
      <c r="QE103" s="43" t="str">
        <f t="shared" si="391"/>
        <v/>
      </c>
      <c r="QF103" s="43" t="str">
        <f t="shared" si="392"/>
        <v>SOBREPESO</v>
      </c>
      <c r="QG103" s="43" t="str">
        <f t="shared" si="393"/>
        <v/>
      </c>
      <c r="QH103" s="43" t="str">
        <f t="shared" si="394"/>
        <v/>
      </c>
      <c r="QI103" s="43" t="str">
        <f t="shared" si="395"/>
        <v/>
      </c>
      <c r="QJ103" s="43" t="str">
        <f t="shared" si="396"/>
        <v/>
      </c>
      <c r="QK103" s="43" t="str">
        <f t="shared" si="397"/>
        <v/>
      </c>
      <c r="QL103" s="43" t="str">
        <f t="shared" si="398"/>
        <v/>
      </c>
      <c r="QM103" s="43" t="str">
        <f t="shared" si="399"/>
        <v/>
      </c>
      <c r="QN103" s="43" t="str">
        <f t="shared" si="400"/>
        <v/>
      </c>
      <c r="QO103" s="43" t="str">
        <f t="shared" si="401"/>
        <v/>
      </c>
      <c r="QP103" s="43" t="str">
        <f t="shared" si="402"/>
        <v/>
      </c>
      <c r="QQ103" s="43" t="str">
        <f t="shared" si="403"/>
        <v/>
      </c>
      <c r="QR103" s="43">
        <f t="shared" si="433"/>
        <v>31</v>
      </c>
      <c r="QS103" s="43"/>
      <c r="QT103" s="21" t="str">
        <f t="shared" si="404"/>
        <v/>
      </c>
      <c r="QU103" s="21" t="str">
        <f t="shared" si="405"/>
        <v/>
      </c>
      <c r="QV103" s="21" t="str">
        <f t="shared" si="406"/>
        <v/>
      </c>
      <c r="QW103" s="21" t="str">
        <f t="shared" si="407"/>
        <v/>
      </c>
      <c r="QX103" s="21" t="str">
        <f t="shared" si="408"/>
        <v/>
      </c>
      <c r="QY103" s="21" t="str">
        <f t="shared" si="409"/>
        <v/>
      </c>
      <c r="QZ103" s="21" t="str">
        <f t="shared" si="410"/>
        <v/>
      </c>
      <c r="RA103" s="21" t="str">
        <f t="shared" si="411"/>
        <v/>
      </c>
      <c r="RB103" s="21" t="str">
        <f t="shared" si="412"/>
        <v/>
      </c>
      <c r="RC103" s="21" t="str">
        <f t="shared" si="413"/>
        <v/>
      </c>
      <c r="RD103" s="21" t="str">
        <f t="shared" si="414"/>
        <v/>
      </c>
      <c r="RE103" s="21" t="str">
        <f t="shared" si="415"/>
        <v/>
      </c>
      <c r="RF103" s="21" t="str">
        <f t="shared" si="416"/>
        <v/>
      </c>
      <c r="RG103" s="21" t="str">
        <f t="shared" si="417"/>
        <v/>
      </c>
      <c r="RH103" s="21" t="str">
        <f t="shared" si="418"/>
        <v/>
      </c>
      <c r="RI103" s="21" t="str">
        <f t="shared" si="419"/>
        <v/>
      </c>
      <c r="RJ103" s="21" t="str">
        <f t="shared" si="420"/>
        <v/>
      </c>
      <c r="RK103" s="21" t="str">
        <f t="shared" si="421"/>
        <v/>
      </c>
      <c r="RL103" s="21" t="str">
        <f t="shared" si="422"/>
        <v>ADECUADO PARA EDAD GESTACIONAL</v>
      </c>
      <c r="RM103" s="21" t="str">
        <f t="shared" si="423"/>
        <v/>
      </c>
      <c r="RN103" s="21" t="str">
        <f t="shared" si="424"/>
        <v/>
      </c>
      <c r="RO103" s="21" t="str">
        <f t="shared" si="425"/>
        <v/>
      </c>
      <c r="RP103" s="21" t="str">
        <f t="shared" si="426"/>
        <v/>
      </c>
      <c r="RQ103" s="21" t="str">
        <f t="shared" si="427"/>
        <v/>
      </c>
      <c r="RR103" s="21" t="str">
        <f t="shared" si="428"/>
        <v/>
      </c>
      <c r="RS103" s="21" t="str">
        <f t="shared" si="429"/>
        <v/>
      </c>
      <c r="RT103" s="21" t="str">
        <f t="shared" si="430"/>
        <v/>
      </c>
      <c r="RU103" s="21" t="str">
        <f t="shared" si="431"/>
        <v/>
      </c>
      <c r="RV103" s="21">
        <f t="shared" si="432"/>
        <v>8</v>
      </c>
      <c r="RW103" s="284">
        <f>IF(OR(Tabla1[[#This Row],[FUM FORMULA CONFIABLE]]="",Tabla1[[#This Row],[FUM FORMULA CONFIABLE]]="SD"),"",IF(Tabla1[[#This Row],[FUM FORMULA CONFIABLE]]="CORREGIDA",Tabla1[[#This Row],[FUM X ECO 1]],Tabla1[[#This Row],[FUM x AMENORREA]]))</f>
        <v>44917</v>
      </c>
      <c r="RX103" s="21">
        <f>IF(AND(Tabla1[[#This Row],[FUM X ECO 1]]="",Tabla1[[#This Row],[FUM x AMENORREA]]=""),"",IF(AND(Tabla1[[#This Row],[FUM X ECO 1]]="",Tabla1[[#This Row],[FUM x AMENORREA]]&lt;&gt;""),"X",SUM(Tabla1[[#This Row],[FUM X ECO 1]]-Tabla1[[#This Row],[FUM x AMENORREA]])))</f>
        <v>4.5999999999985448</v>
      </c>
      <c r="RY103" s="21">
        <f t="shared" si="434"/>
        <v>0</v>
      </c>
    </row>
    <row r="104" spans="1:493" ht="45" customHeight="1" x14ac:dyDescent="0.25">
      <c r="A104" s="109"/>
      <c r="B104" s="43"/>
      <c r="C104" s="43" t="s">
        <v>845</v>
      </c>
      <c r="D104" s="124"/>
      <c r="E104" s="43" t="s">
        <v>1309</v>
      </c>
      <c r="F104" s="43" t="s">
        <v>1310</v>
      </c>
      <c r="G104" s="43" t="s">
        <v>1281</v>
      </c>
      <c r="H104" s="43" t="s">
        <v>1277</v>
      </c>
      <c r="I104" s="109" t="s">
        <v>851</v>
      </c>
      <c r="J104" s="110">
        <v>1062088572</v>
      </c>
      <c r="K104" s="43" t="s">
        <v>852</v>
      </c>
      <c r="L104" s="175" t="s">
        <v>1509</v>
      </c>
      <c r="M104" s="22">
        <v>35325</v>
      </c>
      <c r="N104" s="213">
        <f t="shared" ca="1" si="252"/>
        <v>27.142465753424659</v>
      </c>
      <c r="O104" s="22">
        <v>44975</v>
      </c>
      <c r="P104" s="214" t="str">
        <f t="shared" si="438"/>
        <v>SI</v>
      </c>
      <c r="Q104" s="26" t="s">
        <v>855</v>
      </c>
      <c r="R104" s="22">
        <v>44975</v>
      </c>
      <c r="S104" s="21" t="s">
        <v>856</v>
      </c>
      <c r="T104" s="24" t="s">
        <v>690</v>
      </c>
      <c r="U104" s="21" t="s">
        <v>857</v>
      </c>
      <c r="V104" s="21" t="s">
        <v>858</v>
      </c>
      <c r="W104" s="21" t="s">
        <v>999</v>
      </c>
      <c r="X104" s="21" t="s">
        <v>999</v>
      </c>
      <c r="Y104" s="21" t="s">
        <v>859</v>
      </c>
      <c r="Z104" s="21">
        <v>3104351702</v>
      </c>
      <c r="AA104" s="21" t="s">
        <v>860</v>
      </c>
      <c r="AB104" s="27" t="s">
        <v>861</v>
      </c>
      <c r="AC104" s="26" t="s">
        <v>877</v>
      </c>
      <c r="AD104" s="38" t="s">
        <v>846</v>
      </c>
      <c r="AE104" s="26" t="s">
        <v>854</v>
      </c>
      <c r="AF104" s="26" t="s">
        <v>854</v>
      </c>
      <c r="AG104" s="23" t="s">
        <v>864</v>
      </c>
      <c r="AH104" s="23" t="s">
        <v>864</v>
      </c>
      <c r="AI104" s="24" t="s">
        <v>863</v>
      </c>
      <c r="AJ104" s="23" t="s">
        <v>864</v>
      </c>
      <c r="AK104" s="220" t="str">
        <f>IF(AND(AD104="",AE104="",AF104="",AG104="",AH104="",AI104="",AJ104=""),"",IF(OR(Tabla1[[#This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EVALUACIÓN",IF(AND(O104="",R104=""),"",IF(AND(OR(O104&gt;0,R104&gt;0),NG104&gt;=0,NG104&lt;2),"SIN RIESGO",IF(AND(OR(O104&gt;0,R104&gt;0),NG104&gt;=2),"CON RIESGO","ASD")))))</f>
        <v>SIN RIESGO</v>
      </c>
      <c r="AL104" s="23" t="s">
        <v>864</v>
      </c>
      <c r="AM104" s="26" t="s">
        <v>864</v>
      </c>
      <c r="AN104" s="26" t="s">
        <v>864</v>
      </c>
      <c r="AO104" s="26" t="s">
        <v>864</v>
      </c>
      <c r="AP104" s="26" t="s">
        <v>864</v>
      </c>
      <c r="AQ104" s="26" t="s">
        <v>864</v>
      </c>
      <c r="AR104" s="26" t="s">
        <v>864</v>
      </c>
      <c r="AS104" s="21">
        <v>4</v>
      </c>
      <c r="AT104" s="21">
        <v>3</v>
      </c>
      <c r="AU104" s="21">
        <v>0</v>
      </c>
      <c r="AV104" s="26" t="s">
        <v>864</v>
      </c>
      <c r="AW104" s="21">
        <v>0</v>
      </c>
      <c r="AX104" s="26" t="s">
        <v>864</v>
      </c>
      <c r="AY104" s="26" t="s">
        <v>864</v>
      </c>
      <c r="AZ104" s="26" t="s">
        <v>864</v>
      </c>
      <c r="BA104" s="26" t="s">
        <v>864</v>
      </c>
      <c r="BB104" s="26" t="s">
        <v>864</v>
      </c>
      <c r="BC104" s="26" t="s">
        <v>864</v>
      </c>
      <c r="BD104" s="26" t="s">
        <v>864</v>
      </c>
      <c r="BE104" s="26" t="s">
        <v>864</v>
      </c>
      <c r="BF104" s="26" t="s">
        <v>864</v>
      </c>
      <c r="BG104" s="26" t="s">
        <v>864</v>
      </c>
      <c r="BH104" s="26" t="s">
        <v>864</v>
      </c>
      <c r="BI104" s="26" t="s">
        <v>864</v>
      </c>
      <c r="BJ104" s="26"/>
      <c r="BK104" s="26"/>
      <c r="BL104" s="26" t="s">
        <v>864</v>
      </c>
      <c r="BM104" s="26" t="s">
        <v>864</v>
      </c>
      <c r="BN104" s="22"/>
      <c r="BO104" s="22">
        <v>44832</v>
      </c>
      <c r="BP104" s="21" t="s">
        <v>854</v>
      </c>
      <c r="BQ104" s="222">
        <f t="shared" si="254"/>
        <v>0</v>
      </c>
      <c r="BR104" s="223" t="str">
        <f t="shared" si="255"/>
        <v/>
      </c>
      <c r="BS104" s="224">
        <f t="shared" si="256"/>
        <v>20.428571428571427</v>
      </c>
      <c r="BT104" s="216" t="str">
        <f t="shared" si="257"/>
        <v>II TRIM</v>
      </c>
      <c r="BU104" s="214" t="str">
        <f t="shared" ca="1" si="258"/>
        <v/>
      </c>
      <c r="BV104" s="25"/>
      <c r="BW104" s="22"/>
      <c r="BX104" s="28"/>
      <c r="BY104" s="28"/>
      <c r="BZ104" s="22"/>
      <c r="CA104" s="21"/>
      <c r="CB104" s="26"/>
      <c r="CC104" s="26"/>
      <c r="CD104" s="26"/>
      <c r="CE104" s="26"/>
      <c r="CF104" s="22" t="s">
        <v>1517</v>
      </c>
      <c r="CG104" s="21">
        <v>1.58</v>
      </c>
      <c r="CH104" s="21">
        <v>55.5</v>
      </c>
      <c r="CI104" s="214">
        <f t="shared" si="259"/>
        <v>22.232014100304436</v>
      </c>
      <c r="CJ104" s="225" t="e">
        <f>IF(AND(CI104&lt;10,CH104="SD"),"SIN DATO PESO PREGESTACION O I TRIM",IF(AND(OR(R104&gt;0,O104&gt;0),CI104="X"),"INGRESAR DATO DE PESO",IF(CI104="SD","INGRESAR DATO DE TALLA Y PESO",IF(AND(OR(Tabla1[[#This Row],[MOMENTO EN QUE SE REALIZA EL PESO AL INGRESO A CPN]]="PREGESTACIÓN",NZ104="Menor"),CI104&lt;18.5),"BAJO PESO",IF(AND(OR(Tabla1[[#This Row],[MOMENTO EN QUE SE REALIZA EL PESO AL INGRESO A CPN]]="PREGESTACIÓN",NZ104="Menor"),CI104&lt;25),"NORMAL",IF(AND(OR(Tabla1[[#This Row],[MOMENTO EN QUE SE REALIZA EL PESO AL INGRESO A CPN]]="PREGESTACIÓN",NZ104="Menor"),CI104&lt;30),"SOBREPESO",IF(AND(OR(Tabla1[[#This Row],[MOMENTO EN QUE SE REALIZA EL PESO AL INGRESO A CPN]]="PREGESTACIÓN",NZ104="Menor"),CI104&gt;=30,CI104&lt;50),"OBESIDAD",IF(AND(BS104&gt;0,Tabla1[[#This Row],[MOMENTO EN QUE SE REALIZA EL PESO AL INGRESO A CPN]]="GESTACIÓN"),HLOOKUP(NZ104,$OA$2:PH104,NY104),""))))))))</f>
        <v>#REF!</v>
      </c>
      <c r="CK104" s="212">
        <f t="shared" si="260"/>
        <v>45065</v>
      </c>
      <c r="CL104" s="21">
        <v>56.5</v>
      </c>
      <c r="CM104" s="214">
        <f t="shared" si="261"/>
        <v>22.632590930940552</v>
      </c>
      <c r="CN104" s="216">
        <f t="shared" si="262"/>
        <v>33</v>
      </c>
      <c r="CO104" s="216" t="e">
        <f>IF(PI104="","",IF(PI104&gt;0,HLOOKUP(PI104,$PJ$2:QQ104,NY104),""))</f>
        <v>#REF!</v>
      </c>
      <c r="CP104" s="21"/>
      <c r="CQ104" s="216" t="e">
        <f>IF(QR104="Menor","NO APLICA-MENOR 13 SEM",IF(AND(CC104="SI",CN104&gt;23),"NO APLICA- GEMELAR",IF(QR104="","",IF(QR104&gt;0,HLOOKUP(QR104,$QS$2:RU104,NY104),""))))</f>
        <v>#REF!</v>
      </c>
      <c r="CR104" s="21"/>
      <c r="CS104" s="21"/>
      <c r="CT104" s="217" t="str">
        <f>IF(R104="","",IF(AND(BS104&gt;1,BS104&lt;12,Tabla1[[#This Row],[T.A. SISTOLICA - ANTES DE SEMANA 12]]="",Tabla1[[#This Row],[T.A. DIASTOLICA - ANTES DE SEMANA 12]]=""),"REGISTRE DATO TA ANTES SEMANA 12",IF(AND(BS104&gt;11,BS104&lt;43,Tabla1[[#This Row],[T.A. SISTOLICA - ANTES DE SEMANA 12]]="",Tabla1[[#This Row],[T.A. DIASTOLICA - ANTES DE SEMANA 12]]=""),"NO APLICA REGISTRO TA-INGRESO TARDIO",IF(AND(OR(O104&gt;0,R104&gt;0),OR(CR104&gt;=140,CS104&gt;=90)),"DEFINIR ESTADIO HTA",IF(AND(OR(O104&gt;0,R104&gt;0),AND(CR104&gt;120,CR104&lt;=139)),"PRE HTA SEGUIMIENTO",IF(AND(OR(O104&gt;0,R104&gt;0),AND(CS104&gt;80,CS104&lt;=89)),"PRE HTA SEGUIMIENTO",IF(AND(OR(O104&gt;0,R104&gt;0),AND(CR104&gt;=80,CR104&lt;=120)),"APARENTEMENTE NORMAL",IF(AND(OR(O104&gt;0,R104&gt;0),AND(CS104&gt;=50,CS104&lt;=80)),"APARENTEMENTE NORMAL",IF(AND(OR(O104&gt;0,R104&gt;0),AND(CR104&gt;1,CR104&lt;=70),AND(CS104&gt;1,CS104&lt;=40)),"HIPOTENSIÓN","")))))))))</f>
        <v>NO APLICA REGISTRO TA-INGRESO TARDIO</v>
      </c>
      <c r="CU104" s="21">
        <v>100</v>
      </c>
      <c r="CV104" s="21">
        <v>60</v>
      </c>
      <c r="CW104" s="217" t="str">
        <f ca="1">IF(R104="","",IF(AND(CN104&gt;19,CN104&lt;27,Tabla1[[#This Row],[T.A. SISTOLICA (Entre semana 20 y 26)]]="",Tabla1[[#This Row],[T.A. DIATOLICA (Entre semana 20 y 26)]]=""),"ACUDE A CONTROL SEM 20 A 26 REGISTRE TA AHORA",IF(AND(BS104&gt;1,BS104&lt;27,BU104&gt;19,Tabla1[[#This Row],[T.A. SISTOLICA (Entre semana 20 y 26)]]="",Tabla1[[#This Row],[T.A. DIATOLICA (Entre semana 20 y 26)]]=""),"COMPLETE REGISTRO TA CONTROL SEM 20 A26 ",IF(AND(BS104&gt;26,BS104&lt;43,Tabla1[[#This Row],[T.A. SISTOLICA (Entre semana 20 y 26)]]="",Tabla1[[#This Row],[T.A. DIATOLICA (Entre semana 20 y 26)]]=""),"NO APLICA REGISTRO TA-INGRESO TARDIO",IF(AND(OR(O104&gt;0,R104&gt;0),OR(CU104&gt;=140,CV104&gt;=90)),"ALTO RIESGO PREECLAMPSIA,DEFINIR ESTADIO HTA",IF(AND(OR(O104&gt;0,R104&gt;0),AND(CU104&gt;120,CU104&lt;=139)),"PRE HTA SEGUIMIENTO,RIESGO HIPERTENSION INDUCIDA POR EL EMBARAZO",IF(AND(OR(O104&gt;0,R104&gt;0),AND(CV104&gt;80,CV104&lt;=89)),"PRE HTA SEGUIMIENTO, RIESGO HIPERTENSION INDUCIDA POR EL EMBARAZO",IF(AND(OR(O104&lt;&gt;"",R104&lt;&gt;""),CS104&lt;&gt;"",CV104&lt;&gt;"",CS104&lt;=CV104),"VIGILAR CIFRAS PRESION ARTERIAL",IF(AND(OR(O104&gt;0,R104&gt;0),AND(CU104&gt;120,CU104&lt;=139)),"PRE HTA SEGUIMIENTO",IF(AND(OR(O104&gt;0,R104&gt;0),AND(CU104&gt;1,CU104&lt;=70),AND(CV104&gt;1,CV104&lt;=40)),"HIPOTENSIÓN",IF(AND(OR(O104&lt;&gt;"",R104&lt;&gt;""),CS104&lt;&gt;"",CV104&lt;&gt;"",CS104&gt;CV104),"APARENTEMENTE NORMAL",IF(AND(OR(O104&gt;0,R104&gt;0),AND(CU104&gt;=80,CU104&lt;=120)),"APARENTEMENTE NORMAL",IF(AND(OR(O104&gt;0,R104&gt;0),AND(CV104&gt;=50,CV104&lt;=80)),"APARENTEMENTE NORMAL","")))))))))))))</f>
        <v>APARENTEMENTE NORMAL</v>
      </c>
      <c r="CX104" s="21"/>
      <c r="CY104" s="21"/>
      <c r="CZ104" s="216" t="str">
        <f t="shared" si="457"/>
        <v>ACUDE A CONTROL SEM 30 A 34- REGISTRE AHORA</v>
      </c>
      <c r="DA104" s="21">
        <v>90</v>
      </c>
      <c r="DB104" s="21">
        <v>60</v>
      </c>
      <c r="DC104" s="217" t="str">
        <f t="shared" si="264"/>
        <v>APARENTEMENTE NORMAL</v>
      </c>
      <c r="DD104" s="22">
        <v>44975</v>
      </c>
      <c r="DE104" s="22">
        <v>44975</v>
      </c>
      <c r="DF104" s="22">
        <v>45065</v>
      </c>
      <c r="DG104" s="22"/>
      <c r="DH104" s="22"/>
      <c r="DI104" s="22"/>
      <c r="DJ104" s="22"/>
      <c r="DK104" s="22"/>
      <c r="DL104" s="22"/>
      <c r="DM104" s="22"/>
      <c r="DN104" s="22"/>
      <c r="DO104" s="22"/>
      <c r="DP104" s="22"/>
      <c r="DQ104" s="22"/>
      <c r="DR104" s="28"/>
      <c r="DS104" s="22"/>
      <c r="DT104" s="22"/>
      <c r="DU104" s="216" t="str">
        <f t="shared" ca="1" si="439"/>
        <v>SALE PROGRAMA ANTES SEMANA 35</v>
      </c>
      <c r="DV104" s="226" t="str">
        <f t="shared" si="440"/>
        <v>SALIO PROGRAMA</v>
      </c>
      <c r="DW104"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04" s="216" t="str">
        <f t="shared" ca="1" si="266"/>
        <v/>
      </c>
      <c r="DY104" s="212">
        <f>IF(R104="","",IF(R104&gt;0,MAX(Tabla1[[#This Row],[FECHA C2]:[FECHA C13]],Tabla1[[#This Row],[FECHA CONSULTA PRIMERA VEZ PROGRAMA CPN ]])))</f>
        <v>45065</v>
      </c>
      <c r="DZ104" s="216">
        <f t="shared" si="267"/>
        <v>33</v>
      </c>
      <c r="EA104" s="222">
        <f>IF(R104&gt;0,SUM(COUNTA(DF104:DQ104)+COUNTA(Tabla1[[#This Row],[FECHA CONSULTA PRIMERA VEZ PROGRAMA CPN ]])),"")</f>
        <v>2</v>
      </c>
      <c r="EB104" s="222" t="str">
        <f t="shared" si="268"/>
        <v>NO</v>
      </c>
      <c r="EC104" s="214">
        <f t="shared" si="269"/>
        <v>6</v>
      </c>
      <c r="ED104" s="227">
        <f t="shared" si="270"/>
        <v>0.33333333333333331</v>
      </c>
      <c r="EE104" s="22">
        <v>44975</v>
      </c>
      <c r="EF104" s="22">
        <v>44975</v>
      </c>
      <c r="EG104" s="22">
        <v>44975</v>
      </c>
      <c r="EH104" s="22"/>
      <c r="EI104" s="22">
        <v>44975</v>
      </c>
      <c r="EJ104" s="22">
        <v>44987</v>
      </c>
      <c r="EK104" s="344">
        <v>44985</v>
      </c>
      <c r="EL104" s="21"/>
      <c r="EM104" s="21">
        <v>13.8</v>
      </c>
      <c r="EN104" s="22">
        <v>44975</v>
      </c>
      <c r="EO104" s="222">
        <f t="shared" si="271"/>
        <v>20.428571428571427</v>
      </c>
      <c r="EP104" s="214" t="str">
        <f t="shared" si="272"/>
        <v>NORMAL- SUMINISTRAR SULFATO FERROSO</v>
      </c>
      <c r="EQ104" s="216" t="str">
        <f t="shared" si="273"/>
        <v>II TRIM</v>
      </c>
      <c r="ER104" s="24"/>
      <c r="ES104" s="22"/>
      <c r="ET104" s="29" t="str">
        <f t="shared" ca="1" si="441"/>
        <v>SALE SIN TAMIZAJE HEMOGLOBINA SEM 28</v>
      </c>
      <c r="EU104" s="25" t="str">
        <f t="shared" si="275"/>
        <v/>
      </c>
      <c r="EV104" s="24" t="s">
        <v>1510</v>
      </c>
      <c r="EW104" s="24">
        <v>44975</v>
      </c>
      <c r="EX104" s="22"/>
      <c r="EY104" s="29">
        <f t="shared" si="454"/>
        <v>20.428571428571427</v>
      </c>
      <c r="EZ104" s="25" t="str">
        <f t="shared" si="455"/>
        <v>SIN RIESGO DE ISOINMUNIZACIÓN</v>
      </c>
      <c r="FA104" s="21">
        <v>72</v>
      </c>
      <c r="FB104" s="22">
        <v>44975</v>
      </c>
      <c r="FC104" s="29">
        <f t="shared" si="276"/>
        <v>20.428571428571427</v>
      </c>
      <c r="FD104" s="29">
        <v>72</v>
      </c>
      <c r="FE104" s="29">
        <v>154</v>
      </c>
      <c r="FF104" s="29">
        <v>132</v>
      </c>
      <c r="FG104" s="21" t="str">
        <f t="shared" ca="1" si="277"/>
        <v>NORMAL</v>
      </c>
      <c r="FH104" s="31">
        <v>45066</v>
      </c>
      <c r="FI104" s="29">
        <f t="shared" si="278"/>
        <v>33.428571428571431</v>
      </c>
      <c r="FJ104" s="22"/>
      <c r="FK104" s="22"/>
      <c r="FL104" s="29" t="str">
        <f t="shared" ca="1" si="279"/>
        <v>NO APLICA-INGRESO TARDIO</v>
      </c>
      <c r="FM104" s="22" t="s">
        <v>867</v>
      </c>
      <c r="FN104" s="32">
        <v>44975</v>
      </c>
      <c r="FO104" s="29">
        <f t="shared" ca="1" si="442"/>
        <v>20.428571428571427</v>
      </c>
      <c r="FP104" s="22" t="s">
        <v>867</v>
      </c>
      <c r="FQ104" s="32">
        <v>45066</v>
      </c>
      <c r="FR104" s="29">
        <f t="shared" ca="1" si="443"/>
        <v>33.428571428571431</v>
      </c>
      <c r="FS104" s="22"/>
      <c r="FT104" s="32"/>
      <c r="FU104" s="29" t="str">
        <f>IF(AND(FJ104="",FM104="",FP104="",FS104=""),"",IF(OR(OR(Tabla1[[#This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04" s="28"/>
      <c r="FW104" s="22"/>
      <c r="FX104" s="29" t="str">
        <f t="shared" si="280"/>
        <v>TOMAR EXAMEN</v>
      </c>
      <c r="FY104" s="22" t="s">
        <v>1311</v>
      </c>
      <c r="FZ104" s="22" t="s">
        <v>1311</v>
      </c>
      <c r="GA104" s="29" t="e">
        <f t="shared" si="453"/>
        <v>#VALUE!</v>
      </c>
      <c r="GB104" s="22" t="s">
        <v>868</v>
      </c>
      <c r="GC104" s="22">
        <v>44975</v>
      </c>
      <c r="GD104" s="29">
        <f t="shared" ca="1" si="444"/>
        <v>20.428571428571427</v>
      </c>
      <c r="GE104" s="22" t="s">
        <v>868</v>
      </c>
      <c r="GF104" s="32">
        <v>45066</v>
      </c>
      <c r="GG104" s="29">
        <f t="shared" ca="1" si="445"/>
        <v>33.428571428571431</v>
      </c>
      <c r="GH104" s="22"/>
      <c r="GI104" s="29"/>
      <c r="GJ104" s="22"/>
      <c r="GK104" s="22"/>
      <c r="GL104" s="22"/>
      <c r="GM104" s="22"/>
      <c r="GN104" s="28" t="s">
        <v>869</v>
      </c>
      <c r="GO104" s="22">
        <v>44975</v>
      </c>
      <c r="GP104" s="29">
        <f t="shared" si="283"/>
        <v>20.428571428571427</v>
      </c>
      <c r="GQ104" s="28">
        <v>44975</v>
      </c>
      <c r="GR104" s="28" t="s">
        <v>869</v>
      </c>
      <c r="GS104" s="22" t="str">
        <f t="shared" si="458"/>
        <v/>
      </c>
      <c r="GT104" s="22">
        <v>44975</v>
      </c>
      <c r="GU104" s="29">
        <f t="shared" si="285"/>
        <v>20.428571428571427</v>
      </c>
      <c r="GV104" s="21" t="str">
        <f t="shared" si="286"/>
        <v>II TRIM</v>
      </c>
      <c r="GW104" s="28" t="s">
        <v>869</v>
      </c>
      <c r="GX104" s="30"/>
      <c r="GY104" s="21"/>
      <c r="GZ104" s="21"/>
      <c r="HA104" s="21"/>
      <c r="HB104" s="21"/>
      <c r="HC104" s="21"/>
      <c r="HD104" s="21"/>
      <c r="HE104" s="21"/>
      <c r="HF104" s="22"/>
      <c r="HG104" s="22" t="str">
        <f>IF(OR(O104&gt;0,R104&gt;0),CONCATENATE(IF(Tabla1[[#This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04" s="22" t="e">
        <f t="shared" si="287"/>
        <v>#REF!</v>
      </c>
      <c r="HI104" s="22" t="e">
        <f t="shared" ca="1" si="288"/>
        <v>#REF!</v>
      </c>
      <c r="HJ104" s="21" t="str">
        <f t="shared" ca="1" si="289"/>
        <v>***************************************</v>
      </c>
      <c r="HK104" s="21" t="str">
        <f t="shared" si="290"/>
        <v>SIN ANTECEDENTES DE RIESGO</v>
      </c>
      <c r="HL104" s="24" t="str">
        <f t="shared" si="291"/>
        <v>APARENTEMENTE NORMAL</v>
      </c>
      <c r="HM104" s="21" t="str">
        <f t="shared" ca="1" si="292"/>
        <v/>
      </c>
      <c r="HN104" s="30" t="str">
        <f t="shared" si="446"/>
        <v>SALIO PROGRAMA</v>
      </c>
      <c r="HO104" s="21"/>
      <c r="HP104" s="21"/>
      <c r="HQ104" s="21"/>
      <c r="HR104" s="21" t="str">
        <f>IF(R104="","",IF(Tabla1[[#This Row],[ALARMA FACTORES DE RIESGO COMPLICACIONES HIPERTENSIVAS3]]="SIN ANTECEDENTES DE RIESGO","No Aplica para suministro de ASA",IF(AND(Tabla1[[#This Row],[FECHA INICIO DE SUMINISTRO DE ASA]]&gt;0,RV104&lt;12),"Inicia ASA ANTES de Sem 12",IF(AND(RV104&gt;11,RV104&lt;17,OR(HK104="RIESGO ALTO DE COMPLICACIONES HIPERTENSIVAS VER MANEJO GUIA SUMINISTRO ASA Y CALCIO",HK104="RIESGO MODERADO (2 O MAS CRITERIOS) VER MANEJO GUIA SUMINISTRO ASA Y CALCIO")),"Inicio oportuno de ASA",IF(AND(RV104&gt;12,OR(HK104="RIESGO ALTO DE COMPLICACIONES HIPERTENSIVAS VER MANEJO GUIA SUMINISTRO ASA Y CALCIO",HK104="RIESGO MODERADO (2 O MAS CRITERIOS) VER MANEJO GUIA SUMINISTRO ASA Y CALCIO")),"Inicio no oportuno mayor a 16 semanas",IF(AND(BU104&lt;12,OR(HK104="RIESGO ALTO DE COMPLICACIONES HIPERTENSIVAS VER MANEJO GUIA SUMINISTRO ASA Y CALCIO",HK104="RIESGO MODERADO (2 O MAS CRITERIOS) VER MANEJO GUIA SUMINISTRO ASA Y CALCIO")),"Pendiente Inicio de ASA a la semana 12",IF(AND(BU104&gt;11,BU104&lt;17,OR(HK104="RIESGO ALTO DE COMPLICACIONES HIPERTENSIVAS VER MANEJO GUIA SUMINISTRO ASA Y CALCIO",HK104="RIESGO MODERADO (2 O MAS CRITERIOS) VER MANEJO GUIA SUMINISTRO ASA Y CALCIO")),"Iniciar de inmediato ASA",IF(AND(BU104&gt;16,OR(HK104="RIESGO ALTO DE COMPLICACIONES HIPERTENSIVAS VER MANEJO GUIA SUMINISTRO ASA Y CALCIO",HK104="RIESGO MODERADO (2 O MAS CRITERIOS) VER MANEJO GUIA SUMINISTRO ASA Y CALCIO")),"Pierde Oportunidad, Inicio tardío de ASA","XXXXX"))))))))</f>
        <v>No Aplica para suministro de ASA</v>
      </c>
      <c r="HS104" s="22"/>
      <c r="HT104" s="22"/>
      <c r="HU104" s="22"/>
      <c r="HV104" s="22"/>
      <c r="HW104" s="22"/>
      <c r="HX104" s="22"/>
      <c r="HY104" s="22"/>
      <c r="HZ104" s="28" t="str">
        <f t="shared" si="293"/>
        <v>PENDIENTE CONSULTA</v>
      </c>
      <c r="IA104" s="26"/>
      <c r="IB104" s="26"/>
      <c r="IC104" s="111"/>
      <c r="ID104" s="22"/>
      <c r="IE104" s="22" t="str">
        <f t="shared" ca="1" si="294"/>
        <v>SALE SIN VACUNA</v>
      </c>
      <c r="IF104" s="22"/>
      <c r="IG104" s="22">
        <f t="shared" si="295"/>
        <v>45112</v>
      </c>
      <c r="IH104" s="29">
        <f t="shared" ca="1" si="296"/>
        <v>-120</v>
      </c>
      <c r="II104" s="22" t="str">
        <f t="shared" ca="1" si="297"/>
        <v>POSIBLEMENTE NACIO</v>
      </c>
      <c r="IJ104" s="22"/>
      <c r="IK104" s="21" t="s">
        <v>898</v>
      </c>
      <c r="IL104" s="21"/>
      <c r="IM104" s="34"/>
      <c r="IN104" s="349">
        <v>45069</v>
      </c>
      <c r="IO104" s="21" t="s">
        <v>1640</v>
      </c>
      <c r="IP104" s="29">
        <f t="shared" si="436"/>
        <v>33.857142857142854</v>
      </c>
      <c r="IQ104" s="110"/>
      <c r="IR104" s="21" t="s">
        <v>879</v>
      </c>
      <c r="IS104" s="21" t="s">
        <v>1641</v>
      </c>
      <c r="IT104" s="21" t="s">
        <v>1642</v>
      </c>
      <c r="IU104" s="21"/>
      <c r="IV104" s="21"/>
      <c r="IW104" s="21"/>
      <c r="IX104" s="21"/>
      <c r="IY104" s="21"/>
      <c r="IZ104" s="21"/>
      <c r="JA104" s="21"/>
      <c r="JB104" s="30">
        <v>1</v>
      </c>
      <c r="JC104" s="21" t="s">
        <v>1643</v>
      </c>
      <c r="JD104" s="36">
        <v>3300</v>
      </c>
      <c r="JE104" s="21" t="str">
        <f t="shared" si="447"/>
        <v>ERROR VERIFICAR DATO EDAD GESTACIONAL VS PESO</v>
      </c>
      <c r="JF104" s="30"/>
      <c r="JG104" s="21"/>
      <c r="JH104" s="21"/>
      <c r="JI104" s="21"/>
      <c r="JJ104" s="30"/>
      <c r="JK104" s="22"/>
      <c r="JL104" s="22"/>
      <c r="JM104" s="21"/>
      <c r="JN104" s="36"/>
      <c r="JO104" s="21" t="str">
        <f t="shared" si="448"/>
        <v/>
      </c>
      <c r="JP104" s="22"/>
      <c r="JQ104" s="21"/>
      <c r="JR104" s="21"/>
      <c r="JS104" s="21"/>
      <c r="JT104" s="30"/>
      <c r="JU104" s="22"/>
      <c r="JV104" s="22"/>
      <c r="JW104" s="33"/>
      <c r="JX104" s="28" t="str">
        <f t="shared" si="449"/>
        <v>INASISTENTE</v>
      </c>
      <c r="JY104" s="33"/>
      <c r="JZ104" s="28" t="str">
        <f t="shared" si="450"/>
        <v>INASISTENTE</v>
      </c>
      <c r="KA104" s="21"/>
      <c r="KB104" s="21"/>
      <c r="KC104" s="21"/>
      <c r="KD104" s="37"/>
      <c r="KE104" s="28"/>
      <c r="KF104" s="28"/>
      <c r="KG104" s="28"/>
      <c r="KH104" s="39"/>
      <c r="KI104" s="39"/>
      <c r="KJ104" s="66"/>
      <c r="KK104" s="39"/>
      <c r="KL104" s="39"/>
      <c r="KM104" s="66"/>
      <c r="KN104" s="39"/>
      <c r="KO104" s="39"/>
      <c r="KP104" s="39"/>
      <c r="KQ104" s="39"/>
      <c r="KR104" s="39"/>
      <c r="KS104" s="39"/>
      <c r="KT104" s="39"/>
      <c r="KU104" s="38"/>
      <c r="KV104" s="38"/>
      <c r="KW104" s="38"/>
      <c r="KX104" s="38"/>
      <c r="KY104" s="38"/>
      <c r="KZ104" s="38"/>
      <c r="LA104" s="38"/>
      <c r="LB104" s="38"/>
      <c r="LC104" s="38"/>
      <c r="LD104" s="38"/>
      <c r="LE104" s="38"/>
      <c r="LF104" s="38"/>
      <c r="LG104" s="38"/>
      <c r="LH104" s="38"/>
      <c r="LI104" s="38"/>
      <c r="LJ104" s="38"/>
      <c r="LK104" s="38"/>
      <c r="LL104" s="38"/>
      <c r="LM104" s="38"/>
      <c r="LN104" s="38"/>
      <c r="LO104" s="38"/>
      <c r="LP104" s="38"/>
      <c r="LQ104" s="38"/>
      <c r="LR104" s="38"/>
      <c r="LS104" s="38"/>
      <c r="LT104" s="38"/>
      <c r="LU104" s="38"/>
      <c r="LV104" s="38"/>
      <c r="LW104" s="38"/>
      <c r="LX104" s="38"/>
      <c r="LY104" s="38"/>
      <c r="LZ104" s="38"/>
      <c r="MA104" s="38"/>
      <c r="MB104" s="38"/>
      <c r="MC104" s="38"/>
      <c r="MD104" s="38"/>
      <c r="ME104" s="38"/>
      <c r="MF104" s="38"/>
      <c r="MG104" s="38"/>
      <c r="MH104" s="43">
        <f t="shared" si="459"/>
        <v>0</v>
      </c>
      <c r="MI104" s="43" t="str">
        <f t="shared" si="460"/>
        <v/>
      </c>
      <c r="MJ104" s="43" t="str">
        <f t="shared" si="461"/>
        <v/>
      </c>
      <c r="MK104" s="43">
        <f t="shared" si="462"/>
        <v>0</v>
      </c>
      <c r="ML10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04" s="43">
        <f t="shared" si="463"/>
        <v>20.428571428571427</v>
      </c>
      <c r="MN104" s="43">
        <f t="shared" si="464"/>
        <v>2</v>
      </c>
      <c r="MO104" s="43">
        <f t="shared" si="465"/>
        <v>2023</v>
      </c>
      <c r="MP104" s="43" t="str">
        <f t="shared" si="466"/>
        <v>I TRIMESTRE AÑO</v>
      </c>
      <c r="MQ104" s="43">
        <f t="shared" si="467"/>
        <v>26.037560227770474</v>
      </c>
      <c r="MR104" s="43">
        <f t="shared" si="468"/>
        <v>0</v>
      </c>
      <c r="MS104" s="43" t="str">
        <f t="shared" si="469"/>
        <v xml:space="preserve"> DE 25 A 29 AÑOS</v>
      </c>
      <c r="MT104" s="43">
        <f t="shared" si="470"/>
        <v>0</v>
      </c>
      <c r="MU104" s="43">
        <f t="shared" si="471"/>
        <v>0</v>
      </c>
      <c r="MV104" s="43">
        <f t="shared" si="472"/>
        <v>0</v>
      </c>
      <c r="MW104" s="43">
        <f t="shared" si="473"/>
        <v>0</v>
      </c>
      <c r="MX104" s="43" t="str">
        <f t="shared" si="474"/>
        <v/>
      </c>
      <c r="MY104" s="43" t="str">
        <f t="shared" ca="1" si="451"/>
        <v/>
      </c>
      <c r="MZ104" s="43" t="str">
        <f t="shared" si="475"/>
        <v/>
      </c>
      <c r="NA104" s="43" t="str">
        <f t="shared" si="476"/>
        <v/>
      </c>
      <c r="NB104" s="43" t="str">
        <f t="shared" si="477"/>
        <v/>
      </c>
      <c r="NC104" s="43" t="str">
        <f t="shared" si="478"/>
        <v/>
      </c>
      <c r="ND104" s="43">
        <f t="shared" ca="1" si="479"/>
        <v>0</v>
      </c>
      <c r="NE104" s="43">
        <f>IF(OR(O104&gt;0,R104&gt;0),SUM(COUNTIF(Tabla1[[#This Row],[AÑOS AL INICIO5 CPN]],"&gt;=40"),COUNTIF(AS104,"0"),COUNTIF(AR104,"SI"),COUNTIF(CC104,"SI"),COUNTIF(BQ104,"&gt;119"),COUNTIF(CI104,"&gt;=35")),"")</f>
        <v>0</v>
      </c>
      <c r="NF104" s="43" t="str">
        <f t="shared" si="480"/>
        <v/>
      </c>
      <c r="NG104" s="43">
        <f t="shared" si="481"/>
        <v>0</v>
      </c>
      <c r="NH104" s="43" t="str">
        <f t="shared" si="482"/>
        <v/>
      </c>
      <c r="NI104"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CPN",P104="NO"),"Z",IF(AND(Tabla1[[#This Row],[CITA PROXIMO CONTROL]]="CITA MANUAL",Tabla1[[#This Row],[GESTANTES ACTUALES]]="ACTIVA INGRESO A CPN"),"W",IF(AND(Tabla1[[#This Row],[GESTANTES ACTUALES]]="SALIO PROGRAMA",IN104=""),"S",IF(AND(Tabla1[[#This Row],[CITA PROXIMO CONTROL]]&gt;0,IN104=""),(Tabla1[[#This Row],[CITA PROXIMO CONTROL]]-TODAY()),"SD"))))))))</f>
        <v>SD</v>
      </c>
      <c r="NJ104" s="43">
        <f>MONTH(Tabla1[[#This Row],[FECHA DE SALIDA  DEL PROGRAMA]])</f>
        <v>5</v>
      </c>
      <c r="NK104" s="43">
        <f>YEAR(Tabla1[[#This Row],[FECHA DE SALIDA  DEL PROGRAMA]])</f>
        <v>2023</v>
      </c>
      <c r="NL104" s="43">
        <f t="shared" si="483"/>
        <v>12</v>
      </c>
      <c r="NM104" s="43" t="str">
        <f t="shared" si="456"/>
        <v>NO</v>
      </c>
      <c r="NN104" s="43" t="str">
        <f ca="1">IF(AND(O104&gt;0,R104=""),"NO CPN",IF(AND(O104="",R104=""),"",IF(AND(R104&gt;0,Tabla1[[#This Row],[SEMANAS DE GESTACION ACTUALIZADAS]]&lt;=12),"NO APLICA",IF(AND(FH104&lt;&gt;"",FN104&lt;&gt;""),"SI","NO"))))</f>
        <v>SI</v>
      </c>
      <c r="NO104" s="43" t="str">
        <f ca="1">IF(AND(O104&gt;0,R104=""),"NO CPN",IF(AND(O104="",R104=""),"",IF(AND(R104&gt;0,Tabla1[[#This Row],[SEMANAS DE GESTACION ACTUALIZADAS]]&lt;=27),"NO APLICA",IF(AND(ES104&lt;&gt;"",FQ104&lt;&gt;"",GF104&lt;&gt;""),"SI","NO"))))</f>
        <v>NO</v>
      </c>
      <c r="NP104" s="204" t="str">
        <f t="shared" si="484"/>
        <v>II TRIM</v>
      </c>
      <c r="NQ104" s="21" t="str">
        <f t="shared" si="437"/>
        <v/>
      </c>
      <c r="NR104" s="21">
        <f t="shared" si="452"/>
        <v>2</v>
      </c>
      <c r="NS104" s="205">
        <f t="shared" ca="1" si="485"/>
        <v>2</v>
      </c>
      <c r="NT104" s="21">
        <f t="shared" ca="1" si="486"/>
        <v>2</v>
      </c>
      <c r="NU104" s="21" t="str">
        <f t="shared" ca="1" si="487"/>
        <v>COMPLETO</v>
      </c>
      <c r="NV104" s="21" t="str">
        <f t="shared" ca="1" si="488"/>
        <v>COMPLETO</v>
      </c>
      <c r="NW104" s="206" t="str">
        <f>IF(AND(O104="",R104=""),"",IF(OR(AND(Tabla1[[#This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04" s="207" t="str">
        <f t="shared" ca="1" si="489"/>
        <v>SIN VACUNAR</v>
      </c>
      <c r="NY104" s="43">
        <f>ROW(Tabla1[[#This Row],['# DE TAMIZAJES SIFILIS TOMADOS ]])</f>
        <v>104</v>
      </c>
      <c r="NZ104" s="43">
        <f t="shared" si="334"/>
        <v>20</v>
      </c>
      <c r="OA104" s="43" t="str">
        <f t="shared" si="335"/>
        <v/>
      </c>
      <c r="OB104" s="43" t="str">
        <f t="shared" si="336"/>
        <v/>
      </c>
      <c r="OC104" s="43" t="str">
        <f t="shared" si="337"/>
        <v/>
      </c>
      <c r="OD104" s="43" t="str">
        <f t="shared" si="338"/>
        <v/>
      </c>
      <c r="OE104" s="43" t="str">
        <f t="shared" si="339"/>
        <v/>
      </c>
      <c r="OF104" s="43" t="str">
        <f t="shared" si="340"/>
        <v/>
      </c>
      <c r="OG104" s="43" t="str">
        <f t="shared" si="341"/>
        <v/>
      </c>
      <c r="OH104" s="43" t="str">
        <f t="shared" si="342"/>
        <v/>
      </c>
      <c r="OI104" s="43" t="str">
        <f t="shared" si="343"/>
        <v/>
      </c>
      <c r="OJ104" s="43" t="str">
        <f t="shared" si="344"/>
        <v/>
      </c>
      <c r="OK104" s="43" t="str">
        <f t="shared" si="345"/>
        <v/>
      </c>
      <c r="OL104" s="43" t="str">
        <f t="shared" si="346"/>
        <v>NORMAL</v>
      </c>
      <c r="OM104" s="43" t="str">
        <f t="shared" si="347"/>
        <v/>
      </c>
      <c r="ON104" s="43" t="str">
        <f t="shared" si="348"/>
        <v/>
      </c>
      <c r="OO104" s="43" t="str">
        <f t="shared" si="349"/>
        <v/>
      </c>
      <c r="OP104" s="43" t="str">
        <f t="shared" si="350"/>
        <v/>
      </c>
      <c r="OQ104" s="43" t="str">
        <f t="shared" si="351"/>
        <v/>
      </c>
      <c r="OR104" s="43" t="str">
        <f t="shared" si="352"/>
        <v/>
      </c>
      <c r="OS104" s="43" t="str">
        <f t="shared" si="353"/>
        <v/>
      </c>
      <c r="OT104" s="43" t="str">
        <f t="shared" si="354"/>
        <v/>
      </c>
      <c r="OU104" s="43" t="str">
        <f t="shared" si="355"/>
        <v/>
      </c>
      <c r="OV104" s="110" t="str">
        <f t="shared" si="356"/>
        <v/>
      </c>
      <c r="OW104" s="43" t="str">
        <f t="shared" si="357"/>
        <v/>
      </c>
      <c r="OX104" s="43" t="str">
        <f t="shared" si="358"/>
        <v/>
      </c>
      <c r="OY104" s="43" t="str">
        <f t="shared" si="359"/>
        <v/>
      </c>
      <c r="OZ104" s="43" t="str">
        <f t="shared" si="360"/>
        <v/>
      </c>
      <c r="PA104" s="43" t="str">
        <f t="shared" si="361"/>
        <v/>
      </c>
      <c r="PB104" s="43" t="str">
        <f t="shared" si="362"/>
        <v/>
      </c>
      <c r="PC104" s="43" t="str">
        <f t="shared" si="363"/>
        <v/>
      </c>
      <c r="PD104" s="43" t="str">
        <f t="shared" si="364"/>
        <v/>
      </c>
      <c r="PE104" s="43" t="str">
        <f t="shared" si="365"/>
        <v/>
      </c>
      <c r="PF104" s="43" t="str">
        <f t="shared" si="366"/>
        <v/>
      </c>
      <c r="PG104" s="43" t="str">
        <f t="shared" si="367"/>
        <v/>
      </c>
      <c r="PH104" s="43" t="str">
        <f t="shared" si="368"/>
        <v/>
      </c>
      <c r="PI104" s="43">
        <f t="shared" si="369"/>
        <v>33</v>
      </c>
      <c r="PJ104" s="43" t="str">
        <f t="shared" si="370"/>
        <v/>
      </c>
      <c r="PK104" s="43" t="str">
        <f t="shared" si="371"/>
        <v/>
      </c>
      <c r="PL104" s="43" t="str">
        <f t="shared" si="372"/>
        <v/>
      </c>
      <c r="PM104" s="43" t="str">
        <f t="shared" si="373"/>
        <v/>
      </c>
      <c r="PN104" s="43" t="str">
        <f t="shared" si="374"/>
        <v/>
      </c>
      <c r="PO104" s="43" t="str">
        <f t="shared" si="375"/>
        <v/>
      </c>
      <c r="PP104" s="43" t="str">
        <f t="shared" si="376"/>
        <v/>
      </c>
      <c r="PQ104" s="43" t="str">
        <f t="shared" si="377"/>
        <v/>
      </c>
      <c r="PR104" s="43" t="str">
        <f t="shared" si="378"/>
        <v/>
      </c>
      <c r="PS104" s="43" t="str">
        <f t="shared" si="379"/>
        <v/>
      </c>
      <c r="PT104" s="43" t="str">
        <f t="shared" si="380"/>
        <v/>
      </c>
      <c r="PU104" s="43" t="str">
        <f t="shared" si="381"/>
        <v/>
      </c>
      <c r="PV104" s="43" t="str">
        <f t="shared" si="382"/>
        <v/>
      </c>
      <c r="PW104" s="43" t="str">
        <f t="shared" si="383"/>
        <v/>
      </c>
      <c r="PX104" s="43" t="str">
        <f t="shared" si="384"/>
        <v/>
      </c>
      <c r="PY104" s="43" t="str">
        <f t="shared" si="385"/>
        <v/>
      </c>
      <c r="PZ104" s="43" t="str">
        <f t="shared" si="386"/>
        <v/>
      </c>
      <c r="QA104" s="43" t="str">
        <f t="shared" si="387"/>
        <v/>
      </c>
      <c r="QB104" s="43" t="str">
        <f t="shared" si="388"/>
        <v/>
      </c>
      <c r="QC104" s="43" t="str">
        <f t="shared" si="389"/>
        <v/>
      </c>
      <c r="QD104" s="43" t="str">
        <f t="shared" si="390"/>
        <v/>
      </c>
      <c r="QE104" s="43" t="str">
        <f t="shared" si="391"/>
        <v/>
      </c>
      <c r="QF104" s="43" t="str">
        <f t="shared" si="392"/>
        <v/>
      </c>
      <c r="QG104" s="43" t="str">
        <f t="shared" si="393"/>
        <v/>
      </c>
      <c r="QH104" s="43" t="str">
        <f t="shared" si="394"/>
        <v>BAJO PESO</v>
      </c>
      <c r="QI104" s="43" t="str">
        <f t="shared" si="395"/>
        <v/>
      </c>
      <c r="QJ104" s="43" t="str">
        <f t="shared" si="396"/>
        <v/>
      </c>
      <c r="QK104" s="43" t="str">
        <f t="shared" si="397"/>
        <v/>
      </c>
      <c r="QL104" s="43" t="str">
        <f t="shared" si="398"/>
        <v/>
      </c>
      <c r="QM104" s="43" t="str">
        <f t="shared" si="399"/>
        <v/>
      </c>
      <c r="QN104" s="43" t="str">
        <f t="shared" si="400"/>
        <v/>
      </c>
      <c r="QO104" s="43" t="str">
        <f t="shared" si="401"/>
        <v/>
      </c>
      <c r="QP104" s="43" t="str">
        <f t="shared" si="402"/>
        <v/>
      </c>
      <c r="QQ104" s="43" t="str">
        <f t="shared" si="403"/>
        <v/>
      </c>
      <c r="QR104" s="43">
        <f t="shared" si="433"/>
        <v>33</v>
      </c>
      <c r="QS104" s="43"/>
      <c r="QT104" s="21" t="str">
        <f t="shared" si="404"/>
        <v/>
      </c>
      <c r="QU104" s="21" t="str">
        <f t="shared" si="405"/>
        <v/>
      </c>
      <c r="QV104" s="21" t="str">
        <f t="shared" si="406"/>
        <v/>
      </c>
      <c r="QW104" s="21" t="str">
        <f t="shared" si="407"/>
        <v/>
      </c>
      <c r="QX104" s="21" t="str">
        <f t="shared" si="408"/>
        <v/>
      </c>
      <c r="QY104" s="21" t="str">
        <f t="shared" si="409"/>
        <v/>
      </c>
      <c r="QZ104" s="21" t="str">
        <f t="shared" si="410"/>
        <v/>
      </c>
      <c r="RA104" s="21" t="str">
        <f t="shared" si="411"/>
        <v/>
      </c>
      <c r="RB104" s="21" t="str">
        <f t="shared" si="412"/>
        <v/>
      </c>
      <c r="RC104" s="21" t="str">
        <f t="shared" si="413"/>
        <v/>
      </c>
      <c r="RD104" s="21" t="str">
        <f t="shared" si="414"/>
        <v/>
      </c>
      <c r="RE104" s="21" t="str">
        <f t="shared" si="415"/>
        <v/>
      </c>
      <c r="RF104" s="21" t="str">
        <f t="shared" si="416"/>
        <v/>
      </c>
      <c r="RG104" s="21" t="str">
        <f t="shared" si="417"/>
        <v/>
      </c>
      <c r="RH104" s="21" t="str">
        <f t="shared" si="418"/>
        <v/>
      </c>
      <c r="RI104" s="21" t="str">
        <f t="shared" si="419"/>
        <v/>
      </c>
      <c r="RJ104" s="21" t="str">
        <f t="shared" si="420"/>
        <v/>
      </c>
      <c r="RK104" s="21" t="str">
        <f t="shared" si="421"/>
        <v/>
      </c>
      <c r="RL104" s="21" t="str">
        <f t="shared" si="422"/>
        <v/>
      </c>
      <c r="RM104" s="21" t="str">
        <f t="shared" si="423"/>
        <v/>
      </c>
      <c r="RN104" s="21" t="str">
        <f t="shared" si="424"/>
        <v/>
      </c>
      <c r="RO104" s="21" t="str">
        <f t="shared" si="425"/>
        <v/>
      </c>
      <c r="RP104" s="21" t="str">
        <f t="shared" si="426"/>
        <v/>
      </c>
      <c r="RQ104" s="21" t="str">
        <f t="shared" si="427"/>
        <v/>
      </c>
      <c r="RR104" s="21" t="str">
        <f t="shared" si="428"/>
        <v/>
      </c>
      <c r="RS104" s="21" t="str">
        <f t="shared" si="429"/>
        <v/>
      </c>
      <c r="RT104" s="21" t="str">
        <f t="shared" si="430"/>
        <v/>
      </c>
      <c r="RU104" s="21" t="str">
        <f t="shared" si="431"/>
        <v/>
      </c>
      <c r="RV104" s="21">
        <f t="shared" si="432"/>
        <v>-1</v>
      </c>
      <c r="RW104" s="284">
        <f>IF(OR(Tabla1[[#This Row],[FUM FORMULA CONFIABLE]]="",Tabla1[[#This Row],[FUM FORMULA CONFIABLE]]="SD"),"",IF(Tabla1[[#This Row],[FUM FORMULA CONFIABLE]]="CORREGIDA",Tabla1[[#This Row],[FUM X ECO 1]],Tabla1[[#This Row],[FUM x AMENORREA]]))</f>
        <v>44832</v>
      </c>
      <c r="RX104" s="21" t="str">
        <f>IF(AND(Tabla1[[#This Row],[FUM X ECO 1]]="",Tabla1[[#This Row],[FUM x AMENORREA]]=""),"",IF(AND(Tabla1[[#This Row],[FUM X ECO 1]]="",Tabla1[[#This Row],[FUM x AMENORREA]]&lt;&gt;""),"X",SUM(Tabla1[[#This Row],[FUM X ECO 1]]-Tabla1[[#This Row],[FUM x AMENORREA]])))</f>
        <v>X</v>
      </c>
      <c r="RY104" s="21" t="str">
        <f t="shared" si="434"/>
        <v>x</v>
      </c>
    </row>
    <row r="105" spans="1:493" ht="45" customHeight="1" x14ac:dyDescent="0.25">
      <c r="A105" s="109"/>
      <c r="B105" s="43"/>
      <c r="C105" s="43" t="s">
        <v>845</v>
      </c>
      <c r="D105" s="124"/>
      <c r="E105" s="43" t="s">
        <v>1312</v>
      </c>
      <c r="F105" s="43" t="s">
        <v>1313</v>
      </c>
      <c r="G105" s="43" t="s">
        <v>1314</v>
      </c>
      <c r="H105" s="43"/>
      <c r="I105" s="109" t="s">
        <v>851</v>
      </c>
      <c r="J105" s="110">
        <v>1002848080</v>
      </c>
      <c r="K105" s="43" t="s">
        <v>852</v>
      </c>
      <c r="L105" s="175" t="s">
        <v>1509</v>
      </c>
      <c r="M105" s="22">
        <v>37801</v>
      </c>
      <c r="N105" s="213">
        <f t="shared" ca="1" si="252"/>
        <v>20.358904109589041</v>
      </c>
      <c r="O105" s="22">
        <v>44963</v>
      </c>
      <c r="P105" s="214" t="str">
        <f t="shared" si="438"/>
        <v>SI</v>
      </c>
      <c r="Q105" s="26" t="s">
        <v>855</v>
      </c>
      <c r="R105" s="22">
        <v>44963</v>
      </c>
      <c r="S105" s="21" t="s">
        <v>856</v>
      </c>
      <c r="T105" s="24" t="s">
        <v>690</v>
      </c>
      <c r="U105" s="21" t="s">
        <v>857</v>
      </c>
      <c r="V105" s="21" t="s">
        <v>858</v>
      </c>
      <c r="W105" s="21" t="s">
        <v>1163</v>
      </c>
      <c r="X105" s="21" t="s">
        <v>1163</v>
      </c>
      <c r="Y105" s="21" t="s">
        <v>859</v>
      </c>
      <c r="Z105" s="21">
        <v>3137481235</v>
      </c>
      <c r="AA105" s="21" t="s">
        <v>860</v>
      </c>
      <c r="AB105" s="27" t="s">
        <v>861</v>
      </c>
      <c r="AC105" s="26" t="s">
        <v>888</v>
      </c>
      <c r="AD105" s="38" t="s">
        <v>846</v>
      </c>
      <c r="AE105" s="26" t="s">
        <v>854</v>
      </c>
      <c r="AF105" s="26" t="s">
        <v>854</v>
      </c>
      <c r="AG105" s="23" t="s">
        <v>864</v>
      </c>
      <c r="AH105" s="23" t="s">
        <v>864</v>
      </c>
      <c r="AI105" s="24" t="s">
        <v>863</v>
      </c>
      <c r="AJ105" s="23" t="s">
        <v>864</v>
      </c>
      <c r="AK105" s="220" t="str">
        <f>IF(AND(AD105="",AE105="",AF105="",AG105="",AH105="",AI105="",AJ105=""),"",IF(OR(Tabla1[[#This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EVALUACIÓN",IF(AND(O105="",R105=""),"",IF(AND(OR(O105&gt;0,R105&gt;0),NG105&gt;=0,NG105&lt;2),"SIN RIESGO",IF(AND(OR(O105&gt;0,R105&gt;0),NG105&gt;=2),"CON RIESGO","ASD")))))</f>
        <v>SIN RIESGO</v>
      </c>
      <c r="AL105" s="23" t="s">
        <v>864</v>
      </c>
      <c r="AM105" s="26" t="s">
        <v>864</v>
      </c>
      <c r="AN105" s="26" t="s">
        <v>864</v>
      </c>
      <c r="AO105" s="26" t="s">
        <v>864</v>
      </c>
      <c r="AP105" s="26" t="s">
        <v>864</v>
      </c>
      <c r="AQ105" s="26" t="s">
        <v>864</v>
      </c>
      <c r="AR105" s="26" t="s">
        <v>864</v>
      </c>
      <c r="AS105" s="21">
        <v>1</v>
      </c>
      <c r="AT105" s="21">
        <v>0</v>
      </c>
      <c r="AU105" s="21">
        <v>0</v>
      </c>
      <c r="AV105" s="26" t="s">
        <v>864</v>
      </c>
      <c r="AW105" s="21">
        <v>0</v>
      </c>
      <c r="AX105" s="26" t="s">
        <v>864</v>
      </c>
      <c r="AY105" s="26" t="s">
        <v>864</v>
      </c>
      <c r="AZ105" s="26" t="s">
        <v>864</v>
      </c>
      <c r="BA105" s="26" t="s">
        <v>864</v>
      </c>
      <c r="BB105" s="26" t="s">
        <v>864</v>
      </c>
      <c r="BC105" s="26" t="s">
        <v>864</v>
      </c>
      <c r="BD105" s="26" t="s">
        <v>864</v>
      </c>
      <c r="BE105" s="26" t="s">
        <v>864</v>
      </c>
      <c r="BF105" s="26" t="s">
        <v>864</v>
      </c>
      <c r="BG105" s="26" t="s">
        <v>864</v>
      </c>
      <c r="BH105" s="26" t="s">
        <v>864</v>
      </c>
      <c r="BI105" s="26" t="s">
        <v>864</v>
      </c>
      <c r="BJ105" s="26"/>
      <c r="BK105" s="26"/>
      <c r="BL105" s="26" t="s">
        <v>864</v>
      </c>
      <c r="BM105" s="26" t="s">
        <v>864</v>
      </c>
      <c r="BN105" s="22"/>
      <c r="BO105" s="22">
        <v>44777</v>
      </c>
      <c r="BP105" s="21" t="s">
        <v>854</v>
      </c>
      <c r="BQ105" s="222">
        <f t="shared" si="254"/>
        <v>0</v>
      </c>
      <c r="BR105" s="223">
        <f t="shared" si="255"/>
        <v>44565.3</v>
      </c>
      <c r="BS105" s="224">
        <f t="shared" si="256"/>
        <v>26.571428571428573</v>
      </c>
      <c r="BT105" s="216" t="str">
        <f t="shared" si="257"/>
        <v>II TRIM</v>
      </c>
      <c r="BU105" s="214" t="str">
        <f t="shared" ca="1" si="258"/>
        <v/>
      </c>
      <c r="BV105" s="25"/>
      <c r="BW105" s="22">
        <v>44783</v>
      </c>
      <c r="BX105" s="28">
        <v>31.1</v>
      </c>
      <c r="BY105" s="28"/>
      <c r="BZ105" s="22"/>
      <c r="CA105" s="21"/>
      <c r="CB105" s="26" t="s">
        <v>864</v>
      </c>
      <c r="CC105" s="26" t="s">
        <v>864</v>
      </c>
      <c r="CD105" s="26"/>
      <c r="CE105" s="26" t="s">
        <v>854</v>
      </c>
      <c r="CF105" s="22" t="s">
        <v>1517</v>
      </c>
      <c r="CG105" s="21"/>
      <c r="CH105" s="21"/>
      <c r="CI105" s="214" t="str">
        <f t="shared" si="259"/>
        <v>SD</v>
      </c>
      <c r="CJ105" s="225" t="str">
        <f>IF(AND(CI105&lt;10,CH105="SD"),"SIN DATO PESO PREGESTACION O I TRIM",IF(AND(OR(R105&gt;0,O105&gt;0),CI105="X"),"INGRESAR DATO DE PESO",IF(CI105="SD","INGRESAR DATO DE TALLA Y PESO",IF(AND(OR(Tabla1[[#This Row],[MOMENTO EN QUE SE REALIZA EL PESO AL INGRESO A CPN]]="PREGESTACIÓN",NZ105="Menor"),CI105&lt;18.5),"BAJO PESO",IF(AND(OR(Tabla1[[#This Row],[MOMENTO EN QUE SE REALIZA EL PESO AL INGRESO A CPN]]="PREGESTACIÓN",NZ105="Menor"),CI105&lt;25),"NORMAL",IF(AND(OR(Tabla1[[#This Row],[MOMENTO EN QUE SE REALIZA EL PESO AL INGRESO A CPN]]="PREGESTACIÓN",NZ105="Menor"),CI105&lt;30),"SOBREPESO",IF(AND(OR(Tabla1[[#This Row],[MOMENTO EN QUE SE REALIZA EL PESO AL INGRESO A CPN]]="PREGESTACIÓN",NZ105="Menor"),CI105&gt;=30,CI105&lt;50),"OBESIDAD",IF(AND(BS105&gt;0,Tabla1[[#This Row],[MOMENTO EN QUE SE REALIZA EL PESO AL INGRESO A CPN]]="GESTACIÓN"),HLOOKUP(NZ105,$OA$2:PH105,NY105),""))))))))</f>
        <v>INGRESAR DATO DE TALLA Y PESO</v>
      </c>
      <c r="CK105" s="212">
        <f t="shared" si="260"/>
        <v>44992</v>
      </c>
      <c r="CL105" s="21"/>
      <c r="CM105" s="214" t="str">
        <f t="shared" si="261"/>
        <v>SD</v>
      </c>
      <c r="CN105" s="216">
        <f t="shared" si="262"/>
        <v>30</v>
      </c>
      <c r="CO105" s="216" t="e">
        <f>IF(PI105="","",IF(PI105&gt;0,HLOOKUP(PI105,$PJ$2:QQ105,NY105),""))</f>
        <v>#REF!</v>
      </c>
      <c r="CP105" s="21"/>
      <c r="CQ105" s="216" t="e">
        <f>IF(QR105="Menor","NO APLICA-MENOR 13 SEM",IF(AND(CC105="SI",CN105&gt;23),"NO APLICA- GEMELAR",IF(QR105="","",IF(QR105&gt;0,HLOOKUP(QR105,$QS$2:RU105,NY105),""))))</f>
        <v>#REF!</v>
      </c>
      <c r="CR105" s="21"/>
      <c r="CS105" s="21"/>
      <c r="CT105" s="217" t="str">
        <f>IF(R105="","",IF(AND(BS105&gt;1,BS105&lt;12,Tabla1[[#This Row],[T.A. SISTOLICA - ANTES DE SEMANA 12]]="",Tabla1[[#This Row],[T.A. DIASTOLICA - ANTES DE SEMANA 12]]=""),"REGISTRE DATO TA ANTES SEMANA 12",IF(AND(BS105&gt;11,BS105&lt;43,Tabla1[[#This Row],[T.A. SISTOLICA - ANTES DE SEMANA 12]]="",Tabla1[[#This Row],[T.A. DIASTOLICA - ANTES DE SEMANA 12]]=""),"NO APLICA REGISTRO TA-INGRESO TARDIO",IF(AND(OR(O105&gt;0,R105&gt;0),OR(CR105&gt;=140,CS105&gt;=90)),"DEFINIR ESTADIO HTA",IF(AND(OR(O105&gt;0,R105&gt;0),AND(CR105&gt;120,CR105&lt;=139)),"PRE HTA SEGUIMIENTO",IF(AND(OR(O105&gt;0,R105&gt;0),AND(CS105&gt;80,CS105&lt;=89)),"PRE HTA SEGUIMIENTO",IF(AND(OR(O105&gt;0,R105&gt;0),AND(CR105&gt;=80,CR105&lt;=120)),"APARENTEMENTE NORMAL",IF(AND(OR(O105&gt;0,R105&gt;0),AND(CS105&gt;=50,CS105&lt;=80)),"APARENTEMENTE NORMAL",IF(AND(OR(O105&gt;0,R105&gt;0),AND(CR105&gt;1,CR105&lt;=70),AND(CS105&gt;1,CS105&lt;=40)),"HIPOTENSIÓN","")))))))))</f>
        <v>NO APLICA REGISTRO TA-INGRESO TARDIO</v>
      </c>
      <c r="CU105" s="21">
        <v>100</v>
      </c>
      <c r="CV105" s="21">
        <v>60</v>
      </c>
      <c r="CW105" s="217" t="str">
        <f ca="1">IF(R105="","",IF(AND(CN105&gt;19,CN105&lt;27,Tabla1[[#This Row],[T.A. SISTOLICA (Entre semana 20 y 26)]]="",Tabla1[[#This Row],[T.A. DIATOLICA (Entre semana 20 y 26)]]=""),"ACUDE A CONTROL SEM 20 A 26 REGISTRE TA AHORA",IF(AND(BS105&gt;1,BS105&lt;27,BU105&gt;19,Tabla1[[#This Row],[T.A. SISTOLICA (Entre semana 20 y 26)]]="",Tabla1[[#This Row],[T.A. DIATOLICA (Entre semana 20 y 26)]]=""),"COMPLETE REGISTRO TA CONTROL SEM 20 A26 ",IF(AND(BS105&gt;26,BS105&lt;43,Tabla1[[#This Row],[T.A. SISTOLICA (Entre semana 20 y 26)]]="",Tabla1[[#This Row],[T.A. DIATOLICA (Entre semana 20 y 26)]]=""),"NO APLICA REGISTRO TA-INGRESO TARDIO",IF(AND(OR(O105&gt;0,R105&gt;0),OR(CU105&gt;=140,CV105&gt;=90)),"ALTO RIESGO PREECLAMPSIA,DEFINIR ESTADIO HTA",IF(AND(OR(O105&gt;0,R105&gt;0),AND(CU105&gt;120,CU105&lt;=139)),"PRE HTA SEGUIMIENTO,RIESGO HIPERTENSION INDUCIDA POR EL EMBARAZO",IF(AND(OR(O105&gt;0,R105&gt;0),AND(CV105&gt;80,CV105&lt;=89)),"PRE HTA SEGUIMIENTO, RIESGO HIPERTENSION INDUCIDA POR EL EMBARAZO",IF(AND(OR(O105&lt;&gt;"",R105&lt;&gt;""),CS105&lt;&gt;"",CV105&lt;&gt;"",CS105&lt;=CV105),"VIGILAR CIFRAS PRESION ARTERIAL",IF(AND(OR(O105&gt;0,R105&gt;0),AND(CU105&gt;120,CU105&lt;=139)),"PRE HTA SEGUIMIENTO",IF(AND(OR(O105&gt;0,R105&gt;0),AND(CU105&gt;1,CU105&lt;=70),AND(CV105&gt;1,CV105&lt;=40)),"HIPOTENSIÓN",IF(AND(OR(O105&lt;&gt;"",R105&lt;&gt;""),CS105&lt;&gt;"",CV105&lt;&gt;"",CS105&gt;CV105),"APARENTEMENTE NORMAL",IF(AND(OR(O105&gt;0,R105&gt;0),AND(CU105&gt;=80,CU105&lt;=120)),"APARENTEMENTE NORMAL",IF(AND(OR(O105&gt;0,R105&gt;0),AND(CV105&gt;=50,CV105&lt;=80)),"APARENTEMENTE NORMAL","")))))))))))))</f>
        <v>APARENTEMENTE NORMAL</v>
      </c>
      <c r="CX105" s="21"/>
      <c r="CY105" s="21"/>
      <c r="CZ105" s="216" t="str">
        <f t="shared" si="457"/>
        <v/>
      </c>
      <c r="DA105" s="21"/>
      <c r="DB105" s="21"/>
      <c r="DC105" s="217" t="str">
        <f t="shared" si="264"/>
        <v>REGISTRE DATO PRESIÓN ARTERIAL MENSUAL</v>
      </c>
      <c r="DD105" s="22">
        <v>44963</v>
      </c>
      <c r="DE105" s="22">
        <v>44963</v>
      </c>
      <c r="DF105" s="22">
        <v>44992</v>
      </c>
      <c r="DG105" s="22"/>
      <c r="DH105" s="22"/>
      <c r="DI105" s="22"/>
      <c r="DJ105" s="22"/>
      <c r="DK105" s="22"/>
      <c r="DL105" s="22"/>
      <c r="DM105" s="22"/>
      <c r="DN105" s="22"/>
      <c r="DO105" s="22"/>
      <c r="DP105" s="22"/>
      <c r="DQ105" s="22"/>
      <c r="DR105" s="28"/>
      <c r="DS105" s="22"/>
      <c r="DT105" s="22"/>
      <c r="DU105" s="216" t="str">
        <f t="shared" ca="1" si="439"/>
        <v>SALE SIN PLAN DE PARTO</v>
      </c>
      <c r="DV105" s="226" t="str">
        <f t="shared" si="440"/>
        <v>SALIO PROGRAMA</v>
      </c>
      <c r="DW105"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05" s="216" t="str">
        <f t="shared" ca="1" si="266"/>
        <v/>
      </c>
      <c r="DY105" s="212">
        <f>IF(R105="","",IF(R105&gt;0,MAX(Tabla1[[#This Row],[FECHA C2]:[FECHA C13]],Tabla1[[#This Row],[FECHA CONSULTA PRIMERA VEZ PROGRAMA CPN ]])))</f>
        <v>44992</v>
      </c>
      <c r="DZ105" s="216">
        <f t="shared" si="267"/>
        <v>30</v>
      </c>
      <c r="EA105" s="222">
        <f>IF(R105&gt;0,SUM(COUNTA(DF105:DQ105)+COUNTA(Tabla1[[#This Row],[FECHA CONSULTA PRIMERA VEZ PROGRAMA CPN ]])),"")</f>
        <v>2</v>
      </c>
      <c r="EB105" s="222" t="str">
        <f t="shared" si="268"/>
        <v>NO</v>
      </c>
      <c r="EC105" s="214">
        <f t="shared" si="269"/>
        <v>5</v>
      </c>
      <c r="ED105" s="227">
        <f t="shared" si="270"/>
        <v>0.4</v>
      </c>
      <c r="EE105" s="22">
        <v>44963</v>
      </c>
      <c r="EF105" s="22">
        <v>44963</v>
      </c>
      <c r="EG105" s="22">
        <v>44963</v>
      </c>
      <c r="EH105" s="22"/>
      <c r="EI105" s="22">
        <v>44963</v>
      </c>
      <c r="EJ105" s="22"/>
      <c r="EK105" s="22"/>
      <c r="EL105" s="21"/>
      <c r="EM105" s="21"/>
      <c r="EN105" s="22"/>
      <c r="EO105" s="222" t="str">
        <f t="shared" si="271"/>
        <v>TOMAR EXAMEN</v>
      </c>
      <c r="EP105" s="214" t="str">
        <f t="shared" si="272"/>
        <v/>
      </c>
      <c r="EQ105" s="216" t="str">
        <f t="shared" si="273"/>
        <v>POR DEFINIR</v>
      </c>
      <c r="ER105" s="24"/>
      <c r="ES105" s="22"/>
      <c r="ET105" s="29" t="str">
        <f t="shared" ca="1" si="441"/>
        <v>SALE SIN TAMIZAJE HEMOGLOBINA SEM 28</v>
      </c>
      <c r="EU105" s="25" t="str">
        <f t="shared" si="275"/>
        <v/>
      </c>
      <c r="EV105" s="24"/>
      <c r="EW105" s="24"/>
      <c r="EX105" s="22"/>
      <c r="EY105" s="29" t="str">
        <f t="shared" si="454"/>
        <v>TOMAR EXAMEN</v>
      </c>
      <c r="EZ105" s="25" t="str">
        <f t="shared" ca="1" si="455"/>
        <v/>
      </c>
      <c r="FA105" s="21"/>
      <c r="FB105" s="22"/>
      <c r="FC105" s="29" t="str">
        <f t="shared" si="276"/>
        <v>PIERDE TOMA TAMIZAJE- INGRESO TARDIO</v>
      </c>
      <c r="FD105" s="29"/>
      <c r="FE105" s="29"/>
      <c r="FF105" s="29"/>
      <c r="FG105" s="21" t="str">
        <f t="shared" ca="1" si="277"/>
        <v/>
      </c>
      <c r="FH105" s="31"/>
      <c r="FI105" s="29" t="str">
        <f t="shared" si="278"/>
        <v>TOMAR EXAMEN</v>
      </c>
      <c r="FJ105" s="22"/>
      <c r="FK105" s="22"/>
      <c r="FL105" s="29" t="str">
        <f t="shared" ca="1" si="279"/>
        <v>NO APLICA-INGRESO TARDIO</v>
      </c>
      <c r="FM105" s="22"/>
      <c r="FN105" s="32"/>
      <c r="FO105" s="29" t="str">
        <f t="shared" ca="1" si="442"/>
        <v>PIERDE TOMA DE TAMIZAJE</v>
      </c>
      <c r="FP105" s="22"/>
      <c r="FQ105" s="32"/>
      <c r="FR105" s="29" t="str">
        <f t="shared" ca="1" si="443"/>
        <v>PIERDE TOMA DE TAMIZAJE</v>
      </c>
      <c r="FS105" s="22"/>
      <c r="FT105" s="32"/>
      <c r="FU105" s="29" t="str">
        <f>IF(AND(FJ105="",FM105="",FP105="",FS105=""),"",IF(OR(OR(Tabla1[[#This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05" s="28"/>
      <c r="FW105" s="22"/>
      <c r="FX105" s="29" t="str">
        <f t="shared" si="280"/>
        <v>TOMAR EXAMEN</v>
      </c>
      <c r="FY105" s="22" t="s">
        <v>1315</v>
      </c>
      <c r="FZ105" s="22" t="s">
        <v>1315</v>
      </c>
      <c r="GA105" s="29" t="e">
        <f t="shared" si="453"/>
        <v>#VALUE!</v>
      </c>
      <c r="GB105" s="22"/>
      <c r="GC105" s="22"/>
      <c r="GD105" s="29" t="str">
        <f t="shared" ca="1" si="444"/>
        <v>PIERDE TOMA DE TAMIZAJE</v>
      </c>
      <c r="GE105" s="22"/>
      <c r="GF105" s="22"/>
      <c r="GG105" s="29" t="str">
        <f t="shared" ca="1" si="445"/>
        <v>PIERDE TOMA DE TAMIZAJE</v>
      </c>
      <c r="GH105" s="22"/>
      <c r="GI105" s="29"/>
      <c r="GJ105" s="22"/>
      <c r="GK105" s="22"/>
      <c r="GL105" s="22"/>
      <c r="GM105" s="22"/>
      <c r="GN105" s="28"/>
      <c r="GO105" s="22"/>
      <c r="GP105" s="29" t="str">
        <f t="shared" si="283"/>
        <v>TOMAR EXAMEN</v>
      </c>
      <c r="GQ105" s="28"/>
      <c r="GR105" s="28"/>
      <c r="GS105" s="22" t="str">
        <f t="shared" si="458"/>
        <v/>
      </c>
      <c r="GT105" s="22"/>
      <c r="GU105" s="29" t="str">
        <f t="shared" si="285"/>
        <v>TOMAR EXAMEN</v>
      </c>
      <c r="GV105" s="21" t="str">
        <f t="shared" si="286"/>
        <v>POR DEFINIR</v>
      </c>
      <c r="GW105" s="28"/>
      <c r="GX105" s="30"/>
      <c r="GY105" s="21"/>
      <c r="GZ105" s="21"/>
      <c r="HA105" s="21"/>
      <c r="HB105" s="21"/>
      <c r="HC105" s="21"/>
      <c r="HD105" s="21"/>
      <c r="HE105" s="21"/>
      <c r="HF105" s="22"/>
      <c r="HG105" s="22" t="str">
        <f>IF(OR(O105&gt;0,R105&gt;0),CONCATENATE(IF(Tabla1[[#This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05" s="22" t="e">
        <f t="shared" si="287"/>
        <v>#REF!</v>
      </c>
      <c r="HI105" s="22" t="e">
        <f t="shared" ca="1" si="288"/>
        <v>#REF!</v>
      </c>
      <c r="HJ105" s="21" t="str">
        <f t="shared" ca="1" si="289"/>
        <v>****************POLIHIDRAMNIOS******MULTIPARIDAD*****************</v>
      </c>
      <c r="HK105" s="21" t="str">
        <f t="shared" si="290"/>
        <v>SIN ANTECEDENTES DE RIESGO</v>
      </c>
      <c r="HL105" s="24" t="str">
        <f t="shared" si="291"/>
        <v>REGISTRE DATO PRESIÓN ARTERIAL MENSUAL</v>
      </c>
      <c r="HM105" s="21" t="str">
        <f t="shared" ca="1" si="292"/>
        <v/>
      </c>
      <c r="HN105" s="30" t="str">
        <f t="shared" si="446"/>
        <v>SALIO PROGRAMA</v>
      </c>
      <c r="HO105" s="21"/>
      <c r="HP105" s="21"/>
      <c r="HQ105" s="21"/>
      <c r="HR105" s="21" t="str">
        <f>IF(R105="","",IF(Tabla1[[#This Row],[ALARMA FACTORES DE RIESGO COMPLICACIONES HIPERTENSIVAS3]]="SIN ANTECEDENTES DE RIESGO","No Aplica para suministro de ASA",IF(AND(Tabla1[[#This Row],[FECHA INICIO DE SUMINISTRO DE ASA]]&gt;0,RV105&lt;12),"Inicia ASA ANTES de Sem 12",IF(AND(RV105&gt;11,RV105&lt;17,OR(HK105="RIESGO ALTO DE COMPLICACIONES HIPERTENSIVAS VER MANEJO GUIA SUMINISTRO ASA Y CALCIO",HK105="RIESGO MODERADO (2 O MAS CRITERIOS) VER MANEJO GUIA SUMINISTRO ASA Y CALCIO")),"Inicio oportuno de ASA",IF(AND(RV105&gt;12,OR(HK105="RIESGO ALTO DE COMPLICACIONES HIPERTENSIVAS VER MANEJO GUIA SUMINISTRO ASA Y CALCIO",HK105="RIESGO MODERADO (2 O MAS CRITERIOS) VER MANEJO GUIA SUMINISTRO ASA Y CALCIO")),"Inicio no oportuno mayor a 16 semanas",IF(AND(BU105&lt;12,OR(HK105="RIESGO ALTO DE COMPLICACIONES HIPERTENSIVAS VER MANEJO GUIA SUMINISTRO ASA Y CALCIO",HK105="RIESGO MODERADO (2 O MAS CRITERIOS) VER MANEJO GUIA SUMINISTRO ASA Y CALCIO")),"Pendiente Inicio de ASA a la semana 12",IF(AND(BU105&gt;11,BU105&lt;17,OR(HK105="RIESGO ALTO DE COMPLICACIONES HIPERTENSIVAS VER MANEJO GUIA SUMINISTRO ASA Y CALCIO",HK105="RIESGO MODERADO (2 O MAS CRITERIOS) VER MANEJO GUIA SUMINISTRO ASA Y CALCIO")),"Iniciar de inmediato ASA",IF(AND(BU105&gt;16,OR(HK105="RIESGO ALTO DE COMPLICACIONES HIPERTENSIVAS VER MANEJO GUIA SUMINISTRO ASA Y CALCIO",HK105="RIESGO MODERADO (2 O MAS CRITERIOS) VER MANEJO GUIA SUMINISTRO ASA Y CALCIO")),"Pierde Oportunidad, Inicio tardío de ASA","XXXXX"))))))))</f>
        <v>No Aplica para suministro de ASA</v>
      </c>
      <c r="HS105" s="22"/>
      <c r="HT105" s="22"/>
      <c r="HU105" s="22"/>
      <c r="HV105" s="22"/>
      <c r="HW105" s="22"/>
      <c r="HX105" s="22"/>
      <c r="HY105" s="22"/>
      <c r="HZ105" s="28" t="str">
        <f t="shared" si="293"/>
        <v>PENDIENTE CONSULTA</v>
      </c>
      <c r="IA105" s="26"/>
      <c r="IB105" s="26"/>
      <c r="IC105" s="111"/>
      <c r="ID105" s="22"/>
      <c r="IE105" s="22" t="str">
        <f t="shared" ca="1" si="294"/>
        <v>SALE SIN VACUNA</v>
      </c>
      <c r="IF105" s="22"/>
      <c r="IG105" s="22">
        <f t="shared" si="295"/>
        <v>45057</v>
      </c>
      <c r="IH105" s="29">
        <f t="shared" ca="1" si="296"/>
        <v>-175</v>
      </c>
      <c r="II105" s="22" t="str">
        <f t="shared" ca="1" si="297"/>
        <v>POSIBLEMENTE NACIO</v>
      </c>
      <c r="IJ105" s="22"/>
      <c r="IK105" s="21" t="s">
        <v>898</v>
      </c>
      <c r="IL105" s="21"/>
      <c r="IM105" s="34"/>
      <c r="IN105" s="349">
        <v>45071</v>
      </c>
      <c r="IO105" s="21" t="s">
        <v>1640</v>
      </c>
      <c r="IP105" s="29">
        <f t="shared" si="436"/>
        <v>42</v>
      </c>
      <c r="IQ105" s="110"/>
      <c r="IR105" s="21" t="s">
        <v>879</v>
      </c>
      <c r="IS105" s="21" t="s">
        <v>1641</v>
      </c>
      <c r="IT105" s="21" t="s">
        <v>1642</v>
      </c>
      <c r="IU105" s="21"/>
      <c r="IV105" s="21"/>
      <c r="IW105" s="21"/>
      <c r="IX105" s="21"/>
      <c r="IY105" s="21"/>
      <c r="IZ105" s="21"/>
      <c r="JA105" s="21"/>
      <c r="JB105" s="30">
        <v>1</v>
      </c>
      <c r="JC105" s="21" t="s">
        <v>1647</v>
      </c>
      <c r="JD105" s="36">
        <v>3400</v>
      </c>
      <c r="JE105" s="21" t="str">
        <f t="shared" si="447"/>
        <v>PESO ADECUADO EDAD GESTACIONAL</v>
      </c>
      <c r="JF105" s="30"/>
      <c r="JG105" s="21"/>
      <c r="JH105" s="21"/>
      <c r="JI105" s="21"/>
      <c r="JJ105" s="30"/>
      <c r="JK105" s="22"/>
      <c r="JL105" s="22"/>
      <c r="JM105" s="21"/>
      <c r="JN105" s="36"/>
      <c r="JO105" s="21" t="str">
        <f t="shared" si="448"/>
        <v/>
      </c>
      <c r="JP105" s="22"/>
      <c r="JQ105" s="21"/>
      <c r="JR105" s="21"/>
      <c r="JS105" s="21"/>
      <c r="JT105" s="30"/>
      <c r="JU105" s="22"/>
      <c r="JV105" s="22"/>
      <c r="JW105" s="33"/>
      <c r="JX105" s="28" t="str">
        <f t="shared" si="449"/>
        <v>INASISTENTE</v>
      </c>
      <c r="JY105" s="33"/>
      <c r="JZ105" s="28" t="str">
        <f t="shared" si="450"/>
        <v>INASISTENTE</v>
      </c>
      <c r="KA105" s="21"/>
      <c r="KB105" s="21"/>
      <c r="KC105" s="21"/>
      <c r="KD105" s="37"/>
      <c r="KE105" s="28"/>
      <c r="KF105" s="28"/>
      <c r="KG105" s="28"/>
      <c r="KH105" s="39"/>
      <c r="KI105" s="39"/>
      <c r="KJ105" s="66"/>
      <c r="KK105" s="39"/>
      <c r="KL105" s="39"/>
      <c r="KM105" s="66"/>
      <c r="KN105" s="39"/>
      <c r="KO105" s="39"/>
      <c r="KP105" s="39"/>
      <c r="KQ105" s="39"/>
      <c r="KR105" s="39"/>
      <c r="KS105" s="39"/>
      <c r="KT105" s="39"/>
      <c r="KU105" s="38"/>
      <c r="KV105" s="38"/>
      <c r="KW105" s="38"/>
      <c r="KX105" s="38"/>
      <c r="KY105" s="38"/>
      <c r="KZ105" s="38"/>
      <c r="LA105" s="38"/>
      <c r="LB105" s="38"/>
      <c r="LC105" s="38"/>
      <c r="LD105" s="38"/>
      <c r="LE105" s="38"/>
      <c r="LF105" s="38"/>
      <c r="LG105" s="38"/>
      <c r="LH105" s="38"/>
      <c r="LI105" s="38"/>
      <c r="LJ105" s="38"/>
      <c r="LK105" s="38"/>
      <c r="LL105" s="38"/>
      <c r="LM105" s="38"/>
      <c r="LN105" s="38"/>
      <c r="LO105" s="38"/>
      <c r="LP105" s="38"/>
      <c r="LQ105" s="38"/>
      <c r="LR105" s="38"/>
      <c r="LS105" s="38"/>
      <c r="LT105" s="38"/>
      <c r="LU105" s="38"/>
      <c r="LV105" s="38"/>
      <c r="LW105" s="38"/>
      <c r="LX105" s="38"/>
      <c r="LY105" s="38"/>
      <c r="LZ105" s="38"/>
      <c r="MA105" s="38"/>
      <c r="MB105" s="38"/>
      <c r="MC105" s="38"/>
      <c r="MD105" s="38"/>
      <c r="ME105" s="38"/>
      <c r="MF105" s="38"/>
      <c r="MG105" s="38"/>
      <c r="MH105" s="43">
        <f t="shared" si="459"/>
        <v>0</v>
      </c>
      <c r="MI105" s="43" t="str">
        <f t="shared" si="460"/>
        <v/>
      </c>
      <c r="MJ105" s="43" t="str">
        <f t="shared" si="461"/>
        <v/>
      </c>
      <c r="MK105" s="43">
        <f t="shared" si="462"/>
        <v>0</v>
      </c>
      <c r="ML10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05" s="43">
        <f t="shared" si="463"/>
        <v>26.571428571428573</v>
      </c>
      <c r="MN105" s="43">
        <f t="shared" si="464"/>
        <v>2</v>
      </c>
      <c r="MO105" s="43">
        <f t="shared" si="465"/>
        <v>2023</v>
      </c>
      <c r="MP105" s="43" t="str">
        <f t="shared" si="466"/>
        <v>I TRIMESTRE AÑO</v>
      </c>
      <c r="MQ105" s="43">
        <f t="shared" si="467"/>
        <v>19.319426193604905</v>
      </c>
      <c r="MR105" s="43">
        <f t="shared" si="468"/>
        <v>0</v>
      </c>
      <c r="MS105" s="43" t="str">
        <f t="shared" si="469"/>
        <v>DE 14 A 19AÑOS</v>
      </c>
      <c r="MT105" s="43">
        <f t="shared" si="470"/>
        <v>0</v>
      </c>
      <c r="MU105" s="43">
        <f t="shared" si="471"/>
        <v>1</v>
      </c>
      <c r="MV105" s="43">
        <f t="shared" si="472"/>
        <v>0</v>
      </c>
      <c r="MW105" s="43">
        <f t="shared" si="473"/>
        <v>0</v>
      </c>
      <c r="MX105" s="43" t="str">
        <f t="shared" si="474"/>
        <v/>
      </c>
      <c r="MY105" s="43" t="str">
        <f t="shared" ca="1" si="451"/>
        <v/>
      </c>
      <c r="MZ105" s="43" t="str">
        <f t="shared" si="475"/>
        <v/>
      </c>
      <c r="NA105" s="43" t="str">
        <f t="shared" si="476"/>
        <v/>
      </c>
      <c r="NB105" s="43" t="str">
        <f t="shared" si="477"/>
        <v/>
      </c>
      <c r="NC105" s="43" t="str">
        <f t="shared" si="478"/>
        <v/>
      </c>
      <c r="ND105" s="43">
        <f t="shared" ca="1" si="479"/>
        <v>3</v>
      </c>
      <c r="NE105" s="43">
        <f>IF(OR(O105&gt;0,R105&gt;0),SUM(COUNTIF(Tabla1[[#This Row],[AÑOS AL INICIO5 CPN]],"&gt;=40"),COUNTIF(AS105,"0"),COUNTIF(AR105,"SI"),COUNTIF(CC105,"SI"),COUNTIF(BQ105,"&gt;119"),COUNTIF(CI105,"&gt;=35")),"")</f>
        <v>0</v>
      </c>
      <c r="NF105" s="43" t="str">
        <f t="shared" si="480"/>
        <v/>
      </c>
      <c r="NG105" s="43">
        <f t="shared" si="481"/>
        <v>0</v>
      </c>
      <c r="NH105" s="43">
        <f t="shared" si="482"/>
        <v>217.70000000000002</v>
      </c>
      <c r="NI105"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CPN",P105="NO"),"Z",IF(AND(Tabla1[[#This Row],[CITA PROXIMO CONTROL]]="CITA MANUAL",Tabla1[[#This Row],[GESTANTES ACTUALES]]="ACTIVA INGRESO A CPN"),"W",IF(AND(Tabla1[[#This Row],[GESTANTES ACTUALES]]="SALIO PROGRAMA",IN105=""),"S",IF(AND(Tabla1[[#This Row],[CITA PROXIMO CONTROL]]&gt;0,IN105=""),(Tabla1[[#This Row],[CITA PROXIMO CONTROL]]-TODAY()),"SD"))))))))</f>
        <v>SD</v>
      </c>
      <c r="NJ105" s="43">
        <f>MONTH(Tabla1[[#This Row],[FECHA DE SALIDA  DEL PROGRAMA]])</f>
        <v>5</v>
      </c>
      <c r="NK105" s="43">
        <f>YEAR(Tabla1[[#This Row],[FECHA DE SALIDA  DEL PROGRAMA]])</f>
        <v>2023</v>
      </c>
      <c r="NL105" s="43" t="str">
        <f t="shared" si="483"/>
        <v>X</v>
      </c>
      <c r="NM105" s="43" t="str">
        <f t="shared" si="456"/>
        <v>NO</v>
      </c>
      <c r="NN105" s="43" t="str">
        <f ca="1">IF(AND(O105&gt;0,R105=""),"NO CPN",IF(AND(O105="",R105=""),"",IF(AND(R105&gt;0,Tabla1[[#This Row],[SEMANAS DE GESTACION ACTUALIZADAS]]&lt;=12),"NO APLICA",IF(AND(FH105&lt;&gt;"",FN105&lt;&gt;""),"SI","NO"))))</f>
        <v>NO</v>
      </c>
      <c r="NO105" s="43" t="str">
        <f ca="1">IF(AND(O105&gt;0,R105=""),"NO CPN",IF(AND(O105="",R105=""),"",IF(AND(R105&gt;0,Tabla1[[#This Row],[SEMANAS DE GESTACION ACTUALIZADAS]]&lt;=27),"NO APLICA",IF(AND(ES105&lt;&gt;"",FQ105&lt;&gt;"",GF105&lt;&gt;""),"SI","NO"))))</f>
        <v>NO</v>
      </c>
      <c r="NP105" s="204" t="str">
        <f t="shared" si="484"/>
        <v>II TRIM</v>
      </c>
      <c r="NQ105" s="21" t="str">
        <f t="shared" si="437"/>
        <v/>
      </c>
      <c r="NR105" s="21">
        <f t="shared" si="452"/>
        <v>2</v>
      </c>
      <c r="NS105" s="205">
        <f t="shared" ca="1" si="485"/>
        <v>0</v>
      </c>
      <c r="NT105" s="21">
        <f t="shared" ca="1" si="486"/>
        <v>0</v>
      </c>
      <c r="NU105" s="21" t="str">
        <f t="shared" ca="1" si="487"/>
        <v>INCOMPLETO</v>
      </c>
      <c r="NV105" s="21" t="str">
        <f t="shared" ca="1" si="488"/>
        <v>INCOMPLETO</v>
      </c>
      <c r="NW105" s="206" t="str">
        <f>IF(AND(O105="",R105=""),"",IF(OR(AND(Tabla1[[#This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05" s="207" t="str">
        <f t="shared" ca="1" si="489"/>
        <v>SIN VACUNAR</v>
      </c>
      <c r="NY105" s="43">
        <f>ROW(Tabla1[[#This Row],['# DE TAMIZAJES SIFILIS TOMADOS ]])</f>
        <v>105</v>
      </c>
      <c r="NZ105" s="43">
        <f t="shared" si="334"/>
        <v>26</v>
      </c>
      <c r="OA105" s="43" t="str">
        <f t="shared" si="335"/>
        <v/>
      </c>
      <c r="OB105" s="43" t="str">
        <f t="shared" si="336"/>
        <v/>
      </c>
      <c r="OC105" s="43" t="str">
        <f t="shared" si="337"/>
        <v/>
      </c>
      <c r="OD105" s="43" t="str">
        <f t="shared" si="338"/>
        <v/>
      </c>
      <c r="OE105" s="43" t="str">
        <f t="shared" si="339"/>
        <v/>
      </c>
      <c r="OF105" s="43" t="str">
        <f t="shared" si="340"/>
        <v/>
      </c>
      <c r="OG105" s="43" t="str">
        <f t="shared" si="341"/>
        <v/>
      </c>
      <c r="OH105" s="43" t="str">
        <f t="shared" si="342"/>
        <v/>
      </c>
      <c r="OI105" s="43" t="str">
        <f t="shared" si="343"/>
        <v/>
      </c>
      <c r="OJ105" s="43" t="str">
        <f t="shared" si="344"/>
        <v/>
      </c>
      <c r="OK105" s="43" t="str">
        <f t="shared" si="345"/>
        <v/>
      </c>
      <c r="OL105" s="43" t="str">
        <f t="shared" si="346"/>
        <v/>
      </c>
      <c r="OM105" s="43" t="str">
        <f t="shared" si="347"/>
        <v/>
      </c>
      <c r="ON105" s="43" t="str">
        <f t="shared" si="348"/>
        <v/>
      </c>
      <c r="OO105" s="43" t="str">
        <f t="shared" si="349"/>
        <v/>
      </c>
      <c r="OP105" s="43" t="str">
        <f t="shared" si="350"/>
        <v/>
      </c>
      <c r="OQ105" s="43" t="str">
        <f t="shared" si="351"/>
        <v/>
      </c>
      <c r="OR105" s="43" t="str">
        <f t="shared" si="352"/>
        <v/>
      </c>
      <c r="OS105" s="43" t="str">
        <f t="shared" si="353"/>
        <v/>
      </c>
      <c r="OT105" s="43" t="str">
        <f t="shared" si="354"/>
        <v/>
      </c>
      <c r="OU105" s="43" t="str">
        <f t="shared" si="355"/>
        <v/>
      </c>
      <c r="OV105" s="110" t="str">
        <f t="shared" si="356"/>
        <v/>
      </c>
      <c r="OW105" s="43" t="str">
        <f t="shared" si="357"/>
        <v/>
      </c>
      <c r="OX105" s="43" t="str">
        <f t="shared" si="358"/>
        <v/>
      </c>
      <c r="OY105" s="43" t="str">
        <f t="shared" si="359"/>
        <v/>
      </c>
      <c r="OZ105" s="43" t="str">
        <f t="shared" si="360"/>
        <v/>
      </c>
      <c r="PA105" s="43" t="str">
        <f t="shared" si="361"/>
        <v/>
      </c>
      <c r="PB105" s="43" t="str">
        <f t="shared" si="362"/>
        <v/>
      </c>
      <c r="PC105" s="43" t="str">
        <f t="shared" si="363"/>
        <v/>
      </c>
      <c r="PD105" s="43" t="str">
        <f t="shared" si="364"/>
        <v/>
      </c>
      <c r="PE105" s="43" t="str">
        <f t="shared" si="365"/>
        <v/>
      </c>
      <c r="PF105" s="43" t="str">
        <f t="shared" si="366"/>
        <v/>
      </c>
      <c r="PG105" s="43" t="str">
        <f t="shared" si="367"/>
        <v/>
      </c>
      <c r="PH105" s="43" t="str">
        <f t="shared" si="368"/>
        <v/>
      </c>
      <c r="PI105" s="43">
        <f t="shared" si="369"/>
        <v>30</v>
      </c>
      <c r="PJ105" s="43" t="str">
        <f t="shared" si="370"/>
        <v/>
      </c>
      <c r="PK105" s="43" t="str">
        <f t="shared" si="371"/>
        <v/>
      </c>
      <c r="PL105" s="43" t="str">
        <f t="shared" si="372"/>
        <v/>
      </c>
      <c r="PM105" s="43" t="str">
        <f t="shared" si="373"/>
        <v/>
      </c>
      <c r="PN105" s="43" t="str">
        <f t="shared" si="374"/>
        <v/>
      </c>
      <c r="PO105" s="43" t="str">
        <f t="shared" si="375"/>
        <v/>
      </c>
      <c r="PP105" s="43" t="str">
        <f t="shared" si="376"/>
        <v/>
      </c>
      <c r="PQ105" s="43" t="str">
        <f t="shared" si="377"/>
        <v/>
      </c>
      <c r="PR105" s="43" t="str">
        <f t="shared" si="378"/>
        <v/>
      </c>
      <c r="PS105" s="43" t="str">
        <f t="shared" si="379"/>
        <v/>
      </c>
      <c r="PT105" s="43" t="str">
        <f t="shared" si="380"/>
        <v/>
      </c>
      <c r="PU105" s="43" t="str">
        <f t="shared" si="381"/>
        <v/>
      </c>
      <c r="PV105" s="43" t="str">
        <f t="shared" si="382"/>
        <v/>
      </c>
      <c r="PW105" s="43" t="str">
        <f t="shared" si="383"/>
        <v/>
      </c>
      <c r="PX105" s="43" t="str">
        <f t="shared" si="384"/>
        <v/>
      </c>
      <c r="PY105" s="43" t="str">
        <f t="shared" si="385"/>
        <v/>
      </c>
      <c r="PZ105" s="43" t="str">
        <f t="shared" si="386"/>
        <v/>
      </c>
      <c r="QA105" s="43" t="str">
        <f t="shared" si="387"/>
        <v/>
      </c>
      <c r="QB105" s="43" t="str">
        <f t="shared" si="388"/>
        <v/>
      </c>
      <c r="QC105" s="43" t="str">
        <f t="shared" si="389"/>
        <v/>
      </c>
      <c r="QD105" s="43" t="str">
        <f t="shared" si="390"/>
        <v/>
      </c>
      <c r="QE105" s="43" t="str">
        <f t="shared" si="391"/>
        <v/>
      </c>
      <c r="QF105" s="43" t="str">
        <f t="shared" si="392"/>
        <v/>
      </c>
      <c r="QG105" s="43" t="str">
        <f t="shared" si="393"/>
        <v/>
      </c>
      <c r="QH105" s="43" t="str">
        <f t="shared" si="394"/>
        <v/>
      </c>
      <c r="QI105" s="43" t="str">
        <f t="shared" si="395"/>
        <v/>
      </c>
      <c r="QJ105" s="43" t="str">
        <f t="shared" si="396"/>
        <v/>
      </c>
      <c r="QK105" s="43" t="str">
        <f t="shared" si="397"/>
        <v/>
      </c>
      <c r="QL105" s="43" t="str">
        <f t="shared" si="398"/>
        <v/>
      </c>
      <c r="QM105" s="43" t="str">
        <f t="shared" si="399"/>
        <v/>
      </c>
      <c r="QN105" s="43" t="str">
        <f t="shared" si="400"/>
        <v/>
      </c>
      <c r="QO105" s="43" t="str">
        <f t="shared" si="401"/>
        <v/>
      </c>
      <c r="QP105" s="43" t="str">
        <f t="shared" si="402"/>
        <v/>
      </c>
      <c r="QQ105" s="43" t="str">
        <f t="shared" si="403"/>
        <v/>
      </c>
      <c r="QR105" s="43">
        <f t="shared" si="433"/>
        <v>30</v>
      </c>
      <c r="QS105" s="43"/>
      <c r="QT105" s="21" t="str">
        <f t="shared" si="404"/>
        <v/>
      </c>
      <c r="QU105" s="21" t="str">
        <f t="shared" si="405"/>
        <v/>
      </c>
      <c r="QV105" s="21" t="str">
        <f t="shared" si="406"/>
        <v/>
      </c>
      <c r="QW105" s="21" t="str">
        <f t="shared" si="407"/>
        <v/>
      </c>
      <c r="QX105" s="21" t="str">
        <f t="shared" si="408"/>
        <v/>
      </c>
      <c r="QY105" s="21" t="str">
        <f t="shared" si="409"/>
        <v/>
      </c>
      <c r="QZ105" s="21" t="str">
        <f t="shared" si="410"/>
        <v/>
      </c>
      <c r="RA105" s="21" t="str">
        <f t="shared" si="411"/>
        <v/>
      </c>
      <c r="RB105" s="21" t="str">
        <f t="shared" si="412"/>
        <v/>
      </c>
      <c r="RC105" s="21" t="str">
        <f t="shared" si="413"/>
        <v/>
      </c>
      <c r="RD105" s="21" t="str">
        <f t="shared" si="414"/>
        <v/>
      </c>
      <c r="RE105" s="21" t="str">
        <f t="shared" si="415"/>
        <v/>
      </c>
      <c r="RF105" s="21" t="str">
        <f t="shared" si="416"/>
        <v/>
      </c>
      <c r="RG105" s="21" t="str">
        <f t="shared" si="417"/>
        <v/>
      </c>
      <c r="RH105" s="21" t="str">
        <f t="shared" si="418"/>
        <v/>
      </c>
      <c r="RI105" s="21" t="str">
        <f t="shared" si="419"/>
        <v/>
      </c>
      <c r="RJ105" s="21" t="str">
        <f t="shared" si="420"/>
        <v/>
      </c>
      <c r="RK105" s="21" t="str">
        <f t="shared" si="421"/>
        <v/>
      </c>
      <c r="RL105" s="21" t="str">
        <f t="shared" si="422"/>
        <v/>
      </c>
      <c r="RM105" s="21" t="str">
        <f t="shared" si="423"/>
        <v/>
      </c>
      <c r="RN105" s="21" t="str">
        <f t="shared" si="424"/>
        <v/>
      </c>
      <c r="RO105" s="21" t="str">
        <f t="shared" si="425"/>
        <v/>
      </c>
      <c r="RP105" s="21" t="str">
        <f t="shared" si="426"/>
        <v/>
      </c>
      <c r="RQ105" s="21" t="str">
        <f t="shared" si="427"/>
        <v/>
      </c>
      <c r="RR105" s="21" t="str">
        <f t="shared" si="428"/>
        <v/>
      </c>
      <c r="RS105" s="21" t="str">
        <f t="shared" si="429"/>
        <v/>
      </c>
      <c r="RT105" s="21" t="str">
        <f t="shared" si="430"/>
        <v/>
      </c>
      <c r="RU105" s="21" t="str">
        <f t="shared" si="431"/>
        <v/>
      </c>
      <c r="RV105" s="21">
        <f t="shared" si="432"/>
        <v>-1</v>
      </c>
      <c r="RW105" s="284">
        <f>IF(OR(Tabla1[[#This Row],[FUM FORMULA CONFIABLE]]="",Tabla1[[#This Row],[FUM FORMULA CONFIABLE]]="SD"),"",IF(Tabla1[[#This Row],[FUM FORMULA CONFIABLE]]="CORREGIDA",Tabla1[[#This Row],[FUM X ECO 1]],Tabla1[[#This Row],[FUM x AMENORREA]]))</f>
        <v>44777</v>
      </c>
      <c r="RX105" s="21">
        <f>IF(AND(Tabla1[[#This Row],[FUM X ECO 1]]="",Tabla1[[#This Row],[FUM x AMENORREA]]=""),"",IF(AND(Tabla1[[#This Row],[FUM X ECO 1]]="",Tabla1[[#This Row],[FUM x AMENORREA]]&lt;&gt;""),"X",SUM(Tabla1[[#This Row],[FUM X ECO 1]]-Tabla1[[#This Row],[FUM x AMENORREA]])))</f>
        <v>-211.69999999999709</v>
      </c>
      <c r="RY105" s="21">
        <f t="shared" si="434"/>
        <v>1</v>
      </c>
    </row>
    <row r="106" spans="1:493" ht="45" customHeight="1" x14ac:dyDescent="0.25">
      <c r="A106" s="109"/>
      <c r="B106" s="43"/>
      <c r="C106" s="43" t="s">
        <v>845</v>
      </c>
      <c r="D106" s="124"/>
      <c r="E106" s="43" t="s">
        <v>953</v>
      </c>
      <c r="F106" s="43" t="s">
        <v>1316</v>
      </c>
      <c r="G106" s="43" t="s">
        <v>1317</v>
      </c>
      <c r="H106" s="43" t="s">
        <v>1028</v>
      </c>
      <c r="I106" s="109" t="s">
        <v>851</v>
      </c>
      <c r="J106" s="110">
        <v>1059594373</v>
      </c>
      <c r="K106" s="43" t="s">
        <v>852</v>
      </c>
      <c r="L106" s="175" t="s">
        <v>1509</v>
      </c>
      <c r="M106" s="22">
        <v>37960</v>
      </c>
      <c r="N106" s="213">
        <f t="shared" ca="1" si="252"/>
        <v>19.923287671232877</v>
      </c>
      <c r="O106" s="22">
        <v>44966</v>
      </c>
      <c r="P106" s="214" t="str">
        <f t="shared" si="438"/>
        <v>SI</v>
      </c>
      <c r="Q106" s="26" t="s">
        <v>855</v>
      </c>
      <c r="R106" s="22">
        <v>44966</v>
      </c>
      <c r="S106" s="21" t="s">
        <v>856</v>
      </c>
      <c r="T106" s="24" t="s">
        <v>690</v>
      </c>
      <c r="U106" s="21" t="s">
        <v>857</v>
      </c>
      <c r="V106" s="21" t="s">
        <v>858</v>
      </c>
      <c r="W106" s="21" t="s">
        <v>1044</v>
      </c>
      <c r="X106" s="21" t="s">
        <v>1044</v>
      </c>
      <c r="Y106" s="21" t="s">
        <v>859</v>
      </c>
      <c r="Z106" s="21">
        <v>3167373488</v>
      </c>
      <c r="AA106" s="21" t="s">
        <v>860</v>
      </c>
      <c r="AB106" s="27" t="s">
        <v>861</v>
      </c>
      <c r="AC106" s="26" t="s">
        <v>888</v>
      </c>
      <c r="AD106" s="38" t="s">
        <v>1546</v>
      </c>
      <c r="AE106" s="26" t="s">
        <v>854</v>
      </c>
      <c r="AF106" s="26" t="s">
        <v>854</v>
      </c>
      <c r="AG106" s="23" t="s">
        <v>864</v>
      </c>
      <c r="AH106" s="23" t="s">
        <v>864</v>
      </c>
      <c r="AI106" s="24" t="s">
        <v>863</v>
      </c>
      <c r="AJ106" s="23" t="s">
        <v>864</v>
      </c>
      <c r="AK106" s="220" t="str">
        <f>IF(AND(AD106="",AE106="",AF106="",AG106="",AH106="",AI106="",AJ106=""),"",IF(OR(Tabla1[[#This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EVALUACIÓN",IF(AND(O106="",R106=""),"",IF(AND(OR(O106&gt;0,R106&gt;0),NG106&gt;=0,NG106&lt;2),"SIN RIESGO",IF(AND(OR(O106&gt;0,R106&gt;0),NG106&gt;=2),"CON RIESGO","ASD")))))</f>
        <v>SIN RIESGO</v>
      </c>
      <c r="AL106" s="23" t="s">
        <v>864</v>
      </c>
      <c r="AM106" s="26" t="s">
        <v>864</v>
      </c>
      <c r="AN106" s="26" t="s">
        <v>864</v>
      </c>
      <c r="AO106" s="26" t="s">
        <v>864</v>
      </c>
      <c r="AP106" s="26" t="s">
        <v>864</v>
      </c>
      <c r="AQ106" s="26" t="s">
        <v>864</v>
      </c>
      <c r="AR106" s="26" t="s">
        <v>864</v>
      </c>
      <c r="AS106" s="21">
        <v>1</v>
      </c>
      <c r="AT106" s="21">
        <v>0</v>
      </c>
      <c r="AU106" s="21">
        <v>0</v>
      </c>
      <c r="AV106" s="26" t="s">
        <v>864</v>
      </c>
      <c r="AW106" s="21">
        <v>0</v>
      </c>
      <c r="AX106" s="26" t="s">
        <v>864</v>
      </c>
      <c r="AY106" s="26" t="s">
        <v>864</v>
      </c>
      <c r="AZ106" s="26" t="s">
        <v>864</v>
      </c>
      <c r="BA106" s="26" t="s">
        <v>864</v>
      </c>
      <c r="BB106" s="26" t="s">
        <v>864</v>
      </c>
      <c r="BC106" s="26" t="s">
        <v>864</v>
      </c>
      <c r="BD106" s="26" t="s">
        <v>864</v>
      </c>
      <c r="BE106" s="26" t="s">
        <v>864</v>
      </c>
      <c r="BF106" s="26" t="s">
        <v>864</v>
      </c>
      <c r="BG106" s="26" t="s">
        <v>864</v>
      </c>
      <c r="BH106" s="26" t="s">
        <v>864</v>
      </c>
      <c r="BI106" s="26" t="s">
        <v>864</v>
      </c>
      <c r="BJ106" s="26" t="s">
        <v>864</v>
      </c>
      <c r="BK106" s="26" t="s">
        <v>864</v>
      </c>
      <c r="BL106" s="26" t="s">
        <v>864</v>
      </c>
      <c r="BM106" s="26" t="s">
        <v>864</v>
      </c>
      <c r="BN106" s="22"/>
      <c r="BO106" s="22">
        <v>44917</v>
      </c>
      <c r="BP106" s="21" t="s">
        <v>854</v>
      </c>
      <c r="BQ106" s="222">
        <f t="shared" si="254"/>
        <v>0</v>
      </c>
      <c r="BR106" s="223">
        <f t="shared" si="255"/>
        <v>44922.9</v>
      </c>
      <c r="BS106" s="224">
        <f t="shared" si="256"/>
        <v>7</v>
      </c>
      <c r="BT106" s="216" t="str">
        <f t="shared" si="257"/>
        <v>I TRIM</v>
      </c>
      <c r="BU106" s="214" t="str">
        <f t="shared" ca="1" si="258"/>
        <v/>
      </c>
      <c r="BV106" s="25"/>
      <c r="BW106" s="22">
        <v>45016</v>
      </c>
      <c r="BX106" s="28">
        <v>13.3</v>
      </c>
      <c r="BY106" s="28"/>
      <c r="BZ106" s="22"/>
      <c r="CA106" s="21"/>
      <c r="CB106" s="26"/>
      <c r="CC106" s="26"/>
      <c r="CD106" s="26"/>
      <c r="CE106" s="26"/>
      <c r="CF106" s="22" t="s">
        <v>1517</v>
      </c>
      <c r="CG106" s="21">
        <v>1.51</v>
      </c>
      <c r="CH106" s="21">
        <v>50</v>
      </c>
      <c r="CI106" s="214">
        <f t="shared" si="259"/>
        <v>21.928862769176792</v>
      </c>
      <c r="CJ106" s="225" t="str">
        <f>IF(AND(CI106&lt;10,CH106="SD"),"SIN DATO PESO PREGESTACION O I TRIM",IF(AND(OR(R106&gt;0,O106&gt;0),CI106="X"),"INGRESAR DATO DE PESO",IF(CI106="SD","INGRESAR DATO DE TALLA Y PESO",IF(AND(OR(Tabla1[[#This Row],[MOMENTO EN QUE SE REALIZA EL PESO AL INGRESO A CPN]]="PREGESTACIÓN",NZ106="Menor"),CI106&lt;18.5),"BAJO PESO",IF(AND(OR(Tabla1[[#This Row],[MOMENTO EN QUE SE REALIZA EL PESO AL INGRESO A CPN]]="PREGESTACIÓN",NZ106="Menor"),CI106&lt;25),"NORMAL",IF(AND(OR(Tabla1[[#This Row],[MOMENTO EN QUE SE REALIZA EL PESO AL INGRESO A CPN]]="PREGESTACIÓN",NZ106="Menor"),CI106&lt;30),"SOBREPESO",IF(AND(OR(Tabla1[[#This Row],[MOMENTO EN QUE SE REALIZA EL PESO AL INGRESO A CPN]]="PREGESTACIÓN",NZ106="Menor"),CI106&gt;=30,CI106&lt;50),"OBESIDAD",IF(AND(BS106&gt;0,Tabla1[[#This Row],[MOMENTO EN QUE SE REALIZA EL PESO AL INGRESO A CPN]]="GESTACIÓN"),HLOOKUP(NZ106,$OA$2:PH106,NY106),""))))))))</f>
        <v>NORMAL</v>
      </c>
      <c r="CK106" s="212">
        <f t="shared" si="260"/>
        <v>45169</v>
      </c>
      <c r="CL106" s="21">
        <v>56.6</v>
      </c>
      <c r="CM106" s="214">
        <f t="shared" si="261"/>
        <v>24.823472654708127</v>
      </c>
      <c r="CN106" s="216">
        <f t="shared" si="262"/>
        <v>36</v>
      </c>
      <c r="CO106" s="216" t="e">
        <f>IF(PI106="","",IF(PI106&gt;0,HLOOKUP(PI106,$PJ$2:QQ106,NY106),""))</f>
        <v>#REF!</v>
      </c>
      <c r="CP106" s="21">
        <v>28</v>
      </c>
      <c r="CQ106" s="216" t="e">
        <f>IF(QR106="Menor","NO APLICA-MENOR 13 SEM",IF(AND(CC106="SI",CN106&gt;23),"NO APLICA- GEMELAR",IF(QR106="","",IF(QR106&gt;0,HLOOKUP(QR106,$QS$2:RU106,NY106),""))))</f>
        <v>#REF!</v>
      </c>
      <c r="CR106" s="21">
        <v>90</v>
      </c>
      <c r="CS106" s="21">
        <v>60</v>
      </c>
      <c r="CT106" s="217" t="str">
        <f>IF(R106="","",IF(AND(BS106&gt;1,BS106&lt;12,Tabla1[[#This Row],[T.A. SISTOLICA - ANTES DE SEMANA 12]]="",Tabla1[[#This Row],[T.A. DIASTOLICA - ANTES DE SEMANA 12]]=""),"REGISTRE DATO TA ANTES SEMANA 12",IF(AND(BS106&gt;11,BS106&lt;43,Tabla1[[#This Row],[T.A. SISTOLICA - ANTES DE SEMANA 12]]="",Tabla1[[#This Row],[T.A. DIASTOLICA - ANTES DE SEMANA 12]]=""),"NO APLICA REGISTRO TA-INGRESO TARDIO",IF(AND(OR(O106&gt;0,R106&gt;0),OR(CR106&gt;=140,CS106&gt;=90)),"DEFINIR ESTADIO HTA",IF(AND(OR(O106&gt;0,R106&gt;0),AND(CR106&gt;120,CR106&lt;=139)),"PRE HTA SEGUIMIENTO",IF(AND(OR(O106&gt;0,R106&gt;0),AND(CS106&gt;80,CS106&lt;=89)),"PRE HTA SEGUIMIENTO",IF(AND(OR(O106&gt;0,R106&gt;0),AND(CR106&gt;=80,CR106&lt;=120)),"APARENTEMENTE NORMAL",IF(AND(OR(O106&gt;0,R106&gt;0),AND(CS106&gt;=50,CS106&lt;=80)),"APARENTEMENTE NORMAL",IF(AND(OR(O106&gt;0,R106&gt;0),AND(CR106&gt;1,CR106&lt;=70),AND(CS106&gt;1,CS106&lt;=40)),"HIPOTENSIÓN","")))))))))</f>
        <v>APARENTEMENTE NORMAL</v>
      </c>
      <c r="CU106" s="21">
        <v>90</v>
      </c>
      <c r="CV106" s="21">
        <v>70</v>
      </c>
      <c r="CW106" s="217" t="str">
        <f ca="1">IF(R106="","",IF(AND(CN106&gt;19,CN106&lt;27,Tabla1[[#This Row],[T.A. SISTOLICA (Entre semana 20 y 26)]]="",Tabla1[[#This Row],[T.A. DIATOLICA (Entre semana 20 y 26)]]=""),"ACUDE A CONTROL SEM 20 A 26 REGISTRE TA AHORA",IF(AND(BS106&gt;1,BS106&lt;27,BU106&gt;19,Tabla1[[#This Row],[T.A. SISTOLICA (Entre semana 20 y 26)]]="",Tabla1[[#This Row],[T.A. DIATOLICA (Entre semana 20 y 26)]]=""),"COMPLETE REGISTRO TA CONTROL SEM 20 A26 ",IF(AND(BS106&gt;26,BS106&lt;43,Tabla1[[#This Row],[T.A. SISTOLICA (Entre semana 20 y 26)]]="",Tabla1[[#This Row],[T.A. DIATOLICA (Entre semana 20 y 26)]]=""),"NO APLICA REGISTRO TA-INGRESO TARDIO",IF(AND(OR(O106&gt;0,R106&gt;0),OR(CU106&gt;=140,CV106&gt;=90)),"ALTO RIESGO PREECLAMPSIA,DEFINIR ESTADIO HTA",IF(AND(OR(O106&gt;0,R106&gt;0),AND(CU106&gt;120,CU106&lt;=139)),"PRE HTA SEGUIMIENTO,RIESGO HIPERTENSION INDUCIDA POR EL EMBARAZO",IF(AND(OR(O106&gt;0,R106&gt;0),AND(CV106&gt;80,CV106&lt;=89)),"PRE HTA SEGUIMIENTO, RIESGO HIPERTENSION INDUCIDA POR EL EMBARAZO",IF(AND(OR(O106&lt;&gt;"",R106&lt;&gt;""),CS106&lt;&gt;"",CV106&lt;&gt;"",CS106&lt;=CV106),"VIGILAR CIFRAS PRESION ARTERIAL",IF(AND(OR(O106&gt;0,R106&gt;0),AND(CU106&gt;120,CU106&lt;=139)),"PRE HTA SEGUIMIENTO",IF(AND(OR(O106&gt;0,R106&gt;0),AND(CU106&gt;1,CU106&lt;=70),AND(CV106&gt;1,CV106&lt;=40)),"HIPOTENSIÓN",IF(AND(OR(O106&lt;&gt;"",R106&lt;&gt;""),CS106&lt;&gt;"",CV106&lt;&gt;"",CS106&gt;CV106),"APARENTEMENTE NORMAL",IF(AND(OR(O106&gt;0,R106&gt;0),AND(CU106&gt;=80,CU106&lt;=120)),"APARENTEMENTE NORMAL",IF(AND(OR(O106&gt;0,R106&gt;0),AND(CV106&gt;=50,CV106&lt;=80)),"APARENTEMENTE NORMAL","")))))))))))))</f>
        <v>VIGILAR CIFRAS PRESION ARTERIAL</v>
      </c>
      <c r="CX106" s="21">
        <v>90</v>
      </c>
      <c r="CY106" s="21">
        <v>60</v>
      </c>
      <c r="CZ106" s="216" t="str">
        <f t="shared" si="457"/>
        <v>APARENTEMENTE NORMAL</v>
      </c>
      <c r="DA106" s="21">
        <v>90</v>
      </c>
      <c r="DB106" s="21">
        <v>60</v>
      </c>
      <c r="DC106" s="217" t="str">
        <f t="shared" si="264"/>
        <v>APARENTEMENTE NORMAL</v>
      </c>
      <c r="DD106" s="22">
        <v>44966</v>
      </c>
      <c r="DE106" s="22">
        <v>44966</v>
      </c>
      <c r="DF106" s="22">
        <v>44994</v>
      </c>
      <c r="DG106" s="22">
        <v>45029</v>
      </c>
      <c r="DH106" s="22">
        <v>45041</v>
      </c>
      <c r="DI106" s="22">
        <v>45104</v>
      </c>
      <c r="DJ106" s="22">
        <v>45134</v>
      </c>
      <c r="DK106" s="22">
        <v>45169</v>
      </c>
      <c r="DL106" s="22"/>
      <c r="DM106" s="22"/>
      <c r="DN106" s="22"/>
      <c r="DO106" s="22"/>
      <c r="DP106" s="22"/>
      <c r="DQ106" s="22"/>
      <c r="DR106" s="28"/>
      <c r="DS106" s="22"/>
      <c r="DT106" s="22"/>
      <c r="DU106" s="216" t="str">
        <f t="shared" ca="1" si="439"/>
        <v>CONCERTAR PLAN DE PARTO INMEDIATO</v>
      </c>
      <c r="DV106" s="226" t="str">
        <f t="shared" si="440"/>
        <v>ACTIVA INGRESO A CPN</v>
      </c>
      <c r="DW10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06" s="216" t="e">
        <f t="shared" ca="1" si="266"/>
        <v>#REF!</v>
      </c>
      <c r="DY106" s="212">
        <f>IF(R106="","",IF(R106&gt;0,MAX(Tabla1[[#This Row],[FECHA C2]:[FECHA C13]],Tabla1[[#This Row],[FECHA CONSULTA PRIMERA VEZ PROGRAMA CPN ]])))</f>
        <v>45169</v>
      </c>
      <c r="DZ106" s="216">
        <f t="shared" si="267"/>
        <v>36</v>
      </c>
      <c r="EA106" s="222">
        <f>IF(R106&gt;0,SUM(COUNTA(DF106:DQ106)+COUNTA(Tabla1[[#This Row],[FECHA CONSULTA PRIMERA VEZ PROGRAMA CPN ]])),"")</f>
        <v>7</v>
      </c>
      <c r="EB106" s="222" t="str">
        <f t="shared" si="268"/>
        <v>SI</v>
      </c>
      <c r="EC106" s="214">
        <f t="shared" si="269"/>
        <v>10</v>
      </c>
      <c r="ED106" s="227">
        <f t="shared" si="270"/>
        <v>0.7</v>
      </c>
      <c r="EE106" s="22">
        <v>44966</v>
      </c>
      <c r="EF106" s="22">
        <v>44966</v>
      </c>
      <c r="EG106" s="22">
        <v>44966</v>
      </c>
      <c r="EH106" s="22">
        <v>44975</v>
      </c>
      <c r="EI106" s="22">
        <v>44966</v>
      </c>
      <c r="EJ106" s="22">
        <v>44974</v>
      </c>
      <c r="EK106" s="344">
        <v>44985</v>
      </c>
      <c r="EL106" s="21"/>
      <c r="EM106" s="21">
        <v>12.7</v>
      </c>
      <c r="EN106" s="22">
        <v>44967</v>
      </c>
      <c r="EO106" s="222">
        <f t="shared" si="271"/>
        <v>7.1428571428571432</v>
      </c>
      <c r="EP106" s="214" t="str">
        <f t="shared" si="272"/>
        <v>NORMAL- SUMINISTRAR SULFATO FERROSO</v>
      </c>
      <c r="EQ106" s="216" t="str">
        <f t="shared" si="273"/>
        <v>I TRIM</v>
      </c>
      <c r="ER106" s="24">
        <v>10.8</v>
      </c>
      <c r="ES106" s="22">
        <v>45115</v>
      </c>
      <c r="ET106" s="29">
        <f t="shared" ca="1" si="441"/>
        <v>28.285714285714285</v>
      </c>
      <c r="EU106" s="25" t="str">
        <f t="shared" si="275"/>
        <v>NORMAL- SUMINISTRAR SULFATO FERROSO</v>
      </c>
      <c r="EV106" s="24" t="s">
        <v>1510</v>
      </c>
      <c r="EW106" s="32">
        <v>44967</v>
      </c>
      <c r="EX106" s="22"/>
      <c r="EY106" s="29">
        <f t="shared" si="454"/>
        <v>7.1428571428571432</v>
      </c>
      <c r="EZ106" s="25" t="str">
        <f t="shared" si="455"/>
        <v>SIN RIESGO DE ISOINMUNIZACIÓN</v>
      </c>
      <c r="FA106" s="21">
        <v>76</v>
      </c>
      <c r="FB106" s="22">
        <v>44967</v>
      </c>
      <c r="FC106" s="29">
        <f t="shared" si="276"/>
        <v>7.1428571428571432</v>
      </c>
      <c r="FD106" s="29">
        <v>58</v>
      </c>
      <c r="FE106" s="29">
        <v>109</v>
      </c>
      <c r="FF106" s="29">
        <v>101</v>
      </c>
      <c r="FG106" s="21" t="str">
        <f t="shared" ca="1" si="277"/>
        <v>NORMAL</v>
      </c>
      <c r="FH106" s="31">
        <v>45114</v>
      </c>
      <c r="FI106" s="29">
        <f t="shared" si="278"/>
        <v>28.142857142857142</v>
      </c>
      <c r="FJ106" s="22" t="s">
        <v>867</v>
      </c>
      <c r="FK106" s="22">
        <v>44967</v>
      </c>
      <c r="FL106" s="29">
        <f t="shared" ca="1" si="279"/>
        <v>7.1428571428571432</v>
      </c>
      <c r="FM106" s="22"/>
      <c r="FN106" s="32"/>
      <c r="FO106" s="29" t="str">
        <f t="shared" ca="1" si="442"/>
        <v>PIERDE TOMA DE TAMIZAJE</v>
      </c>
      <c r="FP106" s="22" t="s">
        <v>867</v>
      </c>
      <c r="FQ106" s="32">
        <v>45114</v>
      </c>
      <c r="FR106" s="29">
        <f t="shared" ca="1" si="443"/>
        <v>28.142857142857142</v>
      </c>
      <c r="FS106" s="22"/>
      <c r="FT106" s="32"/>
      <c r="FU106" s="29" t="str">
        <f>IF(AND(FJ106="",FM106="",FP106="",FS106=""),"",IF(OR(OR(Tabla1[[#This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06" s="28"/>
      <c r="FW106" s="22"/>
      <c r="FX106" s="29" t="str">
        <f t="shared" si="280"/>
        <v>TOMAR EXAMEN</v>
      </c>
      <c r="FY106" s="22"/>
      <c r="FZ106" s="22"/>
      <c r="GA106" s="29" t="str">
        <f t="shared" ca="1" si="453"/>
        <v>PIERDE TOMA DE TAMIZAJE</v>
      </c>
      <c r="GB106" s="22"/>
      <c r="GC106" s="22"/>
      <c r="GD106" s="29" t="str">
        <f t="shared" ca="1" si="444"/>
        <v>PIERDE TOMA DE TAMIZAJE</v>
      </c>
      <c r="GE106" s="22"/>
      <c r="GF106" s="22"/>
      <c r="GG106" s="29" t="str">
        <f t="shared" ca="1" si="445"/>
        <v>TOMA INMEDIATA DE TAMIZAJE</v>
      </c>
      <c r="GH106" s="22"/>
      <c r="GI106" s="29"/>
      <c r="GJ106" s="22"/>
      <c r="GK106" s="22"/>
      <c r="GL106" s="22"/>
      <c r="GM106" s="22"/>
      <c r="GN106" s="28" t="s">
        <v>869</v>
      </c>
      <c r="GO106" s="22">
        <v>44967</v>
      </c>
      <c r="GP106" s="29">
        <f t="shared" si="283"/>
        <v>7.1428571428571432</v>
      </c>
      <c r="GQ106" s="28"/>
      <c r="GR106" s="28"/>
      <c r="GS106" s="22" t="str">
        <f t="shared" si="458"/>
        <v/>
      </c>
      <c r="GT106" s="22"/>
      <c r="GU106" s="29" t="str">
        <f t="shared" si="285"/>
        <v>TOMAR EXAMEN</v>
      </c>
      <c r="GV106" s="21" t="str">
        <f t="shared" si="286"/>
        <v>POR DEFINIR</v>
      </c>
      <c r="GW106" s="28"/>
      <c r="GX106" s="30"/>
      <c r="GY106" s="21"/>
      <c r="GZ106" s="21"/>
      <c r="HA106" s="21"/>
      <c r="HB106" s="21"/>
      <c r="HC106" s="21"/>
      <c r="HD106" s="21"/>
      <c r="HE106" s="21"/>
      <c r="HF106" s="22"/>
      <c r="HG106" s="22" t="str">
        <f>IF(OR(O106&gt;0,R106&gt;0),CONCATENATE(IF(Tabla1[[#This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06" s="22" t="e">
        <f t="shared" si="287"/>
        <v>#REF!</v>
      </c>
      <c r="HI106" s="22" t="e">
        <f t="shared" ca="1" si="288"/>
        <v>#REF!</v>
      </c>
      <c r="HJ106" s="21" t="str">
        <f t="shared" ca="1" si="289"/>
        <v>**********************MULTIPARIDAD*****************</v>
      </c>
      <c r="HK106" s="21" t="str">
        <f t="shared" si="290"/>
        <v>SIN ANTECEDENTES DE RIESGO</v>
      </c>
      <c r="HL106" s="24" t="str">
        <f t="shared" si="291"/>
        <v>APARENTEMENTE NORMAL</v>
      </c>
      <c r="HM106" s="21" t="e">
        <f t="shared" ca="1" si="292"/>
        <v>#REF!</v>
      </c>
      <c r="HN106" s="30" t="str">
        <f t="shared" si="446"/>
        <v>ACTIVA INGRESO A CPN</v>
      </c>
      <c r="HO106" s="21"/>
      <c r="HP106" s="21"/>
      <c r="HQ106" s="349">
        <v>45029</v>
      </c>
      <c r="HR106" s="21" t="str">
        <f>IF(R106="","",IF(Tabla1[[#This Row],[ALARMA FACTORES DE RIESGO COMPLICACIONES HIPERTENSIVAS3]]="SIN ANTECEDENTES DE RIESGO","No Aplica para suministro de ASA",IF(AND(Tabla1[[#This Row],[FECHA INICIO DE SUMINISTRO DE ASA]]&gt;0,RV106&lt;12),"Inicia ASA ANTES de Sem 12",IF(AND(RV106&gt;11,RV106&lt;17,OR(HK106="RIESGO ALTO DE COMPLICACIONES HIPERTENSIVAS VER MANEJO GUIA SUMINISTRO ASA Y CALCIO",HK106="RIESGO MODERADO (2 O MAS CRITERIOS) VER MANEJO GUIA SUMINISTRO ASA Y CALCIO")),"Inicio oportuno de ASA",IF(AND(RV106&gt;12,OR(HK106="RIESGO ALTO DE COMPLICACIONES HIPERTENSIVAS VER MANEJO GUIA SUMINISTRO ASA Y CALCIO",HK106="RIESGO MODERADO (2 O MAS CRITERIOS) VER MANEJO GUIA SUMINISTRO ASA Y CALCIO")),"Inicio no oportuno mayor a 16 semanas",IF(AND(BU106&lt;12,OR(HK106="RIESGO ALTO DE COMPLICACIONES HIPERTENSIVAS VER MANEJO GUIA SUMINISTRO ASA Y CALCIO",HK106="RIESGO MODERADO (2 O MAS CRITERIOS) VER MANEJO GUIA SUMINISTRO ASA Y CALCIO")),"Pendiente Inicio de ASA a la semana 12",IF(AND(BU106&gt;11,BU106&lt;17,OR(HK106="RIESGO ALTO DE COMPLICACIONES HIPERTENSIVAS VER MANEJO GUIA SUMINISTRO ASA Y CALCIO",HK106="RIESGO MODERADO (2 O MAS CRITERIOS) VER MANEJO GUIA SUMINISTRO ASA Y CALCIO")),"Iniciar de inmediato ASA",IF(AND(BU106&gt;16,OR(HK106="RIESGO ALTO DE COMPLICACIONES HIPERTENSIVAS VER MANEJO GUIA SUMINISTRO ASA Y CALCIO",HK106="RIESGO MODERADO (2 O MAS CRITERIOS) VER MANEJO GUIA SUMINISTRO ASA Y CALCIO")),"Pierde Oportunidad, Inicio tardío de ASA","XXXXX"))))))))</f>
        <v>No Aplica para suministro de ASA</v>
      </c>
      <c r="HS106" s="22">
        <v>45029</v>
      </c>
      <c r="HT106" s="22" t="s">
        <v>870</v>
      </c>
      <c r="HU106" s="22">
        <v>45029</v>
      </c>
      <c r="HV106" s="22" t="s">
        <v>870</v>
      </c>
      <c r="HW106" s="22">
        <v>45029</v>
      </c>
      <c r="HX106" s="22" t="s">
        <v>870</v>
      </c>
      <c r="HY106" s="22"/>
      <c r="HZ106" s="28" t="str">
        <f t="shared" si="293"/>
        <v>PENDIENTE CONSULTA</v>
      </c>
      <c r="IA106" s="26"/>
      <c r="IB106" s="26"/>
      <c r="IC106" s="111"/>
      <c r="ID106" s="22"/>
      <c r="IE106" s="22" t="str">
        <f t="shared" ca="1" si="294"/>
        <v/>
      </c>
      <c r="IF106" s="22"/>
      <c r="IG106" s="22">
        <f t="shared" si="295"/>
        <v>45197</v>
      </c>
      <c r="IH106" s="29">
        <f t="shared" ca="1" si="296"/>
        <v>-35</v>
      </c>
      <c r="II106" s="22" t="str">
        <f t="shared" ca="1" si="297"/>
        <v>POSIBLEMENTE NACIO</v>
      </c>
      <c r="IJ106" s="22"/>
      <c r="IK106" s="21"/>
      <c r="IL106" s="21" t="s">
        <v>1639</v>
      </c>
      <c r="IM106" s="34"/>
      <c r="IN106" s="22"/>
      <c r="IO106" s="21"/>
      <c r="IP106" s="29" t="str">
        <f t="shared" si="436"/>
        <v/>
      </c>
      <c r="IQ106" s="110"/>
      <c r="IR106" s="21"/>
      <c r="IS106" s="21"/>
      <c r="IT106" s="21"/>
      <c r="IU106" s="21"/>
      <c r="IV106" s="21"/>
      <c r="IW106" s="21"/>
      <c r="IX106" s="21"/>
      <c r="IY106" s="21"/>
      <c r="IZ106" s="21"/>
      <c r="JA106" s="21"/>
      <c r="JB106" s="30"/>
      <c r="JC106" s="21"/>
      <c r="JD106" s="36"/>
      <c r="JE106" s="21" t="str">
        <f t="shared" si="447"/>
        <v/>
      </c>
      <c r="JF106" s="30"/>
      <c r="JG106" s="21"/>
      <c r="JH106" s="21"/>
      <c r="JI106" s="21"/>
      <c r="JJ106" s="30"/>
      <c r="JK106" s="22"/>
      <c r="JL106" s="22"/>
      <c r="JM106" s="21"/>
      <c r="JN106" s="36"/>
      <c r="JO106" s="21" t="str">
        <f t="shared" si="448"/>
        <v/>
      </c>
      <c r="JP106" s="22"/>
      <c r="JQ106" s="21"/>
      <c r="JR106" s="21"/>
      <c r="JS106" s="21"/>
      <c r="JT106" s="30"/>
      <c r="JU106" s="22"/>
      <c r="JV106" s="22"/>
      <c r="JW106" s="33"/>
      <c r="JX106" s="28" t="str">
        <f t="shared" si="449"/>
        <v/>
      </c>
      <c r="JY106" s="33"/>
      <c r="JZ106" s="28" t="str">
        <f t="shared" si="450"/>
        <v/>
      </c>
      <c r="KA106" s="21"/>
      <c r="KB106" s="21"/>
      <c r="KC106" s="21"/>
      <c r="KD106" s="37"/>
      <c r="KE106" s="28"/>
      <c r="KF106" s="28"/>
      <c r="KG106" s="28"/>
      <c r="KH106" s="39"/>
      <c r="KI106" s="39"/>
      <c r="KJ106" s="66"/>
      <c r="KK106" s="39"/>
      <c r="KL106" s="39"/>
      <c r="KM106" s="66"/>
      <c r="KN106" s="39"/>
      <c r="KO106" s="39"/>
      <c r="KP106" s="39"/>
      <c r="KQ106" s="39"/>
      <c r="KR106" s="39"/>
      <c r="KS106" s="39"/>
      <c r="KT106" s="39"/>
      <c r="KU106" s="38"/>
      <c r="KV106" s="38"/>
      <c r="KW106" s="38"/>
      <c r="KX106" s="38"/>
      <c r="KY106" s="38"/>
      <c r="KZ106" s="38"/>
      <c r="LA106" s="38"/>
      <c r="LB106" s="38"/>
      <c r="LC106" s="38"/>
      <c r="LD106" s="38"/>
      <c r="LE106" s="38"/>
      <c r="LF106" s="38"/>
      <c r="LG106" s="38"/>
      <c r="LH106" s="38"/>
      <c r="LI106" s="38"/>
      <c r="LJ106" s="38"/>
      <c r="LK106" s="38"/>
      <c r="LL106" s="38"/>
      <c r="LM106" s="38"/>
      <c r="LN106" s="38"/>
      <c r="LO106" s="38"/>
      <c r="LP106" s="38"/>
      <c r="LQ106" s="38"/>
      <c r="LR106" s="38"/>
      <c r="LS106" s="38"/>
      <c r="LT106" s="38"/>
      <c r="LU106" s="38"/>
      <c r="LV106" s="38"/>
      <c r="LW106" s="38"/>
      <c r="LX106" s="38"/>
      <c r="LY106" s="38"/>
      <c r="LZ106" s="38"/>
      <c r="MA106" s="38"/>
      <c r="MB106" s="38"/>
      <c r="MC106" s="38"/>
      <c r="MD106" s="38"/>
      <c r="ME106" s="38"/>
      <c r="MF106" s="38"/>
      <c r="MG106" s="38"/>
      <c r="MH106" s="43">
        <f t="shared" si="459"/>
        <v>0</v>
      </c>
      <c r="MI106" s="43" t="str">
        <f t="shared" si="460"/>
        <v/>
      </c>
      <c r="MJ106" s="43" t="str">
        <f t="shared" si="461"/>
        <v/>
      </c>
      <c r="MK106" s="43">
        <f t="shared" si="462"/>
        <v>0</v>
      </c>
      <c r="ML10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06" s="43">
        <f t="shared" si="463"/>
        <v>7</v>
      </c>
      <c r="MN106" s="43">
        <f t="shared" si="464"/>
        <v>2</v>
      </c>
      <c r="MO106" s="43">
        <f t="shared" si="465"/>
        <v>2023</v>
      </c>
      <c r="MP106" s="43" t="str">
        <f t="shared" si="466"/>
        <v>I TRIMESTRE AÑO</v>
      </c>
      <c r="MQ106" s="43">
        <f t="shared" si="467"/>
        <v>18.900569426193602</v>
      </c>
      <c r="MR106" s="43">
        <f t="shared" si="468"/>
        <v>0</v>
      </c>
      <c r="MS106" s="43" t="str">
        <f t="shared" si="469"/>
        <v>DE 14 A 19AÑOS</v>
      </c>
      <c r="MT106" s="43">
        <f t="shared" si="470"/>
        <v>0</v>
      </c>
      <c r="MU106" s="43">
        <f t="shared" si="471"/>
        <v>1</v>
      </c>
      <c r="MV106" s="43">
        <f t="shared" si="472"/>
        <v>0</v>
      </c>
      <c r="MW106" s="43">
        <f t="shared" si="473"/>
        <v>0</v>
      </c>
      <c r="MX106" s="43" t="str">
        <f t="shared" si="474"/>
        <v/>
      </c>
      <c r="MY106" s="43" t="str">
        <f t="shared" ca="1" si="451"/>
        <v/>
      </c>
      <c r="MZ106" s="43" t="str">
        <f t="shared" si="475"/>
        <v/>
      </c>
      <c r="NA106" s="43" t="str">
        <f t="shared" si="476"/>
        <v/>
      </c>
      <c r="NB106" s="43" t="str">
        <f t="shared" si="477"/>
        <v/>
      </c>
      <c r="NC106" s="43" t="str">
        <f t="shared" si="478"/>
        <v/>
      </c>
      <c r="ND106" s="43">
        <f t="shared" ca="1" si="479"/>
        <v>1</v>
      </c>
      <c r="NE106" s="43">
        <f>IF(OR(O106&gt;0,R106&gt;0),SUM(COUNTIF(Tabla1[[#This Row],[AÑOS AL INICIO5 CPN]],"&gt;=40"),COUNTIF(AS106,"0"),COUNTIF(AR106,"SI"),COUNTIF(CC106,"SI"),COUNTIF(BQ106,"&gt;119"),COUNTIF(CI106,"&gt;=35")),"")</f>
        <v>0</v>
      </c>
      <c r="NF106" s="43" t="str">
        <f t="shared" si="480"/>
        <v/>
      </c>
      <c r="NG106" s="43">
        <f t="shared" si="481"/>
        <v>0</v>
      </c>
      <c r="NH106" s="43">
        <f t="shared" si="482"/>
        <v>93.100000000000009</v>
      </c>
      <c r="NI10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CPN",P106="NO"),"Z",IF(AND(Tabla1[[#This Row],[CITA PROXIMO CONTROL]]="CITA MANUAL",Tabla1[[#This Row],[GESTANTES ACTUALES]]="ACTIVA INGRESO A CPN"),"W",IF(AND(Tabla1[[#This Row],[GESTANTES ACTUALES]]="SALIO PROGRAMA",IN106=""),"S",IF(AND(Tabla1[[#This Row],[CITA PROXIMO CONTROL]]&gt;0,IN106=""),(Tabla1[[#This Row],[CITA PROXIMO CONTROL]]-TODAY()),"SD"))))))))</f>
        <v>#REF!</v>
      </c>
      <c r="NJ106" s="43">
        <f>MONTH(Tabla1[[#This Row],[FECHA DE SALIDA  DEL PROGRAMA]])</f>
        <v>1</v>
      </c>
      <c r="NK106" s="43">
        <f>YEAR(Tabla1[[#This Row],[FECHA DE SALIDA  DEL PROGRAMA]])</f>
        <v>1900</v>
      </c>
      <c r="NL106" s="43">
        <f t="shared" si="483"/>
        <v>8</v>
      </c>
      <c r="NM106" s="43" t="str">
        <f t="shared" si="456"/>
        <v>NO</v>
      </c>
      <c r="NN106" s="43" t="str">
        <f ca="1">IF(AND(O106&gt;0,R106=""),"NO CPN",IF(AND(O106="",R106=""),"",IF(AND(R106&gt;0,Tabla1[[#This Row],[SEMANAS DE GESTACION ACTUALIZADAS]]&lt;=12),"NO APLICA",IF(AND(FH106&lt;&gt;"",FN106&lt;&gt;""),"SI","NO"))))</f>
        <v>NO</v>
      </c>
      <c r="NO106" s="43" t="str">
        <f ca="1">IF(AND(O106&gt;0,R106=""),"NO CPN",IF(AND(O106="",R106=""),"",IF(AND(R106&gt;0,Tabla1[[#This Row],[SEMANAS DE GESTACION ACTUALIZADAS]]&lt;=27),"NO APLICA",IF(AND(ES106&lt;&gt;"",FQ106&lt;&gt;"",GF106&lt;&gt;""),"SI","NO"))))</f>
        <v>NO</v>
      </c>
      <c r="NP106" s="204" t="str">
        <f t="shared" si="484"/>
        <v>I TRIM</v>
      </c>
      <c r="NQ106" s="21" t="str">
        <f t="shared" si="437"/>
        <v/>
      </c>
      <c r="NR106" s="21" t="str">
        <f t="shared" ca="1" si="452"/>
        <v>REVISAR FUM O FECHA SALIDA PROGRAMA</v>
      </c>
      <c r="NS106" s="205">
        <f t="shared" ca="1" si="485"/>
        <v>2</v>
      </c>
      <c r="NT106" s="21">
        <f t="shared" ca="1" si="486"/>
        <v>0</v>
      </c>
      <c r="NU106" s="21" t="str">
        <f t="shared" ca="1" si="487"/>
        <v>POR DEFINIR</v>
      </c>
      <c r="NV106" s="21" t="str">
        <f t="shared" ca="1" si="488"/>
        <v>POR DEFINIR</v>
      </c>
      <c r="NW106" s="206" t="str">
        <f>IF(AND(O106="",R106=""),"",IF(OR(AND(Tabla1[[#This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06" s="207" t="str">
        <f t="shared" ca="1" si="489"/>
        <v>SIN VACUNAR</v>
      </c>
      <c r="NY106" s="43">
        <f>ROW(Tabla1[[#This Row],['# DE TAMIZAJES SIFILIS TOMADOS ]])</f>
        <v>106</v>
      </c>
      <c r="NZ106" s="43" t="str">
        <f t="shared" si="334"/>
        <v>Menor</v>
      </c>
      <c r="OA106" s="43" t="str">
        <f t="shared" si="335"/>
        <v>NORMAL</v>
      </c>
      <c r="OB106" s="43" t="str">
        <f t="shared" si="336"/>
        <v/>
      </c>
      <c r="OC106" s="43" t="str">
        <f t="shared" si="337"/>
        <v/>
      </c>
      <c r="OD106" s="43" t="str">
        <f t="shared" si="338"/>
        <v/>
      </c>
      <c r="OE106" s="43" t="str">
        <f t="shared" si="339"/>
        <v/>
      </c>
      <c r="OF106" s="43" t="str">
        <f t="shared" si="340"/>
        <v/>
      </c>
      <c r="OG106" s="43" t="str">
        <f t="shared" si="341"/>
        <v/>
      </c>
      <c r="OH106" s="43" t="str">
        <f t="shared" si="342"/>
        <v/>
      </c>
      <c r="OI106" s="43" t="str">
        <f t="shared" si="343"/>
        <v/>
      </c>
      <c r="OJ106" s="43" t="str">
        <f t="shared" si="344"/>
        <v/>
      </c>
      <c r="OK106" s="43" t="str">
        <f t="shared" si="345"/>
        <v/>
      </c>
      <c r="OL106" s="43" t="str">
        <f t="shared" si="346"/>
        <v/>
      </c>
      <c r="OM106" s="43" t="str">
        <f t="shared" si="347"/>
        <v/>
      </c>
      <c r="ON106" s="43" t="str">
        <f t="shared" si="348"/>
        <v/>
      </c>
      <c r="OO106" s="43" t="str">
        <f t="shared" si="349"/>
        <v/>
      </c>
      <c r="OP106" s="43" t="str">
        <f t="shared" si="350"/>
        <v/>
      </c>
      <c r="OQ106" s="43" t="str">
        <f t="shared" si="351"/>
        <v/>
      </c>
      <c r="OR106" s="43" t="str">
        <f t="shared" si="352"/>
        <v/>
      </c>
      <c r="OS106" s="43" t="str">
        <f t="shared" si="353"/>
        <v/>
      </c>
      <c r="OT106" s="43" t="str">
        <f t="shared" si="354"/>
        <v/>
      </c>
      <c r="OU106" s="43" t="str">
        <f t="shared" si="355"/>
        <v/>
      </c>
      <c r="OV106" s="110" t="str">
        <f t="shared" si="356"/>
        <v/>
      </c>
      <c r="OW106" s="43" t="str">
        <f t="shared" si="357"/>
        <v/>
      </c>
      <c r="OX106" s="43" t="str">
        <f t="shared" si="358"/>
        <v/>
      </c>
      <c r="OY106" s="43" t="str">
        <f t="shared" si="359"/>
        <v/>
      </c>
      <c r="OZ106" s="43" t="str">
        <f t="shared" si="360"/>
        <v/>
      </c>
      <c r="PA106" s="43" t="str">
        <f t="shared" si="361"/>
        <v/>
      </c>
      <c r="PB106" s="43" t="str">
        <f t="shared" si="362"/>
        <v/>
      </c>
      <c r="PC106" s="43" t="str">
        <f t="shared" si="363"/>
        <v/>
      </c>
      <c r="PD106" s="43" t="str">
        <f t="shared" si="364"/>
        <v/>
      </c>
      <c r="PE106" s="43" t="str">
        <f t="shared" si="365"/>
        <v/>
      </c>
      <c r="PF106" s="43" t="str">
        <f t="shared" si="366"/>
        <v/>
      </c>
      <c r="PG106" s="43" t="str">
        <f t="shared" si="367"/>
        <v/>
      </c>
      <c r="PH106" s="43" t="str">
        <f t="shared" si="368"/>
        <v/>
      </c>
      <c r="PI106" s="43">
        <f t="shared" si="369"/>
        <v>36</v>
      </c>
      <c r="PJ106" s="43" t="str">
        <f t="shared" si="370"/>
        <v/>
      </c>
      <c r="PK106" s="43" t="str">
        <f t="shared" si="371"/>
        <v/>
      </c>
      <c r="PL106" s="43" t="str">
        <f t="shared" si="372"/>
        <v/>
      </c>
      <c r="PM106" s="43" t="str">
        <f t="shared" si="373"/>
        <v/>
      </c>
      <c r="PN106" s="43" t="str">
        <f t="shared" si="374"/>
        <v/>
      </c>
      <c r="PO106" s="43" t="str">
        <f t="shared" si="375"/>
        <v/>
      </c>
      <c r="PP106" s="43" t="str">
        <f t="shared" si="376"/>
        <v/>
      </c>
      <c r="PQ106" s="43" t="str">
        <f t="shared" si="377"/>
        <v/>
      </c>
      <c r="PR106" s="43" t="str">
        <f t="shared" si="378"/>
        <v/>
      </c>
      <c r="PS106" s="43" t="str">
        <f t="shared" si="379"/>
        <v/>
      </c>
      <c r="PT106" s="43" t="str">
        <f t="shared" si="380"/>
        <v/>
      </c>
      <c r="PU106" s="43" t="str">
        <f t="shared" si="381"/>
        <v/>
      </c>
      <c r="PV106" s="43" t="str">
        <f t="shared" si="382"/>
        <v/>
      </c>
      <c r="PW106" s="43" t="str">
        <f t="shared" si="383"/>
        <v/>
      </c>
      <c r="PX106" s="43" t="str">
        <f t="shared" si="384"/>
        <v/>
      </c>
      <c r="PY106" s="43" t="str">
        <f t="shared" si="385"/>
        <v/>
      </c>
      <c r="PZ106" s="43" t="str">
        <f t="shared" si="386"/>
        <v/>
      </c>
      <c r="QA106" s="43" t="str">
        <f t="shared" si="387"/>
        <v/>
      </c>
      <c r="QB106" s="43" t="str">
        <f t="shared" si="388"/>
        <v/>
      </c>
      <c r="QC106" s="43" t="str">
        <f t="shared" si="389"/>
        <v/>
      </c>
      <c r="QD106" s="43" t="str">
        <f t="shared" si="390"/>
        <v/>
      </c>
      <c r="QE106" s="43" t="str">
        <f t="shared" si="391"/>
        <v/>
      </c>
      <c r="QF106" s="43" t="str">
        <f t="shared" si="392"/>
        <v/>
      </c>
      <c r="QG106" s="43" t="str">
        <f t="shared" si="393"/>
        <v/>
      </c>
      <c r="QH106" s="43" t="str">
        <f t="shared" si="394"/>
        <v/>
      </c>
      <c r="QI106" s="43" t="str">
        <f t="shared" si="395"/>
        <v/>
      </c>
      <c r="QJ106" s="43" t="str">
        <f t="shared" si="396"/>
        <v/>
      </c>
      <c r="QK106" s="43" t="str">
        <f t="shared" si="397"/>
        <v>NORMAL</v>
      </c>
      <c r="QL106" s="43" t="str">
        <f t="shared" si="398"/>
        <v/>
      </c>
      <c r="QM106" s="43" t="str">
        <f t="shared" si="399"/>
        <v/>
      </c>
      <c r="QN106" s="43" t="str">
        <f t="shared" si="400"/>
        <v/>
      </c>
      <c r="QO106" s="43" t="str">
        <f t="shared" si="401"/>
        <v/>
      </c>
      <c r="QP106" s="43" t="str">
        <f t="shared" si="402"/>
        <v/>
      </c>
      <c r="QQ106" s="43" t="str">
        <f t="shared" si="403"/>
        <v/>
      </c>
      <c r="QR106" s="43">
        <f t="shared" si="433"/>
        <v>36</v>
      </c>
      <c r="QS106" s="43"/>
      <c r="QT106" s="21" t="str">
        <f t="shared" si="404"/>
        <v/>
      </c>
      <c r="QU106" s="21" t="str">
        <f t="shared" si="405"/>
        <v/>
      </c>
      <c r="QV106" s="21" t="str">
        <f t="shared" si="406"/>
        <v/>
      </c>
      <c r="QW106" s="21" t="str">
        <f t="shared" si="407"/>
        <v/>
      </c>
      <c r="QX106" s="21" t="str">
        <f t="shared" si="408"/>
        <v/>
      </c>
      <c r="QY106" s="21" t="str">
        <f t="shared" si="409"/>
        <v/>
      </c>
      <c r="QZ106" s="21" t="str">
        <f t="shared" si="410"/>
        <v/>
      </c>
      <c r="RA106" s="21" t="str">
        <f t="shared" si="411"/>
        <v/>
      </c>
      <c r="RB106" s="21" t="str">
        <f t="shared" si="412"/>
        <v/>
      </c>
      <c r="RC106" s="21" t="str">
        <f t="shared" si="413"/>
        <v/>
      </c>
      <c r="RD106" s="21" t="str">
        <f t="shared" si="414"/>
        <v/>
      </c>
      <c r="RE106" s="21" t="str">
        <f t="shared" si="415"/>
        <v/>
      </c>
      <c r="RF106" s="21" t="str">
        <f t="shared" si="416"/>
        <v/>
      </c>
      <c r="RG106" s="21" t="str">
        <f t="shared" si="417"/>
        <v/>
      </c>
      <c r="RH106" s="21" t="str">
        <f t="shared" si="418"/>
        <v/>
      </c>
      <c r="RI106" s="21" t="str">
        <f t="shared" si="419"/>
        <v/>
      </c>
      <c r="RJ106" s="21" t="str">
        <f t="shared" si="420"/>
        <v/>
      </c>
      <c r="RK106" s="21" t="str">
        <f t="shared" si="421"/>
        <v/>
      </c>
      <c r="RL106" s="21" t="str">
        <f t="shared" si="422"/>
        <v/>
      </c>
      <c r="RM106" s="21" t="str">
        <f t="shared" si="423"/>
        <v/>
      </c>
      <c r="RN106" s="21" t="str">
        <f t="shared" si="424"/>
        <v/>
      </c>
      <c r="RO106" s="21" t="str">
        <f t="shared" si="425"/>
        <v/>
      </c>
      <c r="RP106" s="21" t="str">
        <f t="shared" si="426"/>
        <v/>
      </c>
      <c r="RQ106" s="21" t="str">
        <f t="shared" si="427"/>
        <v>ADECUADO PARA EDAD GESTACIONAL</v>
      </c>
      <c r="RR106" s="21" t="str">
        <f t="shared" si="428"/>
        <v/>
      </c>
      <c r="RS106" s="21" t="str">
        <f t="shared" si="429"/>
        <v/>
      </c>
      <c r="RT106" s="21" t="str">
        <f t="shared" si="430"/>
        <v/>
      </c>
      <c r="RU106" s="21" t="str">
        <f t="shared" si="431"/>
        <v/>
      </c>
      <c r="RV106" s="21">
        <f t="shared" si="432"/>
        <v>16</v>
      </c>
      <c r="RW106" s="284">
        <f>IF(OR(Tabla1[[#This Row],[FUM FORMULA CONFIABLE]]="",Tabla1[[#This Row],[FUM FORMULA CONFIABLE]]="SD"),"",IF(Tabla1[[#This Row],[FUM FORMULA CONFIABLE]]="CORREGIDA",Tabla1[[#This Row],[FUM X ECO 1]],Tabla1[[#This Row],[FUM x AMENORREA]]))</f>
        <v>44917</v>
      </c>
      <c r="RX106" s="21">
        <f>IF(AND(Tabla1[[#This Row],[FUM X ECO 1]]="",Tabla1[[#This Row],[FUM x AMENORREA]]=""),"",IF(AND(Tabla1[[#This Row],[FUM X ECO 1]]="",Tabla1[[#This Row],[FUM x AMENORREA]]&lt;&gt;""),"X",SUM(Tabla1[[#This Row],[FUM X ECO 1]]-Tabla1[[#This Row],[FUM x AMENORREA]])))</f>
        <v>5.9000000000014552</v>
      </c>
      <c r="RY106" s="21">
        <f t="shared" si="434"/>
        <v>0</v>
      </c>
    </row>
    <row r="107" spans="1:493" ht="45" customHeight="1" x14ac:dyDescent="0.25">
      <c r="A107" s="109"/>
      <c r="B107" s="43"/>
      <c r="C107" s="43" t="s">
        <v>845</v>
      </c>
      <c r="D107" s="124"/>
      <c r="E107" s="43" t="s">
        <v>914</v>
      </c>
      <c r="F107" s="43" t="s">
        <v>1318</v>
      </c>
      <c r="G107" s="43" t="s">
        <v>1319</v>
      </c>
      <c r="H107" s="43"/>
      <c r="I107" s="109" t="s">
        <v>851</v>
      </c>
      <c r="J107" s="110" t="s">
        <v>1320</v>
      </c>
      <c r="K107" s="43" t="s">
        <v>852</v>
      </c>
      <c r="L107" s="175" t="s">
        <v>853</v>
      </c>
      <c r="M107" s="22">
        <v>35924</v>
      </c>
      <c r="N107" s="213">
        <f t="shared" ca="1" si="252"/>
        <v>25.5013698630137</v>
      </c>
      <c r="O107" s="22">
        <v>44966</v>
      </c>
      <c r="P107" s="214" t="str">
        <f t="shared" si="438"/>
        <v>SI</v>
      </c>
      <c r="Q107" s="26" t="s">
        <v>855</v>
      </c>
      <c r="R107" s="22">
        <v>44966</v>
      </c>
      <c r="S107" s="21" t="s">
        <v>856</v>
      </c>
      <c r="T107" s="24" t="s">
        <v>690</v>
      </c>
      <c r="U107" s="21" t="s">
        <v>857</v>
      </c>
      <c r="V107" s="21" t="s">
        <v>858</v>
      </c>
      <c r="W107" s="21" t="s">
        <v>1321</v>
      </c>
      <c r="X107" s="21" t="s">
        <v>1321</v>
      </c>
      <c r="Y107" s="21" t="s">
        <v>859</v>
      </c>
      <c r="Z107" s="21">
        <v>3185483259</v>
      </c>
      <c r="AA107" s="21" t="s">
        <v>860</v>
      </c>
      <c r="AB107" s="27" t="s">
        <v>861</v>
      </c>
      <c r="AC107" s="26" t="s">
        <v>888</v>
      </c>
      <c r="AD107" s="38" t="s">
        <v>1546</v>
      </c>
      <c r="AE107" s="26" t="s">
        <v>854</v>
      </c>
      <c r="AF107" s="26" t="s">
        <v>854</v>
      </c>
      <c r="AG107" s="23" t="s">
        <v>864</v>
      </c>
      <c r="AH107" s="23" t="s">
        <v>864</v>
      </c>
      <c r="AI107" s="24" t="s">
        <v>863</v>
      </c>
      <c r="AJ107" s="23" t="s">
        <v>864</v>
      </c>
      <c r="AK107" s="220" t="str">
        <f>IF(AND(AD107="",AE107="",AF107="",AG107="",AH107="",AI107="",AJ107=""),"",IF(OR(Tabla1[[#This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EVALUACIÓN",IF(AND(O107="",R107=""),"",IF(AND(OR(O107&gt;0,R107&gt;0),NG107&gt;=0,NG107&lt;2),"SIN RIESGO",IF(AND(OR(O107&gt;0,R107&gt;0),NG107&gt;=2),"CON RIESGO","ASD")))))</f>
        <v>SIN RIESGO</v>
      </c>
      <c r="AL107" s="23" t="s">
        <v>864</v>
      </c>
      <c r="AM107" s="26" t="s">
        <v>864</v>
      </c>
      <c r="AN107" s="26" t="s">
        <v>864</v>
      </c>
      <c r="AO107" s="26" t="s">
        <v>864</v>
      </c>
      <c r="AP107" s="26" t="s">
        <v>864</v>
      </c>
      <c r="AQ107" s="26" t="s">
        <v>864</v>
      </c>
      <c r="AR107" s="26" t="s">
        <v>864</v>
      </c>
      <c r="AS107" s="21">
        <v>1</v>
      </c>
      <c r="AT107" s="21">
        <v>0</v>
      </c>
      <c r="AU107" s="21">
        <v>0</v>
      </c>
      <c r="AV107" s="26" t="s">
        <v>864</v>
      </c>
      <c r="AW107" s="21">
        <v>0</v>
      </c>
      <c r="AX107" s="26" t="s">
        <v>864</v>
      </c>
      <c r="AY107" s="26" t="s">
        <v>864</v>
      </c>
      <c r="AZ107" s="26" t="s">
        <v>864</v>
      </c>
      <c r="BA107" s="26" t="s">
        <v>864</v>
      </c>
      <c r="BB107" s="26" t="s">
        <v>864</v>
      </c>
      <c r="BC107" s="26" t="s">
        <v>864</v>
      </c>
      <c r="BD107" s="26" t="s">
        <v>864</v>
      </c>
      <c r="BE107" s="26" t="s">
        <v>864</v>
      </c>
      <c r="BF107" s="26" t="s">
        <v>864</v>
      </c>
      <c r="BG107" s="26" t="s">
        <v>864</v>
      </c>
      <c r="BH107" s="26" t="s">
        <v>864</v>
      </c>
      <c r="BI107" s="26" t="s">
        <v>864</v>
      </c>
      <c r="BJ107" s="26" t="s">
        <v>864</v>
      </c>
      <c r="BK107" s="26" t="s">
        <v>864</v>
      </c>
      <c r="BL107" s="26" t="s">
        <v>864</v>
      </c>
      <c r="BM107" s="26" t="s">
        <v>864</v>
      </c>
      <c r="BN107" s="22"/>
      <c r="BO107" s="22">
        <v>44919</v>
      </c>
      <c r="BP107" s="21" t="s">
        <v>854</v>
      </c>
      <c r="BQ107" s="222">
        <f t="shared" si="254"/>
        <v>0</v>
      </c>
      <c r="BR107" s="223">
        <f t="shared" si="255"/>
        <v>44919.8</v>
      </c>
      <c r="BS107" s="224">
        <f t="shared" si="256"/>
        <v>6.7142857142857144</v>
      </c>
      <c r="BT107" s="216" t="str">
        <f t="shared" si="257"/>
        <v>I TRIM</v>
      </c>
      <c r="BU107" s="214" t="str">
        <f t="shared" ca="1" si="258"/>
        <v/>
      </c>
      <c r="BV107" s="25"/>
      <c r="BW107" s="22">
        <v>45008</v>
      </c>
      <c r="BX107" s="28">
        <v>12.6</v>
      </c>
      <c r="BY107" s="28"/>
      <c r="BZ107" s="22">
        <v>45009</v>
      </c>
      <c r="CA107" s="21">
        <v>12.6</v>
      </c>
      <c r="CB107" s="26" t="s">
        <v>864</v>
      </c>
      <c r="CC107" s="26" t="s">
        <v>864</v>
      </c>
      <c r="CD107" s="26"/>
      <c r="CE107" s="26" t="s">
        <v>864</v>
      </c>
      <c r="CF107" s="22" t="s">
        <v>1517</v>
      </c>
      <c r="CG107" s="21">
        <v>1.52</v>
      </c>
      <c r="CH107" s="21">
        <v>56</v>
      </c>
      <c r="CI107" s="214">
        <f t="shared" si="259"/>
        <v>24.238227146814403</v>
      </c>
      <c r="CJ107" s="225" t="str">
        <f>IF(AND(CI107&lt;10,CH107="SD"),"SIN DATO PESO PREGESTACION O I TRIM",IF(AND(OR(R107&gt;0,O107&gt;0),CI107="X"),"INGRESAR DATO DE PESO",IF(CI107="SD","INGRESAR DATO DE TALLA Y PESO",IF(AND(OR(Tabla1[[#This Row],[MOMENTO EN QUE SE REALIZA EL PESO AL INGRESO A CPN]]="PREGESTACIÓN",NZ107="Menor"),CI107&lt;18.5),"BAJO PESO",IF(AND(OR(Tabla1[[#This Row],[MOMENTO EN QUE SE REALIZA EL PESO AL INGRESO A CPN]]="PREGESTACIÓN",NZ107="Menor"),CI107&lt;25),"NORMAL",IF(AND(OR(Tabla1[[#This Row],[MOMENTO EN QUE SE REALIZA EL PESO AL INGRESO A CPN]]="PREGESTACIÓN",NZ107="Menor"),CI107&lt;30),"SOBREPESO",IF(AND(OR(Tabla1[[#This Row],[MOMENTO EN QUE SE REALIZA EL PESO AL INGRESO A CPN]]="PREGESTACIÓN",NZ107="Menor"),CI107&gt;=30,CI107&lt;50),"OBESIDAD",IF(AND(BS107&gt;0,Tabla1[[#This Row],[MOMENTO EN QUE SE REALIZA EL PESO AL INGRESO A CPN]]="GESTACIÓN"),HLOOKUP(NZ107,$OA$2:PH107,NY107),""))))))))</f>
        <v>NORMAL</v>
      </c>
      <c r="CK107" s="212">
        <f t="shared" si="260"/>
        <v>45127</v>
      </c>
      <c r="CL107" s="21">
        <v>63</v>
      </c>
      <c r="CM107" s="214">
        <f t="shared" si="261"/>
        <v>27.268005540166204</v>
      </c>
      <c r="CN107" s="216">
        <f t="shared" si="262"/>
        <v>29</v>
      </c>
      <c r="CO107" s="216" t="e">
        <f>IF(PI107="","",IF(PI107&gt;0,HLOOKUP(PI107,$PJ$2:QQ107,NY107),""))</f>
        <v>#REF!</v>
      </c>
      <c r="CP107" s="21">
        <v>28</v>
      </c>
      <c r="CQ107" s="216" t="e">
        <f>IF(QR107="Menor","NO APLICA-MENOR 13 SEM",IF(AND(CC107="SI",CN107&gt;23),"NO APLICA- GEMELAR",IF(QR107="","",IF(QR107&gt;0,HLOOKUP(QR107,$QS$2:RU107,NY107),""))))</f>
        <v>#REF!</v>
      </c>
      <c r="CR107" s="21">
        <v>120</v>
      </c>
      <c r="CS107" s="21">
        <v>80</v>
      </c>
      <c r="CT107" s="217" t="str">
        <f>IF(R107="","",IF(AND(BS107&gt;1,BS107&lt;12,Tabla1[[#This Row],[T.A. SISTOLICA - ANTES DE SEMANA 12]]="",Tabla1[[#This Row],[T.A. DIASTOLICA - ANTES DE SEMANA 12]]=""),"REGISTRE DATO TA ANTES SEMANA 12",IF(AND(BS107&gt;11,BS107&lt;43,Tabla1[[#This Row],[T.A. SISTOLICA - ANTES DE SEMANA 12]]="",Tabla1[[#This Row],[T.A. DIASTOLICA - ANTES DE SEMANA 12]]=""),"NO APLICA REGISTRO TA-INGRESO TARDIO",IF(AND(OR(O107&gt;0,R107&gt;0),OR(CR107&gt;=140,CS107&gt;=90)),"DEFINIR ESTADIO HTA",IF(AND(OR(O107&gt;0,R107&gt;0),AND(CR107&gt;120,CR107&lt;=139)),"PRE HTA SEGUIMIENTO",IF(AND(OR(O107&gt;0,R107&gt;0),AND(CS107&gt;80,CS107&lt;=89)),"PRE HTA SEGUIMIENTO",IF(AND(OR(O107&gt;0,R107&gt;0),AND(CR107&gt;=80,CR107&lt;=120)),"APARENTEMENTE NORMAL",IF(AND(OR(O107&gt;0,R107&gt;0),AND(CS107&gt;=50,CS107&lt;=80)),"APARENTEMENTE NORMAL",IF(AND(OR(O107&gt;0,R107&gt;0),AND(CR107&gt;1,CR107&lt;=70),AND(CS107&gt;1,CS107&lt;=40)),"HIPOTENSIÓN","")))))))))</f>
        <v>APARENTEMENTE NORMAL</v>
      </c>
      <c r="CU107" s="21">
        <v>90</v>
      </c>
      <c r="CV107" s="21">
        <v>60</v>
      </c>
      <c r="CW107" s="217" t="str">
        <f ca="1">IF(R107="","",IF(AND(CN107&gt;19,CN107&lt;27,Tabla1[[#This Row],[T.A. SISTOLICA (Entre semana 20 y 26)]]="",Tabla1[[#This Row],[T.A. DIATOLICA (Entre semana 20 y 26)]]=""),"ACUDE A CONTROL SEM 20 A 26 REGISTRE TA AHORA",IF(AND(BS107&gt;1,BS107&lt;27,BU107&gt;19,Tabla1[[#This Row],[T.A. SISTOLICA (Entre semana 20 y 26)]]="",Tabla1[[#This Row],[T.A. DIATOLICA (Entre semana 20 y 26)]]=""),"COMPLETE REGISTRO TA CONTROL SEM 20 A26 ",IF(AND(BS107&gt;26,BS107&lt;43,Tabla1[[#This Row],[T.A. SISTOLICA (Entre semana 20 y 26)]]="",Tabla1[[#This Row],[T.A. DIATOLICA (Entre semana 20 y 26)]]=""),"NO APLICA REGISTRO TA-INGRESO TARDIO",IF(AND(OR(O107&gt;0,R107&gt;0),OR(CU107&gt;=140,CV107&gt;=90)),"ALTO RIESGO PREECLAMPSIA,DEFINIR ESTADIO HTA",IF(AND(OR(O107&gt;0,R107&gt;0),AND(CU107&gt;120,CU107&lt;=139)),"PRE HTA SEGUIMIENTO,RIESGO HIPERTENSION INDUCIDA POR EL EMBARAZO",IF(AND(OR(O107&gt;0,R107&gt;0),AND(CV107&gt;80,CV107&lt;=89)),"PRE HTA SEGUIMIENTO, RIESGO HIPERTENSION INDUCIDA POR EL EMBARAZO",IF(AND(OR(O107&lt;&gt;"",R107&lt;&gt;""),CS107&lt;&gt;"",CV107&lt;&gt;"",CS107&lt;=CV107),"VIGILAR CIFRAS PRESION ARTERIAL",IF(AND(OR(O107&gt;0,R107&gt;0),AND(CU107&gt;120,CU107&lt;=139)),"PRE HTA SEGUIMIENTO",IF(AND(OR(O107&gt;0,R107&gt;0),AND(CU107&gt;1,CU107&lt;=70),AND(CV107&gt;1,CV107&lt;=40)),"HIPOTENSIÓN",IF(AND(OR(O107&lt;&gt;"",R107&lt;&gt;""),CS107&lt;&gt;"",CV107&lt;&gt;"",CS107&gt;CV107),"APARENTEMENTE NORMAL",IF(AND(OR(O107&gt;0,R107&gt;0),AND(CU107&gt;=80,CU107&lt;=120)),"APARENTEMENTE NORMAL",IF(AND(OR(O107&gt;0,R107&gt;0),AND(CV107&gt;=50,CV107&lt;=80)),"APARENTEMENTE NORMAL","")))))))))))))</f>
        <v>APARENTEMENTE NORMAL</v>
      </c>
      <c r="CX107" s="21"/>
      <c r="CY107" s="21"/>
      <c r="CZ107" s="216" t="str">
        <f t="shared" si="457"/>
        <v/>
      </c>
      <c r="DA107" s="21">
        <v>100</v>
      </c>
      <c r="DB107" s="21">
        <v>60</v>
      </c>
      <c r="DC107" s="217" t="str">
        <f t="shared" si="264"/>
        <v>APARENTEMENTE NORMAL</v>
      </c>
      <c r="DD107" s="22">
        <v>44966</v>
      </c>
      <c r="DE107" s="22">
        <v>44966</v>
      </c>
      <c r="DF107" s="22">
        <v>44988</v>
      </c>
      <c r="DG107" s="22">
        <v>45017</v>
      </c>
      <c r="DH107" s="22">
        <v>45048</v>
      </c>
      <c r="DI107" s="22">
        <v>45091</v>
      </c>
      <c r="DJ107" s="22">
        <v>45127</v>
      </c>
      <c r="DK107" s="22"/>
      <c r="DL107" s="22"/>
      <c r="DM107" s="22"/>
      <c r="DN107" s="22"/>
      <c r="DO107" s="22"/>
      <c r="DP107" s="22"/>
      <c r="DQ107" s="22"/>
      <c r="DR107" s="28">
        <v>1</v>
      </c>
      <c r="DS107" s="22"/>
      <c r="DT107" s="22"/>
      <c r="DU107" s="216" t="str">
        <f t="shared" ca="1" si="439"/>
        <v>CONCERTAR PLAN DE PARTO INMEDIATO</v>
      </c>
      <c r="DV107" s="226" t="str">
        <f t="shared" si="440"/>
        <v>ACTIVA INGRESO A CPN</v>
      </c>
      <c r="DW10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07" s="216" t="e">
        <f t="shared" ca="1" si="266"/>
        <v>#REF!</v>
      </c>
      <c r="DY107" s="212">
        <f>IF(R107="","",IF(R107&gt;0,MAX(Tabla1[[#This Row],[FECHA C2]:[FECHA C13]],Tabla1[[#This Row],[FECHA CONSULTA PRIMERA VEZ PROGRAMA CPN ]])))</f>
        <v>45127</v>
      </c>
      <c r="DZ107" s="216">
        <f t="shared" si="267"/>
        <v>29</v>
      </c>
      <c r="EA107" s="222">
        <f>IF(R107&gt;0,SUM(COUNTA(DF107:DQ107)+COUNTA(Tabla1[[#This Row],[FECHA CONSULTA PRIMERA VEZ PROGRAMA CPN ]])),"")</f>
        <v>6</v>
      </c>
      <c r="EB107" s="222" t="str">
        <f t="shared" si="268"/>
        <v>SI</v>
      </c>
      <c r="EC107" s="214">
        <f t="shared" si="269"/>
        <v>10</v>
      </c>
      <c r="ED107" s="227">
        <f t="shared" si="270"/>
        <v>0.6</v>
      </c>
      <c r="EE107" s="22">
        <v>44966</v>
      </c>
      <c r="EF107" s="22">
        <v>44966</v>
      </c>
      <c r="EG107" s="22">
        <v>44966</v>
      </c>
      <c r="EH107" s="22">
        <v>45006</v>
      </c>
      <c r="EI107" s="22">
        <v>44966</v>
      </c>
      <c r="EJ107" s="22">
        <v>45040</v>
      </c>
      <c r="EK107" s="22">
        <v>45040</v>
      </c>
      <c r="EL107" s="21">
        <v>1</v>
      </c>
      <c r="EM107" s="21">
        <v>13.8</v>
      </c>
      <c r="EN107" s="22">
        <v>44967</v>
      </c>
      <c r="EO107" s="222">
        <f t="shared" si="271"/>
        <v>6.8571428571428568</v>
      </c>
      <c r="EP107" s="214" t="str">
        <f t="shared" si="272"/>
        <v>NORMAL- SUMINISTRAR SULFATO FERROSO</v>
      </c>
      <c r="EQ107" s="216" t="str">
        <f t="shared" si="273"/>
        <v>I TRIM</v>
      </c>
      <c r="ER107" s="24"/>
      <c r="ES107" s="22"/>
      <c r="ET107" s="29" t="str">
        <f t="shared" ca="1" si="441"/>
        <v>TOMA DE HEMOGLOBINA TARDÍA</v>
      </c>
      <c r="EU107" s="25" t="str">
        <f t="shared" si="275"/>
        <v/>
      </c>
      <c r="EV107" s="24" t="s">
        <v>1510</v>
      </c>
      <c r="EW107" s="24">
        <v>44967</v>
      </c>
      <c r="EX107" s="22"/>
      <c r="EY107" s="29">
        <f t="shared" si="454"/>
        <v>6.8571428571428568</v>
      </c>
      <c r="EZ107" s="25" t="str">
        <f t="shared" si="455"/>
        <v>SIN RIESGO DE ISOINMUNIZACIÓN</v>
      </c>
      <c r="FA107" s="21">
        <v>77</v>
      </c>
      <c r="FB107" s="22">
        <v>44967</v>
      </c>
      <c r="FC107" s="29">
        <f t="shared" si="276"/>
        <v>6.8571428571428568</v>
      </c>
      <c r="FD107" s="29"/>
      <c r="FE107" s="29"/>
      <c r="FF107" s="29"/>
      <c r="FG107" s="21" t="str">
        <f t="shared" ca="1" si="277"/>
        <v/>
      </c>
      <c r="FH107" s="31"/>
      <c r="FI107" s="29" t="str">
        <f t="shared" si="278"/>
        <v>TOMAR EXAMEN</v>
      </c>
      <c r="FJ107" s="22" t="s">
        <v>867</v>
      </c>
      <c r="FK107" s="22">
        <v>44967</v>
      </c>
      <c r="FL107" s="29">
        <f t="shared" ca="1" si="279"/>
        <v>6.8571428571428568</v>
      </c>
      <c r="FM107" s="22" t="s">
        <v>867</v>
      </c>
      <c r="FN107" s="32">
        <v>45028</v>
      </c>
      <c r="FO107" s="29">
        <f t="shared" ca="1" si="442"/>
        <v>15.571428571428571</v>
      </c>
      <c r="FP107" s="22"/>
      <c r="FQ107" s="32"/>
      <c r="FR107" s="29" t="str">
        <f t="shared" ca="1" si="443"/>
        <v>TOMA INMEDIATA DE TAMIZAJE</v>
      </c>
      <c r="FS107" s="22"/>
      <c r="FT107" s="32"/>
      <c r="FU107" s="29" t="str">
        <f>IF(AND(FJ107="",FM107="",FP107="",FS107=""),"",IF(OR(OR(Tabla1[[#This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07" s="28"/>
      <c r="FW107" s="22"/>
      <c r="FX107" s="29" t="str">
        <f t="shared" si="280"/>
        <v>TOMAR EXAMEN</v>
      </c>
      <c r="FY107" s="22"/>
      <c r="FZ107" s="22"/>
      <c r="GA107" s="29" t="str">
        <f t="shared" ca="1" si="453"/>
        <v>PIERDE TOMA DE TAMIZAJE</v>
      </c>
      <c r="GB107" s="22" t="s">
        <v>868</v>
      </c>
      <c r="GC107" s="22">
        <v>45028</v>
      </c>
      <c r="GD107" s="29">
        <f t="shared" ca="1" si="444"/>
        <v>15.571428571428571</v>
      </c>
      <c r="GE107" s="22"/>
      <c r="GF107" s="22"/>
      <c r="GG107" s="29" t="str">
        <f t="shared" ca="1" si="445"/>
        <v>TOMA INMEDIATA DE TAMIZAJE</v>
      </c>
      <c r="GH107" s="22"/>
      <c r="GI107" s="29"/>
      <c r="GJ107" s="22"/>
      <c r="GK107" s="22"/>
      <c r="GL107" s="22"/>
      <c r="GM107" s="22"/>
      <c r="GN107" s="28" t="s">
        <v>869</v>
      </c>
      <c r="GO107" s="22">
        <v>45028</v>
      </c>
      <c r="GP107" s="29">
        <f t="shared" si="283"/>
        <v>15.571428571428571</v>
      </c>
      <c r="GQ107" s="28" t="s">
        <v>880</v>
      </c>
      <c r="GR107" s="28" t="s">
        <v>869</v>
      </c>
      <c r="GS107" s="22" t="str">
        <f t="shared" si="458"/>
        <v>SE EXCLUYE INFECCION</v>
      </c>
      <c r="GT107" s="22">
        <v>45028</v>
      </c>
      <c r="GU107" s="29">
        <f t="shared" si="285"/>
        <v>15.571428571428571</v>
      </c>
      <c r="GV107" s="21" t="str">
        <f t="shared" si="286"/>
        <v>II TRIM</v>
      </c>
      <c r="GW107" s="28"/>
      <c r="GX107" s="30"/>
      <c r="GY107" s="21"/>
      <c r="GZ107" s="21"/>
      <c r="HA107" s="21"/>
      <c r="HB107" s="21"/>
      <c r="HC107" s="21"/>
      <c r="HD107" s="21"/>
      <c r="HE107" s="21"/>
      <c r="HF107" s="22"/>
      <c r="HG107" s="22" t="str">
        <f>IF(OR(O107&gt;0,R107&gt;0),CONCATENATE(IF(Tabla1[[#This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07" s="22" t="e">
        <f t="shared" si="287"/>
        <v>#REF!</v>
      </c>
      <c r="HI107" s="22" t="e">
        <f t="shared" ca="1" si="288"/>
        <v>#REF!</v>
      </c>
      <c r="HJ107" s="21" t="str">
        <f t="shared" ca="1" si="289"/>
        <v>**********************MULTIPARIDAD*****************</v>
      </c>
      <c r="HK107" s="21" t="str">
        <f t="shared" si="290"/>
        <v>SIN ANTECEDENTES DE RIESGO</v>
      </c>
      <c r="HL107" s="24" t="str">
        <f t="shared" si="291"/>
        <v>APARENTEMENTE NORMAL</v>
      </c>
      <c r="HM107" s="21" t="e">
        <f t="shared" ca="1" si="292"/>
        <v>#REF!</v>
      </c>
      <c r="HN107" s="30" t="str">
        <f t="shared" si="446"/>
        <v>ACTIVA INGRESO A CPN</v>
      </c>
      <c r="HO107" s="21"/>
      <c r="HP107" s="21"/>
      <c r="HQ107" s="349">
        <v>44988</v>
      </c>
      <c r="HR107" s="21" t="str">
        <f>IF(R107="","",IF(Tabla1[[#This Row],[ALARMA FACTORES DE RIESGO COMPLICACIONES HIPERTENSIVAS3]]="SIN ANTECEDENTES DE RIESGO","No Aplica para suministro de ASA",IF(AND(Tabla1[[#This Row],[FECHA INICIO DE SUMINISTRO DE ASA]]&gt;0,RV107&lt;12),"Inicia ASA ANTES de Sem 12",IF(AND(RV107&gt;11,RV107&lt;17,OR(HK107="RIESGO ALTO DE COMPLICACIONES HIPERTENSIVAS VER MANEJO GUIA SUMINISTRO ASA Y CALCIO",HK107="RIESGO MODERADO (2 O MAS CRITERIOS) VER MANEJO GUIA SUMINISTRO ASA Y CALCIO")),"Inicio oportuno de ASA",IF(AND(RV107&gt;12,OR(HK107="RIESGO ALTO DE COMPLICACIONES HIPERTENSIVAS VER MANEJO GUIA SUMINISTRO ASA Y CALCIO",HK107="RIESGO MODERADO (2 O MAS CRITERIOS) VER MANEJO GUIA SUMINISTRO ASA Y CALCIO")),"Inicio no oportuno mayor a 16 semanas",IF(AND(BU107&lt;12,OR(HK107="RIESGO ALTO DE COMPLICACIONES HIPERTENSIVAS VER MANEJO GUIA SUMINISTRO ASA Y CALCIO",HK107="RIESGO MODERADO (2 O MAS CRITERIOS) VER MANEJO GUIA SUMINISTRO ASA Y CALCIO")),"Pendiente Inicio de ASA a la semana 12",IF(AND(BU107&gt;11,BU107&lt;17,OR(HK107="RIESGO ALTO DE COMPLICACIONES HIPERTENSIVAS VER MANEJO GUIA SUMINISTRO ASA Y CALCIO",HK107="RIESGO MODERADO (2 O MAS CRITERIOS) VER MANEJO GUIA SUMINISTRO ASA Y CALCIO")),"Iniciar de inmediato ASA",IF(AND(BU107&gt;16,OR(HK107="RIESGO ALTO DE COMPLICACIONES HIPERTENSIVAS VER MANEJO GUIA SUMINISTRO ASA Y CALCIO",HK107="RIESGO MODERADO (2 O MAS CRITERIOS) VER MANEJO GUIA SUMINISTRO ASA Y CALCIO")),"Pierde Oportunidad, Inicio tardío de ASA","XXXXX"))))))))</f>
        <v>No Aplica para suministro de ASA</v>
      </c>
      <c r="HS107" s="22">
        <v>44988</v>
      </c>
      <c r="HT107" s="22" t="s">
        <v>870</v>
      </c>
      <c r="HU107" s="22">
        <v>44988</v>
      </c>
      <c r="HV107" s="22" t="s">
        <v>870</v>
      </c>
      <c r="HW107" s="22">
        <v>44988</v>
      </c>
      <c r="HX107" s="22" t="s">
        <v>870</v>
      </c>
      <c r="HY107" s="22">
        <v>44979</v>
      </c>
      <c r="HZ107" s="28">
        <f t="shared" si="293"/>
        <v>8.5714285714285712</v>
      </c>
      <c r="IA107" s="26"/>
      <c r="IB107" s="26"/>
      <c r="IC107" s="111"/>
      <c r="ID107" s="22"/>
      <c r="IE107" s="22" t="str">
        <f t="shared" ca="1" si="294"/>
        <v/>
      </c>
      <c r="IF107" s="22"/>
      <c r="IG107" s="22">
        <f t="shared" si="295"/>
        <v>45199</v>
      </c>
      <c r="IH107" s="29">
        <f t="shared" ca="1" si="296"/>
        <v>-33</v>
      </c>
      <c r="II107" s="22" t="str">
        <f t="shared" ca="1" si="297"/>
        <v>POSIBLEMENTE NACIO</v>
      </c>
      <c r="IJ107" s="22"/>
      <c r="IK107" s="21"/>
      <c r="IL107" s="21"/>
      <c r="IM107" s="34"/>
      <c r="IN107" s="22"/>
      <c r="IO107" s="21"/>
      <c r="IP107" s="29" t="str">
        <f t="shared" ref="IP107:IP138" si="490">IF(AND(IN107&gt;0,IK107&lt;&gt;""),SUM(IN107-RW107)/7,"")</f>
        <v/>
      </c>
      <c r="IQ107" s="110"/>
      <c r="IR107" s="21"/>
      <c r="IS107" s="21"/>
      <c r="IT107" s="21"/>
      <c r="IU107" s="21"/>
      <c r="IV107" s="21"/>
      <c r="IW107" s="21"/>
      <c r="IX107" s="21"/>
      <c r="IY107" s="21"/>
      <c r="IZ107" s="21"/>
      <c r="JA107" s="21"/>
      <c r="JB107" s="30"/>
      <c r="JC107" s="21"/>
      <c r="JD107" s="36"/>
      <c r="JE107" s="21" t="str">
        <f t="shared" si="447"/>
        <v/>
      </c>
      <c r="JF107" s="30"/>
      <c r="JG107" s="21"/>
      <c r="JH107" s="21"/>
      <c r="JI107" s="21"/>
      <c r="JJ107" s="30"/>
      <c r="JK107" s="22"/>
      <c r="JL107" s="22"/>
      <c r="JM107" s="21"/>
      <c r="JN107" s="36"/>
      <c r="JO107" s="21" t="str">
        <f t="shared" si="448"/>
        <v/>
      </c>
      <c r="JP107" s="22"/>
      <c r="JQ107" s="21"/>
      <c r="JR107" s="21"/>
      <c r="JS107" s="21"/>
      <c r="JT107" s="30"/>
      <c r="JU107" s="22"/>
      <c r="JV107" s="22"/>
      <c r="JW107" s="33"/>
      <c r="JX107" s="28" t="str">
        <f t="shared" si="449"/>
        <v/>
      </c>
      <c r="JY107" s="33"/>
      <c r="JZ107" s="28" t="str">
        <f t="shared" si="450"/>
        <v/>
      </c>
      <c r="KA107" s="21"/>
      <c r="KB107" s="21"/>
      <c r="KC107" s="21"/>
      <c r="KD107" s="37"/>
      <c r="KE107" s="28"/>
      <c r="KF107" s="28"/>
      <c r="KG107" s="28"/>
      <c r="KH107" s="39"/>
      <c r="KI107" s="39"/>
      <c r="KJ107" s="66"/>
      <c r="KK107" s="39"/>
      <c r="KL107" s="39"/>
      <c r="KM107" s="66"/>
      <c r="KN107" s="39"/>
      <c r="KO107" s="39"/>
      <c r="KP107" s="39"/>
      <c r="KQ107" s="39"/>
      <c r="KR107" s="39"/>
      <c r="KS107" s="39"/>
      <c r="KT107" s="39"/>
      <c r="KU107" s="38"/>
      <c r="KV107" s="38"/>
      <c r="KW107" s="38"/>
      <c r="KX107" s="38"/>
      <c r="KY107" s="38"/>
      <c r="KZ107" s="38"/>
      <c r="LA107" s="38"/>
      <c r="LB107" s="38"/>
      <c r="LC107" s="38"/>
      <c r="LD107" s="38"/>
      <c r="LE107" s="38"/>
      <c r="LF107" s="38"/>
      <c r="LG107" s="38"/>
      <c r="LH107" s="38"/>
      <c r="LI107" s="38"/>
      <c r="LJ107" s="38"/>
      <c r="LK107" s="38"/>
      <c r="LL107" s="38"/>
      <c r="LM107" s="38"/>
      <c r="LN107" s="38"/>
      <c r="LO107" s="38"/>
      <c r="LP107" s="38"/>
      <c r="LQ107" s="38"/>
      <c r="LR107" s="38"/>
      <c r="LS107" s="38"/>
      <c r="LT107" s="38"/>
      <c r="LU107" s="38"/>
      <c r="LV107" s="38"/>
      <c r="LW107" s="38"/>
      <c r="LX107" s="38"/>
      <c r="LY107" s="38"/>
      <c r="LZ107" s="38"/>
      <c r="MA107" s="38"/>
      <c r="MB107" s="38"/>
      <c r="MC107" s="38"/>
      <c r="MD107" s="38"/>
      <c r="ME107" s="38"/>
      <c r="MF107" s="38"/>
      <c r="MG107" s="38"/>
      <c r="MH107" s="43">
        <f t="shared" si="459"/>
        <v>0</v>
      </c>
      <c r="MI107" s="43" t="str">
        <f t="shared" si="460"/>
        <v/>
      </c>
      <c r="MJ107" s="43" t="str">
        <f t="shared" si="461"/>
        <v/>
      </c>
      <c r="MK107" s="43">
        <f t="shared" si="462"/>
        <v>0</v>
      </c>
      <c r="ML10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07" s="43">
        <f t="shared" si="463"/>
        <v>6.7142857142857144</v>
      </c>
      <c r="MN107" s="43">
        <f t="shared" si="464"/>
        <v>2</v>
      </c>
      <c r="MO107" s="43">
        <f t="shared" si="465"/>
        <v>2023</v>
      </c>
      <c r="MP107" s="43" t="str">
        <f t="shared" si="466"/>
        <v>I TRIMESTRE AÑO</v>
      </c>
      <c r="MQ107" s="43">
        <f t="shared" si="467"/>
        <v>24.392247043363994</v>
      </c>
      <c r="MR107" s="43">
        <f t="shared" si="468"/>
        <v>0</v>
      </c>
      <c r="MS107" s="43" t="str">
        <f t="shared" si="469"/>
        <v xml:space="preserve"> DE 20 A 24 AÑOS</v>
      </c>
      <c r="MT107" s="43">
        <f t="shared" si="470"/>
        <v>0</v>
      </c>
      <c r="MU107" s="43">
        <f t="shared" si="471"/>
        <v>1</v>
      </c>
      <c r="MV107" s="43">
        <f t="shared" si="472"/>
        <v>0</v>
      </c>
      <c r="MW107" s="43">
        <f t="shared" si="473"/>
        <v>0</v>
      </c>
      <c r="MX107" s="43" t="str">
        <f t="shared" si="474"/>
        <v/>
      </c>
      <c r="MY107" s="43" t="str">
        <f t="shared" ca="1" si="451"/>
        <v/>
      </c>
      <c r="MZ107" s="43" t="str">
        <f t="shared" si="475"/>
        <v/>
      </c>
      <c r="NA107" s="43" t="str">
        <f t="shared" si="476"/>
        <v/>
      </c>
      <c r="NB107" s="43" t="str">
        <f t="shared" si="477"/>
        <v/>
      </c>
      <c r="NC107" s="43" t="str">
        <f t="shared" si="478"/>
        <v/>
      </c>
      <c r="ND107" s="43">
        <f t="shared" ca="1" si="479"/>
        <v>1</v>
      </c>
      <c r="NE107" s="43">
        <f>IF(OR(O107&gt;0,R107&gt;0),SUM(COUNTIF(Tabla1[[#This Row],[AÑOS AL INICIO5 CPN]],"&gt;=40"),COUNTIF(AS107,"0"),COUNTIF(AR107,"SI"),COUNTIF(CC107,"SI"),COUNTIF(BQ107,"&gt;119"),COUNTIF(CI107,"&gt;=35")),"")</f>
        <v>0</v>
      </c>
      <c r="NF107" s="43" t="str">
        <f t="shared" si="480"/>
        <v/>
      </c>
      <c r="NG107" s="43">
        <f t="shared" si="481"/>
        <v>0</v>
      </c>
      <c r="NH107" s="43">
        <f t="shared" si="482"/>
        <v>88.2</v>
      </c>
      <c r="NI10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CPN",P107="NO"),"Z",IF(AND(Tabla1[[#This Row],[CITA PROXIMO CONTROL]]="CITA MANUAL",Tabla1[[#This Row],[GESTANTES ACTUALES]]="ACTIVA INGRESO A CPN"),"W",IF(AND(Tabla1[[#This Row],[GESTANTES ACTUALES]]="SALIO PROGRAMA",IN107=""),"S",IF(AND(Tabla1[[#This Row],[CITA PROXIMO CONTROL]]&gt;0,IN107=""),(Tabla1[[#This Row],[CITA PROXIMO CONTROL]]-TODAY()),"SD"))))))))</f>
        <v>#REF!</v>
      </c>
      <c r="NJ107" s="43">
        <f>MONTH(Tabla1[[#This Row],[FECHA DE SALIDA  DEL PROGRAMA]])</f>
        <v>1</v>
      </c>
      <c r="NK107" s="43">
        <f>YEAR(Tabla1[[#This Row],[FECHA DE SALIDA  DEL PROGRAMA]])</f>
        <v>1900</v>
      </c>
      <c r="NL107" s="43">
        <f t="shared" si="483"/>
        <v>74</v>
      </c>
      <c r="NM107" s="43" t="str">
        <f t="shared" si="456"/>
        <v>NO</v>
      </c>
      <c r="NN107" s="43" t="str">
        <f ca="1">IF(AND(O107&gt;0,R107=""),"NO CPN",IF(AND(O107="",R107=""),"",IF(AND(R107&gt;0,Tabla1[[#This Row],[SEMANAS DE GESTACION ACTUALIZADAS]]&lt;=12),"NO APLICA",IF(AND(FH107&lt;&gt;"",FN107&lt;&gt;""),"SI","NO"))))</f>
        <v>NO</v>
      </c>
      <c r="NO107" s="43" t="str">
        <f ca="1">IF(AND(O107&gt;0,R107=""),"NO CPN",IF(AND(O107="",R107=""),"",IF(AND(R107&gt;0,Tabla1[[#This Row],[SEMANAS DE GESTACION ACTUALIZADAS]]&lt;=27),"NO APLICA",IF(AND(ES107&lt;&gt;"",FQ107&lt;&gt;"",GF107&lt;&gt;""),"SI","NO"))))</f>
        <v>NO</v>
      </c>
      <c r="NP107" s="204" t="str">
        <f t="shared" si="484"/>
        <v>I TRIM</v>
      </c>
      <c r="NQ107" s="21" t="str">
        <f t="shared" si="437"/>
        <v/>
      </c>
      <c r="NR107" s="21" t="str">
        <f t="shared" ca="1" si="452"/>
        <v>REVISAR FUM O FECHA SALIDA PROGRAMA</v>
      </c>
      <c r="NS107" s="205">
        <f t="shared" ca="1" si="485"/>
        <v>2</v>
      </c>
      <c r="NT107" s="21">
        <f t="shared" ca="1" si="486"/>
        <v>1</v>
      </c>
      <c r="NU107" s="21" t="str">
        <f t="shared" ca="1" si="487"/>
        <v>POR DEFINIR</v>
      </c>
      <c r="NV107" s="21" t="str">
        <f t="shared" ca="1" si="488"/>
        <v>POR DEFINIR</v>
      </c>
      <c r="NW107" s="206" t="str">
        <f>IF(AND(O107="",R107=""),"",IF(OR(AND(Tabla1[[#This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07" s="207" t="str">
        <f t="shared" ca="1" si="489"/>
        <v>SIN VACUNAR</v>
      </c>
      <c r="NY107" s="43">
        <f>ROW(Tabla1[[#This Row],['# DE TAMIZAJES SIFILIS TOMADOS ]])</f>
        <v>107</v>
      </c>
      <c r="NZ107" s="43" t="str">
        <f t="shared" si="334"/>
        <v>Menor</v>
      </c>
      <c r="OA107" s="43" t="str">
        <f t="shared" si="335"/>
        <v>NORMAL</v>
      </c>
      <c r="OB107" s="43" t="str">
        <f t="shared" si="336"/>
        <v/>
      </c>
      <c r="OC107" s="43" t="str">
        <f t="shared" si="337"/>
        <v/>
      </c>
      <c r="OD107" s="43" t="str">
        <f t="shared" si="338"/>
        <v/>
      </c>
      <c r="OE107" s="43" t="str">
        <f t="shared" si="339"/>
        <v/>
      </c>
      <c r="OF107" s="43" t="str">
        <f t="shared" si="340"/>
        <v/>
      </c>
      <c r="OG107" s="43" t="str">
        <f t="shared" si="341"/>
        <v/>
      </c>
      <c r="OH107" s="43" t="str">
        <f t="shared" si="342"/>
        <v/>
      </c>
      <c r="OI107" s="43" t="str">
        <f t="shared" si="343"/>
        <v/>
      </c>
      <c r="OJ107" s="43" t="str">
        <f t="shared" si="344"/>
        <v/>
      </c>
      <c r="OK107" s="43" t="str">
        <f t="shared" si="345"/>
        <v/>
      </c>
      <c r="OL107" s="43" t="str">
        <f t="shared" si="346"/>
        <v/>
      </c>
      <c r="OM107" s="43" t="str">
        <f t="shared" si="347"/>
        <v/>
      </c>
      <c r="ON107" s="43" t="str">
        <f t="shared" si="348"/>
        <v/>
      </c>
      <c r="OO107" s="43" t="str">
        <f t="shared" si="349"/>
        <v/>
      </c>
      <c r="OP107" s="43" t="str">
        <f t="shared" si="350"/>
        <v/>
      </c>
      <c r="OQ107" s="43" t="str">
        <f t="shared" si="351"/>
        <v/>
      </c>
      <c r="OR107" s="43" t="str">
        <f t="shared" si="352"/>
        <v/>
      </c>
      <c r="OS107" s="43" t="str">
        <f t="shared" si="353"/>
        <v/>
      </c>
      <c r="OT107" s="43" t="str">
        <f t="shared" si="354"/>
        <v/>
      </c>
      <c r="OU107" s="43" t="str">
        <f t="shared" si="355"/>
        <v/>
      </c>
      <c r="OV107" s="110" t="str">
        <f t="shared" si="356"/>
        <v/>
      </c>
      <c r="OW107" s="43" t="str">
        <f t="shared" si="357"/>
        <v/>
      </c>
      <c r="OX107" s="43" t="str">
        <f t="shared" si="358"/>
        <v/>
      </c>
      <c r="OY107" s="43" t="str">
        <f t="shared" si="359"/>
        <v/>
      </c>
      <c r="OZ107" s="43" t="str">
        <f t="shared" si="360"/>
        <v/>
      </c>
      <c r="PA107" s="43" t="str">
        <f t="shared" si="361"/>
        <v/>
      </c>
      <c r="PB107" s="43" t="str">
        <f t="shared" si="362"/>
        <v/>
      </c>
      <c r="PC107" s="43" t="str">
        <f t="shared" si="363"/>
        <v/>
      </c>
      <c r="PD107" s="43" t="str">
        <f t="shared" si="364"/>
        <v/>
      </c>
      <c r="PE107" s="43" t="str">
        <f t="shared" si="365"/>
        <v/>
      </c>
      <c r="PF107" s="43" t="str">
        <f t="shared" si="366"/>
        <v/>
      </c>
      <c r="PG107" s="43" t="str">
        <f t="shared" si="367"/>
        <v/>
      </c>
      <c r="PH107" s="43" t="str">
        <f t="shared" si="368"/>
        <v/>
      </c>
      <c r="PI107" s="43">
        <f t="shared" si="369"/>
        <v>29</v>
      </c>
      <c r="PJ107" s="43" t="str">
        <f t="shared" si="370"/>
        <v/>
      </c>
      <c r="PK107" s="43" t="str">
        <f t="shared" si="371"/>
        <v/>
      </c>
      <c r="PL107" s="43" t="str">
        <f t="shared" si="372"/>
        <v/>
      </c>
      <c r="PM107" s="43" t="str">
        <f t="shared" si="373"/>
        <v/>
      </c>
      <c r="PN107" s="43" t="str">
        <f t="shared" si="374"/>
        <v/>
      </c>
      <c r="PO107" s="43" t="str">
        <f t="shared" si="375"/>
        <v/>
      </c>
      <c r="PP107" s="43" t="str">
        <f t="shared" si="376"/>
        <v/>
      </c>
      <c r="PQ107" s="43" t="str">
        <f t="shared" si="377"/>
        <v/>
      </c>
      <c r="PR107" s="43" t="str">
        <f t="shared" si="378"/>
        <v/>
      </c>
      <c r="PS107" s="43" t="str">
        <f t="shared" si="379"/>
        <v/>
      </c>
      <c r="PT107" s="43" t="str">
        <f t="shared" si="380"/>
        <v/>
      </c>
      <c r="PU107" s="43" t="str">
        <f t="shared" si="381"/>
        <v/>
      </c>
      <c r="PV107" s="43" t="str">
        <f t="shared" si="382"/>
        <v/>
      </c>
      <c r="PW107" s="43" t="str">
        <f t="shared" si="383"/>
        <v/>
      </c>
      <c r="PX107" s="43" t="str">
        <f t="shared" si="384"/>
        <v/>
      </c>
      <c r="PY107" s="43" t="str">
        <f t="shared" si="385"/>
        <v/>
      </c>
      <c r="PZ107" s="43" t="str">
        <f t="shared" si="386"/>
        <v/>
      </c>
      <c r="QA107" s="43" t="str">
        <f t="shared" si="387"/>
        <v/>
      </c>
      <c r="QB107" s="43" t="str">
        <f t="shared" si="388"/>
        <v/>
      </c>
      <c r="QC107" s="43" t="str">
        <f t="shared" si="389"/>
        <v/>
      </c>
      <c r="QD107" s="43" t="str">
        <f t="shared" si="390"/>
        <v>NORMAL</v>
      </c>
      <c r="QE107" s="43" t="str">
        <f t="shared" si="391"/>
        <v/>
      </c>
      <c r="QF107" s="43" t="str">
        <f t="shared" si="392"/>
        <v/>
      </c>
      <c r="QG107" s="43" t="str">
        <f t="shared" si="393"/>
        <v/>
      </c>
      <c r="QH107" s="43" t="str">
        <f t="shared" si="394"/>
        <v/>
      </c>
      <c r="QI107" s="43" t="str">
        <f t="shared" si="395"/>
        <v/>
      </c>
      <c r="QJ107" s="43" t="str">
        <f t="shared" si="396"/>
        <v/>
      </c>
      <c r="QK107" s="43" t="str">
        <f t="shared" si="397"/>
        <v/>
      </c>
      <c r="QL107" s="43" t="str">
        <f t="shared" si="398"/>
        <v/>
      </c>
      <c r="QM107" s="43" t="str">
        <f t="shared" si="399"/>
        <v/>
      </c>
      <c r="QN107" s="43" t="str">
        <f t="shared" si="400"/>
        <v/>
      </c>
      <c r="QO107" s="43" t="str">
        <f t="shared" si="401"/>
        <v/>
      </c>
      <c r="QP107" s="43" t="str">
        <f t="shared" si="402"/>
        <v/>
      </c>
      <c r="QQ107" s="43" t="str">
        <f t="shared" si="403"/>
        <v/>
      </c>
      <c r="QR107" s="43">
        <f t="shared" si="433"/>
        <v>29</v>
      </c>
      <c r="QS107" s="43"/>
      <c r="QT107" s="21" t="str">
        <f t="shared" si="404"/>
        <v/>
      </c>
      <c r="QU107" s="21" t="str">
        <f t="shared" si="405"/>
        <v/>
      </c>
      <c r="QV107" s="21" t="str">
        <f t="shared" si="406"/>
        <v/>
      </c>
      <c r="QW107" s="21" t="str">
        <f t="shared" si="407"/>
        <v/>
      </c>
      <c r="QX107" s="21" t="str">
        <f t="shared" si="408"/>
        <v/>
      </c>
      <c r="QY107" s="21" t="str">
        <f t="shared" si="409"/>
        <v/>
      </c>
      <c r="QZ107" s="21" t="str">
        <f t="shared" si="410"/>
        <v/>
      </c>
      <c r="RA107" s="21" t="str">
        <f t="shared" si="411"/>
        <v/>
      </c>
      <c r="RB107" s="21" t="str">
        <f t="shared" si="412"/>
        <v/>
      </c>
      <c r="RC107" s="21" t="str">
        <f t="shared" si="413"/>
        <v/>
      </c>
      <c r="RD107" s="21" t="str">
        <f t="shared" si="414"/>
        <v/>
      </c>
      <c r="RE107" s="21" t="str">
        <f t="shared" si="415"/>
        <v/>
      </c>
      <c r="RF107" s="21" t="str">
        <f t="shared" si="416"/>
        <v/>
      </c>
      <c r="RG107" s="21" t="str">
        <f t="shared" si="417"/>
        <v/>
      </c>
      <c r="RH107" s="21" t="str">
        <f t="shared" si="418"/>
        <v/>
      </c>
      <c r="RI107" s="21" t="str">
        <f t="shared" si="419"/>
        <v/>
      </c>
      <c r="RJ107" s="21" t="str">
        <f t="shared" si="420"/>
        <v>ADECUADO PARA EDAD GESTACIONAL</v>
      </c>
      <c r="RK107" s="21" t="str">
        <f t="shared" si="421"/>
        <v/>
      </c>
      <c r="RL107" s="21" t="str">
        <f t="shared" si="422"/>
        <v/>
      </c>
      <c r="RM107" s="21" t="str">
        <f t="shared" si="423"/>
        <v/>
      </c>
      <c r="RN107" s="21" t="str">
        <f t="shared" si="424"/>
        <v/>
      </c>
      <c r="RO107" s="21" t="str">
        <f t="shared" si="425"/>
        <v/>
      </c>
      <c r="RP107" s="21" t="str">
        <f t="shared" si="426"/>
        <v/>
      </c>
      <c r="RQ107" s="21" t="str">
        <f t="shared" si="427"/>
        <v/>
      </c>
      <c r="RR107" s="21" t="str">
        <f t="shared" si="428"/>
        <v/>
      </c>
      <c r="RS107" s="21" t="str">
        <f t="shared" si="429"/>
        <v/>
      </c>
      <c r="RT107" s="21" t="str">
        <f t="shared" si="430"/>
        <v/>
      </c>
      <c r="RU107" s="21" t="str">
        <f t="shared" si="431"/>
        <v/>
      </c>
      <c r="RV107" s="21">
        <f t="shared" si="432"/>
        <v>9.8571428571428577</v>
      </c>
      <c r="RW107" s="284">
        <f>IF(OR(Tabla1[[#This Row],[FUM FORMULA CONFIABLE]]="",Tabla1[[#This Row],[FUM FORMULA CONFIABLE]]="SD"),"",IF(Tabla1[[#This Row],[FUM FORMULA CONFIABLE]]="CORREGIDA",Tabla1[[#This Row],[FUM X ECO 1]],Tabla1[[#This Row],[FUM x AMENORREA]]))</f>
        <v>44919</v>
      </c>
      <c r="RX107" s="21">
        <f>IF(AND(Tabla1[[#This Row],[FUM X ECO 1]]="",Tabla1[[#This Row],[FUM x AMENORREA]]=""),"",IF(AND(Tabla1[[#This Row],[FUM X ECO 1]]="",Tabla1[[#This Row],[FUM x AMENORREA]]&lt;&gt;""),"X",SUM(Tabla1[[#This Row],[FUM X ECO 1]]-Tabla1[[#This Row],[FUM x AMENORREA]])))</f>
        <v>0.80000000000291038</v>
      </c>
      <c r="RY107" s="21">
        <f t="shared" si="434"/>
        <v>0</v>
      </c>
    </row>
    <row r="108" spans="1:493" ht="45" customHeight="1" x14ac:dyDescent="0.25">
      <c r="A108" s="109"/>
      <c r="B108" s="43"/>
      <c r="C108" s="43" t="s">
        <v>845</v>
      </c>
      <c r="D108" s="124"/>
      <c r="E108" s="43" t="s">
        <v>884</v>
      </c>
      <c r="F108" s="43" t="s">
        <v>1322</v>
      </c>
      <c r="G108" s="43" t="s">
        <v>1323</v>
      </c>
      <c r="H108" s="43" t="s">
        <v>1324</v>
      </c>
      <c r="I108" s="109" t="s">
        <v>851</v>
      </c>
      <c r="J108" s="110" t="s">
        <v>1325</v>
      </c>
      <c r="K108" s="43" t="s">
        <v>852</v>
      </c>
      <c r="L108" s="175" t="s">
        <v>853</v>
      </c>
      <c r="M108" s="22">
        <v>34229</v>
      </c>
      <c r="N108" s="213">
        <f t="shared" ca="1" si="252"/>
        <v>30.145205479452056</v>
      </c>
      <c r="O108" s="22">
        <v>44967</v>
      </c>
      <c r="P108" s="214" t="str">
        <f t="shared" si="438"/>
        <v>SI</v>
      </c>
      <c r="Q108" s="26" t="s">
        <v>855</v>
      </c>
      <c r="R108" s="22">
        <v>44967</v>
      </c>
      <c r="S108" s="21" t="s">
        <v>856</v>
      </c>
      <c r="T108" s="24" t="s">
        <v>690</v>
      </c>
      <c r="U108" s="21" t="s">
        <v>857</v>
      </c>
      <c r="V108" s="21" t="s">
        <v>858</v>
      </c>
      <c r="W108" s="21" t="s">
        <v>970</v>
      </c>
      <c r="X108" s="21" t="s">
        <v>970</v>
      </c>
      <c r="Y108" s="21" t="s">
        <v>859</v>
      </c>
      <c r="Z108" s="21">
        <v>3108265851</v>
      </c>
      <c r="AA108" s="21" t="s">
        <v>860</v>
      </c>
      <c r="AB108" s="27" t="s">
        <v>861</v>
      </c>
      <c r="AC108" s="26" t="s">
        <v>862</v>
      </c>
      <c r="AD108" s="38" t="s">
        <v>1546</v>
      </c>
      <c r="AE108" s="26" t="s">
        <v>854</v>
      </c>
      <c r="AF108" s="26" t="s">
        <v>854</v>
      </c>
      <c r="AG108" s="23" t="s">
        <v>864</v>
      </c>
      <c r="AH108" s="23" t="s">
        <v>864</v>
      </c>
      <c r="AI108" s="24" t="s">
        <v>863</v>
      </c>
      <c r="AJ108" s="23" t="s">
        <v>864</v>
      </c>
      <c r="AK108" s="220" t="str">
        <f>IF(AND(AD108="",AE108="",AF108="",AG108="",AH108="",AI108="",AJ108=""),"",IF(OR(Tabla1[[#This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EVALUACIÓN",IF(AND(O108="",R108=""),"",IF(AND(OR(O108&gt;0,R108&gt;0),NG108&gt;=0,NG108&lt;2),"SIN RIESGO",IF(AND(OR(O108&gt;0,R108&gt;0),NG108&gt;=2),"CON RIESGO","ASD")))))</f>
        <v>SIN RIESGO</v>
      </c>
      <c r="AL108" s="23" t="s">
        <v>864</v>
      </c>
      <c r="AM108" s="26" t="s">
        <v>864</v>
      </c>
      <c r="AN108" s="26" t="s">
        <v>864</v>
      </c>
      <c r="AO108" s="26" t="s">
        <v>864</v>
      </c>
      <c r="AP108" s="26" t="s">
        <v>864</v>
      </c>
      <c r="AQ108" s="26" t="s">
        <v>864</v>
      </c>
      <c r="AR108" s="26" t="s">
        <v>864</v>
      </c>
      <c r="AS108" s="21">
        <v>2</v>
      </c>
      <c r="AT108" s="21">
        <v>2</v>
      </c>
      <c r="AU108" s="21">
        <v>0</v>
      </c>
      <c r="AV108" s="26" t="s">
        <v>864</v>
      </c>
      <c r="AW108" s="21">
        <v>0</v>
      </c>
      <c r="AX108" s="26" t="s">
        <v>864</v>
      </c>
      <c r="AY108" s="26" t="s">
        <v>864</v>
      </c>
      <c r="AZ108" s="26" t="s">
        <v>864</v>
      </c>
      <c r="BA108" s="26" t="s">
        <v>864</v>
      </c>
      <c r="BB108" s="26" t="s">
        <v>864</v>
      </c>
      <c r="BC108" s="26" t="s">
        <v>864</v>
      </c>
      <c r="BD108" s="26" t="s">
        <v>864</v>
      </c>
      <c r="BE108" s="26" t="s">
        <v>864</v>
      </c>
      <c r="BF108" s="26" t="s">
        <v>864</v>
      </c>
      <c r="BG108" s="26" t="s">
        <v>864</v>
      </c>
      <c r="BH108" s="26" t="s">
        <v>864</v>
      </c>
      <c r="BI108" s="26" t="s">
        <v>864</v>
      </c>
      <c r="BJ108" s="26" t="s">
        <v>864</v>
      </c>
      <c r="BK108" s="26" t="s">
        <v>864</v>
      </c>
      <c r="BL108" s="26" t="s">
        <v>864</v>
      </c>
      <c r="BM108" s="26" t="s">
        <v>864</v>
      </c>
      <c r="BN108" s="22">
        <v>43311</v>
      </c>
      <c r="BO108" s="22">
        <v>44933</v>
      </c>
      <c r="BP108" s="21" t="s">
        <v>1380</v>
      </c>
      <c r="BQ108" s="222">
        <f t="shared" si="254"/>
        <v>52.376666666666765</v>
      </c>
      <c r="BR108" s="223">
        <f t="shared" si="255"/>
        <v>44882.3</v>
      </c>
      <c r="BS108" s="224">
        <f t="shared" si="256"/>
        <v>12.099999999999584</v>
      </c>
      <c r="BT108" s="216" t="str">
        <f t="shared" si="257"/>
        <v>II TRIM</v>
      </c>
      <c r="BU108" s="214" t="str">
        <f t="shared" ca="1" si="258"/>
        <v/>
      </c>
      <c r="BV108" s="25" t="s">
        <v>989</v>
      </c>
      <c r="BW108" s="22">
        <v>45016</v>
      </c>
      <c r="BX108" s="28">
        <v>19.100000000000001</v>
      </c>
      <c r="BY108" s="28" t="s">
        <v>988</v>
      </c>
      <c r="BZ108" s="22">
        <v>45051</v>
      </c>
      <c r="CA108" s="21">
        <v>23.2</v>
      </c>
      <c r="CB108" s="26" t="s">
        <v>864</v>
      </c>
      <c r="CC108" s="26" t="s">
        <v>864</v>
      </c>
      <c r="CD108" s="26"/>
      <c r="CE108" s="26" t="s">
        <v>864</v>
      </c>
      <c r="CF108" s="22" t="s">
        <v>1517</v>
      </c>
      <c r="CG108" s="21">
        <v>1.62</v>
      </c>
      <c r="CH108" s="21">
        <v>69.5</v>
      </c>
      <c r="CI108" s="214">
        <f t="shared" si="259"/>
        <v>26.482243560432856</v>
      </c>
      <c r="CJ108" s="225" t="e">
        <f>IF(AND(CI108&lt;10,CH108="SD"),"SIN DATO PESO PREGESTACION O I TRIM",IF(AND(OR(R108&gt;0,O108&gt;0),CI108="X"),"INGRESAR DATO DE PESO",IF(CI108="SD","INGRESAR DATO DE TALLA Y PESO",IF(AND(OR(Tabla1[[#This Row],[MOMENTO EN QUE SE REALIZA EL PESO AL INGRESO A CPN]]="PREGESTACIÓN",NZ108="Menor"),CI108&lt;18.5),"BAJO PESO",IF(AND(OR(Tabla1[[#This Row],[MOMENTO EN QUE SE REALIZA EL PESO AL INGRESO A CPN]]="PREGESTACIÓN",NZ108="Menor"),CI108&lt;25),"NORMAL",IF(AND(OR(Tabla1[[#This Row],[MOMENTO EN QUE SE REALIZA EL PESO AL INGRESO A CPN]]="PREGESTACIÓN",NZ108="Menor"),CI108&lt;30),"SOBREPESO",IF(AND(OR(Tabla1[[#This Row],[MOMENTO EN QUE SE REALIZA EL PESO AL INGRESO A CPN]]="PREGESTACIÓN",NZ108="Menor"),CI108&gt;=30,CI108&lt;50),"OBESIDAD",IF(AND(BS108&gt;0,Tabla1[[#This Row],[MOMENTO EN QUE SE REALIZA EL PESO AL INGRESO A CPN]]="GESTACIÓN"),HLOOKUP(NZ108,$OA$2:PH108,NY108),""))))))))</f>
        <v>#REF!</v>
      </c>
      <c r="CK108" s="212">
        <f t="shared" si="260"/>
        <v>45162</v>
      </c>
      <c r="CL108" s="21">
        <v>74</v>
      </c>
      <c r="CM108" s="214">
        <f t="shared" si="261"/>
        <v>28.196921201036421</v>
      </c>
      <c r="CN108" s="216">
        <f t="shared" si="262"/>
        <v>39</v>
      </c>
      <c r="CO108" s="216" t="e">
        <f>IF(PI108="","",IF(PI108&gt;0,HLOOKUP(PI108,$PJ$2:QQ108,NY108),""))</f>
        <v>#REF!</v>
      </c>
      <c r="CP108" s="21">
        <v>35</v>
      </c>
      <c r="CQ108" s="216" t="e">
        <f>IF(QR108="Menor","NO APLICA-MENOR 13 SEM",IF(AND(CC108="SI",CN108&gt;23),"NO APLICA- GEMELAR",IF(QR108="","",IF(QR108&gt;0,HLOOKUP(QR108,$QS$2:RU108,NY108),""))))</f>
        <v>#REF!</v>
      </c>
      <c r="CR108" s="21">
        <v>100</v>
      </c>
      <c r="CS108" s="21">
        <v>70</v>
      </c>
      <c r="CT108" s="217" t="str">
        <f>IF(R108="","",IF(AND(BS108&gt;1,BS108&lt;12,Tabla1[[#This Row],[T.A. SISTOLICA - ANTES DE SEMANA 12]]="",Tabla1[[#This Row],[T.A. DIASTOLICA - ANTES DE SEMANA 12]]=""),"REGISTRE DATO TA ANTES SEMANA 12",IF(AND(BS108&gt;11,BS108&lt;43,Tabla1[[#This Row],[T.A. SISTOLICA - ANTES DE SEMANA 12]]="",Tabla1[[#This Row],[T.A. DIASTOLICA - ANTES DE SEMANA 12]]=""),"NO APLICA REGISTRO TA-INGRESO TARDIO",IF(AND(OR(O108&gt;0,R108&gt;0),OR(CR108&gt;=140,CS108&gt;=90)),"DEFINIR ESTADIO HTA",IF(AND(OR(O108&gt;0,R108&gt;0),AND(CR108&gt;120,CR108&lt;=139)),"PRE HTA SEGUIMIENTO",IF(AND(OR(O108&gt;0,R108&gt;0),AND(CS108&gt;80,CS108&lt;=89)),"PRE HTA SEGUIMIENTO",IF(AND(OR(O108&gt;0,R108&gt;0),AND(CR108&gt;=80,CR108&lt;=120)),"APARENTEMENTE NORMAL",IF(AND(OR(O108&gt;0,R108&gt;0),AND(CS108&gt;=50,CS108&lt;=80)),"APARENTEMENTE NORMAL",IF(AND(OR(O108&gt;0,R108&gt;0),AND(CR108&gt;1,CR108&lt;=70),AND(CS108&gt;1,CS108&lt;=40)),"HIPOTENSIÓN","")))))))))</f>
        <v>APARENTEMENTE NORMAL</v>
      </c>
      <c r="CU108" s="21">
        <v>100</v>
      </c>
      <c r="CV108" s="21">
        <v>70</v>
      </c>
      <c r="CW108" s="217" t="str">
        <f ca="1">IF(R108="","",IF(AND(CN108&gt;19,CN108&lt;27,Tabla1[[#This Row],[T.A. SISTOLICA (Entre semana 20 y 26)]]="",Tabla1[[#This Row],[T.A. DIATOLICA (Entre semana 20 y 26)]]=""),"ACUDE A CONTROL SEM 20 A 26 REGISTRE TA AHORA",IF(AND(BS108&gt;1,BS108&lt;27,BU108&gt;19,Tabla1[[#This Row],[T.A. SISTOLICA (Entre semana 20 y 26)]]="",Tabla1[[#This Row],[T.A. DIATOLICA (Entre semana 20 y 26)]]=""),"COMPLETE REGISTRO TA CONTROL SEM 20 A26 ",IF(AND(BS108&gt;26,BS108&lt;43,Tabla1[[#This Row],[T.A. SISTOLICA (Entre semana 20 y 26)]]="",Tabla1[[#This Row],[T.A. DIATOLICA (Entre semana 20 y 26)]]=""),"NO APLICA REGISTRO TA-INGRESO TARDIO",IF(AND(OR(O108&gt;0,R108&gt;0),OR(CU108&gt;=140,CV108&gt;=90)),"ALTO RIESGO PREECLAMPSIA,DEFINIR ESTADIO HTA",IF(AND(OR(O108&gt;0,R108&gt;0),AND(CU108&gt;120,CU108&lt;=139)),"PRE HTA SEGUIMIENTO,RIESGO HIPERTENSION INDUCIDA POR EL EMBARAZO",IF(AND(OR(O108&gt;0,R108&gt;0),AND(CV108&gt;80,CV108&lt;=89)),"PRE HTA SEGUIMIENTO, RIESGO HIPERTENSION INDUCIDA POR EL EMBARAZO",IF(AND(OR(O108&lt;&gt;"",R108&lt;&gt;""),CS108&lt;&gt;"",CV108&lt;&gt;"",CS108&lt;=CV108),"VIGILAR CIFRAS PRESION ARTERIAL",IF(AND(OR(O108&gt;0,R108&gt;0),AND(CU108&gt;120,CU108&lt;=139)),"PRE HTA SEGUIMIENTO",IF(AND(OR(O108&gt;0,R108&gt;0),AND(CU108&gt;1,CU108&lt;=70),AND(CV108&gt;1,CV108&lt;=40)),"HIPOTENSIÓN",IF(AND(OR(O108&lt;&gt;"",R108&lt;&gt;""),CS108&lt;&gt;"",CV108&lt;&gt;"",CS108&gt;CV108),"APARENTEMENTE NORMAL",IF(AND(OR(O108&gt;0,R108&gt;0),AND(CU108&gt;=80,CU108&lt;=120)),"APARENTEMENTE NORMAL",IF(AND(OR(O108&gt;0,R108&gt;0),AND(CV108&gt;=50,CV108&lt;=80)),"APARENTEMENTE NORMAL","")))))))))))))</f>
        <v>VIGILAR CIFRAS PRESION ARTERIAL</v>
      </c>
      <c r="CX108" s="21">
        <v>90</v>
      </c>
      <c r="CY108" s="21">
        <v>60</v>
      </c>
      <c r="CZ108" s="216" t="str">
        <f t="shared" si="457"/>
        <v>APARENTEMENTE NORMAL</v>
      </c>
      <c r="DA108" s="21">
        <v>90</v>
      </c>
      <c r="DB108" s="21">
        <v>60</v>
      </c>
      <c r="DC108" s="217" t="str">
        <f t="shared" si="264"/>
        <v>APARENTEMENTE NORMAL</v>
      </c>
      <c r="DD108" s="22">
        <v>44967</v>
      </c>
      <c r="DE108" s="22">
        <v>44967</v>
      </c>
      <c r="DF108" s="22">
        <v>45016</v>
      </c>
      <c r="DG108" s="22">
        <v>45051</v>
      </c>
      <c r="DH108" s="22">
        <v>45087</v>
      </c>
      <c r="DI108" s="22">
        <v>45118</v>
      </c>
      <c r="DJ108" s="22">
        <v>45143</v>
      </c>
      <c r="DK108" s="22">
        <v>45162</v>
      </c>
      <c r="DL108" s="22"/>
      <c r="DM108" s="22"/>
      <c r="DN108" s="22"/>
      <c r="DO108" s="22"/>
      <c r="DP108" s="22"/>
      <c r="DQ108" s="22"/>
      <c r="DR108" s="28">
        <v>1</v>
      </c>
      <c r="DS108" s="22"/>
      <c r="DT108" s="22"/>
      <c r="DU108" s="216" t="str">
        <f t="shared" ca="1" si="439"/>
        <v>CONCERTAR PLAN DE PARTO INMEDIATO</v>
      </c>
      <c r="DV108" s="226" t="str">
        <f t="shared" si="440"/>
        <v>ACTIVA INGRESO A CPN</v>
      </c>
      <c r="DW10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08" s="216" t="e">
        <f t="shared" ca="1" si="266"/>
        <v>#REF!</v>
      </c>
      <c r="DY108" s="212">
        <f>IF(R108="","",IF(R108&gt;0,MAX(Tabla1[[#This Row],[FECHA C2]:[FECHA C13]],Tabla1[[#This Row],[FECHA CONSULTA PRIMERA VEZ PROGRAMA CPN ]])))</f>
        <v>45162</v>
      </c>
      <c r="DZ108" s="216">
        <f t="shared" si="267"/>
        <v>39</v>
      </c>
      <c r="EA108" s="222">
        <f>IF(R108&gt;0,SUM(COUNTA(DF108:DQ108)+COUNTA(Tabla1[[#This Row],[FECHA CONSULTA PRIMERA VEZ PROGRAMA CPN ]])),"")</f>
        <v>7</v>
      </c>
      <c r="EB108" s="222" t="str">
        <f t="shared" si="268"/>
        <v>SI</v>
      </c>
      <c r="EC108" s="214">
        <f t="shared" si="269"/>
        <v>8</v>
      </c>
      <c r="ED108" s="227">
        <f t="shared" si="270"/>
        <v>0.875</v>
      </c>
      <c r="EE108" s="22">
        <v>44967</v>
      </c>
      <c r="EF108" s="22">
        <v>44967</v>
      </c>
      <c r="EG108" s="22">
        <v>44967</v>
      </c>
      <c r="EH108" s="22"/>
      <c r="EI108" s="22">
        <v>44967</v>
      </c>
      <c r="EJ108" s="22">
        <v>45149</v>
      </c>
      <c r="EK108" s="22"/>
      <c r="EL108" s="21"/>
      <c r="EM108" s="21">
        <v>13.7</v>
      </c>
      <c r="EN108" s="22">
        <v>44967</v>
      </c>
      <c r="EO108" s="222">
        <f t="shared" si="271"/>
        <v>12.099999999999584</v>
      </c>
      <c r="EP108" s="214" t="str">
        <f t="shared" si="272"/>
        <v>NORMAL- SUMINISTRAR SULFATO FERROSO</v>
      </c>
      <c r="EQ108" s="216" t="str">
        <f t="shared" si="273"/>
        <v>I TRIM</v>
      </c>
      <c r="ER108" s="24">
        <v>13.3</v>
      </c>
      <c r="ES108" s="22">
        <v>45119</v>
      </c>
      <c r="ET108" s="29">
        <f t="shared" ca="1" si="441"/>
        <v>33.814285714285298</v>
      </c>
      <c r="EU108" s="25" t="str">
        <f t="shared" si="275"/>
        <v>NORMAL- SUMINISTRAR SULFATO FERROSO</v>
      </c>
      <c r="EV108" s="24" t="s">
        <v>1510</v>
      </c>
      <c r="EW108" s="32">
        <v>44967</v>
      </c>
      <c r="EX108" s="22"/>
      <c r="EY108" s="29">
        <f t="shared" si="454"/>
        <v>12.099999999999584</v>
      </c>
      <c r="EZ108" s="25" t="str">
        <f t="shared" si="455"/>
        <v>SIN RIESGO DE ISOINMUNIZACIÓN</v>
      </c>
      <c r="FA108" s="21">
        <v>72</v>
      </c>
      <c r="FB108" s="22">
        <v>44967</v>
      </c>
      <c r="FC108" s="29">
        <f t="shared" si="276"/>
        <v>12.099999999999584</v>
      </c>
      <c r="FD108" s="29">
        <v>70</v>
      </c>
      <c r="FE108" s="29">
        <v>146</v>
      </c>
      <c r="FF108" s="29">
        <v>115</v>
      </c>
      <c r="FG108" s="21" t="str">
        <f t="shared" ca="1" si="277"/>
        <v>NORMAL</v>
      </c>
      <c r="FH108" s="31">
        <v>45118</v>
      </c>
      <c r="FI108" s="29">
        <f t="shared" si="278"/>
        <v>33.671428571428159</v>
      </c>
      <c r="FJ108" s="22" t="s">
        <v>867</v>
      </c>
      <c r="FK108" s="22">
        <v>44967</v>
      </c>
      <c r="FL108" s="29">
        <f t="shared" ca="1" si="279"/>
        <v>12.099999999999584</v>
      </c>
      <c r="FM108" s="22"/>
      <c r="FN108" s="32"/>
      <c r="FO108" s="29" t="str">
        <f t="shared" ca="1" si="442"/>
        <v>PIERDE TOMA DE TAMIZAJE</v>
      </c>
      <c r="FP108" s="22" t="s">
        <v>867</v>
      </c>
      <c r="FQ108" s="32">
        <v>45118</v>
      </c>
      <c r="FR108" s="29">
        <f t="shared" ca="1" si="443"/>
        <v>33.671428571428159</v>
      </c>
      <c r="FS108" s="22"/>
      <c r="FT108" s="32"/>
      <c r="FU108" s="29" t="str">
        <f>IF(AND(FJ108="",FM108="",FP108="",FS108=""),"",IF(OR(OR(Tabla1[[#This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08" s="28"/>
      <c r="FW108" s="22"/>
      <c r="FX108" s="29" t="str">
        <f t="shared" si="280"/>
        <v>TOMAR EXAMEN</v>
      </c>
      <c r="FY108" s="22">
        <v>44967</v>
      </c>
      <c r="FZ108" s="22">
        <v>44967</v>
      </c>
      <c r="GA108" s="29">
        <f t="shared" ca="1" si="453"/>
        <v>12.099999999999584</v>
      </c>
      <c r="GB108" s="22"/>
      <c r="GC108" s="22"/>
      <c r="GD108" s="29" t="str">
        <f t="shared" ca="1" si="444"/>
        <v>PIERDE TOMA DE TAMIZAJE</v>
      </c>
      <c r="GE108" s="22" t="s">
        <v>868</v>
      </c>
      <c r="GF108" s="22">
        <v>45118</v>
      </c>
      <c r="GG108" s="29">
        <f t="shared" ca="1" si="445"/>
        <v>33.671428571428159</v>
      </c>
      <c r="GH108" s="22"/>
      <c r="GI108" s="29"/>
      <c r="GJ108" s="22"/>
      <c r="GK108" s="22"/>
      <c r="GL108" s="22"/>
      <c r="GM108" s="22"/>
      <c r="GN108" s="28" t="s">
        <v>869</v>
      </c>
      <c r="GO108" s="22">
        <v>45118</v>
      </c>
      <c r="GP108" s="29">
        <f t="shared" si="283"/>
        <v>33.671428571428159</v>
      </c>
      <c r="GQ108" s="28" t="s">
        <v>869</v>
      </c>
      <c r="GR108" s="28" t="s">
        <v>869</v>
      </c>
      <c r="GS108" s="22" t="str">
        <f t="shared" si="458"/>
        <v>CONTROL Igm</v>
      </c>
      <c r="GT108" s="22">
        <v>45118</v>
      </c>
      <c r="GU108" s="29">
        <f t="shared" si="285"/>
        <v>26.428571428571427</v>
      </c>
      <c r="GV108" s="21" t="str">
        <f t="shared" si="286"/>
        <v>II TRIM</v>
      </c>
      <c r="GW108" s="28"/>
      <c r="GX108" s="30"/>
      <c r="GY108" s="21"/>
      <c r="GZ108" s="21"/>
      <c r="HA108" s="21"/>
      <c r="HB108" s="21"/>
      <c r="HC108" s="21"/>
      <c r="HD108" s="21"/>
      <c r="HE108" s="21"/>
      <c r="HF108" s="22"/>
      <c r="HG108" s="22" t="str">
        <f>IF(OR(O108&gt;0,R108&gt;0),CONCATENATE(IF(Tabla1[[#This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08" s="22" t="e">
        <f t="shared" si="287"/>
        <v>#REF!</v>
      </c>
      <c r="HI108" s="22" t="e">
        <f t="shared" ca="1" si="288"/>
        <v>#REF!</v>
      </c>
      <c r="HJ108" s="21" t="str">
        <f t="shared" ca="1" si="289"/>
        <v>***************************************</v>
      </c>
      <c r="HK108" s="21" t="str">
        <f t="shared" si="290"/>
        <v>SIN ANTECEDENTES DE RIESGO</v>
      </c>
      <c r="HL108" s="24" t="str">
        <f t="shared" si="291"/>
        <v>APARENTEMENTE NORMAL</v>
      </c>
      <c r="HM108" s="21" t="e">
        <f t="shared" ca="1" si="292"/>
        <v>#REF!</v>
      </c>
      <c r="HN108" s="30" t="str">
        <f t="shared" si="446"/>
        <v>ACTIVA INGRESO A CPN</v>
      </c>
      <c r="HO108" s="21"/>
      <c r="HP108" s="21"/>
      <c r="HQ108" s="21">
        <v>45016</v>
      </c>
      <c r="HR108" s="21" t="str">
        <f>IF(R108="","",IF(Tabla1[[#This Row],[ALARMA FACTORES DE RIESGO COMPLICACIONES HIPERTENSIVAS3]]="SIN ANTECEDENTES DE RIESGO","No Aplica para suministro de ASA",IF(AND(Tabla1[[#This Row],[FECHA INICIO DE SUMINISTRO DE ASA]]&gt;0,RV108&lt;12),"Inicia ASA ANTES de Sem 12",IF(AND(RV108&gt;11,RV108&lt;17,OR(HK108="RIESGO ALTO DE COMPLICACIONES HIPERTENSIVAS VER MANEJO GUIA SUMINISTRO ASA Y CALCIO",HK108="RIESGO MODERADO (2 O MAS CRITERIOS) VER MANEJO GUIA SUMINISTRO ASA Y CALCIO")),"Inicio oportuno de ASA",IF(AND(RV108&gt;12,OR(HK108="RIESGO ALTO DE COMPLICACIONES HIPERTENSIVAS VER MANEJO GUIA SUMINISTRO ASA Y CALCIO",HK108="RIESGO MODERADO (2 O MAS CRITERIOS) VER MANEJO GUIA SUMINISTRO ASA Y CALCIO")),"Inicio no oportuno mayor a 16 semanas",IF(AND(BU108&lt;12,OR(HK108="RIESGO ALTO DE COMPLICACIONES HIPERTENSIVAS VER MANEJO GUIA SUMINISTRO ASA Y CALCIO",HK108="RIESGO MODERADO (2 O MAS CRITERIOS) VER MANEJO GUIA SUMINISTRO ASA Y CALCIO")),"Pendiente Inicio de ASA a la semana 12",IF(AND(BU108&gt;11,BU108&lt;17,OR(HK108="RIESGO ALTO DE COMPLICACIONES HIPERTENSIVAS VER MANEJO GUIA SUMINISTRO ASA Y CALCIO",HK108="RIESGO MODERADO (2 O MAS CRITERIOS) VER MANEJO GUIA SUMINISTRO ASA Y CALCIO")),"Iniciar de inmediato ASA",IF(AND(BU108&gt;16,OR(HK108="RIESGO ALTO DE COMPLICACIONES HIPERTENSIVAS VER MANEJO GUIA SUMINISTRO ASA Y CALCIO",HK108="RIESGO MODERADO (2 O MAS CRITERIOS) VER MANEJO GUIA SUMINISTRO ASA Y CALCIO")),"Pierde Oportunidad, Inicio tardío de ASA","XXXXX"))))))))</f>
        <v>No Aplica para suministro de ASA</v>
      </c>
      <c r="HS108" s="22">
        <v>45016</v>
      </c>
      <c r="HT108" s="22" t="s">
        <v>870</v>
      </c>
      <c r="HU108" s="22">
        <v>45016</v>
      </c>
      <c r="HV108" s="22" t="s">
        <v>870</v>
      </c>
      <c r="HW108" s="22">
        <v>45016</v>
      </c>
      <c r="HX108" s="22" t="s">
        <v>870</v>
      </c>
      <c r="HY108" s="22">
        <v>45016</v>
      </c>
      <c r="HZ108" s="28">
        <f t="shared" si="293"/>
        <v>19.099999999999586</v>
      </c>
      <c r="IA108" s="26" t="s">
        <v>864</v>
      </c>
      <c r="IB108" s="26"/>
      <c r="IC108" s="111"/>
      <c r="ID108" s="22"/>
      <c r="IE108" s="22" t="str">
        <f t="shared" ca="1" si="294"/>
        <v/>
      </c>
      <c r="IF108" s="22"/>
      <c r="IG108" s="22">
        <f t="shared" si="295"/>
        <v>45162.3</v>
      </c>
      <c r="IH108" s="29">
        <f t="shared" ca="1" si="296"/>
        <v>-69.69999999999709</v>
      </c>
      <c r="II108" s="22" t="str">
        <f t="shared" ca="1" si="297"/>
        <v>POSIBLEMENTE NACIO</v>
      </c>
      <c r="IJ108" s="22"/>
      <c r="IK108" s="21"/>
      <c r="IL108" s="21"/>
      <c r="IM108" s="34"/>
      <c r="IN108" s="349"/>
      <c r="IO108" s="21"/>
      <c r="IP108" s="29" t="str">
        <f t="shared" si="490"/>
        <v/>
      </c>
      <c r="IQ108" s="110"/>
      <c r="IR108" s="21"/>
      <c r="IS108" s="21"/>
      <c r="IT108" s="21"/>
      <c r="IU108" s="21"/>
      <c r="IV108" s="21"/>
      <c r="IW108" s="21"/>
      <c r="IX108" s="21"/>
      <c r="IY108" s="21"/>
      <c r="IZ108" s="21"/>
      <c r="JA108" s="21"/>
      <c r="JB108" s="30"/>
      <c r="JC108" s="21"/>
      <c r="JD108" s="36"/>
      <c r="JE108" s="21" t="str">
        <f t="shared" si="447"/>
        <v/>
      </c>
      <c r="JF108" s="30"/>
      <c r="JG108" s="21"/>
      <c r="JH108" s="21"/>
      <c r="JI108" s="21"/>
      <c r="JJ108" s="30"/>
      <c r="JK108" s="22"/>
      <c r="JL108" s="22"/>
      <c r="JM108" s="21"/>
      <c r="JN108" s="36"/>
      <c r="JO108" s="21" t="str">
        <f t="shared" si="448"/>
        <v/>
      </c>
      <c r="JP108" s="22"/>
      <c r="JQ108" s="21"/>
      <c r="JR108" s="21"/>
      <c r="JS108" s="21"/>
      <c r="JT108" s="30"/>
      <c r="JU108" s="22"/>
      <c r="JV108" s="22"/>
      <c r="JW108" s="33"/>
      <c r="JX108" s="28" t="str">
        <f t="shared" si="449"/>
        <v/>
      </c>
      <c r="JY108" s="33"/>
      <c r="JZ108" s="28" t="str">
        <f t="shared" si="450"/>
        <v/>
      </c>
      <c r="KA108" s="21"/>
      <c r="KB108" s="21"/>
      <c r="KC108" s="21"/>
      <c r="KD108" s="37"/>
      <c r="KE108" s="28"/>
      <c r="KF108" s="28"/>
      <c r="KG108" s="28"/>
      <c r="KH108" s="39"/>
      <c r="KI108" s="39"/>
      <c r="KJ108" s="66"/>
      <c r="KK108" s="39"/>
      <c r="KL108" s="39"/>
      <c r="KM108" s="66"/>
      <c r="KN108" s="39"/>
      <c r="KO108" s="39"/>
      <c r="KP108" s="39"/>
      <c r="KQ108" s="39"/>
      <c r="KR108" s="39"/>
      <c r="KS108" s="39"/>
      <c r="KT108" s="39"/>
      <c r="KU108" s="38"/>
      <c r="KV108" s="38"/>
      <c r="KW108" s="38"/>
      <c r="KX108" s="38"/>
      <c r="KY108" s="38"/>
      <c r="KZ108" s="38"/>
      <c r="LA108" s="38"/>
      <c r="LB108" s="38"/>
      <c r="LC108" s="38"/>
      <c r="LD108" s="38"/>
      <c r="LE108" s="38"/>
      <c r="LF108" s="38"/>
      <c r="LG108" s="38"/>
      <c r="LH108" s="38"/>
      <c r="LI108" s="38"/>
      <c r="LJ108" s="38"/>
      <c r="LK108" s="38"/>
      <c r="LL108" s="38"/>
      <c r="LM108" s="38"/>
      <c r="LN108" s="38"/>
      <c r="LO108" s="38"/>
      <c r="LP108" s="38"/>
      <c r="LQ108" s="38"/>
      <c r="LR108" s="38"/>
      <c r="LS108" s="38"/>
      <c r="LT108" s="38"/>
      <c r="LU108" s="38"/>
      <c r="LV108" s="38"/>
      <c r="LW108" s="38"/>
      <c r="LX108" s="38"/>
      <c r="LY108" s="38"/>
      <c r="LZ108" s="38"/>
      <c r="MA108" s="38"/>
      <c r="MB108" s="38"/>
      <c r="MC108" s="38"/>
      <c r="MD108" s="38"/>
      <c r="ME108" s="38"/>
      <c r="MF108" s="38"/>
      <c r="MG108" s="38"/>
      <c r="MH108" s="43">
        <f t="shared" si="459"/>
        <v>0</v>
      </c>
      <c r="MI108" s="43" t="str">
        <f t="shared" si="460"/>
        <v/>
      </c>
      <c r="MJ108" s="43" t="str">
        <f t="shared" si="461"/>
        <v/>
      </c>
      <c r="MK108" s="43">
        <f t="shared" si="462"/>
        <v>0</v>
      </c>
      <c r="ML10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08" s="43">
        <f t="shared" si="463"/>
        <v>12.099999999999584</v>
      </c>
      <c r="MN108" s="43">
        <f t="shared" si="464"/>
        <v>2</v>
      </c>
      <c r="MO108" s="43">
        <f t="shared" si="465"/>
        <v>2023</v>
      </c>
      <c r="MP108" s="43" t="str">
        <f t="shared" si="466"/>
        <v>I TRIMESTRE AÑO</v>
      </c>
      <c r="MQ108" s="43">
        <f t="shared" si="467"/>
        <v>28.972295225580378</v>
      </c>
      <c r="MR108" s="43">
        <f t="shared" si="468"/>
        <v>0</v>
      </c>
      <c r="MS108" s="43" t="str">
        <f t="shared" si="469"/>
        <v xml:space="preserve"> DE 25 A 29 AÑOS</v>
      </c>
      <c r="MT108" s="43">
        <f t="shared" si="470"/>
        <v>0</v>
      </c>
      <c r="MU108" s="43">
        <f t="shared" si="471"/>
        <v>0</v>
      </c>
      <c r="MV108" s="43">
        <f t="shared" si="472"/>
        <v>0</v>
      </c>
      <c r="MW108" s="43">
        <f t="shared" si="473"/>
        <v>0</v>
      </c>
      <c r="MX108" s="43" t="str">
        <f t="shared" si="474"/>
        <v/>
      </c>
      <c r="MY108" s="43" t="str">
        <f t="shared" ca="1" si="451"/>
        <v/>
      </c>
      <c r="MZ108" s="43" t="str">
        <f t="shared" si="475"/>
        <v/>
      </c>
      <c r="NA108" s="43" t="str">
        <f t="shared" si="476"/>
        <v/>
      </c>
      <c r="NB108" s="43" t="str">
        <f t="shared" si="477"/>
        <v/>
      </c>
      <c r="NC108" s="43" t="str">
        <f t="shared" si="478"/>
        <v/>
      </c>
      <c r="ND108" s="43">
        <f t="shared" ca="1" si="479"/>
        <v>0</v>
      </c>
      <c r="NE108" s="43">
        <f>IF(OR(O108&gt;0,R108&gt;0),SUM(COUNTIF(Tabla1[[#This Row],[AÑOS AL INICIO5 CPN]],"&gt;=40"),COUNTIF(AS108,"0"),COUNTIF(AR108,"SI"),COUNTIF(CC108,"SI"),COUNTIF(BQ108,"&gt;119"),COUNTIF(CI108,"&gt;=35")),"")</f>
        <v>0</v>
      </c>
      <c r="NF108" s="43" t="str">
        <f t="shared" si="480"/>
        <v/>
      </c>
      <c r="NG108" s="43">
        <f t="shared" si="481"/>
        <v>0</v>
      </c>
      <c r="NH108" s="43">
        <f t="shared" si="482"/>
        <v>133.70000000000002</v>
      </c>
      <c r="NI10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CPN",P108="NO"),"Z",IF(AND(Tabla1[[#This Row],[CITA PROXIMO CONTROL]]="CITA MANUAL",Tabla1[[#This Row],[GESTANTES ACTUALES]]="ACTIVA INGRESO A CPN"),"W",IF(AND(Tabla1[[#This Row],[GESTANTES ACTUALES]]="SALIO PROGRAMA",IN108=""),"S",IF(AND(Tabla1[[#This Row],[CITA PROXIMO CONTROL]]&gt;0,IN108=""),(Tabla1[[#This Row],[CITA PROXIMO CONTROL]]-TODAY()),"SD"))))))))</f>
        <v>#REF!</v>
      </c>
      <c r="NJ108" s="43">
        <f>MONTH(Tabla1[[#This Row],[FECHA DE SALIDA  DEL PROGRAMA]])</f>
        <v>1</v>
      </c>
      <c r="NK108" s="43">
        <f>YEAR(Tabla1[[#This Row],[FECHA DE SALIDA  DEL PROGRAMA]])</f>
        <v>1900</v>
      </c>
      <c r="NL108" s="43">
        <f t="shared" si="483"/>
        <v>182</v>
      </c>
      <c r="NM108" s="43" t="str">
        <f t="shared" si="456"/>
        <v>NO</v>
      </c>
      <c r="NN108" s="43" t="str">
        <f ca="1">IF(AND(O108&gt;0,R108=""),"NO CPN",IF(AND(O108="",R108=""),"",IF(AND(R108&gt;0,Tabla1[[#This Row],[SEMANAS DE GESTACION ACTUALIZADAS]]&lt;=12),"NO APLICA",IF(AND(FH108&lt;&gt;"",FN108&lt;&gt;""),"SI","NO"))))</f>
        <v>NO</v>
      </c>
      <c r="NO108" s="43" t="str">
        <f ca="1">IF(AND(O108&gt;0,R108=""),"NO CPN",IF(AND(O108="",R108=""),"",IF(AND(R108&gt;0,Tabla1[[#This Row],[SEMANAS DE GESTACION ACTUALIZADAS]]&lt;=27),"NO APLICA",IF(AND(ES108&lt;&gt;"",FQ108&lt;&gt;"",GF108&lt;&gt;""),"SI","NO"))))</f>
        <v>SI</v>
      </c>
      <c r="NP108" s="204" t="str">
        <f t="shared" si="484"/>
        <v>II TRIM</v>
      </c>
      <c r="NQ108" s="21" t="str">
        <f t="shared" si="437"/>
        <v/>
      </c>
      <c r="NR108" s="21" t="str">
        <f t="shared" ca="1" si="452"/>
        <v>REVISAR FUM O FECHA SALIDA PROGRAMA</v>
      </c>
      <c r="NS108" s="205">
        <f t="shared" ca="1" si="485"/>
        <v>2</v>
      </c>
      <c r="NT108" s="21">
        <f t="shared" ca="1" si="486"/>
        <v>2</v>
      </c>
      <c r="NU108" s="21" t="str">
        <f t="shared" ca="1" si="487"/>
        <v>POR DEFINIR</v>
      </c>
      <c r="NV108" s="21" t="str">
        <f t="shared" ca="1" si="488"/>
        <v>POR DEFINIR</v>
      </c>
      <c r="NW108" s="206" t="str">
        <f>IF(AND(O108="",R108=""),"",IF(OR(AND(Tabla1[[#This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08" s="207" t="str">
        <f t="shared" ca="1" si="489"/>
        <v>SIN VACUNAR</v>
      </c>
      <c r="NY108" s="43">
        <f>ROW(Tabla1[[#This Row],['# DE TAMIZAJES SIFILIS TOMADOS ]])</f>
        <v>108</v>
      </c>
      <c r="NZ108" s="43">
        <f t="shared" si="334"/>
        <v>12</v>
      </c>
      <c r="OA108" s="43" t="str">
        <f t="shared" si="335"/>
        <v/>
      </c>
      <c r="OB108" s="43" t="str">
        <f t="shared" si="336"/>
        <v/>
      </c>
      <c r="OC108" s="43" t="str">
        <f t="shared" si="337"/>
        <v/>
      </c>
      <c r="OD108" s="43" t="str">
        <f t="shared" si="338"/>
        <v>SOBREPESO</v>
      </c>
      <c r="OE108" s="43" t="str">
        <f t="shared" si="339"/>
        <v/>
      </c>
      <c r="OF108" s="43" t="str">
        <f t="shared" si="340"/>
        <v/>
      </c>
      <c r="OG108" s="43" t="str">
        <f t="shared" si="341"/>
        <v/>
      </c>
      <c r="OH108" s="43" t="str">
        <f t="shared" si="342"/>
        <v/>
      </c>
      <c r="OI108" s="43" t="str">
        <f t="shared" si="343"/>
        <v/>
      </c>
      <c r="OJ108" s="43" t="str">
        <f t="shared" si="344"/>
        <v/>
      </c>
      <c r="OK108" s="43" t="str">
        <f t="shared" si="345"/>
        <v/>
      </c>
      <c r="OL108" s="43" t="str">
        <f t="shared" si="346"/>
        <v/>
      </c>
      <c r="OM108" s="43" t="str">
        <f t="shared" si="347"/>
        <v/>
      </c>
      <c r="ON108" s="43" t="str">
        <f t="shared" si="348"/>
        <v/>
      </c>
      <c r="OO108" s="43" t="str">
        <f t="shared" si="349"/>
        <v/>
      </c>
      <c r="OP108" s="43" t="str">
        <f t="shared" si="350"/>
        <v/>
      </c>
      <c r="OQ108" s="43" t="str">
        <f t="shared" si="351"/>
        <v/>
      </c>
      <c r="OR108" s="43" t="str">
        <f t="shared" si="352"/>
        <v/>
      </c>
      <c r="OS108" s="43" t="str">
        <f t="shared" si="353"/>
        <v/>
      </c>
      <c r="OT108" s="43" t="str">
        <f t="shared" si="354"/>
        <v/>
      </c>
      <c r="OU108" s="43" t="str">
        <f t="shared" si="355"/>
        <v/>
      </c>
      <c r="OV108" s="110" t="str">
        <f t="shared" si="356"/>
        <v/>
      </c>
      <c r="OW108" s="43" t="str">
        <f t="shared" si="357"/>
        <v/>
      </c>
      <c r="OX108" s="43" t="str">
        <f t="shared" si="358"/>
        <v/>
      </c>
      <c r="OY108" s="43" t="str">
        <f t="shared" si="359"/>
        <v/>
      </c>
      <c r="OZ108" s="43" t="str">
        <f t="shared" si="360"/>
        <v/>
      </c>
      <c r="PA108" s="43" t="str">
        <f t="shared" si="361"/>
        <v/>
      </c>
      <c r="PB108" s="43" t="str">
        <f t="shared" si="362"/>
        <v/>
      </c>
      <c r="PC108" s="43" t="str">
        <f t="shared" si="363"/>
        <v/>
      </c>
      <c r="PD108" s="43" t="str">
        <f t="shared" si="364"/>
        <v/>
      </c>
      <c r="PE108" s="43" t="str">
        <f t="shared" si="365"/>
        <v/>
      </c>
      <c r="PF108" s="43" t="str">
        <f t="shared" si="366"/>
        <v/>
      </c>
      <c r="PG108" s="43" t="str">
        <f t="shared" si="367"/>
        <v/>
      </c>
      <c r="PH108" s="43" t="str">
        <f t="shared" si="368"/>
        <v/>
      </c>
      <c r="PI108" s="43">
        <f t="shared" si="369"/>
        <v>39</v>
      </c>
      <c r="PJ108" s="43" t="str">
        <f t="shared" si="370"/>
        <v/>
      </c>
      <c r="PK108" s="43" t="str">
        <f t="shared" si="371"/>
        <v/>
      </c>
      <c r="PL108" s="43" t="str">
        <f t="shared" si="372"/>
        <v/>
      </c>
      <c r="PM108" s="43" t="str">
        <f t="shared" si="373"/>
        <v/>
      </c>
      <c r="PN108" s="43" t="str">
        <f t="shared" si="374"/>
        <v/>
      </c>
      <c r="PO108" s="43" t="str">
        <f t="shared" si="375"/>
        <v/>
      </c>
      <c r="PP108" s="43" t="str">
        <f t="shared" si="376"/>
        <v/>
      </c>
      <c r="PQ108" s="43" t="str">
        <f t="shared" si="377"/>
        <v/>
      </c>
      <c r="PR108" s="43" t="str">
        <f t="shared" si="378"/>
        <v/>
      </c>
      <c r="PS108" s="43" t="str">
        <f t="shared" si="379"/>
        <v/>
      </c>
      <c r="PT108" s="43" t="str">
        <f t="shared" si="380"/>
        <v/>
      </c>
      <c r="PU108" s="43" t="str">
        <f t="shared" si="381"/>
        <v/>
      </c>
      <c r="PV108" s="43" t="str">
        <f t="shared" si="382"/>
        <v/>
      </c>
      <c r="PW108" s="43" t="str">
        <f t="shared" si="383"/>
        <v/>
      </c>
      <c r="PX108" s="43" t="str">
        <f t="shared" si="384"/>
        <v/>
      </c>
      <c r="PY108" s="43" t="str">
        <f t="shared" si="385"/>
        <v/>
      </c>
      <c r="PZ108" s="43" t="str">
        <f t="shared" si="386"/>
        <v/>
      </c>
      <c r="QA108" s="43" t="str">
        <f t="shared" si="387"/>
        <v/>
      </c>
      <c r="QB108" s="43" t="str">
        <f t="shared" si="388"/>
        <v/>
      </c>
      <c r="QC108" s="43" t="str">
        <f t="shared" si="389"/>
        <v/>
      </c>
      <c r="QD108" s="43" t="str">
        <f t="shared" si="390"/>
        <v/>
      </c>
      <c r="QE108" s="43" t="str">
        <f t="shared" si="391"/>
        <v/>
      </c>
      <c r="QF108" s="43" t="str">
        <f t="shared" si="392"/>
        <v/>
      </c>
      <c r="QG108" s="43" t="str">
        <f t="shared" si="393"/>
        <v/>
      </c>
      <c r="QH108" s="43" t="str">
        <f t="shared" si="394"/>
        <v/>
      </c>
      <c r="QI108" s="43" t="str">
        <f t="shared" si="395"/>
        <v/>
      </c>
      <c r="QJ108" s="43" t="str">
        <f t="shared" si="396"/>
        <v/>
      </c>
      <c r="QK108" s="43" t="str">
        <f t="shared" si="397"/>
        <v/>
      </c>
      <c r="QL108" s="43" t="str">
        <f t="shared" si="398"/>
        <v/>
      </c>
      <c r="QM108" s="43" t="str">
        <f t="shared" si="399"/>
        <v/>
      </c>
      <c r="QN108" s="43" t="str">
        <f t="shared" si="400"/>
        <v>NORMAL</v>
      </c>
      <c r="QO108" s="43" t="str">
        <f t="shared" si="401"/>
        <v/>
      </c>
      <c r="QP108" s="43" t="str">
        <f t="shared" si="402"/>
        <v/>
      </c>
      <c r="QQ108" s="43" t="str">
        <f t="shared" si="403"/>
        <v/>
      </c>
      <c r="QR108" s="43">
        <f t="shared" si="433"/>
        <v>39</v>
      </c>
      <c r="QS108" s="43"/>
      <c r="QT108" s="21" t="str">
        <f t="shared" si="404"/>
        <v/>
      </c>
      <c r="QU108" s="21" t="str">
        <f t="shared" si="405"/>
        <v/>
      </c>
      <c r="QV108" s="21" t="str">
        <f t="shared" si="406"/>
        <v/>
      </c>
      <c r="QW108" s="21" t="str">
        <f t="shared" si="407"/>
        <v/>
      </c>
      <c r="QX108" s="21" t="str">
        <f t="shared" si="408"/>
        <v/>
      </c>
      <c r="QY108" s="21" t="str">
        <f t="shared" si="409"/>
        <v/>
      </c>
      <c r="QZ108" s="21" t="str">
        <f t="shared" si="410"/>
        <v/>
      </c>
      <c r="RA108" s="21" t="str">
        <f t="shared" si="411"/>
        <v/>
      </c>
      <c r="RB108" s="21" t="str">
        <f t="shared" si="412"/>
        <v/>
      </c>
      <c r="RC108" s="21" t="str">
        <f t="shared" si="413"/>
        <v/>
      </c>
      <c r="RD108" s="21" t="str">
        <f t="shared" si="414"/>
        <v/>
      </c>
      <c r="RE108" s="21" t="str">
        <f t="shared" si="415"/>
        <v/>
      </c>
      <c r="RF108" s="21" t="str">
        <f t="shared" si="416"/>
        <v/>
      </c>
      <c r="RG108" s="21" t="str">
        <f t="shared" si="417"/>
        <v/>
      </c>
      <c r="RH108" s="21" t="str">
        <f t="shared" si="418"/>
        <v/>
      </c>
      <c r="RI108" s="21" t="str">
        <f t="shared" si="419"/>
        <v/>
      </c>
      <c r="RJ108" s="21" t="str">
        <f t="shared" si="420"/>
        <v/>
      </c>
      <c r="RK108" s="21" t="str">
        <f t="shared" si="421"/>
        <v/>
      </c>
      <c r="RL108" s="21" t="str">
        <f t="shared" si="422"/>
        <v/>
      </c>
      <c r="RM108" s="21" t="str">
        <f t="shared" si="423"/>
        <v/>
      </c>
      <c r="RN108" s="21" t="str">
        <f t="shared" si="424"/>
        <v/>
      </c>
      <c r="RO108" s="21" t="str">
        <f t="shared" si="425"/>
        <v/>
      </c>
      <c r="RP108" s="21" t="str">
        <f t="shared" si="426"/>
        <v/>
      </c>
      <c r="RQ108" s="21" t="str">
        <f t="shared" si="427"/>
        <v/>
      </c>
      <c r="RR108" s="21" t="str">
        <f t="shared" si="428"/>
        <v/>
      </c>
      <c r="RS108" s="21" t="str">
        <f t="shared" si="429"/>
        <v/>
      </c>
      <c r="RT108" s="21" t="str">
        <f t="shared" si="430"/>
        <v>ALTO PARA EDAD GESTACIONAL</v>
      </c>
      <c r="RU108" s="21" t="str">
        <f t="shared" si="431"/>
        <v/>
      </c>
      <c r="RV108" s="21">
        <f t="shared" si="432"/>
        <v>19.099999999999586</v>
      </c>
      <c r="RW108" s="284">
        <f>IF(OR(Tabla1[[#This Row],[FUM FORMULA CONFIABLE]]="",Tabla1[[#This Row],[FUM FORMULA CONFIABLE]]="SD"),"",IF(Tabla1[[#This Row],[FUM FORMULA CONFIABLE]]="CORREGIDA",Tabla1[[#This Row],[FUM X ECO 1]],Tabla1[[#This Row],[FUM x AMENORREA]]))</f>
        <v>44882.3</v>
      </c>
      <c r="RX108" s="21">
        <f>IF(AND(Tabla1[[#This Row],[FUM X ECO 1]]="",Tabla1[[#This Row],[FUM x AMENORREA]]=""),"",IF(AND(Tabla1[[#This Row],[FUM X ECO 1]]="",Tabla1[[#This Row],[FUM x AMENORREA]]&lt;&gt;""),"X",SUM(Tabla1[[#This Row],[FUM X ECO 1]]-Tabla1[[#This Row],[FUM x AMENORREA]])))</f>
        <v>-50.69999999999709</v>
      </c>
      <c r="RY108" s="21">
        <f t="shared" si="434"/>
        <v>1</v>
      </c>
    </row>
    <row r="109" spans="1:493" ht="45" customHeight="1" x14ac:dyDescent="0.25">
      <c r="A109" s="109"/>
      <c r="B109" s="43"/>
      <c r="C109" s="43" t="s">
        <v>845</v>
      </c>
      <c r="D109" s="124"/>
      <c r="E109" s="43" t="s">
        <v>1326</v>
      </c>
      <c r="F109" s="43" t="s">
        <v>1327</v>
      </c>
      <c r="G109" s="43" t="s">
        <v>1328</v>
      </c>
      <c r="H109" s="43" t="s">
        <v>1329</v>
      </c>
      <c r="I109" s="109" t="s">
        <v>851</v>
      </c>
      <c r="J109" s="110">
        <v>1061499220</v>
      </c>
      <c r="K109" s="43" t="s">
        <v>852</v>
      </c>
      <c r="L109" s="175" t="s">
        <v>1509</v>
      </c>
      <c r="M109" s="22">
        <v>38830</v>
      </c>
      <c r="N109" s="213">
        <f t="shared" ca="1" si="252"/>
        <v>17.539726027397261</v>
      </c>
      <c r="O109" s="22">
        <v>44968</v>
      </c>
      <c r="P109" s="214" t="str">
        <f t="shared" si="438"/>
        <v>SI</v>
      </c>
      <c r="Q109" s="26" t="s">
        <v>855</v>
      </c>
      <c r="R109" s="22">
        <v>44968</v>
      </c>
      <c r="S109" s="21" t="s">
        <v>856</v>
      </c>
      <c r="T109" s="24" t="s">
        <v>690</v>
      </c>
      <c r="U109" s="21" t="s">
        <v>857</v>
      </c>
      <c r="V109" s="21" t="s">
        <v>858</v>
      </c>
      <c r="W109" s="21" t="s">
        <v>1082</v>
      </c>
      <c r="X109" s="21" t="s">
        <v>1082</v>
      </c>
      <c r="Y109" s="21" t="s">
        <v>859</v>
      </c>
      <c r="Z109" s="21" t="s">
        <v>894</v>
      </c>
      <c r="AA109" s="21" t="s">
        <v>860</v>
      </c>
      <c r="AB109" s="27" t="s">
        <v>861</v>
      </c>
      <c r="AC109" s="26" t="s">
        <v>877</v>
      </c>
      <c r="AD109" s="38" t="s">
        <v>846</v>
      </c>
      <c r="AE109" s="26" t="s">
        <v>854</v>
      </c>
      <c r="AF109" s="26" t="s">
        <v>854</v>
      </c>
      <c r="AG109" s="23" t="s">
        <v>864</v>
      </c>
      <c r="AH109" s="23" t="s">
        <v>864</v>
      </c>
      <c r="AI109" s="24" t="s">
        <v>863</v>
      </c>
      <c r="AJ109" s="23" t="s">
        <v>864</v>
      </c>
      <c r="AK109" s="220" t="str">
        <f>IF(AND(AD109="",AE109="",AF109="",AG109="",AH109="",AI109="",AJ109=""),"",IF(OR(Tabla1[[#This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EVALUACIÓN",IF(AND(O109="",R109=""),"",IF(AND(OR(O109&gt;0,R109&gt;0),NG109&gt;=0,NG109&lt;2),"SIN RIESGO",IF(AND(OR(O109&gt;0,R109&gt;0),NG109&gt;=2),"CON RIESGO","ASD")))))</f>
        <v>SIN RIESGO</v>
      </c>
      <c r="AL109" s="23" t="s">
        <v>864</v>
      </c>
      <c r="AM109" s="26" t="s">
        <v>864</v>
      </c>
      <c r="AN109" s="26" t="s">
        <v>864</v>
      </c>
      <c r="AO109" s="26" t="s">
        <v>864</v>
      </c>
      <c r="AP109" s="26" t="s">
        <v>864</v>
      </c>
      <c r="AQ109" s="26" t="s">
        <v>864</v>
      </c>
      <c r="AR109" s="26" t="s">
        <v>864</v>
      </c>
      <c r="AS109" s="21">
        <v>1</v>
      </c>
      <c r="AT109" s="21">
        <v>0</v>
      </c>
      <c r="AU109" s="21">
        <v>0</v>
      </c>
      <c r="AV109" s="26" t="s">
        <v>864</v>
      </c>
      <c r="AW109" s="21">
        <v>0</v>
      </c>
      <c r="AX109" s="26" t="s">
        <v>864</v>
      </c>
      <c r="AY109" s="26" t="s">
        <v>864</v>
      </c>
      <c r="AZ109" s="26" t="s">
        <v>864</v>
      </c>
      <c r="BA109" s="26" t="s">
        <v>864</v>
      </c>
      <c r="BB109" s="26" t="s">
        <v>864</v>
      </c>
      <c r="BC109" s="26" t="s">
        <v>864</v>
      </c>
      <c r="BD109" s="26" t="s">
        <v>864</v>
      </c>
      <c r="BE109" s="26" t="s">
        <v>864</v>
      </c>
      <c r="BF109" s="26" t="s">
        <v>864</v>
      </c>
      <c r="BG109" s="26" t="s">
        <v>864</v>
      </c>
      <c r="BH109" s="26" t="s">
        <v>864</v>
      </c>
      <c r="BI109" s="26" t="s">
        <v>864</v>
      </c>
      <c r="BJ109" s="26"/>
      <c r="BK109" s="26"/>
      <c r="BL109" s="26" t="s">
        <v>864</v>
      </c>
      <c r="BM109" s="26" t="s">
        <v>864</v>
      </c>
      <c r="BN109" s="22"/>
      <c r="BO109" s="22">
        <v>44822</v>
      </c>
      <c r="BP109" s="21" t="s">
        <v>864</v>
      </c>
      <c r="BQ109" s="222">
        <f t="shared" si="254"/>
        <v>0</v>
      </c>
      <c r="BR109" s="223">
        <f t="shared" si="255"/>
        <v>44817.5</v>
      </c>
      <c r="BS109" s="224">
        <f t="shared" si="256"/>
        <v>20.857142857142858</v>
      </c>
      <c r="BT109" s="216" t="str">
        <f t="shared" si="257"/>
        <v>DEFINIR CON ECO</v>
      </c>
      <c r="BU109" s="214" t="str">
        <f t="shared" ca="1" si="258"/>
        <v/>
      </c>
      <c r="BV109" s="25"/>
      <c r="BW109" s="22">
        <v>44975</v>
      </c>
      <c r="BX109" s="28">
        <v>22.5</v>
      </c>
      <c r="BY109" s="28"/>
      <c r="BZ109" s="22"/>
      <c r="CA109" s="21"/>
      <c r="CB109" s="26" t="s">
        <v>864</v>
      </c>
      <c r="CC109" s="26" t="s">
        <v>864</v>
      </c>
      <c r="CD109" s="26"/>
      <c r="CE109" s="26" t="s">
        <v>864</v>
      </c>
      <c r="CF109" s="22" t="s">
        <v>1517</v>
      </c>
      <c r="CG109" s="21"/>
      <c r="CH109" s="21"/>
      <c r="CI109" s="214" t="str">
        <f t="shared" si="259"/>
        <v>SD</v>
      </c>
      <c r="CJ109" s="225" t="str">
        <f>IF(AND(CI109&lt;10,CH109="SD"),"SIN DATO PESO PREGESTACION O I TRIM",IF(AND(OR(R109&gt;0,O109&gt;0),CI109="X"),"INGRESAR DATO DE PESO",IF(CI109="SD","INGRESAR DATO DE TALLA Y PESO",IF(AND(OR(Tabla1[[#This Row],[MOMENTO EN QUE SE REALIZA EL PESO AL INGRESO A CPN]]="PREGESTACIÓN",NZ109="Menor"),CI109&lt;18.5),"BAJO PESO",IF(AND(OR(Tabla1[[#This Row],[MOMENTO EN QUE SE REALIZA EL PESO AL INGRESO A CPN]]="PREGESTACIÓN",NZ109="Menor"),CI109&lt;25),"NORMAL",IF(AND(OR(Tabla1[[#This Row],[MOMENTO EN QUE SE REALIZA EL PESO AL INGRESO A CPN]]="PREGESTACIÓN",NZ109="Menor"),CI109&lt;30),"SOBREPESO",IF(AND(OR(Tabla1[[#This Row],[MOMENTO EN QUE SE REALIZA EL PESO AL INGRESO A CPN]]="PREGESTACIÓN",NZ109="Menor"),CI109&gt;=30,CI109&lt;50),"OBESIDAD",IF(AND(BS109&gt;0,Tabla1[[#This Row],[MOMENTO EN QUE SE REALIZA EL PESO AL INGRESO A CPN]]="GESTACIÓN"),HLOOKUP(NZ109,$OA$2:PH109,NY109),""))))))))</f>
        <v>INGRESAR DATO DE TALLA Y PESO</v>
      </c>
      <c r="CK109" s="212">
        <f t="shared" si="260"/>
        <v>45037</v>
      </c>
      <c r="CL109" s="21"/>
      <c r="CM109" s="214" t="str">
        <f t="shared" si="261"/>
        <v>SD</v>
      </c>
      <c r="CN109" s="216">
        <f t="shared" si="262"/>
        <v>30</v>
      </c>
      <c r="CO109" s="216" t="e">
        <f>IF(PI109="","",IF(PI109&gt;0,HLOOKUP(PI109,$PJ$2:QQ109,NY109),""))</f>
        <v>#REF!</v>
      </c>
      <c r="CP109" s="21"/>
      <c r="CQ109" s="216" t="e">
        <f>IF(QR109="Menor","NO APLICA-MENOR 13 SEM",IF(AND(CC109="SI",CN109&gt;23),"NO APLICA- GEMELAR",IF(QR109="","",IF(QR109&gt;0,HLOOKUP(QR109,$QS$2:RU109,NY109),""))))</f>
        <v>#REF!</v>
      </c>
      <c r="CR109" s="21"/>
      <c r="CS109" s="21"/>
      <c r="CT109" s="217" t="str">
        <f>IF(R109="","",IF(AND(BS109&gt;1,BS109&lt;12,Tabla1[[#This Row],[T.A. SISTOLICA - ANTES DE SEMANA 12]]="",Tabla1[[#This Row],[T.A. DIASTOLICA - ANTES DE SEMANA 12]]=""),"REGISTRE DATO TA ANTES SEMANA 12",IF(AND(BS109&gt;11,BS109&lt;43,Tabla1[[#This Row],[T.A. SISTOLICA - ANTES DE SEMANA 12]]="",Tabla1[[#This Row],[T.A. DIASTOLICA - ANTES DE SEMANA 12]]=""),"NO APLICA REGISTRO TA-INGRESO TARDIO",IF(AND(OR(O109&gt;0,R109&gt;0),OR(CR109&gt;=140,CS109&gt;=90)),"DEFINIR ESTADIO HTA",IF(AND(OR(O109&gt;0,R109&gt;0),AND(CR109&gt;120,CR109&lt;=139)),"PRE HTA SEGUIMIENTO",IF(AND(OR(O109&gt;0,R109&gt;0),AND(CS109&gt;80,CS109&lt;=89)),"PRE HTA SEGUIMIENTO",IF(AND(OR(O109&gt;0,R109&gt;0),AND(CR109&gt;=80,CR109&lt;=120)),"APARENTEMENTE NORMAL",IF(AND(OR(O109&gt;0,R109&gt;0),AND(CS109&gt;=50,CS109&lt;=80)),"APARENTEMENTE NORMAL",IF(AND(OR(O109&gt;0,R109&gt;0),AND(CR109&gt;1,CR109&lt;=70),AND(CS109&gt;1,CS109&lt;=40)),"HIPOTENSIÓN","")))))))))</f>
        <v>NO APLICA REGISTRO TA-INGRESO TARDIO</v>
      </c>
      <c r="CU109" s="21">
        <v>100</v>
      </c>
      <c r="CV109" s="21">
        <v>80</v>
      </c>
      <c r="CW109" s="217" t="str">
        <f ca="1">IF(R109="","",IF(AND(CN109&gt;19,CN109&lt;27,Tabla1[[#This Row],[T.A. SISTOLICA (Entre semana 20 y 26)]]="",Tabla1[[#This Row],[T.A. DIATOLICA (Entre semana 20 y 26)]]=""),"ACUDE A CONTROL SEM 20 A 26 REGISTRE TA AHORA",IF(AND(BS109&gt;1,BS109&lt;27,BU109&gt;19,Tabla1[[#This Row],[T.A. SISTOLICA (Entre semana 20 y 26)]]="",Tabla1[[#This Row],[T.A. DIATOLICA (Entre semana 20 y 26)]]=""),"COMPLETE REGISTRO TA CONTROL SEM 20 A26 ",IF(AND(BS109&gt;26,BS109&lt;43,Tabla1[[#This Row],[T.A. SISTOLICA (Entre semana 20 y 26)]]="",Tabla1[[#This Row],[T.A. DIATOLICA (Entre semana 20 y 26)]]=""),"NO APLICA REGISTRO TA-INGRESO TARDIO",IF(AND(OR(O109&gt;0,R109&gt;0),OR(CU109&gt;=140,CV109&gt;=90)),"ALTO RIESGO PREECLAMPSIA,DEFINIR ESTADIO HTA",IF(AND(OR(O109&gt;0,R109&gt;0),AND(CU109&gt;120,CU109&lt;=139)),"PRE HTA SEGUIMIENTO,RIESGO HIPERTENSION INDUCIDA POR EL EMBARAZO",IF(AND(OR(O109&gt;0,R109&gt;0),AND(CV109&gt;80,CV109&lt;=89)),"PRE HTA SEGUIMIENTO, RIESGO HIPERTENSION INDUCIDA POR EL EMBARAZO",IF(AND(OR(O109&lt;&gt;"",R109&lt;&gt;""),CS109&lt;&gt;"",CV109&lt;&gt;"",CS109&lt;=CV109),"VIGILAR CIFRAS PRESION ARTERIAL",IF(AND(OR(O109&gt;0,R109&gt;0),AND(CU109&gt;120,CU109&lt;=139)),"PRE HTA SEGUIMIENTO",IF(AND(OR(O109&gt;0,R109&gt;0),AND(CU109&gt;1,CU109&lt;=70),AND(CV109&gt;1,CV109&lt;=40)),"HIPOTENSIÓN",IF(AND(OR(O109&lt;&gt;"",R109&lt;&gt;""),CS109&lt;&gt;"",CV109&lt;&gt;"",CS109&gt;CV109),"APARENTEMENTE NORMAL",IF(AND(OR(O109&gt;0,R109&gt;0),AND(CU109&gt;=80,CU109&lt;=120)),"APARENTEMENTE NORMAL",IF(AND(OR(O109&gt;0,R109&gt;0),AND(CV109&gt;=50,CV109&lt;=80)),"APARENTEMENTE NORMAL","")))))))))))))</f>
        <v>APARENTEMENTE NORMAL</v>
      </c>
      <c r="CX109" s="21"/>
      <c r="CY109" s="21"/>
      <c r="CZ109" s="216" t="str">
        <f t="shared" si="457"/>
        <v/>
      </c>
      <c r="DA109" s="21"/>
      <c r="DB109" s="21"/>
      <c r="DC109" s="217" t="str">
        <f t="shared" si="264"/>
        <v>REGISTRE DATO PRESIÓN ARTERIAL MENSUAL</v>
      </c>
      <c r="DD109" s="22">
        <v>44968</v>
      </c>
      <c r="DE109" s="22">
        <v>44968</v>
      </c>
      <c r="DF109" s="22">
        <v>45037</v>
      </c>
      <c r="DG109" s="22"/>
      <c r="DH109" s="22"/>
      <c r="DI109" s="22"/>
      <c r="DJ109" s="22"/>
      <c r="DK109" s="22"/>
      <c r="DL109" s="22"/>
      <c r="DM109" s="22"/>
      <c r="DN109" s="22"/>
      <c r="DO109" s="22"/>
      <c r="DP109" s="22"/>
      <c r="DQ109" s="22"/>
      <c r="DR109" s="28">
        <v>1</v>
      </c>
      <c r="DS109" s="22"/>
      <c r="DT109" s="22"/>
      <c r="DU109" s="216" t="str">
        <f t="shared" ca="1" si="439"/>
        <v>SALE SIN PLAN DE PARTO</v>
      </c>
      <c r="DV109" s="226" t="str">
        <f t="shared" si="440"/>
        <v>SALIO PROGRAMA</v>
      </c>
      <c r="DW109"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09" s="216" t="str">
        <f t="shared" ca="1" si="266"/>
        <v/>
      </c>
      <c r="DY109" s="212">
        <f>IF(R109="","",IF(R109&gt;0,MAX(Tabla1[[#This Row],[FECHA C2]:[FECHA C13]],Tabla1[[#This Row],[FECHA CONSULTA PRIMERA VEZ PROGRAMA CPN ]])))</f>
        <v>45037</v>
      </c>
      <c r="DZ109" s="216">
        <f t="shared" si="267"/>
        <v>30</v>
      </c>
      <c r="EA109" s="222">
        <f>IF(R109&gt;0,SUM(COUNTA(DF109:DQ109)+COUNTA(Tabla1[[#This Row],[FECHA CONSULTA PRIMERA VEZ PROGRAMA CPN ]])),"")</f>
        <v>2</v>
      </c>
      <c r="EB109" s="222" t="str">
        <f t="shared" si="268"/>
        <v>NO</v>
      </c>
      <c r="EC109" s="214">
        <f t="shared" si="269"/>
        <v>6</v>
      </c>
      <c r="ED109" s="227">
        <f t="shared" si="270"/>
        <v>0.33333333333333331</v>
      </c>
      <c r="EE109" s="22">
        <v>44968</v>
      </c>
      <c r="EF109" s="22">
        <v>44968</v>
      </c>
      <c r="EG109" s="22">
        <v>44968</v>
      </c>
      <c r="EH109" s="22"/>
      <c r="EI109" s="22">
        <v>44968</v>
      </c>
      <c r="EJ109" s="22">
        <v>44995</v>
      </c>
      <c r="EK109" s="22"/>
      <c r="EL109" s="21"/>
      <c r="EM109" s="21">
        <v>12.7</v>
      </c>
      <c r="EN109" s="22">
        <v>44968</v>
      </c>
      <c r="EO109" s="222">
        <f t="shared" si="271"/>
        <v>20.857142857142858</v>
      </c>
      <c r="EP109" s="214" t="str">
        <f t="shared" si="272"/>
        <v>NORMAL- SUMINISTRAR SULFATO FERROSO</v>
      </c>
      <c r="EQ109" s="216" t="str">
        <f t="shared" si="273"/>
        <v>II TRIM</v>
      </c>
      <c r="ER109" s="24"/>
      <c r="ES109" s="22"/>
      <c r="ET109" s="29" t="str">
        <f t="shared" ca="1" si="441"/>
        <v>SALE SIN TAMIZAJE HEMOGLOBINA SEM 28</v>
      </c>
      <c r="EU109" s="25" t="str">
        <f t="shared" si="275"/>
        <v/>
      </c>
      <c r="EV109" s="24" t="s">
        <v>866</v>
      </c>
      <c r="EW109" s="24">
        <v>44968</v>
      </c>
      <c r="EX109" s="22"/>
      <c r="EY109" s="29">
        <f t="shared" si="454"/>
        <v>20.857142857142858</v>
      </c>
      <c r="EZ109" s="25" t="str">
        <f t="shared" ca="1" si="455"/>
        <v/>
      </c>
      <c r="FA109" s="21"/>
      <c r="FB109" s="22"/>
      <c r="FC109" s="29" t="str">
        <f t="shared" si="276"/>
        <v>TOMAR EXAMEN</v>
      </c>
      <c r="FD109" s="29"/>
      <c r="FE109" s="29"/>
      <c r="FF109" s="29"/>
      <c r="FG109" s="21" t="str">
        <f t="shared" ca="1" si="277"/>
        <v/>
      </c>
      <c r="FH109" s="31"/>
      <c r="FI109" s="29" t="str">
        <f t="shared" si="278"/>
        <v>TOMAR EXAMEN</v>
      </c>
      <c r="FJ109" s="22"/>
      <c r="FK109" s="22"/>
      <c r="FL109" s="29" t="str">
        <f t="shared" ca="1" si="279"/>
        <v>NO APLICA-INGRESO TARDIO</v>
      </c>
      <c r="FM109" s="22" t="s">
        <v>867</v>
      </c>
      <c r="FN109" s="32">
        <v>44968</v>
      </c>
      <c r="FO109" s="29">
        <f t="shared" ca="1" si="442"/>
        <v>20.857142857142858</v>
      </c>
      <c r="FP109" s="22"/>
      <c r="FQ109" s="32"/>
      <c r="FR109" s="29" t="str">
        <f t="shared" ca="1" si="443"/>
        <v>PIERDE TOMA DE TAMIZAJE</v>
      </c>
      <c r="FS109" s="22"/>
      <c r="FT109" s="32"/>
      <c r="FU109" s="29" t="str">
        <f>IF(AND(FJ109="",FM109="",FP109="",FS109=""),"",IF(OR(OR(Tabla1[[#This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09" s="28"/>
      <c r="FW109" s="22"/>
      <c r="FX109" s="29" t="str">
        <f t="shared" si="280"/>
        <v>TOMAR EXAMEN</v>
      </c>
      <c r="FY109" s="22">
        <v>44968</v>
      </c>
      <c r="FZ109" s="22">
        <v>44968</v>
      </c>
      <c r="GA109" s="29" t="str">
        <f t="shared" si="453"/>
        <v>REGISTRAR EN II TRIMESTRE</v>
      </c>
      <c r="GB109" s="22" t="s">
        <v>868</v>
      </c>
      <c r="GC109" s="22">
        <v>44968</v>
      </c>
      <c r="GD109" s="29">
        <f t="shared" ca="1" si="444"/>
        <v>20.857142857142858</v>
      </c>
      <c r="GE109" s="22"/>
      <c r="GF109" s="22"/>
      <c r="GG109" s="29" t="str">
        <f t="shared" ca="1" si="445"/>
        <v>PIERDE TOMA DE TAMIZAJE</v>
      </c>
      <c r="GH109" s="22"/>
      <c r="GI109" s="29"/>
      <c r="GJ109" s="22"/>
      <c r="GK109" s="22"/>
      <c r="GL109" s="22"/>
      <c r="GM109" s="22"/>
      <c r="GN109" s="28" t="s">
        <v>869</v>
      </c>
      <c r="GO109" s="22">
        <v>44968</v>
      </c>
      <c r="GP109" s="29">
        <f t="shared" si="283"/>
        <v>20.857142857142858</v>
      </c>
      <c r="GQ109" s="28"/>
      <c r="GR109" s="28" t="s">
        <v>869</v>
      </c>
      <c r="GS109" s="22" t="str">
        <f t="shared" si="458"/>
        <v/>
      </c>
      <c r="GT109" s="22">
        <v>44968</v>
      </c>
      <c r="GU109" s="29">
        <f t="shared" si="285"/>
        <v>20.857142857142858</v>
      </c>
      <c r="GV109" s="21" t="str">
        <f t="shared" si="286"/>
        <v>II TRIM</v>
      </c>
      <c r="GW109" s="28" t="s">
        <v>869</v>
      </c>
      <c r="GX109" s="30"/>
      <c r="GY109" s="21"/>
      <c r="GZ109" s="21"/>
      <c r="HA109" s="21"/>
      <c r="HB109" s="21"/>
      <c r="HC109" s="21"/>
      <c r="HD109" s="21"/>
      <c r="HE109" s="21"/>
      <c r="HF109" s="22"/>
      <c r="HG109" s="22" t="str">
        <f>IF(OR(O109&gt;0,R109&gt;0),CONCATENATE(IF(Tabla1[[#This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09" s="22" t="e">
        <f t="shared" si="287"/>
        <v>#REF!</v>
      </c>
      <c r="HI109" s="22" t="e">
        <f t="shared" ca="1" si="288"/>
        <v>#REF!</v>
      </c>
      <c r="HJ109" s="21" t="str">
        <f t="shared" ca="1" si="289"/>
        <v>**********************MULTIPARIDAD*****************</v>
      </c>
      <c r="HK109" s="21" t="str">
        <f t="shared" si="290"/>
        <v>SIN ANTECEDENTES DE RIESGO</v>
      </c>
      <c r="HL109" s="24" t="str">
        <f t="shared" si="291"/>
        <v>REGISTRE DATO PRESIÓN ARTERIAL MENSUAL</v>
      </c>
      <c r="HM109" s="21" t="str">
        <f t="shared" ca="1" si="292"/>
        <v/>
      </c>
      <c r="HN109" s="30" t="str">
        <f t="shared" si="446"/>
        <v>SALIO PROGRAMA</v>
      </c>
      <c r="HO109" s="21"/>
      <c r="HP109" s="21"/>
      <c r="HQ109" s="21">
        <v>44968</v>
      </c>
      <c r="HR109" s="21" t="str">
        <f>IF(R109="","",IF(Tabla1[[#This Row],[ALARMA FACTORES DE RIESGO COMPLICACIONES HIPERTENSIVAS3]]="SIN ANTECEDENTES DE RIESGO","No Aplica para suministro de ASA",IF(AND(Tabla1[[#This Row],[FECHA INICIO DE SUMINISTRO DE ASA]]&gt;0,RV109&lt;12),"Inicia ASA ANTES de Sem 12",IF(AND(RV109&gt;11,RV109&lt;17,OR(HK109="RIESGO ALTO DE COMPLICACIONES HIPERTENSIVAS VER MANEJO GUIA SUMINISTRO ASA Y CALCIO",HK109="RIESGO MODERADO (2 O MAS CRITERIOS) VER MANEJO GUIA SUMINISTRO ASA Y CALCIO")),"Inicio oportuno de ASA",IF(AND(RV109&gt;12,OR(HK109="RIESGO ALTO DE COMPLICACIONES HIPERTENSIVAS VER MANEJO GUIA SUMINISTRO ASA Y CALCIO",HK109="RIESGO MODERADO (2 O MAS CRITERIOS) VER MANEJO GUIA SUMINISTRO ASA Y CALCIO")),"Inicio no oportuno mayor a 16 semanas",IF(AND(BU109&lt;12,OR(HK109="RIESGO ALTO DE COMPLICACIONES HIPERTENSIVAS VER MANEJO GUIA SUMINISTRO ASA Y CALCIO",HK109="RIESGO MODERADO (2 O MAS CRITERIOS) VER MANEJO GUIA SUMINISTRO ASA Y CALCIO")),"Pendiente Inicio de ASA a la semana 12",IF(AND(BU109&gt;11,BU109&lt;17,OR(HK109="RIESGO ALTO DE COMPLICACIONES HIPERTENSIVAS VER MANEJO GUIA SUMINISTRO ASA Y CALCIO",HK109="RIESGO MODERADO (2 O MAS CRITERIOS) VER MANEJO GUIA SUMINISTRO ASA Y CALCIO")),"Iniciar de inmediato ASA",IF(AND(BU109&gt;16,OR(HK109="RIESGO ALTO DE COMPLICACIONES HIPERTENSIVAS VER MANEJO GUIA SUMINISTRO ASA Y CALCIO",HK109="RIESGO MODERADO (2 O MAS CRITERIOS) VER MANEJO GUIA SUMINISTRO ASA Y CALCIO")),"Pierde Oportunidad, Inicio tardío de ASA","XXXXX"))))))))</f>
        <v>No Aplica para suministro de ASA</v>
      </c>
      <c r="HS109" s="22">
        <v>44968</v>
      </c>
      <c r="HT109" s="22" t="s">
        <v>870</v>
      </c>
      <c r="HU109" s="22">
        <v>44968</v>
      </c>
      <c r="HV109" s="22" t="s">
        <v>870</v>
      </c>
      <c r="HW109" s="22">
        <v>44968</v>
      </c>
      <c r="HX109" s="22" t="s">
        <v>870</v>
      </c>
      <c r="HY109" s="22">
        <v>44968</v>
      </c>
      <c r="HZ109" s="28">
        <f t="shared" si="293"/>
        <v>20.857142857142858</v>
      </c>
      <c r="IA109" s="26"/>
      <c r="IB109" s="26"/>
      <c r="IC109" s="111"/>
      <c r="ID109" s="22"/>
      <c r="IE109" s="22" t="str">
        <f t="shared" ca="1" si="294"/>
        <v>SALE SIN VACUNA</v>
      </c>
      <c r="IF109" s="22"/>
      <c r="IG109" s="22">
        <f t="shared" si="295"/>
        <v>45102</v>
      </c>
      <c r="IH109" s="29">
        <f t="shared" ca="1" si="296"/>
        <v>-130</v>
      </c>
      <c r="II109" s="22" t="str">
        <f t="shared" ca="1" si="297"/>
        <v>POSIBLEMENTE NACIO</v>
      </c>
      <c r="IJ109" s="22"/>
      <c r="IK109" s="21" t="s">
        <v>898</v>
      </c>
      <c r="IL109" s="21"/>
      <c r="IM109" s="34"/>
      <c r="IN109" s="349">
        <v>45109</v>
      </c>
      <c r="IO109" s="21"/>
      <c r="IP109" s="29">
        <f t="shared" si="490"/>
        <v>41</v>
      </c>
      <c r="IQ109" s="35" t="s">
        <v>1650</v>
      </c>
      <c r="IR109" s="21" t="s">
        <v>1651</v>
      </c>
      <c r="IS109" s="21" t="s">
        <v>1646</v>
      </c>
      <c r="IT109" s="21" t="s">
        <v>1642</v>
      </c>
      <c r="IU109" s="21"/>
      <c r="IV109" s="21"/>
      <c r="IW109" s="21"/>
      <c r="IX109" s="21"/>
      <c r="IY109" s="21"/>
      <c r="IZ109" s="21"/>
      <c r="JA109" s="21"/>
      <c r="JB109" s="30">
        <v>1</v>
      </c>
      <c r="JC109" s="21" t="s">
        <v>1647</v>
      </c>
      <c r="JD109" s="36">
        <v>3580</v>
      </c>
      <c r="JE109" s="21" t="str">
        <f t="shared" si="447"/>
        <v>PESO ADECUADO EDAD GESTACIONAL</v>
      </c>
      <c r="JF109" s="30"/>
      <c r="JG109" s="21"/>
      <c r="JH109" s="21"/>
      <c r="JI109" s="21" t="s">
        <v>854</v>
      </c>
      <c r="JJ109" s="30" t="s">
        <v>866</v>
      </c>
      <c r="JK109" s="22"/>
      <c r="JL109" s="22"/>
      <c r="JM109" s="21"/>
      <c r="JN109" s="36"/>
      <c r="JO109" s="21" t="str">
        <f t="shared" si="448"/>
        <v/>
      </c>
      <c r="JP109" s="22"/>
      <c r="JQ109" s="21"/>
      <c r="JR109" s="21"/>
      <c r="JS109" s="21"/>
      <c r="JT109" s="30"/>
      <c r="JU109" s="22"/>
      <c r="JV109" s="22"/>
      <c r="JW109" s="33"/>
      <c r="JX109" s="28" t="str">
        <f t="shared" si="449"/>
        <v>INASISTENTE</v>
      </c>
      <c r="JY109" s="33"/>
      <c r="JZ109" s="28" t="str">
        <f t="shared" si="450"/>
        <v>INASISTENTE</v>
      </c>
      <c r="KA109" s="21"/>
      <c r="KB109" s="21"/>
      <c r="KC109" s="21"/>
      <c r="KD109" s="37"/>
      <c r="KE109" s="28"/>
      <c r="KF109" s="28"/>
      <c r="KG109" s="28"/>
      <c r="KH109" s="39"/>
      <c r="KI109" s="39"/>
      <c r="KJ109" s="66"/>
      <c r="KK109" s="39"/>
      <c r="KL109" s="39"/>
      <c r="KM109" s="66"/>
      <c r="KN109" s="39"/>
      <c r="KO109" s="39"/>
      <c r="KP109" s="39"/>
      <c r="KQ109" s="39"/>
      <c r="KR109" s="39"/>
      <c r="KS109" s="39"/>
      <c r="KT109" s="39"/>
      <c r="KU109" s="38"/>
      <c r="KV109" s="38"/>
      <c r="KW109" s="38"/>
      <c r="KX109" s="38"/>
      <c r="KY109" s="38"/>
      <c r="KZ109" s="38"/>
      <c r="LA109" s="38"/>
      <c r="LB109" s="38"/>
      <c r="LC109" s="38"/>
      <c r="LD109" s="38"/>
      <c r="LE109" s="38"/>
      <c r="LF109" s="38"/>
      <c r="LG109" s="38"/>
      <c r="LH109" s="38"/>
      <c r="LI109" s="38"/>
      <c r="LJ109" s="38"/>
      <c r="LK109" s="38"/>
      <c r="LL109" s="38"/>
      <c r="LM109" s="38"/>
      <c r="LN109" s="38"/>
      <c r="LO109" s="38"/>
      <c r="LP109" s="38"/>
      <c r="LQ109" s="38"/>
      <c r="LR109" s="38"/>
      <c r="LS109" s="38"/>
      <c r="LT109" s="38"/>
      <c r="LU109" s="38"/>
      <c r="LV109" s="38"/>
      <c r="LW109" s="38"/>
      <c r="LX109" s="38"/>
      <c r="LY109" s="38"/>
      <c r="LZ109" s="38"/>
      <c r="MA109" s="38"/>
      <c r="MB109" s="38"/>
      <c r="MC109" s="38"/>
      <c r="MD109" s="38"/>
      <c r="ME109" s="38"/>
      <c r="MF109" s="38"/>
      <c r="MG109" s="38"/>
      <c r="MH109" s="43">
        <f t="shared" si="459"/>
        <v>0</v>
      </c>
      <c r="MI109" s="43" t="str">
        <f t="shared" si="460"/>
        <v/>
      </c>
      <c r="MJ109" s="43" t="str">
        <f t="shared" si="461"/>
        <v/>
      </c>
      <c r="MK109" s="43">
        <f t="shared" si="462"/>
        <v>0</v>
      </c>
      <c r="ML10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09" s="43">
        <f t="shared" si="463"/>
        <v>20.857142857142858</v>
      </c>
      <c r="MN109" s="43">
        <f t="shared" si="464"/>
        <v>2</v>
      </c>
      <c r="MO109" s="43">
        <f t="shared" si="465"/>
        <v>2023</v>
      </c>
      <c r="MP109" s="43" t="str">
        <f t="shared" si="466"/>
        <v>I TRIMESTRE AÑO</v>
      </c>
      <c r="MQ109" s="43">
        <f t="shared" si="467"/>
        <v>16.557161629434955</v>
      </c>
      <c r="MR109" s="43">
        <f t="shared" si="468"/>
        <v>0</v>
      </c>
      <c r="MS109" s="43" t="str">
        <f t="shared" si="469"/>
        <v>DE 14 A 19AÑOS</v>
      </c>
      <c r="MT109" s="43">
        <f t="shared" si="470"/>
        <v>0</v>
      </c>
      <c r="MU109" s="43">
        <f t="shared" si="471"/>
        <v>1</v>
      </c>
      <c r="MV109" s="43">
        <f t="shared" si="472"/>
        <v>0</v>
      </c>
      <c r="MW109" s="43">
        <f t="shared" si="473"/>
        <v>0</v>
      </c>
      <c r="MX109" s="43" t="str">
        <f t="shared" si="474"/>
        <v/>
      </c>
      <c r="MY109" s="43" t="str">
        <f t="shared" ca="1" si="451"/>
        <v/>
      </c>
      <c r="MZ109" s="43" t="str">
        <f t="shared" si="475"/>
        <v/>
      </c>
      <c r="NA109" s="43" t="str">
        <f t="shared" si="476"/>
        <v/>
      </c>
      <c r="NB109" s="43" t="str">
        <f t="shared" si="477"/>
        <v/>
      </c>
      <c r="NC109" s="43" t="str">
        <f t="shared" si="478"/>
        <v/>
      </c>
      <c r="ND109" s="43">
        <f t="shared" ca="1" si="479"/>
        <v>1</v>
      </c>
      <c r="NE109" s="43">
        <f>IF(OR(O109&gt;0,R109&gt;0),SUM(COUNTIF(Tabla1[[#This Row],[AÑOS AL INICIO5 CPN]],"&gt;=40"),COUNTIF(AS109,"0"),COUNTIF(AR109,"SI"),COUNTIF(CC109,"SI"),COUNTIF(BQ109,"&gt;119"),COUNTIF(CI109,"&gt;=35")),"")</f>
        <v>0</v>
      </c>
      <c r="NF109" s="43" t="str">
        <f t="shared" si="480"/>
        <v/>
      </c>
      <c r="NG109" s="43">
        <f t="shared" si="481"/>
        <v>0</v>
      </c>
      <c r="NH109" s="43">
        <f t="shared" si="482"/>
        <v>157.5</v>
      </c>
      <c r="NI109"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CPN",P109="NO"),"Z",IF(AND(Tabla1[[#This Row],[CITA PROXIMO CONTROL]]="CITA MANUAL",Tabla1[[#This Row],[GESTANTES ACTUALES]]="ACTIVA INGRESO A CPN"),"W",IF(AND(Tabla1[[#This Row],[GESTANTES ACTUALES]]="SALIO PROGRAMA",IN109=""),"S",IF(AND(Tabla1[[#This Row],[CITA PROXIMO CONTROL]]&gt;0,IN109=""),(Tabla1[[#This Row],[CITA PROXIMO CONTROL]]-TODAY()),"SD"))))))))</f>
        <v>SD</v>
      </c>
      <c r="NJ109" s="43">
        <f>MONTH(Tabla1[[#This Row],[FECHA DE SALIDA  DEL PROGRAMA]])</f>
        <v>7</v>
      </c>
      <c r="NK109" s="43">
        <f>YEAR(Tabla1[[#This Row],[FECHA DE SALIDA  DEL PROGRAMA]])</f>
        <v>2023</v>
      </c>
      <c r="NL109" s="43">
        <f t="shared" si="483"/>
        <v>27</v>
      </c>
      <c r="NM109" s="43" t="str">
        <f t="shared" si="456"/>
        <v>NO</v>
      </c>
      <c r="NN109" s="43" t="str">
        <f ca="1">IF(AND(O109&gt;0,R109=""),"NO CPN",IF(AND(O109="",R109=""),"",IF(AND(R109&gt;0,Tabla1[[#This Row],[SEMANAS DE GESTACION ACTUALIZADAS]]&lt;=12),"NO APLICA",IF(AND(FH109&lt;&gt;"",FN109&lt;&gt;""),"SI","NO"))))</f>
        <v>NO</v>
      </c>
      <c r="NO109" s="43" t="str">
        <f ca="1">IF(AND(O109&gt;0,R109=""),"NO CPN",IF(AND(O109="",R109=""),"",IF(AND(R109&gt;0,Tabla1[[#This Row],[SEMANAS DE GESTACION ACTUALIZADAS]]&lt;=27),"NO APLICA",IF(AND(ES109&lt;&gt;"",FQ109&lt;&gt;"",GF109&lt;&gt;""),"SI","NO"))))</f>
        <v>NO</v>
      </c>
      <c r="NP109" s="204" t="str">
        <f t="shared" si="484"/>
        <v>DEFINIR CON ECO</v>
      </c>
      <c r="NQ109" s="21">
        <f t="shared" si="437"/>
        <v>10</v>
      </c>
      <c r="NR109" s="21">
        <f t="shared" si="452"/>
        <v>2</v>
      </c>
      <c r="NS109" s="205">
        <f t="shared" ca="1" si="485"/>
        <v>1</v>
      </c>
      <c r="NT109" s="21">
        <f t="shared" ca="1" si="486"/>
        <v>1</v>
      </c>
      <c r="NU109" s="21" t="str">
        <f t="shared" ca="1" si="487"/>
        <v>INCOMPLETO</v>
      </c>
      <c r="NV109" s="21" t="str">
        <f t="shared" ca="1" si="488"/>
        <v>INCOMPLETO</v>
      </c>
      <c r="NW109" s="206" t="str">
        <f>IF(AND(O109="",R109=""),"",IF(OR(AND(Tabla1[[#This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09" s="207" t="str">
        <f t="shared" ca="1" si="489"/>
        <v>SIN VACUNAR</v>
      </c>
      <c r="NY109" s="43">
        <f>ROW(Tabla1[[#This Row],['# DE TAMIZAJES SIFILIS TOMADOS ]])</f>
        <v>109</v>
      </c>
      <c r="NZ109" s="43">
        <f t="shared" si="334"/>
        <v>20</v>
      </c>
      <c r="OA109" s="43" t="str">
        <f t="shared" si="335"/>
        <v/>
      </c>
      <c r="OB109" s="43" t="str">
        <f t="shared" si="336"/>
        <v/>
      </c>
      <c r="OC109" s="43" t="str">
        <f t="shared" si="337"/>
        <v/>
      </c>
      <c r="OD109" s="43" t="str">
        <f t="shared" si="338"/>
        <v/>
      </c>
      <c r="OE109" s="43" t="str">
        <f t="shared" si="339"/>
        <v/>
      </c>
      <c r="OF109" s="43" t="str">
        <f t="shared" si="340"/>
        <v/>
      </c>
      <c r="OG109" s="43" t="str">
        <f t="shared" si="341"/>
        <v/>
      </c>
      <c r="OH109" s="43" t="str">
        <f t="shared" si="342"/>
        <v/>
      </c>
      <c r="OI109" s="43" t="str">
        <f t="shared" si="343"/>
        <v/>
      </c>
      <c r="OJ109" s="43" t="str">
        <f t="shared" si="344"/>
        <v/>
      </c>
      <c r="OK109" s="43" t="str">
        <f t="shared" si="345"/>
        <v/>
      </c>
      <c r="OL109" s="43" t="str">
        <f t="shared" si="346"/>
        <v/>
      </c>
      <c r="OM109" s="43" t="str">
        <f t="shared" si="347"/>
        <v/>
      </c>
      <c r="ON109" s="43" t="str">
        <f t="shared" si="348"/>
        <v/>
      </c>
      <c r="OO109" s="43" t="str">
        <f t="shared" si="349"/>
        <v/>
      </c>
      <c r="OP109" s="43" t="str">
        <f t="shared" si="350"/>
        <v/>
      </c>
      <c r="OQ109" s="43" t="str">
        <f t="shared" si="351"/>
        <v/>
      </c>
      <c r="OR109" s="43" t="str">
        <f t="shared" si="352"/>
        <v/>
      </c>
      <c r="OS109" s="43" t="str">
        <f t="shared" si="353"/>
        <v/>
      </c>
      <c r="OT109" s="43" t="str">
        <f t="shared" si="354"/>
        <v/>
      </c>
      <c r="OU109" s="43" t="str">
        <f t="shared" si="355"/>
        <v/>
      </c>
      <c r="OV109" s="110" t="str">
        <f t="shared" si="356"/>
        <v/>
      </c>
      <c r="OW109" s="43" t="str">
        <f t="shared" si="357"/>
        <v/>
      </c>
      <c r="OX109" s="43" t="str">
        <f t="shared" si="358"/>
        <v/>
      </c>
      <c r="OY109" s="43" t="str">
        <f t="shared" si="359"/>
        <v/>
      </c>
      <c r="OZ109" s="43" t="str">
        <f t="shared" si="360"/>
        <v/>
      </c>
      <c r="PA109" s="43" t="str">
        <f t="shared" si="361"/>
        <v/>
      </c>
      <c r="PB109" s="43" t="str">
        <f t="shared" si="362"/>
        <v/>
      </c>
      <c r="PC109" s="43" t="str">
        <f t="shared" si="363"/>
        <v/>
      </c>
      <c r="PD109" s="43" t="str">
        <f t="shared" si="364"/>
        <v/>
      </c>
      <c r="PE109" s="43" t="str">
        <f t="shared" si="365"/>
        <v/>
      </c>
      <c r="PF109" s="43" t="str">
        <f t="shared" si="366"/>
        <v/>
      </c>
      <c r="PG109" s="43" t="str">
        <f t="shared" si="367"/>
        <v/>
      </c>
      <c r="PH109" s="43" t="str">
        <f t="shared" si="368"/>
        <v/>
      </c>
      <c r="PI109" s="43">
        <f t="shared" si="369"/>
        <v>30</v>
      </c>
      <c r="PJ109" s="43" t="str">
        <f t="shared" si="370"/>
        <v/>
      </c>
      <c r="PK109" s="43" t="str">
        <f t="shared" si="371"/>
        <v/>
      </c>
      <c r="PL109" s="43" t="str">
        <f t="shared" si="372"/>
        <v/>
      </c>
      <c r="PM109" s="43" t="str">
        <f t="shared" si="373"/>
        <v/>
      </c>
      <c r="PN109" s="43" t="str">
        <f t="shared" si="374"/>
        <v/>
      </c>
      <c r="PO109" s="43" t="str">
        <f t="shared" si="375"/>
        <v/>
      </c>
      <c r="PP109" s="43" t="str">
        <f t="shared" si="376"/>
        <v/>
      </c>
      <c r="PQ109" s="43" t="str">
        <f t="shared" si="377"/>
        <v/>
      </c>
      <c r="PR109" s="43" t="str">
        <f t="shared" si="378"/>
        <v/>
      </c>
      <c r="PS109" s="43" t="str">
        <f t="shared" si="379"/>
        <v/>
      </c>
      <c r="PT109" s="43" t="str">
        <f t="shared" si="380"/>
        <v/>
      </c>
      <c r="PU109" s="43" t="str">
        <f t="shared" si="381"/>
        <v/>
      </c>
      <c r="PV109" s="43" t="str">
        <f t="shared" si="382"/>
        <v/>
      </c>
      <c r="PW109" s="43" t="str">
        <f t="shared" si="383"/>
        <v/>
      </c>
      <c r="PX109" s="43" t="str">
        <f t="shared" si="384"/>
        <v/>
      </c>
      <c r="PY109" s="43" t="str">
        <f t="shared" si="385"/>
        <v/>
      </c>
      <c r="PZ109" s="43" t="str">
        <f t="shared" si="386"/>
        <v/>
      </c>
      <c r="QA109" s="43" t="str">
        <f t="shared" si="387"/>
        <v/>
      </c>
      <c r="QB109" s="43" t="str">
        <f t="shared" si="388"/>
        <v/>
      </c>
      <c r="QC109" s="43" t="str">
        <f t="shared" si="389"/>
        <v/>
      </c>
      <c r="QD109" s="43" t="str">
        <f t="shared" si="390"/>
        <v/>
      </c>
      <c r="QE109" s="43" t="str">
        <f t="shared" si="391"/>
        <v/>
      </c>
      <c r="QF109" s="43" t="str">
        <f t="shared" si="392"/>
        <v/>
      </c>
      <c r="QG109" s="43" t="str">
        <f t="shared" si="393"/>
        <v/>
      </c>
      <c r="QH109" s="43" t="str">
        <f t="shared" si="394"/>
        <v/>
      </c>
      <c r="QI109" s="43" t="str">
        <f t="shared" si="395"/>
        <v/>
      </c>
      <c r="QJ109" s="43" t="str">
        <f t="shared" si="396"/>
        <v/>
      </c>
      <c r="QK109" s="43" t="str">
        <f t="shared" si="397"/>
        <v/>
      </c>
      <c r="QL109" s="43" t="str">
        <f t="shared" si="398"/>
        <v/>
      </c>
      <c r="QM109" s="43" t="str">
        <f t="shared" si="399"/>
        <v/>
      </c>
      <c r="QN109" s="43" t="str">
        <f t="shared" si="400"/>
        <v/>
      </c>
      <c r="QO109" s="43" t="str">
        <f t="shared" si="401"/>
        <v/>
      </c>
      <c r="QP109" s="43" t="str">
        <f t="shared" si="402"/>
        <v/>
      </c>
      <c r="QQ109" s="43" t="str">
        <f t="shared" si="403"/>
        <v/>
      </c>
      <c r="QR109" s="43">
        <f t="shared" si="433"/>
        <v>30</v>
      </c>
      <c r="QS109" s="43"/>
      <c r="QT109" s="21" t="str">
        <f t="shared" si="404"/>
        <v/>
      </c>
      <c r="QU109" s="21" t="str">
        <f t="shared" si="405"/>
        <v/>
      </c>
      <c r="QV109" s="21" t="str">
        <f t="shared" si="406"/>
        <v/>
      </c>
      <c r="QW109" s="21" t="str">
        <f t="shared" si="407"/>
        <v/>
      </c>
      <c r="QX109" s="21" t="str">
        <f t="shared" si="408"/>
        <v/>
      </c>
      <c r="QY109" s="21" t="str">
        <f t="shared" si="409"/>
        <v/>
      </c>
      <c r="QZ109" s="21" t="str">
        <f t="shared" si="410"/>
        <v/>
      </c>
      <c r="RA109" s="21" t="str">
        <f t="shared" si="411"/>
        <v/>
      </c>
      <c r="RB109" s="21" t="str">
        <f t="shared" si="412"/>
        <v/>
      </c>
      <c r="RC109" s="21" t="str">
        <f t="shared" si="413"/>
        <v/>
      </c>
      <c r="RD109" s="21" t="str">
        <f t="shared" si="414"/>
        <v/>
      </c>
      <c r="RE109" s="21" t="str">
        <f t="shared" si="415"/>
        <v/>
      </c>
      <c r="RF109" s="21" t="str">
        <f t="shared" si="416"/>
        <v/>
      </c>
      <c r="RG109" s="21" t="str">
        <f t="shared" si="417"/>
        <v/>
      </c>
      <c r="RH109" s="21" t="str">
        <f t="shared" si="418"/>
        <v/>
      </c>
      <c r="RI109" s="21" t="str">
        <f t="shared" si="419"/>
        <v/>
      </c>
      <c r="RJ109" s="21" t="str">
        <f t="shared" si="420"/>
        <v/>
      </c>
      <c r="RK109" s="21" t="str">
        <f t="shared" si="421"/>
        <v/>
      </c>
      <c r="RL109" s="21" t="str">
        <f t="shared" si="422"/>
        <v/>
      </c>
      <c r="RM109" s="21" t="str">
        <f t="shared" si="423"/>
        <v/>
      </c>
      <c r="RN109" s="21" t="str">
        <f t="shared" si="424"/>
        <v/>
      </c>
      <c r="RO109" s="21" t="str">
        <f t="shared" si="425"/>
        <v/>
      </c>
      <c r="RP109" s="21" t="str">
        <f t="shared" si="426"/>
        <v/>
      </c>
      <c r="RQ109" s="21" t="str">
        <f t="shared" si="427"/>
        <v/>
      </c>
      <c r="RR109" s="21" t="str">
        <f t="shared" si="428"/>
        <v/>
      </c>
      <c r="RS109" s="21" t="str">
        <f t="shared" si="429"/>
        <v/>
      </c>
      <c r="RT109" s="21" t="str">
        <f t="shared" si="430"/>
        <v/>
      </c>
      <c r="RU109" s="21" t="str">
        <f t="shared" si="431"/>
        <v/>
      </c>
      <c r="RV109" s="21">
        <f t="shared" si="432"/>
        <v>20.857142857142858</v>
      </c>
      <c r="RW109" s="284">
        <f>IF(OR(Tabla1[[#This Row],[FUM FORMULA CONFIABLE]]="",Tabla1[[#This Row],[FUM FORMULA CONFIABLE]]="SD"),"",IF(Tabla1[[#This Row],[FUM FORMULA CONFIABLE]]="CORREGIDA",Tabla1[[#This Row],[FUM X ECO 1]],Tabla1[[#This Row],[FUM x AMENORREA]]))</f>
        <v>44822</v>
      </c>
      <c r="RX109" s="21">
        <f>IF(AND(Tabla1[[#This Row],[FUM X ECO 1]]="",Tabla1[[#This Row],[FUM x AMENORREA]]=""),"",IF(AND(Tabla1[[#This Row],[FUM X ECO 1]]="",Tabla1[[#This Row],[FUM x AMENORREA]]&lt;&gt;""),"X",SUM(Tabla1[[#This Row],[FUM X ECO 1]]-Tabla1[[#This Row],[FUM x AMENORREA]])))</f>
        <v>-4.5</v>
      </c>
      <c r="RY109" s="21">
        <f t="shared" si="434"/>
        <v>0</v>
      </c>
    </row>
    <row r="110" spans="1:493" ht="45" customHeight="1" x14ac:dyDescent="0.25">
      <c r="A110" s="109"/>
      <c r="B110" s="43"/>
      <c r="C110" s="43" t="s">
        <v>845</v>
      </c>
      <c r="D110" s="124" t="s">
        <v>846</v>
      </c>
      <c r="E110" s="43" t="s">
        <v>884</v>
      </c>
      <c r="F110" s="43" t="s">
        <v>943</v>
      </c>
      <c r="G110" s="43" t="s">
        <v>1330</v>
      </c>
      <c r="H110" s="43"/>
      <c r="I110" s="109" t="s">
        <v>851</v>
      </c>
      <c r="J110" s="110">
        <v>1059598469</v>
      </c>
      <c r="K110" s="43" t="s">
        <v>852</v>
      </c>
      <c r="L110" s="175" t="s">
        <v>853</v>
      </c>
      <c r="M110" s="22">
        <v>33012</v>
      </c>
      <c r="N110" s="213">
        <f t="shared" ca="1" si="252"/>
        <v>33.479452054794521</v>
      </c>
      <c r="O110" s="22">
        <v>44977</v>
      </c>
      <c r="P110" s="214" t="str">
        <f t="shared" si="438"/>
        <v>SI</v>
      </c>
      <c r="Q110" s="26" t="s">
        <v>855</v>
      </c>
      <c r="R110" s="22">
        <v>44977</v>
      </c>
      <c r="S110" s="21" t="s">
        <v>856</v>
      </c>
      <c r="T110" s="24" t="s">
        <v>690</v>
      </c>
      <c r="U110" s="21" t="s">
        <v>857</v>
      </c>
      <c r="V110" s="21" t="s">
        <v>858</v>
      </c>
      <c r="W110" s="21" t="s">
        <v>1331</v>
      </c>
      <c r="X110" s="21" t="s">
        <v>1331</v>
      </c>
      <c r="Y110" s="21" t="s">
        <v>859</v>
      </c>
      <c r="Z110" s="21" t="s">
        <v>894</v>
      </c>
      <c r="AA110" s="21" t="s">
        <v>860</v>
      </c>
      <c r="AB110" s="27" t="s">
        <v>861</v>
      </c>
      <c r="AC110" s="26" t="s">
        <v>846</v>
      </c>
      <c r="AD110" s="38" t="s">
        <v>846</v>
      </c>
      <c r="AE110" s="26" t="s">
        <v>854</v>
      </c>
      <c r="AF110" s="26" t="s">
        <v>854</v>
      </c>
      <c r="AG110" s="23" t="s">
        <v>864</v>
      </c>
      <c r="AH110" s="23" t="s">
        <v>864</v>
      </c>
      <c r="AI110" s="24" t="s">
        <v>863</v>
      </c>
      <c r="AJ110" s="23" t="s">
        <v>864</v>
      </c>
      <c r="AK110" s="220" t="str">
        <f>IF(AND(AD110="",AE110="",AF110="",AG110="",AH110="",AI110="",AJ110=""),"",IF(OR(Tabla1[[#This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EVALUACIÓN",IF(AND(O110="",R110=""),"",IF(AND(OR(O110&gt;0,R110&gt;0),NG110&gt;=0,NG110&lt;2),"SIN RIESGO",IF(AND(OR(O110&gt;0,R110&gt;0),NG110&gt;=2),"CON RIESGO","ASD")))))</f>
        <v>SIN RIESGO</v>
      </c>
      <c r="AL110" s="23" t="s">
        <v>864</v>
      </c>
      <c r="AM110" s="26" t="s">
        <v>864</v>
      </c>
      <c r="AN110" s="26" t="s">
        <v>864</v>
      </c>
      <c r="AO110" s="26" t="s">
        <v>864</v>
      </c>
      <c r="AP110" s="26" t="s">
        <v>864</v>
      </c>
      <c r="AQ110" s="26" t="s">
        <v>864</v>
      </c>
      <c r="AR110" s="26" t="s">
        <v>864</v>
      </c>
      <c r="AS110" s="21">
        <v>6</v>
      </c>
      <c r="AT110" s="21">
        <v>6</v>
      </c>
      <c r="AU110" s="21">
        <v>0</v>
      </c>
      <c r="AV110" s="26" t="s">
        <v>864</v>
      </c>
      <c r="AW110" s="21">
        <v>0</v>
      </c>
      <c r="AX110" s="26" t="s">
        <v>864</v>
      </c>
      <c r="AY110" s="26" t="s">
        <v>864</v>
      </c>
      <c r="AZ110" s="26" t="s">
        <v>864</v>
      </c>
      <c r="BA110" s="26" t="s">
        <v>864</v>
      </c>
      <c r="BB110" s="26" t="s">
        <v>864</v>
      </c>
      <c r="BC110" s="26" t="s">
        <v>864</v>
      </c>
      <c r="BD110" s="26" t="s">
        <v>864</v>
      </c>
      <c r="BE110" s="26" t="s">
        <v>864</v>
      </c>
      <c r="BF110" s="26" t="s">
        <v>864</v>
      </c>
      <c r="BG110" s="26" t="s">
        <v>864</v>
      </c>
      <c r="BH110" s="26" t="s">
        <v>864</v>
      </c>
      <c r="BI110" s="26" t="s">
        <v>864</v>
      </c>
      <c r="BJ110" s="26"/>
      <c r="BK110" s="26"/>
      <c r="BL110" s="26" t="s">
        <v>864</v>
      </c>
      <c r="BM110" s="26" t="s">
        <v>864</v>
      </c>
      <c r="BN110" s="22">
        <v>43967</v>
      </c>
      <c r="BO110" s="22">
        <v>44854</v>
      </c>
      <c r="BP110" s="21" t="s">
        <v>854</v>
      </c>
      <c r="BQ110" s="222">
        <f t="shared" si="254"/>
        <v>29.566666666666666</v>
      </c>
      <c r="BR110" s="223">
        <f t="shared" si="255"/>
        <v>44810.9</v>
      </c>
      <c r="BS110" s="224">
        <f t="shared" si="256"/>
        <v>17.571428571428573</v>
      </c>
      <c r="BT110" s="216" t="str">
        <f t="shared" si="257"/>
        <v>II TRIM</v>
      </c>
      <c r="BU110" s="214" t="str">
        <f t="shared" ca="1" si="258"/>
        <v/>
      </c>
      <c r="BV110" s="25"/>
      <c r="BW110" s="22">
        <v>45016</v>
      </c>
      <c r="BX110" s="28">
        <v>29.3</v>
      </c>
      <c r="BY110" s="28"/>
      <c r="BZ110" s="22"/>
      <c r="CA110" s="21"/>
      <c r="CB110" s="26" t="s">
        <v>864</v>
      </c>
      <c r="CC110" s="26" t="s">
        <v>864</v>
      </c>
      <c r="CD110" s="26"/>
      <c r="CE110" s="26" t="s">
        <v>864</v>
      </c>
      <c r="CF110" s="22" t="s">
        <v>1517</v>
      </c>
      <c r="CG110" s="21">
        <v>1.53</v>
      </c>
      <c r="CH110" s="21">
        <v>66</v>
      </c>
      <c r="CI110" s="214">
        <f t="shared" si="259"/>
        <v>28.194284249647573</v>
      </c>
      <c r="CJ110" s="225" t="e">
        <f>IF(AND(CI110&lt;10,CH110="SD"),"SIN DATO PESO PREGESTACION O I TRIM",IF(AND(OR(R110&gt;0,O110&gt;0),CI110="X"),"INGRESAR DATO DE PESO",IF(CI110="SD","INGRESAR DATO DE TALLA Y PESO",IF(AND(OR(Tabla1[[#This Row],[MOMENTO EN QUE SE REALIZA EL PESO AL INGRESO A CPN]]="PREGESTACIÓN",NZ110="Menor"),CI110&lt;18.5),"BAJO PESO",IF(AND(OR(Tabla1[[#This Row],[MOMENTO EN QUE SE REALIZA EL PESO AL INGRESO A CPN]]="PREGESTACIÓN",NZ110="Menor"),CI110&lt;25),"NORMAL",IF(AND(OR(Tabla1[[#This Row],[MOMENTO EN QUE SE REALIZA EL PESO AL INGRESO A CPN]]="PREGESTACIÓN",NZ110="Menor"),CI110&lt;30),"SOBREPESO",IF(AND(OR(Tabla1[[#This Row],[MOMENTO EN QUE SE REALIZA EL PESO AL INGRESO A CPN]]="PREGESTACIÓN",NZ110="Menor"),CI110&gt;=30,CI110&lt;50),"OBESIDAD",IF(AND(BS110&gt;0,Tabla1[[#This Row],[MOMENTO EN QUE SE REALIZA EL PESO AL INGRESO A CPN]]="GESTACIÓN"),HLOOKUP(NZ110,$OA$2:PH110,NY110),""))))))))</f>
        <v>#REF!</v>
      </c>
      <c r="CK110" s="212">
        <f t="shared" si="260"/>
        <v>45016</v>
      </c>
      <c r="CL110" s="21"/>
      <c r="CM110" s="214">
        <f t="shared" si="261"/>
        <v>0</v>
      </c>
      <c r="CN110" s="216">
        <f t="shared" si="262"/>
        <v>23</v>
      </c>
      <c r="CO110" s="216" t="e">
        <f>IF(PI110="","",IF(PI110&gt;0,HLOOKUP(PI110,$PJ$2:QQ110,NY110),""))</f>
        <v>#REF!</v>
      </c>
      <c r="CP110" s="21"/>
      <c r="CQ110" s="216" t="e">
        <f>IF(QR110="Menor","NO APLICA-MENOR 13 SEM",IF(AND(CC110="SI",CN110&gt;23),"NO APLICA- GEMELAR",IF(QR110="","",IF(QR110&gt;0,HLOOKUP(QR110,$QS$2:RU110,NY110),""))))</f>
        <v>#REF!</v>
      </c>
      <c r="CR110" s="21"/>
      <c r="CS110" s="21"/>
      <c r="CT110" s="217" t="str">
        <f>IF(R110="","",IF(AND(BS110&gt;1,BS110&lt;12,Tabla1[[#This Row],[T.A. SISTOLICA - ANTES DE SEMANA 12]]="",Tabla1[[#This Row],[T.A. DIASTOLICA - ANTES DE SEMANA 12]]=""),"REGISTRE DATO TA ANTES SEMANA 12",IF(AND(BS110&gt;11,BS110&lt;43,Tabla1[[#This Row],[T.A. SISTOLICA - ANTES DE SEMANA 12]]="",Tabla1[[#This Row],[T.A. DIASTOLICA - ANTES DE SEMANA 12]]=""),"NO APLICA REGISTRO TA-INGRESO TARDIO",IF(AND(OR(O110&gt;0,R110&gt;0),OR(CR110&gt;=140,CS110&gt;=90)),"DEFINIR ESTADIO HTA",IF(AND(OR(O110&gt;0,R110&gt;0),AND(CR110&gt;120,CR110&lt;=139)),"PRE HTA SEGUIMIENTO",IF(AND(OR(O110&gt;0,R110&gt;0),AND(CS110&gt;80,CS110&lt;=89)),"PRE HTA SEGUIMIENTO",IF(AND(OR(O110&gt;0,R110&gt;0),AND(CR110&gt;=80,CR110&lt;=120)),"APARENTEMENTE NORMAL",IF(AND(OR(O110&gt;0,R110&gt;0),AND(CS110&gt;=50,CS110&lt;=80)),"APARENTEMENTE NORMAL",IF(AND(OR(O110&gt;0,R110&gt;0),AND(CR110&gt;1,CR110&lt;=70),AND(CS110&gt;1,CS110&lt;=40)),"HIPOTENSIÓN","")))))))))</f>
        <v>NO APLICA REGISTRO TA-INGRESO TARDIO</v>
      </c>
      <c r="CU110" s="21">
        <v>110</v>
      </c>
      <c r="CV110" s="21">
        <v>80</v>
      </c>
      <c r="CW110" s="217" t="str">
        <f ca="1">IF(R110="","",IF(AND(CN110&gt;19,CN110&lt;27,Tabla1[[#This Row],[T.A. SISTOLICA (Entre semana 20 y 26)]]="",Tabla1[[#This Row],[T.A. DIATOLICA (Entre semana 20 y 26)]]=""),"ACUDE A CONTROL SEM 20 A 26 REGISTRE TA AHORA",IF(AND(BS110&gt;1,BS110&lt;27,BU110&gt;19,Tabla1[[#This Row],[T.A. SISTOLICA (Entre semana 20 y 26)]]="",Tabla1[[#This Row],[T.A. DIATOLICA (Entre semana 20 y 26)]]=""),"COMPLETE REGISTRO TA CONTROL SEM 20 A26 ",IF(AND(BS110&gt;26,BS110&lt;43,Tabla1[[#This Row],[T.A. SISTOLICA (Entre semana 20 y 26)]]="",Tabla1[[#This Row],[T.A. DIATOLICA (Entre semana 20 y 26)]]=""),"NO APLICA REGISTRO TA-INGRESO TARDIO",IF(AND(OR(O110&gt;0,R110&gt;0),OR(CU110&gt;=140,CV110&gt;=90)),"ALTO RIESGO PREECLAMPSIA,DEFINIR ESTADIO HTA",IF(AND(OR(O110&gt;0,R110&gt;0),AND(CU110&gt;120,CU110&lt;=139)),"PRE HTA SEGUIMIENTO,RIESGO HIPERTENSION INDUCIDA POR EL EMBARAZO",IF(AND(OR(O110&gt;0,R110&gt;0),AND(CV110&gt;80,CV110&lt;=89)),"PRE HTA SEGUIMIENTO, RIESGO HIPERTENSION INDUCIDA POR EL EMBARAZO",IF(AND(OR(O110&lt;&gt;"",R110&lt;&gt;""),CS110&lt;&gt;"",CV110&lt;&gt;"",CS110&lt;=CV110),"VIGILAR CIFRAS PRESION ARTERIAL",IF(AND(OR(O110&gt;0,R110&gt;0),AND(CU110&gt;120,CU110&lt;=139)),"PRE HTA SEGUIMIENTO",IF(AND(OR(O110&gt;0,R110&gt;0),AND(CU110&gt;1,CU110&lt;=70),AND(CV110&gt;1,CV110&lt;=40)),"HIPOTENSIÓN",IF(AND(OR(O110&lt;&gt;"",R110&lt;&gt;""),CS110&lt;&gt;"",CV110&lt;&gt;"",CS110&gt;CV110),"APARENTEMENTE NORMAL",IF(AND(OR(O110&gt;0,R110&gt;0),AND(CU110&gt;=80,CU110&lt;=120)),"APARENTEMENTE NORMAL",IF(AND(OR(O110&gt;0,R110&gt;0),AND(CV110&gt;=50,CV110&lt;=80)),"APARENTEMENTE NORMAL","")))))))))))))</f>
        <v>APARENTEMENTE NORMAL</v>
      </c>
      <c r="CX110" s="21"/>
      <c r="CY110" s="21"/>
      <c r="CZ110" s="216" t="str">
        <f t="shared" si="457"/>
        <v/>
      </c>
      <c r="DA110" s="21"/>
      <c r="DB110" s="21"/>
      <c r="DC110" s="217" t="str">
        <f t="shared" si="264"/>
        <v>REGISTRE DATO PRESIÓN ARTERIAL MENSUAL</v>
      </c>
      <c r="DD110" s="22">
        <v>44977</v>
      </c>
      <c r="DE110" s="22">
        <v>44977</v>
      </c>
      <c r="DF110" s="22">
        <v>45016</v>
      </c>
      <c r="DG110" s="22"/>
      <c r="DH110" s="22"/>
      <c r="DI110" s="22"/>
      <c r="DJ110" s="22"/>
      <c r="DK110" s="22"/>
      <c r="DL110" s="22"/>
      <c r="DM110" s="22"/>
      <c r="DN110" s="22"/>
      <c r="DO110" s="22"/>
      <c r="DP110" s="22"/>
      <c r="DQ110" s="22"/>
      <c r="DR110" s="28">
        <v>1</v>
      </c>
      <c r="DS110" s="22"/>
      <c r="DT110" s="22"/>
      <c r="DU110" s="216" t="str">
        <f t="shared" ca="1" si="439"/>
        <v>SALE PROGRAMA ANTES SEMANA 35</v>
      </c>
      <c r="DV110" s="226" t="str">
        <f t="shared" si="440"/>
        <v>SALIO PROGRAMA</v>
      </c>
      <c r="DW110"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10" s="216" t="str">
        <f t="shared" ca="1" si="266"/>
        <v/>
      </c>
      <c r="DY110" s="212">
        <f>IF(R110="","",IF(R110&gt;0,MAX(Tabla1[[#This Row],[FECHA C2]:[FECHA C13]],Tabla1[[#This Row],[FECHA CONSULTA PRIMERA VEZ PROGRAMA CPN ]])))</f>
        <v>45016</v>
      </c>
      <c r="DZ110" s="216">
        <f t="shared" si="267"/>
        <v>23</v>
      </c>
      <c r="EA110" s="222">
        <f>IF(R110&gt;0,SUM(COUNTA(DF110:DQ110)+COUNTA(Tabla1[[#This Row],[FECHA CONSULTA PRIMERA VEZ PROGRAMA CPN ]])),"")</f>
        <v>2</v>
      </c>
      <c r="EB110" s="222" t="str">
        <f t="shared" si="268"/>
        <v>NO</v>
      </c>
      <c r="EC110" s="214">
        <f t="shared" si="269"/>
        <v>7</v>
      </c>
      <c r="ED110" s="227">
        <f t="shared" si="270"/>
        <v>0.2857142857142857</v>
      </c>
      <c r="EE110" s="22">
        <v>44977</v>
      </c>
      <c r="EF110" s="22">
        <v>45016</v>
      </c>
      <c r="EG110" s="22">
        <v>44977</v>
      </c>
      <c r="EH110" s="22"/>
      <c r="EI110" s="22">
        <v>44977</v>
      </c>
      <c r="EJ110" s="22"/>
      <c r="EK110" s="22"/>
      <c r="EL110" s="21"/>
      <c r="EM110" s="21"/>
      <c r="EN110" s="22"/>
      <c r="EO110" s="222" t="str">
        <f t="shared" si="271"/>
        <v>TOMAR EXAMEN</v>
      </c>
      <c r="EP110" s="214" t="str">
        <f t="shared" si="272"/>
        <v/>
      </c>
      <c r="EQ110" s="216" t="str">
        <f t="shared" si="273"/>
        <v>POR DEFINIR</v>
      </c>
      <c r="ER110" s="24"/>
      <c r="ES110" s="22"/>
      <c r="ET110" s="29" t="str">
        <f t="shared" ca="1" si="441"/>
        <v>SALE SIN TAMIZAJE HEMOGLOBINA SEM 28</v>
      </c>
      <c r="EU110" s="25" t="str">
        <f t="shared" si="275"/>
        <v/>
      </c>
      <c r="EV110" s="24"/>
      <c r="EW110" s="24"/>
      <c r="EX110" s="22"/>
      <c r="EY110" s="29" t="str">
        <f t="shared" si="454"/>
        <v>TOMAR EXAMEN</v>
      </c>
      <c r="EZ110" s="25" t="str">
        <f t="shared" ca="1" si="455"/>
        <v/>
      </c>
      <c r="FA110" s="21"/>
      <c r="FB110" s="22"/>
      <c r="FC110" s="29" t="str">
        <f t="shared" si="276"/>
        <v>TOMAR EXAMEN</v>
      </c>
      <c r="FD110" s="29"/>
      <c r="FE110" s="29"/>
      <c r="FF110" s="29"/>
      <c r="FG110" s="21" t="str">
        <f t="shared" ca="1" si="277"/>
        <v/>
      </c>
      <c r="FH110" s="31"/>
      <c r="FI110" s="29" t="str">
        <f t="shared" si="278"/>
        <v>TOMAR EXAMEN</v>
      </c>
      <c r="FJ110" s="22"/>
      <c r="FK110" s="22"/>
      <c r="FL110" s="29" t="str">
        <f t="shared" ca="1" si="279"/>
        <v>NO APLICA-INGRESO TARDIO</v>
      </c>
      <c r="FM110" s="22"/>
      <c r="FN110" s="32"/>
      <c r="FO110" s="29" t="str">
        <f t="shared" ca="1" si="442"/>
        <v>PIERDE TOMA DE TAMIZAJE</v>
      </c>
      <c r="FP110" s="22"/>
      <c r="FQ110" s="32"/>
      <c r="FR110" s="29" t="str">
        <f t="shared" ca="1" si="443"/>
        <v>PIERDE TOMA DE TAMIZAJE</v>
      </c>
      <c r="FS110" s="22"/>
      <c r="FT110" s="32"/>
      <c r="FU110" s="29" t="str">
        <f>IF(AND(FJ110="",FM110="",FP110="",FS110=""),"",IF(OR(OR(Tabla1[[#This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10" s="28"/>
      <c r="FW110" s="22"/>
      <c r="FX110" s="29" t="str">
        <f t="shared" si="280"/>
        <v>TOMAR EXAMEN</v>
      </c>
      <c r="FY110" s="22">
        <v>44977</v>
      </c>
      <c r="FZ110" s="22">
        <v>44977</v>
      </c>
      <c r="GA110" s="29" t="str">
        <f t="shared" si="453"/>
        <v>REGISTRAR EN II TRIMESTRE</v>
      </c>
      <c r="GB110" s="22"/>
      <c r="GC110" s="22"/>
      <c r="GD110" s="29" t="str">
        <f t="shared" ref="GD110:GD141" ca="1" si="491">IF(AND(BT110="ERROR FUM O INGRESO",GC110&gt;0),"ERROR FUM O INGRESO",IF(AND(GC110="",R110="",O110=""),"",IF(AND(GC110&lt;&gt;"",GC110&lt;RW110), "INCOHERENCIA FUM Y FECHA TAMIZAJE",IF(AND(GC110="",DV110="ACTIVA INGRESO A CPN",AND(BU110&gt;0,BU110&lt;13)),"EN ESPERA-ESTÁ I TRIM", IF(AND(GC110="",AND(BS110&gt;0, BS110&lt;12),OR(O110&gt;0,R110&gt;0),AND(IP110&gt;0,IP110&lt;13)),"NO APLICA-SALIO DEL PROGRAMA I TRIM",IF(AND(GC110&lt;&gt;"",AND(SUM((GC110-RW110)/7)&gt;0,SUM((GC110-RW110)/7)&lt;13)),"REGISTRAR EN I TRIMESTRE",IF(AND(GC110&lt;&gt;"",AND(SUM((GC110-RW110)/7)&gt;=27,SUM((GC110-RW110)/7)&lt;44)),"REGISTRAR EN III TRIMESTRE",IF(AND(GC110="",OR(O110&gt;0,R110&gt;0),AND(BU110&gt;=12,BU110&lt;25),DV110="ACTIVA INGRESO A CPN"),"EN RANGO PARA TOMAR EXAMEN",IF(AND(GC110="",OR(O110&gt;0,R110&gt;0),AND(BU110&gt;=25,BU110&lt;27),DV110="ACTIVA INGRESO A CPN"),"TOMA INMEDIATA DE TAMIZAJE",IF(AND(GC110="",OR(O110&gt;0,R110&gt;0),AND(BS110&gt;=27,BS110&lt;43)),"NO APLICA-INGRESO TARDIO",IF(AND(GC110="",BS110&lt;27),"PIERDE TOMA DE TAMIZAJE",IF(GC110&gt;0,SUM(GC110-RW110)/7,""))))))))))))</f>
        <v>PIERDE TOMA DE TAMIZAJE</v>
      </c>
      <c r="GE110" s="22"/>
      <c r="GF110" s="22"/>
      <c r="GG110" s="29" t="str">
        <f t="shared" ca="1" si="445"/>
        <v>PIERDE TOMA DE TAMIZAJE</v>
      </c>
      <c r="GH110" s="22"/>
      <c r="GI110" s="29"/>
      <c r="GJ110" s="22"/>
      <c r="GK110" s="22"/>
      <c r="GL110" s="22"/>
      <c r="GM110" s="22"/>
      <c r="GN110" s="28"/>
      <c r="GO110" s="22"/>
      <c r="GP110" s="29" t="str">
        <f t="shared" si="283"/>
        <v>TOMAR EXAMEN</v>
      </c>
      <c r="GQ110" s="28"/>
      <c r="GR110" s="28"/>
      <c r="GS110" s="22" t="str">
        <f t="shared" si="458"/>
        <v/>
      </c>
      <c r="GT110" s="22"/>
      <c r="GU110" s="29" t="str">
        <f t="shared" si="285"/>
        <v>TOMAR EXAMEN</v>
      </c>
      <c r="GV110" s="21" t="str">
        <f t="shared" si="286"/>
        <v>POR DEFINIR</v>
      </c>
      <c r="GW110" s="28"/>
      <c r="GX110" s="30"/>
      <c r="GY110" s="21"/>
      <c r="GZ110" s="21"/>
      <c r="HA110" s="21"/>
      <c r="HB110" s="21"/>
      <c r="HC110" s="21"/>
      <c r="HD110" s="21"/>
      <c r="HE110" s="21"/>
      <c r="HF110" s="22"/>
      <c r="HG110" s="22" t="str">
        <f>IF(OR(O110&gt;0,R110&gt;0),CONCATENATE(IF(Tabla1[[#This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10" s="22" t="e">
        <f t="shared" si="287"/>
        <v>#REF!</v>
      </c>
      <c r="HI110" s="22" t="e">
        <f t="shared" ca="1" si="288"/>
        <v>#REF!</v>
      </c>
      <c r="HJ110" s="21" t="str">
        <f t="shared" ca="1" si="289"/>
        <v>*********************MULTIPARIDAD******************</v>
      </c>
      <c r="HK110" s="21" t="str">
        <f t="shared" si="290"/>
        <v>SIN ANTECEDENTES DE RIESGO</v>
      </c>
      <c r="HL110" s="24" t="str">
        <f t="shared" si="291"/>
        <v>REGISTRE DATO PRESIÓN ARTERIAL MENSUAL</v>
      </c>
      <c r="HM110" s="21" t="str">
        <f t="shared" ca="1" si="292"/>
        <v/>
      </c>
      <c r="HN110" s="30" t="str">
        <f t="shared" si="446"/>
        <v>SALIO PROGRAMA</v>
      </c>
      <c r="HO110" s="21"/>
      <c r="HP110" s="21"/>
      <c r="HQ110" s="21">
        <v>44977</v>
      </c>
      <c r="HR110" s="21" t="str">
        <f>IF(R110="","",IF(Tabla1[[#This Row],[ALARMA FACTORES DE RIESGO COMPLICACIONES HIPERTENSIVAS3]]="SIN ANTECEDENTES DE RIESGO","No Aplica para suministro de ASA",IF(AND(Tabla1[[#This Row],[FECHA INICIO DE SUMINISTRO DE ASA]]&gt;0,RV110&lt;12),"Inicia ASA ANTES de Sem 12",IF(AND(RV110&gt;11,RV110&lt;17,OR(HK110="RIESGO ALTO DE COMPLICACIONES HIPERTENSIVAS VER MANEJO GUIA SUMINISTRO ASA Y CALCIO",HK110="RIESGO MODERADO (2 O MAS CRITERIOS) VER MANEJO GUIA SUMINISTRO ASA Y CALCIO")),"Inicio oportuno de ASA",IF(AND(RV110&gt;12,OR(HK110="RIESGO ALTO DE COMPLICACIONES HIPERTENSIVAS VER MANEJO GUIA SUMINISTRO ASA Y CALCIO",HK110="RIESGO MODERADO (2 O MAS CRITERIOS) VER MANEJO GUIA SUMINISTRO ASA Y CALCIO")),"Inicio no oportuno mayor a 16 semanas",IF(AND(BU110&lt;12,OR(HK110="RIESGO ALTO DE COMPLICACIONES HIPERTENSIVAS VER MANEJO GUIA SUMINISTRO ASA Y CALCIO",HK110="RIESGO MODERADO (2 O MAS CRITERIOS) VER MANEJO GUIA SUMINISTRO ASA Y CALCIO")),"Pendiente Inicio de ASA a la semana 12",IF(AND(BU110&gt;11,BU110&lt;17,OR(HK110="RIESGO ALTO DE COMPLICACIONES HIPERTENSIVAS VER MANEJO GUIA SUMINISTRO ASA Y CALCIO",HK110="RIESGO MODERADO (2 O MAS CRITERIOS) VER MANEJO GUIA SUMINISTRO ASA Y CALCIO")),"Iniciar de inmediato ASA",IF(AND(BU110&gt;16,OR(HK110="RIESGO ALTO DE COMPLICACIONES HIPERTENSIVAS VER MANEJO GUIA SUMINISTRO ASA Y CALCIO",HK110="RIESGO MODERADO (2 O MAS CRITERIOS) VER MANEJO GUIA SUMINISTRO ASA Y CALCIO")),"Pierde Oportunidad, Inicio tardío de ASA","XXXXX"))))))))</f>
        <v>No Aplica para suministro de ASA</v>
      </c>
      <c r="HS110" s="22">
        <v>44977</v>
      </c>
      <c r="HT110" s="22" t="s">
        <v>870</v>
      </c>
      <c r="HU110" s="22"/>
      <c r="HV110" s="22"/>
      <c r="HW110" s="22">
        <v>44977</v>
      </c>
      <c r="HX110" s="22" t="s">
        <v>870</v>
      </c>
      <c r="HY110" s="22">
        <v>44977</v>
      </c>
      <c r="HZ110" s="28">
        <f t="shared" si="293"/>
        <v>17.571428571428573</v>
      </c>
      <c r="IA110" s="26"/>
      <c r="IB110" s="26"/>
      <c r="IC110" s="111"/>
      <c r="ID110" s="22"/>
      <c r="IE110" s="22" t="str">
        <f t="shared" ca="1" si="294"/>
        <v>SALE SIN VACUNA</v>
      </c>
      <c r="IF110" s="22"/>
      <c r="IG110" s="22">
        <f t="shared" si="295"/>
        <v>45134</v>
      </c>
      <c r="IH110" s="29">
        <f t="shared" ca="1" si="296"/>
        <v>-98</v>
      </c>
      <c r="II110" s="22" t="str">
        <f t="shared" ca="1" si="297"/>
        <v>POSIBLEMENTE NACIO</v>
      </c>
      <c r="IJ110" s="22"/>
      <c r="IK110" s="21" t="s">
        <v>898</v>
      </c>
      <c r="IL110" s="21"/>
      <c r="IM110" s="34"/>
      <c r="IN110" s="349">
        <v>45064</v>
      </c>
      <c r="IO110" s="21" t="s">
        <v>1640</v>
      </c>
      <c r="IP110" s="29">
        <f t="shared" si="490"/>
        <v>30</v>
      </c>
      <c r="IQ110" s="110"/>
      <c r="IR110" s="21" t="s">
        <v>879</v>
      </c>
      <c r="IS110" s="21" t="s">
        <v>1641</v>
      </c>
      <c r="IT110" s="21" t="s">
        <v>1642</v>
      </c>
      <c r="IU110" s="21"/>
      <c r="IV110" s="21"/>
      <c r="IW110" s="21"/>
      <c r="IX110" s="21"/>
      <c r="IY110" s="21"/>
      <c r="IZ110" s="21"/>
      <c r="JA110" s="21"/>
      <c r="JB110" s="30">
        <v>1</v>
      </c>
      <c r="JC110" s="21" t="s">
        <v>1643</v>
      </c>
      <c r="JD110" s="36">
        <v>2000</v>
      </c>
      <c r="JE110" s="21" t="str">
        <f t="shared" ref="JE110:JE141" si="492">IF(AND(JD110&gt;700,JD110&lt;2500,IP110&gt;36),"BAJO PESO AL NACER",IF(AND(JD110&gt;500,JD110&lt;2500,IP110&lt;37),"PREMATURO",IF(AND(JD110&gt;2499,JD110&lt;5000,IP110&lt;37),"ERROR VERIFICAR DATO EDAD GESTACIONAL VS PESO",IF(AND(JD110&gt;2499,JD110&lt;4000,IP110&gt;36),"PESO ADECUADO EDAD GESTACIONAL",IF(AND(JD110&gt;3999,JD110&lt;6000,IP110&gt;36),"PESO GRANDE EDAD GESTACIONAL","")))))</f>
        <v>PREMATURO</v>
      </c>
      <c r="JF110" s="30"/>
      <c r="JG110" s="21"/>
      <c r="JH110" s="21"/>
      <c r="JI110" s="21"/>
      <c r="JJ110" s="30"/>
      <c r="JK110" s="22"/>
      <c r="JL110" s="22"/>
      <c r="JM110" s="21"/>
      <c r="JN110" s="36"/>
      <c r="JO110" s="21" t="str">
        <f t="shared" ref="JO110:JO141" si="493">IF(AND(JN110&gt;700,JN110&lt;2500,IP110&gt;36,IP110&lt;43),"BAJO PESO AL NACER",IF(AND(JN110&gt;700,JN110&lt;2500,IP110&lt;37),"PREMATURO",IF(AND(JN110&gt;2499,JN110&lt;5000,IP110&lt;37),"ERROR VERIFICAR DATO EDAD GESTACIONAL VS PESO",IF(AND(JN110&gt;2499,JN110&lt;4000,IP110&gt;36,IP110&lt;43),"PESO ADECUADO EDAD GESTACIONAL",IF(AND(JN110&gt;3999,JN110&lt;6000,IP110&gt;36,IP110&lt;43),"PESO GRANDE EDAD GESTACIONAL","")))))</f>
        <v/>
      </c>
      <c r="JP110" s="22"/>
      <c r="JQ110" s="21"/>
      <c r="JR110" s="21"/>
      <c r="JS110" s="21"/>
      <c r="JT110" s="30"/>
      <c r="JU110" s="22"/>
      <c r="JV110" s="22"/>
      <c r="JW110" s="33"/>
      <c r="JX110" s="28" t="str">
        <f t="shared" ref="JX110:JX141" si="494">IF(AND(JW110&lt;&gt;"",JW110&lt;IN110),"INCONSISTENCIA FECHA CONTROL",IF(AND(OR(IK110="Parto",IK110="Cesarea"),JW110&gt;0,IN110&gt;0),SUM(JW110-IN110),IF(AND(OR(IK110="Parto",IK110="Cesarea"),JW110="",IN110&gt;0),"INASISTENTE","")))</f>
        <v>INASISTENTE</v>
      </c>
      <c r="JY110" s="33"/>
      <c r="JZ110" s="28" t="str">
        <f t="shared" ref="JZ110:JZ141" si="495">IF(AND(JY110&lt;&gt;"",JY110&lt;IN110),"INCONSISTENCIA FECHA CONTROL",IF(AND(OR(IK110="Parto",IK110="Cesarea",IK110="Aborto Espontaneo",IK110="Aborto Inducido",IK110="IVE"),JY110&gt;0,IN110&gt;0),SUM(JY110-IN110),IF(AND(JY110&lt;&gt;"",JY110&lt;IN110),"INCONSISTENCIA FECHA CONTROL",IF(AND(OR(IK110="Parto",IK110="Cesarea",IK110="Aborto Espontaneo",IK110="Aborto Inducido",IK110="IVE"),JY110="",IN110&gt;0),"INASISTENTE",""))))</f>
        <v>INASISTENTE</v>
      </c>
      <c r="KA110" s="21"/>
      <c r="KB110" s="21"/>
      <c r="KC110" s="21"/>
      <c r="KD110" s="37"/>
      <c r="KE110" s="28"/>
      <c r="KF110" s="28"/>
      <c r="KG110" s="28"/>
      <c r="KH110" s="39"/>
      <c r="KI110" s="39"/>
      <c r="KJ110" s="66"/>
      <c r="KK110" s="39"/>
      <c r="KL110" s="39"/>
      <c r="KM110" s="66"/>
      <c r="KN110" s="39"/>
      <c r="KO110" s="39"/>
      <c r="KP110" s="39"/>
      <c r="KQ110" s="39"/>
      <c r="KR110" s="39"/>
      <c r="KS110" s="39"/>
      <c r="KT110" s="39"/>
      <c r="KU110" s="38"/>
      <c r="KV110" s="38"/>
      <c r="KW110" s="38"/>
      <c r="KX110" s="38"/>
      <c r="KY110" s="38"/>
      <c r="KZ110" s="38"/>
      <c r="LA110" s="38"/>
      <c r="LB110" s="38"/>
      <c r="LC110" s="38"/>
      <c r="LD110" s="38"/>
      <c r="LE110" s="38"/>
      <c r="LF110" s="38"/>
      <c r="LG110" s="38"/>
      <c r="LH110" s="38"/>
      <c r="LI110" s="38"/>
      <c r="LJ110" s="38"/>
      <c r="LK110" s="38"/>
      <c r="LL110" s="38"/>
      <c r="LM110" s="38"/>
      <c r="LN110" s="38"/>
      <c r="LO110" s="38"/>
      <c r="LP110" s="38"/>
      <c r="LQ110" s="38"/>
      <c r="LR110" s="38"/>
      <c r="LS110" s="38"/>
      <c r="LT110" s="38"/>
      <c r="LU110" s="38"/>
      <c r="LV110" s="38"/>
      <c r="LW110" s="38"/>
      <c r="LX110" s="38"/>
      <c r="LY110" s="38"/>
      <c r="LZ110" s="38"/>
      <c r="MA110" s="38"/>
      <c r="MB110" s="38"/>
      <c r="MC110" s="38"/>
      <c r="MD110" s="38"/>
      <c r="ME110" s="38"/>
      <c r="MF110" s="38"/>
      <c r="MG110" s="38"/>
      <c r="MH110" s="43">
        <f t="shared" si="459"/>
        <v>0</v>
      </c>
      <c r="MI110" s="43" t="str">
        <f t="shared" si="460"/>
        <v/>
      </c>
      <c r="MJ110" s="43" t="str">
        <f t="shared" si="461"/>
        <v/>
      </c>
      <c r="MK110" s="43">
        <f t="shared" si="462"/>
        <v>0</v>
      </c>
      <c r="ML11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10" s="43">
        <f t="shared" si="463"/>
        <v>17.571428571428573</v>
      </c>
      <c r="MN110" s="43">
        <f t="shared" si="464"/>
        <v>2</v>
      </c>
      <c r="MO110" s="43">
        <f t="shared" si="465"/>
        <v>2023</v>
      </c>
      <c r="MP110" s="43" t="str">
        <f t="shared" si="466"/>
        <v>I TRIMESTRE AÑO</v>
      </c>
      <c r="MQ110" s="43">
        <f t="shared" si="467"/>
        <v>32.279347349978096</v>
      </c>
      <c r="MR110" s="43">
        <f t="shared" si="468"/>
        <v>0</v>
      </c>
      <c r="MS110" s="43" t="str">
        <f t="shared" si="469"/>
        <v xml:space="preserve"> DE 30 A 34 AÑOS</v>
      </c>
      <c r="MT110" s="43">
        <f t="shared" si="470"/>
        <v>0</v>
      </c>
      <c r="MU110" s="43">
        <f t="shared" si="471"/>
        <v>2</v>
      </c>
      <c r="MV110" s="43">
        <f t="shared" si="472"/>
        <v>0</v>
      </c>
      <c r="MW110" s="43">
        <f t="shared" si="473"/>
        <v>0</v>
      </c>
      <c r="MX110" s="43" t="str">
        <f t="shared" si="474"/>
        <v/>
      </c>
      <c r="MY110" s="43" t="str">
        <f t="shared" ref="MY110:MY141" ca="1" si="496">IF(AND(AND(BU110&gt;40.9,BU110&lt;43),IN110=""),1,"")</f>
        <v/>
      </c>
      <c r="MZ110" s="43" t="str">
        <f t="shared" si="475"/>
        <v/>
      </c>
      <c r="NA110" s="43" t="str">
        <f t="shared" si="476"/>
        <v/>
      </c>
      <c r="NB110" s="43" t="str">
        <f t="shared" si="477"/>
        <v/>
      </c>
      <c r="NC110" s="43" t="str">
        <f t="shared" si="478"/>
        <v/>
      </c>
      <c r="ND110" s="43">
        <f t="shared" ca="1" si="479"/>
        <v>2</v>
      </c>
      <c r="NE110" s="43">
        <f>IF(OR(O110&gt;0,R110&gt;0),SUM(COUNTIF(Tabla1[[#This Row],[AÑOS AL INICIO5 CPN]],"&gt;=40"),COUNTIF(AS110,"0"),COUNTIF(AR110,"SI"),COUNTIF(CC110,"SI"),COUNTIF(BQ110,"&gt;119"),COUNTIF(CI110,"&gt;=35")),"")</f>
        <v>0</v>
      </c>
      <c r="NF110" s="43" t="str">
        <f t="shared" si="480"/>
        <v/>
      </c>
      <c r="NG110" s="43">
        <f t="shared" si="481"/>
        <v>0</v>
      </c>
      <c r="NH110" s="43">
        <f t="shared" si="482"/>
        <v>205.1</v>
      </c>
      <c r="NI110"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CPN",P110="NO"),"Z",IF(AND(Tabla1[[#This Row],[CITA PROXIMO CONTROL]]="CITA MANUAL",Tabla1[[#This Row],[GESTANTES ACTUALES]]="ACTIVA INGRESO A CPN"),"W",IF(AND(Tabla1[[#This Row],[GESTANTES ACTUALES]]="SALIO PROGRAMA",IN110=""),"S",IF(AND(Tabla1[[#This Row],[CITA PROXIMO CONTROL]]&gt;0,IN110=""),(Tabla1[[#This Row],[CITA PROXIMO CONTROL]]-TODAY()),"SD"))))))))</f>
        <v>SD</v>
      </c>
      <c r="NJ110" s="43">
        <f>MONTH(Tabla1[[#This Row],[FECHA DE SALIDA  DEL PROGRAMA]])</f>
        <v>5</v>
      </c>
      <c r="NK110" s="43">
        <f>YEAR(Tabla1[[#This Row],[FECHA DE SALIDA  DEL PROGRAMA]])</f>
        <v>2023</v>
      </c>
      <c r="NL110" s="43" t="str">
        <f t="shared" si="483"/>
        <v>X</v>
      </c>
      <c r="NM110" s="43" t="str">
        <f t="shared" si="456"/>
        <v>NO</v>
      </c>
      <c r="NN110" s="43" t="str">
        <f ca="1">IF(AND(O110&gt;0,R110=""),"NO CPN",IF(AND(O110="",R110=""),"",IF(AND(R110&gt;0,Tabla1[[#This Row],[SEMANAS DE GESTACION ACTUALIZADAS]]&lt;=12),"NO APLICA",IF(AND(FH110&lt;&gt;"",FN110&lt;&gt;""),"SI","NO"))))</f>
        <v>NO</v>
      </c>
      <c r="NO110" s="43" t="str">
        <f ca="1">IF(AND(O110&gt;0,R110=""),"NO CPN",IF(AND(O110="",R110=""),"",IF(AND(R110&gt;0,Tabla1[[#This Row],[SEMANAS DE GESTACION ACTUALIZADAS]]&lt;=27),"NO APLICA",IF(AND(ES110&lt;&gt;"",FQ110&lt;&gt;"",GF110&lt;&gt;""),"SI","NO"))))</f>
        <v>NO</v>
      </c>
      <c r="NP110" s="204" t="str">
        <f t="shared" si="484"/>
        <v>II TRIM</v>
      </c>
      <c r="NQ110" s="21" t="str">
        <f t="shared" si="437"/>
        <v/>
      </c>
      <c r="NR110" s="21">
        <f t="shared" ref="NR110:NR141" si="497">IF(AND(O110="",R110=""),"",IF(AND(BS110&gt;0,BS110&lt;12,IP110&gt;28,IP110&lt;44),3, IF(OR(AND(BS110&gt;=12,BS110&lt;28,IP110&gt;=28,IP110&lt;44),AND(BS110&gt;0,BS110&lt;12,IP110&gt;=12,IP110&lt;29)),2,IF(OR(AND(BS110&gt;=28,BS110&lt;44),AND(BS110&gt;0,BS110&lt;12,IP110&gt;0,IP110&lt;12),AND(BS110&gt;=12,BS110&lt;28,IP110&gt;=12,IP110&lt;28)),1,IF(AND(BS110&gt;0,BS110&lt;12,BU110&gt;=28,BU110&lt;44,DV110="ACTIVA INGRESO A CPN"),3,IF(OR(AND(BS110&gt;0,BS110&lt;12,BU110&gt;=12,BU110&lt;28,DV110="ACTIVA INGRESO A CPN"),AND(BS110&gt;=12,BS110&lt;28,BU110&gt;=28,BU110&lt;44,DV110="ACTIVA INGRESO A CPN")),2,IF(OR(AND(BS110&gt;0,BS110&lt;12,BU110&gt;0,BU110&lt;12,DV110="ACTIVA INGRESO A CPN"),AND(BS110&gt;=12,BS110&lt;28,BU110&gt;=12,BU110&lt;28,DV110="ACTIVA INGRESO A CPN")),1,"REVISAR FUM O FECHA SALIDA PROGRAMA")))))))</f>
        <v>2</v>
      </c>
      <c r="NS110" s="205">
        <f t="shared" ca="1" si="485"/>
        <v>0</v>
      </c>
      <c r="NT110" s="21">
        <f t="shared" ca="1" si="486"/>
        <v>0</v>
      </c>
      <c r="NU110" s="21" t="str">
        <f t="shared" ca="1" si="487"/>
        <v>INCOMPLETO</v>
      </c>
      <c r="NV110" s="21" t="str">
        <f t="shared" ca="1" si="488"/>
        <v>INCOMPLETO</v>
      </c>
      <c r="NW110" s="206" t="str">
        <f>IF(AND(O110="",R110=""),"",IF(OR(AND(Tabla1[[#This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10" s="207" t="str">
        <f t="shared" ca="1" si="489"/>
        <v>SIN VACUNAR</v>
      </c>
      <c r="NY110" s="43">
        <f>ROW(Tabla1[[#This Row],['# DE TAMIZAJES SIFILIS TOMADOS ]])</f>
        <v>110</v>
      </c>
      <c r="NZ110" s="43">
        <f t="shared" si="334"/>
        <v>17</v>
      </c>
      <c r="OA110" s="43" t="str">
        <f t="shared" si="335"/>
        <v/>
      </c>
      <c r="OB110" s="43" t="str">
        <f t="shared" si="336"/>
        <v/>
      </c>
      <c r="OC110" s="43" t="str">
        <f t="shared" si="337"/>
        <v/>
      </c>
      <c r="OD110" s="43" t="str">
        <f t="shared" si="338"/>
        <v/>
      </c>
      <c r="OE110" s="43" t="str">
        <f t="shared" si="339"/>
        <v/>
      </c>
      <c r="OF110" s="43" t="str">
        <f t="shared" si="340"/>
        <v/>
      </c>
      <c r="OG110" s="43" t="str">
        <f t="shared" si="341"/>
        <v/>
      </c>
      <c r="OH110" s="43" t="str">
        <f t="shared" si="342"/>
        <v/>
      </c>
      <c r="OI110" s="43" t="str">
        <f t="shared" si="343"/>
        <v>SOBREPESO</v>
      </c>
      <c r="OJ110" s="43" t="str">
        <f t="shared" si="344"/>
        <v/>
      </c>
      <c r="OK110" s="43" t="str">
        <f t="shared" si="345"/>
        <v/>
      </c>
      <c r="OL110" s="43" t="str">
        <f t="shared" si="346"/>
        <v/>
      </c>
      <c r="OM110" s="43" t="str">
        <f t="shared" si="347"/>
        <v/>
      </c>
      <c r="ON110" s="43" t="str">
        <f t="shared" si="348"/>
        <v/>
      </c>
      <c r="OO110" s="43" t="str">
        <f t="shared" si="349"/>
        <v/>
      </c>
      <c r="OP110" s="43" t="str">
        <f t="shared" si="350"/>
        <v/>
      </c>
      <c r="OQ110" s="43" t="str">
        <f t="shared" si="351"/>
        <v/>
      </c>
      <c r="OR110" s="43" t="str">
        <f t="shared" si="352"/>
        <v/>
      </c>
      <c r="OS110" s="43" t="str">
        <f t="shared" si="353"/>
        <v/>
      </c>
      <c r="OT110" s="43" t="str">
        <f t="shared" si="354"/>
        <v/>
      </c>
      <c r="OU110" s="43" t="str">
        <f t="shared" si="355"/>
        <v/>
      </c>
      <c r="OV110" s="110" t="str">
        <f t="shared" si="356"/>
        <v/>
      </c>
      <c r="OW110" s="43" t="str">
        <f t="shared" si="357"/>
        <v/>
      </c>
      <c r="OX110" s="43" t="str">
        <f t="shared" si="358"/>
        <v/>
      </c>
      <c r="OY110" s="43" t="str">
        <f t="shared" si="359"/>
        <v/>
      </c>
      <c r="OZ110" s="43" t="str">
        <f t="shared" si="360"/>
        <v/>
      </c>
      <c r="PA110" s="43" t="str">
        <f t="shared" si="361"/>
        <v/>
      </c>
      <c r="PB110" s="43" t="str">
        <f t="shared" si="362"/>
        <v/>
      </c>
      <c r="PC110" s="43" t="str">
        <f t="shared" si="363"/>
        <v/>
      </c>
      <c r="PD110" s="43" t="str">
        <f t="shared" si="364"/>
        <v/>
      </c>
      <c r="PE110" s="43" t="str">
        <f t="shared" si="365"/>
        <v/>
      </c>
      <c r="PF110" s="43" t="str">
        <f t="shared" si="366"/>
        <v/>
      </c>
      <c r="PG110" s="43" t="str">
        <f t="shared" si="367"/>
        <v/>
      </c>
      <c r="PH110" s="43" t="str">
        <f t="shared" si="368"/>
        <v/>
      </c>
      <c r="PI110" s="43">
        <f t="shared" si="369"/>
        <v>23</v>
      </c>
      <c r="PJ110" s="43" t="str">
        <f t="shared" si="370"/>
        <v/>
      </c>
      <c r="PK110" s="43" t="str">
        <f t="shared" si="371"/>
        <v/>
      </c>
      <c r="PL110" s="43" t="str">
        <f t="shared" si="372"/>
        <v/>
      </c>
      <c r="PM110" s="43" t="str">
        <f t="shared" si="373"/>
        <v/>
      </c>
      <c r="PN110" s="43" t="str">
        <f t="shared" si="374"/>
        <v/>
      </c>
      <c r="PO110" s="43" t="str">
        <f t="shared" si="375"/>
        <v/>
      </c>
      <c r="PP110" s="43" t="str">
        <f t="shared" si="376"/>
        <v/>
      </c>
      <c r="PQ110" s="43" t="str">
        <f t="shared" si="377"/>
        <v/>
      </c>
      <c r="PR110" s="43" t="str">
        <f t="shared" si="378"/>
        <v/>
      </c>
      <c r="PS110" s="43" t="str">
        <f t="shared" si="379"/>
        <v/>
      </c>
      <c r="PT110" s="43" t="str">
        <f t="shared" si="380"/>
        <v/>
      </c>
      <c r="PU110" s="43" t="str">
        <f t="shared" si="381"/>
        <v/>
      </c>
      <c r="PV110" s="43" t="str">
        <f t="shared" si="382"/>
        <v/>
      </c>
      <c r="PW110" s="43" t="str">
        <f t="shared" si="383"/>
        <v/>
      </c>
      <c r="PX110" s="43" t="str">
        <f t="shared" si="384"/>
        <v/>
      </c>
      <c r="PY110" s="43" t="str">
        <f t="shared" si="385"/>
        <v/>
      </c>
      <c r="PZ110" s="43" t="str">
        <f t="shared" si="386"/>
        <v/>
      </c>
      <c r="QA110" s="43" t="str">
        <f t="shared" si="387"/>
        <v/>
      </c>
      <c r="QB110" s="43" t="str">
        <f t="shared" si="388"/>
        <v/>
      </c>
      <c r="QC110" s="43" t="str">
        <f t="shared" si="389"/>
        <v/>
      </c>
      <c r="QD110" s="43" t="str">
        <f t="shared" si="390"/>
        <v/>
      </c>
      <c r="QE110" s="43" t="str">
        <f t="shared" si="391"/>
        <v/>
      </c>
      <c r="QF110" s="43" t="str">
        <f t="shared" si="392"/>
        <v/>
      </c>
      <c r="QG110" s="43" t="str">
        <f t="shared" si="393"/>
        <v/>
      </c>
      <c r="QH110" s="43" t="str">
        <f t="shared" si="394"/>
        <v/>
      </c>
      <c r="QI110" s="43" t="str">
        <f t="shared" si="395"/>
        <v/>
      </c>
      <c r="QJ110" s="43" t="str">
        <f t="shared" si="396"/>
        <v/>
      </c>
      <c r="QK110" s="43" t="str">
        <f t="shared" si="397"/>
        <v/>
      </c>
      <c r="QL110" s="43" t="str">
        <f t="shared" si="398"/>
        <v/>
      </c>
      <c r="QM110" s="43" t="str">
        <f t="shared" si="399"/>
        <v/>
      </c>
      <c r="QN110" s="43" t="str">
        <f t="shared" si="400"/>
        <v/>
      </c>
      <c r="QO110" s="43" t="str">
        <f t="shared" si="401"/>
        <v/>
      </c>
      <c r="QP110" s="43" t="str">
        <f t="shared" si="402"/>
        <v/>
      </c>
      <c r="QQ110" s="43" t="str">
        <f t="shared" si="403"/>
        <v/>
      </c>
      <c r="QR110" s="43">
        <f t="shared" si="433"/>
        <v>23</v>
      </c>
      <c r="QS110" s="43"/>
      <c r="QT110" s="21" t="str">
        <f t="shared" si="404"/>
        <v/>
      </c>
      <c r="QU110" s="21" t="str">
        <f t="shared" si="405"/>
        <v/>
      </c>
      <c r="QV110" s="21" t="str">
        <f t="shared" si="406"/>
        <v/>
      </c>
      <c r="QW110" s="21" t="str">
        <f t="shared" si="407"/>
        <v/>
      </c>
      <c r="QX110" s="21" t="str">
        <f t="shared" si="408"/>
        <v/>
      </c>
      <c r="QY110" s="21" t="str">
        <f t="shared" si="409"/>
        <v/>
      </c>
      <c r="QZ110" s="21" t="str">
        <f t="shared" si="410"/>
        <v/>
      </c>
      <c r="RA110" s="21" t="str">
        <f t="shared" si="411"/>
        <v/>
      </c>
      <c r="RB110" s="21" t="str">
        <f t="shared" si="412"/>
        <v/>
      </c>
      <c r="RC110" s="21" t="str">
        <f t="shared" si="413"/>
        <v/>
      </c>
      <c r="RD110" s="21" t="str">
        <f t="shared" si="414"/>
        <v/>
      </c>
      <c r="RE110" s="21" t="str">
        <f t="shared" si="415"/>
        <v/>
      </c>
      <c r="RF110" s="21" t="str">
        <f t="shared" si="416"/>
        <v/>
      </c>
      <c r="RG110" s="21" t="str">
        <f t="shared" si="417"/>
        <v/>
      </c>
      <c r="RH110" s="21" t="str">
        <f t="shared" si="418"/>
        <v/>
      </c>
      <c r="RI110" s="21" t="str">
        <f t="shared" si="419"/>
        <v/>
      </c>
      <c r="RJ110" s="21" t="str">
        <f t="shared" si="420"/>
        <v/>
      </c>
      <c r="RK110" s="21" t="str">
        <f t="shared" si="421"/>
        <v/>
      </c>
      <c r="RL110" s="21" t="str">
        <f t="shared" si="422"/>
        <v/>
      </c>
      <c r="RM110" s="21" t="str">
        <f t="shared" si="423"/>
        <v/>
      </c>
      <c r="RN110" s="21" t="str">
        <f t="shared" si="424"/>
        <v/>
      </c>
      <c r="RO110" s="21" t="str">
        <f t="shared" si="425"/>
        <v/>
      </c>
      <c r="RP110" s="21" t="str">
        <f t="shared" si="426"/>
        <v/>
      </c>
      <c r="RQ110" s="21" t="str">
        <f t="shared" si="427"/>
        <v/>
      </c>
      <c r="RR110" s="21" t="str">
        <f t="shared" si="428"/>
        <v/>
      </c>
      <c r="RS110" s="21" t="str">
        <f t="shared" si="429"/>
        <v/>
      </c>
      <c r="RT110" s="21" t="str">
        <f t="shared" si="430"/>
        <v/>
      </c>
      <c r="RU110" s="21" t="str">
        <f t="shared" si="431"/>
        <v/>
      </c>
      <c r="RV110" s="21">
        <f t="shared" si="432"/>
        <v>17.571428571428573</v>
      </c>
      <c r="RW110" s="284">
        <f>IF(OR(Tabla1[[#This Row],[FUM FORMULA CONFIABLE]]="",Tabla1[[#This Row],[FUM FORMULA CONFIABLE]]="SD"),"",IF(Tabla1[[#This Row],[FUM FORMULA CONFIABLE]]="CORREGIDA",Tabla1[[#This Row],[FUM X ECO 1]],Tabla1[[#This Row],[FUM x AMENORREA]]))</f>
        <v>44854</v>
      </c>
      <c r="RX110" s="21">
        <f>IF(AND(Tabla1[[#This Row],[FUM X ECO 1]]="",Tabla1[[#This Row],[FUM x AMENORREA]]=""),"",IF(AND(Tabla1[[#This Row],[FUM X ECO 1]]="",Tabla1[[#This Row],[FUM x AMENORREA]]&lt;&gt;""),"X",SUM(Tabla1[[#This Row],[FUM X ECO 1]]-Tabla1[[#This Row],[FUM x AMENORREA]])))</f>
        <v>-43.099999999998545</v>
      </c>
      <c r="RY110" s="21">
        <f t="shared" si="434"/>
        <v>1</v>
      </c>
    </row>
    <row r="111" spans="1:493" ht="45" customHeight="1" x14ac:dyDescent="0.25">
      <c r="A111" s="109"/>
      <c r="B111" s="43"/>
      <c r="C111" s="43" t="s">
        <v>845</v>
      </c>
      <c r="D111" s="124"/>
      <c r="E111" s="43" t="s">
        <v>1332</v>
      </c>
      <c r="F111" s="43" t="s">
        <v>1091</v>
      </c>
      <c r="G111" s="43" t="s">
        <v>1333</v>
      </c>
      <c r="H111" s="43"/>
      <c r="I111" s="109" t="s">
        <v>1094</v>
      </c>
      <c r="J111" s="110">
        <v>1059595374</v>
      </c>
      <c r="K111" s="43" t="s">
        <v>852</v>
      </c>
      <c r="L111" s="175" t="s">
        <v>1270</v>
      </c>
      <c r="M111" s="22">
        <v>38436</v>
      </c>
      <c r="N111" s="213">
        <f t="shared" ca="1" si="252"/>
        <v>18.61917808219178</v>
      </c>
      <c r="O111" s="22">
        <v>44979</v>
      </c>
      <c r="P111" s="214" t="str">
        <f t="shared" si="438"/>
        <v>SI</v>
      </c>
      <c r="Q111" s="26" t="s">
        <v>855</v>
      </c>
      <c r="R111" s="22">
        <v>44979</v>
      </c>
      <c r="S111" s="21" t="s">
        <v>856</v>
      </c>
      <c r="T111" s="24" t="s">
        <v>690</v>
      </c>
      <c r="U111" s="21" t="s">
        <v>857</v>
      </c>
      <c r="V111" s="21" t="s">
        <v>858</v>
      </c>
      <c r="W111" s="21" t="s">
        <v>1334</v>
      </c>
      <c r="X111" s="21" t="s">
        <v>1334</v>
      </c>
      <c r="Y111" s="21" t="s">
        <v>859</v>
      </c>
      <c r="Z111" s="21" t="s">
        <v>894</v>
      </c>
      <c r="AA111" s="21" t="s">
        <v>860</v>
      </c>
      <c r="AB111" s="27" t="s">
        <v>861</v>
      </c>
      <c r="AC111" s="26" t="s">
        <v>862</v>
      </c>
      <c r="AD111" s="38" t="s">
        <v>1546</v>
      </c>
      <c r="AE111" s="26" t="s">
        <v>854</v>
      </c>
      <c r="AF111" s="26" t="s">
        <v>854</v>
      </c>
      <c r="AG111" s="23" t="s">
        <v>864</v>
      </c>
      <c r="AH111" s="23" t="s">
        <v>864</v>
      </c>
      <c r="AI111" s="24" t="s">
        <v>863</v>
      </c>
      <c r="AJ111" s="23" t="s">
        <v>864</v>
      </c>
      <c r="AK111" s="220" t="str">
        <f>IF(AND(AD111="",AE111="",AF111="",AG111="",AH111="",AI111="",AJ111=""),"",IF(OR(Tabla1[[#This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EVALUACIÓN",IF(AND(O111="",R111=""),"",IF(AND(OR(O111&gt;0,R111&gt;0),NG111&gt;=0,NG111&lt;2),"SIN RIESGO",IF(AND(OR(O111&gt;0,R111&gt;0),NG111&gt;=2),"CON RIESGO","ASD")))))</f>
        <v>SIN RIESGO</v>
      </c>
      <c r="AL111" s="23" t="s">
        <v>864</v>
      </c>
      <c r="AM111" s="26" t="s">
        <v>864</v>
      </c>
      <c r="AN111" s="26" t="s">
        <v>864</v>
      </c>
      <c r="AO111" s="26" t="s">
        <v>864</v>
      </c>
      <c r="AP111" s="26" t="s">
        <v>864</v>
      </c>
      <c r="AQ111" s="26" t="s">
        <v>864</v>
      </c>
      <c r="AR111" s="26" t="s">
        <v>864</v>
      </c>
      <c r="AS111" s="21">
        <v>0</v>
      </c>
      <c r="AT111" s="21">
        <v>0</v>
      </c>
      <c r="AU111" s="21">
        <v>0</v>
      </c>
      <c r="AV111" s="26" t="s">
        <v>864</v>
      </c>
      <c r="AW111" s="21">
        <v>0</v>
      </c>
      <c r="AX111" s="26" t="s">
        <v>864</v>
      </c>
      <c r="AY111" s="26" t="s">
        <v>864</v>
      </c>
      <c r="AZ111" s="26" t="s">
        <v>864</v>
      </c>
      <c r="BA111" s="26" t="s">
        <v>864</v>
      </c>
      <c r="BB111" s="26" t="s">
        <v>864</v>
      </c>
      <c r="BC111" s="26" t="s">
        <v>864</v>
      </c>
      <c r="BD111" s="26" t="s">
        <v>864</v>
      </c>
      <c r="BE111" s="26" t="s">
        <v>864</v>
      </c>
      <c r="BF111" s="26" t="s">
        <v>864</v>
      </c>
      <c r="BG111" s="26" t="s">
        <v>864</v>
      </c>
      <c r="BH111" s="26" t="s">
        <v>864</v>
      </c>
      <c r="BI111" s="26" t="s">
        <v>864</v>
      </c>
      <c r="BJ111" s="26" t="s">
        <v>864</v>
      </c>
      <c r="BK111" s="26" t="s">
        <v>865</v>
      </c>
      <c r="BL111" s="26" t="s">
        <v>864</v>
      </c>
      <c r="BM111" s="26" t="s">
        <v>864</v>
      </c>
      <c r="BN111" s="22"/>
      <c r="BO111" s="22">
        <v>44910</v>
      </c>
      <c r="BP111" s="21" t="s">
        <v>854</v>
      </c>
      <c r="BQ111" s="222">
        <f t="shared" si="254"/>
        <v>0</v>
      </c>
      <c r="BR111" s="223" t="str">
        <f t="shared" si="255"/>
        <v/>
      </c>
      <c r="BS111" s="224">
        <f t="shared" si="256"/>
        <v>9.8571428571428577</v>
      </c>
      <c r="BT111" s="216" t="str">
        <f t="shared" si="257"/>
        <v>I TRIM</v>
      </c>
      <c r="BU111" s="214" t="str">
        <f t="shared" ca="1" si="258"/>
        <v/>
      </c>
      <c r="BV111" s="25"/>
      <c r="BW111" s="22"/>
      <c r="BX111" s="28"/>
      <c r="BY111" s="28"/>
      <c r="BZ111" s="22"/>
      <c r="CA111" s="21"/>
      <c r="CB111" s="26"/>
      <c r="CC111" s="26"/>
      <c r="CD111" s="26"/>
      <c r="CE111" s="26"/>
      <c r="CF111" s="22" t="s">
        <v>1517</v>
      </c>
      <c r="CG111" s="21">
        <v>1.43</v>
      </c>
      <c r="CH111" s="21">
        <v>51.8</v>
      </c>
      <c r="CI111" s="214">
        <f t="shared" si="259"/>
        <v>25.331312044598761</v>
      </c>
      <c r="CJ111" s="225" t="str">
        <f>IF(AND(CI111&lt;10,CH111="SD"),"SIN DATO PESO PREGESTACION O I TRIM",IF(AND(OR(R111&gt;0,O111&gt;0),CI111="X"),"INGRESAR DATO DE PESO",IF(CI111="SD","INGRESAR DATO DE TALLA Y PESO",IF(AND(OR(Tabla1[[#This Row],[MOMENTO EN QUE SE REALIZA EL PESO AL INGRESO A CPN]]="PREGESTACIÓN",NZ111="Menor"),CI111&lt;18.5),"BAJO PESO",IF(AND(OR(Tabla1[[#This Row],[MOMENTO EN QUE SE REALIZA EL PESO AL INGRESO A CPN]]="PREGESTACIÓN",NZ111="Menor"),CI111&lt;25),"NORMAL",IF(AND(OR(Tabla1[[#This Row],[MOMENTO EN QUE SE REALIZA EL PESO AL INGRESO A CPN]]="PREGESTACIÓN",NZ111="Menor"),CI111&lt;30),"SOBREPESO",IF(AND(OR(Tabla1[[#This Row],[MOMENTO EN QUE SE REALIZA EL PESO AL INGRESO A CPN]]="PREGESTACIÓN",NZ111="Menor"),CI111&gt;=30,CI111&lt;50),"OBESIDAD",IF(AND(BS111&gt;0,Tabla1[[#This Row],[MOMENTO EN QUE SE REALIZA EL PESO AL INGRESO A CPN]]="GESTACIÓN"),HLOOKUP(NZ111,$OA$2:PH111,NY111),""))))))))</f>
        <v>SOBREPESO</v>
      </c>
      <c r="CK111" s="212">
        <f t="shared" si="260"/>
        <v>44979</v>
      </c>
      <c r="CL111" s="21">
        <v>51.8</v>
      </c>
      <c r="CM111" s="214">
        <f t="shared" si="261"/>
        <v>25.331312044598761</v>
      </c>
      <c r="CN111" s="216">
        <f t="shared" si="262"/>
        <v>9</v>
      </c>
      <c r="CO111" s="216" t="e">
        <f>IF(PI111="","",IF(PI111&gt;0,HLOOKUP(PI111,$PJ$2:QQ111,NY111),""))</f>
        <v>#REF!</v>
      </c>
      <c r="CP111" s="21"/>
      <c r="CQ111" s="216" t="str">
        <f>IF(QR111="Menor","NO APLICA-MENOR 13 SEM",IF(AND(CC111="SI",CN111&gt;23),"NO APLICA- GEMELAR",IF(QR111="","",IF(QR111&gt;0,HLOOKUP(QR111,$QS$2:RU111,NY111),""))))</f>
        <v>NO APLICA-MENOR 13 SEM</v>
      </c>
      <c r="CR111" s="21"/>
      <c r="CS111" s="21"/>
      <c r="CT111" s="217" t="str">
        <f>IF(R111="","",IF(AND(BS111&gt;1,BS111&lt;12,Tabla1[[#This Row],[T.A. SISTOLICA - ANTES DE SEMANA 12]]="",Tabla1[[#This Row],[T.A. DIASTOLICA - ANTES DE SEMANA 12]]=""),"REGISTRE DATO TA ANTES SEMANA 12",IF(AND(BS111&gt;11,BS111&lt;43,Tabla1[[#This Row],[T.A. SISTOLICA - ANTES DE SEMANA 12]]="",Tabla1[[#This Row],[T.A. DIASTOLICA - ANTES DE SEMANA 12]]=""),"NO APLICA REGISTRO TA-INGRESO TARDIO",IF(AND(OR(O111&gt;0,R111&gt;0),OR(CR111&gt;=140,CS111&gt;=90)),"DEFINIR ESTADIO HTA",IF(AND(OR(O111&gt;0,R111&gt;0),AND(CR111&gt;120,CR111&lt;=139)),"PRE HTA SEGUIMIENTO",IF(AND(OR(O111&gt;0,R111&gt;0),AND(CS111&gt;80,CS111&lt;=89)),"PRE HTA SEGUIMIENTO",IF(AND(OR(O111&gt;0,R111&gt;0),AND(CR111&gt;=80,CR111&lt;=120)),"APARENTEMENTE NORMAL",IF(AND(OR(O111&gt;0,R111&gt;0),AND(CS111&gt;=50,CS111&lt;=80)),"APARENTEMENTE NORMAL",IF(AND(OR(O111&gt;0,R111&gt;0),AND(CR111&gt;1,CR111&lt;=70),AND(CS111&gt;1,CS111&lt;=40)),"HIPOTENSIÓN","")))))))))</f>
        <v>REGISTRE DATO TA ANTES SEMANA 12</v>
      </c>
      <c r="CU111" s="21"/>
      <c r="CV111" s="21"/>
      <c r="CW111" s="217" t="str">
        <f ca="1">IF(R111="","",IF(AND(CN111&gt;19,CN111&lt;27,Tabla1[[#This Row],[T.A. SISTOLICA (Entre semana 20 y 26)]]="",Tabla1[[#This Row],[T.A. DIATOLICA (Entre semana 20 y 26)]]=""),"ACUDE A CONTROL SEM 20 A 26 REGISTRE TA AHORA",IF(AND(BS111&gt;1,BS111&lt;27,BU111&gt;19,Tabla1[[#This Row],[T.A. SISTOLICA (Entre semana 20 y 26)]]="",Tabla1[[#This Row],[T.A. DIATOLICA (Entre semana 20 y 26)]]=""),"COMPLETE REGISTRO TA CONTROL SEM 20 A26 ",IF(AND(BS111&gt;26,BS111&lt;43,Tabla1[[#This Row],[T.A. SISTOLICA (Entre semana 20 y 26)]]="",Tabla1[[#This Row],[T.A. DIATOLICA (Entre semana 20 y 26)]]=""),"NO APLICA REGISTRO TA-INGRESO TARDIO",IF(AND(OR(O111&gt;0,R111&gt;0),OR(CU111&gt;=140,CV111&gt;=90)),"ALTO RIESGO PREECLAMPSIA,DEFINIR ESTADIO HTA",IF(AND(OR(O111&gt;0,R111&gt;0),AND(CU111&gt;120,CU111&lt;=139)),"PRE HTA SEGUIMIENTO,RIESGO HIPERTENSION INDUCIDA POR EL EMBARAZO",IF(AND(OR(O111&gt;0,R111&gt;0),AND(CV111&gt;80,CV111&lt;=89)),"PRE HTA SEGUIMIENTO, RIESGO HIPERTENSION INDUCIDA POR EL EMBARAZO",IF(AND(OR(O111&lt;&gt;"",R111&lt;&gt;""),CS111&lt;&gt;"",CV111&lt;&gt;"",CS111&lt;=CV111),"VIGILAR CIFRAS PRESION ARTERIAL",IF(AND(OR(O111&gt;0,R111&gt;0),AND(CU111&gt;120,CU111&lt;=139)),"PRE HTA SEGUIMIENTO",IF(AND(OR(O111&gt;0,R111&gt;0),AND(CU111&gt;1,CU111&lt;=70),AND(CV111&gt;1,CV111&lt;=40)),"HIPOTENSIÓN",IF(AND(OR(O111&lt;&gt;"",R111&lt;&gt;""),CS111&lt;&gt;"",CV111&lt;&gt;"",CS111&gt;CV111),"APARENTEMENTE NORMAL",IF(AND(OR(O111&gt;0,R111&gt;0),AND(CU111&gt;=80,CU111&lt;=120)),"APARENTEMENTE NORMAL",IF(AND(OR(O111&gt;0,R111&gt;0),AND(CV111&gt;=50,CV111&lt;=80)),"APARENTEMENTE NORMAL","")))))))))))))</f>
        <v xml:space="preserve">COMPLETE REGISTRO TA CONTROL SEM 20 A26 </v>
      </c>
      <c r="CX111" s="21"/>
      <c r="CY111" s="21"/>
      <c r="CZ111" s="216" t="str">
        <f t="shared" si="457"/>
        <v/>
      </c>
      <c r="DA111" s="21"/>
      <c r="DB111" s="21"/>
      <c r="DC111" s="217" t="str">
        <f t="shared" si="264"/>
        <v>REGISTRE DATO PRESIÓN ARTERIAL MENSUAL</v>
      </c>
      <c r="DD111" s="22">
        <v>44614</v>
      </c>
      <c r="DE111" s="22">
        <v>44614</v>
      </c>
      <c r="DF111" s="22"/>
      <c r="DG111" s="22"/>
      <c r="DH111" s="22"/>
      <c r="DI111" s="22"/>
      <c r="DJ111" s="22"/>
      <c r="DK111" s="22"/>
      <c r="DL111" s="22"/>
      <c r="DM111" s="22"/>
      <c r="DN111" s="22"/>
      <c r="DO111" s="22"/>
      <c r="DP111" s="22"/>
      <c r="DQ111" s="22"/>
      <c r="DR111" s="28">
        <v>1</v>
      </c>
      <c r="DS111" s="22"/>
      <c r="DT111" s="22"/>
      <c r="DU111" s="216" t="str">
        <f t="shared" ca="1" si="439"/>
        <v>CONCERTAR PLAN DE PARTO INMEDIATO</v>
      </c>
      <c r="DV111" s="226" t="str">
        <f t="shared" si="440"/>
        <v>ACTIVA INGRESO A CPN</v>
      </c>
      <c r="DW11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11" s="216" t="e">
        <f t="shared" ca="1" si="266"/>
        <v>#REF!</v>
      </c>
      <c r="DY111" s="212">
        <f>IF(R111="","",IF(R111&gt;0,MAX(Tabla1[[#This Row],[FECHA C2]:[FECHA C13]],Tabla1[[#This Row],[FECHA CONSULTA PRIMERA VEZ PROGRAMA CPN ]])))</f>
        <v>44979</v>
      </c>
      <c r="DZ111" s="216">
        <f t="shared" si="267"/>
        <v>9</v>
      </c>
      <c r="EA111" s="222">
        <f>IF(R111&gt;0,SUM(COUNTA(DF111:DQ111)+COUNTA(Tabla1[[#This Row],[FECHA CONSULTA PRIMERA VEZ PROGRAMA CPN ]])),"")</f>
        <v>1</v>
      </c>
      <c r="EB111" s="222" t="str">
        <f t="shared" si="268"/>
        <v>NO</v>
      </c>
      <c r="EC111" s="214">
        <f t="shared" si="269"/>
        <v>9</v>
      </c>
      <c r="ED111" s="227">
        <f t="shared" si="270"/>
        <v>0.1111111111111111</v>
      </c>
      <c r="EE111" s="22"/>
      <c r="EF111" s="22"/>
      <c r="EG111" s="22">
        <v>44979</v>
      </c>
      <c r="EH111" s="22"/>
      <c r="EI111" s="22">
        <v>44979</v>
      </c>
      <c r="EJ111" s="22"/>
      <c r="EK111" s="22"/>
      <c r="EL111" s="21"/>
      <c r="EM111" s="21">
        <v>13</v>
      </c>
      <c r="EN111" s="22">
        <v>44979</v>
      </c>
      <c r="EO111" s="222">
        <f t="shared" si="271"/>
        <v>9.8571428571428577</v>
      </c>
      <c r="EP111" s="214" t="str">
        <f t="shared" si="272"/>
        <v>NORMAL- SUMINISTRAR SULFATO FERROSO</v>
      </c>
      <c r="EQ111" s="216" t="str">
        <f t="shared" si="273"/>
        <v>I TRIM</v>
      </c>
      <c r="ER111" s="24"/>
      <c r="ES111" s="22"/>
      <c r="ET111" s="29" t="str">
        <f t="shared" ca="1" si="441"/>
        <v>TOMA DE HEMOGLOBINA TARDÍA</v>
      </c>
      <c r="EU111" s="25" t="str">
        <f t="shared" si="275"/>
        <v/>
      </c>
      <c r="EV111" s="24" t="s">
        <v>866</v>
      </c>
      <c r="EW111" s="24">
        <v>44979</v>
      </c>
      <c r="EX111" s="22"/>
      <c r="EY111" s="29">
        <f t="shared" si="454"/>
        <v>9.8571428571428577</v>
      </c>
      <c r="EZ111" s="25" t="str">
        <f t="shared" ca="1" si="455"/>
        <v/>
      </c>
      <c r="FA111" s="21">
        <v>80</v>
      </c>
      <c r="FB111" s="22">
        <v>44979</v>
      </c>
      <c r="FC111" s="29">
        <f t="shared" si="276"/>
        <v>9.8571428571428577</v>
      </c>
      <c r="FD111" s="29"/>
      <c r="FE111" s="29"/>
      <c r="FF111" s="29"/>
      <c r="FG111" s="21" t="str">
        <f t="shared" ca="1" si="277"/>
        <v/>
      </c>
      <c r="FH111" s="31"/>
      <c r="FI111" s="29" t="str">
        <f t="shared" si="278"/>
        <v>TOMAR EXAMEN</v>
      </c>
      <c r="FJ111" s="22" t="s">
        <v>867</v>
      </c>
      <c r="FK111" s="22">
        <v>44979</v>
      </c>
      <c r="FL111" s="29">
        <f t="shared" ca="1" si="279"/>
        <v>9.8571428571428577</v>
      </c>
      <c r="FM111" s="22"/>
      <c r="FN111" s="32"/>
      <c r="FO111" s="29" t="str">
        <f t="shared" ca="1" si="442"/>
        <v>PIERDE TOMA DE TAMIZAJE</v>
      </c>
      <c r="FP111" s="22"/>
      <c r="FQ111" s="32"/>
      <c r="FR111" s="29" t="str">
        <f t="shared" ca="1" si="443"/>
        <v>TOMA INMEDIATA DE TAMIZAJE</v>
      </c>
      <c r="FS111" s="22"/>
      <c r="FT111" s="32"/>
      <c r="FU111" s="29" t="str">
        <f>IF(AND(FJ111="",FM111="",FP111="",FS111=""),"",IF(OR(OR(Tabla1[[#This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11" s="28"/>
      <c r="FW111" s="22"/>
      <c r="FX111" s="29" t="str">
        <f t="shared" si="280"/>
        <v>TOMAR EXAMEN</v>
      </c>
      <c r="FY111" s="22">
        <v>44979</v>
      </c>
      <c r="FZ111" s="22">
        <v>44979</v>
      </c>
      <c r="GA111" s="29">
        <f t="shared" ca="1" si="453"/>
        <v>9.8571428571428577</v>
      </c>
      <c r="GB111" s="22"/>
      <c r="GC111" s="22"/>
      <c r="GD111" s="29" t="str">
        <f t="shared" ca="1" si="491"/>
        <v>PIERDE TOMA DE TAMIZAJE</v>
      </c>
      <c r="GE111" s="22"/>
      <c r="GF111" s="22"/>
      <c r="GG111" s="29" t="str">
        <f t="shared" ca="1" si="445"/>
        <v>TOMA INMEDIATA DE TAMIZAJE</v>
      </c>
      <c r="GH111" s="22"/>
      <c r="GI111" s="29"/>
      <c r="GJ111" s="22"/>
      <c r="GK111" s="22"/>
      <c r="GL111" s="22"/>
      <c r="GM111" s="22"/>
      <c r="GN111" s="28" t="s">
        <v>869</v>
      </c>
      <c r="GO111" s="22">
        <v>44979</v>
      </c>
      <c r="GP111" s="29">
        <f t="shared" si="283"/>
        <v>9.8571428571428577</v>
      </c>
      <c r="GQ111" s="28"/>
      <c r="GR111" s="28"/>
      <c r="GS111" s="22" t="str">
        <f t="shared" si="458"/>
        <v/>
      </c>
      <c r="GT111" s="22"/>
      <c r="GU111" s="29" t="str">
        <f t="shared" si="285"/>
        <v>TOMAR EXAMEN</v>
      </c>
      <c r="GV111" s="21" t="str">
        <f t="shared" si="286"/>
        <v>POR DEFINIR</v>
      </c>
      <c r="GW111" s="28"/>
      <c r="GX111" s="30"/>
      <c r="GY111" s="21"/>
      <c r="GZ111" s="21"/>
      <c r="HA111" s="21"/>
      <c r="HB111" s="21"/>
      <c r="HC111" s="21"/>
      <c r="HD111" s="21"/>
      <c r="HE111" s="21"/>
      <c r="HF111" s="22"/>
      <c r="HG111" s="22" t="str">
        <f>IF(OR(O111&gt;0,R111&gt;0),CONCATENATE(IF(Tabla1[[#This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11" s="22" t="e">
        <f t="shared" si="287"/>
        <v>#REF!</v>
      </c>
      <c r="HI111" s="22" t="e">
        <f t="shared" ca="1" si="288"/>
        <v>#REF!</v>
      </c>
      <c r="HJ111" s="21" t="str">
        <f t="shared" ca="1" si="289"/>
        <v>**********************MULTIPARIDAD*****************</v>
      </c>
      <c r="HK111" s="21" t="str">
        <f t="shared" si="290"/>
        <v>SIN ANTECEDENTES DE RIESGO</v>
      </c>
      <c r="HL111" s="24" t="str">
        <f t="shared" si="291"/>
        <v>REGISTRE DATO PRESIÓN ARTERIAL MENSUAL</v>
      </c>
      <c r="HM111" s="21" t="e">
        <f t="shared" ca="1" si="292"/>
        <v>#REF!</v>
      </c>
      <c r="HN111" s="30" t="str">
        <f t="shared" si="446"/>
        <v>ACTIVA INGRESO A CPN</v>
      </c>
      <c r="HO111" s="21"/>
      <c r="HP111" s="21"/>
      <c r="HQ111" s="349">
        <v>44979</v>
      </c>
      <c r="HR111" s="21" t="str">
        <f>IF(R111="","",IF(Tabla1[[#This Row],[ALARMA FACTORES DE RIESGO COMPLICACIONES HIPERTENSIVAS3]]="SIN ANTECEDENTES DE RIESGO","No Aplica para suministro de ASA",IF(AND(Tabla1[[#This Row],[FECHA INICIO DE SUMINISTRO DE ASA]]&gt;0,RV111&lt;12),"Inicia ASA ANTES de Sem 12",IF(AND(RV111&gt;11,RV111&lt;17,OR(HK111="RIESGO ALTO DE COMPLICACIONES HIPERTENSIVAS VER MANEJO GUIA SUMINISTRO ASA Y CALCIO",HK111="RIESGO MODERADO (2 O MAS CRITERIOS) VER MANEJO GUIA SUMINISTRO ASA Y CALCIO")),"Inicio oportuno de ASA",IF(AND(RV111&gt;12,OR(HK111="RIESGO ALTO DE COMPLICACIONES HIPERTENSIVAS VER MANEJO GUIA SUMINISTRO ASA Y CALCIO",HK111="RIESGO MODERADO (2 O MAS CRITERIOS) VER MANEJO GUIA SUMINISTRO ASA Y CALCIO")),"Inicio no oportuno mayor a 16 semanas",IF(AND(BU111&lt;12,OR(HK111="RIESGO ALTO DE COMPLICACIONES HIPERTENSIVAS VER MANEJO GUIA SUMINISTRO ASA Y CALCIO",HK111="RIESGO MODERADO (2 O MAS CRITERIOS) VER MANEJO GUIA SUMINISTRO ASA Y CALCIO")),"Pendiente Inicio de ASA a la semana 12",IF(AND(BU111&gt;11,BU111&lt;17,OR(HK111="RIESGO ALTO DE COMPLICACIONES HIPERTENSIVAS VER MANEJO GUIA SUMINISTRO ASA Y CALCIO",HK111="RIESGO MODERADO (2 O MAS CRITERIOS) VER MANEJO GUIA SUMINISTRO ASA Y CALCIO")),"Iniciar de inmediato ASA",IF(AND(BU111&gt;16,OR(HK111="RIESGO ALTO DE COMPLICACIONES HIPERTENSIVAS VER MANEJO GUIA SUMINISTRO ASA Y CALCIO",HK111="RIESGO MODERADO (2 O MAS CRITERIOS) VER MANEJO GUIA SUMINISTRO ASA Y CALCIO")),"Pierde Oportunidad, Inicio tardío de ASA","XXXXX"))))))))</f>
        <v>No Aplica para suministro de ASA</v>
      </c>
      <c r="HS111" s="22">
        <v>44979</v>
      </c>
      <c r="HT111" s="22" t="s">
        <v>870</v>
      </c>
      <c r="HU111" s="22">
        <v>44979</v>
      </c>
      <c r="HV111" s="22" t="s">
        <v>870</v>
      </c>
      <c r="HW111" s="22">
        <v>44979</v>
      </c>
      <c r="HX111" s="22" t="s">
        <v>870</v>
      </c>
      <c r="HY111" s="22">
        <v>44979</v>
      </c>
      <c r="HZ111" s="28">
        <f t="shared" si="293"/>
        <v>9.8571428571428577</v>
      </c>
      <c r="IA111" s="26"/>
      <c r="IB111" s="26"/>
      <c r="IC111" s="111"/>
      <c r="ID111" s="22"/>
      <c r="IE111" s="22" t="str">
        <f t="shared" ca="1" si="294"/>
        <v/>
      </c>
      <c r="IF111" s="22"/>
      <c r="IG111" s="22">
        <f t="shared" si="295"/>
        <v>45190</v>
      </c>
      <c r="IH111" s="29">
        <f t="shared" ca="1" si="296"/>
        <v>-42</v>
      </c>
      <c r="II111" s="22" t="str">
        <f t="shared" ca="1" si="297"/>
        <v>POSIBLEMENTE NACIO</v>
      </c>
      <c r="IJ111" s="22"/>
      <c r="IK111" s="21"/>
      <c r="IL111" s="21"/>
      <c r="IM111" s="34"/>
      <c r="IN111" s="22"/>
      <c r="IO111" s="21"/>
      <c r="IP111" s="29" t="str">
        <f t="shared" si="490"/>
        <v/>
      </c>
      <c r="IQ111" s="110"/>
      <c r="IR111" s="21"/>
      <c r="IS111" s="21"/>
      <c r="IT111" s="21"/>
      <c r="IU111" s="21"/>
      <c r="IV111" s="21"/>
      <c r="IW111" s="21"/>
      <c r="IX111" s="21"/>
      <c r="IY111" s="21"/>
      <c r="IZ111" s="21"/>
      <c r="JA111" s="21"/>
      <c r="JB111" s="30"/>
      <c r="JC111" s="21"/>
      <c r="JD111" s="36"/>
      <c r="JE111" s="21" t="str">
        <f t="shared" si="492"/>
        <v/>
      </c>
      <c r="JF111" s="30"/>
      <c r="JG111" s="21"/>
      <c r="JH111" s="21"/>
      <c r="JI111" s="21"/>
      <c r="JJ111" s="30"/>
      <c r="JK111" s="22"/>
      <c r="JL111" s="22"/>
      <c r="JM111" s="21"/>
      <c r="JN111" s="36"/>
      <c r="JO111" s="21" t="str">
        <f t="shared" si="493"/>
        <v/>
      </c>
      <c r="JP111" s="22"/>
      <c r="JQ111" s="21"/>
      <c r="JR111" s="21"/>
      <c r="JS111" s="21"/>
      <c r="JT111" s="30"/>
      <c r="JU111" s="22"/>
      <c r="JV111" s="22"/>
      <c r="JW111" s="33"/>
      <c r="JX111" s="28" t="str">
        <f t="shared" si="494"/>
        <v/>
      </c>
      <c r="JY111" s="33"/>
      <c r="JZ111" s="28" t="str">
        <f t="shared" si="495"/>
        <v/>
      </c>
      <c r="KA111" s="21"/>
      <c r="KB111" s="21"/>
      <c r="KC111" s="21"/>
      <c r="KD111" s="37"/>
      <c r="KE111" s="28"/>
      <c r="KF111" s="28"/>
      <c r="KG111" s="28"/>
      <c r="KH111" s="39"/>
      <c r="KI111" s="39"/>
      <c r="KJ111" s="66"/>
      <c r="KK111" s="39"/>
      <c r="KL111" s="39"/>
      <c r="KM111" s="66"/>
      <c r="KN111" s="39"/>
      <c r="KO111" s="39"/>
      <c r="KP111" s="39"/>
      <c r="KQ111" s="39"/>
      <c r="KR111" s="39"/>
      <c r="KS111" s="39"/>
      <c r="KT111" s="39"/>
      <c r="KU111" s="38"/>
      <c r="KV111" s="38"/>
      <c r="KW111" s="38"/>
      <c r="KX111" s="38"/>
      <c r="KY111" s="38"/>
      <c r="KZ111" s="38"/>
      <c r="LA111" s="38"/>
      <c r="LB111" s="38"/>
      <c r="LC111" s="38"/>
      <c r="LD111" s="38"/>
      <c r="LE111" s="38"/>
      <c r="LF111" s="38"/>
      <c r="LG111" s="38"/>
      <c r="LH111" s="38"/>
      <c r="LI111" s="38"/>
      <c r="LJ111" s="38"/>
      <c r="LK111" s="38"/>
      <c r="LL111" s="38"/>
      <c r="LM111" s="38"/>
      <c r="LN111" s="38"/>
      <c r="LO111" s="38"/>
      <c r="LP111" s="38"/>
      <c r="LQ111" s="38"/>
      <c r="LR111" s="38"/>
      <c r="LS111" s="38"/>
      <c r="LT111" s="38"/>
      <c r="LU111" s="38"/>
      <c r="LV111" s="38"/>
      <c r="LW111" s="38"/>
      <c r="LX111" s="38"/>
      <c r="LY111" s="38"/>
      <c r="LZ111" s="38"/>
      <c r="MA111" s="38"/>
      <c r="MB111" s="38"/>
      <c r="MC111" s="38"/>
      <c r="MD111" s="38"/>
      <c r="ME111" s="38"/>
      <c r="MF111" s="38"/>
      <c r="MG111" s="38"/>
      <c r="MH111" s="43">
        <f t="shared" si="459"/>
        <v>0</v>
      </c>
      <c r="MI111" s="43" t="str">
        <f t="shared" si="460"/>
        <v/>
      </c>
      <c r="MJ111" s="43" t="str">
        <f t="shared" si="461"/>
        <v/>
      </c>
      <c r="MK111" s="43">
        <f t="shared" si="462"/>
        <v>0</v>
      </c>
      <c r="ML11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11" s="43">
        <f t="shared" si="463"/>
        <v>9.8571428571428577</v>
      </c>
      <c r="MN111" s="43">
        <f t="shared" si="464"/>
        <v>2</v>
      </c>
      <c r="MO111" s="43">
        <f t="shared" si="465"/>
        <v>2023</v>
      </c>
      <c r="MP111" s="43" t="str">
        <f t="shared" si="466"/>
        <v>I TRIMESTRE AÑO</v>
      </c>
      <c r="MQ111" s="43">
        <f t="shared" si="467"/>
        <v>17.649474375821288</v>
      </c>
      <c r="MR111" s="43">
        <f t="shared" si="468"/>
        <v>0</v>
      </c>
      <c r="MS111" s="43" t="str">
        <f t="shared" si="469"/>
        <v>DE 14 A 19AÑOS</v>
      </c>
      <c r="MT111" s="43">
        <f t="shared" si="470"/>
        <v>0</v>
      </c>
      <c r="MU111" s="43">
        <f t="shared" si="471"/>
        <v>1</v>
      </c>
      <c r="MV111" s="43">
        <f t="shared" si="472"/>
        <v>0</v>
      </c>
      <c r="MW111" s="43">
        <f t="shared" si="473"/>
        <v>0</v>
      </c>
      <c r="MX111" s="43" t="str">
        <f t="shared" si="474"/>
        <v/>
      </c>
      <c r="MY111" s="43" t="str">
        <f t="shared" ca="1" si="496"/>
        <v/>
      </c>
      <c r="MZ111" s="43" t="str">
        <f t="shared" si="475"/>
        <v/>
      </c>
      <c r="NA111" s="43" t="str">
        <f t="shared" si="476"/>
        <v/>
      </c>
      <c r="NB111" s="43" t="str">
        <f t="shared" si="477"/>
        <v/>
      </c>
      <c r="NC111" s="43" t="str">
        <f t="shared" si="478"/>
        <v/>
      </c>
      <c r="ND111" s="43">
        <f t="shared" ca="1" si="479"/>
        <v>1</v>
      </c>
      <c r="NE111" s="43">
        <f>IF(OR(O111&gt;0,R111&gt;0),SUM(COUNTIF(Tabla1[[#This Row],[AÑOS AL INICIO5 CPN]],"&gt;=40"),COUNTIF(AS111,"0"),COUNTIF(AR111,"SI"),COUNTIF(CC111,"SI"),COUNTIF(BQ111,"&gt;119"),COUNTIF(CI111,"&gt;=35")),"")</f>
        <v>1</v>
      </c>
      <c r="NF111" s="43" t="str">
        <f t="shared" si="480"/>
        <v/>
      </c>
      <c r="NG111" s="43">
        <f t="shared" si="481"/>
        <v>0</v>
      </c>
      <c r="NH111" s="43" t="str">
        <f t="shared" si="482"/>
        <v/>
      </c>
      <c r="NI11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CPN",P111="NO"),"Z",IF(AND(Tabla1[[#This Row],[CITA PROXIMO CONTROL]]="CITA MANUAL",Tabla1[[#This Row],[GESTANTES ACTUALES]]="ACTIVA INGRESO A CPN"),"W",IF(AND(Tabla1[[#This Row],[GESTANTES ACTUALES]]="SALIO PROGRAMA",IN111=""),"S",IF(AND(Tabla1[[#This Row],[CITA PROXIMO CONTROL]]&gt;0,IN111=""),(Tabla1[[#This Row],[CITA PROXIMO CONTROL]]-TODAY()),"SD"))))))))</f>
        <v>#REF!</v>
      </c>
      <c r="NJ111" s="43">
        <f>MONTH(Tabla1[[#This Row],[FECHA DE SALIDA  DEL PROGRAMA]])</f>
        <v>1</v>
      </c>
      <c r="NK111" s="43">
        <f>YEAR(Tabla1[[#This Row],[FECHA DE SALIDA  DEL PROGRAMA]])</f>
        <v>1900</v>
      </c>
      <c r="NL111" s="43" t="str">
        <f t="shared" si="483"/>
        <v>X</v>
      </c>
      <c r="NM111" s="43" t="str">
        <f t="shared" si="456"/>
        <v>NO</v>
      </c>
      <c r="NN111" s="43" t="str">
        <f ca="1">IF(AND(O111&gt;0,R111=""),"NO CPN",IF(AND(O111="",R111=""),"",IF(AND(R111&gt;0,Tabla1[[#This Row],[SEMANAS DE GESTACION ACTUALIZADAS]]&lt;=12),"NO APLICA",IF(AND(FH111&lt;&gt;"",FN111&lt;&gt;""),"SI","NO"))))</f>
        <v>NO</v>
      </c>
      <c r="NO111" s="43" t="str">
        <f ca="1">IF(AND(O111&gt;0,R111=""),"NO CPN",IF(AND(O111="",R111=""),"",IF(AND(R111&gt;0,Tabla1[[#This Row],[SEMANAS DE GESTACION ACTUALIZADAS]]&lt;=27),"NO APLICA",IF(AND(ES111&lt;&gt;"",FQ111&lt;&gt;"",GF111&lt;&gt;""),"SI","NO"))))</f>
        <v>NO</v>
      </c>
      <c r="NP111" s="204" t="str">
        <f t="shared" si="484"/>
        <v>I TRIM</v>
      </c>
      <c r="NQ111" s="21" t="str">
        <f t="shared" si="437"/>
        <v/>
      </c>
      <c r="NR111" s="21" t="str">
        <f t="shared" ca="1" si="497"/>
        <v>REVISAR FUM O FECHA SALIDA PROGRAMA</v>
      </c>
      <c r="NS111" s="205">
        <f t="shared" ca="1" si="485"/>
        <v>1</v>
      </c>
      <c r="NT111" s="21">
        <f t="shared" ca="1" si="486"/>
        <v>1</v>
      </c>
      <c r="NU111" s="21" t="str">
        <f t="shared" ca="1" si="487"/>
        <v>POR DEFINIR</v>
      </c>
      <c r="NV111" s="21" t="str">
        <f t="shared" ca="1" si="488"/>
        <v>POR DEFINIR</v>
      </c>
      <c r="NW111" s="206" t="str">
        <f>IF(AND(O111="",R111=""),"",IF(OR(AND(Tabla1[[#This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11" s="207" t="str">
        <f t="shared" ca="1" si="489"/>
        <v>SIN VACUNAR</v>
      </c>
      <c r="NY111" s="43">
        <f>ROW(Tabla1[[#This Row],['# DE TAMIZAJES SIFILIS TOMADOS ]])</f>
        <v>111</v>
      </c>
      <c r="NZ111" s="43" t="str">
        <f t="shared" si="334"/>
        <v>Menor</v>
      </c>
      <c r="OA111" s="43" t="str">
        <f t="shared" si="335"/>
        <v>SOBREPESO</v>
      </c>
      <c r="OB111" s="43" t="str">
        <f t="shared" si="336"/>
        <v/>
      </c>
      <c r="OC111" s="43" t="str">
        <f t="shared" si="337"/>
        <v/>
      </c>
      <c r="OD111" s="43" t="str">
        <f t="shared" si="338"/>
        <v/>
      </c>
      <c r="OE111" s="43" t="str">
        <f t="shared" si="339"/>
        <v/>
      </c>
      <c r="OF111" s="43" t="str">
        <f t="shared" si="340"/>
        <v/>
      </c>
      <c r="OG111" s="43" t="str">
        <f t="shared" si="341"/>
        <v/>
      </c>
      <c r="OH111" s="43" t="str">
        <f t="shared" si="342"/>
        <v/>
      </c>
      <c r="OI111" s="43" t="str">
        <f t="shared" si="343"/>
        <v/>
      </c>
      <c r="OJ111" s="43" t="str">
        <f t="shared" si="344"/>
        <v/>
      </c>
      <c r="OK111" s="43" t="str">
        <f t="shared" si="345"/>
        <v/>
      </c>
      <c r="OL111" s="43" t="str">
        <f t="shared" si="346"/>
        <v/>
      </c>
      <c r="OM111" s="43" t="str">
        <f t="shared" si="347"/>
        <v/>
      </c>
      <c r="ON111" s="43" t="str">
        <f t="shared" si="348"/>
        <v/>
      </c>
      <c r="OO111" s="43" t="str">
        <f t="shared" si="349"/>
        <v/>
      </c>
      <c r="OP111" s="43" t="str">
        <f t="shared" si="350"/>
        <v/>
      </c>
      <c r="OQ111" s="43" t="str">
        <f t="shared" si="351"/>
        <v/>
      </c>
      <c r="OR111" s="43" t="str">
        <f t="shared" si="352"/>
        <v/>
      </c>
      <c r="OS111" s="43" t="str">
        <f t="shared" si="353"/>
        <v/>
      </c>
      <c r="OT111" s="43" t="str">
        <f t="shared" si="354"/>
        <v/>
      </c>
      <c r="OU111" s="43" t="str">
        <f t="shared" si="355"/>
        <v/>
      </c>
      <c r="OV111" s="110" t="str">
        <f t="shared" si="356"/>
        <v/>
      </c>
      <c r="OW111" s="43" t="str">
        <f t="shared" si="357"/>
        <v/>
      </c>
      <c r="OX111" s="43" t="str">
        <f t="shared" si="358"/>
        <v/>
      </c>
      <c r="OY111" s="43" t="str">
        <f t="shared" si="359"/>
        <v/>
      </c>
      <c r="OZ111" s="43" t="str">
        <f t="shared" si="360"/>
        <v/>
      </c>
      <c r="PA111" s="43" t="str">
        <f t="shared" si="361"/>
        <v/>
      </c>
      <c r="PB111" s="43" t="str">
        <f t="shared" si="362"/>
        <v/>
      </c>
      <c r="PC111" s="43" t="str">
        <f t="shared" si="363"/>
        <v/>
      </c>
      <c r="PD111" s="43" t="str">
        <f t="shared" si="364"/>
        <v/>
      </c>
      <c r="PE111" s="43" t="str">
        <f t="shared" si="365"/>
        <v/>
      </c>
      <c r="PF111" s="43" t="str">
        <f t="shared" si="366"/>
        <v/>
      </c>
      <c r="PG111" s="43" t="str">
        <f t="shared" si="367"/>
        <v/>
      </c>
      <c r="PH111" s="43" t="str">
        <f t="shared" si="368"/>
        <v/>
      </c>
      <c r="PI111" s="43" t="str">
        <f t="shared" si="369"/>
        <v>Menor</v>
      </c>
      <c r="PJ111" s="43" t="str">
        <f t="shared" si="370"/>
        <v>SOBREPESO</v>
      </c>
      <c r="PK111" s="43" t="str">
        <f t="shared" si="371"/>
        <v/>
      </c>
      <c r="PL111" s="43" t="str">
        <f t="shared" si="372"/>
        <v/>
      </c>
      <c r="PM111" s="43" t="str">
        <f t="shared" si="373"/>
        <v/>
      </c>
      <c r="PN111" s="43" t="str">
        <f t="shared" si="374"/>
        <v/>
      </c>
      <c r="PO111" s="43" t="str">
        <f t="shared" si="375"/>
        <v/>
      </c>
      <c r="PP111" s="43" t="str">
        <f t="shared" si="376"/>
        <v/>
      </c>
      <c r="PQ111" s="43" t="str">
        <f t="shared" si="377"/>
        <v/>
      </c>
      <c r="PR111" s="43" t="str">
        <f t="shared" si="378"/>
        <v/>
      </c>
      <c r="PS111" s="43" t="str">
        <f t="shared" si="379"/>
        <v/>
      </c>
      <c r="PT111" s="43" t="str">
        <f t="shared" si="380"/>
        <v/>
      </c>
      <c r="PU111" s="43" t="str">
        <f t="shared" si="381"/>
        <v/>
      </c>
      <c r="PV111" s="43" t="str">
        <f t="shared" si="382"/>
        <v/>
      </c>
      <c r="PW111" s="43" t="str">
        <f t="shared" si="383"/>
        <v/>
      </c>
      <c r="PX111" s="43" t="str">
        <f t="shared" si="384"/>
        <v/>
      </c>
      <c r="PY111" s="43" t="str">
        <f t="shared" si="385"/>
        <v/>
      </c>
      <c r="PZ111" s="43" t="str">
        <f t="shared" si="386"/>
        <v/>
      </c>
      <c r="QA111" s="43" t="str">
        <f t="shared" si="387"/>
        <v/>
      </c>
      <c r="QB111" s="43" t="str">
        <f t="shared" si="388"/>
        <v/>
      </c>
      <c r="QC111" s="43" t="str">
        <f t="shared" si="389"/>
        <v/>
      </c>
      <c r="QD111" s="43" t="str">
        <f t="shared" si="390"/>
        <v/>
      </c>
      <c r="QE111" s="43" t="str">
        <f t="shared" si="391"/>
        <v/>
      </c>
      <c r="QF111" s="43" t="str">
        <f t="shared" si="392"/>
        <v/>
      </c>
      <c r="QG111" s="43" t="str">
        <f t="shared" si="393"/>
        <v/>
      </c>
      <c r="QH111" s="43" t="str">
        <f t="shared" si="394"/>
        <v/>
      </c>
      <c r="QI111" s="43" t="str">
        <f t="shared" si="395"/>
        <v/>
      </c>
      <c r="QJ111" s="43" t="str">
        <f t="shared" si="396"/>
        <v/>
      </c>
      <c r="QK111" s="43" t="str">
        <f t="shared" si="397"/>
        <v/>
      </c>
      <c r="QL111" s="43" t="str">
        <f t="shared" si="398"/>
        <v/>
      </c>
      <c r="QM111" s="43" t="str">
        <f t="shared" si="399"/>
        <v/>
      </c>
      <c r="QN111" s="43" t="str">
        <f t="shared" si="400"/>
        <v/>
      </c>
      <c r="QO111" s="43" t="str">
        <f t="shared" si="401"/>
        <v/>
      </c>
      <c r="QP111" s="43" t="str">
        <f t="shared" si="402"/>
        <v/>
      </c>
      <c r="QQ111" s="43" t="str">
        <f t="shared" si="403"/>
        <v/>
      </c>
      <c r="QR111" s="43" t="str">
        <f t="shared" si="433"/>
        <v>Menor</v>
      </c>
      <c r="QS111" s="43"/>
      <c r="QT111" s="21" t="str">
        <f t="shared" si="404"/>
        <v/>
      </c>
      <c r="QU111" s="21" t="str">
        <f t="shared" si="405"/>
        <v/>
      </c>
      <c r="QV111" s="21" t="str">
        <f t="shared" si="406"/>
        <v/>
      </c>
      <c r="QW111" s="21" t="str">
        <f t="shared" si="407"/>
        <v/>
      </c>
      <c r="QX111" s="21" t="str">
        <f t="shared" si="408"/>
        <v/>
      </c>
      <c r="QY111" s="21" t="str">
        <f t="shared" si="409"/>
        <v/>
      </c>
      <c r="QZ111" s="21" t="str">
        <f t="shared" si="410"/>
        <v/>
      </c>
      <c r="RA111" s="21" t="str">
        <f t="shared" si="411"/>
        <v/>
      </c>
      <c r="RB111" s="21" t="str">
        <f t="shared" si="412"/>
        <v/>
      </c>
      <c r="RC111" s="21" t="str">
        <f t="shared" si="413"/>
        <v/>
      </c>
      <c r="RD111" s="21" t="str">
        <f t="shared" si="414"/>
        <v/>
      </c>
      <c r="RE111" s="21" t="str">
        <f t="shared" si="415"/>
        <v/>
      </c>
      <c r="RF111" s="21" t="str">
        <f t="shared" si="416"/>
        <v/>
      </c>
      <c r="RG111" s="21" t="str">
        <f t="shared" si="417"/>
        <v/>
      </c>
      <c r="RH111" s="21" t="str">
        <f t="shared" si="418"/>
        <v/>
      </c>
      <c r="RI111" s="21" t="str">
        <f t="shared" si="419"/>
        <v/>
      </c>
      <c r="RJ111" s="21" t="str">
        <f t="shared" si="420"/>
        <v/>
      </c>
      <c r="RK111" s="21" t="str">
        <f t="shared" si="421"/>
        <v/>
      </c>
      <c r="RL111" s="21" t="str">
        <f t="shared" si="422"/>
        <v/>
      </c>
      <c r="RM111" s="21" t="str">
        <f t="shared" si="423"/>
        <v/>
      </c>
      <c r="RN111" s="21" t="str">
        <f t="shared" si="424"/>
        <v/>
      </c>
      <c r="RO111" s="21" t="str">
        <f t="shared" si="425"/>
        <v/>
      </c>
      <c r="RP111" s="21" t="str">
        <f t="shared" si="426"/>
        <v/>
      </c>
      <c r="RQ111" s="21" t="str">
        <f t="shared" si="427"/>
        <v/>
      </c>
      <c r="RR111" s="21" t="str">
        <f t="shared" si="428"/>
        <v/>
      </c>
      <c r="RS111" s="21" t="str">
        <f t="shared" si="429"/>
        <v/>
      </c>
      <c r="RT111" s="21" t="str">
        <f t="shared" si="430"/>
        <v/>
      </c>
      <c r="RU111" s="21" t="str">
        <f t="shared" si="431"/>
        <v/>
      </c>
      <c r="RV111" s="21">
        <f t="shared" si="432"/>
        <v>9.8571428571428577</v>
      </c>
      <c r="RW111" s="284">
        <f>IF(OR(Tabla1[[#This Row],[FUM FORMULA CONFIABLE]]="",Tabla1[[#This Row],[FUM FORMULA CONFIABLE]]="SD"),"",IF(Tabla1[[#This Row],[FUM FORMULA CONFIABLE]]="CORREGIDA",Tabla1[[#This Row],[FUM X ECO 1]],Tabla1[[#This Row],[FUM x AMENORREA]]))</f>
        <v>44910</v>
      </c>
      <c r="RX111" s="21" t="str">
        <f>IF(AND(Tabla1[[#This Row],[FUM X ECO 1]]="",Tabla1[[#This Row],[FUM x AMENORREA]]=""),"",IF(AND(Tabla1[[#This Row],[FUM X ECO 1]]="",Tabla1[[#This Row],[FUM x AMENORREA]]&lt;&gt;""),"X",SUM(Tabla1[[#This Row],[FUM X ECO 1]]-Tabla1[[#This Row],[FUM x AMENORREA]])))</f>
        <v>X</v>
      </c>
      <c r="RY111" s="21" t="str">
        <f t="shared" si="434"/>
        <v>x</v>
      </c>
    </row>
    <row r="112" spans="1:493" ht="45" customHeight="1" x14ac:dyDescent="0.25">
      <c r="A112" s="109"/>
      <c r="B112" s="43"/>
      <c r="C112" s="43" t="s">
        <v>845</v>
      </c>
      <c r="D112" s="124"/>
      <c r="E112" s="43" t="s">
        <v>909</v>
      </c>
      <c r="F112" s="43" t="s">
        <v>928</v>
      </c>
      <c r="G112" s="43" t="s">
        <v>1047</v>
      </c>
      <c r="H112" s="43"/>
      <c r="I112" s="109" t="s">
        <v>851</v>
      </c>
      <c r="J112" s="110" t="s">
        <v>1335</v>
      </c>
      <c r="K112" s="43" t="s">
        <v>852</v>
      </c>
      <c r="L112" s="175" t="s">
        <v>853</v>
      </c>
      <c r="M112" s="22">
        <v>32527</v>
      </c>
      <c r="N112" s="213">
        <f t="shared" ca="1" si="252"/>
        <v>34.80821917808219</v>
      </c>
      <c r="O112" s="22">
        <v>44979</v>
      </c>
      <c r="P112" s="214" t="str">
        <f t="shared" si="438"/>
        <v>SI</v>
      </c>
      <c r="Q112" s="26" t="s">
        <v>855</v>
      </c>
      <c r="R112" s="22">
        <v>44979</v>
      </c>
      <c r="S112" s="21" t="s">
        <v>856</v>
      </c>
      <c r="T112" s="24" t="s">
        <v>690</v>
      </c>
      <c r="U112" s="21" t="s">
        <v>857</v>
      </c>
      <c r="V112" s="21" t="s">
        <v>858</v>
      </c>
      <c r="W112" s="21"/>
      <c r="X112" s="21"/>
      <c r="Y112" s="21"/>
      <c r="Z112" s="21">
        <v>3174711395</v>
      </c>
      <c r="AA112" s="21" t="s">
        <v>860</v>
      </c>
      <c r="AB112" s="27" t="s">
        <v>861</v>
      </c>
      <c r="AC112" s="26" t="s">
        <v>877</v>
      </c>
      <c r="AD112" s="38" t="s">
        <v>1546</v>
      </c>
      <c r="AE112" s="26" t="s">
        <v>854</v>
      </c>
      <c r="AF112" s="26" t="s">
        <v>854</v>
      </c>
      <c r="AG112" s="23" t="s">
        <v>864</v>
      </c>
      <c r="AH112" s="23" t="s">
        <v>864</v>
      </c>
      <c r="AI112" s="24" t="s">
        <v>863</v>
      </c>
      <c r="AJ112" s="23" t="s">
        <v>864</v>
      </c>
      <c r="AK112" s="220" t="str">
        <f>IF(AND(AD112="",AE112="",AF112="",AG112="",AH112="",AI112="",AJ112=""),"",IF(OR(Tabla1[[#This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EVALUACIÓN",IF(AND(O112="",R112=""),"",IF(AND(OR(O112&gt;0,R112&gt;0),NG112&gt;=0,NG112&lt;2),"SIN RIESGO",IF(AND(OR(O112&gt;0,R112&gt;0),NG112&gt;=2),"CON RIESGO","ASD")))))</f>
        <v>SIN RIESGO</v>
      </c>
      <c r="AL112" s="23" t="s">
        <v>854</v>
      </c>
      <c r="AM112" s="26" t="s">
        <v>864</v>
      </c>
      <c r="AN112" s="26" t="s">
        <v>864</v>
      </c>
      <c r="AO112" s="26" t="s">
        <v>864</v>
      </c>
      <c r="AP112" s="26" t="s">
        <v>864</v>
      </c>
      <c r="AQ112" s="26" t="s">
        <v>864</v>
      </c>
      <c r="AR112" s="26" t="s">
        <v>864</v>
      </c>
      <c r="AS112" s="21">
        <v>4</v>
      </c>
      <c r="AT112" s="21">
        <v>1</v>
      </c>
      <c r="AU112" s="21">
        <v>2</v>
      </c>
      <c r="AV112" s="26" t="s">
        <v>864</v>
      </c>
      <c r="AW112" s="21">
        <v>1</v>
      </c>
      <c r="AX112" s="26" t="s">
        <v>864</v>
      </c>
      <c r="AY112" s="26" t="s">
        <v>864</v>
      </c>
      <c r="AZ112" s="26" t="s">
        <v>854</v>
      </c>
      <c r="BA112" s="26" t="s">
        <v>864</v>
      </c>
      <c r="BB112" s="26" t="s">
        <v>864</v>
      </c>
      <c r="BC112" s="26" t="s">
        <v>864</v>
      </c>
      <c r="BD112" s="26" t="s">
        <v>864</v>
      </c>
      <c r="BE112" s="26" t="s">
        <v>864</v>
      </c>
      <c r="BF112" s="26" t="s">
        <v>864</v>
      </c>
      <c r="BG112" s="26" t="s">
        <v>864</v>
      </c>
      <c r="BH112" s="26" t="s">
        <v>864</v>
      </c>
      <c r="BI112" s="26" t="s">
        <v>864</v>
      </c>
      <c r="BJ112" s="26" t="s">
        <v>864</v>
      </c>
      <c r="BK112" s="26" t="s">
        <v>865</v>
      </c>
      <c r="BL112" s="26" t="s">
        <v>864</v>
      </c>
      <c r="BM112" s="26" t="s">
        <v>864</v>
      </c>
      <c r="BN112" s="22"/>
      <c r="BO112" s="22">
        <v>44898</v>
      </c>
      <c r="BP112" s="21" t="s">
        <v>854</v>
      </c>
      <c r="BQ112" s="222">
        <f t="shared" si="254"/>
        <v>0</v>
      </c>
      <c r="BR112" s="223">
        <f t="shared" si="255"/>
        <v>44867.3</v>
      </c>
      <c r="BS112" s="224">
        <f t="shared" si="256"/>
        <v>11.571428571428571</v>
      </c>
      <c r="BT112" s="216" t="str">
        <f t="shared" si="257"/>
        <v>II TRIM</v>
      </c>
      <c r="BU112" s="214" t="str">
        <f t="shared" ca="1" si="258"/>
        <v/>
      </c>
      <c r="BV112" s="25" t="s">
        <v>989</v>
      </c>
      <c r="BW112" s="22">
        <v>45029</v>
      </c>
      <c r="BX112" s="28">
        <v>23.1</v>
      </c>
      <c r="BY112" s="28"/>
      <c r="BZ112" s="22"/>
      <c r="CA112" s="21"/>
      <c r="CB112" s="26" t="s">
        <v>864</v>
      </c>
      <c r="CC112" s="26" t="s">
        <v>864</v>
      </c>
      <c r="CD112" s="26"/>
      <c r="CE112" s="26" t="s">
        <v>864</v>
      </c>
      <c r="CF112" s="22" t="s">
        <v>1517</v>
      </c>
      <c r="CG112" s="21">
        <v>1.65</v>
      </c>
      <c r="CH112" s="21">
        <v>64</v>
      </c>
      <c r="CI112" s="214">
        <f t="shared" si="259"/>
        <v>23.507805325987146</v>
      </c>
      <c r="CJ112" s="225" t="e">
        <f>IF(AND(CI112&lt;10,CH112="SD"),"SIN DATO PESO PREGESTACION O I TRIM",IF(AND(OR(R112&gt;0,O112&gt;0),CI112="X"),"INGRESAR DATO DE PESO",IF(CI112="SD","INGRESAR DATO DE TALLA Y PESO",IF(AND(OR(Tabla1[[#This Row],[MOMENTO EN QUE SE REALIZA EL PESO AL INGRESO A CPN]]="PREGESTACIÓN",NZ112="Menor"),CI112&lt;18.5),"BAJO PESO",IF(AND(OR(Tabla1[[#This Row],[MOMENTO EN QUE SE REALIZA EL PESO AL INGRESO A CPN]]="PREGESTACIÓN",NZ112="Menor"),CI112&lt;25),"NORMAL",IF(AND(OR(Tabla1[[#This Row],[MOMENTO EN QUE SE REALIZA EL PESO AL INGRESO A CPN]]="PREGESTACIÓN",NZ112="Menor"),CI112&lt;30),"SOBREPESO",IF(AND(OR(Tabla1[[#This Row],[MOMENTO EN QUE SE REALIZA EL PESO AL INGRESO A CPN]]="PREGESTACIÓN",NZ112="Menor"),CI112&gt;=30,CI112&lt;50),"OBESIDAD",IF(AND(BS112&gt;0,Tabla1[[#This Row],[MOMENTO EN QUE SE REALIZA EL PESO AL INGRESO A CPN]]="GESTACIÓN"),HLOOKUP(NZ112,$OA$2:PH112,NY112),""))))))))</f>
        <v>#REF!</v>
      </c>
      <c r="CK112" s="212">
        <f t="shared" si="260"/>
        <v>45058</v>
      </c>
      <c r="CL112" s="21">
        <v>71.2</v>
      </c>
      <c r="CM112" s="214">
        <f t="shared" si="261"/>
        <v>26.152433425160702</v>
      </c>
      <c r="CN112" s="216">
        <f t="shared" si="262"/>
        <v>22</v>
      </c>
      <c r="CO112" s="216" t="e">
        <f>IF(PI112="","",IF(PI112&gt;0,HLOOKUP(PI112,$PJ$2:QQ112,NY112),""))</f>
        <v>#REF!</v>
      </c>
      <c r="CP112" s="21">
        <v>27</v>
      </c>
      <c r="CQ112" s="216" t="e">
        <f>IF(QR112="Menor","NO APLICA-MENOR 13 SEM",IF(AND(CC112="SI",CN112&gt;23),"NO APLICA- GEMELAR",IF(QR112="","",IF(QR112&gt;0,HLOOKUP(QR112,$QS$2:RU112,NY112),""))))</f>
        <v>#REF!</v>
      </c>
      <c r="CR112" s="21">
        <v>100</v>
      </c>
      <c r="CS112" s="21">
        <v>60</v>
      </c>
      <c r="CT112" s="217" t="str">
        <f>IF(R112="","",IF(AND(BS112&gt;1,BS112&lt;12,Tabla1[[#This Row],[T.A. SISTOLICA - ANTES DE SEMANA 12]]="",Tabla1[[#This Row],[T.A. DIASTOLICA - ANTES DE SEMANA 12]]=""),"REGISTRE DATO TA ANTES SEMANA 12",IF(AND(BS112&gt;11,BS112&lt;43,Tabla1[[#This Row],[T.A. SISTOLICA - ANTES DE SEMANA 12]]="",Tabla1[[#This Row],[T.A. DIASTOLICA - ANTES DE SEMANA 12]]=""),"NO APLICA REGISTRO TA-INGRESO TARDIO",IF(AND(OR(O112&gt;0,R112&gt;0),OR(CR112&gt;=140,CS112&gt;=90)),"DEFINIR ESTADIO HTA",IF(AND(OR(O112&gt;0,R112&gt;0),AND(CR112&gt;120,CR112&lt;=139)),"PRE HTA SEGUIMIENTO",IF(AND(OR(O112&gt;0,R112&gt;0),AND(CS112&gt;80,CS112&lt;=89)),"PRE HTA SEGUIMIENTO",IF(AND(OR(O112&gt;0,R112&gt;0),AND(CR112&gt;=80,CR112&lt;=120)),"APARENTEMENTE NORMAL",IF(AND(OR(O112&gt;0,R112&gt;0),AND(CS112&gt;=50,CS112&lt;=80)),"APARENTEMENTE NORMAL",IF(AND(OR(O112&gt;0,R112&gt;0),AND(CR112&gt;1,CR112&lt;=70),AND(CS112&gt;1,CS112&lt;=40)),"HIPOTENSIÓN","")))))))))</f>
        <v>APARENTEMENTE NORMAL</v>
      </c>
      <c r="CU112" s="21"/>
      <c r="CV112" s="21"/>
      <c r="CW112" s="217" t="str">
        <f>IF(R112="","",IF(AND(CN112&gt;19,CN112&lt;27,Tabla1[[#This Row],[T.A. SISTOLICA (Entre semana 20 y 26)]]="",Tabla1[[#This Row],[T.A. DIATOLICA (Entre semana 20 y 26)]]=""),"ACUDE A CONTROL SEM 20 A 26 REGISTRE TA AHORA",IF(AND(BS112&gt;1,BS112&lt;27,BU112&gt;19,Tabla1[[#This Row],[T.A. SISTOLICA (Entre semana 20 y 26)]]="",Tabla1[[#This Row],[T.A. DIATOLICA (Entre semana 20 y 26)]]=""),"COMPLETE REGISTRO TA CONTROL SEM 20 A26 ",IF(AND(BS112&gt;26,BS112&lt;43,Tabla1[[#This Row],[T.A. SISTOLICA (Entre semana 20 y 26)]]="",Tabla1[[#This Row],[T.A. DIATOLICA (Entre semana 20 y 26)]]=""),"NO APLICA REGISTRO TA-INGRESO TARDIO",IF(AND(OR(O112&gt;0,R112&gt;0),OR(CU112&gt;=140,CV112&gt;=90)),"ALTO RIESGO PREECLAMPSIA,DEFINIR ESTADIO HTA",IF(AND(OR(O112&gt;0,R112&gt;0),AND(CU112&gt;120,CU112&lt;=139)),"PRE HTA SEGUIMIENTO,RIESGO HIPERTENSION INDUCIDA POR EL EMBARAZO",IF(AND(OR(O112&gt;0,R112&gt;0),AND(CV112&gt;80,CV112&lt;=89)),"PRE HTA SEGUIMIENTO, RIESGO HIPERTENSION INDUCIDA POR EL EMBARAZO",IF(AND(OR(O112&lt;&gt;"",R112&lt;&gt;""),CS112&lt;&gt;"",CV112&lt;&gt;"",CS112&lt;=CV112),"VIGILAR CIFRAS PRESION ARTERIAL",IF(AND(OR(O112&gt;0,R112&gt;0),AND(CU112&gt;120,CU112&lt;=139)),"PRE HTA SEGUIMIENTO",IF(AND(OR(O112&gt;0,R112&gt;0),AND(CU112&gt;1,CU112&lt;=70),AND(CV112&gt;1,CV112&lt;=40)),"HIPOTENSIÓN",IF(AND(OR(O112&lt;&gt;"",R112&lt;&gt;""),CS112&lt;&gt;"",CV112&lt;&gt;"",CS112&gt;CV112),"APARENTEMENTE NORMAL",IF(AND(OR(O112&gt;0,R112&gt;0),AND(CU112&gt;=80,CU112&lt;=120)),"APARENTEMENTE NORMAL",IF(AND(OR(O112&gt;0,R112&gt;0),AND(CV112&gt;=50,CV112&lt;=80)),"APARENTEMENTE NORMAL","")))))))))))))</f>
        <v>ACUDE A CONTROL SEM 20 A 26 REGISTRE TA AHORA</v>
      </c>
      <c r="CX112" s="21"/>
      <c r="CY112" s="21"/>
      <c r="CZ112" s="216" t="str">
        <f t="shared" si="457"/>
        <v/>
      </c>
      <c r="DA112" s="21">
        <v>100</v>
      </c>
      <c r="DB112" s="21">
        <v>60</v>
      </c>
      <c r="DC112" s="217" t="str">
        <f t="shared" si="264"/>
        <v>APARENTEMENTE NORMAL</v>
      </c>
      <c r="DD112" s="22">
        <v>44614</v>
      </c>
      <c r="DE112" s="22">
        <v>44614</v>
      </c>
      <c r="DF112" s="22">
        <v>45017</v>
      </c>
      <c r="DG112" s="22">
        <v>45058</v>
      </c>
      <c r="DH112" s="22"/>
      <c r="DI112" s="22"/>
      <c r="DJ112" s="22"/>
      <c r="DK112" s="22"/>
      <c r="DL112" s="22"/>
      <c r="DM112" s="22"/>
      <c r="DN112" s="22"/>
      <c r="DO112" s="22"/>
      <c r="DP112" s="22"/>
      <c r="DQ112" s="22"/>
      <c r="DR112" s="28">
        <v>1</v>
      </c>
      <c r="DS112" s="22"/>
      <c r="DT112" s="22"/>
      <c r="DU112" s="216" t="str">
        <f t="shared" ca="1" si="439"/>
        <v>CONCERTAR PLAN DE PARTO INMEDIATO</v>
      </c>
      <c r="DV112" s="226" t="str">
        <f t="shared" si="440"/>
        <v>ACTIVA INGRESO A CPN</v>
      </c>
      <c r="DW112"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12" s="216" t="e">
        <f t="shared" ca="1" si="266"/>
        <v>#REF!</v>
      </c>
      <c r="DY112" s="212">
        <f>IF(R112="","",IF(R112&gt;0,MAX(Tabla1[[#This Row],[FECHA C2]:[FECHA C13]],Tabla1[[#This Row],[FECHA CONSULTA PRIMERA VEZ PROGRAMA CPN ]])))</f>
        <v>45058</v>
      </c>
      <c r="DZ112" s="216">
        <f t="shared" si="267"/>
        <v>22</v>
      </c>
      <c r="EA112" s="222">
        <f>IF(R112&gt;0,SUM(COUNTA(DF112:DQ112)+COUNTA(Tabla1[[#This Row],[FECHA CONSULTA PRIMERA VEZ PROGRAMA CPN ]])),"")</f>
        <v>3</v>
      </c>
      <c r="EB112" s="222" t="str">
        <f t="shared" si="268"/>
        <v>NO</v>
      </c>
      <c r="EC112" s="214">
        <f t="shared" si="269"/>
        <v>9</v>
      </c>
      <c r="ED112" s="227">
        <f t="shared" si="270"/>
        <v>0.33333333333333331</v>
      </c>
      <c r="EE112" s="22">
        <v>44614</v>
      </c>
      <c r="EF112" s="22">
        <v>44614</v>
      </c>
      <c r="EG112" s="22">
        <v>44614</v>
      </c>
      <c r="EH112" s="22"/>
      <c r="EI112" s="22">
        <v>44614</v>
      </c>
      <c r="EJ112" s="22">
        <v>45016</v>
      </c>
      <c r="EK112" s="22">
        <v>45016</v>
      </c>
      <c r="EL112" s="21">
        <v>1</v>
      </c>
      <c r="EM112" s="21">
        <v>13</v>
      </c>
      <c r="EN112" s="22">
        <v>44979</v>
      </c>
      <c r="EO112" s="222">
        <f t="shared" si="271"/>
        <v>11.571428571428571</v>
      </c>
      <c r="EP112" s="214" t="str">
        <f t="shared" si="272"/>
        <v>NORMAL- SUMINISTRAR SULFATO FERROSO</v>
      </c>
      <c r="EQ112" s="216" t="str">
        <f t="shared" si="273"/>
        <v>I TRIM</v>
      </c>
      <c r="ER112" s="24"/>
      <c r="ES112" s="22"/>
      <c r="ET112" s="29" t="str">
        <f t="shared" ca="1" si="441"/>
        <v>TOMA DE HEMOGLOBINA TARDÍA</v>
      </c>
      <c r="EU112" s="25" t="str">
        <f t="shared" si="275"/>
        <v/>
      </c>
      <c r="EV112" s="24" t="s">
        <v>926</v>
      </c>
      <c r="EW112" s="24">
        <v>44979</v>
      </c>
      <c r="EX112" s="22"/>
      <c r="EY112" s="29">
        <f t="shared" si="454"/>
        <v>11.571428571428571</v>
      </c>
      <c r="EZ112" s="25" t="str">
        <f t="shared" ca="1" si="455"/>
        <v/>
      </c>
      <c r="FA112" s="21">
        <v>76</v>
      </c>
      <c r="FB112" s="22">
        <v>44979</v>
      </c>
      <c r="FC112" s="29">
        <f t="shared" si="276"/>
        <v>11.571428571428571</v>
      </c>
      <c r="FD112" s="29">
        <v>75</v>
      </c>
      <c r="FE112" s="29">
        <v>120</v>
      </c>
      <c r="FF112" s="29">
        <v>102</v>
      </c>
      <c r="FG112" s="21" t="str">
        <f t="shared" si="277"/>
        <v xml:space="preserve">NORMAL, NO DESCARTA DIABETES POR REALIZARLO ANTES DE  SEMANA 24, </v>
      </c>
      <c r="FH112" s="31">
        <v>45059</v>
      </c>
      <c r="FI112" s="29">
        <f t="shared" si="278"/>
        <v>23</v>
      </c>
      <c r="FJ112" s="22" t="s">
        <v>867</v>
      </c>
      <c r="FK112" s="22">
        <v>44979</v>
      </c>
      <c r="FL112" s="29">
        <f t="shared" ca="1" si="279"/>
        <v>11.571428571428571</v>
      </c>
      <c r="FM112" s="22" t="s">
        <v>867</v>
      </c>
      <c r="FN112" s="32">
        <v>45059</v>
      </c>
      <c r="FO112" s="29">
        <f t="shared" ca="1" si="442"/>
        <v>23</v>
      </c>
      <c r="FP112" s="22"/>
      <c r="FQ112" s="32"/>
      <c r="FR112" s="29" t="str">
        <f t="shared" ca="1" si="443"/>
        <v>TOMA INMEDIATA DE TAMIZAJE</v>
      </c>
      <c r="FS112" s="22"/>
      <c r="FT112" s="32"/>
      <c r="FU112" s="29" t="str">
        <f>IF(AND(FJ112="",FM112="",FP112="",FS112=""),"",IF(OR(OR(Tabla1[[#This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12" s="28"/>
      <c r="FW112" s="22"/>
      <c r="FX112" s="29" t="str">
        <f t="shared" si="280"/>
        <v>TOMAR EXAMEN</v>
      </c>
      <c r="FY112" s="22">
        <v>44979</v>
      </c>
      <c r="FZ112" s="22">
        <v>44979</v>
      </c>
      <c r="GA112" s="29">
        <f t="shared" ca="1" si="453"/>
        <v>11.571428571428571</v>
      </c>
      <c r="GB112" s="22"/>
      <c r="GC112" s="22"/>
      <c r="GD112" s="29" t="str">
        <f t="shared" ca="1" si="491"/>
        <v>PIERDE TOMA DE TAMIZAJE</v>
      </c>
      <c r="GE112" s="22"/>
      <c r="GF112" s="22"/>
      <c r="GG112" s="29" t="str">
        <f t="shared" ca="1" si="445"/>
        <v>TOMA INMEDIATA DE TAMIZAJE</v>
      </c>
      <c r="GH112" s="22"/>
      <c r="GI112" s="29"/>
      <c r="GJ112" s="22"/>
      <c r="GK112" s="22"/>
      <c r="GL112" s="22"/>
      <c r="GM112" s="22"/>
      <c r="GN112" s="28" t="s">
        <v>869</v>
      </c>
      <c r="GO112" s="22">
        <v>44979</v>
      </c>
      <c r="GP112" s="29">
        <f t="shared" si="283"/>
        <v>11.571428571428571</v>
      </c>
      <c r="GQ112" s="28"/>
      <c r="GR112" s="28"/>
      <c r="GS112" s="22" t="str">
        <f t="shared" si="458"/>
        <v/>
      </c>
      <c r="GT112" s="22"/>
      <c r="GU112" s="29" t="str">
        <f t="shared" si="285"/>
        <v>TOMAR EXAMEN</v>
      </c>
      <c r="GV112" s="21" t="str">
        <f t="shared" si="286"/>
        <v>POR DEFINIR</v>
      </c>
      <c r="GW112" s="28"/>
      <c r="GX112" s="30"/>
      <c r="GY112" s="21"/>
      <c r="GZ112" s="21"/>
      <c r="HA112" s="21"/>
      <c r="HB112" s="21"/>
      <c r="HC112" s="21"/>
      <c r="HD112" s="21"/>
      <c r="HE112" s="21"/>
      <c r="HF112" s="22"/>
      <c r="HG112" s="22" t="str">
        <f>IF(OR(O112&gt;0,R112&gt;0),CONCATENATE(IF(Tabla1[[#This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12" s="22" t="e">
        <f t="shared" si="287"/>
        <v>#REF!</v>
      </c>
      <c r="HI112" s="22" t="str">
        <f t="shared" si="288"/>
        <v>ALTO RIESGO</v>
      </c>
      <c r="HJ112" s="21" t="str">
        <f t="shared" ca="1" si="289"/>
        <v>*ANTECEDENTE PREECLAMPSIA************************CESAREAS PREVIAS**************</v>
      </c>
      <c r="HK112" s="21" t="str">
        <f t="shared" si="290"/>
        <v>RIESGO ALTO DE COMPLICACIONES HIPERTENSIVAS VER MANEJO GUIA SUMINISTRO ASA Y CALCIO</v>
      </c>
      <c r="HL112" s="24" t="str">
        <f t="shared" si="291"/>
        <v>APARENTEMENTE NORMAL</v>
      </c>
      <c r="HM112" s="21" t="e">
        <f t="shared" ca="1" si="292"/>
        <v>#REF!</v>
      </c>
      <c r="HN112" s="30" t="str">
        <f t="shared" si="446"/>
        <v>ACTIVA INGRESO A CPN</v>
      </c>
      <c r="HO112" s="21"/>
      <c r="HP112" s="21"/>
      <c r="HQ112" s="21">
        <v>44979</v>
      </c>
      <c r="HR112" s="21" t="str">
        <f>IF(R112="","",IF(Tabla1[[#This Row],[ALARMA FACTORES DE RIESGO COMPLICACIONES HIPERTENSIVAS3]]="SIN ANTECEDENTES DE RIESGO","No Aplica para suministro de ASA",IF(AND(Tabla1[[#This Row],[FECHA INICIO DE SUMINISTRO DE ASA]]&gt;0,RV112&lt;12),"Inicia ASA ANTES de Sem 12",IF(AND(RV112&gt;11,RV112&lt;17,OR(HK112="RIESGO ALTO DE COMPLICACIONES HIPERTENSIVAS VER MANEJO GUIA SUMINISTRO ASA Y CALCIO",HK112="RIESGO MODERADO (2 O MAS CRITERIOS) VER MANEJO GUIA SUMINISTRO ASA Y CALCIO")),"Inicio oportuno de ASA",IF(AND(RV112&gt;12,OR(HK112="RIESGO ALTO DE COMPLICACIONES HIPERTENSIVAS VER MANEJO GUIA SUMINISTRO ASA Y CALCIO",HK112="RIESGO MODERADO (2 O MAS CRITERIOS) VER MANEJO GUIA SUMINISTRO ASA Y CALCIO")),"Inicio no oportuno mayor a 16 semanas",IF(AND(BU112&lt;12,OR(HK112="RIESGO ALTO DE COMPLICACIONES HIPERTENSIVAS VER MANEJO GUIA SUMINISTRO ASA Y CALCIO",HK112="RIESGO MODERADO (2 O MAS CRITERIOS) VER MANEJO GUIA SUMINISTRO ASA Y CALCIO")),"Pendiente Inicio de ASA a la semana 12",IF(AND(BU112&gt;11,BU112&lt;17,OR(HK112="RIESGO ALTO DE COMPLICACIONES HIPERTENSIVAS VER MANEJO GUIA SUMINISTRO ASA Y CALCIO",HK112="RIESGO MODERADO (2 O MAS CRITERIOS) VER MANEJO GUIA SUMINISTRO ASA Y CALCIO")),"Iniciar de inmediato ASA",IF(AND(BU112&gt;16,OR(HK112="RIESGO ALTO DE COMPLICACIONES HIPERTENSIVAS VER MANEJO GUIA SUMINISTRO ASA Y CALCIO",HK112="RIESGO MODERADO (2 O MAS CRITERIOS) VER MANEJO GUIA SUMINISTRO ASA Y CALCIO")),"Pierde Oportunidad, Inicio tardío de ASA","XXXXX"))))))))</f>
        <v>Inicia ASA ANTES de Sem 12</v>
      </c>
      <c r="HS112" s="22">
        <v>44979</v>
      </c>
      <c r="HT112" s="22" t="s">
        <v>1532</v>
      </c>
      <c r="HU112" s="22">
        <v>44979</v>
      </c>
      <c r="HV112" s="22" t="s">
        <v>1523</v>
      </c>
      <c r="HW112" s="22">
        <v>44979</v>
      </c>
      <c r="HX112" s="22" t="s">
        <v>1529</v>
      </c>
      <c r="HY112" s="22">
        <v>44979</v>
      </c>
      <c r="HZ112" s="28">
        <f t="shared" si="293"/>
        <v>11.571428571428571</v>
      </c>
      <c r="IA112" s="26"/>
      <c r="IB112" s="26"/>
      <c r="IC112" s="111"/>
      <c r="ID112" s="22"/>
      <c r="IE112" s="22" t="str">
        <f t="shared" ca="1" si="294"/>
        <v/>
      </c>
      <c r="IF112" s="22"/>
      <c r="IG112" s="22">
        <f t="shared" si="295"/>
        <v>45178</v>
      </c>
      <c r="IH112" s="29">
        <f t="shared" ca="1" si="296"/>
        <v>-54</v>
      </c>
      <c r="II112" s="22" t="str">
        <f t="shared" ca="1" si="297"/>
        <v>POSIBLEMENTE NACIO</v>
      </c>
      <c r="IJ112" s="22"/>
      <c r="IK112" s="21"/>
      <c r="IL112" s="21"/>
      <c r="IM112" s="34"/>
      <c r="IN112" s="349"/>
      <c r="IO112" s="21"/>
      <c r="IP112" s="29" t="str">
        <f t="shared" si="490"/>
        <v/>
      </c>
      <c r="IQ112" s="110"/>
      <c r="IR112" s="21"/>
      <c r="IS112" s="21"/>
      <c r="IT112" s="21"/>
      <c r="IU112" s="21"/>
      <c r="IV112" s="21"/>
      <c r="IW112" s="21"/>
      <c r="IX112" s="21"/>
      <c r="IY112" s="21"/>
      <c r="IZ112" s="21"/>
      <c r="JA112" s="21"/>
      <c r="JB112" s="30"/>
      <c r="JC112" s="21"/>
      <c r="JD112" s="36"/>
      <c r="JE112" s="21" t="str">
        <f t="shared" si="492"/>
        <v/>
      </c>
      <c r="JF112" s="30"/>
      <c r="JG112" s="21"/>
      <c r="JH112" s="21"/>
      <c r="JI112" s="21"/>
      <c r="JJ112" s="30"/>
      <c r="JK112" s="22"/>
      <c r="JL112" s="22"/>
      <c r="JM112" s="21"/>
      <c r="JN112" s="36"/>
      <c r="JO112" s="21" t="str">
        <f t="shared" si="493"/>
        <v/>
      </c>
      <c r="JP112" s="22"/>
      <c r="JQ112" s="21"/>
      <c r="JR112" s="21"/>
      <c r="JS112" s="21"/>
      <c r="JT112" s="30"/>
      <c r="JU112" s="22"/>
      <c r="JV112" s="22"/>
      <c r="JW112" s="33"/>
      <c r="JX112" s="28" t="str">
        <f t="shared" si="494"/>
        <v/>
      </c>
      <c r="JY112" s="33"/>
      <c r="JZ112" s="28" t="str">
        <f t="shared" si="495"/>
        <v/>
      </c>
      <c r="KA112" s="21"/>
      <c r="KB112" s="21"/>
      <c r="KC112" s="21"/>
      <c r="KD112" s="37"/>
      <c r="KE112" s="28"/>
      <c r="KF112" s="28"/>
      <c r="KG112" s="28"/>
      <c r="KH112" s="39"/>
      <c r="KI112" s="39"/>
      <c r="KJ112" s="66"/>
      <c r="KK112" s="39"/>
      <c r="KL112" s="39"/>
      <c r="KM112" s="66"/>
      <c r="KN112" s="39"/>
      <c r="KO112" s="39"/>
      <c r="KP112" s="39"/>
      <c r="KQ112" s="39"/>
      <c r="KR112" s="39"/>
      <c r="KS112" s="39"/>
      <c r="KT112" s="39"/>
      <c r="KU112" s="38"/>
      <c r="KV112" s="38"/>
      <c r="KW112" s="38"/>
      <c r="KX112" s="38"/>
      <c r="KY112" s="38"/>
      <c r="KZ112" s="38"/>
      <c r="LA112" s="38"/>
      <c r="LB112" s="38"/>
      <c r="LC112" s="38"/>
      <c r="LD112" s="38"/>
      <c r="LE112" s="38"/>
      <c r="LF112" s="38"/>
      <c r="LG112" s="38"/>
      <c r="LH112" s="38"/>
      <c r="LI112" s="38"/>
      <c r="LJ112" s="38"/>
      <c r="LK112" s="38"/>
      <c r="LL112" s="38"/>
      <c r="LM112" s="38"/>
      <c r="LN112" s="38"/>
      <c r="LO112" s="38"/>
      <c r="LP112" s="38"/>
      <c r="LQ112" s="38"/>
      <c r="LR112" s="38"/>
      <c r="LS112" s="38"/>
      <c r="LT112" s="38"/>
      <c r="LU112" s="38"/>
      <c r="LV112" s="38"/>
      <c r="LW112" s="38"/>
      <c r="LX112" s="38"/>
      <c r="LY112" s="38"/>
      <c r="LZ112" s="38"/>
      <c r="MA112" s="38"/>
      <c r="MB112" s="38"/>
      <c r="MC112" s="38"/>
      <c r="MD112" s="38"/>
      <c r="ME112" s="38"/>
      <c r="MF112" s="38"/>
      <c r="MG112" s="38"/>
      <c r="MH112" s="43">
        <f t="shared" si="459"/>
        <v>0</v>
      </c>
      <c r="MI112" s="43" t="str">
        <f t="shared" si="460"/>
        <v/>
      </c>
      <c r="MJ112" s="43" t="str">
        <f t="shared" si="461"/>
        <v/>
      </c>
      <c r="MK112" s="43">
        <f t="shared" si="462"/>
        <v>0</v>
      </c>
      <c r="ML11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12" s="43">
        <f t="shared" si="463"/>
        <v>11.571428571428571</v>
      </c>
      <c r="MN112" s="43">
        <f t="shared" si="464"/>
        <v>2</v>
      </c>
      <c r="MO112" s="43">
        <f t="shared" si="465"/>
        <v>2023</v>
      </c>
      <c r="MP112" s="43" t="str">
        <f t="shared" si="466"/>
        <v>I TRIMESTRE AÑO</v>
      </c>
      <c r="MQ112" s="43">
        <f t="shared" si="467"/>
        <v>33.598883048620237</v>
      </c>
      <c r="MR112" s="43">
        <f t="shared" si="468"/>
        <v>0</v>
      </c>
      <c r="MS112" s="43" t="str">
        <f t="shared" si="469"/>
        <v xml:space="preserve"> DE 30 A 34 AÑOS</v>
      </c>
      <c r="MT112" s="43">
        <f t="shared" si="470"/>
        <v>0</v>
      </c>
      <c r="MU112" s="43">
        <f t="shared" si="471"/>
        <v>0</v>
      </c>
      <c r="MV112" s="43">
        <f t="shared" si="472"/>
        <v>1</v>
      </c>
      <c r="MW112" s="43">
        <f t="shared" si="473"/>
        <v>0</v>
      </c>
      <c r="MX112" s="43" t="str">
        <f t="shared" si="474"/>
        <v/>
      </c>
      <c r="MY112" s="43" t="str">
        <f t="shared" ca="1" si="496"/>
        <v/>
      </c>
      <c r="MZ112" s="43" t="str">
        <f t="shared" si="475"/>
        <v/>
      </c>
      <c r="NA112" s="43" t="str">
        <f t="shared" si="476"/>
        <v/>
      </c>
      <c r="NB112" s="43" t="str">
        <f t="shared" si="477"/>
        <v/>
      </c>
      <c r="NC112" s="43" t="str">
        <f t="shared" si="478"/>
        <v/>
      </c>
      <c r="ND112" s="43">
        <f t="shared" ca="1" si="479"/>
        <v>2</v>
      </c>
      <c r="NE112" s="43">
        <f>IF(OR(O112&gt;0,R112&gt;0),SUM(COUNTIF(Tabla1[[#This Row],[AÑOS AL INICIO5 CPN]],"&gt;=40"),COUNTIF(AS112,"0"),COUNTIF(AR112,"SI"),COUNTIF(CC112,"SI"),COUNTIF(BQ112,"&gt;119"),COUNTIF(CI112,"&gt;=35")),"")</f>
        <v>0</v>
      </c>
      <c r="NF112" s="43" t="str">
        <f t="shared" si="480"/>
        <v/>
      </c>
      <c r="NG112" s="43">
        <f t="shared" si="481"/>
        <v>0</v>
      </c>
      <c r="NH112" s="43">
        <f t="shared" si="482"/>
        <v>161.70000000000002</v>
      </c>
      <c r="NI11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CPN",P112="NO"),"Z",IF(AND(Tabla1[[#This Row],[CITA PROXIMO CONTROL]]="CITA MANUAL",Tabla1[[#This Row],[GESTANTES ACTUALES]]="ACTIVA INGRESO A CPN"),"W",IF(AND(Tabla1[[#This Row],[GESTANTES ACTUALES]]="SALIO PROGRAMA",IN112=""),"S",IF(AND(Tabla1[[#This Row],[CITA PROXIMO CONTROL]]&gt;0,IN112=""),(Tabla1[[#This Row],[CITA PROXIMO CONTROL]]-TODAY()),"SD"))))))))</f>
        <v>#REF!</v>
      </c>
      <c r="NJ112" s="43">
        <f>MONTH(Tabla1[[#This Row],[FECHA DE SALIDA  DEL PROGRAMA]])</f>
        <v>1</v>
      </c>
      <c r="NK112" s="43">
        <f>YEAR(Tabla1[[#This Row],[FECHA DE SALIDA  DEL PROGRAMA]])</f>
        <v>1900</v>
      </c>
      <c r="NL112" s="43">
        <f t="shared" si="483"/>
        <v>402</v>
      </c>
      <c r="NM112" s="43" t="str">
        <f t="shared" si="456"/>
        <v>NO</v>
      </c>
      <c r="NN112" s="43" t="str">
        <f ca="1">IF(AND(O112&gt;0,R112=""),"NO CPN",IF(AND(O112="",R112=""),"",IF(AND(R112&gt;0,Tabla1[[#This Row],[SEMANAS DE GESTACION ACTUALIZADAS]]&lt;=12),"NO APLICA",IF(AND(FH112&lt;&gt;"",FN112&lt;&gt;""),"SI","NO"))))</f>
        <v>SI</v>
      </c>
      <c r="NO112" s="43" t="str">
        <f ca="1">IF(AND(O112&gt;0,R112=""),"NO CPN",IF(AND(O112="",R112=""),"",IF(AND(R112&gt;0,Tabla1[[#This Row],[SEMANAS DE GESTACION ACTUALIZADAS]]&lt;=27),"NO APLICA",IF(AND(ES112&lt;&gt;"",FQ112&lt;&gt;"",GF112&lt;&gt;""),"SI","NO"))))</f>
        <v>NO</v>
      </c>
      <c r="NP112" s="204" t="str">
        <f t="shared" si="484"/>
        <v>I TRIM</v>
      </c>
      <c r="NQ112" s="21" t="str">
        <f t="shared" si="437"/>
        <v/>
      </c>
      <c r="NR112" s="21" t="str">
        <f t="shared" ca="1" si="497"/>
        <v>REVISAR FUM O FECHA SALIDA PROGRAMA</v>
      </c>
      <c r="NS112" s="205">
        <f t="shared" ca="1" si="485"/>
        <v>2</v>
      </c>
      <c r="NT112" s="21">
        <f t="shared" ca="1" si="486"/>
        <v>1</v>
      </c>
      <c r="NU112" s="21" t="str">
        <f t="shared" ca="1" si="487"/>
        <v>POR DEFINIR</v>
      </c>
      <c r="NV112" s="21" t="str">
        <f t="shared" ca="1" si="488"/>
        <v>POR DEFINIR</v>
      </c>
      <c r="NW112" s="206" t="str">
        <f>IF(AND(O112="",R112=""),"",IF(OR(AND(Tabla1[[#This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12" s="207" t="str">
        <f t="shared" ca="1" si="489"/>
        <v>SIN VACUNAR</v>
      </c>
      <c r="NY112" s="43">
        <f>ROW(Tabla1[[#This Row],['# DE TAMIZAJES SIFILIS TOMADOS ]])</f>
        <v>112</v>
      </c>
      <c r="NZ112" s="43">
        <f t="shared" si="334"/>
        <v>11</v>
      </c>
      <c r="OA112" s="43" t="str">
        <f t="shared" si="335"/>
        <v/>
      </c>
      <c r="OB112" s="43" t="str">
        <f t="shared" si="336"/>
        <v/>
      </c>
      <c r="OC112" s="43" t="str">
        <f t="shared" si="337"/>
        <v>NORMAL</v>
      </c>
      <c r="OD112" s="43" t="str">
        <f t="shared" si="338"/>
        <v/>
      </c>
      <c r="OE112" s="43" t="str">
        <f t="shared" si="339"/>
        <v/>
      </c>
      <c r="OF112" s="43" t="str">
        <f t="shared" si="340"/>
        <v/>
      </c>
      <c r="OG112" s="43" t="str">
        <f t="shared" si="341"/>
        <v/>
      </c>
      <c r="OH112" s="43" t="str">
        <f t="shared" si="342"/>
        <v/>
      </c>
      <c r="OI112" s="43" t="str">
        <f t="shared" si="343"/>
        <v/>
      </c>
      <c r="OJ112" s="43" t="str">
        <f t="shared" si="344"/>
        <v/>
      </c>
      <c r="OK112" s="43" t="str">
        <f t="shared" si="345"/>
        <v/>
      </c>
      <c r="OL112" s="43" t="str">
        <f t="shared" si="346"/>
        <v/>
      </c>
      <c r="OM112" s="43" t="str">
        <f t="shared" si="347"/>
        <v/>
      </c>
      <c r="ON112" s="43" t="str">
        <f t="shared" si="348"/>
        <v/>
      </c>
      <c r="OO112" s="43" t="str">
        <f t="shared" si="349"/>
        <v/>
      </c>
      <c r="OP112" s="43" t="str">
        <f t="shared" si="350"/>
        <v/>
      </c>
      <c r="OQ112" s="43" t="str">
        <f t="shared" si="351"/>
        <v/>
      </c>
      <c r="OR112" s="43" t="str">
        <f t="shared" si="352"/>
        <v/>
      </c>
      <c r="OS112" s="43" t="str">
        <f t="shared" si="353"/>
        <v/>
      </c>
      <c r="OT112" s="43" t="str">
        <f t="shared" si="354"/>
        <v/>
      </c>
      <c r="OU112" s="43" t="str">
        <f t="shared" si="355"/>
        <v/>
      </c>
      <c r="OV112" s="110" t="str">
        <f t="shared" si="356"/>
        <v/>
      </c>
      <c r="OW112" s="43" t="str">
        <f t="shared" si="357"/>
        <v/>
      </c>
      <c r="OX112" s="43" t="str">
        <f t="shared" si="358"/>
        <v/>
      </c>
      <c r="OY112" s="43" t="str">
        <f t="shared" si="359"/>
        <v/>
      </c>
      <c r="OZ112" s="43" t="str">
        <f t="shared" si="360"/>
        <v/>
      </c>
      <c r="PA112" s="43" t="str">
        <f t="shared" si="361"/>
        <v/>
      </c>
      <c r="PB112" s="43" t="str">
        <f t="shared" si="362"/>
        <v/>
      </c>
      <c r="PC112" s="43" t="str">
        <f t="shared" si="363"/>
        <v/>
      </c>
      <c r="PD112" s="43" t="str">
        <f t="shared" si="364"/>
        <v/>
      </c>
      <c r="PE112" s="43" t="str">
        <f t="shared" si="365"/>
        <v/>
      </c>
      <c r="PF112" s="43" t="str">
        <f t="shared" si="366"/>
        <v/>
      </c>
      <c r="PG112" s="43" t="str">
        <f t="shared" si="367"/>
        <v/>
      </c>
      <c r="PH112" s="43" t="str">
        <f t="shared" si="368"/>
        <v/>
      </c>
      <c r="PI112" s="43">
        <f t="shared" si="369"/>
        <v>22</v>
      </c>
      <c r="PJ112" s="43" t="str">
        <f t="shared" si="370"/>
        <v/>
      </c>
      <c r="PK112" s="43" t="str">
        <f t="shared" si="371"/>
        <v/>
      </c>
      <c r="PL112" s="43" t="str">
        <f t="shared" si="372"/>
        <v/>
      </c>
      <c r="PM112" s="43" t="str">
        <f t="shared" si="373"/>
        <v/>
      </c>
      <c r="PN112" s="43" t="str">
        <f t="shared" si="374"/>
        <v/>
      </c>
      <c r="PO112" s="43" t="str">
        <f t="shared" si="375"/>
        <v/>
      </c>
      <c r="PP112" s="43" t="str">
        <f t="shared" si="376"/>
        <v/>
      </c>
      <c r="PQ112" s="43" t="str">
        <f t="shared" si="377"/>
        <v/>
      </c>
      <c r="PR112" s="43" t="str">
        <f t="shared" si="378"/>
        <v/>
      </c>
      <c r="PS112" s="43" t="str">
        <f t="shared" si="379"/>
        <v/>
      </c>
      <c r="PT112" s="43" t="str">
        <f t="shared" si="380"/>
        <v/>
      </c>
      <c r="PU112" s="43" t="str">
        <f t="shared" si="381"/>
        <v/>
      </c>
      <c r="PV112" s="43" t="str">
        <f t="shared" si="382"/>
        <v/>
      </c>
      <c r="PW112" s="43" t="str">
        <f t="shared" si="383"/>
        <v>NORMAL</v>
      </c>
      <c r="PX112" s="43" t="str">
        <f t="shared" si="384"/>
        <v/>
      </c>
      <c r="PY112" s="43" t="str">
        <f t="shared" si="385"/>
        <v/>
      </c>
      <c r="PZ112" s="43" t="str">
        <f t="shared" si="386"/>
        <v/>
      </c>
      <c r="QA112" s="43" t="str">
        <f t="shared" si="387"/>
        <v/>
      </c>
      <c r="QB112" s="43" t="str">
        <f t="shared" si="388"/>
        <v/>
      </c>
      <c r="QC112" s="43" t="str">
        <f t="shared" si="389"/>
        <v/>
      </c>
      <c r="QD112" s="43" t="str">
        <f t="shared" si="390"/>
        <v/>
      </c>
      <c r="QE112" s="43" t="str">
        <f t="shared" si="391"/>
        <v/>
      </c>
      <c r="QF112" s="43" t="str">
        <f t="shared" si="392"/>
        <v/>
      </c>
      <c r="QG112" s="43" t="str">
        <f t="shared" si="393"/>
        <v/>
      </c>
      <c r="QH112" s="43" t="str">
        <f t="shared" si="394"/>
        <v/>
      </c>
      <c r="QI112" s="43" t="str">
        <f t="shared" si="395"/>
        <v/>
      </c>
      <c r="QJ112" s="43" t="str">
        <f t="shared" si="396"/>
        <v/>
      </c>
      <c r="QK112" s="43" t="str">
        <f t="shared" si="397"/>
        <v/>
      </c>
      <c r="QL112" s="43" t="str">
        <f t="shared" si="398"/>
        <v/>
      </c>
      <c r="QM112" s="43" t="str">
        <f t="shared" si="399"/>
        <v/>
      </c>
      <c r="QN112" s="43" t="str">
        <f t="shared" si="400"/>
        <v/>
      </c>
      <c r="QO112" s="43" t="str">
        <f t="shared" si="401"/>
        <v/>
      </c>
      <c r="QP112" s="43" t="str">
        <f t="shared" si="402"/>
        <v/>
      </c>
      <c r="QQ112" s="43" t="str">
        <f t="shared" si="403"/>
        <v/>
      </c>
      <c r="QR112" s="43">
        <f t="shared" si="433"/>
        <v>22</v>
      </c>
      <c r="QS112" s="43"/>
      <c r="QT112" s="21" t="str">
        <f t="shared" si="404"/>
        <v/>
      </c>
      <c r="QU112" s="21" t="str">
        <f t="shared" si="405"/>
        <v/>
      </c>
      <c r="QV112" s="21" t="str">
        <f t="shared" si="406"/>
        <v/>
      </c>
      <c r="QW112" s="21" t="str">
        <f t="shared" si="407"/>
        <v/>
      </c>
      <c r="QX112" s="21" t="str">
        <f t="shared" si="408"/>
        <v/>
      </c>
      <c r="QY112" s="21" t="str">
        <f t="shared" si="409"/>
        <v/>
      </c>
      <c r="QZ112" s="21" t="str">
        <f t="shared" si="410"/>
        <v/>
      </c>
      <c r="RA112" s="21" t="str">
        <f t="shared" si="411"/>
        <v/>
      </c>
      <c r="RB112" s="21" t="str">
        <f t="shared" si="412"/>
        <v/>
      </c>
      <c r="RC112" s="21" t="str">
        <f t="shared" si="413"/>
        <v>ALTO PARA EDAD GESTACIONAL</v>
      </c>
      <c r="RD112" s="21" t="str">
        <f t="shared" si="414"/>
        <v/>
      </c>
      <c r="RE112" s="21" t="str">
        <f t="shared" si="415"/>
        <v/>
      </c>
      <c r="RF112" s="21" t="str">
        <f t="shared" si="416"/>
        <v/>
      </c>
      <c r="RG112" s="21" t="str">
        <f t="shared" si="417"/>
        <v/>
      </c>
      <c r="RH112" s="21" t="str">
        <f t="shared" si="418"/>
        <v/>
      </c>
      <c r="RI112" s="21" t="str">
        <f t="shared" si="419"/>
        <v/>
      </c>
      <c r="RJ112" s="21" t="str">
        <f t="shared" si="420"/>
        <v/>
      </c>
      <c r="RK112" s="21" t="str">
        <f t="shared" si="421"/>
        <v/>
      </c>
      <c r="RL112" s="21" t="str">
        <f t="shared" si="422"/>
        <v/>
      </c>
      <c r="RM112" s="21" t="str">
        <f t="shared" si="423"/>
        <v/>
      </c>
      <c r="RN112" s="21" t="str">
        <f t="shared" si="424"/>
        <v/>
      </c>
      <c r="RO112" s="21" t="str">
        <f t="shared" si="425"/>
        <v/>
      </c>
      <c r="RP112" s="21" t="str">
        <f t="shared" si="426"/>
        <v/>
      </c>
      <c r="RQ112" s="21" t="str">
        <f t="shared" si="427"/>
        <v/>
      </c>
      <c r="RR112" s="21" t="str">
        <f t="shared" si="428"/>
        <v/>
      </c>
      <c r="RS112" s="21" t="str">
        <f t="shared" si="429"/>
        <v/>
      </c>
      <c r="RT112" s="21" t="str">
        <f t="shared" si="430"/>
        <v/>
      </c>
      <c r="RU112" s="21" t="str">
        <f t="shared" si="431"/>
        <v/>
      </c>
      <c r="RV112" s="21">
        <f t="shared" si="432"/>
        <v>11.571428571428571</v>
      </c>
      <c r="RW112" s="284">
        <f>IF(OR(Tabla1[[#This Row],[FUM FORMULA CONFIABLE]]="",Tabla1[[#This Row],[FUM FORMULA CONFIABLE]]="SD"),"",IF(Tabla1[[#This Row],[FUM FORMULA CONFIABLE]]="CORREGIDA",Tabla1[[#This Row],[FUM X ECO 1]],Tabla1[[#This Row],[FUM x AMENORREA]]))</f>
        <v>44898</v>
      </c>
      <c r="RX112" s="21">
        <f>IF(AND(Tabla1[[#This Row],[FUM X ECO 1]]="",Tabla1[[#This Row],[FUM x AMENORREA]]=""),"",IF(AND(Tabla1[[#This Row],[FUM X ECO 1]]="",Tabla1[[#This Row],[FUM x AMENORREA]]&lt;&gt;""),"X",SUM(Tabla1[[#This Row],[FUM X ECO 1]]-Tabla1[[#This Row],[FUM x AMENORREA]])))</f>
        <v>-30.69999999999709</v>
      </c>
      <c r="RY112" s="21">
        <f t="shared" si="434"/>
        <v>1</v>
      </c>
    </row>
    <row r="113" spans="1:493" ht="45" customHeight="1" x14ac:dyDescent="0.25">
      <c r="A113" s="109"/>
      <c r="B113" s="43"/>
      <c r="C113" s="43" t="s">
        <v>845</v>
      </c>
      <c r="D113" s="124"/>
      <c r="E113" s="43" t="s">
        <v>1336</v>
      </c>
      <c r="F113" s="43" t="s">
        <v>1336</v>
      </c>
      <c r="G113" s="43" t="s">
        <v>938</v>
      </c>
      <c r="H113" s="43" t="s">
        <v>1337</v>
      </c>
      <c r="I113" s="109" t="s">
        <v>851</v>
      </c>
      <c r="J113" s="110">
        <v>1062326726</v>
      </c>
      <c r="K113" s="43" t="s">
        <v>852</v>
      </c>
      <c r="L113" s="175" t="s">
        <v>853</v>
      </c>
      <c r="M113" s="22">
        <v>35427</v>
      </c>
      <c r="N113" s="213">
        <f t="shared" ca="1" si="252"/>
        <v>26.863013698630137</v>
      </c>
      <c r="O113" s="22">
        <v>44980</v>
      </c>
      <c r="P113" s="214" t="str">
        <f t="shared" si="438"/>
        <v>SI</v>
      </c>
      <c r="Q113" s="26" t="s">
        <v>855</v>
      </c>
      <c r="R113" s="22">
        <v>44980</v>
      </c>
      <c r="S113" s="21" t="s">
        <v>856</v>
      </c>
      <c r="T113" s="24" t="s">
        <v>690</v>
      </c>
      <c r="U113" s="21" t="s">
        <v>857</v>
      </c>
      <c r="V113" s="21" t="s">
        <v>858</v>
      </c>
      <c r="W113" s="21" t="s">
        <v>1431</v>
      </c>
      <c r="X113" s="21"/>
      <c r="Y113" s="21"/>
      <c r="Z113" s="21" t="s">
        <v>894</v>
      </c>
      <c r="AA113" s="21" t="s">
        <v>860</v>
      </c>
      <c r="AB113" s="27" t="s">
        <v>861</v>
      </c>
      <c r="AC113" s="26" t="s">
        <v>897</v>
      </c>
      <c r="AD113" s="38" t="s">
        <v>846</v>
      </c>
      <c r="AE113" s="26" t="s">
        <v>854</v>
      </c>
      <c r="AF113" s="26" t="s">
        <v>854</v>
      </c>
      <c r="AG113" s="23" t="s">
        <v>864</v>
      </c>
      <c r="AH113" s="23" t="s">
        <v>864</v>
      </c>
      <c r="AI113" s="24" t="s">
        <v>863</v>
      </c>
      <c r="AJ113" s="23" t="s">
        <v>864</v>
      </c>
      <c r="AK113" s="220" t="str">
        <f>IF(AND(AD113="",AE113="",AF113="",AG113="",AH113="",AI113="",AJ113=""),"",IF(OR(Tabla1[[#This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EVALUACIÓN",IF(AND(O113="",R113=""),"",IF(AND(OR(O113&gt;0,R113&gt;0),NG113&gt;=0,NG113&lt;2),"SIN RIESGO",IF(AND(OR(O113&gt;0,R113&gt;0),NG113&gt;=2),"CON RIESGO","ASD")))))</f>
        <v>SIN RIESGO</v>
      </c>
      <c r="AL113" s="23" t="s">
        <v>864</v>
      </c>
      <c r="AM113" s="26" t="s">
        <v>864</v>
      </c>
      <c r="AN113" s="26" t="s">
        <v>864</v>
      </c>
      <c r="AO113" s="26" t="s">
        <v>864</v>
      </c>
      <c r="AP113" s="26" t="s">
        <v>864</v>
      </c>
      <c r="AQ113" s="26" t="s">
        <v>864</v>
      </c>
      <c r="AR113" s="26" t="s">
        <v>864</v>
      </c>
      <c r="AS113" s="21">
        <v>1</v>
      </c>
      <c r="AT113" s="21">
        <v>1</v>
      </c>
      <c r="AU113" s="21">
        <v>0</v>
      </c>
      <c r="AV113" s="26" t="s">
        <v>864</v>
      </c>
      <c r="AW113" s="21">
        <v>0</v>
      </c>
      <c r="AX113" s="26" t="s">
        <v>864</v>
      </c>
      <c r="AY113" s="26" t="s">
        <v>864</v>
      </c>
      <c r="AZ113" s="26" t="s">
        <v>864</v>
      </c>
      <c r="BA113" s="26" t="s">
        <v>864</v>
      </c>
      <c r="BB113" s="26" t="s">
        <v>864</v>
      </c>
      <c r="BC113" s="26" t="s">
        <v>864</v>
      </c>
      <c r="BD113" s="26" t="s">
        <v>864</v>
      </c>
      <c r="BE113" s="26" t="s">
        <v>864</v>
      </c>
      <c r="BF113" s="26" t="s">
        <v>864</v>
      </c>
      <c r="BG113" s="26" t="s">
        <v>864</v>
      </c>
      <c r="BH113" s="26" t="s">
        <v>864</v>
      </c>
      <c r="BI113" s="26" t="s">
        <v>864</v>
      </c>
      <c r="BJ113" s="26" t="s">
        <v>864</v>
      </c>
      <c r="BK113" s="26" t="s">
        <v>864</v>
      </c>
      <c r="BL113" s="26" t="s">
        <v>864</v>
      </c>
      <c r="BM113" s="26" t="s">
        <v>864</v>
      </c>
      <c r="BN113" s="22"/>
      <c r="BO113" s="22">
        <v>44863</v>
      </c>
      <c r="BP113" s="21" t="s">
        <v>854</v>
      </c>
      <c r="BQ113" s="222">
        <f t="shared" si="254"/>
        <v>0</v>
      </c>
      <c r="BR113" s="223">
        <f t="shared" si="255"/>
        <v>44864.800000000003</v>
      </c>
      <c r="BS113" s="224">
        <f t="shared" si="256"/>
        <v>16.714285714285715</v>
      </c>
      <c r="BT113" s="216" t="str">
        <f t="shared" si="257"/>
        <v>II TRIM</v>
      </c>
      <c r="BU113" s="214" t="str">
        <f t="shared" ca="1" si="258"/>
        <v/>
      </c>
      <c r="BV113" s="25"/>
      <c r="BW113" s="22">
        <v>45002</v>
      </c>
      <c r="BX113" s="28">
        <v>19.600000000000001</v>
      </c>
      <c r="BY113" s="28"/>
      <c r="BZ113" s="22"/>
      <c r="CA113" s="21"/>
      <c r="CB113" s="26" t="s">
        <v>864</v>
      </c>
      <c r="CC113" s="26" t="s">
        <v>864</v>
      </c>
      <c r="CD113" s="26"/>
      <c r="CE113" s="26" t="s">
        <v>864</v>
      </c>
      <c r="CF113" s="22" t="s">
        <v>1517</v>
      </c>
      <c r="CG113" s="21">
        <v>1.44</v>
      </c>
      <c r="CH113" s="21">
        <v>51</v>
      </c>
      <c r="CI113" s="214">
        <f t="shared" si="259"/>
        <v>24.594907407407408</v>
      </c>
      <c r="CJ113" s="225" t="e">
        <f>IF(AND(CI113&lt;10,CH113="SD"),"SIN DATO PESO PREGESTACION O I TRIM",IF(AND(OR(R113&gt;0,O113&gt;0),CI113="X"),"INGRESAR DATO DE PESO",IF(CI113="SD","INGRESAR DATO DE TALLA Y PESO",IF(AND(OR(Tabla1[[#This Row],[MOMENTO EN QUE SE REALIZA EL PESO AL INGRESO A CPN]]="PREGESTACIÓN",NZ113="Menor"),CI113&lt;18.5),"BAJO PESO",IF(AND(OR(Tabla1[[#This Row],[MOMENTO EN QUE SE REALIZA EL PESO AL INGRESO A CPN]]="PREGESTACIÓN",NZ113="Menor"),CI113&lt;25),"NORMAL",IF(AND(OR(Tabla1[[#This Row],[MOMENTO EN QUE SE REALIZA EL PESO AL INGRESO A CPN]]="PREGESTACIÓN",NZ113="Menor"),CI113&lt;30),"SOBREPESO",IF(AND(OR(Tabla1[[#This Row],[MOMENTO EN QUE SE REALIZA EL PESO AL INGRESO A CPN]]="PREGESTACIÓN",NZ113="Menor"),CI113&gt;=30,CI113&lt;50),"OBESIDAD",IF(AND(BS113&gt;0,Tabla1[[#This Row],[MOMENTO EN QUE SE REALIZA EL PESO AL INGRESO A CPN]]="GESTACIÓN"),HLOOKUP(NZ113,$OA$2:PH113,NY113),""))))))))</f>
        <v>#REF!</v>
      </c>
      <c r="CK113" s="212">
        <f t="shared" si="260"/>
        <v>45112</v>
      </c>
      <c r="CL113" s="21">
        <v>56.8</v>
      </c>
      <c r="CM113" s="214">
        <f t="shared" si="261"/>
        <v>27.391975308641975</v>
      </c>
      <c r="CN113" s="216">
        <f t="shared" si="262"/>
        <v>35</v>
      </c>
      <c r="CO113" s="216" t="e">
        <f>IF(PI113="","",IF(PI113&gt;0,HLOOKUP(PI113,$PJ$2:QQ113,NY113),""))</f>
        <v>#REF!</v>
      </c>
      <c r="CP113" s="21">
        <v>30</v>
      </c>
      <c r="CQ113" s="216" t="e">
        <f>IF(QR113="Menor","NO APLICA-MENOR 13 SEM",IF(AND(CC113="SI",CN113&gt;23),"NO APLICA- GEMELAR",IF(QR113="","",IF(QR113&gt;0,HLOOKUP(QR113,$QS$2:RU113,NY113),""))))</f>
        <v>#REF!</v>
      </c>
      <c r="CR113" s="21"/>
      <c r="CS113" s="21"/>
      <c r="CT113" s="217" t="str">
        <f>IF(R113="","",IF(AND(BS113&gt;1,BS113&lt;12,Tabla1[[#This Row],[T.A. SISTOLICA - ANTES DE SEMANA 12]]="",Tabla1[[#This Row],[T.A. DIASTOLICA - ANTES DE SEMANA 12]]=""),"REGISTRE DATO TA ANTES SEMANA 12",IF(AND(BS113&gt;11,BS113&lt;43,Tabla1[[#This Row],[T.A. SISTOLICA - ANTES DE SEMANA 12]]="",Tabla1[[#This Row],[T.A. DIASTOLICA - ANTES DE SEMANA 12]]=""),"NO APLICA REGISTRO TA-INGRESO TARDIO",IF(AND(OR(O113&gt;0,R113&gt;0),OR(CR113&gt;=140,CS113&gt;=90)),"DEFINIR ESTADIO HTA",IF(AND(OR(O113&gt;0,R113&gt;0),AND(CR113&gt;120,CR113&lt;=139)),"PRE HTA SEGUIMIENTO",IF(AND(OR(O113&gt;0,R113&gt;0),AND(CS113&gt;80,CS113&lt;=89)),"PRE HTA SEGUIMIENTO",IF(AND(OR(O113&gt;0,R113&gt;0),AND(CR113&gt;=80,CR113&lt;=120)),"APARENTEMENTE NORMAL",IF(AND(OR(O113&gt;0,R113&gt;0),AND(CS113&gt;=50,CS113&lt;=80)),"APARENTEMENTE NORMAL",IF(AND(OR(O113&gt;0,R113&gt;0),AND(CR113&gt;1,CR113&lt;=70),AND(CS113&gt;1,CS113&lt;=40)),"HIPOTENSIÓN","")))))))))</f>
        <v>NO APLICA REGISTRO TA-INGRESO TARDIO</v>
      </c>
      <c r="CU113" s="21">
        <v>100</v>
      </c>
      <c r="CV113" s="21">
        <v>60</v>
      </c>
      <c r="CW113" s="217" t="str">
        <f ca="1">IF(R113="","",IF(AND(CN113&gt;19,CN113&lt;27,Tabla1[[#This Row],[T.A. SISTOLICA (Entre semana 20 y 26)]]="",Tabla1[[#This Row],[T.A. DIATOLICA (Entre semana 20 y 26)]]=""),"ACUDE A CONTROL SEM 20 A 26 REGISTRE TA AHORA",IF(AND(BS113&gt;1,BS113&lt;27,BU113&gt;19,Tabla1[[#This Row],[T.A. SISTOLICA (Entre semana 20 y 26)]]="",Tabla1[[#This Row],[T.A. DIATOLICA (Entre semana 20 y 26)]]=""),"COMPLETE REGISTRO TA CONTROL SEM 20 A26 ",IF(AND(BS113&gt;26,BS113&lt;43,Tabla1[[#This Row],[T.A. SISTOLICA (Entre semana 20 y 26)]]="",Tabla1[[#This Row],[T.A. DIATOLICA (Entre semana 20 y 26)]]=""),"NO APLICA REGISTRO TA-INGRESO TARDIO",IF(AND(OR(O113&gt;0,R113&gt;0),OR(CU113&gt;=140,CV113&gt;=90)),"ALTO RIESGO PREECLAMPSIA,DEFINIR ESTADIO HTA",IF(AND(OR(O113&gt;0,R113&gt;0),AND(CU113&gt;120,CU113&lt;=139)),"PRE HTA SEGUIMIENTO,RIESGO HIPERTENSION INDUCIDA POR EL EMBARAZO",IF(AND(OR(O113&gt;0,R113&gt;0),AND(CV113&gt;80,CV113&lt;=89)),"PRE HTA SEGUIMIENTO, RIESGO HIPERTENSION INDUCIDA POR EL EMBARAZO",IF(AND(OR(O113&lt;&gt;"",R113&lt;&gt;""),CS113&lt;&gt;"",CV113&lt;&gt;"",CS113&lt;=CV113),"VIGILAR CIFRAS PRESION ARTERIAL",IF(AND(OR(O113&gt;0,R113&gt;0),AND(CU113&gt;120,CU113&lt;=139)),"PRE HTA SEGUIMIENTO",IF(AND(OR(O113&gt;0,R113&gt;0),AND(CU113&gt;1,CU113&lt;=70),AND(CV113&gt;1,CV113&lt;=40)),"HIPOTENSIÓN",IF(AND(OR(O113&lt;&gt;"",R113&lt;&gt;""),CS113&lt;&gt;"",CV113&lt;&gt;"",CS113&gt;CV113),"APARENTEMENTE NORMAL",IF(AND(OR(O113&gt;0,R113&gt;0),AND(CU113&gt;=80,CU113&lt;=120)),"APARENTEMENTE NORMAL",IF(AND(OR(O113&gt;0,R113&gt;0),AND(CV113&gt;=50,CV113&lt;=80)),"APARENTEMENTE NORMAL","")))))))))))))</f>
        <v>APARENTEMENTE NORMAL</v>
      </c>
      <c r="CX113" s="21"/>
      <c r="CY113" s="21"/>
      <c r="CZ113" s="216" t="str">
        <f t="shared" si="457"/>
        <v/>
      </c>
      <c r="DA113" s="21">
        <v>90</v>
      </c>
      <c r="DB113" s="21">
        <v>70</v>
      </c>
      <c r="DC113" s="217" t="str">
        <f t="shared" si="264"/>
        <v>VIGILAR CIFRAS PRESION ARTERIAL</v>
      </c>
      <c r="DD113" s="22">
        <v>44980</v>
      </c>
      <c r="DE113" s="22">
        <v>44980</v>
      </c>
      <c r="DF113" s="22">
        <v>45043</v>
      </c>
      <c r="DG113" s="22">
        <v>45077</v>
      </c>
      <c r="DH113" s="22">
        <v>45112</v>
      </c>
      <c r="DI113" s="22"/>
      <c r="DJ113" s="22"/>
      <c r="DK113" s="22"/>
      <c r="DL113" s="22"/>
      <c r="DM113" s="22"/>
      <c r="DN113" s="22"/>
      <c r="DO113" s="22"/>
      <c r="DP113" s="22"/>
      <c r="DQ113" s="22"/>
      <c r="DR113" s="28">
        <v>1</v>
      </c>
      <c r="DS113" s="22"/>
      <c r="DT113" s="22"/>
      <c r="DU113" s="216" t="str">
        <f t="shared" ca="1" si="439"/>
        <v>SALE SIN PLAN DE PARTO</v>
      </c>
      <c r="DV113" s="226" t="str">
        <f t="shared" si="440"/>
        <v>SALIO PROGRAMA</v>
      </c>
      <c r="DW113"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13" s="216" t="str">
        <f t="shared" ca="1" si="266"/>
        <v/>
      </c>
      <c r="DY113" s="212">
        <f>IF(R113="","",IF(R113&gt;0,MAX(Tabla1[[#This Row],[FECHA C2]:[FECHA C13]],Tabla1[[#This Row],[FECHA CONSULTA PRIMERA VEZ PROGRAMA CPN ]])))</f>
        <v>45112</v>
      </c>
      <c r="DZ113" s="216">
        <f t="shared" si="267"/>
        <v>35</v>
      </c>
      <c r="EA113" s="222">
        <f>IF(R113&gt;0,SUM(COUNTA(DF113:DQ113)+COUNTA(Tabla1[[#This Row],[FECHA CONSULTA PRIMERA VEZ PROGRAMA CPN ]])),"")</f>
        <v>4</v>
      </c>
      <c r="EB113" s="222" t="str">
        <f t="shared" si="268"/>
        <v>SI</v>
      </c>
      <c r="EC113" s="214">
        <f t="shared" si="269"/>
        <v>7</v>
      </c>
      <c r="ED113" s="227">
        <f t="shared" si="270"/>
        <v>0.5714285714285714</v>
      </c>
      <c r="EE113" s="22">
        <v>44980</v>
      </c>
      <c r="EF113" s="22">
        <v>44980</v>
      </c>
      <c r="EG113" s="22">
        <v>44980</v>
      </c>
      <c r="EH113" s="22">
        <v>45002</v>
      </c>
      <c r="EI113" s="22">
        <v>44980</v>
      </c>
      <c r="EJ113" s="22">
        <v>45002</v>
      </c>
      <c r="EK113" s="22">
        <v>45002</v>
      </c>
      <c r="EL113" s="21">
        <v>1</v>
      </c>
      <c r="EM113" s="21">
        <v>11.2</v>
      </c>
      <c r="EN113" s="22">
        <v>44989</v>
      </c>
      <c r="EO113" s="222">
        <f t="shared" si="271"/>
        <v>18</v>
      </c>
      <c r="EP113" s="214" t="str">
        <f t="shared" si="272"/>
        <v>NORMAL- SUMINISTRAR SULFATO FERROSO</v>
      </c>
      <c r="EQ113" s="216" t="str">
        <f t="shared" si="273"/>
        <v>II TRIM</v>
      </c>
      <c r="ER113" s="24"/>
      <c r="ES113" s="22"/>
      <c r="ET113" s="29" t="str">
        <f t="shared" ca="1" si="441"/>
        <v>SALE SIN TAMIZAJE HEMOGLOBINA SEM 28</v>
      </c>
      <c r="EU113" s="25" t="str">
        <f t="shared" si="275"/>
        <v/>
      </c>
      <c r="EV113" s="24" t="s">
        <v>866</v>
      </c>
      <c r="EW113" s="24">
        <v>44989</v>
      </c>
      <c r="EX113" s="22"/>
      <c r="EY113" s="29">
        <f t="shared" si="454"/>
        <v>18</v>
      </c>
      <c r="EZ113" s="25" t="str">
        <f t="shared" ca="1" si="455"/>
        <v/>
      </c>
      <c r="FA113" s="21">
        <v>68</v>
      </c>
      <c r="FB113" s="22">
        <v>44989</v>
      </c>
      <c r="FC113" s="29">
        <f t="shared" si="276"/>
        <v>18</v>
      </c>
      <c r="FD113" s="29">
        <v>60</v>
      </c>
      <c r="FE113" s="29">
        <v>90</v>
      </c>
      <c r="FF113" s="29">
        <v>107</v>
      </c>
      <c r="FG113" s="21" t="str">
        <f t="shared" ca="1" si="277"/>
        <v>NORMAL</v>
      </c>
      <c r="FH113" s="31">
        <v>45078</v>
      </c>
      <c r="FI113" s="29">
        <f t="shared" si="278"/>
        <v>30.714285714285715</v>
      </c>
      <c r="FJ113" s="22"/>
      <c r="FK113" s="22"/>
      <c r="FL113" s="29" t="str">
        <f t="shared" ca="1" si="279"/>
        <v>NO APLICA-INGRESO TARDIO</v>
      </c>
      <c r="FM113" s="22" t="s">
        <v>867</v>
      </c>
      <c r="FN113" s="32">
        <v>44989</v>
      </c>
      <c r="FO113" s="29">
        <f t="shared" ca="1" si="442"/>
        <v>18</v>
      </c>
      <c r="FP113" s="22"/>
      <c r="FQ113" s="32"/>
      <c r="FR113" s="29" t="str">
        <f t="shared" ca="1" si="443"/>
        <v>PIERDE TOMA DE TAMIZAJE</v>
      </c>
      <c r="FS113" s="22"/>
      <c r="FT113" s="32"/>
      <c r="FU113" s="29" t="str">
        <f>IF(AND(FJ113="",FM113="",FP113="",FS113=""),"",IF(OR(OR(Tabla1[[#This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13" s="28"/>
      <c r="FW113" s="22"/>
      <c r="FX113" s="29" t="str">
        <f t="shared" si="280"/>
        <v>TOMAR EXAMEN</v>
      </c>
      <c r="FY113" s="22"/>
      <c r="FZ113" s="22"/>
      <c r="GA113" s="29" t="str">
        <f t="shared" ca="1" si="453"/>
        <v>NO APLICA-INGRESO TARDIO</v>
      </c>
      <c r="GB113" s="22" t="s">
        <v>868</v>
      </c>
      <c r="GC113" s="22">
        <v>44989</v>
      </c>
      <c r="GD113" s="29">
        <f t="shared" ca="1" si="491"/>
        <v>18</v>
      </c>
      <c r="GE113" s="22" t="s">
        <v>868</v>
      </c>
      <c r="GF113" s="22">
        <v>45078</v>
      </c>
      <c r="GG113" s="29">
        <f t="shared" ca="1" si="445"/>
        <v>30.714285714285715</v>
      </c>
      <c r="GH113" s="22"/>
      <c r="GI113" s="29"/>
      <c r="GJ113" s="22"/>
      <c r="GK113" s="22"/>
      <c r="GL113" s="22"/>
      <c r="GM113" s="22"/>
      <c r="GN113" s="28" t="s">
        <v>869</v>
      </c>
      <c r="GO113" s="22">
        <v>44989</v>
      </c>
      <c r="GP113" s="29">
        <f t="shared" si="283"/>
        <v>18</v>
      </c>
      <c r="GQ113" s="28" t="s">
        <v>846</v>
      </c>
      <c r="GR113" s="28" t="s">
        <v>869</v>
      </c>
      <c r="GS113" s="22" t="str">
        <f t="shared" si="458"/>
        <v/>
      </c>
      <c r="GT113" s="22">
        <v>44989</v>
      </c>
      <c r="GU113" s="29">
        <f t="shared" si="285"/>
        <v>18</v>
      </c>
      <c r="GV113" s="21" t="str">
        <f t="shared" si="286"/>
        <v>II TRIM</v>
      </c>
      <c r="GW113" s="28"/>
      <c r="GX113" s="30"/>
      <c r="GY113" s="21"/>
      <c r="GZ113" s="21"/>
      <c r="HA113" s="21"/>
      <c r="HB113" s="21"/>
      <c r="HC113" s="21"/>
      <c r="HD113" s="21"/>
      <c r="HE113" s="21"/>
      <c r="HF113" s="22"/>
      <c r="HG113" s="22" t="str">
        <f>IF(OR(O113&gt;0,R113&gt;0),CONCATENATE(IF(Tabla1[[#This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13" s="22" t="e">
        <f t="shared" si="287"/>
        <v>#REF!</v>
      </c>
      <c r="HI113" s="22" t="e">
        <f t="shared" ca="1" si="288"/>
        <v>#REF!</v>
      </c>
      <c r="HJ113" s="21" t="str">
        <f t="shared" ca="1" si="289"/>
        <v>***************************************</v>
      </c>
      <c r="HK113" s="21" t="str">
        <f t="shared" si="290"/>
        <v>SIN ANTECEDENTES DE RIESGO</v>
      </c>
      <c r="HL113" s="24" t="str">
        <f t="shared" si="291"/>
        <v>VIGILAR CIFRAS PRESION ARTERIAL</v>
      </c>
      <c r="HM113" s="21" t="str">
        <f t="shared" ca="1" si="292"/>
        <v/>
      </c>
      <c r="HN113" s="30" t="str">
        <f t="shared" si="446"/>
        <v>SALIO PROGRAMA</v>
      </c>
      <c r="HO113" s="21"/>
      <c r="HP113" s="21"/>
      <c r="HQ113" s="21">
        <v>45008</v>
      </c>
      <c r="HR113" s="21" t="str">
        <f>IF(R113="","",IF(Tabla1[[#This Row],[ALARMA FACTORES DE RIESGO COMPLICACIONES HIPERTENSIVAS3]]="SIN ANTECEDENTES DE RIESGO","No Aplica para suministro de ASA",IF(AND(Tabla1[[#This Row],[FECHA INICIO DE SUMINISTRO DE ASA]]&gt;0,RV113&lt;12),"Inicia ASA ANTES de Sem 12",IF(AND(RV113&gt;11,RV113&lt;17,OR(HK113="RIESGO ALTO DE COMPLICACIONES HIPERTENSIVAS VER MANEJO GUIA SUMINISTRO ASA Y CALCIO",HK113="RIESGO MODERADO (2 O MAS CRITERIOS) VER MANEJO GUIA SUMINISTRO ASA Y CALCIO")),"Inicio oportuno de ASA",IF(AND(RV113&gt;12,OR(HK113="RIESGO ALTO DE COMPLICACIONES HIPERTENSIVAS VER MANEJO GUIA SUMINISTRO ASA Y CALCIO",HK113="RIESGO MODERADO (2 O MAS CRITERIOS) VER MANEJO GUIA SUMINISTRO ASA Y CALCIO")),"Inicio no oportuno mayor a 16 semanas",IF(AND(BU113&lt;12,OR(HK113="RIESGO ALTO DE COMPLICACIONES HIPERTENSIVAS VER MANEJO GUIA SUMINISTRO ASA Y CALCIO",HK113="RIESGO MODERADO (2 O MAS CRITERIOS) VER MANEJO GUIA SUMINISTRO ASA Y CALCIO")),"Pendiente Inicio de ASA a la semana 12",IF(AND(BU113&gt;11,BU113&lt;17,OR(HK113="RIESGO ALTO DE COMPLICACIONES HIPERTENSIVAS VER MANEJO GUIA SUMINISTRO ASA Y CALCIO",HK113="RIESGO MODERADO (2 O MAS CRITERIOS) VER MANEJO GUIA SUMINISTRO ASA Y CALCIO")),"Iniciar de inmediato ASA",IF(AND(BU113&gt;16,OR(HK113="RIESGO ALTO DE COMPLICACIONES HIPERTENSIVAS VER MANEJO GUIA SUMINISTRO ASA Y CALCIO",HK113="RIESGO MODERADO (2 O MAS CRITERIOS) VER MANEJO GUIA SUMINISTRO ASA Y CALCIO")),"Pierde Oportunidad, Inicio tardío de ASA","XXXXX"))))))))</f>
        <v>No Aplica para suministro de ASA</v>
      </c>
      <c r="HS113" s="22">
        <v>45008</v>
      </c>
      <c r="HT113" s="22" t="s">
        <v>870</v>
      </c>
      <c r="HU113" s="22"/>
      <c r="HV113" s="22"/>
      <c r="HW113" s="22">
        <v>44980</v>
      </c>
      <c r="HX113" s="22" t="s">
        <v>870</v>
      </c>
      <c r="HY113" s="22">
        <v>44980</v>
      </c>
      <c r="HZ113" s="28">
        <f t="shared" si="293"/>
        <v>16.714285714285715</v>
      </c>
      <c r="IA113" s="26"/>
      <c r="IB113" s="26"/>
      <c r="IC113" s="111"/>
      <c r="ID113" s="22"/>
      <c r="IE113" s="22" t="str">
        <f t="shared" ca="1" si="294"/>
        <v>SALE SIN VACUNA</v>
      </c>
      <c r="IF113" s="22"/>
      <c r="IG113" s="22">
        <f t="shared" si="295"/>
        <v>45143</v>
      </c>
      <c r="IH113" s="29">
        <f t="shared" ca="1" si="296"/>
        <v>-89</v>
      </c>
      <c r="II113" s="22" t="str">
        <f t="shared" ca="1" si="297"/>
        <v>POSIBLEMENTE NACIO</v>
      </c>
      <c r="IJ113" s="22"/>
      <c r="IK113" s="21" t="s">
        <v>898</v>
      </c>
      <c r="IL113" s="21"/>
      <c r="IM113" s="34"/>
      <c r="IN113" s="349">
        <v>45134</v>
      </c>
      <c r="IO113" s="21" t="s">
        <v>1186</v>
      </c>
      <c r="IP113" s="29">
        <f t="shared" si="490"/>
        <v>38.714285714285715</v>
      </c>
      <c r="IQ113" s="110" t="s">
        <v>1644</v>
      </c>
      <c r="IR113" s="21" t="s">
        <v>1645</v>
      </c>
      <c r="IS113" s="21" t="s">
        <v>1646</v>
      </c>
      <c r="IT113" s="21" t="s">
        <v>1642</v>
      </c>
      <c r="IU113" s="21"/>
      <c r="IV113" s="21"/>
      <c r="IW113" s="21"/>
      <c r="IX113" s="21"/>
      <c r="IY113" s="21"/>
      <c r="IZ113" s="21"/>
      <c r="JA113" s="21"/>
      <c r="JB113" s="30">
        <v>1</v>
      </c>
      <c r="JC113" s="21" t="s">
        <v>1647</v>
      </c>
      <c r="JD113" s="36">
        <v>3090</v>
      </c>
      <c r="JE113" s="21" t="str">
        <f t="shared" si="492"/>
        <v>PESO ADECUADO EDAD GESTACIONAL</v>
      </c>
      <c r="JF113" s="30"/>
      <c r="JG113" s="21"/>
      <c r="JH113" s="21"/>
      <c r="JI113" s="21" t="s">
        <v>854</v>
      </c>
      <c r="JJ113" s="30" t="s">
        <v>866</v>
      </c>
      <c r="JK113" s="21"/>
      <c r="JL113" s="21"/>
      <c r="JM113" s="21"/>
      <c r="JN113" s="36"/>
      <c r="JO113" s="21" t="str">
        <f t="shared" si="493"/>
        <v/>
      </c>
      <c r="JP113" s="22"/>
      <c r="JQ113" s="21"/>
      <c r="JR113" s="21"/>
      <c r="JS113" s="21"/>
      <c r="JT113" s="30"/>
      <c r="JU113" s="22"/>
      <c r="JV113" s="22"/>
      <c r="JW113" s="33"/>
      <c r="JX113" s="28" t="str">
        <f t="shared" si="494"/>
        <v>INASISTENTE</v>
      </c>
      <c r="JY113" s="33"/>
      <c r="JZ113" s="28" t="str">
        <f t="shared" si="495"/>
        <v>INASISTENTE</v>
      </c>
      <c r="KA113" s="21"/>
      <c r="KB113" s="21"/>
      <c r="KC113" s="21"/>
      <c r="KD113" s="37"/>
      <c r="KE113" s="28"/>
      <c r="KF113" s="28"/>
      <c r="KG113" s="28"/>
      <c r="KH113" s="39"/>
      <c r="KI113" s="39"/>
      <c r="KJ113" s="66"/>
      <c r="KK113" s="39"/>
      <c r="KL113" s="39"/>
      <c r="KM113" s="66"/>
      <c r="KN113" s="39"/>
      <c r="KO113" s="39"/>
      <c r="KP113" s="39"/>
      <c r="KQ113" s="39"/>
      <c r="KR113" s="39"/>
      <c r="KS113" s="39"/>
      <c r="KT113" s="39"/>
      <c r="KU113" s="38"/>
      <c r="KV113" s="38"/>
      <c r="KW113" s="38"/>
      <c r="KX113" s="38"/>
      <c r="KY113" s="38"/>
      <c r="KZ113" s="38"/>
      <c r="LA113" s="38"/>
      <c r="LB113" s="38"/>
      <c r="LC113" s="38"/>
      <c r="LD113" s="38"/>
      <c r="LE113" s="38"/>
      <c r="LF113" s="38"/>
      <c r="LG113" s="38"/>
      <c r="LH113" s="38"/>
      <c r="LI113" s="38"/>
      <c r="LJ113" s="38"/>
      <c r="LK113" s="38"/>
      <c r="LL113" s="38"/>
      <c r="LM113" s="38"/>
      <c r="LN113" s="38"/>
      <c r="LO113" s="38"/>
      <c r="LP113" s="38"/>
      <c r="LQ113" s="38"/>
      <c r="LR113" s="38"/>
      <c r="LS113" s="38"/>
      <c r="LT113" s="38"/>
      <c r="LU113" s="38"/>
      <c r="LV113" s="38"/>
      <c r="LW113" s="38"/>
      <c r="LX113" s="38"/>
      <c r="LY113" s="38"/>
      <c r="LZ113" s="38"/>
      <c r="MA113" s="38"/>
      <c r="MB113" s="38"/>
      <c r="MC113" s="38"/>
      <c r="MD113" s="38"/>
      <c r="ME113" s="38"/>
      <c r="MF113" s="38"/>
      <c r="MG113" s="38"/>
      <c r="MH113" s="43">
        <f t="shared" si="459"/>
        <v>0</v>
      </c>
      <c r="MI113" s="43" t="str">
        <f t="shared" si="460"/>
        <v/>
      </c>
      <c r="MJ113" s="43" t="str">
        <f t="shared" si="461"/>
        <v/>
      </c>
      <c r="MK113" s="43">
        <f t="shared" si="462"/>
        <v>0</v>
      </c>
      <c r="ML11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13" s="43">
        <f t="shared" si="463"/>
        <v>16.714285714285715</v>
      </c>
      <c r="MN113" s="43">
        <f t="shared" si="464"/>
        <v>2</v>
      </c>
      <c r="MO113" s="43">
        <f t="shared" si="465"/>
        <v>2023</v>
      </c>
      <c r="MP113" s="43" t="str">
        <f t="shared" si="466"/>
        <v>I TRIMESTRE AÑO</v>
      </c>
      <c r="MQ113" s="43">
        <f t="shared" si="467"/>
        <v>25.774748138414367</v>
      </c>
      <c r="MR113" s="43">
        <f t="shared" si="468"/>
        <v>0</v>
      </c>
      <c r="MS113" s="43" t="str">
        <f t="shared" si="469"/>
        <v xml:space="preserve"> DE 25 A 29 AÑOS</v>
      </c>
      <c r="MT113" s="43">
        <f t="shared" si="470"/>
        <v>0</v>
      </c>
      <c r="MU113" s="43">
        <f t="shared" si="471"/>
        <v>0</v>
      </c>
      <c r="MV113" s="43">
        <f t="shared" si="472"/>
        <v>0</v>
      </c>
      <c r="MW113" s="43">
        <f t="shared" si="473"/>
        <v>0</v>
      </c>
      <c r="MX113" s="43" t="str">
        <f t="shared" si="474"/>
        <v/>
      </c>
      <c r="MY113" s="43" t="str">
        <f t="shared" ca="1" si="496"/>
        <v/>
      </c>
      <c r="MZ113" s="43" t="str">
        <f t="shared" si="475"/>
        <v/>
      </c>
      <c r="NA113" s="43" t="str">
        <f t="shared" si="476"/>
        <v/>
      </c>
      <c r="NB113" s="43" t="str">
        <f t="shared" si="477"/>
        <v/>
      </c>
      <c r="NC113" s="43" t="str">
        <f t="shared" si="478"/>
        <v/>
      </c>
      <c r="ND113" s="43">
        <f t="shared" ca="1" si="479"/>
        <v>0</v>
      </c>
      <c r="NE113" s="43">
        <f>IF(OR(O113&gt;0,R113&gt;0),SUM(COUNTIF(Tabla1[[#This Row],[AÑOS AL INICIO5 CPN]],"&gt;=40"),COUNTIF(AS113,"0"),COUNTIF(AR113,"SI"),COUNTIF(CC113,"SI"),COUNTIF(BQ113,"&gt;119"),COUNTIF(CI113,"&gt;=35")),"")</f>
        <v>0</v>
      </c>
      <c r="NF113" s="43" t="str">
        <f t="shared" si="480"/>
        <v/>
      </c>
      <c r="NG113" s="43">
        <f t="shared" si="481"/>
        <v>0</v>
      </c>
      <c r="NH113" s="43">
        <f t="shared" si="482"/>
        <v>137.20000000000002</v>
      </c>
      <c r="NI113"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CPN",P113="NO"),"Z",IF(AND(Tabla1[[#This Row],[CITA PROXIMO CONTROL]]="CITA MANUAL",Tabla1[[#This Row],[GESTANTES ACTUALES]]="ACTIVA INGRESO A CPN"),"W",IF(AND(Tabla1[[#This Row],[GESTANTES ACTUALES]]="SALIO PROGRAMA",IN113=""),"S",IF(AND(Tabla1[[#This Row],[CITA PROXIMO CONTROL]]&gt;0,IN113=""),(Tabla1[[#This Row],[CITA PROXIMO CONTROL]]-TODAY()),"SD"))))))))</f>
        <v>SD</v>
      </c>
      <c r="NJ113" s="43">
        <f>MONTH(Tabla1[[#This Row],[FECHA DE SALIDA  DEL PROGRAMA]])</f>
        <v>7</v>
      </c>
      <c r="NK113" s="43">
        <f>YEAR(Tabla1[[#This Row],[FECHA DE SALIDA  DEL PROGRAMA]])</f>
        <v>2023</v>
      </c>
      <c r="NL113" s="43">
        <f t="shared" si="483"/>
        <v>22</v>
      </c>
      <c r="NM113" s="43" t="str">
        <f t="shared" si="456"/>
        <v>NO</v>
      </c>
      <c r="NN113" s="43" t="str">
        <f ca="1">IF(AND(O113&gt;0,R113=""),"NO CPN",IF(AND(O113="",R113=""),"",IF(AND(R113&gt;0,Tabla1[[#This Row],[SEMANAS DE GESTACION ACTUALIZADAS]]&lt;=12),"NO APLICA",IF(AND(FH113&lt;&gt;"",FN113&lt;&gt;""),"SI","NO"))))</f>
        <v>SI</v>
      </c>
      <c r="NO113" s="43" t="str">
        <f ca="1">IF(AND(O113&gt;0,R113=""),"NO CPN",IF(AND(O113="",R113=""),"",IF(AND(R113&gt;0,Tabla1[[#This Row],[SEMANAS DE GESTACION ACTUALIZADAS]]&lt;=27),"NO APLICA",IF(AND(ES113&lt;&gt;"",FQ113&lt;&gt;"",GF113&lt;&gt;""),"SI","NO"))))</f>
        <v>NO</v>
      </c>
      <c r="NP113" s="204" t="str">
        <f t="shared" si="484"/>
        <v>II TRIM</v>
      </c>
      <c r="NQ113" s="21" t="str">
        <f t="shared" si="437"/>
        <v/>
      </c>
      <c r="NR113" s="21">
        <f t="shared" si="497"/>
        <v>2</v>
      </c>
      <c r="NS113" s="205">
        <f t="shared" ca="1" si="485"/>
        <v>1</v>
      </c>
      <c r="NT113" s="21">
        <f t="shared" ca="1" si="486"/>
        <v>2</v>
      </c>
      <c r="NU113" s="21" t="str">
        <f t="shared" ca="1" si="487"/>
        <v>INCOMPLETO</v>
      </c>
      <c r="NV113" s="21" t="str">
        <f t="shared" ca="1" si="488"/>
        <v>COMPLETO</v>
      </c>
      <c r="NW113" s="206" t="str">
        <f>IF(AND(O113="",R113=""),"",IF(OR(AND(Tabla1[[#This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13" s="207" t="str">
        <f t="shared" ca="1" si="489"/>
        <v>SIN VACUNAR</v>
      </c>
      <c r="NY113" s="43">
        <f>ROW(Tabla1[[#This Row],['# DE TAMIZAJES SIFILIS TOMADOS ]])</f>
        <v>113</v>
      </c>
      <c r="NZ113" s="43">
        <f t="shared" si="334"/>
        <v>16</v>
      </c>
      <c r="OA113" s="43" t="str">
        <f t="shared" si="335"/>
        <v/>
      </c>
      <c r="OB113" s="43" t="str">
        <f t="shared" si="336"/>
        <v/>
      </c>
      <c r="OC113" s="43" t="str">
        <f t="shared" si="337"/>
        <v/>
      </c>
      <c r="OD113" s="43" t="str">
        <f t="shared" si="338"/>
        <v/>
      </c>
      <c r="OE113" s="43" t="str">
        <f t="shared" si="339"/>
        <v/>
      </c>
      <c r="OF113" s="43" t="str">
        <f t="shared" si="340"/>
        <v/>
      </c>
      <c r="OG113" s="43" t="str">
        <f t="shared" si="341"/>
        <v/>
      </c>
      <c r="OH113" s="43" t="str">
        <f t="shared" si="342"/>
        <v>NORMAL</v>
      </c>
      <c r="OI113" s="43" t="str">
        <f t="shared" si="343"/>
        <v/>
      </c>
      <c r="OJ113" s="43" t="str">
        <f t="shared" si="344"/>
        <v/>
      </c>
      <c r="OK113" s="43" t="str">
        <f t="shared" si="345"/>
        <v/>
      </c>
      <c r="OL113" s="43" t="str">
        <f t="shared" si="346"/>
        <v/>
      </c>
      <c r="OM113" s="43" t="str">
        <f t="shared" si="347"/>
        <v/>
      </c>
      <c r="ON113" s="43" t="str">
        <f t="shared" si="348"/>
        <v/>
      </c>
      <c r="OO113" s="43" t="str">
        <f t="shared" si="349"/>
        <v/>
      </c>
      <c r="OP113" s="43" t="str">
        <f t="shared" si="350"/>
        <v/>
      </c>
      <c r="OQ113" s="43" t="str">
        <f t="shared" si="351"/>
        <v/>
      </c>
      <c r="OR113" s="43" t="str">
        <f t="shared" si="352"/>
        <v/>
      </c>
      <c r="OS113" s="43" t="str">
        <f t="shared" si="353"/>
        <v/>
      </c>
      <c r="OT113" s="43" t="str">
        <f t="shared" si="354"/>
        <v/>
      </c>
      <c r="OU113" s="43" t="str">
        <f t="shared" si="355"/>
        <v/>
      </c>
      <c r="OV113" s="110" t="str">
        <f t="shared" si="356"/>
        <v/>
      </c>
      <c r="OW113" s="43" t="str">
        <f t="shared" si="357"/>
        <v/>
      </c>
      <c r="OX113" s="43" t="str">
        <f t="shared" si="358"/>
        <v/>
      </c>
      <c r="OY113" s="43" t="str">
        <f t="shared" si="359"/>
        <v/>
      </c>
      <c r="OZ113" s="43" t="str">
        <f t="shared" si="360"/>
        <v/>
      </c>
      <c r="PA113" s="43" t="str">
        <f t="shared" si="361"/>
        <v/>
      </c>
      <c r="PB113" s="43" t="str">
        <f t="shared" si="362"/>
        <v/>
      </c>
      <c r="PC113" s="43" t="str">
        <f t="shared" si="363"/>
        <v/>
      </c>
      <c r="PD113" s="43" t="str">
        <f t="shared" si="364"/>
        <v/>
      </c>
      <c r="PE113" s="43" t="str">
        <f t="shared" si="365"/>
        <v/>
      </c>
      <c r="PF113" s="43" t="str">
        <f t="shared" si="366"/>
        <v/>
      </c>
      <c r="PG113" s="43" t="str">
        <f t="shared" si="367"/>
        <v/>
      </c>
      <c r="PH113" s="43" t="str">
        <f t="shared" si="368"/>
        <v/>
      </c>
      <c r="PI113" s="43">
        <f t="shared" si="369"/>
        <v>35</v>
      </c>
      <c r="PJ113" s="43" t="str">
        <f t="shared" si="370"/>
        <v/>
      </c>
      <c r="PK113" s="43" t="str">
        <f t="shared" si="371"/>
        <v/>
      </c>
      <c r="PL113" s="43" t="str">
        <f t="shared" si="372"/>
        <v/>
      </c>
      <c r="PM113" s="43" t="str">
        <f t="shared" si="373"/>
        <v/>
      </c>
      <c r="PN113" s="43" t="str">
        <f t="shared" si="374"/>
        <v/>
      </c>
      <c r="PO113" s="43" t="str">
        <f t="shared" si="375"/>
        <v/>
      </c>
      <c r="PP113" s="43" t="str">
        <f t="shared" si="376"/>
        <v/>
      </c>
      <c r="PQ113" s="43" t="str">
        <f t="shared" si="377"/>
        <v/>
      </c>
      <c r="PR113" s="43" t="str">
        <f t="shared" si="378"/>
        <v/>
      </c>
      <c r="PS113" s="43" t="str">
        <f t="shared" si="379"/>
        <v/>
      </c>
      <c r="PT113" s="43" t="str">
        <f t="shared" si="380"/>
        <v/>
      </c>
      <c r="PU113" s="43" t="str">
        <f t="shared" si="381"/>
        <v/>
      </c>
      <c r="PV113" s="43" t="str">
        <f t="shared" si="382"/>
        <v/>
      </c>
      <c r="PW113" s="43" t="str">
        <f t="shared" si="383"/>
        <v/>
      </c>
      <c r="PX113" s="43" t="str">
        <f t="shared" si="384"/>
        <v/>
      </c>
      <c r="PY113" s="43" t="str">
        <f t="shared" si="385"/>
        <v/>
      </c>
      <c r="PZ113" s="43" t="str">
        <f t="shared" si="386"/>
        <v/>
      </c>
      <c r="QA113" s="43" t="str">
        <f t="shared" si="387"/>
        <v/>
      </c>
      <c r="QB113" s="43" t="str">
        <f t="shared" si="388"/>
        <v/>
      </c>
      <c r="QC113" s="43" t="str">
        <f t="shared" si="389"/>
        <v/>
      </c>
      <c r="QD113" s="43" t="str">
        <f t="shared" si="390"/>
        <v/>
      </c>
      <c r="QE113" s="43" t="str">
        <f t="shared" si="391"/>
        <v/>
      </c>
      <c r="QF113" s="43" t="str">
        <f t="shared" si="392"/>
        <v/>
      </c>
      <c r="QG113" s="43" t="str">
        <f t="shared" si="393"/>
        <v/>
      </c>
      <c r="QH113" s="43" t="str">
        <f t="shared" si="394"/>
        <v/>
      </c>
      <c r="QI113" s="43" t="str">
        <f t="shared" si="395"/>
        <v/>
      </c>
      <c r="QJ113" s="43" t="str">
        <f t="shared" si="396"/>
        <v>NORMAL</v>
      </c>
      <c r="QK113" s="43" t="str">
        <f t="shared" si="397"/>
        <v/>
      </c>
      <c r="QL113" s="43" t="str">
        <f t="shared" si="398"/>
        <v/>
      </c>
      <c r="QM113" s="43" t="str">
        <f t="shared" si="399"/>
        <v/>
      </c>
      <c r="QN113" s="43" t="str">
        <f t="shared" si="400"/>
        <v/>
      </c>
      <c r="QO113" s="43" t="str">
        <f t="shared" si="401"/>
        <v/>
      </c>
      <c r="QP113" s="43" t="str">
        <f t="shared" si="402"/>
        <v/>
      </c>
      <c r="QQ113" s="43" t="str">
        <f t="shared" si="403"/>
        <v/>
      </c>
      <c r="QR113" s="43">
        <f t="shared" si="433"/>
        <v>35</v>
      </c>
      <c r="QS113" s="43"/>
      <c r="QT113" s="21" t="str">
        <f t="shared" si="404"/>
        <v/>
      </c>
      <c r="QU113" s="21" t="str">
        <f t="shared" si="405"/>
        <v/>
      </c>
      <c r="QV113" s="21" t="str">
        <f t="shared" si="406"/>
        <v/>
      </c>
      <c r="QW113" s="21" t="str">
        <f t="shared" si="407"/>
        <v/>
      </c>
      <c r="QX113" s="21" t="str">
        <f t="shared" si="408"/>
        <v/>
      </c>
      <c r="QY113" s="21" t="str">
        <f t="shared" si="409"/>
        <v/>
      </c>
      <c r="QZ113" s="21" t="str">
        <f t="shared" si="410"/>
        <v/>
      </c>
      <c r="RA113" s="21" t="str">
        <f t="shared" si="411"/>
        <v/>
      </c>
      <c r="RB113" s="21" t="str">
        <f t="shared" si="412"/>
        <v/>
      </c>
      <c r="RC113" s="21" t="str">
        <f t="shared" si="413"/>
        <v/>
      </c>
      <c r="RD113" s="21" t="str">
        <f t="shared" si="414"/>
        <v/>
      </c>
      <c r="RE113" s="21" t="str">
        <f t="shared" si="415"/>
        <v/>
      </c>
      <c r="RF113" s="21" t="str">
        <f t="shared" si="416"/>
        <v/>
      </c>
      <c r="RG113" s="21" t="str">
        <f t="shared" si="417"/>
        <v/>
      </c>
      <c r="RH113" s="21" t="str">
        <f t="shared" si="418"/>
        <v/>
      </c>
      <c r="RI113" s="21" t="str">
        <f t="shared" si="419"/>
        <v/>
      </c>
      <c r="RJ113" s="21" t="str">
        <f t="shared" si="420"/>
        <v/>
      </c>
      <c r="RK113" s="21" t="str">
        <f t="shared" si="421"/>
        <v/>
      </c>
      <c r="RL113" s="21" t="str">
        <f t="shared" si="422"/>
        <v/>
      </c>
      <c r="RM113" s="21" t="str">
        <f t="shared" si="423"/>
        <v/>
      </c>
      <c r="RN113" s="21" t="str">
        <f t="shared" si="424"/>
        <v/>
      </c>
      <c r="RO113" s="21" t="str">
        <f t="shared" si="425"/>
        <v/>
      </c>
      <c r="RP113" s="21" t="str">
        <f t="shared" si="426"/>
        <v>ADECUADO PARA EDAD GESTACIONAL</v>
      </c>
      <c r="RQ113" s="21" t="str">
        <f t="shared" si="427"/>
        <v/>
      </c>
      <c r="RR113" s="21" t="str">
        <f t="shared" si="428"/>
        <v/>
      </c>
      <c r="RS113" s="21" t="str">
        <f t="shared" si="429"/>
        <v/>
      </c>
      <c r="RT113" s="21" t="str">
        <f t="shared" si="430"/>
        <v/>
      </c>
      <c r="RU113" s="21" t="str">
        <f t="shared" si="431"/>
        <v/>
      </c>
      <c r="RV113" s="21">
        <f t="shared" si="432"/>
        <v>20.714285714285715</v>
      </c>
      <c r="RW113" s="284">
        <f>IF(OR(Tabla1[[#This Row],[FUM FORMULA CONFIABLE]]="",Tabla1[[#This Row],[FUM FORMULA CONFIABLE]]="SD"),"",IF(Tabla1[[#This Row],[FUM FORMULA CONFIABLE]]="CORREGIDA",Tabla1[[#This Row],[FUM X ECO 1]],Tabla1[[#This Row],[FUM x AMENORREA]]))</f>
        <v>44863</v>
      </c>
      <c r="RX113" s="21">
        <f>IF(AND(Tabla1[[#This Row],[FUM X ECO 1]]="",Tabla1[[#This Row],[FUM x AMENORREA]]=""),"",IF(AND(Tabla1[[#This Row],[FUM X ECO 1]]="",Tabla1[[#This Row],[FUM x AMENORREA]]&lt;&gt;""),"X",SUM(Tabla1[[#This Row],[FUM X ECO 1]]-Tabla1[[#This Row],[FUM x AMENORREA]])))</f>
        <v>1.8000000000029104</v>
      </c>
      <c r="RY113" s="21">
        <f t="shared" si="434"/>
        <v>0</v>
      </c>
    </row>
    <row r="114" spans="1:493" ht="45" customHeight="1" x14ac:dyDescent="0.25">
      <c r="A114" s="109" t="s">
        <v>1339</v>
      </c>
      <c r="B114" s="43"/>
      <c r="C114" s="43" t="s">
        <v>845</v>
      </c>
      <c r="D114" s="124"/>
      <c r="E114" s="43" t="s">
        <v>874</v>
      </c>
      <c r="F114" s="43" t="s">
        <v>943</v>
      </c>
      <c r="G114" s="43" t="s">
        <v>1340</v>
      </c>
      <c r="H114" s="43"/>
      <c r="I114" s="109" t="s">
        <v>1094</v>
      </c>
      <c r="J114" s="110">
        <v>1059597393</v>
      </c>
      <c r="K114" s="43" t="s">
        <v>852</v>
      </c>
      <c r="L114" s="175" t="s">
        <v>886</v>
      </c>
      <c r="M114" s="22">
        <v>39085</v>
      </c>
      <c r="N114" s="213">
        <f t="shared" ca="1" si="252"/>
        <v>16.841095890410958</v>
      </c>
      <c r="O114" s="22">
        <v>44981</v>
      </c>
      <c r="P114" s="214" t="str">
        <f t="shared" si="438"/>
        <v>SI</v>
      </c>
      <c r="Q114" s="26" t="s">
        <v>855</v>
      </c>
      <c r="R114" s="22">
        <v>44981</v>
      </c>
      <c r="S114" s="21" t="s">
        <v>856</v>
      </c>
      <c r="T114" s="24" t="s">
        <v>690</v>
      </c>
      <c r="U114" s="21" t="s">
        <v>857</v>
      </c>
      <c r="V114" s="21" t="s">
        <v>858</v>
      </c>
      <c r="W114" s="21" t="s">
        <v>1341</v>
      </c>
      <c r="X114" s="21" t="s">
        <v>1341</v>
      </c>
      <c r="Y114" s="21" t="s">
        <v>859</v>
      </c>
      <c r="Z114" s="21">
        <v>3205101328</v>
      </c>
      <c r="AA114" s="21" t="s">
        <v>860</v>
      </c>
      <c r="AB114" s="27" t="s">
        <v>861</v>
      </c>
      <c r="AC114" s="26" t="s">
        <v>862</v>
      </c>
      <c r="AD114" s="38" t="s">
        <v>1546</v>
      </c>
      <c r="AE114" s="26" t="s">
        <v>854</v>
      </c>
      <c r="AF114" s="26" t="s">
        <v>854</v>
      </c>
      <c r="AG114" s="23" t="s">
        <v>864</v>
      </c>
      <c r="AH114" s="23" t="s">
        <v>864</v>
      </c>
      <c r="AI114" s="24" t="s">
        <v>863</v>
      </c>
      <c r="AJ114" s="23" t="s">
        <v>864</v>
      </c>
      <c r="AK114" s="220" t="str">
        <f>IF(AND(AD114="",AE114="",AF114="",AG114="",AH114="",AI114="",AJ114=""),"",IF(OR(Tabla1[[#This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EVALUACIÓN",IF(AND(O114="",R114=""),"",IF(AND(OR(O114&gt;0,R114&gt;0),NG114&gt;=0,NG114&lt;2),"SIN RIESGO",IF(AND(OR(O114&gt;0,R114&gt;0),NG114&gt;=2),"CON RIESGO","ASD")))))</f>
        <v>SIN RIESGO</v>
      </c>
      <c r="AL114" s="23" t="s">
        <v>864</v>
      </c>
      <c r="AM114" s="26" t="s">
        <v>864</v>
      </c>
      <c r="AN114" s="26" t="s">
        <v>864</v>
      </c>
      <c r="AO114" s="26" t="s">
        <v>864</v>
      </c>
      <c r="AP114" s="26" t="s">
        <v>864</v>
      </c>
      <c r="AQ114" s="26" t="s">
        <v>864</v>
      </c>
      <c r="AR114" s="26" t="s">
        <v>864</v>
      </c>
      <c r="AS114" s="21">
        <v>0</v>
      </c>
      <c r="AT114" s="21">
        <v>0</v>
      </c>
      <c r="AU114" s="21">
        <v>0</v>
      </c>
      <c r="AV114" s="26" t="s">
        <v>864</v>
      </c>
      <c r="AW114" s="21">
        <v>0</v>
      </c>
      <c r="AX114" s="26" t="s">
        <v>864</v>
      </c>
      <c r="AY114" s="26" t="s">
        <v>864</v>
      </c>
      <c r="AZ114" s="26" t="s">
        <v>864</v>
      </c>
      <c r="BA114" s="26" t="s">
        <v>864</v>
      </c>
      <c r="BB114" s="26" t="s">
        <v>864</v>
      </c>
      <c r="BC114" s="26" t="s">
        <v>864</v>
      </c>
      <c r="BD114" s="26" t="s">
        <v>864</v>
      </c>
      <c r="BE114" s="26" t="s">
        <v>864</v>
      </c>
      <c r="BF114" s="26" t="s">
        <v>864</v>
      </c>
      <c r="BG114" s="26" t="s">
        <v>864</v>
      </c>
      <c r="BH114" s="26" t="s">
        <v>864</v>
      </c>
      <c r="BI114" s="26" t="s">
        <v>864</v>
      </c>
      <c r="BJ114" s="26" t="s">
        <v>864</v>
      </c>
      <c r="BK114" s="26" t="s">
        <v>864</v>
      </c>
      <c r="BL114" s="26" t="s">
        <v>864</v>
      </c>
      <c r="BM114" s="26" t="s">
        <v>864</v>
      </c>
      <c r="BN114" s="22"/>
      <c r="BO114" s="22">
        <v>44941</v>
      </c>
      <c r="BP114" s="21" t="s">
        <v>854</v>
      </c>
      <c r="BQ114" s="222">
        <f t="shared" si="254"/>
        <v>0</v>
      </c>
      <c r="BR114" s="223">
        <f t="shared" si="255"/>
        <v>44943.199999999997</v>
      </c>
      <c r="BS114" s="224">
        <f t="shared" si="256"/>
        <v>5.7142857142857144</v>
      </c>
      <c r="BT114" s="216" t="str">
        <f t="shared" si="257"/>
        <v>I TRIM</v>
      </c>
      <c r="BU114" s="214">
        <f t="shared" ca="1" si="258"/>
        <v>41.571428571428569</v>
      </c>
      <c r="BV114" s="25"/>
      <c r="BW114" s="22">
        <v>44995</v>
      </c>
      <c r="BX114" s="28">
        <v>7.4</v>
      </c>
      <c r="BY114" s="28"/>
      <c r="BZ114" s="22">
        <v>45051</v>
      </c>
      <c r="CA114" s="21">
        <v>15</v>
      </c>
      <c r="CB114" s="26" t="s">
        <v>864</v>
      </c>
      <c r="CC114" s="26" t="s">
        <v>864</v>
      </c>
      <c r="CD114" s="26"/>
      <c r="CE114" s="26" t="s">
        <v>864</v>
      </c>
      <c r="CF114" s="22" t="s">
        <v>1517</v>
      </c>
      <c r="CG114" s="21">
        <v>1.56</v>
      </c>
      <c r="CH114" s="21">
        <v>53</v>
      </c>
      <c r="CI114" s="214">
        <f t="shared" si="259"/>
        <v>21.7784352399737</v>
      </c>
      <c r="CJ114" s="225" t="str">
        <f>IF(AND(CI114&lt;10,CH114="SD"),"SIN DATO PESO PREGESTACION O I TRIM",IF(AND(OR(R114&gt;0,O114&gt;0),CI114="X"),"INGRESAR DATO DE PESO",IF(CI114="SD","INGRESAR DATO DE TALLA Y PESO",IF(AND(OR(Tabla1[[#This Row],[MOMENTO EN QUE SE REALIZA EL PESO AL INGRESO A CPN]]="PREGESTACIÓN",NZ114="Menor"),CI114&lt;18.5),"BAJO PESO",IF(AND(OR(Tabla1[[#This Row],[MOMENTO EN QUE SE REALIZA EL PESO AL INGRESO A CPN]]="PREGESTACIÓN",NZ114="Menor"),CI114&lt;25),"NORMAL",IF(AND(OR(Tabla1[[#This Row],[MOMENTO EN QUE SE REALIZA EL PESO AL INGRESO A CPN]]="PREGESTACIÓN",NZ114="Menor"),CI114&lt;30),"SOBREPESO",IF(AND(OR(Tabla1[[#This Row],[MOMENTO EN QUE SE REALIZA EL PESO AL INGRESO A CPN]]="PREGESTACIÓN",NZ114="Menor"),CI114&gt;=30,CI114&lt;50),"OBESIDAD",IF(AND(BS114&gt;0,Tabla1[[#This Row],[MOMENTO EN QUE SE REALIZA EL PESO AL INGRESO A CPN]]="GESTACIÓN"),HLOOKUP(NZ114,$OA$2:PH114,NY114),""))))))))</f>
        <v>NORMAL</v>
      </c>
      <c r="CK114" s="212">
        <f t="shared" si="260"/>
        <v>45164</v>
      </c>
      <c r="CL114" s="21">
        <v>62.2</v>
      </c>
      <c r="CM114" s="214">
        <f t="shared" si="261"/>
        <v>25.558842866535173</v>
      </c>
      <c r="CN114" s="216">
        <f t="shared" si="262"/>
        <v>31</v>
      </c>
      <c r="CO114" s="216" t="e">
        <f>IF(PI114="","",IF(PI114&gt;0,HLOOKUP(PI114,$PJ$2:QQ114,NY114),""))</f>
        <v>#REF!</v>
      </c>
      <c r="CP114" s="21">
        <v>28</v>
      </c>
      <c r="CQ114" s="216" t="e">
        <f>IF(QR114="Menor","NO APLICA-MENOR 13 SEM",IF(AND(CC114="SI",CN114&gt;23),"NO APLICA- GEMELAR",IF(QR114="","",IF(QR114&gt;0,HLOOKUP(QR114,$QS$2:RU114,NY114),""))))</f>
        <v>#REF!</v>
      </c>
      <c r="CR114" s="21">
        <v>90</v>
      </c>
      <c r="CS114" s="21">
        <v>60</v>
      </c>
      <c r="CT114" s="217" t="str">
        <f>IF(R114="","",IF(AND(BS114&gt;1,BS114&lt;12,Tabla1[[#This Row],[T.A. SISTOLICA - ANTES DE SEMANA 12]]="",Tabla1[[#This Row],[T.A. DIASTOLICA - ANTES DE SEMANA 12]]=""),"REGISTRE DATO TA ANTES SEMANA 12",IF(AND(BS114&gt;11,BS114&lt;43,Tabla1[[#This Row],[T.A. SISTOLICA - ANTES DE SEMANA 12]]="",Tabla1[[#This Row],[T.A. DIASTOLICA - ANTES DE SEMANA 12]]=""),"NO APLICA REGISTRO TA-INGRESO TARDIO",IF(AND(OR(O114&gt;0,R114&gt;0),OR(CR114&gt;=140,CS114&gt;=90)),"DEFINIR ESTADIO HTA",IF(AND(OR(O114&gt;0,R114&gt;0),AND(CR114&gt;120,CR114&lt;=139)),"PRE HTA SEGUIMIENTO",IF(AND(OR(O114&gt;0,R114&gt;0),AND(CS114&gt;80,CS114&lt;=89)),"PRE HTA SEGUIMIENTO",IF(AND(OR(O114&gt;0,R114&gt;0),AND(CR114&gt;=80,CR114&lt;=120)),"APARENTEMENTE NORMAL",IF(AND(OR(O114&gt;0,R114&gt;0),AND(CS114&gt;=50,CS114&lt;=80)),"APARENTEMENTE NORMAL",IF(AND(OR(O114&gt;0,R114&gt;0),AND(CR114&gt;1,CR114&lt;=70),AND(CS114&gt;1,CS114&lt;=40)),"HIPOTENSIÓN","")))))))))</f>
        <v>APARENTEMENTE NORMAL</v>
      </c>
      <c r="CU114" s="21"/>
      <c r="CV114" s="21"/>
      <c r="CW114" s="217" t="str">
        <f ca="1">IF(R114="","",IF(AND(CN114&gt;19,CN114&lt;27,Tabla1[[#This Row],[T.A. SISTOLICA (Entre semana 20 y 26)]]="",Tabla1[[#This Row],[T.A. DIATOLICA (Entre semana 20 y 26)]]=""),"ACUDE A CONTROL SEM 20 A 26 REGISTRE TA AHORA",IF(AND(BS114&gt;1,BS114&lt;27,BU114&gt;19,Tabla1[[#This Row],[T.A. SISTOLICA (Entre semana 20 y 26)]]="",Tabla1[[#This Row],[T.A. DIATOLICA (Entre semana 20 y 26)]]=""),"COMPLETE REGISTRO TA CONTROL SEM 20 A26 ",IF(AND(BS114&gt;26,BS114&lt;43,Tabla1[[#This Row],[T.A. SISTOLICA (Entre semana 20 y 26)]]="",Tabla1[[#This Row],[T.A. DIATOLICA (Entre semana 20 y 26)]]=""),"NO APLICA REGISTRO TA-INGRESO TARDIO",IF(AND(OR(O114&gt;0,R114&gt;0),OR(CU114&gt;=140,CV114&gt;=90)),"ALTO RIESGO PREECLAMPSIA,DEFINIR ESTADIO HTA",IF(AND(OR(O114&gt;0,R114&gt;0),AND(CU114&gt;120,CU114&lt;=139)),"PRE HTA SEGUIMIENTO,RIESGO HIPERTENSION INDUCIDA POR EL EMBARAZO",IF(AND(OR(O114&gt;0,R114&gt;0),AND(CV114&gt;80,CV114&lt;=89)),"PRE HTA SEGUIMIENTO, RIESGO HIPERTENSION INDUCIDA POR EL EMBARAZO",IF(AND(OR(O114&lt;&gt;"",R114&lt;&gt;""),CS114&lt;&gt;"",CV114&lt;&gt;"",CS114&lt;=CV114),"VIGILAR CIFRAS PRESION ARTERIAL",IF(AND(OR(O114&gt;0,R114&gt;0),AND(CU114&gt;120,CU114&lt;=139)),"PRE HTA SEGUIMIENTO",IF(AND(OR(O114&gt;0,R114&gt;0),AND(CU114&gt;1,CU114&lt;=70),AND(CV114&gt;1,CV114&lt;=40)),"HIPOTENSIÓN",IF(AND(OR(O114&lt;&gt;"",R114&lt;&gt;""),CS114&lt;&gt;"",CV114&lt;&gt;"",CS114&gt;CV114),"APARENTEMENTE NORMAL",IF(AND(OR(O114&gt;0,R114&gt;0),AND(CU114&gt;=80,CU114&lt;=120)),"APARENTEMENTE NORMAL",IF(AND(OR(O114&gt;0,R114&gt;0),AND(CV114&gt;=50,CV114&lt;=80)),"APARENTEMENTE NORMAL","")))))))))))))</f>
        <v xml:space="preserve">COMPLETE REGISTRO TA CONTROL SEM 20 A26 </v>
      </c>
      <c r="CX114" s="21">
        <v>90</v>
      </c>
      <c r="CY114" s="21">
        <v>60</v>
      </c>
      <c r="CZ114" s="216" t="str">
        <f t="shared" si="457"/>
        <v>APARENTEMENTE NORMAL</v>
      </c>
      <c r="DA114" s="21">
        <v>90</v>
      </c>
      <c r="DB114" s="21">
        <v>60</v>
      </c>
      <c r="DC114" s="217" t="str">
        <f t="shared" si="264"/>
        <v>APARENTEMENTE NORMAL</v>
      </c>
      <c r="DD114" s="22">
        <v>44981</v>
      </c>
      <c r="DE114" s="22">
        <v>44981</v>
      </c>
      <c r="DF114" s="22">
        <v>45014</v>
      </c>
      <c r="DG114" s="22">
        <v>45045</v>
      </c>
      <c r="DH114" s="22">
        <v>45068</v>
      </c>
      <c r="DI114" s="22">
        <v>45101</v>
      </c>
      <c r="DJ114" s="22">
        <v>45129</v>
      </c>
      <c r="DK114" s="22">
        <v>45164</v>
      </c>
      <c r="DL114" s="22"/>
      <c r="DM114" s="22"/>
      <c r="DN114" s="22"/>
      <c r="DO114" s="22"/>
      <c r="DP114" s="22"/>
      <c r="DQ114" s="22"/>
      <c r="DR114" s="28">
        <v>2</v>
      </c>
      <c r="DS114" s="22"/>
      <c r="DT114" s="22"/>
      <c r="DU114" s="216" t="str">
        <f t="shared" ca="1" si="439"/>
        <v>CONCERTAR PLAN DE PARTO INMEDIATO</v>
      </c>
      <c r="DV114" s="226" t="str">
        <f t="shared" si="440"/>
        <v>ACTIVA INGRESO A CPN</v>
      </c>
      <c r="DW11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14" s="216" t="e">
        <f t="shared" ca="1" si="266"/>
        <v>#REF!</v>
      </c>
      <c r="DY114" s="212">
        <f>IF(R114="","",IF(R114&gt;0,MAX(Tabla1[[#This Row],[FECHA C2]:[FECHA C13]],Tabla1[[#This Row],[FECHA CONSULTA PRIMERA VEZ PROGRAMA CPN ]])))</f>
        <v>45164</v>
      </c>
      <c r="DZ114" s="216">
        <f t="shared" si="267"/>
        <v>31</v>
      </c>
      <c r="EA114" s="222">
        <f>IF(R114&gt;0,SUM(COUNTA(DF114:DQ114)+COUNTA(Tabla1[[#This Row],[FECHA CONSULTA PRIMERA VEZ PROGRAMA CPN ]])),"")</f>
        <v>7</v>
      </c>
      <c r="EB114" s="222" t="str">
        <f t="shared" si="268"/>
        <v>SI</v>
      </c>
      <c r="EC114" s="214">
        <f t="shared" si="269"/>
        <v>10</v>
      </c>
      <c r="ED114" s="227">
        <f t="shared" si="270"/>
        <v>0.7</v>
      </c>
      <c r="EE114" s="22">
        <v>44981</v>
      </c>
      <c r="EF114" s="22">
        <v>44981</v>
      </c>
      <c r="EG114" s="22">
        <v>44981</v>
      </c>
      <c r="EH114" s="22"/>
      <c r="EI114" s="22">
        <v>44981</v>
      </c>
      <c r="EJ114" s="22"/>
      <c r="EK114" s="22"/>
      <c r="EL114" s="21"/>
      <c r="EM114" s="21">
        <v>14.5</v>
      </c>
      <c r="EN114" s="22">
        <v>44981</v>
      </c>
      <c r="EO114" s="222">
        <f t="shared" si="271"/>
        <v>5.7142857142857144</v>
      </c>
      <c r="EP114" s="214" t="str">
        <f t="shared" si="272"/>
        <v>NO DAR SULFATO FERROSO</v>
      </c>
      <c r="EQ114" s="216" t="str">
        <f t="shared" si="273"/>
        <v>I TRIM</v>
      </c>
      <c r="ER114" s="24"/>
      <c r="ES114" s="22"/>
      <c r="ET114" s="29" t="str">
        <f t="shared" ca="1" si="441"/>
        <v>TOMA DE HEMOGLOBINA TARDÍA</v>
      </c>
      <c r="EU114" s="25" t="str">
        <f t="shared" si="275"/>
        <v/>
      </c>
      <c r="EV114" s="24" t="s">
        <v>1510</v>
      </c>
      <c r="EW114" s="24">
        <v>44981</v>
      </c>
      <c r="EX114" s="22"/>
      <c r="EY114" s="29">
        <f t="shared" si="454"/>
        <v>5.7142857142857144</v>
      </c>
      <c r="EZ114" s="25" t="str">
        <f t="shared" si="455"/>
        <v>SIN RIESGO DE ISOINMUNIZACIÓN</v>
      </c>
      <c r="FA114" s="21"/>
      <c r="FB114" s="22"/>
      <c r="FC114" s="29" t="str">
        <f t="shared" si="276"/>
        <v>TOMAR EXAMEN</v>
      </c>
      <c r="FD114" s="29"/>
      <c r="FE114" s="29"/>
      <c r="FF114" s="29"/>
      <c r="FG114" s="21" t="str">
        <f t="shared" ca="1" si="277"/>
        <v>TOMAR PTOG</v>
      </c>
      <c r="FH114" s="31"/>
      <c r="FI114" s="29" t="str">
        <f t="shared" si="278"/>
        <v>TOMAR EXAMEN</v>
      </c>
      <c r="FJ114" s="22" t="s">
        <v>867</v>
      </c>
      <c r="FK114" s="22">
        <v>44981</v>
      </c>
      <c r="FL114" s="29">
        <f t="shared" ca="1" si="279"/>
        <v>5.7142857142857144</v>
      </c>
      <c r="FM114" s="22"/>
      <c r="FN114" s="32"/>
      <c r="FO114" s="29" t="str">
        <f t="shared" ca="1" si="442"/>
        <v>PIERDE TOMA DE TAMIZAJE</v>
      </c>
      <c r="FP114" s="22"/>
      <c r="FQ114" s="32"/>
      <c r="FR114" s="29" t="str">
        <f t="shared" ca="1" si="443"/>
        <v>TOMA INMEDIATA DE TAMIZAJE</v>
      </c>
      <c r="FS114" s="22"/>
      <c r="FT114" s="32"/>
      <c r="FU114" s="29" t="str">
        <f>IF(AND(FJ114="",FM114="",FP114="",FS114=""),"",IF(OR(OR(Tabla1[[#This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14" s="28"/>
      <c r="FW114" s="22"/>
      <c r="FX114" s="29" t="str">
        <f t="shared" si="280"/>
        <v>TOMAR EXAMEN</v>
      </c>
      <c r="FY114" s="22">
        <v>44981</v>
      </c>
      <c r="FZ114" s="22">
        <v>44981</v>
      </c>
      <c r="GA114" s="29">
        <f t="shared" ca="1" si="453"/>
        <v>5.7142857142857144</v>
      </c>
      <c r="GB114" s="22"/>
      <c r="GC114" s="22"/>
      <c r="GD114" s="29" t="str">
        <f t="shared" ca="1" si="491"/>
        <v>PIERDE TOMA DE TAMIZAJE</v>
      </c>
      <c r="GE114" s="22"/>
      <c r="GF114" s="22"/>
      <c r="GG114" s="29" t="str">
        <f t="shared" ca="1" si="445"/>
        <v>TOMA INMEDIATA DE TAMIZAJE</v>
      </c>
      <c r="GH114" s="22"/>
      <c r="GI114" s="29"/>
      <c r="GJ114" s="22"/>
      <c r="GK114" s="22"/>
      <c r="GL114" s="22"/>
      <c r="GM114" s="22"/>
      <c r="GN114" s="28" t="s">
        <v>869</v>
      </c>
      <c r="GO114" s="22">
        <v>44981</v>
      </c>
      <c r="GP114" s="29">
        <f t="shared" si="283"/>
        <v>5.7142857142857144</v>
      </c>
      <c r="GQ114" s="28" t="s">
        <v>869</v>
      </c>
      <c r="GR114" s="28" t="s">
        <v>869</v>
      </c>
      <c r="GS114" s="22" t="str">
        <f t="shared" si="458"/>
        <v>CONTROL Igm</v>
      </c>
      <c r="GT114" s="22">
        <v>44981</v>
      </c>
      <c r="GU114" s="29">
        <f t="shared" si="285"/>
        <v>5.7142857142857144</v>
      </c>
      <c r="GV114" s="21" t="str">
        <f t="shared" si="286"/>
        <v>I TRIM</v>
      </c>
      <c r="GW114" s="28" t="s">
        <v>869</v>
      </c>
      <c r="GX114" s="30"/>
      <c r="GY114" s="21"/>
      <c r="GZ114" s="21"/>
      <c r="HA114" s="21"/>
      <c r="HB114" s="21"/>
      <c r="HC114" s="21"/>
      <c r="HD114" s="21"/>
      <c r="HE114" s="21"/>
      <c r="HF114" s="22"/>
      <c r="HG114" s="22" t="str">
        <f>IF(OR(O114&gt;0,R114&gt;0),CONCATENATE(IF(Tabla1[[#This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14" s="22" t="e">
        <f t="shared" si="287"/>
        <v>#REF!</v>
      </c>
      <c r="HI114" s="22" t="e">
        <f t="shared" ca="1" si="288"/>
        <v>#REF!</v>
      </c>
      <c r="HJ114" s="21" t="str">
        <f t="shared" ca="1" si="289"/>
        <v>**********************MULTIPARIDAD**RIESGO POR EDAD***EMBARAZO PROLONGADO************</v>
      </c>
      <c r="HK114" s="21" t="str">
        <f t="shared" si="290"/>
        <v>SIN ANTECEDENTES DE RIESGO</v>
      </c>
      <c r="HL114" s="24" t="str">
        <f t="shared" si="291"/>
        <v>APARENTEMENTE NORMAL</v>
      </c>
      <c r="HM114" s="21" t="e">
        <f t="shared" ca="1" si="292"/>
        <v>#REF!</v>
      </c>
      <c r="HN114" s="30" t="str">
        <f t="shared" si="446"/>
        <v>ACTIVA INGRESO A CPN</v>
      </c>
      <c r="HO114" s="21"/>
      <c r="HP114" s="21"/>
      <c r="HQ114" s="349">
        <v>44981</v>
      </c>
      <c r="HR114" s="21" t="str">
        <f>IF(R114="","",IF(Tabla1[[#This Row],[ALARMA FACTORES DE RIESGO COMPLICACIONES HIPERTENSIVAS3]]="SIN ANTECEDENTES DE RIESGO","No Aplica para suministro de ASA",IF(AND(Tabla1[[#This Row],[FECHA INICIO DE SUMINISTRO DE ASA]]&gt;0,RV114&lt;12),"Inicia ASA ANTES de Sem 12",IF(AND(RV114&gt;11,RV114&lt;17,OR(HK114="RIESGO ALTO DE COMPLICACIONES HIPERTENSIVAS VER MANEJO GUIA SUMINISTRO ASA Y CALCIO",HK114="RIESGO MODERADO (2 O MAS CRITERIOS) VER MANEJO GUIA SUMINISTRO ASA Y CALCIO")),"Inicio oportuno de ASA",IF(AND(RV114&gt;12,OR(HK114="RIESGO ALTO DE COMPLICACIONES HIPERTENSIVAS VER MANEJO GUIA SUMINISTRO ASA Y CALCIO",HK114="RIESGO MODERADO (2 O MAS CRITERIOS) VER MANEJO GUIA SUMINISTRO ASA Y CALCIO")),"Inicio no oportuno mayor a 16 semanas",IF(AND(BU114&lt;12,OR(HK114="RIESGO ALTO DE COMPLICACIONES HIPERTENSIVAS VER MANEJO GUIA SUMINISTRO ASA Y CALCIO",HK114="RIESGO MODERADO (2 O MAS CRITERIOS) VER MANEJO GUIA SUMINISTRO ASA Y CALCIO")),"Pendiente Inicio de ASA a la semana 12",IF(AND(BU114&gt;11,BU114&lt;17,OR(HK114="RIESGO ALTO DE COMPLICACIONES HIPERTENSIVAS VER MANEJO GUIA SUMINISTRO ASA Y CALCIO",HK114="RIESGO MODERADO (2 O MAS CRITERIOS) VER MANEJO GUIA SUMINISTRO ASA Y CALCIO")),"Iniciar de inmediato ASA",IF(AND(BU114&gt;16,OR(HK114="RIESGO ALTO DE COMPLICACIONES HIPERTENSIVAS VER MANEJO GUIA SUMINISTRO ASA Y CALCIO",HK114="RIESGO MODERADO (2 O MAS CRITERIOS) VER MANEJO GUIA SUMINISTRO ASA Y CALCIO")),"Pierde Oportunidad, Inicio tardío de ASA","XXXXX"))))))))</f>
        <v>No Aplica para suministro de ASA</v>
      </c>
      <c r="HS114" s="22">
        <v>44981</v>
      </c>
      <c r="HT114" s="22" t="s">
        <v>870</v>
      </c>
      <c r="HU114" s="22">
        <v>44981</v>
      </c>
      <c r="HV114" s="22" t="s">
        <v>870</v>
      </c>
      <c r="HW114" s="22">
        <v>44981</v>
      </c>
      <c r="HX114" s="22" t="s">
        <v>870</v>
      </c>
      <c r="HY114" s="22">
        <v>44981</v>
      </c>
      <c r="HZ114" s="28">
        <f t="shared" si="293"/>
        <v>5.7142857142857144</v>
      </c>
      <c r="IA114" s="26"/>
      <c r="IB114" s="26"/>
      <c r="IC114" s="111"/>
      <c r="ID114" s="22"/>
      <c r="IE114" s="22" t="str">
        <f t="shared" ca="1" si="294"/>
        <v>INASISTENTE</v>
      </c>
      <c r="IF114" s="22"/>
      <c r="IG114" s="22">
        <f t="shared" si="295"/>
        <v>45221</v>
      </c>
      <c r="IH114" s="29">
        <f t="shared" ca="1" si="296"/>
        <v>-11</v>
      </c>
      <c r="II114" s="22" t="str">
        <f t="shared" ca="1" si="297"/>
        <v>POSIBLEMENTE NACIO</v>
      </c>
      <c r="IJ114" s="22"/>
      <c r="IK114" s="21"/>
      <c r="IL114" s="21"/>
      <c r="IM114" s="34"/>
      <c r="IN114" s="22"/>
      <c r="IO114" s="21"/>
      <c r="IP114" s="29" t="str">
        <f t="shared" si="490"/>
        <v/>
      </c>
      <c r="IQ114" s="110"/>
      <c r="IR114" s="21"/>
      <c r="IS114" s="21"/>
      <c r="IT114" s="21"/>
      <c r="IU114" s="21"/>
      <c r="IV114" s="21"/>
      <c r="IW114" s="21"/>
      <c r="IX114" s="21"/>
      <c r="IY114" s="21"/>
      <c r="IZ114" s="21"/>
      <c r="JA114" s="21"/>
      <c r="JB114" s="30"/>
      <c r="JC114" s="21"/>
      <c r="JD114" s="36"/>
      <c r="JE114" s="21" t="str">
        <f t="shared" si="492"/>
        <v/>
      </c>
      <c r="JF114" s="30"/>
      <c r="JG114" s="21"/>
      <c r="JH114" s="21"/>
      <c r="JI114" s="21"/>
      <c r="JJ114" s="30"/>
      <c r="JK114" s="22"/>
      <c r="JL114" s="22"/>
      <c r="JM114" s="21"/>
      <c r="JN114" s="36"/>
      <c r="JO114" s="21" t="str">
        <f t="shared" si="493"/>
        <v/>
      </c>
      <c r="JP114" s="22"/>
      <c r="JQ114" s="21"/>
      <c r="JR114" s="21"/>
      <c r="JS114" s="21"/>
      <c r="JT114" s="30"/>
      <c r="JU114" s="22"/>
      <c r="JV114" s="22"/>
      <c r="JW114" s="33"/>
      <c r="JX114" s="28" t="str">
        <f t="shared" si="494"/>
        <v/>
      </c>
      <c r="JY114" s="33"/>
      <c r="JZ114" s="28" t="str">
        <f t="shared" si="495"/>
        <v/>
      </c>
      <c r="KA114" s="21"/>
      <c r="KB114" s="21"/>
      <c r="KC114" s="21"/>
      <c r="KD114" s="37"/>
      <c r="KE114" s="28"/>
      <c r="KF114" s="28"/>
      <c r="KG114" s="28"/>
      <c r="KH114" s="39"/>
      <c r="KI114" s="39"/>
      <c r="KJ114" s="66"/>
      <c r="KK114" s="39"/>
      <c r="KL114" s="39"/>
      <c r="KM114" s="66"/>
      <c r="KN114" s="39"/>
      <c r="KO114" s="39"/>
      <c r="KP114" s="39"/>
      <c r="KQ114" s="39"/>
      <c r="KR114" s="39"/>
      <c r="KS114" s="39"/>
      <c r="KT114" s="39"/>
      <c r="KU114" s="38"/>
      <c r="KV114" s="38"/>
      <c r="KW114" s="38"/>
      <c r="KX114" s="38"/>
      <c r="KY114" s="38"/>
      <c r="KZ114" s="38"/>
      <c r="LA114" s="38"/>
      <c r="LB114" s="38"/>
      <c r="LC114" s="38"/>
      <c r="LD114" s="38"/>
      <c r="LE114" s="38"/>
      <c r="LF114" s="38"/>
      <c r="LG114" s="38"/>
      <c r="LH114" s="38"/>
      <c r="LI114" s="38"/>
      <c r="LJ114" s="38"/>
      <c r="LK114" s="38"/>
      <c r="LL114" s="38"/>
      <c r="LM114" s="38"/>
      <c r="LN114" s="38"/>
      <c r="LO114" s="38"/>
      <c r="LP114" s="38"/>
      <c r="LQ114" s="38"/>
      <c r="LR114" s="38"/>
      <c r="LS114" s="38"/>
      <c r="LT114" s="38"/>
      <c r="LU114" s="38"/>
      <c r="LV114" s="38"/>
      <c r="LW114" s="38"/>
      <c r="LX114" s="38"/>
      <c r="LY114" s="38"/>
      <c r="LZ114" s="38"/>
      <c r="MA114" s="38"/>
      <c r="MB114" s="38"/>
      <c r="MC114" s="38"/>
      <c r="MD114" s="38"/>
      <c r="ME114" s="38"/>
      <c r="MF114" s="38"/>
      <c r="MG114" s="38"/>
      <c r="MH114" s="43">
        <f t="shared" si="459"/>
        <v>0</v>
      </c>
      <c r="MI114" s="43" t="str">
        <f t="shared" si="460"/>
        <v/>
      </c>
      <c r="MJ114" s="43" t="str">
        <f t="shared" si="461"/>
        <v/>
      </c>
      <c r="MK114" s="43">
        <f t="shared" si="462"/>
        <v>0</v>
      </c>
      <c r="ML11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14" s="43">
        <f t="shared" si="463"/>
        <v>5.7142857142857144</v>
      </c>
      <c r="MN114" s="43">
        <f t="shared" si="464"/>
        <v>2</v>
      </c>
      <c r="MO114" s="43">
        <f t="shared" si="465"/>
        <v>2023</v>
      </c>
      <c r="MP114" s="43" t="str">
        <f t="shared" si="466"/>
        <v>I TRIMESTRE AÑO</v>
      </c>
      <c r="MQ114" s="43">
        <f t="shared" si="467"/>
        <v>15.908344283837055</v>
      </c>
      <c r="MR114" s="43">
        <f t="shared" si="468"/>
        <v>1</v>
      </c>
      <c r="MS114" s="43" t="str">
        <f t="shared" si="469"/>
        <v>DE 14 A 19AÑOS</v>
      </c>
      <c r="MT114" s="43">
        <f t="shared" si="470"/>
        <v>0</v>
      </c>
      <c r="MU114" s="43">
        <f t="shared" si="471"/>
        <v>1</v>
      </c>
      <c r="MV114" s="43">
        <f t="shared" si="472"/>
        <v>0</v>
      </c>
      <c r="MW114" s="43">
        <f t="shared" si="473"/>
        <v>0</v>
      </c>
      <c r="MX114" s="43" t="str">
        <f t="shared" si="474"/>
        <v/>
      </c>
      <c r="MY114" s="43">
        <f t="shared" ca="1" si="496"/>
        <v>1</v>
      </c>
      <c r="MZ114" s="43" t="str">
        <f t="shared" si="475"/>
        <v/>
      </c>
      <c r="NA114" s="43" t="str">
        <f t="shared" si="476"/>
        <v/>
      </c>
      <c r="NB114" s="43" t="str">
        <f t="shared" si="477"/>
        <v/>
      </c>
      <c r="NC114" s="43" t="str">
        <f t="shared" si="478"/>
        <v/>
      </c>
      <c r="ND114" s="43">
        <f t="shared" ca="1" si="479"/>
        <v>3</v>
      </c>
      <c r="NE114" s="43">
        <f>IF(OR(O114&gt;0,R114&gt;0),SUM(COUNTIF(Tabla1[[#This Row],[AÑOS AL INICIO5 CPN]],"&gt;=40"),COUNTIF(AS114,"0"),COUNTIF(AR114,"SI"),COUNTIF(CC114,"SI"),COUNTIF(BQ114,"&gt;119"),COUNTIF(CI114,"&gt;=35")),"")</f>
        <v>1</v>
      </c>
      <c r="NF114" s="43" t="str">
        <f t="shared" si="480"/>
        <v/>
      </c>
      <c r="NG114" s="43">
        <f t="shared" si="481"/>
        <v>0</v>
      </c>
      <c r="NH114" s="43">
        <f t="shared" si="482"/>
        <v>51.800000000000004</v>
      </c>
      <c r="NI11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CPN",P114="NO"),"Z",IF(AND(Tabla1[[#This Row],[CITA PROXIMO CONTROL]]="CITA MANUAL",Tabla1[[#This Row],[GESTANTES ACTUALES]]="ACTIVA INGRESO A CPN"),"W",IF(AND(Tabla1[[#This Row],[GESTANTES ACTUALES]]="SALIO PROGRAMA",IN114=""),"S",IF(AND(Tabla1[[#This Row],[CITA PROXIMO CONTROL]]&gt;0,IN114=""),(Tabla1[[#This Row],[CITA PROXIMO CONTROL]]-TODAY()),"SD"))))))))</f>
        <v>#REF!</v>
      </c>
      <c r="NJ114" s="43">
        <f>MONTH(Tabla1[[#This Row],[FECHA DE SALIDA  DEL PROGRAMA]])</f>
        <v>1</v>
      </c>
      <c r="NK114" s="43">
        <f>YEAR(Tabla1[[#This Row],[FECHA DE SALIDA  DEL PROGRAMA]])</f>
        <v>1900</v>
      </c>
      <c r="NL114" s="43" t="str">
        <f t="shared" si="483"/>
        <v>X</v>
      </c>
      <c r="NM114" s="43" t="str">
        <f t="shared" si="456"/>
        <v>NO</v>
      </c>
      <c r="NN114" s="43" t="str">
        <f ca="1">IF(AND(O114&gt;0,R114=""),"NO CPN",IF(AND(O114="",R114=""),"",IF(AND(R114&gt;0,Tabla1[[#This Row],[SEMANAS DE GESTACION ACTUALIZADAS]]&lt;=12),"NO APLICA",IF(AND(FH114&lt;&gt;"",FN114&lt;&gt;""),"SI","NO"))))</f>
        <v>NO</v>
      </c>
      <c r="NO114" s="43" t="str">
        <f ca="1">IF(AND(O114&gt;0,R114=""),"NO CPN",IF(AND(O114="",R114=""),"",IF(AND(R114&gt;0,Tabla1[[#This Row],[SEMANAS DE GESTACION ACTUALIZADAS]]&lt;=27),"NO APLICA",IF(AND(ES114&lt;&gt;"",FQ114&lt;&gt;"",GF114&lt;&gt;""),"SI","NO"))))</f>
        <v>NO</v>
      </c>
      <c r="NP114" s="204" t="str">
        <f t="shared" si="484"/>
        <v>I TRIM</v>
      </c>
      <c r="NQ114" s="21" t="str">
        <f t="shared" si="437"/>
        <v/>
      </c>
      <c r="NR114" s="21">
        <f t="shared" ca="1" si="497"/>
        <v>3</v>
      </c>
      <c r="NS114" s="205">
        <f t="shared" ca="1" si="485"/>
        <v>1</v>
      </c>
      <c r="NT114" s="21">
        <f t="shared" ca="1" si="486"/>
        <v>1</v>
      </c>
      <c r="NU114" s="21" t="str">
        <f t="shared" ca="1" si="487"/>
        <v>INCOMPLETO</v>
      </c>
      <c r="NV114" s="21" t="str">
        <f t="shared" ca="1" si="488"/>
        <v>INCOMPLETO</v>
      </c>
      <c r="NW114" s="206" t="str">
        <f>IF(AND(O114="",R114=""),"",IF(OR(AND(Tabla1[[#This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14" s="207" t="str">
        <f t="shared" ca="1" si="489"/>
        <v>SIN VACUNAR</v>
      </c>
      <c r="NY114" s="43">
        <f>ROW(Tabla1[[#This Row],['# DE TAMIZAJES SIFILIS TOMADOS ]])</f>
        <v>114</v>
      </c>
      <c r="NZ114" s="43" t="str">
        <f t="shared" si="334"/>
        <v>Menor</v>
      </c>
      <c r="OA114" s="43" t="str">
        <f t="shared" si="335"/>
        <v>NORMAL</v>
      </c>
      <c r="OB114" s="43" t="str">
        <f t="shared" si="336"/>
        <v/>
      </c>
      <c r="OC114" s="43" t="str">
        <f t="shared" si="337"/>
        <v/>
      </c>
      <c r="OD114" s="43" t="str">
        <f t="shared" si="338"/>
        <v/>
      </c>
      <c r="OE114" s="43" t="str">
        <f t="shared" si="339"/>
        <v/>
      </c>
      <c r="OF114" s="43" t="str">
        <f t="shared" si="340"/>
        <v/>
      </c>
      <c r="OG114" s="43" t="str">
        <f t="shared" si="341"/>
        <v/>
      </c>
      <c r="OH114" s="43" t="str">
        <f t="shared" si="342"/>
        <v/>
      </c>
      <c r="OI114" s="43" t="str">
        <f t="shared" si="343"/>
        <v/>
      </c>
      <c r="OJ114" s="43" t="str">
        <f t="shared" si="344"/>
        <v/>
      </c>
      <c r="OK114" s="43" t="str">
        <f t="shared" si="345"/>
        <v/>
      </c>
      <c r="OL114" s="43" t="str">
        <f t="shared" si="346"/>
        <v/>
      </c>
      <c r="OM114" s="43" t="str">
        <f t="shared" si="347"/>
        <v/>
      </c>
      <c r="ON114" s="43" t="str">
        <f t="shared" si="348"/>
        <v/>
      </c>
      <c r="OO114" s="43" t="str">
        <f t="shared" si="349"/>
        <v/>
      </c>
      <c r="OP114" s="43" t="str">
        <f t="shared" si="350"/>
        <v/>
      </c>
      <c r="OQ114" s="43" t="str">
        <f t="shared" si="351"/>
        <v/>
      </c>
      <c r="OR114" s="43" t="str">
        <f t="shared" si="352"/>
        <v/>
      </c>
      <c r="OS114" s="43" t="str">
        <f t="shared" si="353"/>
        <v/>
      </c>
      <c r="OT114" s="43" t="str">
        <f t="shared" si="354"/>
        <v/>
      </c>
      <c r="OU114" s="43" t="str">
        <f t="shared" si="355"/>
        <v/>
      </c>
      <c r="OV114" s="110" t="str">
        <f t="shared" si="356"/>
        <v/>
      </c>
      <c r="OW114" s="43" t="str">
        <f t="shared" si="357"/>
        <v/>
      </c>
      <c r="OX114" s="43" t="str">
        <f t="shared" si="358"/>
        <v/>
      </c>
      <c r="OY114" s="43" t="str">
        <f t="shared" si="359"/>
        <v/>
      </c>
      <c r="OZ114" s="43" t="str">
        <f t="shared" si="360"/>
        <v/>
      </c>
      <c r="PA114" s="43" t="str">
        <f t="shared" si="361"/>
        <v/>
      </c>
      <c r="PB114" s="43" t="str">
        <f t="shared" si="362"/>
        <v/>
      </c>
      <c r="PC114" s="43" t="str">
        <f t="shared" si="363"/>
        <v/>
      </c>
      <c r="PD114" s="43" t="str">
        <f t="shared" si="364"/>
        <v/>
      </c>
      <c r="PE114" s="43" t="str">
        <f t="shared" si="365"/>
        <v/>
      </c>
      <c r="PF114" s="43" t="str">
        <f t="shared" si="366"/>
        <v/>
      </c>
      <c r="PG114" s="43" t="str">
        <f t="shared" si="367"/>
        <v/>
      </c>
      <c r="PH114" s="43" t="str">
        <f t="shared" si="368"/>
        <v/>
      </c>
      <c r="PI114" s="43">
        <f t="shared" si="369"/>
        <v>31</v>
      </c>
      <c r="PJ114" s="43" t="str">
        <f t="shared" si="370"/>
        <v/>
      </c>
      <c r="PK114" s="43" t="str">
        <f t="shared" si="371"/>
        <v/>
      </c>
      <c r="PL114" s="43" t="str">
        <f t="shared" si="372"/>
        <v/>
      </c>
      <c r="PM114" s="43" t="str">
        <f t="shared" si="373"/>
        <v/>
      </c>
      <c r="PN114" s="43" t="str">
        <f t="shared" si="374"/>
        <v/>
      </c>
      <c r="PO114" s="43" t="str">
        <f t="shared" si="375"/>
        <v/>
      </c>
      <c r="PP114" s="43" t="str">
        <f t="shared" si="376"/>
        <v/>
      </c>
      <c r="PQ114" s="43" t="str">
        <f t="shared" si="377"/>
        <v/>
      </c>
      <c r="PR114" s="43" t="str">
        <f t="shared" si="378"/>
        <v/>
      </c>
      <c r="PS114" s="43" t="str">
        <f t="shared" si="379"/>
        <v/>
      </c>
      <c r="PT114" s="43" t="str">
        <f t="shared" si="380"/>
        <v/>
      </c>
      <c r="PU114" s="43" t="str">
        <f t="shared" si="381"/>
        <v/>
      </c>
      <c r="PV114" s="43" t="str">
        <f t="shared" si="382"/>
        <v/>
      </c>
      <c r="PW114" s="43" t="str">
        <f t="shared" si="383"/>
        <v/>
      </c>
      <c r="PX114" s="43" t="str">
        <f t="shared" si="384"/>
        <v/>
      </c>
      <c r="PY114" s="43" t="str">
        <f t="shared" si="385"/>
        <v/>
      </c>
      <c r="PZ114" s="43" t="str">
        <f t="shared" si="386"/>
        <v/>
      </c>
      <c r="QA114" s="43" t="str">
        <f t="shared" si="387"/>
        <v/>
      </c>
      <c r="QB114" s="43" t="str">
        <f t="shared" si="388"/>
        <v/>
      </c>
      <c r="QC114" s="43" t="str">
        <f t="shared" si="389"/>
        <v/>
      </c>
      <c r="QD114" s="43" t="str">
        <f t="shared" si="390"/>
        <v/>
      </c>
      <c r="QE114" s="43" t="str">
        <f t="shared" si="391"/>
        <v/>
      </c>
      <c r="QF114" s="43" t="str">
        <f t="shared" si="392"/>
        <v>NORMAL</v>
      </c>
      <c r="QG114" s="43" t="str">
        <f t="shared" si="393"/>
        <v/>
      </c>
      <c r="QH114" s="43" t="str">
        <f t="shared" si="394"/>
        <v/>
      </c>
      <c r="QI114" s="43" t="str">
        <f t="shared" si="395"/>
        <v/>
      </c>
      <c r="QJ114" s="43" t="str">
        <f t="shared" si="396"/>
        <v/>
      </c>
      <c r="QK114" s="43" t="str">
        <f t="shared" si="397"/>
        <v/>
      </c>
      <c r="QL114" s="43" t="str">
        <f t="shared" si="398"/>
        <v/>
      </c>
      <c r="QM114" s="43" t="str">
        <f t="shared" si="399"/>
        <v/>
      </c>
      <c r="QN114" s="43" t="str">
        <f t="shared" si="400"/>
        <v/>
      </c>
      <c r="QO114" s="43" t="str">
        <f t="shared" si="401"/>
        <v/>
      </c>
      <c r="QP114" s="43" t="str">
        <f t="shared" si="402"/>
        <v/>
      </c>
      <c r="QQ114" s="43" t="str">
        <f t="shared" si="403"/>
        <v/>
      </c>
      <c r="QR114" s="43">
        <f t="shared" si="433"/>
        <v>31</v>
      </c>
      <c r="QS114" s="43"/>
      <c r="QT114" s="21" t="str">
        <f t="shared" si="404"/>
        <v/>
      </c>
      <c r="QU114" s="21" t="str">
        <f t="shared" si="405"/>
        <v/>
      </c>
      <c r="QV114" s="21" t="str">
        <f t="shared" si="406"/>
        <v/>
      </c>
      <c r="QW114" s="21" t="str">
        <f t="shared" si="407"/>
        <v/>
      </c>
      <c r="QX114" s="21" t="str">
        <f t="shared" si="408"/>
        <v/>
      </c>
      <c r="QY114" s="21" t="str">
        <f t="shared" si="409"/>
        <v/>
      </c>
      <c r="QZ114" s="21" t="str">
        <f t="shared" si="410"/>
        <v/>
      </c>
      <c r="RA114" s="21" t="str">
        <f t="shared" si="411"/>
        <v/>
      </c>
      <c r="RB114" s="21" t="str">
        <f t="shared" si="412"/>
        <v/>
      </c>
      <c r="RC114" s="21" t="str">
        <f t="shared" si="413"/>
        <v/>
      </c>
      <c r="RD114" s="21" t="str">
        <f t="shared" si="414"/>
        <v/>
      </c>
      <c r="RE114" s="21" t="str">
        <f t="shared" si="415"/>
        <v/>
      </c>
      <c r="RF114" s="21" t="str">
        <f t="shared" si="416"/>
        <v/>
      </c>
      <c r="RG114" s="21" t="str">
        <f t="shared" si="417"/>
        <v/>
      </c>
      <c r="RH114" s="21" t="str">
        <f t="shared" si="418"/>
        <v/>
      </c>
      <c r="RI114" s="21" t="str">
        <f t="shared" si="419"/>
        <v/>
      </c>
      <c r="RJ114" s="21" t="str">
        <f t="shared" si="420"/>
        <v/>
      </c>
      <c r="RK114" s="21" t="str">
        <f t="shared" si="421"/>
        <v/>
      </c>
      <c r="RL114" s="21" t="str">
        <f t="shared" si="422"/>
        <v>ADECUADO PARA EDAD GESTACIONAL</v>
      </c>
      <c r="RM114" s="21" t="str">
        <f t="shared" si="423"/>
        <v/>
      </c>
      <c r="RN114" s="21" t="str">
        <f t="shared" si="424"/>
        <v/>
      </c>
      <c r="RO114" s="21" t="str">
        <f t="shared" si="425"/>
        <v/>
      </c>
      <c r="RP114" s="21" t="str">
        <f t="shared" si="426"/>
        <v/>
      </c>
      <c r="RQ114" s="21" t="str">
        <f t="shared" si="427"/>
        <v/>
      </c>
      <c r="RR114" s="21" t="str">
        <f t="shared" si="428"/>
        <v/>
      </c>
      <c r="RS114" s="21" t="str">
        <f t="shared" si="429"/>
        <v/>
      </c>
      <c r="RT114" s="21" t="str">
        <f t="shared" si="430"/>
        <v/>
      </c>
      <c r="RU114" s="21" t="str">
        <f t="shared" si="431"/>
        <v/>
      </c>
      <c r="RV114" s="21">
        <f t="shared" si="432"/>
        <v>5.7142857142857144</v>
      </c>
      <c r="RW114" s="284">
        <f>IF(OR(Tabla1[[#This Row],[FUM FORMULA CONFIABLE]]="",Tabla1[[#This Row],[FUM FORMULA CONFIABLE]]="SD"),"",IF(Tabla1[[#This Row],[FUM FORMULA CONFIABLE]]="CORREGIDA",Tabla1[[#This Row],[FUM X ECO 1]],Tabla1[[#This Row],[FUM x AMENORREA]]))</f>
        <v>44941</v>
      </c>
      <c r="RX114" s="21">
        <f>IF(AND(Tabla1[[#This Row],[FUM X ECO 1]]="",Tabla1[[#This Row],[FUM x AMENORREA]]=""),"",IF(AND(Tabla1[[#This Row],[FUM X ECO 1]]="",Tabla1[[#This Row],[FUM x AMENORREA]]&lt;&gt;""),"X",SUM(Tabla1[[#This Row],[FUM X ECO 1]]-Tabla1[[#This Row],[FUM x AMENORREA]])))</f>
        <v>2.1999999999970896</v>
      </c>
      <c r="RY114" s="21">
        <f t="shared" si="434"/>
        <v>0</v>
      </c>
    </row>
    <row r="115" spans="1:493" ht="45" customHeight="1" x14ac:dyDescent="0.25">
      <c r="A115" s="109"/>
      <c r="B115" s="43"/>
      <c r="C115" s="43" t="s">
        <v>845</v>
      </c>
      <c r="D115" s="124"/>
      <c r="E115" s="43" t="s">
        <v>1342</v>
      </c>
      <c r="F115" s="43" t="s">
        <v>1343</v>
      </c>
      <c r="G115" s="43" t="s">
        <v>938</v>
      </c>
      <c r="H115" s="43" t="s">
        <v>1344</v>
      </c>
      <c r="I115" s="109" t="s">
        <v>851</v>
      </c>
      <c r="J115" s="110">
        <v>1113541820</v>
      </c>
      <c r="K115" s="43" t="s">
        <v>852</v>
      </c>
      <c r="L115" s="175" t="s">
        <v>853</v>
      </c>
      <c r="M115" s="22">
        <v>36355</v>
      </c>
      <c r="N115" s="213">
        <f t="shared" ca="1" si="252"/>
        <v>24.32054794520548</v>
      </c>
      <c r="O115" s="22">
        <v>44982</v>
      </c>
      <c r="P115" s="214" t="str">
        <f t="shared" si="438"/>
        <v>SI</v>
      </c>
      <c r="Q115" s="26" t="s">
        <v>855</v>
      </c>
      <c r="R115" s="22">
        <v>44982</v>
      </c>
      <c r="S115" s="21" t="s">
        <v>856</v>
      </c>
      <c r="T115" s="24" t="s">
        <v>690</v>
      </c>
      <c r="U115" s="21" t="s">
        <v>857</v>
      </c>
      <c r="V115" s="21" t="s">
        <v>858</v>
      </c>
      <c r="W115" s="21" t="s">
        <v>1259</v>
      </c>
      <c r="X115" s="21" t="s">
        <v>1259</v>
      </c>
      <c r="Y115" s="21" t="s">
        <v>859</v>
      </c>
      <c r="Z115" s="21">
        <v>3245399898</v>
      </c>
      <c r="AA115" s="21" t="s">
        <v>860</v>
      </c>
      <c r="AB115" s="27" t="s">
        <v>861</v>
      </c>
      <c r="AC115" s="26" t="s">
        <v>862</v>
      </c>
      <c r="AD115" s="38" t="s">
        <v>1546</v>
      </c>
      <c r="AE115" s="26" t="s">
        <v>854</v>
      </c>
      <c r="AF115" s="26" t="s">
        <v>854</v>
      </c>
      <c r="AG115" s="23" t="s">
        <v>864</v>
      </c>
      <c r="AH115" s="23" t="s">
        <v>864</v>
      </c>
      <c r="AI115" s="24" t="s">
        <v>863</v>
      </c>
      <c r="AJ115" s="23" t="s">
        <v>864</v>
      </c>
      <c r="AK115" s="220" t="str">
        <f>IF(AND(AD115="",AE115="",AF115="",AG115="",AH115="",AI115="",AJ115=""),"",IF(OR(Tabla1[[#This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EVALUACIÓN",IF(AND(O115="",R115=""),"",IF(AND(OR(O115&gt;0,R115&gt;0),NG115&gt;=0,NG115&lt;2),"SIN RIESGO",IF(AND(OR(O115&gt;0,R115&gt;0),NG115&gt;=2),"CON RIESGO","ASD")))))</f>
        <v>SIN RIESGO</v>
      </c>
      <c r="AL115" s="23" t="s">
        <v>864</v>
      </c>
      <c r="AM115" s="26" t="s">
        <v>864</v>
      </c>
      <c r="AN115" s="26" t="s">
        <v>864</v>
      </c>
      <c r="AO115" s="26" t="s">
        <v>864</v>
      </c>
      <c r="AP115" s="26" t="s">
        <v>864</v>
      </c>
      <c r="AQ115" s="26" t="s">
        <v>864</v>
      </c>
      <c r="AR115" s="26" t="s">
        <v>864</v>
      </c>
      <c r="AS115" s="21">
        <v>3</v>
      </c>
      <c r="AT115" s="21">
        <v>2</v>
      </c>
      <c r="AU115" s="21">
        <v>1</v>
      </c>
      <c r="AV115" s="26" t="s">
        <v>864</v>
      </c>
      <c r="AW115" s="21">
        <v>0</v>
      </c>
      <c r="AX115" s="26" t="s">
        <v>864</v>
      </c>
      <c r="AY115" s="26" t="s">
        <v>864</v>
      </c>
      <c r="AZ115" s="26" t="s">
        <v>854</v>
      </c>
      <c r="BA115" s="26" t="s">
        <v>864</v>
      </c>
      <c r="BB115" s="26" t="s">
        <v>864</v>
      </c>
      <c r="BC115" s="26" t="s">
        <v>864</v>
      </c>
      <c r="BD115" s="26" t="s">
        <v>864</v>
      </c>
      <c r="BE115" s="26" t="s">
        <v>864</v>
      </c>
      <c r="BF115" s="26" t="s">
        <v>864</v>
      </c>
      <c r="BG115" s="26" t="s">
        <v>864</v>
      </c>
      <c r="BH115" s="26" t="s">
        <v>864</v>
      </c>
      <c r="BI115" s="26" t="s">
        <v>864</v>
      </c>
      <c r="BJ115" s="26" t="s">
        <v>864</v>
      </c>
      <c r="BK115" s="26" t="s">
        <v>864</v>
      </c>
      <c r="BL115" s="26" t="s">
        <v>864</v>
      </c>
      <c r="BM115" s="26" t="s">
        <v>864</v>
      </c>
      <c r="BN115" s="22">
        <v>43661</v>
      </c>
      <c r="BO115" s="22">
        <v>44892</v>
      </c>
      <c r="BP115" s="21" t="s">
        <v>854</v>
      </c>
      <c r="BQ115" s="222">
        <f t="shared" si="254"/>
        <v>41.033333333333331</v>
      </c>
      <c r="BR115" s="223">
        <f t="shared" si="255"/>
        <v>44889.3</v>
      </c>
      <c r="BS115" s="224">
        <f t="shared" si="256"/>
        <v>12.857142857142858</v>
      </c>
      <c r="BT115" s="216" t="str">
        <f t="shared" si="257"/>
        <v>II TRIM</v>
      </c>
      <c r="BU115" s="214" t="str">
        <f t="shared" ca="1" si="258"/>
        <v/>
      </c>
      <c r="BV115" s="25"/>
      <c r="BW115" s="22">
        <v>44995</v>
      </c>
      <c r="BX115" s="28">
        <v>15.1</v>
      </c>
      <c r="BY115" s="28" t="s">
        <v>988</v>
      </c>
      <c r="BZ115" s="22">
        <v>45121</v>
      </c>
      <c r="CA115" s="21">
        <v>33.299999999999997</v>
      </c>
      <c r="CB115" s="26" t="s">
        <v>864</v>
      </c>
      <c r="CC115" s="26" t="s">
        <v>864</v>
      </c>
      <c r="CD115" s="26" t="s">
        <v>878</v>
      </c>
      <c r="CE115" s="26" t="s">
        <v>864</v>
      </c>
      <c r="CF115" s="22" t="s">
        <v>1517</v>
      </c>
      <c r="CG115" s="21">
        <v>1.68</v>
      </c>
      <c r="CH115" s="21">
        <v>47.1</v>
      </c>
      <c r="CI115" s="214">
        <f t="shared" si="259"/>
        <v>16.687925170068031</v>
      </c>
      <c r="CJ115" s="225" t="e">
        <f>IF(AND(CI115&lt;10,CH115="SD"),"SIN DATO PESO PREGESTACION O I TRIM",IF(AND(OR(R115&gt;0,O115&gt;0),CI115="X"),"INGRESAR DATO DE PESO",IF(CI115="SD","INGRESAR DATO DE TALLA Y PESO",IF(AND(OR(Tabla1[[#This Row],[MOMENTO EN QUE SE REALIZA EL PESO AL INGRESO A CPN]]="PREGESTACIÓN",NZ115="Menor"),CI115&lt;18.5),"BAJO PESO",IF(AND(OR(Tabla1[[#This Row],[MOMENTO EN QUE SE REALIZA EL PESO AL INGRESO A CPN]]="PREGESTACIÓN",NZ115="Menor"),CI115&lt;25),"NORMAL",IF(AND(OR(Tabla1[[#This Row],[MOMENTO EN QUE SE REALIZA EL PESO AL INGRESO A CPN]]="PREGESTACIÓN",NZ115="Menor"),CI115&lt;30),"SOBREPESO",IF(AND(OR(Tabla1[[#This Row],[MOMENTO EN QUE SE REALIZA EL PESO AL INGRESO A CPN]]="PREGESTACIÓN",NZ115="Menor"),CI115&gt;=30,CI115&lt;50),"OBESIDAD",IF(AND(BS115&gt;0,Tabla1[[#This Row],[MOMENTO EN QUE SE REALIZA EL PESO AL INGRESO A CPN]]="GESTACIÓN"),HLOOKUP(NZ115,$OA$2:PH115,NY115),""))))))))</f>
        <v>#REF!</v>
      </c>
      <c r="CK115" s="212">
        <f t="shared" si="260"/>
        <v>45121</v>
      </c>
      <c r="CL115" s="21">
        <v>52</v>
      </c>
      <c r="CM115" s="214">
        <f t="shared" si="261"/>
        <v>18.424036281179141</v>
      </c>
      <c r="CN115" s="216">
        <f t="shared" si="262"/>
        <v>32</v>
      </c>
      <c r="CO115" s="216" t="e">
        <f>IF(PI115="","",IF(PI115&gt;0,HLOOKUP(PI115,$PJ$2:QQ115,NY115),""))</f>
        <v>#REF!</v>
      </c>
      <c r="CP115" s="21">
        <v>30</v>
      </c>
      <c r="CQ115" s="216" t="e">
        <f>IF(QR115="Menor","NO APLICA-MENOR 13 SEM",IF(AND(CC115="SI",CN115&gt;23),"NO APLICA- GEMELAR",IF(QR115="","",IF(QR115&gt;0,HLOOKUP(QR115,$QS$2:RU115,NY115),""))))</f>
        <v>#REF!</v>
      </c>
      <c r="CR115" s="21">
        <v>90</v>
      </c>
      <c r="CS115" s="21">
        <v>60</v>
      </c>
      <c r="CT115" s="217" t="str">
        <f>IF(R115="","",IF(AND(BS115&gt;1,BS115&lt;12,Tabla1[[#This Row],[T.A. SISTOLICA - ANTES DE SEMANA 12]]="",Tabla1[[#This Row],[T.A. DIASTOLICA - ANTES DE SEMANA 12]]=""),"REGISTRE DATO TA ANTES SEMANA 12",IF(AND(BS115&gt;11,BS115&lt;43,Tabla1[[#This Row],[T.A. SISTOLICA - ANTES DE SEMANA 12]]="",Tabla1[[#This Row],[T.A. DIASTOLICA - ANTES DE SEMANA 12]]=""),"NO APLICA REGISTRO TA-INGRESO TARDIO",IF(AND(OR(O115&gt;0,R115&gt;0),OR(CR115&gt;=140,CS115&gt;=90)),"DEFINIR ESTADIO HTA",IF(AND(OR(O115&gt;0,R115&gt;0),AND(CR115&gt;120,CR115&lt;=139)),"PRE HTA SEGUIMIENTO",IF(AND(OR(O115&gt;0,R115&gt;0),AND(CS115&gt;80,CS115&lt;=89)),"PRE HTA SEGUIMIENTO",IF(AND(OR(O115&gt;0,R115&gt;0),AND(CR115&gt;=80,CR115&lt;=120)),"APARENTEMENTE NORMAL",IF(AND(OR(O115&gt;0,R115&gt;0),AND(CS115&gt;=50,CS115&lt;=80)),"APARENTEMENTE NORMAL",IF(AND(OR(O115&gt;0,R115&gt;0),AND(CR115&gt;1,CR115&lt;=70),AND(CS115&gt;1,CS115&lt;=40)),"HIPOTENSIÓN","")))))))))</f>
        <v>APARENTEMENTE NORMAL</v>
      </c>
      <c r="CU115" s="21"/>
      <c r="CV115" s="21"/>
      <c r="CW115" s="217" t="str">
        <f ca="1">IF(R115="","",IF(AND(CN115&gt;19,CN115&lt;27,Tabla1[[#This Row],[T.A. SISTOLICA (Entre semana 20 y 26)]]="",Tabla1[[#This Row],[T.A. DIATOLICA (Entre semana 20 y 26)]]=""),"ACUDE A CONTROL SEM 20 A 26 REGISTRE TA AHORA",IF(AND(BS115&gt;1,BS115&lt;27,BU115&gt;19,Tabla1[[#This Row],[T.A. SISTOLICA (Entre semana 20 y 26)]]="",Tabla1[[#This Row],[T.A. DIATOLICA (Entre semana 20 y 26)]]=""),"COMPLETE REGISTRO TA CONTROL SEM 20 A26 ",IF(AND(BS115&gt;26,BS115&lt;43,Tabla1[[#This Row],[T.A. SISTOLICA (Entre semana 20 y 26)]]="",Tabla1[[#This Row],[T.A. DIATOLICA (Entre semana 20 y 26)]]=""),"NO APLICA REGISTRO TA-INGRESO TARDIO",IF(AND(OR(O115&gt;0,R115&gt;0),OR(CU115&gt;=140,CV115&gt;=90)),"ALTO RIESGO PREECLAMPSIA,DEFINIR ESTADIO HTA",IF(AND(OR(O115&gt;0,R115&gt;0),AND(CU115&gt;120,CU115&lt;=139)),"PRE HTA SEGUIMIENTO,RIESGO HIPERTENSION INDUCIDA POR EL EMBARAZO",IF(AND(OR(O115&gt;0,R115&gt;0),AND(CV115&gt;80,CV115&lt;=89)),"PRE HTA SEGUIMIENTO, RIESGO HIPERTENSION INDUCIDA POR EL EMBARAZO",IF(AND(OR(O115&lt;&gt;"",R115&lt;&gt;""),CS115&lt;&gt;"",CV115&lt;&gt;"",CS115&lt;=CV115),"VIGILAR CIFRAS PRESION ARTERIAL",IF(AND(OR(O115&gt;0,R115&gt;0),AND(CU115&gt;120,CU115&lt;=139)),"PRE HTA SEGUIMIENTO",IF(AND(OR(O115&gt;0,R115&gt;0),AND(CU115&gt;1,CU115&lt;=70),AND(CV115&gt;1,CV115&lt;=40)),"HIPOTENSIÓN",IF(AND(OR(O115&lt;&gt;"",R115&lt;&gt;""),CS115&lt;&gt;"",CV115&lt;&gt;"",CS115&gt;CV115),"APARENTEMENTE NORMAL",IF(AND(OR(O115&gt;0,R115&gt;0),AND(CU115&gt;=80,CU115&lt;=120)),"APARENTEMENTE NORMAL",IF(AND(OR(O115&gt;0,R115&gt;0),AND(CV115&gt;=50,CV115&lt;=80)),"APARENTEMENTE NORMAL","")))))))))))))</f>
        <v xml:space="preserve">COMPLETE REGISTRO TA CONTROL SEM 20 A26 </v>
      </c>
      <c r="CX115" s="21">
        <v>90</v>
      </c>
      <c r="CY115" s="21">
        <v>60</v>
      </c>
      <c r="CZ115" s="216" t="str">
        <f t="shared" si="457"/>
        <v>APARENTEMENTE NORMAL</v>
      </c>
      <c r="DA115" s="21">
        <v>90</v>
      </c>
      <c r="DB115" s="21">
        <v>60</v>
      </c>
      <c r="DC115" s="217" t="str">
        <f t="shared" si="264"/>
        <v>APARENTEMENTE NORMAL</v>
      </c>
      <c r="DD115" s="22">
        <v>44982</v>
      </c>
      <c r="DE115" s="22">
        <v>44982</v>
      </c>
      <c r="DF115" s="22">
        <v>45010</v>
      </c>
      <c r="DG115" s="22">
        <v>45121</v>
      </c>
      <c r="DH115" s="22"/>
      <c r="DI115" s="22"/>
      <c r="DJ115" s="22"/>
      <c r="DK115" s="22"/>
      <c r="DL115" s="22"/>
      <c r="DM115" s="22"/>
      <c r="DN115" s="22"/>
      <c r="DO115" s="22"/>
      <c r="DP115" s="22"/>
      <c r="DQ115" s="22"/>
      <c r="DR115" s="28">
        <v>2</v>
      </c>
      <c r="DS115" s="22"/>
      <c r="DT115" s="22"/>
      <c r="DU115" s="216" t="str">
        <f t="shared" ca="1" si="439"/>
        <v>CONCERTAR PLAN DE PARTO INMEDIATO</v>
      </c>
      <c r="DV115" s="226" t="str">
        <f t="shared" si="440"/>
        <v>ACTIVA INGRESO A CPN</v>
      </c>
      <c r="DW11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15" s="216" t="e">
        <f t="shared" ca="1" si="266"/>
        <v>#REF!</v>
      </c>
      <c r="DY115" s="212">
        <f>IF(R115="","",IF(R115&gt;0,MAX(Tabla1[[#This Row],[FECHA C2]:[FECHA C13]],Tabla1[[#This Row],[FECHA CONSULTA PRIMERA VEZ PROGRAMA CPN ]])))</f>
        <v>45121</v>
      </c>
      <c r="DZ115" s="216">
        <f t="shared" si="267"/>
        <v>32</v>
      </c>
      <c r="EA115" s="222">
        <f>IF(R115&gt;0,SUM(COUNTA(DF115:DQ115)+COUNTA(Tabla1[[#This Row],[FECHA CONSULTA PRIMERA VEZ PROGRAMA CPN ]])),"")</f>
        <v>3</v>
      </c>
      <c r="EB115" s="222" t="str">
        <f t="shared" si="268"/>
        <v>NO</v>
      </c>
      <c r="EC115" s="214">
        <f t="shared" si="269"/>
        <v>8</v>
      </c>
      <c r="ED115" s="227">
        <f t="shared" si="270"/>
        <v>0.375</v>
      </c>
      <c r="EE115" s="22">
        <v>44982</v>
      </c>
      <c r="EF115" s="22">
        <v>44982</v>
      </c>
      <c r="EG115" s="22">
        <v>44982</v>
      </c>
      <c r="EH115" s="22"/>
      <c r="EI115" s="22">
        <v>44982</v>
      </c>
      <c r="EJ115" s="22"/>
      <c r="EK115" s="22"/>
      <c r="EL115" s="21"/>
      <c r="EM115" s="21"/>
      <c r="EN115" s="22"/>
      <c r="EO115" s="222" t="str">
        <f t="shared" si="271"/>
        <v>TOMAR EXAMEN</v>
      </c>
      <c r="EP115" s="214" t="str">
        <f t="shared" si="272"/>
        <v/>
      </c>
      <c r="EQ115" s="216" t="str">
        <f t="shared" si="273"/>
        <v>POR DEFINIR</v>
      </c>
      <c r="ER115" s="24">
        <v>9.4</v>
      </c>
      <c r="ES115" s="22">
        <v>45013</v>
      </c>
      <c r="ET115" s="29">
        <f t="shared" ca="1" si="441"/>
        <v>17.285714285714285</v>
      </c>
      <c r="EU115" s="25" t="str">
        <f t="shared" si="275"/>
        <v>MANEJO MD POR ANEMIA FERROPENICA</v>
      </c>
      <c r="EV115" s="24" t="s">
        <v>1510</v>
      </c>
      <c r="EW115" s="22">
        <v>45013</v>
      </c>
      <c r="EX115" s="22"/>
      <c r="EY115" s="29">
        <f t="shared" si="454"/>
        <v>17.285714285714285</v>
      </c>
      <c r="EZ115" s="25" t="str">
        <f t="shared" si="455"/>
        <v>SIN RIESGO DE ISOINMUNIZACIÓN</v>
      </c>
      <c r="FA115" s="21">
        <v>81</v>
      </c>
      <c r="FB115" s="22">
        <v>45013</v>
      </c>
      <c r="FC115" s="29">
        <f t="shared" si="276"/>
        <v>17.285714285714285</v>
      </c>
      <c r="FD115" s="29"/>
      <c r="FE115" s="29"/>
      <c r="FF115" s="29"/>
      <c r="FG115" s="21" t="str">
        <f t="shared" ca="1" si="277"/>
        <v/>
      </c>
      <c r="FH115" s="31"/>
      <c r="FI115" s="29" t="str">
        <f t="shared" si="278"/>
        <v>TOMAR EXAMEN</v>
      </c>
      <c r="FJ115" s="22"/>
      <c r="FK115" s="22"/>
      <c r="FL115" s="29" t="str">
        <f t="shared" ca="1" si="279"/>
        <v>PIERDE TOMA DE TAMIZAJE</v>
      </c>
      <c r="FM115" s="22" t="s">
        <v>867</v>
      </c>
      <c r="FN115" s="22">
        <v>45013</v>
      </c>
      <c r="FO115" s="29">
        <f t="shared" ca="1" si="442"/>
        <v>17.285714285714285</v>
      </c>
      <c r="FP115" s="22"/>
      <c r="FQ115" s="32"/>
      <c r="FR115" s="29" t="str">
        <f t="shared" ca="1" si="443"/>
        <v>TOMA INMEDIATA DE TAMIZAJE</v>
      </c>
      <c r="FS115" s="22"/>
      <c r="FT115" s="32"/>
      <c r="FU115" s="29" t="str">
        <f>IF(AND(FJ115="",FM115="",FP115="",FS115=""),"",IF(OR(OR(Tabla1[[#This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15" s="28"/>
      <c r="FW115" s="22"/>
      <c r="FX115" s="29" t="str">
        <f t="shared" si="280"/>
        <v>TOMAR EXAMEN</v>
      </c>
      <c r="FY115" s="22"/>
      <c r="FZ115" s="22"/>
      <c r="GA115" s="29" t="str">
        <f t="shared" ca="1" si="453"/>
        <v/>
      </c>
      <c r="GB115" s="22" t="s">
        <v>868</v>
      </c>
      <c r="GC115" s="22">
        <v>45013</v>
      </c>
      <c r="GD115" s="29">
        <f t="shared" ca="1" si="491"/>
        <v>17.285714285714285</v>
      </c>
      <c r="GE115" s="22"/>
      <c r="GF115" s="22"/>
      <c r="GG115" s="29" t="str">
        <f t="shared" ca="1" si="445"/>
        <v>TOMA INMEDIATA DE TAMIZAJE</v>
      </c>
      <c r="GH115" s="22"/>
      <c r="GI115" s="29"/>
      <c r="GJ115" s="22"/>
      <c r="GK115" s="22"/>
      <c r="GL115" s="22"/>
      <c r="GM115" s="22"/>
      <c r="GN115" s="28" t="s">
        <v>869</v>
      </c>
      <c r="GO115" s="22">
        <v>45013</v>
      </c>
      <c r="GP115" s="29">
        <f t="shared" si="283"/>
        <v>17.285714285714285</v>
      </c>
      <c r="GQ115" s="28"/>
      <c r="GR115" s="28" t="s">
        <v>869</v>
      </c>
      <c r="GS115" s="22" t="str">
        <f t="shared" si="458"/>
        <v/>
      </c>
      <c r="GT115" s="22">
        <v>45013</v>
      </c>
      <c r="GU115" s="29">
        <f t="shared" si="285"/>
        <v>17.285714285714285</v>
      </c>
      <c r="GV115" s="21" t="str">
        <f t="shared" si="286"/>
        <v>II TRIM</v>
      </c>
      <c r="GW115" s="28"/>
      <c r="GX115" s="30"/>
      <c r="GY115" s="21"/>
      <c r="GZ115" s="21"/>
      <c r="HA115" s="21"/>
      <c r="HB115" s="21"/>
      <c r="HC115" s="21"/>
      <c r="HD115" s="21"/>
      <c r="HE115" s="21"/>
      <c r="HF115" s="22"/>
      <c r="HG115" s="22" t="str">
        <f>IF(OR(O115&gt;0,R115&gt;0),CONCATENATE(IF(Tabla1[[#This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15" s="22" t="e">
        <f t="shared" si="287"/>
        <v>#REF!</v>
      </c>
      <c r="HI115" s="22" t="e">
        <f t="shared" ca="1" si="288"/>
        <v>#REF!</v>
      </c>
      <c r="HJ115" s="21" t="str">
        <f t="shared" ca="1" si="289"/>
        <v>********************SEGUIMIENTO PARA ANEMIA*******************</v>
      </c>
      <c r="HK115" s="21" t="str">
        <f t="shared" si="290"/>
        <v>SIN ANTECEDENTES DE RIESGO</v>
      </c>
      <c r="HL115" s="24" t="str">
        <f t="shared" si="291"/>
        <v>APARENTEMENTE NORMAL</v>
      </c>
      <c r="HM115" s="21" t="e">
        <f t="shared" ca="1" si="292"/>
        <v>#REF!</v>
      </c>
      <c r="HN115" s="30" t="str">
        <f t="shared" si="446"/>
        <v>ACTIVA INGRESO A CPN</v>
      </c>
      <c r="HO115" s="21"/>
      <c r="HP115" s="21"/>
      <c r="HQ115" s="21">
        <v>44982</v>
      </c>
      <c r="HR115" s="21" t="str">
        <f>IF(R115="","",IF(Tabla1[[#This Row],[ALARMA FACTORES DE RIESGO COMPLICACIONES HIPERTENSIVAS3]]="SIN ANTECEDENTES DE RIESGO","No Aplica para suministro de ASA",IF(AND(Tabla1[[#This Row],[FECHA INICIO DE SUMINISTRO DE ASA]]&gt;0,RV115&lt;12),"Inicia ASA ANTES de Sem 12",IF(AND(RV115&gt;11,RV115&lt;17,OR(HK115="RIESGO ALTO DE COMPLICACIONES HIPERTENSIVAS VER MANEJO GUIA SUMINISTRO ASA Y CALCIO",HK115="RIESGO MODERADO (2 O MAS CRITERIOS) VER MANEJO GUIA SUMINISTRO ASA Y CALCIO")),"Inicio oportuno de ASA",IF(AND(RV115&gt;12,OR(HK115="RIESGO ALTO DE COMPLICACIONES HIPERTENSIVAS VER MANEJO GUIA SUMINISTRO ASA Y CALCIO",HK115="RIESGO MODERADO (2 O MAS CRITERIOS) VER MANEJO GUIA SUMINISTRO ASA Y CALCIO")),"Inicio no oportuno mayor a 16 semanas",IF(AND(BU115&lt;12,OR(HK115="RIESGO ALTO DE COMPLICACIONES HIPERTENSIVAS VER MANEJO GUIA SUMINISTRO ASA Y CALCIO",HK115="RIESGO MODERADO (2 O MAS CRITERIOS) VER MANEJO GUIA SUMINISTRO ASA Y CALCIO")),"Pendiente Inicio de ASA a la semana 12",IF(AND(BU115&gt;11,BU115&lt;17,OR(HK115="RIESGO ALTO DE COMPLICACIONES HIPERTENSIVAS VER MANEJO GUIA SUMINISTRO ASA Y CALCIO",HK115="RIESGO MODERADO (2 O MAS CRITERIOS) VER MANEJO GUIA SUMINISTRO ASA Y CALCIO")),"Iniciar de inmediato ASA",IF(AND(BU115&gt;16,OR(HK115="RIESGO ALTO DE COMPLICACIONES HIPERTENSIVAS VER MANEJO GUIA SUMINISTRO ASA Y CALCIO",HK115="RIESGO MODERADO (2 O MAS CRITERIOS) VER MANEJO GUIA SUMINISTRO ASA Y CALCIO")),"Pierde Oportunidad, Inicio tardío de ASA","XXXXX"))))))))</f>
        <v>No Aplica para suministro de ASA</v>
      </c>
      <c r="HS115" s="22">
        <v>44982</v>
      </c>
      <c r="HT115" s="22" t="s">
        <v>870</v>
      </c>
      <c r="HU115" s="22">
        <v>44982</v>
      </c>
      <c r="HV115" s="22" t="s">
        <v>870</v>
      </c>
      <c r="HW115" s="22">
        <v>44982</v>
      </c>
      <c r="HX115" s="22" t="s">
        <v>870</v>
      </c>
      <c r="HY115" s="22">
        <v>44982</v>
      </c>
      <c r="HZ115" s="28">
        <f t="shared" si="293"/>
        <v>12.857142857142858</v>
      </c>
      <c r="IA115" s="26"/>
      <c r="IB115" s="26"/>
      <c r="IC115" s="111"/>
      <c r="ID115" s="22"/>
      <c r="IE115" s="22" t="str">
        <f t="shared" ca="1" si="294"/>
        <v/>
      </c>
      <c r="IF115" s="22"/>
      <c r="IG115" s="22">
        <f t="shared" si="295"/>
        <v>45172</v>
      </c>
      <c r="IH115" s="29">
        <f t="shared" ca="1" si="296"/>
        <v>-60</v>
      </c>
      <c r="II115" s="22" t="str">
        <f t="shared" ca="1" si="297"/>
        <v>POSIBLEMENTE NACIO</v>
      </c>
      <c r="IJ115" s="22"/>
      <c r="IK115" s="21"/>
      <c r="IL115" s="21"/>
      <c r="IM115" s="34"/>
      <c r="IN115" s="349"/>
      <c r="IO115" s="21"/>
      <c r="IP115" s="29" t="str">
        <f t="shared" si="490"/>
        <v/>
      </c>
      <c r="IQ115" s="288"/>
      <c r="IR115" s="21"/>
      <c r="IS115" s="21"/>
      <c r="IT115" s="21"/>
      <c r="IU115" s="21"/>
      <c r="IV115" s="21"/>
      <c r="IW115" s="21"/>
      <c r="IX115" s="21"/>
      <c r="IY115" s="21"/>
      <c r="IZ115" s="21"/>
      <c r="JA115" s="21"/>
      <c r="JB115" s="30"/>
      <c r="JC115" s="21"/>
      <c r="JD115" s="36"/>
      <c r="JE115" s="21" t="str">
        <f t="shared" si="492"/>
        <v/>
      </c>
      <c r="JF115" s="30"/>
      <c r="JG115" s="21"/>
      <c r="JH115" s="21"/>
      <c r="JI115" s="21"/>
      <c r="JJ115" s="30"/>
      <c r="JK115" s="22"/>
      <c r="JL115" s="22"/>
      <c r="JM115" s="21"/>
      <c r="JN115" s="36"/>
      <c r="JO115" s="21" t="str">
        <f t="shared" si="493"/>
        <v/>
      </c>
      <c r="JP115" s="22"/>
      <c r="JQ115" s="21"/>
      <c r="JR115" s="21"/>
      <c r="JS115" s="21"/>
      <c r="JT115" s="30"/>
      <c r="JU115" s="22"/>
      <c r="JV115" s="22"/>
      <c r="JW115" s="33"/>
      <c r="JX115" s="28" t="str">
        <f t="shared" si="494"/>
        <v/>
      </c>
      <c r="JY115" s="33"/>
      <c r="JZ115" s="28" t="str">
        <f t="shared" si="495"/>
        <v/>
      </c>
      <c r="KA115" s="21"/>
      <c r="KB115" s="21"/>
      <c r="KC115" s="21"/>
      <c r="KD115" s="37"/>
      <c r="KE115" s="28"/>
      <c r="KF115" s="28"/>
      <c r="KG115" s="28"/>
      <c r="KH115" s="39"/>
      <c r="KI115" s="39"/>
      <c r="KJ115" s="66"/>
      <c r="KK115" s="39"/>
      <c r="KL115" s="39"/>
      <c r="KM115" s="66"/>
      <c r="KN115" s="39"/>
      <c r="KO115" s="39"/>
      <c r="KP115" s="39"/>
      <c r="KQ115" s="39"/>
      <c r="KR115" s="39"/>
      <c r="KS115" s="39"/>
      <c r="KT115" s="39"/>
      <c r="KU115" s="38"/>
      <c r="KV115" s="38"/>
      <c r="KW115" s="38"/>
      <c r="KX115" s="38"/>
      <c r="KY115" s="38"/>
      <c r="KZ115" s="38"/>
      <c r="LA115" s="38"/>
      <c r="LB115" s="38"/>
      <c r="LC115" s="38"/>
      <c r="LD115" s="38"/>
      <c r="LE115" s="38"/>
      <c r="LF115" s="38"/>
      <c r="LG115" s="38"/>
      <c r="LH115" s="38"/>
      <c r="LI115" s="38"/>
      <c r="LJ115" s="38"/>
      <c r="LK115" s="38"/>
      <c r="LL115" s="38"/>
      <c r="LM115" s="38"/>
      <c r="LN115" s="38"/>
      <c r="LO115" s="38"/>
      <c r="LP115" s="38"/>
      <c r="LQ115" s="38"/>
      <c r="LR115" s="38"/>
      <c r="LS115" s="38"/>
      <c r="LT115" s="38"/>
      <c r="LU115" s="38"/>
      <c r="LV115" s="38"/>
      <c r="LW115" s="38"/>
      <c r="LX115" s="38"/>
      <c r="LY115" s="38"/>
      <c r="LZ115" s="38"/>
      <c r="MA115" s="38"/>
      <c r="MB115" s="38"/>
      <c r="MC115" s="38"/>
      <c r="MD115" s="38"/>
      <c r="ME115" s="38"/>
      <c r="MF115" s="38"/>
      <c r="MG115" s="38"/>
      <c r="MH115" s="43">
        <f t="shared" si="459"/>
        <v>0</v>
      </c>
      <c r="MI115" s="43" t="str">
        <f t="shared" si="460"/>
        <v/>
      </c>
      <c r="MJ115" s="43" t="str">
        <f t="shared" si="461"/>
        <v/>
      </c>
      <c r="MK115" s="43">
        <f t="shared" si="462"/>
        <v>0</v>
      </c>
      <c r="ML11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15" s="43">
        <f t="shared" si="463"/>
        <v>12.857142857142858</v>
      </c>
      <c r="MN115" s="43">
        <f t="shared" si="464"/>
        <v>2</v>
      </c>
      <c r="MO115" s="43">
        <f t="shared" si="465"/>
        <v>2023</v>
      </c>
      <c r="MP115" s="43" t="str">
        <f t="shared" si="466"/>
        <v>I TRIMESTRE AÑO</v>
      </c>
      <c r="MQ115" s="43">
        <f t="shared" si="467"/>
        <v>23.272558037669729</v>
      </c>
      <c r="MR115" s="43">
        <f t="shared" si="468"/>
        <v>0</v>
      </c>
      <c r="MS115" s="43" t="str">
        <f t="shared" si="469"/>
        <v xml:space="preserve"> DE 20 A 24 AÑOS</v>
      </c>
      <c r="MT115" s="43">
        <f t="shared" si="470"/>
        <v>0</v>
      </c>
      <c r="MU115" s="43">
        <f t="shared" si="471"/>
        <v>0</v>
      </c>
      <c r="MV115" s="43">
        <f t="shared" si="472"/>
        <v>0</v>
      </c>
      <c r="MW115" s="43">
        <f t="shared" si="473"/>
        <v>0</v>
      </c>
      <c r="MX115" s="43">
        <f t="shared" si="474"/>
        <v>1</v>
      </c>
      <c r="MY115" s="43" t="str">
        <f t="shared" ca="1" si="496"/>
        <v/>
      </c>
      <c r="MZ115" s="43" t="str">
        <f t="shared" si="475"/>
        <v/>
      </c>
      <c r="NA115" s="43">
        <f t="shared" si="476"/>
        <v>0</v>
      </c>
      <c r="NB115" s="43" t="str">
        <f t="shared" si="477"/>
        <v/>
      </c>
      <c r="NC115" s="43" t="str">
        <f t="shared" si="478"/>
        <v/>
      </c>
      <c r="ND115" s="43">
        <f t="shared" ca="1" si="479"/>
        <v>1</v>
      </c>
      <c r="NE115" s="43">
        <f>IF(OR(O115&gt;0,R115&gt;0),SUM(COUNTIF(Tabla1[[#This Row],[AÑOS AL INICIO5 CPN]],"&gt;=40"),COUNTIF(AS115,"0"),COUNTIF(AR115,"SI"),COUNTIF(CC115,"SI"),COUNTIF(BQ115,"&gt;119"),COUNTIF(CI115,"&gt;=35")),"")</f>
        <v>0</v>
      </c>
      <c r="NF115" s="43" t="str">
        <f t="shared" si="480"/>
        <v/>
      </c>
      <c r="NG115" s="43">
        <f t="shared" si="481"/>
        <v>0</v>
      </c>
      <c r="NH115" s="43">
        <f t="shared" si="482"/>
        <v>105.7</v>
      </c>
      <c r="NI11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CPN",P115="NO"),"Z",IF(AND(Tabla1[[#This Row],[CITA PROXIMO CONTROL]]="CITA MANUAL",Tabla1[[#This Row],[GESTANTES ACTUALES]]="ACTIVA INGRESO A CPN"),"W",IF(AND(Tabla1[[#This Row],[GESTANTES ACTUALES]]="SALIO PROGRAMA",IN115=""),"S",IF(AND(Tabla1[[#This Row],[CITA PROXIMO CONTROL]]&gt;0,IN115=""),(Tabla1[[#This Row],[CITA PROXIMO CONTROL]]-TODAY()),"SD"))))))))</f>
        <v>#REF!</v>
      </c>
      <c r="NJ115" s="43">
        <f>MONTH(Tabla1[[#This Row],[FECHA DE SALIDA  DEL PROGRAMA]])</f>
        <v>1</v>
      </c>
      <c r="NK115" s="43">
        <f>YEAR(Tabla1[[#This Row],[FECHA DE SALIDA  DEL PROGRAMA]])</f>
        <v>1900</v>
      </c>
      <c r="NL115" s="43" t="str">
        <f t="shared" si="483"/>
        <v>X</v>
      </c>
      <c r="NM115" s="43" t="str">
        <f t="shared" si="456"/>
        <v>NO</v>
      </c>
      <c r="NN115" s="43" t="str">
        <f ca="1">IF(AND(O115&gt;0,R115=""),"NO CPN",IF(AND(O115="",R115=""),"",IF(AND(R115&gt;0,Tabla1[[#This Row],[SEMANAS DE GESTACION ACTUALIZADAS]]&lt;=12),"NO APLICA",IF(AND(FH115&lt;&gt;"",FN115&lt;&gt;""),"SI","NO"))))</f>
        <v>NO</v>
      </c>
      <c r="NO115" s="43" t="str">
        <f ca="1">IF(AND(O115&gt;0,R115=""),"NO CPN",IF(AND(O115="",R115=""),"",IF(AND(R115&gt;0,Tabla1[[#This Row],[SEMANAS DE GESTACION ACTUALIZADAS]]&lt;=27),"NO APLICA",IF(AND(ES115&lt;&gt;"",FQ115&lt;&gt;"",GF115&lt;&gt;""),"SI","NO"))))</f>
        <v>NO</v>
      </c>
      <c r="NP115" s="204" t="str">
        <f t="shared" si="484"/>
        <v>II TRIM</v>
      </c>
      <c r="NQ115" s="21" t="str">
        <f t="shared" si="437"/>
        <v/>
      </c>
      <c r="NR115" s="21" t="str">
        <f t="shared" ca="1" si="497"/>
        <v>REVISAR FUM O FECHA SALIDA PROGRAMA</v>
      </c>
      <c r="NS115" s="205">
        <f t="shared" ca="1" si="485"/>
        <v>1</v>
      </c>
      <c r="NT115" s="21">
        <f t="shared" ca="1" si="486"/>
        <v>1</v>
      </c>
      <c r="NU115" s="21" t="str">
        <f t="shared" ca="1" si="487"/>
        <v>POR DEFINIR</v>
      </c>
      <c r="NV115" s="21" t="str">
        <f t="shared" ca="1" si="488"/>
        <v>POR DEFINIR</v>
      </c>
      <c r="NW115" s="206" t="str">
        <f>IF(AND(O115="",R115=""),"",IF(OR(AND(Tabla1[[#This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15" s="207" t="str">
        <f t="shared" ca="1" si="489"/>
        <v>SIN VACUNAR</v>
      </c>
      <c r="NY115" s="43">
        <f>ROW(Tabla1[[#This Row],['# DE TAMIZAJES SIFILIS TOMADOS ]])</f>
        <v>115</v>
      </c>
      <c r="NZ115" s="43">
        <f t="shared" si="334"/>
        <v>12</v>
      </c>
      <c r="OA115" s="43" t="str">
        <f t="shared" si="335"/>
        <v/>
      </c>
      <c r="OB115" s="43" t="str">
        <f t="shared" si="336"/>
        <v/>
      </c>
      <c r="OC115" s="43" t="str">
        <f t="shared" si="337"/>
        <v/>
      </c>
      <c r="OD115" s="43" t="str">
        <f t="shared" si="338"/>
        <v>BAJO PESO</v>
      </c>
      <c r="OE115" s="43" t="str">
        <f t="shared" si="339"/>
        <v/>
      </c>
      <c r="OF115" s="43" t="str">
        <f t="shared" si="340"/>
        <v/>
      </c>
      <c r="OG115" s="43" t="str">
        <f t="shared" si="341"/>
        <v/>
      </c>
      <c r="OH115" s="43" t="str">
        <f t="shared" si="342"/>
        <v/>
      </c>
      <c r="OI115" s="43" t="str">
        <f t="shared" si="343"/>
        <v/>
      </c>
      <c r="OJ115" s="43" t="str">
        <f t="shared" si="344"/>
        <v/>
      </c>
      <c r="OK115" s="43" t="str">
        <f t="shared" si="345"/>
        <v/>
      </c>
      <c r="OL115" s="43" t="str">
        <f t="shared" si="346"/>
        <v/>
      </c>
      <c r="OM115" s="43" t="str">
        <f t="shared" si="347"/>
        <v/>
      </c>
      <c r="ON115" s="43" t="str">
        <f t="shared" si="348"/>
        <v/>
      </c>
      <c r="OO115" s="43" t="str">
        <f t="shared" si="349"/>
        <v/>
      </c>
      <c r="OP115" s="43" t="str">
        <f t="shared" si="350"/>
        <v/>
      </c>
      <c r="OQ115" s="43" t="str">
        <f t="shared" si="351"/>
        <v/>
      </c>
      <c r="OR115" s="43" t="str">
        <f t="shared" si="352"/>
        <v/>
      </c>
      <c r="OS115" s="43" t="str">
        <f t="shared" si="353"/>
        <v/>
      </c>
      <c r="OT115" s="43" t="str">
        <f t="shared" si="354"/>
        <v/>
      </c>
      <c r="OU115" s="43" t="str">
        <f t="shared" si="355"/>
        <v/>
      </c>
      <c r="OV115" s="110" t="str">
        <f t="shared" si="356"/>
        <v/>
      </c>
      <c r="OW115" s="43" t="str">
        <f t="shared" si="357"/>
        <v/>
      </c>
      <c r="OX115" s="43" t="str">
        <f t="shared" si="358"/>
        <v/>
      </c>
      <c r="OY115" s="43" t="str">
        <f t="shared" si="359"/>
        <v/>
      </c>
      <c r="OZ115" s="43" t="str">
        <f t="shared" si="360"/>
        <v/>
      </c>
      <c r="PA115" s="43" t="str">
        <f t="shared" si="361"/>
        <v/>
      </c>
      <c r="PB115" s="43" t="str">
        <f t="shared" si="362"/>
        <v/>
      </c>
      <c r="PC115" s="43" t="str">
        <f t="shared" si="363"/>
        <v/>
      </c>
      <c r="PD115" s="43" t="str">
        <f t="shared" si="364"/>
        <v/>
      </c>
      <c r="PE115" s="43" t="str">
        <f t="shared" si="365"/>
        <v/>
      </c>
      <c r="PF115" s="43" t="str">
        <f t="shared" si="366"/>
        <v/>
      </c>
      <c r="PG115" s="43" t="str">
        <f t="shared" si="367"/>
        <v/>
      </c>
      <c r="PH115" s="43" t="str">
        <f t="shared" si="368"/>
        <v/>
      </c>
      <c r="PI115" s="43">
        <f t="shared" si="369"/>
        <v>32</v>
      </c>
      <c r="PJ115" s="43" t="str">
        <f t="shared" si="370"/>
        <v/>
      </c>
      <c r="PK115" s="43" t="str">
        <f t="shared" si="371"/>
        <v/>
      </c>
      <c r="PL115" s="43" t="str">
        <f t="shared" si="372"/>
        <v/>
      </c>
      <c r="PM115" s="43" t="str">
        <f t="shared" si="373"/>
        <v/>
      </c>
      <c r="PN115" s="43" t="str">
        <f t="shared" si="374"/>
        <v/>
      </c>
      <c r="PO115" s="43" t="str">
        <f t="shared" si="375"/>
        <v/>
      </c>
      <c r="PP115" s="43" t="str">
        <f t="shared" si="376"/>
        <v/>
      </c>
      <c r="PQ115" s="43" t="str">
        <f t="shared" si="377"/>
        <v/>
      </c>
      <c r="PR115" s="43" t="str">
        <f t="shared" si="378"/>
        <v/>
      </c>
      <c r="PS115" s="43" t="str">
        <f t="shared" si="379"/>
        <v/>
      </c>
      <c r="PT115" s="43" t="str">
        <f t="shared" si="380"/>
        <v/>
      </c>
      <c r="PU115" s="43" t="str">
        <f t="shared" si="381"/>
        <v/>
      </c>
      <c r="PV115" s="43" t="str">
        <f t="shared" si="382"/>
        <v/>
      </c>
      <c r="PW115" s="43" t="str">
        <f t="shared" si="383"/>
        <v/>
      </c>
      <c r="PX115" s="43" t="str">
        <f t="shared" si="384"/>
        <v/>
      </c>
      <c r="PY115" s="43" t="str">
        <f t="shared" si="385"/>
        <v/>
      </c>
      <c r="PZ115" s="43" t="str">
        <f t="shared" si="386"/>
        <v/>
      </c>
      <c r="QA115" s="43" t="str">
        <f t="shared" si="387"/>
        <v/>
      </c>
      <c r="QB115" s="43" t="str">
        <f t="shared" si="388"/>
        <v/>
      </c>
      <c r="QC115" s="43" t="str">
        <f t="shared" si="389"/>
        <v/>
      </c>
      <c r="QD115" s="43" t="str">
        <f t="shared" si="390"/>
        <v/>
      </c>
      <c r="QE115" s="43" t="str">
        <f t="shared" si="391"/>
        <v/>
      </c>
      <c r="QF115" s="43" t="str">
        <f t="shared" si="392"/>
        <v/>
      </c>
      <c r="QG115" s="43" t="str">
        <f t="shared" si="393"/>
        <v>BAJO PESO</v>
      </c>
      <c r="QH115" s="43" t="str">
        <f t="shared" si="394"/>
        <v/>
      </c>
      <c r="QI115" s="43" t="str">
        <f t="shared" si="395"/>
        <v/>
      </c>
      <c r="QJ115" s="43" t="str">
        <f t="shared" si="396"/>
        <v/>
      </c>
      <c r="QK115" s="43" t="str">
        <f t="shared" si="397"/>
        <v/>
      </c>
      <c r="QL115" s="43" t="str">
        <f t="shared" si="398"/>
        <v/>
      </c>
      <c r="QM115" s="43" t="str">
        <f t="shared" si="399"/>
        <v/>
      </c>
      <c r="QN115" s="43" t="str">
        <f t="shared" si="400"/>
        <v/>
      </c>
      <c r="QO115" s="43" t="str">
        <f t="shared" si="401"/>
        <v/>
      </c>
      <c r="QP115" s="43" t="str">
        <f t="shared" si="402"/>
        <v/>
      </c>
      <c r="QQ115" s="43" t="str">
        <f t="shared" si="403"/>
        <v/>
      </c>
      <c r="QR115" s="43">
        <f t="shared" si="433"/>
        <v>32</v>
      </c>
      <c r="QS115" s="43"/>
      <c r="QT115" s="21" t="str">
        <f t="shared" si="404"/>
        <v/>
      </c>
      <c r="QU115" s="21" t="str">
        <f t="shared" si="405"/>
        <v/>
      </c>
      <c r="QV115" s="21" t="str">
        <f t="shared" si="406"/>
        <v/>
      </c>
      <c r="QW115" s="21" t="str">
        <f t="shared" si="407"/>
        <v/>
      </c>
      <c r="QX115" s="21" t="str">
        <f t="shared" si="408"/>
        <v/>
      </c>
      <c r="QY115" s="21" t="str">
        <f t="shared" si="409"/>
        <v/>
      </c>
      <c r="QZ115" s="21" t="str">
        <f t="shared" si="410"/>
        <v/>
      </c>
      <c r="RA115" s="21" t="str">
        <f t="shared" si="411"/>
        <v/>
      </c>
      <c r="RB115" s="21" t="str">
        <f t="shared" si="412"/>
        <v/>
      </c>
      <c r="RC115" s="21" t="str">
        <f t="shared" si="413"/>
        <v/>
      </c>
      <c r="RD115" s="21" t="str">
        <f t="shared" si="414"/>
        <v/>
      </c>
      <c r="RE115" s="21" t="str">
        <f t="shared" si="415"/>
        <v/>
      </c>
      <c r="RF115" s="21" t="str">
        <f t="shared" si="416"/>
        <v/>
      </c>
      <c r="RG115" s="21" t="str">
        <f t="shared" si="417"/>
        <v/>
      </c>
      <c r="RH115" s="21" t="str">
        <f t="shared" si="418"/>
        <v/>
      </c>
      <c r="RI115" s="21" t="str">
        <f t="shared" si="419"/>
        <v/>
      </c>
      <c r="RJ115" s="21" t="str">
        <f t="shared" si="420"/>
        <v/>
      </c>
      <c r="RK115" s="21" t="str">
        <f t="shared" si="421"/>
        <v/>
      </c>
      <c r="RL115" s="21" t="str">
        <f t="shared" si="422"/>
        <v/>
      </c>
      <c r="RM115" s="21" t="str">
        <f t="shared" si="423"/>
        <v>ADECUADO PARA EDAD GESTACIONAL</v>
      </c>
      <c r="RN115" s="21" t="str">
        <f t="shared" si="424"/>
        <v/>
      </c>
      <c r="RO115" s="21" t="str">
        <f t="shared" si="425"/>
        <v/>
      </c>
      <c r="RP115" s="21" t="str">
        <f t="shared" si="426"/>
        <v/>
      </c>
      <c r="RQ115" s="21" t="str">
        <f t="shared" si="427"/>
        <v/>
      </c>
      <c r="RR115" s="21" t="str">
        <f t="shared" si="428"/>
        <v/>
      </c>
      <c r="RS115" s="21" t="str">
        <f t="shared" si="429"/>
        <v/>
      </c>
      <c r="RT115" s="21" t="str">
        <f t="shared" si="430"/>
        <v/>
      </c>
      <c r="RU115" s="21" t="str">
        <f t="shared" si="431"/>
        <v/>
      </c>
      <c r="RV115" s="21">
        <f t="shared" si="432"/>
        <v>12.857142857142858</v>
      </c>
      <c r="RW115" s="284">
        <f>IF(OR(Tabla1[[#This Row],[FUM FORMULA CONFIABLE]]="",Tabla1[[#This Row],[FUM FORMULA CONFIABLE]]="SD"),"",IF(Tabla1[[#This Row],[FUM FORMULA CONFIABLE]]="CORREGIDA",Tabla1[[#This Row],[FUM X ECO 1]],Tabla1[[#This Row],[FUM x AMENORREA]]))</f>
        <v>44892</v>
      </c>
      <c r="RX115" s="21">
        <f>IF(AND(Tabla1[[#This Row],[FUM X ECO 1]]="",Tabla1[[#This Row],[FUM x AMENORREA]]=""),"",IF(AND(Tabla1[[#This Row],[FUM X ECO 1]]="",Tabla1[[#This Row],[FUM x AMENORREA]]&lt;&gt;""),"X",SUM(Tabla1[[#This Row],[FUM X ECO 1]]-Tabla1[[#This Row],[FUM x AMENORREA]])))</f>
        <v>-2.6999999999970896</v>
      </c>
      <c r="RY115" s="21">
        <f t="shared" si="434"/>
        <v>0</v>
      </c>
    </row>
    <row r="116" spans="1:493" ht="45" customHeight="1" x14ac:dyDescent="0.25">
      <c r="A116" s="109"/>
      <c r="B116" s="43"/>
      <c r="C116" s="43" t="s">
        <v>845</v>
      </c>
      <c r="D116" s="124"/>
      <c r="E116" s="43" t="s">
        <v>953</v>
      </c>
      <c r="F116" s="43" t="s">
        <v>1345</v>
      </c>
      <c r="G116" s="43" t="s">
        <v>1346</v>
      </c>
      <c r="H116" s="43"/>
      <c r="I116" s="109" t="s">
        <v>851</v>
      </c>
      <c r="J116" s="110" t="s">
        <v>1347</v>
      </c>
      <c r="K116" s="43" t="s">
        <v>852</v>
      </c>
      <c r="L116" s="175" t="s">
        <v>853</v>
      </c>
      <c r="M116" s="22">
        <v>35034</v>
      </c>
      <c r="N116" s="213">
        <f t="shared" ca="1" si="252"/>
        <v>27.93972602739726</v>
      </c>
      <c r="O116" s="22">
        <v>44982</v>
      </c>
      <c r="P116" s="214" t="str">
        <f t="shared" si="438"/>
        <v>SI</v>
      </c>
      <c r="Q116" s="26" t="s">
        <v>855</v>
      </c>
      <c r="R116" s="22">
        <v>44982</v>
      </c>
      <c r="S116" s="21" t="s">
        <v>856</v>
      </c>
      <c r="T116" s="24" t="s">
        <v>690</v>
      </c>
      <c r="U116" s="21" t="s">
        <v>857</v>
      </c>
      <c r="V116" s="21" t="s">
        <v>858</v>
      </c>
      <c r="W116" s="21" t="s">
        <v>1302</v>
      </c>
      <c r="X116" s="21" t="s">
        <v>1302</v>
      </c>
      <c r="Y116" s="21" t="s">
        <v>859</v>
      </c>
      <c r="Z116" s="21">
        <v>3154361773</v>
      </c>
      <c r="AA116" s="21" t="s">
        <v>860</v>
      </c>
      <c r="AB116" s="27" t="s">
        <v>861</v>
      </c>
      <c r="AC116" s="26" t="s">
        <v>846</v>
      </c>
      <c r="AD116" s="38" t="s">
        <v>1546</v>
      </c>
      <c r="AE116" s="26" t="s">
        <v>854</v>
      </c>
      <c r="AF116" s="26" t="s">
        <v>854</v>
      </c>
      <c r="AG116" s="23" t="s">
        <v>864</v>
      </c>
      <c r="AH116" s="23" t="s">
        <v>864</v>
      </c>
      <c r="AI116" s="24" t="s">
        <v>863</v>
      </c>
      <c r="AJ116" s="23" t="s">
        <v>864</v>
      </c>
      <c r="AK116" s="220" t="str">
        <f>IF(AND(AD116="",AE116="",AF116="",AG116="",AH116="",AI116="",AJ116=""),"",IF(OR(Tabla1[[#This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EVALUACIÓN",IF(AND(O116="",R116=""),"",IF(AND(OR(O116&gt;0,R116&gt;0),NG116&gt;=0,NG116&lt;2),"SIN RIESGO",IF(AND(OR(O116&gt;0,R116&gt;0),NG116&gt;=2),"CON RIESGO","ASD")))))</f>
        <v>SIN RIESGO</v>
      </c>
      <c r="AL116" s="23" t="s">
        <v>864</v>
      </c>
      <c r="AM116" s="26" t="s">
        <v>864</v>
      </c>
      <c r="AN116" s="26" t="s">
        <v>864</v>
      </c>
      <c r="AO116" s="26" t="s">
        <v>864</v>
      </c>
      <c r="AP116" s="26" t="s">
        <v>864</v>
      </c>
      <c r="AQ116" s="26" t="s">
        <v>864</v>
      </c>
      <c r="AR116" s="26" t="s">
        <v>864</v>
      </c>
      <c r="AS116" s="21">
        <v>2</v>
      </c>
      <c r="AT116" s="21">
        <v>2</v>
      </c>
      <c r="AU116" s="21">
        <v>0</v>
      </c>
      <c r="AV116" s="26" t="s">
        <v>864</v>
      </c>
      <c r="AW116" s="21">
        <v>0</v>
      </c>
      <c r="AX116" s="26" t="s">
        <v>864</v>
      </c>
      <c r="AY116" s="26" t="s">
        <v>864</v>
      </c>
      <c r="AZ116" s="26" t="s">
        <v>864</v>
      </c>
      <c r="BA116" s="26" t="s">
        <v>864</v>
      </c>
      <c r="BB116" s="26" t="s">
        <v>864</v>
      </c>
      <c r="BC116" s="26" t="s">
        <v>864</v>
      </c>
      <c r="BD116" s="26" t="s">
        <v>864</v>
      </c>
      <c r="BE116" s="26" t="s">
        <v>864</v>
      </c>
      <c r="BF116" s="26" t="s">
        <v>864</v>
      </c>
      <c r="BG116" s="26" t="s">
        <v>864</v>
      </c>
      <c r="BH116" s="26" t="s">
        <v>864</v>
      </c>
      <c r="BI116" s="26" t="s">
        <v>864</v>
      </c>
      <c r="BJ116" s="26" t="s">
        <v>864</v>
      </c>
      <c r="BK116" s="26" t="s">
        <v>865</v>
      </c>
      <c r="BL116" s="26" t="s">
        <v>864</v>
      </c>
      <c r="BM116" s="26" t="s">
        <v>864</v>
      </c>
      <c r="BN116" s="22">
        <v>43332</v>
      </c>
      <c r="BO116" s="22">
        <v>44880</v>
      </c>
      <c r="BP116" s="21" t="s">
        <v>854</v>
      </c>
      <c r="BQ116" s="222">
        <f t="shared" si="254"/>
        <v>51.6</v>
      </c>
      <c r="BR116" s="223">
        <f t="shared" si="255"/>
        <v>44885.8</v>
      </c>
      <c r="BS116" s="224">
        <f t="shared" si="256"/>
        <v>14.571428571428571</v>
      </c>
      <c r="BT116" s="216" t="str">
        <f t="shared" si="257"/>
        <v>II TRIM</v>
      </c>
      <c r="BU116" s="214" t="str">
        <f t="shared" ca="1" si="258"/>
        <v/>
      </c>
      <c r="BV116" s="25"/>
      <c r="BW116" s="22">
        <v>45016</v>
      </c>
      <c r="BX116" s="28">
        <v>18.600000000000001</v>
      </c>
      <c r="BY116" s="28"/>
      <c r="BZ116" s="22">
        <v>45051</v>
      </c>
      <c r="CA116" s="21">
        <v>23.1</v>
      </c>
      <c r="CB116" s="26" t="s">
        <v>864</v>
      </c>
      <c r="CC116" s="26" t="s">
        <v>864</v>
      </c>
      <c r="CD116" s="26" t="s">
        <v>878</v>
      </c>
      <c r="CE116" s="26" t="s">
        <v>864</v>
      </c>
      <c r="CF116" s="22" t="s">
        <v>1517</v>
      </c>
      <c r="CG116" s="21">
        <v>1.55</v>
      </c>
      <c r="CH116" s="21">
        <v>61</v>
      </c>
      <c r="CI116" s="214">
        <f t="shared" si="259"/>
        <v>25.390218522372525</v>
      </c>
      <c r="CJ116" s="225" t="e">
        <f>IF(AND(CI116&lt;10,CH116="SD"),"SIN DATO PESO PREGESTACION O I TRIM",IF(AND(OR(R116&gt;0,O116&gt;0),CI116="X"),"INGRESAR DATO DE PESO",IF(CI116="SD","INGRESAR DATO DE TALLA Y PESO",IF(AND(OR(Tabla1[[#This Row],[MOMENTO EN QUE SE REALIZA EL PESO AL INGRESO A CPN]]="PREGESTACIÓN",NZ116="Menor"),CI116&lt;18.5),"BAJO PESO",IF(AND(OR(Tabla1[[#This Row],[MOMENTO EN QUE SE REALIZA EL PESO AL INGRESO A CPN]]="PREGESTACIÓN",NZ116="Menor"),CI116&lt;25),"NORMAL",IF(AND(OR(Tabla1[[#This Row],[MOMENTO EN QUE SE REALIZA EL PESO AL INGRESO A CPN]]="PREGESTACIÓN",NZ116="Menor"),CI116&lt;30),"SOBREPESO",IF(AND(OR(Tabla1[[#This Row],[MOMENTO EN QUE SE REALIZA EL PESO AL INGRESO A CPN]]="PREGESTACIÓN",NZ116="Menor"),CI116&gt;=30,CI116&lt;50),"OBESIDAD",IF(AND(BS116&gt;0,Tabla1[[#This Row],[MOMENTO EN QUE SE REALIZA EL PESO AL INGRESO A CPN]]="GESTACIÓN"),HLOOKUP(NZ116,$OA$2:PH116,NY116),""))))))))</f>
        <v>#REF!</v>
      </c>
      <c r="CK116" s="212">
        <f t="shared" si="260"/>
        <v>45139</v>
      </c>
      <c r="CL116" s="21">
        <v>67.400000000000006</v>
      </c>
      <c r="CM116" s="214">
        <f t="shared" si="261"/>
        <v>28.05411030176899</v>
      </c>
      <c r="CN116" s="216">
        <f t="shared" si="262"/>
        <v>37</v>
      </c>
      <c r="CO116" s="216" t="e">
        <f>IF(PI116="","",IF(PI116&gt;0,HLOOKUP(PI116,$PJ$2:QQ116,NY116),""))</f>
        <v>#REF!</v>
      </c>
      <c r="CP116" s="21">
        <v>31</v>
      </c>
      <c r="CQ116" s="216" t="e">
        <f>IF(QR116="Menor","NO APLICA-MENOR 13 SEM",IF(AND(CC116="SI",CN116&gt;23),"NO APLICA- GEMELAR",IF(QR116="","",IF(QR116&gt;0,HLOOKUP(QR116,$QS$2:RU116,NY116),""))))</f>
        <v>#REF!</v>
      </c>
      <c r="CR116" s="21">
        <v>100</v>
      </c>
      <c r="CS116" s="21">
        <v>60</v>
      </c>
      <c r="CT116" s="217" t="str">
        <f>IF(R116="","",IF(AND(BS116&gt;1,BS116&lt;12,Tabla1[[#This Row],[T.A. SISTOLICA - ANTES DE SEMANA 12]]="",Tabla1[[#This Row],[T.A. DIASTOLICA - ANTES DE SEMANA 12]]=""),"REGISTRE DATO TA ANTES SEMANA 12",IF(AND(BS116&gt;11,BS116&lt;43,Tabla1[[#This Row],[T.A. SISTOLICA - ANTES DE SEMANA 12]]="",Tabla1[[#This Row],[T.A. DIASTOLICA - ANTES DE SEMANA 12]]=""),"NO APLICA REGISTRO TA-INGRESO TARDIO",IF(AND(OR(O116&gt;0,R116&gt;0),OR(CR116&gt;=140,CS116&gt;=90)),"DEFINIR ESTADIO HTA",IF(AND(OR(O116&gt;0,R116&gt;0),AND(CR116&gt;120,CR116&lt;=139)),"PRE HTA SEGUIMIENTO",IF(AND(OR(O116&gt;0,R116&gt;0),AND(CS116&gt;80,CS116&lt;=89)),"PRE HTA SEGUIMIENTO",IF(AND(OR(O116&gt;0,R116&gt;0),AND(CR116&gt;=80,CR116&lt;=120)),"APARENTEMENTE NORMAL",IF(AND(OR(O116&gt;0,R116&gt;0),AND(CS116&gt;=50,CS116&lt;=80)),"APARENTEMENTE NORMAL",IF(AND(OR(O116&gt;0,R116&gt;0),AND(CR116&gt;1,CR116&lt;=70),AND(CS116&gt;1,CS116&lt;=40)),"HIPOTENSIÓN","")))))))))</f>
        <v>APARENTEMENTE NORMAL</v>
      </c>
      <c r="CU116" s="21">
        <v>90</v>
      </c>
      <c r="CV116" s="21">
        <v>60</v>
      </c>
      <c r="CW116" s="217" t="str">
        <f ca="1">IF(R116="","",IF(AND(CN116&gt;19,CN116&lt;27,Tabla1[[#This Row],[T.A. SISTOLICA (Entre semana 20 y 26)]]="",Tabla1[[#This Row],[T.A. DIATOLICA (Entre semana 20 y 26)]]=""),"ACUDE A CONTROL SEM 20 A 26 REGISTRE TA AHORA",IF(AND(BS116&gt;1,BS116&lt;27,BU116&gt;19,Tabla1[[#This Row],[T.A. SISTOLICA (Entre semana 20 y 26)]]="",Tabla1[[#This Row],[T.A. DIATOLICA (Entre semana 20 y 26)]]=""),"COMPLETE REGISTRO TA CONTROL SEM 20 A26 ",IF(AND(BS116&gt;26,BS116&lt;43,Tabla1[[#This Row],[T.A. SISTOLICA (Entre semana 20 y 26)]]="",Tabla1[[#This Row],[T.A. DIATOLICA (Entre semana 20 y 26)]]=""),"NO APLICA REGISTRO TA-INGRESO TARDIO",IF(AND(OR(O116&gt;0,R116&gt;0),OR(CU116&gt;=140,CV116&gt;=90)),"ALTO RIESGO PREECLAMPSIA,DEFINIR ESTADIO HTA",IF(AND(OR(O116&gt;0,R116&gt;0),AND(CU116&gt;120,CU116&lt;=139)),"PRE HTA SEGUIMIENTO,RIESGO HIPERTENSION INDUCIDA POR EL EMBARAZO",IF(AND(OR(O116&gt;0,R116&gt;0),AND(CV116&gt;80,CV116&lt;=89)),"PRE HTA SEGUIMIENTO, RIESGO HIPERTENSION INDUCIDA POR EL EMBARAZO",IF(AND(OR(O116&lt;&gt;"",R116&lt;&gt;""),CS116&lt;&gt;"",CV116&lt;&gt;"",CS116&lt;=CV116),"VIGILAR CIFRAS PRESION ARTERIAL",IF(AND(OR(O116&gt;0,R116&gt;0),AND(CU116&gt;120,CU116&lt;=139)),"PRE HTA SEGUIMIENTO",IF(AND(OR(O116&gt;0,R116&gt;0),AND(CU116&gt;1,CU116&lt;=70),AND(CV116&gt;1,CV116&lt;=40)),"HIPOTENSIÓN",IF(AND(OR(O116&lt;&gt;"",R116&lt;&gt;""),CS116&lt;&gt;"",CV116&lt;&gt;"",CS116&gt;CV116),"APARENTEMENTE NORMAL",IF(AND(OR(O116&gt;0,R116&gt;0),AND(CU116&gt;=80,CU116&lt;=120)),"APARENTEMENTE NORMAL",IF(AND(OR(O116&gt;0,R116&gt;0),AND(CV116&gt;=50,CV116&lt;=80)),"APARENTEMENTE NORMAL","")))))))))))))</f>
        <v>VIGILAR CIFRAS PRESION ARTERIAL</v>
      </c>
      <c r="CX116" s="21"/>
      <c r="CY116" s="21"/>
      <c r="CZ116" s="216" t="str">
        <f t="shared" si="457"/>
        <v/>
      </c>
      <c r="DA116" s="21">
        <v>90</v>
      </c>
      <c r="DB116" s="21">
        <v>60</v>
      </c>
      <c r="DC116" s="217" t="str">
        <f t="shared" si="264"/>
        <v>APARENTEMENTE NORMAL</v>
      </c>
      <c r="DD116" s="22">
        <v>44982</v>
      </c>
      <c r="DE116" s="22">
        <v>44982</v>
      </c>
      <c r="DF116" s="22">
        <v>45008</v>
      </c>
      <c r="DG116" s="22">
        <v>45042</v>
      </c>
      <c r="DH116" s="22">
        <v>45071</v>
      </c>
      <c r="DI116" s="22">
        <v>45139</v>
      </c>
      <c r="DJ116" s="22"/>
      <c r="DK116" s="22"/>
      <c r="DL116" s="22"/>
      <c r="DM116" s="22"/>
      <c r="DN116" s="22"/>
      <c r="DO116" s="22"/>
      <c r="DP116" s="22"/>
      <c r="DQ116" s="22"/>
      <c r="DR116" s="28">
        <v>2</v>
      </c>
      <c r="DS116" s="22"/>
      <c r="DT116" s="22"/>
      <c r="DU116" s="216" t="str">
        <f t="shared" ca="1" si="439"/>
        <v>CONCERTAR PLAN DE PARTO INMEDIATO</v>
      </c>
      <c r="DV116" s="226" t="str">
        <f t="shared" si="440"/>
        <v>ACTIVA INGRESO A CPN</v>
      </c>
      <c r="DW11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16" s="216" t="e">
        <f t="shared" ca="1" si="266"/>
        <v>#REF!</v>
      </c>
      <c r="DY116" s="212">
        <f>IF(R116="","",IF(R116&gt;0,MAX(Tabla1[[#This Row],[FECHA C2]:[FECHA C13]],Tabla1[[#This Row],[FECHA CONSULTA PRIMERA VEZ PROGRAMA CPN ]])))</f>
        <v>45139</v>
      </c>
      <c r="DZ116" s="216">
        <f t="shared" si="267"/>
        <v>37</v>
      </c>
      <c r="EA116" s="222">
        <f>IF(R116&gt;0,SUM(COUNTA(DF116:DQ116)+COUNTA(Tabla1[[#This Row],[FECHA CONSULTA PRIMERA VEZ PROGRAMA CPN ]])),"")</f>
        <v>5</v>
      </c>
      <c r="EB116" s="222" t="str">
        <f t="shared" si="268"/>
        <v>SI</v>
      </c>
      <c r="EC116" s="214">
        <f t="shared" si="269"/>
        <v>8</v>
      </c>
      <c r="ED116" s="227">
        <f t="shared" si="270"/>
        <v>0.625</v>
      </c>
      <c r="EE116" s="22">
        <v>44982</v>
      </c>
      <c r="EF116" s="22">
        <v>44982</v>
      </c>
      <c r="EG116" s="22">
        <v>44982</v>
      </c>
      <c r="EH116" s="22">
        <v>45014</v>
      </c>
      <c r="EI116" s="22">
        <v>44982</v>
      </c>
      <c r="EJ116" s="22">
        <v>45014</v>
      </c>
      <c r="EK116" s="22">
        <v>45014</v>
      </c>
      <c r="EL116" s="21">
        <v>1</v>
      </c>
      <c r="EM116" s="21">
        <v>13</v>
      </c>
      <c r="EN116" s="22">
        <v>45003</v>
      </c>
      <c r="EO116" s="222">
        <f t="shared" si="271"/>
        <v>17.571428571428573</v>
      </c>
      <c r="EP116" s="214" t="str">
        <f t="shared" si="272"/>
        <v>NORMAL- SUMINISTRAR SULFATO FERROSO</v>
      </c>
      <c r="EQ116" s="216" t="str">
        <f t="shared" si="273"/>
        <v>II TRIM</v>
      </c>
      <c r="ER116" s="24"/>
      <c r="ES116" s="22"/>
      <c r="ET116" s="29" t="str">
        <f t="shared" ca="1" si="441"/>
        <v>TOMA DE HEMOGLOBINA TARDÍA</v>
      </c>
      <c r="EU116" s="25" t="str">
        <f t="shared" si="275"/>
        <v/>
      </c>
      <c r="EV116" s="24" t="s">
        <v>1510</v>
      </c>
      <c r="EW116" s="32">
        <v>45003</v>
      </c>
      <c r="EX116" s="22"/>
      <c r="EY116" s="29">
        <f t="shared" si="454"/>
        <v>17.571428571428573</v>
      </c>
      <c r="EZ116" s="25" t="str">
        <f t="shared" si="455"/>
        <v>SIN RIESGO DE ISOINMUNIZACIÓN</v>
      </c>
      <c r="FA116" s="21">
        <v>64</v>
      </c>
      <c r="FB116" s="22">
        <v>45003</v>
      </c>
      <c r="FC116" s="29">
        <f t="shared" si="276"/>
        <v>17.571428571428573</v>
      </c>
      <c r="FD116" s="29">
        <v>65</v>
      </c>
      <c r="FE116" s="29">
        <v>100</v>
      </c>
      <c r="FF116" s="29">
        <v>114</v>
      </c>
      <c r="FG116" s="21" t="str">
        <f t="shared" ca="1" si="277"/>
        <v>NORMAL</v>
      </c>
      <c r="FH116" s="31">
        <v>45051</v>
      </c>
      <c r="FI116" s="29">
        <f t="shared" si="278"/>
        <v>24.428571428571427</v>
      </c>
      <c r="FJ116" s="22"/>
      <c r="FK116" s="22"/>
      <c r="FL116" s="29" t="str">
        <f t="shared" ca="1" si="279"/>
        <v>NO APLICA-INGRESO TARDIO</v>
      </c>
      <c r="FM116" s="22" t="s">
        <v>867</v>
      </c>
      <c r="FN116" s="32">
        <v>45003</v>
      </c>
      <c r="FO116" s="29">
        <f t="shared" ca="1" si="442"/>
        <v>17.571428571428573</v>
      </c>
      <c r="FP116" s="22"/>
      <c r="FQ116" s="32"/>
      <c r="FR116" s="29" t="str">
        <f t="shared" ca="1" si="443"/>
        <v>TOMA INMEDIATA DE TAMIZAJE</v>
      </c>
      <c r="FS116" s="22"/>
      <c r="FT116" s="32"/>
      <c r="FU116" s="29" t="str">
        <f>IF(AND(FJ116="",FM116="",FP116="",FS116=""),"",IF(OR(OR(Tabla1[[#This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16" s="28"/>
      <c r="FW116" s="22"/>
      <c r="FX116" s="29" t="str">
        <f t="shared" si="280"/>
        <v>TOMAR EXAMEN</v>
      </c>
      <c r="FY116" s="22">
        <v>44982</v>
      </c>
      <c r="FZ116" s="22">
        <v>44982</v>
      </c>
      <c r="GA116" s="29" t="str">
        <f t="shared" si="453"/>
        <v>REGISTRAR EN II TRIMESTRE</v>
      </c>
      <c r="GB116" s="22" t="s">
        <v>868</v>
      </c>
      <c r="GC116" s="22">
        <v>45003</v>
      </c>
      <c r="GD116" s="29">
        <f t="shared" ca="1" si="491"/>
        <v>17.571428571428573</v>
      </c>
      <c r="GE116" s="22"/>
      <c r="GF116" s="22"/>
      <c r="GG116" s="29" t="str">
        <f t="shared" ca="1" si="445"/>
        <v>TOMA INMEDIATA DE TAMIZAJE</v>
      </c>
      <c r="GH116" s="22"/>
      <c r="GI116" s="29"/>
      <c r="GJ116" s="22"/>
      <c r="GK116" s="22"/>
      <c r="GL116" s="22"/>
      <c r="GM116" s="22"/>
      <c r="GN116" s="28" t="s">
        <v>869</v>
      </c>
      <c r="GO116" s="22">
        <v>45003</v>
      </c>
      <c r="GP116" s="29">
        <f t="shared" si="283"/>
        <v>17.571428571428573</v>
      </c>
      <c r="GQ116" s="28"/>
      <c r="GR116" s="28"/>
      <c r="GS116" s="22" t="str">
        <f t="shared" si="458"/>
        <v/>
      </c>
      <c r="GT116" s="22"/>
      <c r="GU116" s="29" t="str">
        <f t="shared" si="285"/>
        <v>TOMAR EXAMEN</v>
      </c>
      <c r="GV116" s="21" t="str">
        <f t="shared" si="286"/>
        <v>POR DEFINIR</v>
      </c>
      <c r="GW116" s="28"/>
      <c r="GX116" s="30"/>
      <c r="GY116" s="21"/>
      <c r="GZ116" s="21"/>
      <c r="HA116" s="21"/>
      <c r="HB116" s="21"/>
      <c r="HC116" s="21"/>
      <c r="HD116" s="21"/>
      <c r="HE116" s="21"/>
      <c r="HF116" s="22"/>
      <c r="HG116" s="22" t="str">
        <f>IF(OR(O116&gt;0,R116&gt;0),CONCATENATE(IF(Tabla1[[#This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16" s="22" t="e">
        <f t="shared" si="287"/>
        <v>#REF!</v>
      </c>
      <c r="HI116" s="22" t="e">
        <f t="shared" ca="1" si="288"/>
        <v>#REF!</v>
      </c>
      <c r="HJ116" s="21" t="str">
        <f t="shared" ca="1" si="289"/>
        <v>***************************************</v>
      </c>
      <c r="HK116" s="21" t="str">
        <f t="shared" si="290"/>
        <v>SIN ANTECEDENTES DE RIESGO</v>
      </c>
      <c r="HL116" s="24" t="str">
        <f t="shared" si="291"/>
        <v>APARENTEMENTE NORMAL</v>
      </c>
      <c r="HM116" s="21" t="e">
        <f t="shared" ca="1" si="292"/>
        <v>#REF!</v>
      </c>
      <c r="HN116" s="30" t="str">
        <f t="shared" si="446"/>
        <v>ACTIVA INGRESO A CPN</v>
      </c>
      <c r="HO116" s="21"/>
      <c r="HP116" s="21"/>
      <c r="HQ116" s="21">
        <v>44982</v>
      </c>
      <c r="HR116" s="21" t="str">
        <f>IF(R116="","",IF(Tabla1[[#This Row],[ALARMA FACTORES DE RIESGO COMPLICACIONES HIPERTENSIVAS3]]="SIN ANTECEDENTES DE RIESGO","No Aplica para suministro de ASA",IF(AND(Tabla1[[#This Row],[FECHA INICIO DE SUMINISTRO DE ASA]]&gt;0,RV116&lt;12),"Inicia ASA ANTES de Sem 12",IF(AND(RV116&gt;11,RV116&lt;17,OR(HK116="RIESGO ALTO DE COMPLICACIONES HIPERTENSIVAS VER MANEJO GUIA SUMINISTRO ASA Y CALCIO",HK116="RIESGO MODERADO (2 O MAS CRITERIOS) VER MANEJO GUIA SUMINISTRO ASA Y CALCIO")),"Inicio oportuno de ASA",IF(AND(RV116&gt;12,OR(HK116="RIESGO ALTO DE COMPLICACIONES HIPERTENSIVAS VER MANEJO GUIA SUMINISTRO ASA Y CALCIO",HK116="RIESGO MODERADO (2 O MAS CRITERIOS) VER MANEJO GUIA SUMINISTRO ASA Y CALCIO")),"Inicio no oportuno mayor a 16 semanas",IF(AND(BU116&lt;12,OR(HK116="RIESGO ALTO DE COMPLICACIONES HIPERTENSIVAS VER MANEJO GUIA SUMINISTRO ASA Y CALCIO",HK116="RIESGO MODERADO (2 O MAS CRITERIOS) VER MANEJO GUIA SUMINISTRO ASA Y CALCIO")),"Pendiente Inicio de ASA a la semana 12",IF(AND(BU116&gt;11,BU116&lt;17,OR(HK116="RIESGO ALTO DE COMPLICACIONES HIPERTENSIVAS VER MANEJO GUIA SUMINISTRO ASA Y CALCIO",HK116="RIESGO MODERADO (2 O MAS CRITERIOS) VER MANEJO GUIA SUMINISTRO ASA Y CALCIO")),"Iniciar de inmediato ASA",IF(AND(BU116&gt;16,OR(HK116="RIESGO ALTO DE COMPLICACIONES HIPERTENSIVAS VER MANEJO GUIA SUMINISTRO ASA Y CALCIO",HK116="RIESGO MODERADO (2 O MAS CRITERIOS) VER MANEJO GUIA SUMINISTRO ASA Y CALCIO")),"Pierde Oportunidad, Inicio tardío de ASA","XXXXX"))))))))</f>
        <v>No Aplica para suministro de ASA</v>
      </c>
      <c r="HS116" s="22">
        <v>44982</v>
      </c>
      <c r="HT116" s="22" t="s">
        <v>870</v>
      </c>
      <c r="HU116" s="22">
        <v>44982</v>
      </c>
      <c r="HV116" s="22" t="s">
        <v>870</v>
      </c>
      <c r="HW116" s="22">
        <v>44982</v>
      </c>
      <c r="HX116" s="22" t="s">
        <v>870</v>
      </c>
      <c r="HY116" s="22">
        <v>44982</v>
      </c>
      <c r="HZ116" s="28">
        <f t="shared" si="293"/>
        <v>14.571428571428571</v>
      </c>
      <c r="IA116" s="26"/>
      <c r="IB116" s="26"/>
      <c r="IC116" s="111"/>
      <c r="ID116" s="22"/>
      <c r="IE116" s="22" t="str">
        <f t="shared" ca="1" si="294"/>
        <v/>
      </c>
      <c r="IF116" s="22"/>
      <c r="IG116" s="22">
        <f t="shared" si="295"/>
        <v>45160</v>
      </c>
      <c r="IH116" s="29">
        <f t="shared" ca="1" si="296"/>
        <v>-72</v>
      </c>
      <c r="II116" s="22" t="str">
        <f t="shared" ca="1" si="297"/>
        <v>POSIBLEMENTE NACIO</v>
      </c>
      <c r="IJ116" s="22"/>
      <c r="IK116" s="21"/>
      <c r="IL116" s="21"/>
      <c r="IM116" s="34"/>
      <c r="IN116" s="349"/>
      <c r="IO116" s="21"/>
      <c r="IP116" s="29" t="str">
        <f t="shared" si="490"/>
        <v/>
      </c>
      <c r="IQ116" s="292"/>
      <c r="IR116" s="21"/>
      <c r="IS116" s="21"/>
      <c r="IT116" s="21"/>
      <c r="IU116" s="21"/>
      <c r="IV116" s="21"/>
      <c r="IW116" s="21"/>
      <c r="IX116" s="21"/>
      <c r="IY116" s="21"/>
      <c r="IZ116" s="21"/>
      <c r="JA116" s="21"/>
      <c r="JB116" s="30"/>
      <c r="JC116" s="21"/>
      <c r="JD116" s="36"/>
      <c r="JE116" s="21" t="str">
        <f t="shared" si="492"/>
        <v/>
      </c>
      <c r="JF116" s="30"/>
      <c r="JG116" s="21"/>
      <c r="JH116" s="21"/>
      <c r="JI116" s="21"/>
      <c r="JJ116" s="30"/>
      <c r="JK116" s="22"/>
      <c r="JL116" s="22"/>
      <c r="JM116" s="21"/>
      <c r="JN116" s="36"/>
      <c r="JO116" s="21" t="str">
        <f t="shared" si="493"/>
        <v/>
      </c>
      <c r="JP116" s="22"/>
      <c r="JQ116" s="21"/>
      <c r="JR116" s="21"/>
      <c r="JS116" s="21"/>
      <c r="JT116" s="30"/>
      <c r="JU116" s="22"/>
      <c r="JV116" s="22"/>
      <c r="JW116" s="33"/>
      <c r="JX116" s="28" t="str">
        <f t="shared" si="494"/>
        <v/>
      </c>
      <c r="JY116" s="33"/>
      <c r="JZ116" s="28" t="str">
        <f t="shared" si="495"/>
        <v/>
      </c>
      <c r="KA116" s="21"/>
      <c r="KB116" s="21"/>
      <c r="KC116" s="21"/>
      <c r="KD116" s="37"/>
      <c r="KE116" s="28"/>
      <c r="KF116" s="28"/>
      <c r="KG116" s="28"/>
      <c r="KH116" s="39"/>
      <c r="KI116" s="39"/>
      <c r="KJ116" s="66"/>
      <c r="KK116" s="39"/>
      <c r="KL116" s="39"/>
      <c r="KM116" s="66"/>
      <c r="KN116" s="39"/>
      <c r="KO116" s="39"/>
      <c r="KP116" s="39"/>
      <c r="KQ116" s="39"/>
      <c r="KR116" s="39"/>
      <c r="KS116" s="39"/>
      <c r="KT116" s="39"/>
      <c r="KU116" s="38"/>
      <c r="KV116" s="38"/>
      <c r="KW116" s="38"/>
      <c r="KX116" s="38"/>
      <c r="KY116" s="38"/>
      <c r="KZ116" s="38"/>
      <c r="LA116" s="38"/>
      <c r="LB116" s="38"/>
      <c r="LC116" s="38"/>
      <c r="LD116" s="38"/>
      <c r="LE116" s="38"/>
      <c r="LF116" s="38"/>
      <c r="LG116" s="38"/>
      <c r="LH116" s="38"/>
      <c r="LI116" s="38"/>
      <c r="LJ116" s="38"/>
      <c r="LK116" s="38"/>
      <c r="LL116" s="38"/>
      <c r="LM116" s="38"/>
      <c r="LN116" s="38"/>
      <c r="LO116" s="38"/>
      <c r="LP116" s="38"/>
      <c r="LQ116" s="38"/>
      <c r="LR116" s="38"/>
      <c r="LS116" s="38"/>
      <c r="LT116" s="38"/>
      <c r="LU116" s="38"/>
      <c r="LV116" s="38"/>
      <c r="LW116" s="38"/>
      <c r="LX116" s="38"/>
      <c r="LY116" s="38"/>
      <c r="LZ116" s="38"/>
      <c r="MA116" s="38"/>
      <c r="MB116" s="38"/>
      <c r="MC116" s="38"/>
      <c r="MD116" s="38"/>
      <c r="ME116" s="38"/>
      <c r="MF116" s="38"/>
      <c r="MG116" s="38"/>
      <c r="MH116" s="43">
        <f t="shared" si="459"/>
        <v>0</v>
      </c>
      <c r="MI116" s="43" t="str">
        <f t="shared" si="460"/>
        <v/>
      </c>
      <c r="MJ116" s="43" t="str">
        <f t="shared" si="461"/>
        <v/>
      </c>
      <c r="MK116" s="43">
        <f t="shared" si="462"/>
        <v>0</v>
      </c>
      <c r="ML11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16" s="43">
        <f t="shared" si="463"/>
        <v>14.571428571428571</v>
      </c>
      <c r="MN116" s="43">
        <f t="shared" si="464"/>
        <v>2</v>
      </c>
      <c r="MO116" s="43">
        <f t="shared" si="465"/>
        <v>2023</v>
      </c>
      <c r="MP116" s="43" t="str">
        <f t="shared" si="466"/>
        <v>I TRIMESTRE AÑO</v>
      </c>
      <c r="MQ116" s="43">
        <f t="shared" si="467"/>
        <v>26.839684625492769</v>
      </c>
      <c r="MR116" s="43">
        <f t="shared" si="468"/>
        <v>0</v>
      </c>
      <c r="MS116" s="43" t="str">
        <f t="shared" si="469"/>
        <v xml:space="preserve"> DE 25 A 29 AÑOS</v>
      </c>
      <c r="MT116" s="43">
        <f t="shared" si="470"/>
        <v>0</v>
      </c>
      <c r="MU116" s="43">
        <f t="shared" si="471"/>
        <v>0</v>
      </c>
      <c r="MV116" s="43">
        <f t="shared" si="472"/>
        <v>0</v>
      </c>
      <c r="MW116" s="43">
        <f t="shared" si="473"/>
        <v>0</v>
      </c>
      <c r="MX116" s="43" t="str">
        <f t="shared" si="474"/>
        <v/>
      </c>
      <c r="MY116" s="43" t="str">
        <f t="shared" ca="1" si="496"/>
        <v/>
      </c>
      <c r="MZ116" s="43" t="str">
        <f t="shared" si="475"/>
        <v/>
      </c>
      <c r="NA116" s="43">
        <f t="shared" si="476"/>
        <v>0</v>
      </c>
      <c r="NB116" s="43" t="str">
        <f t="shared" si="477"/>
        <v/>
      </c>
      <c r="NC116" s="43" t="str">
        <f t="shared" si="478"/>
        <v/>
      </c>
      <c r="ND116" s="43">
        <f t="shared" ca="1" si="479"/>
        <v>0</v>
      </c>
      <c r="NE116" s="43">
        <f>IF(OR(O116&gt;0,R116&gt;0),SUM(COUNTIF(Tabla1[[#This Row],[AÑOS AL INICIO5 CPN]],"&gt;=40"),COUNTIF(AS116,"0"),COUNTIF(AR116,"SI"),COUNTIF(CC116,"SI"),COUNTIF(BQ116,"&gt;119"),COUNTIF(CI116,"&gt;=35")),"")</f>
        <v>0</v>
      </c>
      <c r="NF116" s="43" t="str">
        <f t="shared" si="480"/>
        <v/>
      </c>
      <c r="NG116" s="43">
        <f t="shared" si="481"/>
        <v>0</v>
      </c>
      <c r="NH116" s="43">
        <f t="shared" si="482"/>
        <v>130.20000000000002</v>
      </c>
      <c r="NI11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CPN",P116="NO"),"Z",IF(AND(Tabla1[[#This Row],[CITA PROXIMO CONTROL]]="CITA MANUAL",Tabla1[[#This Row],[GESTANTES ACTUALES]]="ACTIVA INGRESO A CPN"),"W",IF(AND(Tabla1[[#This Row],[GESTANTES ACTUALES]]="SALIO PROGRAMA",IN116=""),"S",IF(AND(Tabla1[[#This Row],[CITA PROXIMO CONTROL]]&gt;0,IN116=""),(Tabla1[[#This Row],[CITA PROXIMO CONTROL]]-TODAY()),"SD"))))))))</f>
        <v>#REF!</v>
      </c>
      <c r="NJ116" s="43">
        <f>MONTH(Tabla1[[#This Row],[FECHA DE SALIDA  DEL PROGRAMA]])</f>
        <v>1</v>
      </c>
      <c r="NK116" s="43">
        <f>YEAR(Tabla1[[#This Row],[FECHA DE SALIDA  DEL PROGRAMA]])</f>
        <v>1900</v>
      </c>
      <c r="NL116" s="43">
        <f t="shared" si="483"/>
        <v>32</v>
      </c>
      <c r="NM116" s="43" t="str">
        <f t="shared" si="456"/>
        <v>NO</v>
      </c>
      <c r="NN116" s="43" t="str">
        <f ca="1">IF(AND(O116&gt;0,R116=""),"NO CPN",IF(AND(O116="",R116=""),"",IF(AND(R116&gt;0,Tabla1[[#This Row],[SEMANAS DE GESTACION ACTUALIZADAS]]&lt;=12),"NO APLICA",IF(AND(FH116&lt;&gt;"",FN116&lt;&gt;""),"SI","NO"))))</f>
        <v>SI</v>
      </c>
      <c r="NO116" s="43" t="str">
        <f ca="1">IF(AND(O116&gt;0,R116=""),"NO CPN",IF(AND(O116="",R116=""),"",IF(AND(R116&gt;0,Tabla1[[#This Row],[SEMANAS DE GESTACION ACTUALIZADAS]]&lt;=27),"NO APLICA",IF(AND(ES116&lt;&gt;"",FQ116&lt;&gt;"",GF116&lt;&gt;""),"SI","NO"))))</f>
        <v>NO</v>
      </c>
      <c r="NP116" s="204" t="str">
        <f t="shared" si="484"/>
        <v>II TRIM</v>
      </c>
      <c r="NQ116" s="21" t="str">
        <f t="shared" si="437"/>
        <v/>
      </c>
      <c r="NR116" s="21" t="str">
        <f t="shared" ca="1" si="497"/>
        <v>REVISAR FUM O FECHA SALIDA PROGRAMA</v>
      </c>
      <c r="NS116" s="205">
        <f t="shared" ca="1" si="485"/>
        <v>1</v>
      </c>
      <c r="NT116" s="21">
        <f t="shared" ca="1" si="486"/>
        <v>1</v>
      </c>
      <c r="NU116" s="21" t="str">
        <f t="shared" ca="1" si="487"/>
        <v>POR DEFINIR</v>
      </c>
      <c r="NV116" s="21" t="str">
        <f t="shared" ca="1" si="488"/>
        <v>POR DEFINIR</v>
      </c>
      <c r="NW116" s="206" t="str">
        <f>IF(AND(O116="",R116=""),"",IF(OR(AND(Tabla1[[#This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16" s="207" t="str">
        <f t="shared" ca="1" si="489"/>
        <v>SIN VACUNAR</v>
      </c>
      <c r="NY116" s="43">
        <f>ROW(Tabla1[[#This Row],['# DE TAMIZAJES SIFILIS TOMADOS ]])</f>
        <v>116</v>
      </c>
      <c r="NZ116" s="43">
        <f t="shared" si="334"/>
        <v>14</v>
      </c>
      <c r="OA116" s="43" t="str">
        <f t="shared" si="335"/>
        <v/>
      </c>
      <c r="OB116" s="43" t="str">
        <f t="shared" si="336"/>
        <v/>
      </c>
      <c r="OC116" s="43" t="str">
        <f t="shared" si="337"/>
        <v/>
      </c>
      <c r="OD116" s="43" t="str">
        <f t="shared" si="338"/>
        <v/>
      </c>
      <c r="OE116" s="43" t="str">
        <f t="shared" si="339"/>
        <v/>
      </c>
      <c r="OF116" s="43" t="str">
        <f t="shared" si="340"/>
        <v>NORMAL</v>
      </c>
      <c r="OG116" s="43" t="str">
        <f t="shared" si="341"/>
        <v/>
      </c>
      <c r="OH116" s="43" t="str">
        <f t="shared" si="342"/>
        <v/>
      </c>
      <c r="OI116" s="43" t="str">
        <f t="shared" si="343"/>
        <v/>
      </c>
      <c r="OJ116" s="43" t="str">
        <f t="shared" si="344"/>
        <v/>
      </c>
      <c r="OK116" s="43" t="str">
        <f t="shared" si="345"/>
        <v/>
      </c>
      <c r="OL116" s="43" t="str">
        <f t="shared" si="346"/>
        <v/>
      </c>
      <c r="OM116" s="43" t="str">
        <f t="shared" si="347"/>
        <v/>
      </c>
      <c r="ON116" s="43" t="str">
        <f t="shared" si="348"/>
        <v/>
      </c>
      <c r="OO116" s="43" t="str">
        <f t="shared" si="349"/>
        <v/>
      </c>
      <c r="OP116" s="43" t="str">
        <f t="shared" si="350"/>
        <v/>
      </c>
      <c r="OQ116" s="43" t="str">
        <f t="shared" si="351"/>
        <v/>
      </c>
      <c r="OR116" s="43" t="str">
        <f t="shared" si="352"/>
        <v/>
      </c>
      <c r="OS116" s="43" t="str">
        <f t="shared" si="353"/>
        <v/>
      </c>
      <c r="OT116" s="43" t="str">
        <f t="shared" si="354"/>
        <v/>
      </c>
      <c r="OU116" s="43" t="str">
        <f t="shared" si="355"/>
        <v/>
      </c>
      <c r="OV116" s="110" t="str">
        <f t="shared" si="356"/>
        <v/>
      </c>
      <c r="OW116" s="43" t="str">
        <f t="shared" si="357"/>
        <v/>
      </c>
      <c r="OX116" s="43" t="str">
        <f t="shared" si="358"/>
        <v/>
      </c>
      <c r="OY116" s="43" t="str">
        <f t="shared" si="359"/>
        <v/>
      </c>
      <c r="OZ116" s="43" t="str">
        <f t="shared" si="360"/>
        <v/>
      </c>
      <c r="PA116" s="43" t="str">
        <f t="shared" si="361"/>
        <v/>
      </c>
      <c r="PB116" s="43" t="str">
        <f t="shared" si="362"/>
        <v/>
      </c>
      <c r="PC116" s="43" t="str">
        <f t="shared" si="363"/>
        <v/>
      </c>
      <c r="PD116" s="43" t="str">
        <f t="shared" si="364"/>
        <v/>
      </c>
      <c r="PE116" s="43" t="str">
        <f t="shared" si="365"/>
        <v/>
      </c>
      <c r="PF116" s="43" t="str">
        <f t="shared" si="366"/>
        <v/>
      </c>
      <c r="PG116" s="43" t="str">
        <f t="shared" si="367"/>
        <v/>
      </c>
      <c r="PH116" s="43" t="str">
        <f t="shared" si="368"/>
        <v/>
      </c>
      <c r="PI116" s="43">
        <f t="shared" si="369"/>
        <v>37</v>
      </c>
      <c r="PJ116" s="43" t="str">
        <f t="shared" si="370"/>
        <v/>
      </c>
      <c r="PK116" s="43" t="str">
        <f t="shared" si="371"/>
        <v/>
      </c>
      <c r="PL116" s="43" t="str">
        <f t="shared" si="372"/>
        <v/>
      </c>
      <c r="PM116" s="43" t="str">
        <f t="shared" si="373"/>
        <v/>
      </c>
      <c r="PN116" s="43" t="str">
        <f t="shared" si="374"/>
        <v/>
      </c>
      <c r="PO116" s="43" t="str">
        <f t="shared" si="375"/>
        <v/>
      </c>
      <c r="PP116" s="43" t="str">
        <f t="shared" si="376"/>
        <v/>
      </c>
      <c r="PQ116" s="43" t="str">
        <f t="shared" si="377"/>
        <v/>
      </c>
      <c r="PR116" s="43" t="str">
        <f t="shared" si="378"/>
        <v/>
      </c>
      <c r="PS116" s="43" t="str">
        <f t="shared" si="379"/>
        <v/>
      </c>
      <c r="PT116" s="43" t="str">
        <f t="shared" si="380"/>
        <v/>
      </c>
      <c r="PU116" s="43" t="str">
        <f t="shared" si="381"/>
        <v/>
      </c>
      <c r="PV116" s="43" t="str">
        <f t="shared" si="382"/>
        <v/>
      </c>
      <c r="PW116" s="43" t="str">
        <f t="shared" si="383"/>
        <v/>
      </c>
      <c r="PX116" s="43" t="str">
        <f t="shared" si="384"/>
        <v/>
      </c>
      <c r="PY116" s="43" t="str">
        <f t="shared" si="385"/>
        <v/>
      </c>
      <c r="PZ116" s="43" t="str">
        <f t="shared" si="386"/>
        <v/>
      </c>
      <c r="QA116" s="43" t="str">
        <f t="shared" si="387"/>
        <v/>
      </c>
      <c r="QB116" s="43" t="str">
        <f t="shared" si="388"/>
        <v/>
      </c>
      <c r="QC116" s="43" t="str">
        <f t="shared" si="389"/>
        <v/>
      </c>
      <c r="QD116" s="43" t="str">
        <f t="shared" si="390"/>
        <v/>
      </c>
      <c r="QE116" s="43" t="str">
        <f t="shared" si="391"/>
        <v/>
      </c>
      <c r="QF116" s="43" t="str">
        <f t="shared" si="392"/>
        <v/>
      </c>
      <c r="QG116" s="43" t="str">
        <f t="shared" si="393"/>
        <v/>
      </c>
      <c r="QH116" s="43" t="str">
        <f t="shared" si="394"/>
        <v/>
      </c>
      <c r="QI116" s="43" t="str">
        <f t="shared" si="395"/>
        <v/>
      </c>
      <c r="QJ116" s="43" t="str">
        <f t="shared" si="396"/>
        <v/>
      </c>
      <c r="QK116" s="43" t="str">
        <f t="shared" si="397"/>
        <v/>
      </c>
      <c r="QL116" s="43" t="str">
        <f t="shared" si="398"/>
        <v>NORMAL</v>
      </c>
      <c r="QM116" s="43" t="str">
        <f t="shared" si="399"/>
        <v/>
      </c>
      <c r="QN116" s="43" t="str">
        <f t="shared" si="400"/>
        <v/>
      </c>
      <c r="QO116" s="43" t="str">
        <f t="shared" si="401"/>
        <v/>
      </c>
      <c r="QP116" s="43" t="str">
        <f t="shared" si="402"/>
        <v/>
      </c>
      <c r="QQ116" s="43" t="str">
        <f t="shared" si="403"/>
        <v/>
      </c>
      <c r="QR116" s="43">
        <f t="shared" si="433"/>
        <v>37</v>
      </c>
      <c r="QS116" s="43"/>
      <c r="QT116" s="21" t="str">
        <f t="shared" si="404"/>
        <v/>
      </c>
      <c r="QU116" s="21" t="str">
        <f t="shared" si="405"/>
        <v/>
      </c>
      <c r="QV116" s="21" t="str">
        <f t="shared" si="406"/>
        <v/>
      </c>
      <c r="QW116" s="21" t="str">
        <f t="shared" si="407"/>
        <v/>
      </c>
      <c r="QX116" s="21" t="str">
        <f t="shared" si="408"/>
        <v/>
      </c>
      <c r="QY116" s="21" t="str">
        <f t="shared" si="409"/>
        <v/>
      </c>
      <c r="QZ116" s="21" t="str">
        <f t="shared" si="410"/>
        <v/>
      </c>
      <c r="RA116" s="21" t="str">
        <f t="shared" si="411"/>
        <v/>
      </c>
      <c r="RB116" s="21" t="str">
        <f t="shared" si="412"/>
        <v/>
      </c>
      <c r="RC116" s="21" t="str">
        <f t="shared" si="413"/>
        <v/>
      </c>
      <c r="RD116" s="21" t="str">
        <f t="shared" si="414"/>
        <v/>
      </c>
      <c r="RE116" s="21" t="str">
        <f t="shared" si="415"/>
        <v/>
      </c>
      <c r="RF116" s="21" t="str">
        <f t="shared" si="416"/>
        <v/>
      </c>
      <c r="RG116" s="21" t="str">
        <f t="shared" si="417"/>
        <v/>
      </c>
      <c r="RH116" s="21" t="str">
        <f t="shared" si="418"/>
        <v/>
      </c>
      <c r="RI116" s="21" t="str">
        <f t="shared" si="419"/>
        <v/>
      </c>
      <c r="RJ116" s="21" t="str">
        <f t="shared" si="420"/>
        <v/>
      </c>
      <c r="RK116" s="21" t="str">
        <f t="shared" si="421"/>
        <v/>
      </c>
      <c r="RL116" s="21" t="str">
        <f t="shared" si="422"/>
        <v/>
      </c>
      <c r="RM116" s="21" t="str">
        <f t="shared" si="423"/>
        <v/>
      </c>
      <c r="RN116" s="21" t="str">
        <f t="shared" si="424"/>
        <v/>
      </c>
      <c r="RO116" s="21" t="str">
        <f t="shared" si="425"/>
        <v/>
      </c>
      <c r="RP116" s="21" t="str">
        <f t="shared" si="426"/>
        <v/>
      </c>
      <c r="RQ116" s="21" t="str">
        <f t="shared" si="427"/>
        <v/>
      </c>
      <c r="RR116" s="21" t="str">
        <f t="shared" si="428"/>
        <v>ADECUADO PARA EDAD GESTACIONAL</v>
      </c>
      <c r="RS116" s="21" t="str">
        <f t="shared" si="429"/>
        <v/>
      </c>
      <c r="RT116" s="21" t="str">
        <f t="shared" si="430"/>
        <v/>
      </c>
      <c r="RU116" s="21" t="str">
        <f t="shared" si="431"/>
        <v/>
      </c>
      <c r="RV116" s="21">
        <f t="shared" si="432"/>
        <v>14.571428571428571</v>
      </c>
      <c r="RW116" s="284">
        <f>IF(OR(Tabla1[[#This Row],[FUM FORMULA CONFIABLE]]="",Tabla1[[#This Row],[FUM FORMULA CONFIABLE]]="SD"),"",IF(Tabla1[[#This Row],[FUM FORMULA CONFIABLE]]="CORREGIDA",Tabla1[[#This Row],[FUM X ECO 1]],Tabla1[[#This Row],[FUM x AMENORREA]]))</f>
        <v>44880</v>
      </c>
      <c r="RX116" s="21">
        <f>IF(AND(Tabla1[[#This Row],[FUM X ECO 1]]="",Tabla1[[#This Row],[FUM x AMENORREA]]=""),"",IF(AND(Tabla1[[#This Row],[FUM X ECO 1]]="",Tabla1[[#This Row],[FUM x AMENORREA]]&lt;&gt;""),"X",SUM(Tabla1[[#This Row],[FUM X ECO 1]]-Tabla1[[#This Row],[FUM x AMENORREA]])))</f>
        <v>5.8000000000029104</v>
      </c>
      <c r="RY116" s="21">
        <f t="shared" si="434"/>
        <v>0</v>
      </c>
    </row>
    <row r="117" spans="1:493" ht="45" customHeight="1" x14ac:dyDescent="0.25">
      <c r="A117" s="109"/>
      <c r="B117" s="43"/>
      <c r="C117" s="43" t="s">
        <v>845</v>
      </c>
      <c r="D117" s="124"/>
      <c r="E117" s="43" t="s">
        <v>914</v>
      </c>
      <c r="F117" s="43" t="s">
        <v>915</v>
      </c>
      <c r="G117" s="43" t="s">
        <v>916</v>
      </c>
      <c r="H117" s="43"/>
      <c r="I117" s="109" t="s">
        <v>1094</v>
      </c>
      <c r="J117" s="110">
        <v>1059598169</v>
      </c>
      <c r="K117" s="43" t="s">
        <v>852</v>
      </c>
      <c r="L117" s="175" t="s">
        <v>886</v>
      </c>
      <c r="M117" s="22">
        <v>39463</v>
      </c>
      <c r="N117" s="213">
        <f t="shared" ca="1" si="252"/>
        <v>15.805479452054794</v>
      </c>
      <c r="O117" s="22">
        <v>44985</v>
      </c>
      <c r="P117" s="214" t="str">
        <f t="shared" si="438"/>
        <v>SI</v>
      </c>
      <c r="Q117" s="26" t="s">
        <v>855</v>
      </c>
      <c r="R117" s="22">
        <v>44985</v>
      </c>
      <c r="S117" s="21" t="s">
        <v>856</v>
      </c>
      <c r="T117" s="24" t="s">
        <v>690</v>
      </c>
      <c r="U117" s="21" t="s">
        <v>857</v>
      </c>
      <c r="V117" s="21" t="s">
        <v>858</v>
      </c>
      <c r="W117" s="21" t="s">
        <v>999</v>
      </c>
      <c r="X117" s="21" t="s">
        <v>999</v>
      </c>
      <c r="Y117" s="21"/>
      <c r="Z117" s="21"/>
      <c r="AA117" s="21" t="s">
        <v>860</v>
      </c>
      <c r="AB117" s="27" t="s">
        <v>861</v>
      </c>
      <c r="AC117" s="26" t="s">
        <v>846</v>
      </c>
      <c r="AD117" s="38" t="s">
        <v>1546</v>
      </c>
      <c r="AE117" s="26" t="s">
        <v>854</v>
      </c>
      <c r="AF117" s="26" t="s">
        <v>854</v>
      </c>
      <c r="AG117" s="23" t="s">
        <v>864</v>
      </c>
      <c r="AH117" s="23" t="s">
        <v>864</v>
      </c>
      <c r="AI117" s="24" t="s">
        <v>863</v>
      </c>
      <c r="AJ117" s="23" t="s">
        <v>864</v>
      </c>
      <c r="AK117" s="220" t="str">
        <f>IF(AND(AD117="",AE117="",AF117="",AG117="",AH117="",AI117="",AJ117=""),"",IF(OR(Tabla1[[#This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EVALUACIÓN",IF(AND(O117="",R117=""),"",IF(AND(OR(O117&gt;0,R117&gt;0),NG117&gt;=0,NG117&lt;2),"SIN RIESGO",IF(AND(OR(O117&gt;0,R117&gt;0),NG117&gt;=2),"CON RIESGO","ASD")))))</f>
        <v>SIN RIESGO</v>
      </c>
      <c r="AL117" s="23" t="s">
        <v>864</v>
      </c>
      <c r="AM117" s="26" t="s">
        <v>864</v>
      </c>
      <c r="AN117" s="26" t="s">
        <v>864</v>
      </c>
      <c r="AO117" s="26" t="s">
        <v>864</v>
      </c>
      <c r="AP117" s="26" t="s">
        <v>864</v>
      </c>
      <c r="AQ117" s="26" t="s">
        <v>864</v>
      </c>
      <c r="AR117" s="26" t="s">
        <v>864</v>
      </c>
      <c r="AS117" s="21">
        <v>0</v>
      </c>
      <c r="AT117" s="21">
        <v>0</v>
      </c>
      <c r="AU117" s="21">
        <v>0</v>
      </c>
      <c r="AV117" s="26" t="s">
        <v>864</v>
      </c>
      <c r="AW117" s="21">
        <v>1</v>
      </c>
      <c r="AX117" s="26" t="s">
        <v>864</v>
      </c>
      <c r="AY117" s="26" t="s">
        <v>864</v>
      </c>
      <c r="AZ117" s="26" t="s">
        <v>864</v>
      </c>
      <c r="BA117" s="26" t="s">
        <v>864</v>
      </c>
      <c r="BB117" s="26" t="s">
        <v>864</v>
      </c>
      <c r="BC117" s="26" t="s">
        <v>864</v>
      </c>
      <c r="BD117" s="26" t="s">
        <v>864</v>
      </c>
      <c r="BE117" s="26" t="s">
        <v>864</v>
      </c>
      <c r="BF117" s="26" t="s">
        <v>864</v>
      </c>
      <c r="BG117" s="26" t="s">
        <v>864</v>
      </c>
      <c r="BH117" s="26" t="s">
        <v>864</v>
      </c>
      <c r="BI117" s="26" t="s">
        <v>864</v>
      </c>
      <c r="BJ117" s="26" t="s">
        <v>864</v>
      </c>
      <c r="BK117" s="26" t="s">
        <v>865</v>
      </c>
      <c r="BL117" s="26" t="s">
        <v>864</v>
      </c>
      <c r="BM117" s="26" t="s">
        <v>864</v>
      </c>
      <c r="BN117" s="22"/>
      <c r="BO117" s="22">
        <v>44923</v>
      </c>
      <c r="BP117" s="21" t="s">
        <v>854</v>
      </c>
      <c r="BQ117" s="222">
        <f t="shared" si="254"/>
        <v>0</v>
      </c>
      <c r="BR117" s="223" t="str">
        <f t="shared" si="255"/>
        <v/>
      </c>
      <c r="BS117" s="224">
        <f t="shared" si="256"/>
        <v>8.8571428571428577</v>
      </c>
      <c r="BT117" s="216" t="str">
        <f t="shared" si="257"/>
        <v>I TRIM</v>
      </c>
      <c r="BU117" s="214" t="str">
        <f t="shared" ca="1" si="258"/>
        <v/>
      </c>
      <c r="BV117" s="25"/>
      <c r="BW117" s="22"/>
      <c r="BX117" s="28"/>
      <c r="BY117" s="28"/>
      <c r="BZ117" s="22"/>
      <c r="CA117" s="21"/>
      <c r="CB117" s="26"/>
      <c r="CC117" s="26"/>
      <c r="CD117" s="26"/>
      <c r="CE117" s="26"/>
      <c r="CF117" s="22" t="s">
        <v>1517</v>
      </c>
      <c r="CG117" s="21">
        <v>1.52</v>
      </c>
      <c r="CH117" s="21">
        <v>54</v>
      </c>
      <c r="CI117" s="214">
        <f t="shared" si="259"/>
        <v>23.372576177285318</v>
      </c>
      <c r="CJ117" s="225" t="str">
        <f>IF(AND(CI117&lt;10,CH117="SD"),"SIN DATO PESO PREGESTACION O I TRIM",IF(AND(OR(R117&gt;0,O117&gt;0),CI117="X"),"INGRESAR DATO DE PESO",IF(CI117="SD","INGRESAR DATO DE TALLA Y PESO",IF(AND(OR(Tabla1[[#This Row],[MOMENTO EN QUE SE REALIZA EL PESO AL INGRESO A CPN]]="PREGESTACIÓN",NZ117="Menor"),CI117&lt;18.5),"BAJO PESO",IF(AND(OR(Tabla1[[#This Row],[MOMENTO EN QUE SE REALIZA EL PESO AL INGRESO A CPN]]="PREGESTACIÓN",NZ117="Menor"),CI117&lt;25),"NORMAL",IF(AND(OR(Tabla1[[#This Row],[MOMENTO EN QUE SE REALIZA EL PESO AL INGRESO A CPN]]="PREGESTACIÓN",NZ117="Menor"),CI117&lt;30),"SOBREPESO",IF(AND(OR(Tabla1[[#This Row],[MOMENTO EN QUE SE REALIZA EL PESO AL INGRESO A CPN]]="PREGESTACIÓN",NZ117="Menor"),CI117&gt;=30,CI117&lt;50),"OBESIDAD",IF(AND(BS117&gt;0,Tabla1[[#This Row],[MOMENTO EN QUE SE REALIZA EL PESO AL INGRESO A CPN]]="GESTACIÓN"),HLOOKUP(NZ117,$OA$2:PH117,NY117),""))))))))</f>
        <v>NORMAL</v>
      </c>
      <c r="CK117" s="212">
        <f t="shared" si="260"/>
        <v>44985</v>
      </c>
      <c r="CL117" s="21">
        <v>54</v>
      </c>
      <c r="CM117" s="214">
        <f t="shared" si="261"/>
        <v>23.372576177285318</v>
      </c>
      <c r="CN117" s="216">
        <f t="shared" si="262"/>
        <v>8</v>
      </c>
      <c r="CO117" s="216" t="e">
        <f>IF(PI117="","",IF(PI117&gt;0,HLOOKUP(PI117,$PJ$2:QQ117,NY117),""))</f>
        <v>#REF!</v>
      </c>
      <c r="CP117" s="21"/>
      <c r="CQ117" s="216" t="str">
        <f>IF(QR117="Menor","NO APLICA-MENOR 13 SEM",IF(AND(CC117="SI",CN117&gt;23),"NO APLICA- GEMELAR",IF(QR117="","",IF(QR117&gt;0,HLOOKUP(QR117,$QS$2:RU117,NY117),""))))</f>
        <v>NO APLICA-MENOR 13 SEM</v>
      </c>
      <c r="CR117" s="21">
        <v>90</v>
      </c>
      <c r="CS117" s="21">
        <v>60</v>
      </c>
      <c r="CT117" s="217" t="str">
        <f>IF(R117="","",IF(AND(BS117&gt;1,BS117&lt;12,Tabla1[[#This Row],[T.A. SISTOLICA - ANTES DE SEMANA 12]]="",Tabla1[[#This Row],[T.A. DIASTOLICA - ANTES DE SEMANA 12]]=""),"REGISTRE DATO TA ANTES SEMANA 12",IF(AND(BS117&gt;11,BS117&lt;43,Tabla1[[#This Row],[T.A. SISTOLICA - ANTES DE SEMANA 12]]="",Tabla1[[#This Row],[T.A. DIASTOLICA - ANTES DE SEMANA 12]]=""),"NO APLICA REGISTRO TA-INGRESO TARDIO",IF(AND(OR(O117&gt;0,R117&gt;0),OR(CR117&gt;=140,CS117&gt;=90)),"DEFINIR ESTADIO HTA",IF(AND(OR(O117&gt;0,R117&gt;0),AND(CR117&gt;120,CR117&lt;=139)),"PRE HTA SEGUIMIENTO",IF(AND(OR(O117&gt;0,R117&gt;0),AND(CS117&gt;80,CS117&lt;=89)),"PRE HTA SEGUIMIENTO",IF(AND(OR(O117&gt;0,R117&gt;0),AND(CR117&gt;=80,CR117&lt;=120)),"APARENTEMENTE NORMAL",IF(AND(OR(O117&gt;0,R117&gt;0),AND(CS117&gt;=50,CS117&lt;=80)),"APARENTEMENTE NORMAL",IF(AND(OR(O117&gt;0,R117&gt;0),AND(CR117&gt;1,CR117&lt;=70),AND(CS117&gt;1,CS117&lt;=40)),"HIPOTENSIÓN","")))))))))</f>
        <v>APARENTEMENTE NORMAL</v>
      </c>
      <c r="CU117" s="21"/>
      <c r="CV117" s="21"/>
      <c r="CW117" s="217" t="str">
        <f ca="1">IF(R117="","",IF(AND(CN117&gt;19,CN117&lt;27,Tabla1[[#This Row],[T.A. SISTOLICA (Entre semana 20 y 26)]]="",Tabla1[[#This Row],[T.A. DIATOLICA (Entre semana 20 y 26)]]=""),"ACUDE A CONTROL SEM 20 A 26 REGISTRE TA AHORA",IF(AND(BS117&gt;1,BS117&lt;27,BU117&gt;19,Tabla1[[#This Row],[T.A. SISTOLICA (Entre semana 20 y 26)]]="",Tabla1[[#This Row],[T.A. DIATOLICA (Entre semana 20 y 26)]]=""),"COMPLETE REGISTRO TA CONTROL SEM 20 A26 ",IF(AND(BS117&gt;26,BS117&lt;43,Tabla1[[#This Row],[T.A. SISTOLICA (Entre semana 20 y 26)]]="",Tabla1[[#This Row],[T.A. DIATOLICA (Entre semana 20 y 26)]]=""),"NO APLICA REGISTRO TA-INGRESO TARDIO",IF(AND(OR(O117&gt;0,R117&gt;0),OR(CU117&gt;=140,CV117&gt;=90)),"ALTO RIESGO PREECLAMPSIA,DEFINIR ESTADIO HTA",IF(AND(OR(O117&gt;0,R117&gt;0),AND(CU117&gt;120,CU117&lt;=139)),"PRE HTA SEGUIMIENTO,RIESGO HIPERTENSION INDUCIDA POR EL EMBARAZO",IF(AND(OR(O117&gt;0,R117&gt;0),AND(CV117&gt;80,CV117&lt;=89)),"PRE HTA SEGUIMIENTO, RIESGO HIPERTENSION INDUCIDA POR EL EMBARAZO",IF(AND(OR(O117&lt;&gt;"",R117&lt;&gt;""),CS117&lt;&gt;"",CV117&lt;&gt;"",CS117&lt;=CV117),"VIGILAR CIFRAS PRESION ARTERIAL",IF(AND(OR(O117&gt;0,R117&gt;0),AND(CU117&gt;120,CU117&lt;=139)),"PRE HTA SEGUIMIENTO",IF(AND(OR(O117&gt;0,R117&gt;0),AND(CU117&gt;1,CU117&lt;=70),AND(CV117&gt;1,CV117&lt;=40)),"HIPOTENSIÓN",IF(AND(OR(O117&lt;&gt;"",R117&lt;&gt;""),CS117&lt;&gt;"",CV117&lt;&gt;"",CS117&gt;CV117),"APARENTEMENTE NORMAL",IF(AND(OR(O117&gt;0,R117&gt;0),AND(CU117&gt;=80,CU117&lt;=120)),"APARENTEMENTE NORMAL",IF(AND(OR(O117&gt;0,R117&gt;0),AND(CV117&gt;=50,CV117&lt;=80)),"APARENTEMENTE NORMAL","")))))))))))))</f>
        <v xml:space="preserve">COMPLETE REGISTRO TA CONTROL SEM 20 A26 </v>
      </c>
      <c r="CX117" s="21"/>
      <c r="CY117" s="21"/>
      <c r="CZ117" s="216" t="str">
        <f t="shared" si="457"/>
        <v/>
      </c>
      <c r="DA117" s="21"/>
      <c r="DB117" s="21"/>
      <c r="DC117" s="217" t="str">
        <f t="shared" si="264"/>
        <v>REGISTRE DATO PRESIÓN ARTERIAL MENSUAL</v>
      </c>
      <c r="DD117" s="22">
        <v>44985</v>
      </c>
      <c r="DE117" s="22">
        <v>44985</v>
      </c>
      <c r="DF117" s="22"/>
      <c r="DG117" s="22"/>
      <c r="DH117" s="22"/>
      <c r="DI117" s="22"/>
      <c r="DJ117" s="22"/>
      <c r="DK117" s="22"/>
      <c r="DL117" s="22"/>
      <c r="DM117" s="22"/>
      <c r="DN117" s="22"/>
      <c r="DO117" s="22"/>
      <c r="DP117" s="22"/>
      <c r="DQ117" s="22"/>
      <c r="DR117" s="28"/>
      <c r="DS117" s="22"/>
      <c r="DT117" s="22"/>
      <c r="DU117" s="216" t="str">
        <f t="shared" ca="1" si="439"/>
        <v>CONCERTAR PLAN DE PARTO INMEDIATO</v>
      </c>
      <c r="DV117" s="226" t="str">
        <f t="shared" si="440"/>
        <v>ACTIVA INGRESO A CPN</v>
      </c>
      <c r="DW11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17" s="216" t="e">
        <f t="shared" ca="1" si="266"/>
        <v>#REF!</v>
      </c>
      <c r="DY117" s="212">
        <f>IF(R117="","",IF(R117&gt;0,MAX(Tabla1[[#This Row],[FECHA C2]:[FECHA C13]],Tabla1[[#This Row],[FECHA CONSULTA PRIMERA VEZ PROGRAMA CPN ]])))</f>
        <v>44985</v>
      </c>
      <c r="DZ117" s="216">
        <f t="shared" si="267"/>
        <v>8</v>
      </c>
      <c r="EA117" s="222">
        <f>IF(R117&gt;0,SUM(COUNTA(DF117:DQ117)+COUNTA(Tabla1[[#This Row],[FECHA CONSULTA PRIMERA VEZ PROGRAMA CPN ]])),"")</f>
        <v>1</v>
      </c>
      <c r="EB117" s="222" t="str">
        <f t="shared" si="268"/>
        <v>NO</v>
      </c>
      <c r="EC117" s="214">
        <f t="shared" si="269"/>
        <v>9</v>
      </c>
      <c r="ED117" s="227">
        <f t="shared" si="270"/>
        <v>0.1111111111111111</v>
      </c>
      <c r="EE117" s="22">
        <v>44985</v>
      </c>
      <c r="EF117" s="22">
        <v>44985</v>
      </c>
      <c r="EG117" s="22">
        <v>44985</v>
      </c>
      <c r="EH117" s="22"/>
      <c r="EI117" s="22">
        <v>44985</v>
      </c>
      <c r="EJ117" s="22"/>
      <c r="EK117" s="22"/>
      <c r="EL117" s="21"/>
      <c r="EM117" s="21"/>
      <c r="EN117" s="22"/>
      <c r="EO117" s="222" t="str">
        <f t="shared" si="271"/>
        <v>TOMAR EXAMEN</v>
      </c>
      <c r="EP117" s="214" t="str">
        <f t="shared" si="272"/>
        <v/>
      </c>
      <c r="EQ117" s="216" t="str">
        <f t="shared" si="273"/>
        <v>POR DEFINIR</v>
      </c>
      <c r="ER117" s="24"/>
      <c r="ES117" s="22"/>
      <c r="ET117" s="29" t="str">
        <f t="shared" ca="1" si="441"/>
        <v>TOMA DE HEMOGLOBINA TARDÍA</v>
      </c>
      <c r="EU117" s="25" t="str">
        <f t="shared" si="275"/>
        <v/>
      </c>
      <c r="EV117" s="24"/>
      <c r="EW117" s="24"/>
      <c r="EX117" s="22"/>
      <c r="EY117" s="29" t="str">
        <f t="shared" si="454"/>
        <v>TOMAR EXAMEN</v>
      </c>
      <c r="EZ117" s="25" t="str">
        <f t="shared" ca="1" si="455"/>
        <v/>
      </c>
      <c r="FA117" s="21"/>
      <c r="FB117" s="22"/>
      <c r="FC117" s="29" t="str">
        <f t="shared" si="276"/>
        <v>TOMAR EXAMEN</v>
      </c>
      <c r="FD117" s="29"/>
      <c r="FE117" s="29"/>
      <c r="FF117" s="29"/>
      <c r="FG117" s="21" t="str">
        <f t="shared" ca="1" si="277"/>
        <v/>
      </c>
      <c r="FH117" s="31"/>
      <c r="FI117" s="29" t="str">
        <f t="shared" si="278"/>
        <v>TOMAR EXAMEN</v>
      </c>
      <c r="FJ117" s="22"/>
      <c r="FK117" s="22"/>
      <c r="FL117" s="29" t="str">
        <f t="shared" ca="1" si="279"/>
        <v>PIERDE TOMA DE TAMIZAJE</v>
      </c>
      <c r="FM117" s="22"/>
      <c r="FN117" s="32"/>
      <c r="FO117" s="29" t="str">
        <f t="shared" ca="1" si="442"/>
        <v>PIERDE TOMA DE TAMIZAJE</v>
      </c>
      <c r="FP117" s="22"/>
      <c r="FQ117" s="32"/>
      <c r="FR117" s="29" t="str">
        <f t="shared" ca="1" si="443"/>
        <v>TOMA INMEDIATA DE TAMIZAJE</v>
      </c>
      <c r="FS117" s="22"/>
      <c r="FT117" s="32"/>
      <c r="FU117" s="29" t="str">
        <f>IF(AND(FJ117="",FM117="",FP117="",FS117=""),"",IF(OR(OR(Tabla1[[#This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17" s="28"/>
      <c r="FW117" s="22"/>
      <c r="FX117" s="29" t="str">
        <f t="shared" si="280"/>
        <v>TOMAR EXAMEN</v>
      </c>
      <c r="FY117" s="22">
        <v>44985</v>
      </c>
      <c r="FZ117" s="22">
        <v>44985</v>
      </c>
      <c r="GA117" s="29">
        <f t="shared" ca="1" si="453"/>
        <v>8.8571428571428577</v>
      </c>
      <c r="GB117" s="22"/>
      <c r="GC117" s="22"/>
      <c r="GD117" s="29" t="str">
        <f t="shared" ca="1" si="491"/>
        <v>PIERDE TOMA DE TAMIZAJE</v>
      </c>
      <c r="GE117" s="22"/>
      <c r="GF117" s="22"/>
      <c r="GG117" s="29" t="str">
        <f t="shared" ca="1" si="445"/>
        <v>TOMA INMEDIATA DE TAMIZAJE</v>
      </c>
      <c r="GH117" s="22"/>
      <c r="GI117" s="29"/>
      <c r="GJ117" s="22"/>
      <c r="GK117" s="22"/>
      <c r="GL117" s="22"/>
      <c r="GM117" s="22"/>
      <c r="GN117" s="28"/>
      <c r="GO117" s="22"/>
      <c r="GP117" s="29" t="str">
        <f t="shared" si="283"/>
        <v>TOMAR EXAMEN</v>
      </c>
      <c r="GQ117" s="28"/>
      <c r="GR117" s="28"/>
      <c r="GS117" s="22" t="str">
        <f t="shared" si="458"/>
        <v/>
      </c>
      <c r="GT117" s="22"/>
      <c r="GU117" s="29" t="str">
        <f t="shared" si="285"/>
        <v>TOMAR EXAMEN</v>
      </c>
      <c r="GV117" s="21" t="str">
        <f t="shared" si="286"/>
        <v>POR DEFINIR</v>
      </c>
      <c r="GW117" s="28"/>
      <c r="GX117" s="30"/>
      <c r="GY117" s="21"/>
      <c r="GZ117" s="21"/>
      <c r="HA117" s="21"/>
      <c r="HB117" s="21"/>
      <c r="HC117" s="21"/>
      <c r="HD117" s="21"/>
      <c r="HE117" s="21"/>
      <c r="HF117" s="22"/>
      <c r="HG117" s="22" t="str">
        <f>IF(OR(O117&gt;0,R117&gt;0),CONCATENATE(IF(Tabla1[[#This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17" s="22" t="e">
        <f t="shared" si="287"/>
        <v>#REF!</v>
      </c>
      <c r="HI117" s="22" t="e">
        <f t="shared" ca="1" si="288"/>
        <v>#REF!</v>
      </c>
      <c r="HJ117" s="21" t="str">
        <f t="shared" ca="1" si="289"/>
        <v>**********************MULTIPARIDAD**RIESGO POR EDAD*CESAREAS PREVIAS**************</v>
      </c>
      <c r="HK117" s="21" t="str">
        <f t="shared" si="290"/>
        <v>SIN ANTECEDENTES DE RIESGO</v>
      </c>
      <c r="HL117" s="24" t="str">
        <f t="shared" si="291"/>
        <v>REGISTRE DATO PRESIÓN ARTERIAL MENSUAL</v>
      </c>
      <c r="HM117" s="21" t="e">
        <f t="shared" ca="1" si="292"/>
        <v>#REF!</v>
      </c>
      <c r="HN117" s="30" t="str">
        <f t="shared" si="446"/>
        <v>ACTIVA INGRESO A CPN</v>
      </c>
      <c r="HO117" s="21"/>
      <c r="HP117" s="21"/>
      <c r="HQ117" s="349">
        <v>44985</v>
      </c>
      <c r="HR117" s="21" t="str">
        <f>IF(R117="","",IF(Tabla1[[#This Row],[ALARMA FACTORES DE RIESGO COMPLICACIONES HIPERTENSIVAS3]]="SIN ANTECEDENTES DE RIESGO","No Aplica para suministro de ASA",IF(AND(Tabla1[[#This Row],[FECHA INICIO DE SUMINISTRO DE ASA]]&gt;0,RV117&lt;12),"Inicia ASA ANTES de Sem 12",IF(AND(RV117&gt;11,RV117&lt;17,OR(HK117="RIESGO ALTO DE COMPLICACIONES HIPERTENSIVAS VER MANEJO GUIA SUMINISTRO ASA Y CALCIO",HK117="RIESGO MODERADO (2 O MAS CRITERIOS) VER MANEJO GUIA SUMINISTRO ASA Y CALCIO")),"Inicio oportuno de ASA",IF(AND(RV117&gt;12,OR(HK117="RIESGO ALTO DE COMPLICACIONES HIPERTENSIVAS VER MANEJO GUIA SUMINISTRO ASA Y CALCIO",HK117="RIESGO MODERADO (2 O MAS CRITERIOS) VER MANEJO GUIA SUMINISTRO ASA Y CALCIO")),"Inicio no oportuno mayor a 16 semanas",IF(AND(BU117&lt;12,OR(HK117="RIESGO ALTO DE COMPLICACIONES HIPERTENSIVAS VER MANEJO GUIA SUMINISTRO ASA Y CALCIO",HK117="RIESGO MODERADO (2 O MAS CRITERIOS) VER MANEJO GUIA SUMINISTRO ASA Y CALCIO")),"Pendiente Inicio de ASA a la semana 12",IF(AND(BU117&gt;11,BU117&lt;17,OR(HK117="RIESGO ALTO DE COMPLICACIONES HIPERTENSIVAS VER MANEJO GUIA SUMINISTRO ASA Y CALCIO",HK117="RIESGO MODERADO (2 O MAS CRITERIOS) VER MANEJO GUIA SUMINISTRO ASA Y CALCIO")),"Iniciar de inmediato ASA",IF(AND(BU117&gt;16,OR(HK117="RIESGO ALTO DE COMPLICACIONES HIPERTENSIVAS VER MANEJO GUIA SUMINISTRO ASA Y CALCIO",HK117="RIESGO MODERADO (2 O MAS CRITERIOS) VER MANEJO GUIA SUMINISTRO ASA Y CALCIO")),"Pierde Oportunidad, Inicio tardío de ASA","XXXXX"))))))))</f>
        <v>No Aplica para suministro de ASA</v>
      </c>
      <c r="HS117" s="22">
        <v>44985</v>
      </c>
      <c r="HT117" s="22" t="s">
        <v>870</v>
      </c>
      <c r="HU117" s="22">
        <v>44985</v>
      </c>
      <c r="HV117" s="22" t="s">
        <v>870</v>
      </c>
      <c r="HW117" s="22"/>
      <c r="HX117" s="22"/>
      <c r="HY117" s="22">
        <v>44985</v>
      </c>
      <c r="HZ117" s="28">
        <f t="shared" si="293"/>
        <v>8.8571428571428577</v>
      </c>
      <c r="IA117" s="26"/>
      <c r="IB117" s="26"/>
      <c r="IC117" s="111"/>
      <c r="ID117" s="22"/>
      <c r="IE117" s="22" t="str">
        <f t="shared" ca="1" si="294"/>
        <v/>
      </c>
      <c r="IF117" s="22"/>
      <c r="IG117" s="22">
        <f t="shared" si="295"/>
        <v>45203</v>
      </c>
      <c r="IH117" s="29">
        <f t="shared" ca="1" si="296"/>
        <v>-29</v>
      </c>
      <c r="II117" s="22" t="str">
        <f t="shared" ca="1" si="297"/>
        <v>POSIBLEMENTE NACIO</v>
      </c>
      <c r="IJ117" s="22"/>
      <c r="IK117" s="21"/>
      <c r="IL117" s="21"/>
      <c r="IM117" s="34"/>
      <c r="IN117" s="22"/>
      <c r="IO117" s="21"/>
      <c r="IP117" s="29" t="str">
        <f t="shared" si="490"/>
        <v/>
      </c>
      <c r="IQ117" s="35"/>
      <c r="IR117" s="21"/>
      <c r="IS117" s="21"/>
      <c r="IT117" s="21"/>
      <c r="IU117" s="21"/>
      <c r="IV117" s="21"/>
      <c r="IW117" s="21"/>
      <c r="IX117" s="21"/>
      <c r="IY117" s="21"/>
      <c r="IZ117" s="21"/>
      <c r="JA117" s="21"/>
      <c r="JB117" s="30"/>
      <c r="JC117" s="21"/>
      <c r="JD117" s="36"/>
      <c r="JE117" s="21" t="str">
        <f t="shared" si="492"/>
        <v/>
      </c>
      <c r="JF117" s="30"/>
      <c r="JG117" s="21"/>
      <c r="JH117" s="21"/>
      <c r="JI117" s="21"/>
      <c r="JJ117" s="30"/>
      <c r="JK117" s="22"/>
      <c r="JL117" s="22"/>
      <c r="JM117" s="21"/>
      <c r="JN117" s="36"/>
      <c r="JO117" s="21" t="str">
        <f t="shared" si="493"/>
        <v/>
      </c>
      <c r="JP117" s="22"/>
      <c r="JQ117" s="21"/>
      <c r="JR117" s="21"/>
      <c r="JS117" s="21"/>
      <c r="JT117" s="30"/>
      <c r="JU117" s="22"/>
      <c r="JV117" s="22"/>
      <c r="JW117" s="33"/>
      <c r="JX117" s="28" t="str">
        <f t="shared" si="494"/>
        <v/>
      </c>
      <c r="JY117" s="33"/>
      <c r="JZ117" s="28" t="str">
        <f t="shared" si="495"/>
        <v/>
      </c>
      <c r="KA117" s="21"/>
      <c r="KB117" s="21"/>
      <c r="KC117" s="21"/>
      <c r="KD117" s="37"/>
      <c r="KE117" s="28"/>
      <c r="KF117" s="28"/>
      <c r="KG117" s="28"/>
      <c r="KH117" s="39"/>
      <c r="KI117" s="39"/>
      <c r="KJ117" s="66"/>
      <c r="KK117" s="39"/>
      <c r="KL117" s="39"/>
      <c r="KM117" s="66"/>
      <c r="KN117" s="39"/>
      <c r="KO117" s="39"/>
      <c r="KP117" s="39"/>
      <c r="KQ117" s="39"/>
      <c r="KR117" s="39"/>
      <c r="KS117" s="39"/>
      <c r="KT117" s="39"/>
      <c r="KU117" s="38"/>
      <c r="KV117" s="38"/>
      <c r="KW117" s="38"/>
      <c r="KX117" s="38"/>
      <c r="KY117" s="38"/>
      <c r="KZ117" s="38"/>
      <c r="LA117" s="38"/>
      <c r="LB117" s="38"/>
      <c r="LC117" s="38"/>
      <c r="LD117" s="38"/>
      <c r="LE117" s="38"/>
      <c r="LF117" s="38"/>
      <c r="LG117" s="38"/>
      <c r="LH117" s="38"/>
      <c r="LI117" s="38"/>
      <c r="LJ117" s="38"/>
      <c r="LK117" s="38"/>
      <c r="LL117" s="38"/>
      <c r="LM117" s="38"/>
      <c r="LN117" s="38"/>
      <c r="LO117" s="38"/>
      <c r="LP117" s="38"/>
      <c r="LQ117" s="38"/>
      <c r="LR117" s="38"/>
      <c r="LS117" s="38"/>
      <c r="LT117" s="38"/>
      <c r="LU117" s="38"/>
      <c r="LV117" s="38"/>
      <c r="LW117" s="38"/>
      <c r="LX117" s="38"/>
      <c r="LY117" s="38"/>
      <c r="LZ117" s="38"/>
      <c r="MA117" s="38"/>
      <c r="MB117" s="38"/>
      <c r="MC117" s="38"/>
      <c r="MD117" s="38"/>
      <c r="ME117" s="38"/>
      <c r="MF117" s="38"/>
      <c r="MG117" s="38"/>
      <c r="MH117" s="43">
        <f t="shared" si="459"/>
        <v>0</v>
      </c>
      <c r="MI117" s="43" t="str">
        <f t="shared" si="460"/>
        <v/>
      </c>
      <c r="MJ117" s="43" t="str">
        <f t="shared" si="461"/>
        <v/>
      </c>
      <c r="MK117" s="43">
        <f t="shared" si="462"/>
        <v>0</v>
      </c>
      <c r="ML11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17" s="43">
        <f t="shared" si="463"/>
        <v>8.8571428571428577</v>
      </c>
      <c r="MN117" s="43">
        <f t="shared" si="464"/>
        <v>2</v>
      </c>
      <c r="MO117" s="43">
        <f t="shared" si="465"/>
        <v>2023</v>
      </c>
      <c r="MP117" s="43" t="str">
        <f t="shared" si="466"/>
        <v>I TRIMESTRE AÑO</v>
      </c>
      <c r="MQ117" s="43">
        <f t="shared" si="467"/>
        <v>14.898160315374506</v>
      </c>
      <c r="MR117" s="43">
        <f t="shared" si="468"/>
        <v>1</v>
      </c>
      <c r="MS117" s="43" t="str">
        <f t="shared" si="469"/>
        <v>DE 14 A 19AÑOS</v>
      </c>
      <c r="MT117" s="43">
        <f t="shared" si="470"/>
        <v>0</v>
      </c>
      <c r="MU117" s="43">
        <f t="shared" si="471"/>
        <v>1</v>
      </c>
      <c r="MV117" s="43">
        <f t="shared" si="472"/>
        <v>1</v>
      </c>
      <c r="MW117" s="43">
        <f t="shared" si="473"/>
        <v>0</v>
      </c>
      <c r="MX117" s="43" t="str">
        <f t="shared" si="474"/>
        <v/>
      </c>
      <c r="MY117" s="43" t="str">
        <f t="shared" ca="1" si="496"/>
        <v/>
      </c>
      <c r="MZ117" s="43" t="str">
        <f t="shared" si="475"/>
        <v/>
      </c>
      <c r="NA117" s="43" t="str">
        <f t="shared" si="476"/>
        <v/>
      </c>
      <c r="NB117" s="43" t="str">
        <f t="shared" si="477"/>
        <v/>
      </c>
      <c r="NC117" s="43" t="str">
        <f t="shared" si="478"/>
        <v/>
      </c>
      <c r="ND117" s="43">
        <f t="shared" ca="1" si="479"/>
        <v>3</v>
      </c>
      <c r="NE117" s="43">
        <f>IF(OR(O117&gt;0,R117&gt;0),SUM(COUNTIF(Tabla1[[#This Row],[AÑOS AL INICIO5 CPN]],"&gt;=40"),COUNTIF(AS117,"0"),COUNTIF(AR117,"SI"),COUNTIF(CC117,"SI"),COUNTIF(BQ117,"&gt;119"),COUNTIF(CI117,"&gt;=35")),"")</f>
        <v>1</v>
      </c>
      <c r="NF117" s="43" t="str">
        <f t="shared" si="480"/>
        <v/>
      </c>
      <c r="NG117" s="43">
        <f t="shared" si="481"/>
        <v>0</v>
      </c>
      <c r="NH117" s="43" t="str">
        <f t="shared" si="482"/>
        <v/>
      </c>
      <c r="NI11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CPN",P117="NO"),"Z",IF(AND(Tabla1[[#This Row],[CITA PROXIMO CONTROL]]="CITA MANUAL",Tabla1[[#This Row],[GESTANTES ACTUALES]]="ACTIVA INGRESO A CPN"),"W",IF(AND(Tabla1[[#This Row],[GESTANTES ACTUALES]]="SALIO PROGRAMA",IN117=""),"S",IF(AND(Tabla1[[#This Row],[CITA PROXIMO CONTROL]]&gt;0,IN117=""),(Tabla1[[#This Row],[CITA PROXIMO CONTROL]]-TODAY()),"SD"))))))))</f>
        <v>#REF!</v>
      </c>
      <c r="NJ117" s="43">
        <f>MONTH(Tabla1[[#This Row],[FECHA DE SALIDA  DEL PROGRAMA]])</f>
        <v>1</v>
      </c>
      <c r="NK117" s="43">
        <f>YEAR(Tabla1[[#This Row],[FECHA DE SALIDA  DEL PROGRAMA]])</f>
        <v>1900</v>
      </c>
      <c r="NL117" s="43" t="str">
        <f t="shared" si="483"/>
        <v>X</v>
      </c>
      <c r="NM117" s="43" t="str">
        <f t="shared" si="456"/>
        <v>NO</v>
      </c>
      <c r="NN117" s="43" t="str">
        <f ca="1">IF(AND(O117&gt;0,R117=""),"NO CPN",IF(AND(O117="",R117=""),"",IF(AND(R117&gt;0,Tabla1[[#This Row],[SEMANAS DE GESTACION ACTUALIZADAS]]&lt;=12),"NO APLICA",IF(AND(FH117&lt;&gt;"",FN117&lt;&gt;""),"SI","NO"))))</f>
        <v>NO</v>
      </c>
      <c r="NO117" s="43" t="str">
        <f ca="1">IF(AND(O117&gt;0,R117=""),"NO CPN",IF(AND(O117="",R117=""),"",IF(AND(R117&gt;0,Tabla1[[#This Row],[SEMANAS DE GESTACION ACTUALIZADAS]]&lt;=27),"NO APLICA",IF(AND(ES117&lt;&gt;"",FQ117&lt;&gt;"",GF117&lt;&gt;""),"SI","NO"))))</f>
        <v>NO</v>
      </c>
      <c r="NP117" s="204" t="str">
        <f t="shared" si="484"/>
        <v>I TRIM</v>
      </c>
      <c r="NQ117" s="21" t="str">
        <f t="shared" si="437"/>
        <v/>
      </c>
      <c r="NR117" s="21" t="str">
        <f t="shared" ca="1" si="497"/>
        <v>REVISAR FUM O FECHA SALIDA PROGRAMA</v>
      </c>
      <c r="NS117" s="205">
        <f t="shared" ca="1" si="485"/>
        <v>0</v>
      </c>
      <c r="NT117" s="21">
        <f t="shared" ca="1" si="486"/>
        <v>1</v>
      </c>
      <c r="NU117" s="21" t="str">
        <f t="shared" ca="1" si="487"/>
        <v>POR DEFINIR</v>
      </c>
      <c r="NV117" s="21" t="str">
        <f t="shared" ca="1" si="488"/>
        <v>POR DEFINIR</v>
      </c>
      <c r="NW117" s="206" t="str">
        <f>IF(AND(O117="",R117=""),"",IF(OR(AND(Tabla1[[#This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17" s="207" t="str">
        <f t="shared" ca="1" si="489"/>
        <v>SIN VACUNAR</v>
      </c>
      <c r="NY117" s="43">
        <f>ROW(Tabla1[[#This Row],['# DE TAMIZAJES SIFILIS TOMADOS ]])</f>
        <v>117</v>
      </c>
      <c r="NZ117" s="43" t="str">
        <f t="shared" si="334"/>
        <v>Menor</v>
      </c>
      <c r="OA117" s="43" t="str">
        <f t="shared" si="335"/>
        <v>NORMAL</v>
      </c>
      <c r="OB117" s="43" t="str">
        <f t="shared" si="336"/>
        <v/>
      </c>
      <c r="OC117" s="43" t="str">
        <f t="shared" si="337"/>
        <v/>
      </c>
      <c r="OD117" s="43" t="str">
        <f t="shared" si="338"/>
        <v/>
      </c>
      <c r="OE117" s="43" t="str">
        <f t="shared" si="339"/>
        <v/>
      </c>
      <c r="OF117" s="43" t="str">
        <f t="shared" si="340"/>
        <v/>
      </c>
      <c r="OG117" s="43" t="str">
        <f t="shared" si="341"/>
        <v/>
      </c>
      <c r="OH117" s="43" t="str">
        <f t="shared" si="342"/>
        <v/>
      </c>
      <c r="OI117" s="43" t="str">
        <f t="shared" si="343"/>
        <v/>
      </c>
      <c r="OJ117" s="43" t="str">
        <f t="shared" si="344"/>
        <v/>
      </c>
      <c r="OK117" s="43" t="str">
        <f t="shared" si="345"/>
        <v/>
      </c>
      <c r="OL117" s="43" t="str">
        <f t="shared" si="346"/>
        <v/>
      </c>
      <c r="OM117" s="43" t="str">
        <f t="shared" si="347"/>
        <v/>
      </c>
      <c r="ON117" s="43" t="str">
        <f t="shared" si="348"/>
        <v/>
      </c>
      <c r="OO117" s="43" t="str">
        <f t="shared" si="349"/>
        <v/>
      </c>
      <c r="OP117" s="43" t="str">
        <f t="shared" si="350"/>
        <v/>
      </c>
      <c r="OQ117" s="43" t="str">
        <f t="shared" si="351"/>
        <v/>
      </c>
      <c r="OR117" s="43" t="str">
        <f t="shared" si="352"/>
        <v/>
      </c>
      <c r="OS117" s="43" t="str">
        <f t="shared" si="353"/>
        <v/>
      </c>
      <c r="OT117" s="43" t="str">
        <f t="shared" si="354"/>
        <v/>
      </c>
      <c r="OU117" s="43" t="str">
        <f t="shared" si="355"/>
        <v/>
      </c>
      <c r="OV117" s="110" t="str">
        <f t="shared" si="356"/>
        <v/>
      </c>
      <c r="OW117" s="43" t="str">
        <f t="shared" si="357"/>
        <v/>
      </c>
      <c r="OX117" s="43" t="str">
        <f t="shared" si="358"/>
        <v/>
      </c>
      <c r="OY117" s="43" t="str">
        <f t="shared" si="359"/>
        <v/>
      </c>
      <c r="OZ117" s="43" t="str">
        <f t="shared" si="360"/>
        <v/>
      </c>
      <c r="PA117" s="43" t="str">
        <f t="shared" si="361"/>
        <v/>
      </c>
      <c r="PB117" s="43" t="str">
        <f t="shared" si="362"/>
        <v/>
      </c>
      <c r="PC117" s="43" t="str">
        <f t="shared" si="363"/>
        <v/>
      </c>
      <c r="PD117" s="43" t="str">
        <f t="shared" si="364"/>
        <v/>
      </c>
      <c r="PE117" s="43" t="str">
        <f t="shared" si="365"/>
        <v/>
      </c>
      <c r="PF117" s="43" t="str">
        <f t="shared" si="366"/>
        <v/>
      </c>
      <c r="PG117" s="43" t="str">
        <f t="shared" si="367"/>
        <v/>
      </c>
      <c r="PH117" s="43" t="str">
        <f t="shared" si="368"/>
        <v/>
      </c>
      <c r="PI117" s="43" t="str">
        <f t="shared" si="369"/>
        <v>Menor</v>
      </c>
      <c r="PJ117" s="43" t="str">
        <f t="shared" si="370"/>
        <v>NORMAL</v>
      </c>
      <c r="PK117" s="43" t="str">
        <f t="shared" si="371"/>
        <v/>
      </c>
      <c r="PL117" s="43" t="str">
        <f t="shared" si="372"/>
        <v/>
      </c>
      <c r="PM117" s="43" t="str">
        <f t="shared" si="373"/>
        <v/>
      </c>
      <c r="PN117" s="43" t="str">
        <f t="shared" si="374"/>
        <v/>
      </c>
      <c r="PO117" s="43" t="str">
        <f t="shared" si="375"/>
        <v/>
      </c>
      <c r="PP117" s="43" t="str">
        <f t="shared" si="376"/>
        <v/>
      </c>
      <c r="PQ117" s="43" t="str">
        <f t="shared" si="377"/>
        <v/>
      </c>
      <c r="PR117" s="43" t="str">
        <f t="shared" si="378"/>
        <v/>
      </c>
      <c r="PS117" s="43" t="str">
        <f t="shared" si="379"/>
        <v/>
      </c>
      <c r="PT117" s="43" t="str">
        <f t="shared" si="380"/>
        <v/>
      </c>
      <c r="PU117" s="43" t="str">
        <f t="shared" si="381"/>
        <v/>
      </c>
      <c r="PV117" s="43" t="str">
        <f t="shared" si="382"/>
        <v/>
      </c>
      <c r="PW117" s="43" t="str">
        <f t="shared" si="383"/>
        <v/>
      </c>
      <c r="PX117" s="43" t="str">
        <f t="shared" si="384"/>
        <v/>
      </c>
      <c r="PY117" s="43" t="str">
        <f t="shared" si="385"/>
        <v/>
      </c>
      <c r="PZ117" s="43" t="str">
        <f t="shared" si="386"/>
        <v/>
      </c>
      <c r="QA117" s="43" t="str">
        <f t="shared" si="387"/>
        <v/>
      </c>
      <c r="QB117" s="43" t="str">
        <f t="shared" si="388"/>
        <v/>
      </c>
      <c r="QC117" s="43" t="str">
        <f t="shared" si="389"/>
        <v/>
      </c>
      <c r="QD117" s="43" t="str">
        <f t="shared" si="390"/>
        <v/>
      </c>
      <c r="QE117" s="43" t="str">
        <f t="shared" si="391"/>
        <v/>
      </c>
      <c r="QF117" s="43" t="str">
        <f t="shared" si="392"/>
        <v/>
      </c>
      <c r="QG117" s="43" t="str">
        <f t="shared" si="393"/>
        <v/>
      </c>
      <c r="QH117" s="43" t="str">
        <f t="shared" si="394"/>
        <v/>
      </c>
      <c r="QI117" s="43" t="str">
        <f t="shared" si="395"/>
        <v/>
      </c>
      <c r="QJ117" s="43" t="str">
        <f t="shared" si="396"/>
        <v/>
      </c>
      <c r="QK117" s="43" t="str">
        <f t="shared" si="397"/>
        <v/>
      </c>
      <c r="QL117" s="43" t="str">
        <f t="shared" si="398"/>
        <v/>
      </c>
      <c r="QM117" s="43" t="str">
        <f t="shared" si="399"/>
        <v/>
      </c>
      <c r="QN117" s="43" t="str">
        <f t="shared" si="400"/>
        <v/>
      </c>
      <c r="QO117" s="43" t="str">
        <f t="shared" si="401"/>
        <v/>
      </c>
      <c r="QP117" s="43" t="str">
        <f t="shared" si="402"/>
        <v/>
      </c>
      <c r="QQ117" s="43" t="str">
        <f t="shared" si="403"/>
        <v/>
      </c>
      <c r="QR117" s="43" t="str">
        <f t="shared" si="433"/>
        <v>Menor</v>
      </c>
      <c r="QS117" s="43"/>
      <c r="QT117" s="21" t="str">
        <f t="shared" si="404"/>
        <v/>
      </c>
      <c r="QU117" s="21" t="str">
        <f t="shared" si="405"/>
        <v/>
      </c>
      <c r="QV117" s="21" t="str">
        <f t="shared" si="406"/>
        <v/>
      </c>
      <c r="QW117" s="21" t="str">
        <f t="shared" si="407"/>
        <v/>
      </c>
      <c r="QX117" s="21" t="str">
        <f t="shared" si="408"/>
        <v/>
      </c>
      <c r="QY117" s="21" t="str">
        <f t="shared" si="409"/>
        <v/>
      </c>
      <c r="QZ117" s="21" t="str">
        <f t="shared" si="410"/>
        <v/>
      </c>
      <c r="RA117" s="21" t="str">
        <f t="shared" si="411"/>
        <v/>
      </c>
      <c r="RB117" s="21" t="str">
        <f t="shared" si="412"/>
        <v/>
      </c>
      <c r="RC117" s="21" t="str">
        <f t="shared" si="413"/>
        <v/>
      </c>
      <c r="RD117" s="21" t="str">
        <f t="shared" si="414"/>
        <v/>
      </c>
      <c r="RE117" s="21" t="str">
        <f t="shared" si="415"/>
        <v/>
      </c>
      <c r="RF117" s="21" t="str">
        <f t="shared" si="416"/>
        <v/>
      </c>
      <c r="RG117" s="21" t="str">
        <f t="shared" si="417"/>
        <v/>
      </c>
      <c r="RH117" s="21" t="str">
        <f t="shared" si="418"/>
        <v/>
      </c>
      <c r="RI117" s="21" t="str">
        <f t="shared" si="419"/>
        <v/>
      </c>
      <c r="RJ117" s="21" t="str">
        <f t="shared" si="420"/>
        <v/>
      </c>
      <c r="RK117" s="21" t="str">
        <f t="shared" si="421"/>
        <v/>
      </c>
      <c r="RL117" s="21" t="str">
        <f t="shared" si="422"/>
        <v/>
      </c>
      <c r="RM117" s="21" t="str">
        <f t="shared" si="423"/>
        <v/>
      </c>
      <c r="RN117" s="21" t="str">
        <f t="shared" si="424"/>
        <v/>
      </c>
      <c r="RO117" s="21" t="str">
        <f t="shared" si="425"/>
        <v/>
      </c>
      <c r="RP117" s="21" t="str">
        <f t="shared" si="426"/>
        <v/>
      </c>
      <c r="RQ117" s="21" t="str">
        <f t="shared" si="427"/>
        <v/>
      </c>
      <c r="RR117" s="21" t="str">
        <f t="shared" si="428"/>
        <v/>
      </c>
      <c r="RS117" s="21" t="str">
        <f t="shared" si="429"/>
        <v/>
      </c>
      <c r="RT117" s="21" t="str">
        <f t="shared" si="430"/>
        <v/>
      </c>
      <c r="RU117" s="21" t="str">
        <f t="shared" si="431"/>
        <v/>
      </c>
      <c r="RV117" s="21">
        <f t="shared" si="432"/>
        <v>8.8571428571428577</v>
      </c>
      <c r="RW117" s="284">
        <f>IF(OR(Tabla1[[#This Row],[FUM FORMULA CONFIABLE]]="",Tabla1[[#This Row],[FUM FORMULA CONFIABLE]]="SD"),"",IF(Tabla1[[#This Row],[FUM FORMULA CONFIABLE]]="CORREGIDA",Tabla1[[#This Row],[FUM X ECO 1]],Tabla1[[#This Row],[FUM x AMENORREA]]))</f>
        <v>44923</v>
      </c>
      <c r="RX117" s="21" t="str">
        <f>IF(AND(Tabla1[[#This Row],[FUM X ECO 1]]="",Tabla1[[#This Row],[FUM x AMENORREA]]=""),"",IF(AND(Tabla1[[#This Row],[FUM X ECO 1]]="",Tabla1[[#This Row],[FUM x AMENORREA]]&lt;&gt;""),"X",SUM(Tabla1[[#This Row],[FUM X ECO 1]]-Tabla1[[#This Row],[FUM x AMENORREA]])))</f>
        <v>X</v>
      </c>
      <c r="RY117" s="21" t="str">
        <f t="shared" si="434"/>
        <v>x</v>
      </c>
    </row>
    <row r="118" spans="1:493" s="338" customFormat="1" ht="45" customHeight="1" x14ac:dyDescent="0.25">
      <c r="A118" s="300"/>
      <c r="B118" s="301"/>
      <c r="C118" s="301" t="s">
        <v>845</v>
      </c>
      <c r="D118" s="302"/>
      <c r="E118" s="301" t="s">
        <v>909</v>
      </c>
      <c r="F118" s="301" t="s">
        <v>914</v>
      </c>
      <c r="G118" s="301" t="s">
        <v>1348</v>
      </c>
      <c r="H118" s="301"/>
      <c r="I118" s="300" t="s">
        <v>851</v>
      </c>
      <c r="J118" s="303">
        <v>1002847764</v>
      </c>
      <c r="K118" s="301" t="s">
        <v>852</v>
      </c>
      <c r="L118" s="304" t="s">
        <v>853</v>
      </c>
      <c r="M118" s="305">
        <v>37192</v>
      </c>
      <c r="N118" s="306">
        <f t="shared" ca="1" si="252"/>
        <v>22.027397260273972</v>
      </c>
      <c r="O118" s="305">
        <v>44986</v>
      </c>
      <c r="P118" s="307" t="str">
        <f t="shared" si="438"/>
        <v>SI</v>
      </c>
      <c r="Q118" s="308" t="s">
        <v>855</v>
      </c>
      <c r="R118" s="305">
        <v>44986</v>
      </c>
      <c r="S118" s="309" t="s">
        <v>856</v>
      </c>
      <c r="T118" s="310" t="s">
        <v>690</v>
      </c>
      <c r="U118" s="309" t="s">
        <v>857</v>
      </c>
      <c r="V118" s="309" t="s">
        <v>858</v>
      </c>
      <c r="W118" s="309"/>
      <c r="X118" s="309"/>
      <c r="Y118" s="309"/>
      <c r="Z118" s="309"/>
      <c r="AA118" s="309" t="s">
        <v>860</v>
      </c>
      <c r="AB118" s="311" t="s">
        <v>861</v>
      </c>
      <c r="AC118" s="308" t="s">
        <v>846</v>
      </c>
      <c r="AD118" s="312" t="s">
        <v>846</v>
      </c>
      <c r="AE118" s="308" t="s">
        <v>854</v>
      </c>
      <c r="AF118" s="308" t="s">
        <v>854</v>
      </c>
      <c r="AG118" s="313" t="s">
        <v>864</v>
      </c>
      <c r="AH118" s="313" t="s">
        <v>864</v>
      </c>
      <c r="AI118" s="310" t="s">
        <v>863</v>
      </c>
      <c r="AJ118" s="313" t="s">
        <v>864</v>
      </c>
      <c r="AK118" s="314" t="str">
        <f>IF(AND(AD118="",AE118="",AF118="",AG118="",AH118="",AI118="",AJ118=""),"",IF(OR(Tabla1[[#This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EVALUACIÓN",IF(AND(O118="",R118=""),"",IF(AND(OR(O118&gt;0,R118&gt;0),NG118&gt;=0,NG118&lt;2),"SIN RIESGO",IF(AND(OR(O118&gt;0,R118&gt;0),NG118&gt;=2),"CON RIESGO","ASD")))))</f>
        <v>SIN RIESGO</v>
      </c>
      <c r="AL118" s="313" t="s">
        <v>864</v>
      </c>
      <c r="AM118" s="308" t="s">
        <v>864</v>
      </c>
      <c r="AN118" s="308" t="s">
        <v>864</v>
      </c>
      <c r="AO118" s="308" t="s">
        <v>864</v>
      </c>
      <c r="AP118" s="308" t="s">
        <v>864</v>
      </c>
      <c r="AQ118" s="308" t="s">
        <v>864</v>
      </c>
      <c r="AR118" s="308" t="s">
        <v>864</v>
      </c>
      <c r="AS118" s="309">
        <v>2</v>
      </c>
      <c r="AT118" s="309">
        <v>2</v>
      </c>
      <c r="AU118" s="309">
        <v>0</v>
      </c>
      <c r="AV118" s="308" t="s">
        <v>864</v>
      </c>
      <c r="AW118" s="309">
        <v>0</v>
      </c>
      <c r="AX118" s="308" t="s">
        <v>864</v>
      </c>
      <c r="AY118" s="308" t="s">
        <v>864</v>
      </c>
      <c r="AZ118" s="308" t="s">
        <v>864</v>
      </c>
      <c r="BA118" s="308" t="s">
        <v>864</v>
      </c>
      <c r="BB118" s="308" t="s">
        <v>864</v>
      </c>
      <c r="BC118" s="308" t="s">
        <v>864</v>
      </c>
      <c r="BD118" s="308" t="s">
        <v>864</v>
      </c>
      <c r="BE118" s="308" t="s">
        <v>864</v>
      </c>
      <c r="BF118" s="308" t="s">
        <v>864</v>
      </c>
      <c r="BG118" s="308" t="s">
        <v>864</v>
      </c>
      <c r="BH118" s="308" t="s">
        <v>864</v>
      </c>
      <c r="BI118" s="308" t="s">
        <v>864</v>
      </c>
      <c r="BJ118" s="308"/>
      <c r="BK118" s="308"/>
      <c r="BL118" s="308" t="s">
        <v>864</v>
      </c>
      <c r="BM118" s="308" t="s">
        <v>864</v>
      </c>
      <c r="BN118" s="305">
        <v>44537</v>
      </c>
      <c r="BO118" s="305">
        <v>44835</v>
      </c>
      <c r="BP118" s="309" t="s">
        <v>854</v>
      </c>
      <c r="BQ118" s="315">
        <f t="shared" si="254"/>
        <v>9.9333333333333336</v>
      </c>
      <c r="BR118" s="316" t="str">
        <f t="shared" si="255"/>
        <v/>
      </c>
      <c r="BS118" s="317">
        <f t="shared" si="256"/>
        <v>21.571428571428573</v>
      </c>
      <c r="BT118" s="318" t="str">
        <f t="shared" si="257"/>
        <v>II TRIM</v>
      </c>
      <c r="BU118" s="307" t="str">
        <f t="shared" ca="1" si="258"/>
        <v/>
      </c>
      <c r="BV118" s="319"/>
      <c r="BW118" s="305"/>
      <c r="BX118" s="320"/>
      <c r="BY118" s="320"/>
      <c r="BZ118" s="305"/>
      <c r="CA118" s="309"/>
      <c r="CB118" s="308"/>
      <c r="CC118" s="308"/>
      <c r="CD118" s="308"/>
      <c r="CE118" s="308"/>
      <c r="CF118" s="22" t="s">
        <v>1517</v>
      </c>
      <c r="CG118" s="309">
        <v>1.55</v>
      </c>
      <c r="CH118" s="309">
        <v>66.900000000000006</v>
      </c>
      <c r="CI118" s="307">
        <f t="shared" si="259"/>
        <v>27.845993756503642</v>
      </c>
      <c r="CJ118" s="321" t="e">
        <f>IF(AND(CI118&lt;10,CH118="SD"),"SIN DATO PESO PREGESTACION O I TRIM",IF(AND(OR(R118&gt;0,O118&gt;0),CI118="X"),"INGRESAR DATO DE PESO",IF(CI118="SD","INGRESAR DATO DE TALLA Y PESO",IF(AND(OR(Tabla1[[#This Row],[MOMENTO EN QUE SE REALIZA EL PESO AL INGRESO A CPN]]="PREGESTACIÓN",NZ118="Menor"),CI118&lt;18.5),"BAJO PESO",IF(AND(OR(Tabla1[[#This Row],[MOMENTO EN QUE SE REALIZA EL PESO AL INGRESO A CPN]]="PREGESTACIÓN",NZ118="Menor"),CI118&lt;25),"NORMAL",IF(AND(OR(Tabla1[[#This Row],[MOMENTO EN QUE SE REALIZA EL PESO AL INGRESO A CPN]]="PREGESTACIÓN",NZ118="Menor"),CI118&lt;30),"SOBREPESO",IF(AND(OR(Tabla1[[#This Row],[MOMENTO EN QUE SE REALIZA EL PESO AL INGRESO A CPN]]="PREGESTACIÓN",NZ118="Menor"),CI118&gt;=30,CI118&lt;50),"OBESIDAD",IF(AND(BS118&gt;0,Tabla1[[#This Row],[MOMENTO EN QUE SE REALIZA EL PESO AL INGRESO A CPN]]="GESTACIÓN"),HLOOKUP(NZ118,$OA$2:PH118,NY118),""))))))))</f>
        <v>#REF!</v>
      </c>
      <c r="CK118" s="322">
        <f t="shared" si="260"/>
        <v>45051</v>
      </c>
      <c r="CL118" s="309">
        <v>70</v>
      </c>
      <c r="CM118" s="307">
        <f t="shared" si="261"/>
        <v>29.136316337148799</v>
      </c>
      <c r="CN118" s="318">
        <f t="shared" si="262"/>
        <v>30</v>
      </c>
      <c r="CO118" s="318" t="e">
        <f>IF(PI118="","",IF(PI118&gt;0,HLOOKUP(PI118,$PJ$2:QQ118,NY118),""))</f>
        <v>#REF!</v>
      </c>
      <c r="CP118" s="309">
        <v>28</v>
      </c>
      <c r="CQ118" s="318" t="e">
        <f>IF(QR118="Menor","NO APLICA-MENOR 13 SEM",IF(AND(CC118="SI",CN118&gt;23),"NO APLICA- GEMELAR",IF(QR118="","",IF(QR118&gt;0,HLOOKUP(QR118,$QS$2:RU118,NY118),""))))</f>
        <v>#REF!</v>
      </c>
      <c r="CR118" s="309">
        <v>100</v>
      </c>
      <c r="CS118" s="309">
        <v>60</v>
      </c>
      <c r="CT118" s="323" t="str">
        <f>IF(R118="","",IF(AND(BS118&gt;1,BS118&lt;12,Tabla1[[#This Row],[T.A. SISTOLICA - ANTES DE SEMANA 12]]="",Tabla1[[#This Row],[T.A. DIASTOLICA - ANTES DE SEMANA 12]]=""),"REGISTRE DATO TA ANTES SEMANA 12",IF(AND(BS118&gt;11,BS118&lt;43,Tabla1[[#This Row],[T.A. SISTOLICA - ANTES DE SEMANA 12]]="",Tabla1[[#This Row],[T.A. DIASTOLICA - ANTES DE SEMANA 12]]=""),"NO APLICA REGISTRO TA-INGRESO TARDIO",IF(AND(OR(O118&gt;0,R118&gt;0),OR(CR118&gt;=140,CS118&gt;=90)),"DEFINIR ESTADIO HTA",IF(AND(OR(O118&gt;0,R118&gt;0),AND(CR118&gt;120,CR118&lt;=139)),"PRE HTA SEGUIMIENTO",IF(AND(OR(O118&gt;0,R118&gt;0),AND(CS118&gt;80,CS118&lt;=89)),"PRE HTA SEGUIMIENTO",IF(AND(OR(O118&gt;0,R118&gt;0),AND(CR118&gt;=80,CR118&lt;=120)),"APARENTEMENTE NORMAL",IF(AND(OR(O118&gt;0,R118&gt;0),AND(CS118&gt;=50,CS118&lt;=80)),"APARENTEMENTE NORMAL",IF(AND(OR(O118&gt;0,R118&gt;0),AND(CR118&gt;1,CR118&lt;=70),AND(CS118&gt;1,CS118&lt;=40)),"HIPOTENSIÓN","")))))))))</f>
        <v>APARENTEMENTE NORMAL</v>
      </c>
      <c r="CU118" s="309"/>
      <c r="CV118" s="309"/>
      <c r="CW118" s="323" t="str">
        <f ca="1">IF(R118="","",IF(AND(CN118&gt;19,CN118&lt;27,Tabla1[[#This Row],[T.A. SISTOLICA (Entre semana 20 y 26)]]="",Tabla1[[#This Row],[T.A. DIATOLICA (Entre semana 20 y 26)]]=""),"ACUDE A CONTROL SEM 20 A 26 REGISTRE TA AHORA",IF(AND(BS118&gt;1,BS118&lt;27,BU118&gt;19,Tabla1[[#This Row],[T.A. SISTOLICA (Entre semana 20 y 26)]]="",Tabla1[[#This Row],[T.A. DIATOLICA (Entre semana 20 y 26)]]=""),"COMPLETE REGISTRO TA CONTROL SEM 20 A26 ",IF(AND(BS118&gt;26,BS118&lt;43,Tabla1[[#This Row],[T.A. SISTOLICA (Entre semana 20 y 26)]]="",Tabla1[[#This Row],[T.A. DIATOLICA (Entre semana 20 y 26)]]=""),"NO APLICA REGISTRO TA-INGRESO TARDIO",IF(AND(OR(O118&gt;0,R118&gt;0),OR(CU118&gt;=140,CV118&gt;=90)),"ALTO RIESGO PREECLAMPSIA,DEFINIR ESTADIO HTA",IF(AND(OR(O118&gt;0,R118&gt;0),AND(CU118&gt;120,CU118&lt;=139)),"PRE HTA SEGUIMIENTO,RIESGO HIPERTENSION INDUCIDA POR EL EMBARAZO",IF(AND(OR(O118&gt;0,R118&gt;0),AND(CV118&gt;80,CV118&lt;=89)),"PRE HTA SEGUIMIENTO, RIESGO HIPERTENSION INDUCIDA POR EL EMBARAZO",IF(AND(OR(O118&lt;&gt;"",R118&lt;&gt;""),CS118&lt;&gt;"",CV118&lt;&gt;"",CS118&lt;=CV118),"VIGILAR CIFRAS PRESION ARTERIAL",IF(AND(OR(O118&gt;0,R118&gt;0),AND(CU118&gt;120,CU118&lt;=139)),"PRE HTA SEGUIMIENTO",IF(AND(OR(O118&gt;0,R118&gt;0),AND(CU118&gt;1,CU118&lt;=70),AND(CV118&gt;1,CV118&lt;=40)),"HIPOTENSIÓN",IF(AND(OR(O118&lt;&gt;"",R118&lt;&gt;""),CS118&lt;&gt;"",CV118&lt;&gt;"",CS118&gt;CV118),"APARENTEMENTE NORMAL",IF(AND(OR(O118&gt;0,R118&gt;0),AND(CU118&gt;=80,CU118&lt;=120)),"APARENTEMENTE NORMAL",IF(AND(OR(O118&gt;0,R118&gt;0),AND(CV118&gt;=50,CV118&lt;=80)),"APARENTEMENTE NORMAL","")))))))))))))</f>
        <v xml:space="preserve">COMPLETE REGISTRO TA CONTROL SEM 20 A26 </v>
      </c>
      <c r="CX118" s="309">
        <v>100</v>
      </c>
      <c r="CY118" s="309">
        <v>60</v>
      </c>
      <c r="CZ118" s="318" t="str">
        <f t="shared" si="457"/>
        <v>APARENTEMENTE NORMAL</v>
      </c>
      <c r="DA118" s="309"/>
      <c r="DB118" s="309"/>
      <c r="DC118" s="323" t="str">
        <f t="shared" si="264"/>
        <v>REGISTRE DATO PRESIÓN ARTERIAL MENSUAL</v>
      </c>
      <c r="DD118" s="305">
        <v>44986</v>
      </c>
      <c r="DE118" s="305">
        <v>44986</v>
      </c>
      <c r="DF118" s="305">
        <v>45051</v>
      </c>
      <c r="DG118" s="305"/>
      <c r="DH118" s="305"/>
      <c r="DI118" s="305"/>
      <c r="DJ118" s="305"/>
      <c r="DK118" s="305"/>
      <c r="DL118" s="305"/>
      <c r="DM118" s="305"/>
      <c r="DN118" s="305"/>
      <c r="DO118" s="305"/>
      <c r="DP118" s="305"/>
      <c r="DQ118" s="305"/>
      <c r="DR118" s="320">
        <v>1</v>
      </c>
      <c r="DS118" s="305"/>
      <c r="DT118" s="305"/>
      <c r="DU118" s="318" t="str">
        <f t="shared" ca="1" si="439"/>
        <v>CONCERTAR PLAN DE PARTO INMEDIATO</v>
      </c>
      <c r="DV118" s="324" t="str">
        <f t="shared" si="440"/>
        <v>ACTIVA INGRESO A CPN</v>
      </c>
      <c r="DW118" s="32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18" s="318" t="e">
        <f t="shared" ca="1" si="266"/>
        <v>#REF!</v>
      </c>
      <c r="DY118" s="322">
        <f>IF(R118="","",IF(R118&gt;0,MAX(Tabla1[[#This Row],[FECHA C2]:[FECHA C13]],Tabla1[[#This Row],[FECHA CONSULTA PRIMERA VEZ PROGRAMA CPN ]])))</f>
        <v>45051</v>
      </c>
      <c r="DZ118" s="318">
        <f t="shared" si="267"/>
        <v>30</v>
      </c>
      <c r="EA118" s="315">
        <f>IF(R118&gt;0,SUM(COUNTA(DF118:DQ118)+COUNTA(Tabla1[[#This Row],[FECHA CONSULTA PRIMERA VEZ PROGRAMA CPN ]])),"")</f>
        <v>2</v>
      </c>
      <c r="EB118" s="315" t="str">
        <f t="shared" si="268"/>
        <v>NO</v>
      </c>
      <c r="EC118" s="307">
        <f t="shared" si="269"/>
        <v>6</v>
      </c>
      <c r="ED118" s="325">
        <f t="shared" si="270"/>
        <v>0.33333333333333331</v>
      </c>
      <c r="EE118" s="305">
        <v>44986</v>
      </c>
      <c r="EF118" s="305"/>
      <c r="EG118" s="305">
        <v>44986</v>
      </c>
      <c r="EH118" s="305"/>
      <c r="EI118" s="305">
        <v>44986</v>
      </c>
      <c r="EJ118" s="305"/>
      <c r="EK118" s="305"/>
      <c r="EL118" s="309"/>
      <c r="EM118" s="309"/>
      <c r="EN118" s="305"/>
      <c r="EO118" s="315" t="str">
        <f t="shared" si="271"/>
        <v>TOMAR EXAMEN</v>
      </c>
      <c r="EP118" s="307" t="str">
        <f t="shared" si="272"/>
        <v/>
      </c>
      <c r="EQ118" s="318" t="str">
        <f t="shared" si="273"/>
        <v>POR DEFINIR</v>
      </c>
      <c r="ER118" s="310"/>
      <c r="ES118" s="305"/>
      <c r="ET118" s="326" t="str">
        <f t="shared" ca="1" si="441"/>
        <v>TOMA DE HEMOGLOBINA TARDÍA</v>
      </c>
      <c r="EU118" s="319" t="str">
        <f t="shared" si="275"/>
        <v/>
      </c>
      <c r="EV118" s="310"/>
      <c r="EW118" s="310"/>
      <c r="EX118" s="305"/>
      <c r="EY118" s="326" t="str">
        <f t="shared" si="454"/>
        <v>TOMAR EXAMEN</v>
      </c>
      <c r="EZ118" s="319" t="str">
        <f t="shared" ca="1" si="455"/>
        <v/>
      </c>
      <c r="FA118" s="309"/>
      <c r="FB118" s="305"/>
      <c r="FC118" s="326" t="str">
        <f t="shared" si="276"/>
        <v>TOMAR EXAMEN</v>
      </c>
      <c r="FD118" s="326"/>
      <c r="FE118" s="326"/>
      <c r="FF118" s="326"/>
      <c r="FG118" s="309" t="str">
        <f t="shared" ca="1" si="277"/>
        <v/>
      </c>
      <c r="FH118" s="327"/>
      <c r="FI118" s="326" t="str">
        <f t="shared" si="278"/>
        <v>TOMAR EXAMEN</v>
      </c>
      <c r="FJ118" s="305"/>
      <c r="FK118" s="305"/>
      <c r="FL118" s="326" t="str">
        <f t="shared" ca="1" si="279"/>
        <v>NO APLICA-INGRESO TARDIO</v>
      </c>
      <c r="FM118" s="305"/>
      <c r="FN118" s="328"/>
      <c r="FO118" s="326" t="str">
        <f t="shared" ca="1" si="442"/>
        <v>PIERDE TOMA DE TAMIZAJE</v>
      </c>
      <c r="FP118" s="305"/>
      <c r="FQ118" s="328"/>
      <c r="FR118" s="326" t="str">
        <f t="shared" ca="1" si="443"/>
        <v>TOMA INMEDIATA DE TAMIZAJE</v>
      </c>
      <c r="FS118" s="305"/>
      <c r="FT118" s="328"/>
      <c r="FU118" s="326" t="str">
        <f>IF(AND(FJ118="",FM118="",FP118="",FS118=""),"",IF(OR(OR(Tabla1[[#This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18" s="320"/>
      <c r="FW118" s="305"/>
      <c r="FX118" s="326" t="str">
        <f t="shared" si="280"/>
        <v>TOMAR EXAMEN</v>
      </c>
      <c r="FY118" s="305"/>
      <c r="FZ118" s="305"/>
      <c r="GA118" s="326" t="str">
        <f t="shared" ca="1" si="453"/>
        <v>NO APLICA-INGRESO TARDIO</v>
      </c>
      <c r="GB118" s="305"/>
      <c r="GC118" s="305"/>
      <c r="GD118" s="326" t="str">
        <f t="shared" ca="1" si="491"/>
        <v>PIERDE TOMA DE TAMIZAJE</v>
      </c>
      <c r="GE118" s="305"/>
      <c r="GF118" s="305"/>
      <c r="GG118" s="326" t="str">
        <f t="shared" ca="1" si="445"/>
        <v>TOMA INMEDIATA DE TAMIZAJE</v>
      </c>
      <c r="GH118" s="305"/>
      <c r="GI118" s="326"/>
      <c r="GJ118" s="305"/>
      <c r="GK118" s="305"/>
      <c r="GL118" s="305"/>
      <c r="GM118" s="305"/>
      <c r="GN118" s="320"/>
      <c r="GO118" s="305"/>
      <c r="GP118" s="326" t="str">
        <f t="shared" si="283"/>
        <v>TOMAR EXAMEN</v>
      </c>
      <c r="GQ118" s="320"/>
      <c r="GR118" s="320"/>
      <c r="GS118" s="305" t="str">
        <f t="shared" si="458"/>
        <v/>
      </c>
      <c r="GT118" s="305"/>
      <c r="GU118" s="326" t="str">
        <f t="shared" si="285"/>
        <v>TOMAR EXAMEN</v>
      </c>
      <c r="GV118" s="309" t="str">
        <f t="shared" si="286"/>
        <v>POR DEFINIR</v>
      </c>
      <c r="GW118" s="320"/>
      <c r="GX118" s="329"/>
      <c r="GY118" s="309"/>
      <c r="GZ118" s="309"/>
      <c r="HA118" s="309"/>
      <c r="HB118" s="309"/>
      <c r="HC118" s="309"/>
      <c r="HD118" s="309"/>
      <c r="HE118" s="309"/>
      <c r="HF118" s="305"/>
      <c r="HG118" s="305" t="str">
        <f>IF(OR(O118&gt;0,R118&gt;0),CONCATENATE(IF(Tabla1[[#This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18" s="305" t="e">
        <f t="shared" si="287"/>
        <v>#REF!</v>
      </c>
      <c r="HI118" s="305" t="e">
        <f t="shared" ca="1" si="288"/>
        <v>#REF!</v>
      </c>
      <c r="HJ118" s="309" t="str">
        <f t="shared" ca="1" si="289"/>
        <v>***************************************</v>
      </c>
      <c r="HK118" s="309" t="str">
        <f t="shared" si="290"/>
        <v>SIN ANTECEDENTES DE RIESGO</v>
      </c>
      <c r="HL118" s="310" t="str">
        <f t="shared" si="291"/>
        <v>REGISTRE DATO PRESIÓN ARTERIAL MENSUAL</v>
      </c>
      <c r="HM118" s="309" t="e">
        <f t="shared" ca="1" si="292"/>
        <v>#REF!</v>
      </c>
      <c r="HN118" s="329" t="str">
        <f t="shared" si="446"/>
        <v>ACTIVA INGRESO A CPN</v>
      </c>
      <c r="HO118" s="309"/>
      <c r="HP118" s="309"/>
      <c r="HQ118" s="309">
        <v>44986</v>
      </c>
      <c r="HR118" s="309" t="str">
        <f>IF(R118="","",IF(Tabla1[[#This Row],[ALARMA FACTORES DE RIESGO COMPLICACIONES HIPERTENSIVAS3]]="SIN ANTECEDENTES DE RIESGO","No Aplica para suministro de ASA",IF(AND(Tabla1[[#This Row],[FECHA INICIO DE SUMINISTRO DE ASA]]&gt;0,RV118&lt;12),"Inicia ASA ANTES de Sem 12",IF(AND(RV118&gt;11,RV118&lt;17,OR(HK118="RIESGO ALTO DE COMPLICACIONES HIPERTENSIVAS VER MANEJO GUIA SUMINISTRO ASA Y CALCIO",HK118="RIESGO MODERADO (2 O MAS CRITERIOS) VER MANEJO GUIA SUMINISTRO ASA Y CALCIO")),"Inicio oportuno de ASA",IF(AND(RV118&gt;12,OR(HK118="RIESGO ALTO DE COMPLICACIONES HIPERTENSIVAS VER MANEJO GUIA SUMINISTRO ASA Y CALCIO",HK118="RIESGO MODERADO (2 O MAS CRITERIOS) VER MANEJO GUIA SUMINISTRO ASA Y CALCIO")),"Inicio no oportuno mayor a 16 semanas",IF(AND(BU118&lt;12,OR(HK118="RIESGO ALTO DE COMPLICACIONES HIPERTENSIVAS VER MANEJO GUIA SUMINISTRO ASA Y CALCIO",HK118="RIESGO MODERADO (2 O MAS CRITERIOS) VER MANEJO GUIA SUMINISTRO ASA Y CALCIO")),"Pendiente Inicio de ASA a la semana 12",IF(AND(BU118&gt;11,BU118&lt;17,OR(HK118="RIESGO ALTO DE COMPLICACIONES HIPERTENSIVAS VER MANEJO GUIA SUMINISTRO ASA Y CALCIO",HK118="RIESGO MODERADO (2 O MAS CRITERIOS) VER MANEJO GUIA SUMINISTRO ASA Y CALCIO")),"Iniciar de inmediato ASA",IF(AND(BU118&gt;16,OR(HK118="RIESGO ALTO DE COMPLICACIONES HIPERTENSIVAS VER MANEJO GUIA SUMINISTRO ASA Y CALCIO",HK118="RIESGO MODERADO (2 O MAS CRITERIOS) VER MANEJO GUIA SUMINISTRO ASA Y CALCIO")),"Pierde Oportunidad, Inicio tardío de ASA","XXXXX"))))))))</f>
        <v>No Aplica para suministro de ASA</v>
      </c>
      <c r="HS118" s="305">
        <v>44986</v>
      </c>
      <c r="HT118" s="305" t="s">
        <v>870</v>
      </c>
      <c r="HU118" s="305">
        <v>44986</v>
      </c>
      <c r="HV118" s="305" t="s">
        <v>870</v>
      </c>
      <c r="HW118" s="305"/>
      <c r="HX118" s="305"/>
      <c r="HY118" s="305">
        <v>44986</v>
      </c>
      <c r="HZ118" s="320">
        <f t="shared" si="293"/>
        <v>21.571428571428573</v>
      </c>
      <c r="IA118" s="308"/>
      <c r="IB118" s="308"/>
      <c r="IC118" s="330"/>
      <c r="ID118" s="305">
        <v>45006</v>
      </c>
      <c r="IE118" s="305" t="str">
        <f t="shared" ca="1" si="294"/>
        <v>VACUNA APLICADA ENTRE SEMANA 20 Y SEMANA 26</v>
      </c>
      <c r="IF118" s="305"/>
      <c r="IG118" s="305">
        <f t="shared" si="295"/>
        <v>45115</v>
      </c>
      <c r="IH118" s="326">
        <f t="shared" ca="1" si="296"/>
        <v>-117</v>
      </c>
      <c r="II118" s="305" t="str">
        <f t="shared" ca="1" si="297"/>
        <v>POSIBLEMENTE NACIO</v>
      </c>
      <c r="IJ118" s="305"/>
      <c r="IK118" s="309"/>
      <c r="IL118" s="309"/>
      <c r="IM118" s="331"/>
      <c r="IN118" s="350"/>
      <c r="IO118" s="309"/>
      <c r="IP118" s="326" t="str">
        <f t="shared" si="490"/>
        <v/>
      </c>
      <c r="IQ118" s="332"/>
      <c r="IR118" s="309"/>
      <c r="IS118" s="309"/>
      <c r="IT118" s="309"/>
      <c r="IU118" s="309"/>
      <c r="IV118" s="309"/>
      <c r="IW118" s="309"/>
      <c r="IX118" s="309"/>
      <c r="IY118" s="309"/>
      <c r="IZ118" s="309"/>
      <c r="JA118" s="309"/>
      <c r="JB118" s="329"/>
      <c r="JC118" s="309"/>
      <c r="JD118" s="333"/>
      <c r="JE118" s="309" t="str">
        <f t="shared" si="492"/>
        <v/>
      </c>
      <c r="JF118" s="329"/>
      <c r="JG118" s="309"/>
      <c r="JH118" s="309"/>
      <c r="JI118" s="309"/>
      <c r="JJ118" s="329"/>
      <c r="JK118" s="305"/>
      <c r="JL118" s="305"/>
      <c r="JM118" s="309"/>
      <c r="JN118" s="333"/>
      <c r="JO118" s="309" t="str">
        <f t="shared" si="493"/>
        <v/>
      </c>
      <c r="JP118" s="305"/>
      <c r="JQ118" s="309"/>
      <c r="JR118" s="309"/>
      <c r="JS118" s="309"/>
      <c r="JT118" s="329"/>
      <c r="JU118" s="305"/>
      <c r="JV118" s="305"/>
      <c r="JW118" s="334"/>
      <c r="JX118" s="320" t="str">
        <f t="shared" si="494"/>
        <v/>
      </c>
      <c r="JY118" s="334"/>
      <c r="JZ118" s="320" t="str">
        <f t="shared" si="495"/>
        <v/>
      </c>
      <c r="KA118" s="309"/>
      <c r="KB118" s="309"/>
      <c r="KC118" s="309"/>
      <c r="KD118" s="335"/>
      <c r="KE118" s="320"/>
      <c r="KF118" s="320"/>
      <c r="KG118" s="320"/>
      <c r="KH118" s="336"/>
      <c r="KI118" s="336"/>
      <c r="KJ118" s="337"/>
      <c r="KK118" s="336"/>
      <c r="KL118" s="336"/>
      <c r="KM118" s="337"/>
      <c r="KN118" s="336"/>
      <c r="KO118" s="336"/>
      <c r="KP118" s="336"/>
      <c r="KQ118" s="336"/>
      <c r="KR118" s="336"/>
      <c r="KS118" s="336"/>
      <c r="KT118" s="336"/>
      <c r="KU118" s="312"/>
      <c r="KV118" s="312"/>
      <c r="KW118" s="312"/>
      <c r="KX118" s="312"/>
      <c r="KY118" s="312"/>
      <c r="KZ118" s="312"/>
      <c r="LA118" s="312"/>
      <c r="LB118" s="312"/>
      <c r="LC118" s="312"/>
      <c r="LD118" s="312"/>
      <c r="LE118" s="312"/>
      <c r="LF118" s="312"/>
      <c r="LG118" s="312"/>
      <c r="LH118" s="312"/>
      <c r="LI118" s="312"/>
      <c r="LJ118" s="312"/>
      <c r="LK118" s="312"/>
      <c r="LL118" s="312"/>
      <c r="LM118" s="312"/>
      <c r="LN118" s="312"/>
      <c r="LO118" s="312"/>
      <c r="LP118" s="312"/>
      <c r="LQ118" s="312"/>
      <c r="LR118" s="312"/>
      <c r="LS118" s="312"/>
      <c r="LT118" s="312"/>
      <c r="LU118" s="312"/>
      <c r="LV118" s="312"/>
      <c r="LW118" s="312"/>
      <c r="LX118" s="312"/>
      <c r="LY118" s="312"/>
      <c r="LZ118" s="312"/>
      <c r="MA118" s="312"/>
      <c r="MB118" s="312"/>
      <c r="MC118" s="312"/>
      <c r="MD118" s="312"/>
      <c r="ME118" s="312"/>
      <c r="MF118" s="312"/>
      <c r="MG118" s="312"/>
      <c r="MH118" s="43">
        <f t="shared" si="459"/>
        <v>0</v>
      </c>
      <c r="MI118" s="43" t="str">
        <f t="shared" si="460"/>
        <v/>
      </c>
      <c r="MJ118" s="43" t="str">
        <f t="shared" si="461"/>
        <v/>
      </c>
      <c r="MK118" s="43">
        <f t="shared" si="462"/>
        <v>0</v>
      </c>
      <c r="ML11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18" s="43">
        <f t="shared" si="463"/>
        <v>21.571428571428573</v>
      </c>
      <c r="MN118" s="43">
        <f t="shared" si="464"/>
        <v>3</v>
      </c>
      <c r="MO118" s="43">
        <f t="shared" si="465"/>
        <v>2023</v>
      </c>
      <c r="MP118" s="43" t="str">
        <f t="shared" si="466"/>
        <v>I TRIMESTRE AÑO</v>
      </c>
      <c r="MQ118" s="43">
        <f t="shared" si="467"/>
        <v>21.033180026281208</v>
      </c>
      <c r="MR118" s="43">
        <f t="shared" si="468"/>
        <v>0</v>
      </c>
      <c r="MS118" s="43" t="str">
        <f t="shared" si="469"/>
        <v xml:space="preserve"> DE 20 A 24 AÑOS</v>
      </c>
      <c r="MT118" s="43">
        <f t="shared" si="470"/>
        <v>0</v>
      </c>
      <c r="MU118" s="43">
        <f t="shared" si="471"/>
        <v>0</v>
      </c>
      <c r="MV118" s="43">
        <f t="shared" si="472"/>
        <v>0</v>
      </c>
      <c r="MW118" s="43">
        <f t="shared" si="473"/>
        <v>0</v>
      </c>
      <c r="MX118" s="43" t="str">
        <f t="shared" si="474"/>
        <v/>
      </c>
      <c r="MY118" s="43" t="str">
        <f t="shared" ca="1" si="496"/>
        <v/>
      </c>
      <c r="MZ118" s="43" t="str">
        <f t="shared" si="475"/>
        <v/>
      </c>
      <c r="NA118" s="43" t="str">
        <f t="shared" si="476"/>
        <v/>
      </c>
      <c r="NB118" s="43" t="str">
        <f t="shared" si="477"/>
        <v/>
      </c>
      <c r="NC118" s="43" t="str">
        <f t="shared" si="478"/>
        <v/>
      </c>
      <c r="ND118" s="43">
        <f t="shared" ca="1" si="479"/>
        <v>0</v>
      </c>
      <c r="NE118" s="43">
        <f>IF(OR(O118&gt;0,R118&gt;0),SUM(COUNTIF(Tabla1[[#This Row],[AÑOS AL INICIO5 CPN]],"&gt;=40"),COUNTIF(AS118,"0"),COUNTIF(AR118,"SI"),COUNTIF(CC118,"SI"),COUNTIF(BQ118,"&gt;119"),COUNTIF(CI118,"&gt;=35")),"")</f>
        <v>0</v>
      </c>
      <c r="NF118" s="43">
        <f t="shared" si="480"/>
        <v>24.428571428571427</v>
      </c>
      <c r="NG118" s="43">
        <f t="shared" si="481"/>
        <v>0</v>
      </c>
      <c r="NH118" s="43" t="str">
        <f t="shared" si="482"/>
        <v/>
      </c>
      <c r="NI11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CPN",P118="NO"),"Z",IF(AND(Tabla1[[#This Row],[CITA PROXIMO CONTROL]]="CITA MANUAL",Tabla1[[#This Row],[GESTANTES ACTUALES]]="ACTIVA INGRESO A CPN"),"W",IF(AND(Tabla1[[#This Row],[GESTANTES ACTUALES]]="SALIO PROGRAMA",IN118=""),"S",IF(AND(Tabla1[[#This Row],[CITA PROXIMO CONTROL]]&gt;0,IN118=""),(Tabla1[[#This Row],[CITA PROXIMO CONTROL]]-TODAY()),"SD"))))))))</f>
        <v>#REF!</v>
      </c>
      <c r="NJ118" s="43">
        <f>MONTH(Tabla1[[#This Row],[FECHA DE SALIDA  DEL PROGRAMA]])</f>
        <v>1</v>
      </c>
      <c r="NK118" s="43">
        <f>YEAR(Tabla1[[#This Row],[FECHA DE SALIDA  DEL PROGRAMA]])</f>
        <v>1900</v>
      </c>
      <c r="NL118" s="43" t="str">
        <f t="shared" si="483"/>
        <v>X</v>
      </c>
      <c r="NM118" s="43" t="str">
        <f t="shared" si="456"/>
        <v>NO</v>
      </c>
      <c r="NN118" s="43" t="str">
        <f ca="1">IF(AND(O118&gt;0,R118=""),"NO CPN",IF(AND(O118="",R118=""),"",IF(AND(R118&gt;0,Tabla1[[#This Row],[SEMANAS DE GESTACION ACTUALIZADAS]]&lt;=12),"NO APLICA",IF(AND(FH118&lt;&gt;"",FN118&lt;&gt;""),"SI","NO"))))</f>
        <v>NO</v>
      </c>
      <c r="NO118" s="43" t="str">
        <f ca="1">IF(AND(O118&gt;0,R118=""),"NO CPN",IF(AND(O118="",R118=""),"",IF(AND(R118&gt;0,Tabla1[[#This Row],[SEMANAS DE GESTACION ACTUALIZADAS]]&lt;=27),"NO APLICA",IF(AND(ES118&lt;&gt;"",FQ118&lt;&gt;"",GF118&lt;&gt;""),"SI","NO"))))</f>
        <v>NO</v>
      </c>
      <c r="NP118" s="204" t="str">
        <f t="shared" si="484"/>
        <v>II TRIM</v>
      </c>
      <c r="NQ118" s="21" t="str">
        <f t="shared" si="437"/>
        <v/>
      </c>
      <c r="NR118" s="21" t="str">
        <f t="shared" ca="1" si="497"/>
        <v>REVISAR FUM O FECHA SALIDA PROGRAMA</v>
      </c>
      <c r="NS118" s="205">
        <f t="shared" ca="1" si="485"/>
        <v>0</v>
      </c>
      <c r="NT118" s="21">
        <f t="shared" ca="1" si="486"/>
        <v>0</v>
      </c>
      <c r="NU118" s="21" t="str">
        <f t="shared" ca="1" si="487"/>
        <v>POR DEFINIR</v>
      </c>
      <c r="NV118" s="21" t="str">
        <f t="shared" ca="1" si="488"/>
        <v>POR DEFINIR</v>
      </c>
      <c r="NW118" s="206" t="str">
        <f>IF(AND(O118="",R118=""),"",IF(OR(AND(Tabla1[[#This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18" s="207" t="str">
        <f t="shared" ca="1" si="489"/>
        <v>VACUNADA</v>
      </c>
      <c r="NY118" s="43">
        <f>ROW(Tabla1[[#This Row],['# DE TAMIZAJES SIFILIS TOMADOS ]])</f>
        <v>118</v>
      </c>
      <c r="NZ118" s="43">
        <f t="shared" si="334"/>
        <v>21</v>
      </c>
      <c r="OA118" s="43" t="str">
        <f t="shared" si="335"/>
        <v/>
      </c>
      <c r="OB118" s="43" t="str">
        <f t="shared" si="336"/>
        <v/>
      </c>
      <c r="OC118" s="43" t="str">
        <f t="shared" si="337"/>
        <v/>
      </c>
      <c r="OD118" s="43" t="str">
        <f t="shared" si="338"/>
        <v/>
      </c>
      <c r="OE118" s="43" t="str">
        <f t="shared" si="339"/>
        <v/>
      </c>
      <c r="OF118" s="43" t="str">
        <f t="shared" si="340"/>
        <v/>
      </c>
      <c r="OG118" s="43" t="str">
        <f t="shared" si="341"/>
        <v/>
      </c>
      <c r="OH118" s="43" t="str">
        <f t="shared" si="342"/>
        <v/>
      </c>
      <c r="OI118" s="43" t="str">
        <f t="shared" si="343"/>
        <v/>
      </c>
      <c r="OJ118" s="43" t="str">
        <f t="shared" si="344"/>
        <v/>
      </c>
      <c r="OK118" s="43" t="str">
        <f t="shared" si="345"/>
        <v/>
      </c>
      <c r="OL118" s="43" t="str">
        <f t="shared" si="346"/>
        <v/>
      </c>
      <c r="OM118" s="43" t="str">
        <f t="shared" si="347"/>
        <v>SOBREPESO</v>
      </c>
      <c r="ON118" s="43" t="str">
        <f t="shared" si="348"/>
        <v/>
      </c>
      <c r="OO118" s="43" t="str">
        <f t="shared" si="349"/>
        <v/>
      </c>
      <c r="OP118" s="43" t="str">
        <f t="shared" si="350"/>
        <v/>
      </c>
      <c r="OQ118" s="43" t="str">
        <f t="shared" si="351"/>
        <v/>
      </c>
      <c r="OR118" s="43" t="str">
        <f t="shared" si="352"/>
        <v/>
      </c>
      <c r="OS118" s="43" t="str">
        <f t="shared" si="353"/>
        <v/>
      </c>
      <c r="OT118" s="43" t="str">
        <f t="shared" si="354"/>
        <v/>
      </c>
      <c r="OU118" s="43" t="str">
        <f t="shared" si="355"/>
        <v/>
      </c>
      <c r="OV118" s="110" t="str">
        <f t="shared" si="356"/>
        <v/>
      </c>
      <c r="OW118" s="43" t="str">
        <f t="shared" si="357"/>
        <v/>
      </c>
      <c r="OX118" s="43" t="str">
        <f t="shared" si="358"/>
        <v/>
      </c>
      <c r="OY118" s="43" t="str">
        <f t="shared" si="359"/>
        <v/>
      </c>
      <c r="OZ118" s="43" t="str">
        <f t="shared" si="360"/>
        <v/>
      </c>
      <c r="PA118" s="43" t="str">
        <f t="shared" si="361"/>
        <v/>
      </c>
      <c r="PB118" s="43" t="str">
        <f t="shared" si="362"/>
        <v/>
      </c>
      <c r="PC118" s="43" t="str">
        <f t="shared" si="363"/>
        <v/>
      </c>
      <c r="PD118" s="43" t="str">
        <f t="shared" si="364"/>
        <v/>
      </c>
      <c r="PE118" s="43" t="str">
        <f t="shared" si="365"/>
        <v/>
      </c>
      <c r="PF118" s="43" t="str">
        <f t="shared" si="366"/>
        <v/>
      </c>
      <c r="PG118" s="43" t="str">
        <f t="shared" si="367"/>
        <v/>
      </c>
      <c r="PH118" s="43" t="str">
        <f t="shared" si="368"/>
        <v/>
      </c>
      <c r="PI118" s="43">
        <f t="shared" si="369"/>
        <v>30</v>
      </c>
      <c r="PJ118" s="43" t="str">
        <f t="shared" si="370"/>
        <v/>
      </c>
      <c r="PK118" s="43" t="str">
        <f t="shared" si="371"/>
        <v/>
      </c>
      <c r="PL118" s="43" t="str">
        <f t="shared" si="372"/>
        <v/>
      </c>
      <c r="PM118" s="43" t="str">
        <f t="shared" si="373"/>
        <v/>
      </c>
      <c r="PN118" s="43" t="str">
        <f t="shared" si="374"/>
        <v/>
      </c>
      <c r="PO118" s="43" t="str">
        <f t="shared" si="375"/>
        <v/>
      </c>
      <c r="PP118" s="43" t="str">
        <f t="shared" si="376"/>
        <v/>
      </c>
      <c r="PQ118" s="43" t="str">
        <f t="shared" si="377"/>
        <v/>
      </c>
      <c r="PR118" s="43" t="str">
        <f t="shared" si="378"/>
        <v/>
      </c>
      <c r="PS118" s="43" t="str">
        <f t="shared" si="379"/>
        <v/>
      </c>
      <c r="PT118" s="43" t="str">
        <f t="shared" si="380"/>
        <v/>
      </c>
      <c r="PU118" s="43" t="str">
        <f t="shared" si="381"/>
        <v/>
      </c>
      <c r="PV118" s="43" t="str">
        <f t="shared" si="382"/>
        <v/>
      </c>
      <c r="PW118" s="43" t="str">
        <f t="shared" si="383"/>
        <v/>
      </c>
      <c r="PX118" s="43" t="str">
        <f t="shared" si="384"/>
        <v/>
      </c>
      <c r="PY118" s="43" t="str">
        <f t="shared" si="385"/>
        <v/>
      </c>
      <c r="PZ118" s="43" t="str">
        <f t="shared" si="386"/>
        <v/>
      </c>
      <c r="QA118" s="43" t="str">
        <f t="shared" si="387"/>
        <v/>
      </c>
      <c r="QB118" s="43" t="str">
        <f t="shared" si="388"/>
        <v/>
      </c>
      <c r="QC118" s="43" t="str">
        <f t="shared" si="389"/>
        <v/>
      </c>
      <c r="QD118" s="43" t="str">
        <f t="shared" si="390"/>
        <v/>
      </c>
      <c r="QE118" s="43" t="str">
        <f t="shared" si="391"/>
        <v>SOBREPESO</v>
      </c>
      <c r="QF118" s="43" t="str">
        <f t="shared" si="392"/>
        <v/>
      </c>
      <c r="QG118" s="43" t="str">
        <f t="shared" si="393"/>
        <v/>
      </c>
      <c r="QH118" s="43" t="str">
        <f t="shared" si="394"/>
        <v/>
      </c>
      <c r="QI118" s="43" t="str">
        <f t="shared" si="395"/>
        <v/>
      </c>
      <c r="QJ118" s="43" t="str">
        <f t="shared" si="396"/>
        <v/>
      </c>
      <c r="QK118" s="43" t="str">
        <f t="shared" si="397"/>
        <v/>
      </c>
      <c r="QL118" s="43" t="str">
        <f t="shared" si="398"/>
        <v/>
      </c>
      <c r="QM118" s="43" t="str">
        <f t="shared" si="399"/>
        <v/>
      </c>
      <c r="QN118" s="43" t="str">
        <f t="shared" si="400"/>
        <v/>
      </c>
      <c r="QO118" s="43" t="str">
        <f t="shared" si="401"/>
        <v/>
      </c>
      <c r="QP118" s="43" t="str">
        <f t="shared" si="402"/>
        <v/>
      </c>
      <c r="QQ118" s="43" t="str">
        <f t="shared" si="403"/>
        <v/>
      </c>
      <c r="QR118" s="43">
        <f t="shared" si="433"/>
        <v>30</v>
      </c>
      <c r="QS118" s="43"/>
      <c r="QT118" s="21" t="str">
        <f t="shared" si="404"/>
        <v/>
      </c>
      <c r="QU118" s="21" t="str">
        <f t="shared" si="405"/>
        <v/>
      </c>
      <c r="QV118" s="21" t="str">
        <f t="shared" si="406"/>
        <v/>
      </c>
      <c r="QW118" s="21" t="str">
        <f t="shared" si="407"/>
        <v/>
      </c>
      <c r="QX118" s="21" t="str">
        <f t="shared" si="408"/>
        <v/>
      </c>
      <c r="QY118" s="21" t="str">
        <f t="shared" si="409"/>
        <v/>
      </c>
      <c r="QZ118" s="21" t="str">
        <f t="shared" si="410"/>
        <v/>
      </c>
      <c r="RA118" s="21" t="str">
        <f t="shared" si="411"/>
        <v/>
      </c>
      <c r="RB118" s="21" t="str">
        <f t="shared" si="412"/>
        <v/>
      </c>
      <c r="RC118" s="21" t="str">
        <f t="shared" si="413"/>
        <v/>
      </c>
      <c r="RD118" s="21" t="str">
        <f t="shared" si="414"/>
        <v/>
      </c>
      <c r="RE118" s="21" t="str">
        <f t="shared" si="415"/>
        <v/>
      </c>
      <c r="RF118" s="21" t="str">
        <f t="shared" si="416"/>
        <v/>
      </c>
      <c r="RG118" s="21" t="str">
        <f t="shared" si="417"/>
        <v/>
      </c>
      <c r="RH118" s="21" t="str">
        <f t="shared" si="418"/>
        <v/>
      </c>
      <c r="RI118" s="21" t="str">
        <f t="shared" si="419"/>
        <v/>
      </c>
      <c r="RJ118" s="21" t="str">
        <f t="shared" si="420"/>
        <v/>
      </c>
      <c r="RK118" s="21" t="str">
        <f t="shared" si="421"/>
        <v>ADECUADO PARA EDAD GESTACIONAL</v>
      </c>
      <c r="RL118" s="21" t="str">
        <f t="shared" si="422"/>
        <v/>
      </c>
      <c r="RM118" s="21" t="str">
        <f t="shared" si="423"/>
        <v/>
      </c>
      <c r="RN118" s="21" t="str">
        <f t="shared" si="424"/>
        <v/>
      </c>
      <c r="RO118" s="21" t="str">
        <f t="shared" si="425"/>
        <v/>
      </c>
      <c r="RP118" s="21" t="str">
        <f t="shared" si="426"/>
        <v/>
      </c>
      <c r="RQ118" s="21" t="str">
        <f t="shared" si="427"/>
        <v/>
      </c>
      <c r="RR118" s="21" t="str">
        <f t="shared" si="428"/>
        <v/>
      </c>
      <c r="RS118" s="21" t="str">
        <f t="shared" si="429"/>
        <v/>
      </c>
      <c r="RT118" s="21" t="str">
        <f t="shared" si="430"/>
        <v/>
      </c>
      <c r="RU118" s="21" t="str">
        <f t="shared" si="431"/>
        <v/>
      </c>
      <c r="RV118" s="21">
        <f t="shared" si="432"/>
        <v>21.571428571428573</v>
      </c>
      <c r="RW118" s="284">
        <f>IF(OR(Tabla1[[#This Row],[FUM FORMULA CONFIABLE]]="",Tabla1[[#This Row],[FUM FORMULA CONFIABLE]]="SD"),"",IF(Tabla1[[#This Row],[FUM FORMULA CONFIABLE]]="CORREGIDA",Tabla1[[#This Row],[FUM X ECO 1]],Tabla1[[#This Row],[FUM x AMENORREA]]))</f>
        <v>44835</v>
      </c>
      <c r="RX118" s="21" t="str">
        <f>IF(AND(Tabla1[[#This Row],[FUM X ECO 1]]="",Tabla1[[#This Row],[FUM x AMENORREA]]=""),"",IF(AND(Tabla1[[#This Row],[FUM X ECO 1]]="",Tabla1[[#This Row],[FUM x AMENORREA]]&lt;&gt;""),"X",SUM(Tabla1[[#This Row],[FUM X ECO 1]]-Tabla1[[#This Row],[FUM x AMENORREA]])))</f>
        <v>X</v>
      </c>
      <c r="RY118" s="21" t="str">
        <f t="shared" si="434"/>
        <v>x</v>
      </c>
    </row>
    <row r="119" spans="1:493" ht="45" customHeight="1" x14ac:dyDescent="0.25">
      <c r="A119" s="109"/>
      <c r="B119" s="43"/>
      <c r="C119" s="43" t="s">
        <v>845</v>
      </c>
      <c r="D119" s="124"/>
      <c r="E119" s="43" t="s">
        <v>1349</v>
      </c>
      <c r="F119" s="43" t="s">
        <v>1350</v>
      </c>
      <c r="G119" s="43" t="s">
        <v>1351</v>
      </c>
      <c r="H119" s="43" t="s">
        <v>1352</v>
      </c>
      <c r="I119" s="109" t="s">
        <v>851</v>
      </c>
      <c r="J119" s="110" t="s">
        <v>1353</v>
      </c>
      <c r="K119" s="43" t="s">
        <v>852</v>
      </c>
      <c r="L119" s="175" t="s">
        <v>853</v>
      </c>
      <c r="M119" s="22">
        <v>29560</v>
      </c>
      <c r="N119" s="213">
        <f t="shared" ca="1" si="252"/>
        <v>42.936986301369863</v>
      </c>
      <c r="O119" s="22">
        <v>44987</v>
      </c>
      <c r="P119" s="214" t="str">
        <f t="shared" si="438"/>
        <v>SI</v>
      </c>
      <c r="Q119" s="26" t="s">
        <v>855</v>
      </c>
      <c r="R119" s="22">
        <v>44987</v>
      </c>
      <c r="S119" s="21" t="s">
        <v>856</v>
      </c>
      <c r="T119" s="24" t="s">
        <v>690</v>
      </c>
      <c r="U119" s="21" t="s">
        <v>857</v>
      </c>
      <c r="V119" s="21" t="s">
        <v>858</v>
      </c>
      <c r="W119" s="21" t="s">
        <v>987</v>
      </c>
      <c r="X119" s="21" t="s">
        <v>987</v>
      </c>
      <c r="Y119" s="21"/>
      <c r="Z119" s="21"/>
      <c r="AA119" s="21" t="s">
        <v>860</v>
      </c>
      <c r="AB119" s="27" t="s">
        <v>861</v>
      </c>
      <c r="AC119" s="26" t="s">
        <v>846</v>
      </c>
      <c r="AD119" s="38" t="s">
        <v>846</v>
      </c>
      <c r="AE119" s="26" t="s">
        <v>854</v>
      </c>
      <c r="AF119" s="26" t="s">
        <v>854</v>
      </c>
      <c r="AG119" s="23" t="s">
        <v>864</v>
      </c>
      <c r="AH119" s="23" t="s">
        <v>864</v>
      </c>
      <c r="AI119" s="24" t="s">
        <v>863</v>
      </c>
      <c r="AJ119" s="23" t="s">
        <v>864</v>
      </c>
      <c r="AK119" s="220" t="str">
        <f>IF(AND(AD119="",AE119="",AF119="",AG119="",AH119="",AI119="",AJ119=""),"",IF(OR(Tabla1[[#This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EVALUACIÓN",IF(AND(O119="",R119=""),"",IF(AND(OR(O119&gt;0,R119&gt;0),NG119&gt;=0,NG119&lt;2),"SIN RIESGO",IF(AND(OR(O119&gt;0,R119&gt;0),NG119&gt;=2),"CON RIESGO","ASD")))))</f>
        <v>SIN RIESGO</v>
      </c>
      <c r="AL119" s="23" t="s">
        <v>864</v>
      </c>
      <c r="AM119" s="26" t="s">
        <v>864</v>
      </c>
      <c r="AN119" s="26" t="s">
        <v>864</v>
      </c>
      <c r="AO119" s="26" t="s">
        <v>864</v>
      </c>
      <c r="AP119" s="26" t="s">
        <v>864</v>
      </c>
      <c r="AQ119" s="26" t="s">
        <v>864</v>
      </c>
      <c r="AR119" s="26" t="s">
        <v>864</v>
      </c>
      <c r="AS119" s="21">
        <v>7</v>
      </c>
      <c r="AT119" s="21">
        <v>7</v>
      </c>
      <c r="AU119" s="21">
        <v>0</v>
      </c>
      <c r="AV119" s="26" t="s">
        <v>864</v>
      </c>
      <c r="AW119" s="21">
        <v>0</v>
      </c>
      <c r="AX119" s="26" t="s">
        <v>864</v>
      </c>
      <c r="AY119" s="26" t="s">
        <v>864</v>
      </c>
      <c r="AZ119" s="26" t="s">
        <v>864</v>
      </c>
      <c r="BA119" s="26" t="s">
        <v>864</v>
      </c>
      <c r="BB119" s="26" t="s">
        <v>864</v>
      </c>
      <c r="BC119" s="26" t="s">
        <v>864</v>
      </c>
      <c r="BD119" s="26" t="s">
        <v>864</v>
      </c>
      <c r="BE119" s="26" t="s">
        <v>864</v>
      </c>
      <c r="BF119" s="26" t="s">
        <v>864</v>
      </c>
      <c r="BG119" s="26" t="s">
        <v>864</v>
      </c>
      <c r="BH119" s="26" t="s">
        <v>864</v>
      </c>
      <c r="BI119" s="26" t="s">
        <v>864</v>
      </c>
      <c r="BJ119" s="26"/>
      <c r="BK119" s="26"/>
      <c r="BL119" s="26" t="s">
        <v>864</v>
      </c>
      <c r="BM119" s="26" t="s">
        <v>864</v>
      </c>
      <c r="BN119" s="22">
        <v>41773</v>
      </c>
      <c r="BO119" s="22">
        <v>44732</v>
      </c>
      <c r="BP119" s="21" t="s">
        <v>854</v>
      </c>
      <c r="BQ119" s="222">
        <f t="shared" si="254"/>
        <v>98.63333333333334</v>
      </c>
      <c r="BR119" s="223" t="str">
        <f t="shared" si="255"/>
        <v/>
      </c>
      <c r="BS119" s="224">
        <f t="shared" si="256"/>
        <v>36.428571428571431</v>
      </c>
      <c r="BT119" s="216" t="str">
        <f t="shared" si="257"/>
        <v>III TRIM</v>
      </c>
      <c r="BU119" s="214" t="str">
        <f t="shared" ca="1" si="258"/>
        <v/>
      </c>
      <c r="BV119" s="25"/>
      <c r="BW119" s="22"/>
      <c r="BX119" s="28"/>
      <c r="BY119" s="28"/>
      <c r="BZ119" s="22"/>
      <c r="CA119" s="21"/>
      <c r="CB119" s="26"/>
      <c r="CC119" s="26"/>
      <c r="CD119" s="26"/>
      <c r="CE119" s="26"/>
      <c r="CF119" s="22" t="s">
        <v>1517</v>
      </c>
      <c r="CG119" s="21">
        <v>1.58</v>
      </c>
      <c r="CH119" s="21">
        <v>66</v>
      </c>
      <c r="CI119" s="214">
        <f t="shared" si="259"/>
        <v>26.438070821983651</v>
      </c>
      <c r="CJ119" s="225" t="e">
        <f>IF(AND(CI119&lt;10,CH119="SD"),"SIN DATO PESO PREGESTACION O I TRIM",IF(AND(OR(R119&gt;0,O119&gt;0),CI119="X"),"INGRESAR DATO DE PESO",IF(CI119="SD","INGRESAR DATO DE TALLA Y PESO",IF(AND(OR(Tabla1[[#This Row],[MOMENTO EN QUE SE REALIZA EL PESO AL INGRESO A CPN]]="PREGESTACIÓN",NZ119="Menor"),CI119&lt;18.5),"BAJO PESO",IF(AND(OR(Tabla1[[#This Row],[MOMENTO EN QUE SE REALIZA EL PESO AL INGRESO A CPN]]="PREGESTACIÓN",NZ119="Menor"),CI119&lt;25),"NORMAL",IF(AND(OR(Tabla1[[#This Row],[MOMENTO EN QUE SE REALIZA EL PESO AL INGRESO A CPN]]="PREGESTACIÓN",NZ119="Menor"),CI119&lt;30),"SOBREPESO",IF(AND(OR(Tabla1[[#This Row],[MOMENTO EN QUE SE REALIZA EL PESO AL INGRESO A CPN]]="PREGESTACIÓN",NZ119="Menor"),CI119&gt;=30,CI119&lt;50),"OBESIDAD",IF(AND(BS119&gt;0,Tabla1[[#This Row],[MOMENTO EN QUE SE REALIZA EL PESO AL INGRESO A CPN]]="GESTACIÓN"),HLOOKUP(NZ119,$OA$2:PH119,NY119),""))))))))</f>
        <v>#REF!</v>
      </c>
      <c r="CK119" s="212">
        <f t="shared" si="260"/>
        <v>44987</v>
      </c>
      <c r="CL119" s="21"/>
      <c r="CM119" s="214">
        <f t="shared" si="261"/>
        <v>0</v>
      </c>
      <c r="CN119" s="216">
        <f t="shared" si="262"/>
        <v>36</v>
      </c>
      <c r="CO119" s="216" t="e">
        <f>IF(PI119="","",IF(PI119&gt;0,HLOOKUP(PI119,$PJ$2:QQ119,NY119),""))</f>
        <v>#REF!</v>
      </c>
      <c r="CP119" s="21"/>
      <c r="CQ119" s="216" t="e">
        <f>IF(QR119="Menor","NO APLICA-MENOR 13 SEM",IF(AND(CC119="SI",CN119&gt;23),"NO APLICA- GEMELAR",IF(QR119="","",IF(QR119&gt;0,HLOOKUP(QR119,$QS$2:RU119,NY119),""))))</f>
        <v>#REF!</v>
      </c>
      <c r="CR119" s="21">
        <v>100</v>
      </c>
      <c r="CS119" s="21">
        <v>60</v>
      </c>
      <c r="CT119" s="217" t="str">
        <f>IF(R119="","",IF(AND(BS119&gt;1,BS119&lt;12,Tabla1[[#This Row],[T.A. SISTOLICA - ANTES DE SEMANA 12]]="",Tabla1[[#This Row],[T.A. DIASTOLICA - ANTES DE SEMANA 12]]=""),"REGISTRE DATO TA ANTES SEMANA 12",IF(AND(BS119&gt;11,BS119&lt;43,Tabla1[[#This Row],[T.A. SISTOLICA - ANTES DE SEMANA 12]]="",Tabla1[[#This Row],[T.A. DIASTOLICA - ANTES DE SEMANA 12]]=""),"NO APLICA REGISTRO TA-INGRESO TARDIO",IF(AND(OR(O119&gt;0,R119&gt;0),OR(CR119&gt;=140,CS119&gt;=90)),"DEFINIR ESTADIO HTA",IF(AND(OR(O119&gt;0,R119&gt;0),AND(CR119&gt;120,CR119&lt;=139)),"PRE HTA SEGUIMIENTO",IF(AND(OR(O119&gt;0,R119&gt;0),AND(CS119&gt;80,CS119&lt;=89)),"PRE HTA SEGUIMIENTO",IF(AND(OR(O119&gt;0,R119&gt;0),AND(CR119&gt;=80,CR119&lt;=120)),"APARENTEMENTE NORMAL",IF(AND(OR(O119&gt;0,R119&gt;0),AND(CS119&gt;=50,CS119&lt;=80)),"APARENTEMENTE NORMAL",IF(AND(OR(O119&gt;0,R119&gt;0),AND(CR119&gt;1,CR119&lt;=70),AND(CS119&gt;1,CS119&lt;=40)),"HIPOTENSIÓN","")))))))))</f>
        <v>APARENTEMENTE NORMAL</v>
      </c>
      <c r="CU119" s="21"/>
      <c r="CV119" s="21"/>
      <c r="CW119" s="217" t="str">
        <f ca="1">IF(R119="","",IF(AND(CN119&gt;19,CN119&lt;27,Tabla1[[#This Row],[T.A. SISTOLICA (Entre semana 20 y 26)]]="",Tabla1[[#This Row],[T.A. DIATOLICA (Entre semana 20 y 26)]]=""),"ACUDE A CONTROL SEM 20 A 26 REGISTRE TA AHORA",IF(AND(BS119&gt;1,BS119&lt;27,BU119&gt;19,Tabla1[[#This Row],[T.A. SISTOLICA (Entre semana 20 y 26)]]="",Tabla1[[#This Row],[T.A. DIATOLICA (Entre semana 20 y 26)]]=""),"COMPLETE REGISTRO TA CONTROL SEM 20 A26 ",IF(AND(BS119&gt;26,BS119&lt;43,Tabla1[[#This Row],[T.A. SISTOLICA (Entre semana 20 y 26)]]="",Tabla1[[#This Row],[T.A. DIATOLICA (Entre semana 20 y 26)]]=""),"NO APLICA REGISTRO TA-INGRESO TARDIO",IF(AND(OR(O119&gt;0,R119&gt;0),OR(CU119&gt;=140,CV119&gt;=90)),"ALTO RIESGO PREECLAMPSIA,DEFINIR ESTADIO HTA",IF(AND(OR(O119&gt;0,R119&gt;0),AND(CU119&gt;120,CU119&lt;=139)),"PRE HTA SEGUIMIENTO,RIESGO HIPERTENSION INDUCIDA POR EL EMBARAZO",IF(AND(OR(O119&gt;0,R119&gt;0),AND(CV119&gt;80,CV119&lt;=89)),"PRE HTA SEGUIMIENTO, RIESGO HIPERTENSION INDUCIDA POR EL EMBARAZO",IF(AND(OR(O119&lt;&gt;"",R119&lt;&gt;""),CS119&lt;&gt;"",CV119&lt;&gt;"",CS119&lt;=CV119),"VIGILAR CIFRAS PRESION ARTERIAL",IF(AND(OR(O119&gt;0,R119&gt;0),AND(CU119&gt;120,CU119&lt;=139)),"PRE HTA SEGUIMIENTO",IF(AND(OR(O119&gt;0,R119&gt;0),AND(CU119&gt;1,CU119&lt;=70),AND(CV119&gt;1,CV119&lt;=40)),"HIPOTENSIÓN",IF(AND(OR(O119&lt;&gt;"",R119&lt;&gt;""),CS119&lt;&gt;"",CV119&lt;&gt;"",CS119&gt;CV119),"APARENTEMENTE NORMAL",IF(AND(OR(O119&gt;0,R119&gt;0),AND(CU119&gt;=80,CU119&lt;=120)),"APARENTEMENTE NORMAL",IF(AND(OR(O119&gt;0,R119&gt;0),AND(CV119&gt;=50,CV119&lt;=80)),"APARENTEMENTE NORMAL","")))))))))))))</f>
        <v>NO APLICA REGISTRO TA-INGRESO TARDIO</v>
      </c>
      <c r="CX119" s="21"/>
      <c r="CY119" s="21"/>
      <c r="CZ119" s="216" t="str">
        <f t="shared" si="457"/>
        <v>NO APLICA-INGRESO TARDIO</v>
      </c>
      <c r="DA119" s="21"/>
      <c r="DB119" s="21"/>
      <c r="DC119" s="217" t="str">
        <f t="shared" si="264"/>
        <v>REGISTRE DATO PRESIÓN ARTERIAL MENSUAL</v>
      </c>
      <c r="DD119" s="22">
        <v>44987</v>
      </c>
      <c r="DE119" s="22">
        <v>44987</v>
      </c>
      <c r="DF119" s="22"/>
      <c r="DG119" s="22"/>
      <c r="DH119" s="22"/>
      <c r="DI119" s="22"/>
      <c r="DJ119" s="22"/>
      <c r="DK119" s="22"/>
      <c r="DL119" s="22"/>
      <c r="DM119" s="22"/>
      <c r="DN119" s="22"/>
      <c r="DO119" s="22"/>
      <c r="DP119" s="22"/>
      <c r="DQ119" s="22"/>
      <c r="DR119" s="28"/>
      <c r="DS119" s="22"/>
      <c r="DT119" s="22"/>
      <c r="DU119" s="216" t="str">
        <f t="shared" ca="1" si="439"/>
        <v>SALE SIN PLAN DE PARTO</v>
      </c>
      <c r="DV119" s="226" t="str">
        <f t="shared" si="440"/>
        <v>SALIO PROGRAMA</v>
      </c>
      <c r="DW119"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19" s="216" t="str">
        <f t="shared" ca="1" si="266"/>
        <v/>
      </c>
      <c r="DY119" s="212">
        <f>IF(R119="","",IF(R119&gt;0,MAX(Tabla1[[#This Row],[FECHA C2]:[FECHA C13]],Tabla1[[#This Row],[FECHA CONSULTA PRIMERA VEZ PROGRAMA CPN ]])))</f>
        <v>44987</v>
      </c>
      <c r="DZ119" s="216">
        <f t="shared" si="267"/>
        <v>36</v>
      </c>
      <c r="EA119" s="222">
        <f>IF(R119&gt;0,SUM(COUNTA(DF119:DQ119)+COUNTA(Tabla1[[#This Row],[FECHA CONSULTA PRIMERA VEZ PROGRAMA CPN ]])),"")</f>
        <v>1</v>
      </c>
      <c r="EB119" s="222" t="str">
        <f t="shared" si="268"/>
        <v>NO</v>
      </c>
      <c r="EC119" s="214">
        <f t="shared" si="269"/>
        <v>2</v>
      </c>
      <c r="ED119" s="227">
        <f t="shared" si="270"/>
        <v>0.5</v>
      </c>
      <c r="EE119" s="22">
        <v>44987</v>
      </c>
      <c r="EF119" s="22"/>
      <c r="EG119" s="22">
        <v>44987</v>
      </c>
      <c r="EH119" s="22"/>
      <c r="EI119" s="22">
        <v>44987</v>
      </c>
      <c r="EJ119" s="22"/>
      <c r="EK119" s="22"/>
      <c r="EL119" s="21"/>
      <c r="EM119" s="21">
        <v>13.9</v>
      </c>
      <c r="EN119" s="22">
        <v>44989</v>
      </c>
      <c r="EO119" s="222">
        <f t="shared" si="271"/>
        <v>36.714285714285715</v>
      </c>
      <c r="EP119" s="214" t="str">
        <f t="shared" si="272"/>
        <v>NORMAL- SUMINISTRAR SULFATO FERROSO</v>
      </c>
      <c r="EQ119" s="216" t="str">
        <f t="shared" si="273"/>
        <v>III TRIM</v>
      </c>
      <c r="ER119" s="24"/>
      <c r="ES119" s="22"/>
      <c r="ET119" s="29" t="str">
        <f t="shared" ca="1" si="441"/>
        <v>SALE SIN TAMIZAJE HEMOGLOBINA SEM 28</v>
      </c>
      <c r="EU119" s="25" t="str">
        <f t="shared" si="275"/>
        <v/>
      </c>
      <c r="EV119" s="24" t="s">
        <v>866</v>
      </c>
      <c r="EW119" s="24">
        <v>44989</v>
      </c>
      <c r="EX119" s="22"/>
      <c r="EY119" s="29">
        <f t="shared" si="454"/>
        <v>36.714285714285715</v>
      </c>
      <c r="EZ119" s="25" t="str">
        <f t="shared" ca="1" si="455"/>
        <v/>
      </c>
      <c r="FA119" s="21">
        <v>83</v>
      </c>
      <c r="FB119" s="22">
        <v>44989</v>
      </c>
      <c r="FC119" s="29" t="str">
        <f t="shared" si="276"/>
        <v>NO APLICA &gt; 23 SEM -TOMAR PTOG</v>
      </c>
      <c r="FD119" s="29"/>
      <c r="FE119" s="29"/>
      <c r="FF119" s="29"/>
      <c r="FG119" s="21" t="str">
        <f t="shared" ca="1" si="277"/>
        <v/>
      </c>
      <c r="FH119" s="31"/>
      <c r="FI119" s="29" t="str">
        <f t="shared" si="278"/>
        <v>TOMAR EXAMEN</v>
      </c>
      <c r="FJ119" s="22"/>
      <c r="FK119" s="22"/>
      <c r="FL119" s="29" t="str">
        <f t="shared" ca="1" si="279"/>
        <v>NO APLICA-INGRESO TARDIO</v>
      </c>
      <c r="FM119" s="22"/>
      <c r="FN119" s="32"/>
      <c r="FO119" s="29" t="str">
        <f t="shared" ca="1" si="442"/>
        <v>NO APLICA-INGRESO TARDIO</v>
      </c>
      <c r="FP119" s="22"/>
      <c r="FQ119" s="32"/>
      <c r="FR119" s="29" t="str">
        <f t="shared" ca="1" si="443"/>
        <v>PIERDE TOMA DE TAMIZAJE</v>
      </c>
      <c r="FS119" s="22"/>
      <c r="FT119" s="32"/>
      <c r="FU119" s="29" t="str">
        <f>IF(AND(FJ119="",FM119="",FP119="",FS119=""),"",IF(OR(OR(Tabla1[[#This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19" s="28"/>
      <c r="FW119" s="22"/>
      <c r="FX119" s="29" t="str">
        <f t="shared" si="280"/>
        <v>TOMAR EXAMEN</v>
      </c>
      <c r="FY119" s="22">
        <v>44989</v>
      </c>
      <c r="FZ119" s="22">
        <v>44989</v>
      </c>
      <c r="GA119" s="29" t="str">
        <f t="shared" si="453"/>
        <v>REGISTRAR EN III TRIMESTRE</v>
      </c>
      <c r="GB119" s="22"/>
      <c r="GC119" s="22"/>
      <c r="GD119" s="29" t="str">
        <f t="shared" ca="1" si="491"/>
        <v>NO APLICA-INGRESO TARDIO</v>
      </c>
      <c r="GE119" s="22"/>
      <c r="GF119" s="22"/>
      <c r="GG119" s="29" t="str">
        <f t="shared" ca="1" si="445"/>
        <v>PIERDE TOMA DE TAMIZAJE</v>
      </c>
      <c r="GH119" s="22"/>
      <c r="GI119" s="29"/>
      <c r="GJ119" s="22"/>
      <c r="GK119" s="22"/>
      <c r="GL119" s="22"/>
      <c r="GM119" s="22"/>
      <c r="GN119" s="28" t="s">
        <v>869</v>
      </c>
      <c r="GO119" s="22">
        <v>44989</v>
      </c>
      <c r="GP119" s="29">
        <f t="shared" si="283"/>
        <v>36.714285714285715</v>
      </c>
      <c r="GQ119" s="28" t="s">
        <v>869</v>
      </c>
      <c r="GR119" s="28" t="s">
        <v>869</v>
      </c>
      <c r="GS119" s="22" t="str">
        <f t="shared" si="458"/>
        <v>CONTROL Igm</v>
      </c>
      <c r="GT119" s="22">
        <v>44989</v>
      </c>
      <c r="GU119" s="29">
        <f t="shared" si="285"/>
        <v>36.714285714285715</v>
      </c>
      <c r="GV119" s="21" t="str">
        <f t="shared" si="286"/>
        <v>III TRIM</v>
      </c>
      <c r="GW119" s="28" t="s">
        <v>869</v>
      </c>
      <c r="GX119" s="30"/>
      <c r="GY119" s="21" t="s">
        <v>906</v>
      </c>
      <c r="GZ119" s="21"/>
      <c r="HA119" s="21"/>
      <c r="HB119" s="21"/>
      <c r="HC119" s="21"/>
      <c r="HD119" s="21"/>
      <c r="HE119" s="21"/>
      <c r="HF119" s="22"/>
      <c r="HG119" s="22" t="str">
        <f>IF(OR(O119&gt;0,R119&gt;0),CONCATENATE(IF(Tabla1[[#This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19" s="22" t="e">
        <f t="shared" si="287"/>
        <v>#REF!</v>
      </c>
      <c r="HI119" s="22" t="e">
        <f t="shared" ca="1" si="288"/>
        <v>#REF!</v>
      </c>
      <c r="HJ119" s="21" t="str">
        <f t="shared" ca="1" si="289"/>
        <v>*********************MULTIPARIDAD***RIESGO POR EDAD***************</v>
      </c>
      <c r="HK119" s="21" t="str">
        <f t="shared" si="290"/>
        <v>SIN ANTECEDENTES DE RIESGO</v>
      </c>
      <c r="HL119" s="24" t="str">
        <f t="shared" si="291"/>
        <v>REGISTRE DATO PRESIÓN ARTERIAL MENSUAL</v>
      </c>
      <c r="HM119" s="21" t="str">
        <f t="shared" ca="1" si="292"/>
        <v/>
      </c>
      <c r="HN119" s="30" t="str">
        <f t="shared" si="446"/>
        <v>SALIO PROGRAMA</v>
      </c>
      <c r="HO119" s="21"/>
      <c r="HP119" s="21"/>
      <c r="HQ119" s="21">
        <v>44989</v>
      </c>
      <c r="HR119" s="21" t="str">
        <f>IF(R119="","",IF(Tabla1[[#This Row],[ALARMA FACTORES DE RIESGO COMPLICACIONES HIPERTENSIVAS3]]="SIN ANTECEDENTES DE RIESGO","No Aplica para suministro de ASA",IF(AND(Tabla1[[#This Row],[FECHA INICIO DE SUMINISTRO DE ASA]]&gt;0,RV119&lt;12),"Inicia ASA ANTES de Sem 12",IF(AND(RV119&gt;11,RV119&lt;17,OR(HK119="RIESGO ALTO DE COMPLICACIONES HIPERTENSIVAS VER MANEJO GUIA SUMINISTRO ASA Y CALCIO",HK119="RIESGO MODERADO (2 O MAS CRITERIOS) VER MANEJO GUIA SUMINISTRO ASA Y CALCIO")),"Inicio oportuno de ASA",IF(AND(RV119&gt;12,OR(HK119="RIESGO ALTO DE COMPLICACIONES HIPERTENSIVAS VER MANEJO GUIA SUMINISTRO ASA Y CALCIO",HK119="RIESGO MODERADO (2 O MAS CRITERIOS) VER MANEJO GUIA SUMINISTRO ASA Y CALCIO")),"Inicio no oportuno mayor a 16 semanas",IF(AND(BU119&lt;12,OR(HK119="RIESGO ALTO DE COMPLICACIONES HIPERTENSIVAS VER MANEJO GUIA SUMINISTRO ASA Y CALCIO",HK119="RIESGO MODERADO (2 O MAS CRITERIOS) VER MANEJO GUIA SUMINISTRO ASA Y CALCIO")),"Pendiente Inicio de ASA a la semana 12",IF(AND(BU119&gt;11,BU119&lt;17,OR(HK119="RIESGO ALTO DE COMPLICACIONES HIPERTENSIVAS VER MANEJO GUIA SUMINISTRO ASA Y CALCIO",HK119="RIESGO MODERADO (2 O MAS CRITERIOS) VER MANEJO GUIA SUMINISTRO ASA Y CALCIO")),"Iniciar de inmediato ASA",IF(AND(BU119&gt;16,OR(HK119="RIESGO ALTO DE COMPLICACIONES HIPERTENSIVAS VER MANEJO GUIA SUMINISTRO ASA Y CALCIO",HK119="RIESGO MODERADO (2 O MAS CRITERIOS) VER MANEJO GUIA SUMINISTRO ASA Y CALCIO")),"Pierde Oportunidad, Inicio tardío de ASA","XXXXX"))))))))</f>
        <v>No Aplica para suministro de ASA</v>
      </c>
      <c r="HS119" s="22">
        <v>44989</v>
      </c>
      <c r="HT119" s="22" t="s">
        <v>870</v>
      </c>
      <c r="HU119" s="22"/>
      <c r="HV119" s="22"/>
      <c r="HW119" s="22">
        <v>44989</v>
      </c>
      <c r="HX119" s="22" t="s">
        <v>870</v>
      </c>
      <c r="HY119" s="22">
        <v>44987</v>
      </c>
      <c r="HZ119" s="28">
        <f t="shared" si="293"/>
        <v>36.428571428571431</v>
      </c>
      <c r="IA119" s="26"/>
      <c r="IB119" s="26"/>
      <c r="IC119" s="111"/>
      <c r="ID119" s="22"/>
      <c r="IE119" s="22" t="str">
        <f t="shared" ca="1" si="294"/>
        <v>SALE SIN VACUNA</v>
      </c>
      <c r="IF119" s="22"/>
      <c r="IG119" s="22">
        <f t="shared" si="295"/>
        <v>45012</v>
      </c>
      <c r="IH119" s="29">
        <f t="shared" ca="1" si="296"/>
        <v>-220</v>
      </c>
      <c r="II119" s="22" t="str">
        <f t="shared" ca="1" si="297"/>
        <v>POSIBLEMENTE NACIO</v>
      </c>
      <c r="IJ119" s="22"/>
      <c r="IK119" s="21" t="s">
        <v>898</v>
      </c>
      <c r="IL119" s="21"/>
      <c r="IM119" s="34"/>
      <c r="IN119" s="349">
        <v>45008</v>
      </c>
      <c r="IO119" s="21" t="s">
        <v>1640</v>
      </c>
      <c r="IP119" s="29">
        <f t="shared" si="490"/>
        <v>39.428571428571431</v>
      </c>
      <c r="IQ119" s="35"/>
      <c r="IR119" s="21" t="s">
        <v>879</v>
      </c>
      <c r="IS119" s="21" t="s">
        <v>1641</v>
      </c>
      <c r="IT119" s="21" t="s">
        <v>1642</v>
      </c>
      <c r="IU119" s="21"/>
      <c r="IV119" s="21"/>
      <c r="IW119" s="21"/>
      <c r="IX119" s="21"/>
      <c r="IY119" s="21"/>
      <c r="IZ119" s="21"/>
      <c r="JA119" s="21"/>
      <c r="JB119" s="30">
        <v>1</v>
      </c>
      <c r="JC119" s="21" t="s">
        <v>1647</v>
      </c>
      <c r="JD119" s="36">
        <v>3250</v>
      </c>
      <c r="JE119" s="21" t="str">
        <f t="shared" si="492"/>
        <v>PESO ADECUADO EDAD GESTACIONAL</v>
      </c>
      <c r="JF119" s="30"/>
      <c r="JG119" s="21"/>
      <c r="JH119" s="21"/>
      <c r="JI119" s="21"/>
      <c r="JJ119" s="30"/>
      <c r="JK119" s="22"/>
      <c r="JL119" s="22"/>
      <c r="JM119" s="21"/>
      <c r="JN119" s="36"/>
      <c r="JO119" s="21" t="str">
        <f t="shared" si="493"/>
        <v/>
      </c>
      <c r="JP119" s="22"/>
      <c r="JQ119" s="21"/>
      <c r="JR119" s="21"/>
      <c r="JS119" s="21"/>
      <c r="JT119" s="30"/>
      <c r="JU119" s="22"/>
      <c r="JV119" s="22"/>
      <c r="JW119" s="33"/>
      <c r="JX119" s="28" t="str">
        <f t="shared" si="494"/>
        <v>INASISTENTE</v>
      </c>
      <c r="JY119" s="33"/>
      <c r="JZ119" s="28" t="str">
        <f t="shared" si="495"/>
        <v>INASISTENTE</v>
      </c>
      <c r="KA119" s="21"/>
      <c r="KB119" s="21"/>
      <c r="KC119" s="21"/>
      <c r="KD119" s="37"/>
      <c r="KE119" s="28"/>
      <c r="KF119" s="28"/>
      <c r="KG119" s="28"/>
      <c r="KH119" s="39"/>
      <c r="KI119" s="39"/>
      <c r="KJ119" s="66"/>
      <c r="KK119" s="39"/>
      <c r="KL119" s="39"/>
      <c r="KM119" s="66"/>
      <c r="KN119" s="39"/>
      <c r="KO119" s="39"/>
      <c r="KP119" s="39"/>
      <c r="KQ119" s="39"/>
      <c r="KR119" s="39"/>
      <c r="KS119" s="39"/>
      <c r="KT119" s="39"/>
      <c r="KU119" s="38"/>
      <c r="KV119" s="38"/>
      <c r="KW119" s="38"/>
      <c r="KX119" s="38"/>
      <c r="KY119" s="38"/>
      <c r="KZ119" s="38"/>
      <c r="LA119" s="38"/>
      <c r="LB119" s="38"/>
      <c r="LC119" s="38"/>
      <c r="LD119" s="38"/>
      <c r="LE119" s="38"/>
      <c r="LF119" s="38"/>
      <c r="LG119" s="38"/>
      <c r="LH119" s="38"/>
      <c r="LI119" s="38"/>
      <c r="LJ119" s="38"/>
      <c r="LK119" s="38"/>
      <c r="LL119" s="38"/>
      <c r="LM119" s="38"/>
      <c r="LN119" s="38"/>
      <c r="LO119" s="38"/>
      <c r="LP119" s="38"/>
      <c r="LQ119" s="38"/>
      <c r="LR119" s="38"/>
      <c r="LS119" s="38"/>
      <c r="LT119" s="38"/>
      <c r="LU119" s="38"/>
      <c r="LV119" s="38"/>
      <c r="LW119" s="38"/>
      <c r="LX119" s="38"/>
      <c r="LY119" s="38"/>
      <c r="LZ119" s="38"/>
      <c r="MA119" s="38"/>
      <c r="MB119" s="38"/>
      <c r="MC119" s="38"/>
      <c r="MD119" s="38"/>
      <c r="ME119" s="38"/>
      <c r="MF119" s="38"/>
      <c r="MG119" s="38"/>
      <c r="MH119" s="43">
        <f t="shared" si="459"/>
        <v>0</v>
      </c>
      <c r="MI119" s="43" t="str">
        <f t="shared" si="460"/>
        <v/>
      </c>
      <c r="MJ119" s="43" t="str">
        <f t="shared" si="461"/>
        <v/>
      </c>
      <c r="MK119" s="43">
        <f t="shared" si="462"/>
        <v>0</v>
      </c>
      <c r="ML11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19" s="43">
        <f t="shared" si="463"/>
        <v>36.428571428571431</v>
      </c>
      <c r="MN119" s="43">
        <f t="shared" si="464"/>
        <v>3</v>
      </c>
      <c r="MO119" s="43">
        <f t="shared" si="465"/>
        <v>2023</v>
      </c>
      <c r="MP119" s="43" t="str">
        <f t="shared" si="466"/>
        <v>I TRIMESTRE AÑO</v>
      </c>
      <c r="MQ119" s="43">
        <f t="shared" si="467"/>
        <v>41.631077529566362</v>
      </c>
      <c r="MR119" s="43">
        <f t="shared" si="468"/>
        <v>2</v>
      </c>
      <c r="MS119" s="43" t="str">
        <f t="shared" si="469"/>
        <v xml:space="preserve"> DE 40 Y MAS</v>
      </c>
      <c r="MT119" s="43">
        <f t="shared" si="470"/>
        <v>0</v>
      </c>
      <c r="MU119" s="43">
        <f t="shared" si="471"/>
        <v>2</v>
      </c>
      <c r="MV119" s="43">
        <f t="shared" si="472"/>
        <v>0</v>
      </c>
      <c r="MW119" s="43">
        <f t="shared" si="473"/>
        <v>0</v>
      </c>
      <c r="MX119" s="43" t="str">
        <f t="shared" si="474"/>
        <v/>
      </c>
      <c r="MY119" s="43" t="str">
        <f t="shared" ca="1" si="496"/>
        <v/>
      </c>
      <c r="MZ119" s="43" t="str">
        <f t="shared" si="475"/>
        <v/>
      </c>
      <c r="NA119" s="43" t="str">
        <f t="shared" si="476"/>
        <v/>
      </c>
      <c r="NB119" s="43" t="str">
        <f t="shared" si="477"/>
        <v/>
      </c>
      <c r="NC119" s="43" t="str">
        <f t="shared" si="478"/>
        <v/>
      </c>
      <c r="ND119" s="43">
        <f t="shared" ca="1" si="479"/>
        <v>4</v>
      </c>
      <c r="NE119" s="43">
        <f>IF(OR(O119&gt;0,R119&gt;0),SUM(COUNTIF(Tabla1[[#This Row],[AÑOS AL INICIO5 CPN]],"&gt;=40"),COUNTIF(AS119,"0"),COUNTIF(AR119,"SI"),COUNTIF(CC119,"SI"),COUNTIF(BQ119,"&gt;119"),COUNTIF(CI119,"&gt;=35")),"")</f>
        <v>1</v>
      </c>
      <c r="NF119" s="43" t="str">
        <f t="shared" si="480"/>
        <v/>
      </c>
      <c r="NG119" s="43">
        <f t="shared" si="481"/>
        <v>0</v>
      </c>
      <c r="NH119" s="43" t="str">
        <f t="shared" si="482"/>
        <v/>
      </c>
      <c r="NI119"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CPN",P119="NO"),"Z",IF(AND(Tabla1[[#This Row],[CITA PROXIMO CONTROL]]="CITA MANUAL",Tabla1[[#This Row],[GESTANTES ACTUALES]]="ACTIVA INGRESO A CPN"),"W",IF(AND(Tabla1[[#This Row],[GESTANTES ACTUALES]]="SALIO PROGRAMA",IN119=""),"S",IF(AND(Tabla1[[#This Row],[CITA PROXIMO CONTROL]]&gt;0,IN119=""),(Tabla1[[#This Row],[CITA PROXIMO CONTROL]]-TODAY()),"SD"))))))))</f>
        <v>SD</v>
      </c>
      <c r="NJ119" s="43">
        <f>MONTH(Tabla1[[#This Row],[FECHA DE SALIDA  DEL PROGRAMA]])</f>
        <v>3</v>
      </c>
      <c r="NK119" s="43">
        <f>YEAR(Tabla1[[#This Row],[FECHA DE SALIDA  DEL PROGRAMA]])</f>
        <v>2023</v>
      </c>
      <c r="NL119" s="43" t="str">
        <f t="shared" si="483"/>
        <v>X</v>
      </c>
      <c r="NM119" s="43" t="str">
        <f t="shared" si="456"/>
        <v>NO</v>
      </c>
      <c r="NN119" s="43" t="str">
        <f ca="1">IF(AND(O119&gt;0,R119=""),"NO CPN",IF(AND(O119="",R119=""),"",IF(AND(R119&gt;0,Tabla1[[#This Row],[SEMANAS DE GESTACION ACTUALIZADAS]]&lt;=12),"NO APLICA",IF(AND(FH119&lt;&gt;"",FN119&lt;&gt;""),"SI","NO"))))</f>
        <v>NO</v>
      </c>
      <c r="NO119" s="43" t="str">
        <f ca="1">IF(AND(O119&gt;0,R119=""),"NO CPN",IF(AND(O119="",R119=""),"",IF(AND(R119&gt;0,Tabla1[[#This Row],[SEMANAS DE GESTACION ACTUALIZADAS]]&lt;=27),"NO APLICA",IF(AND(ES119&lt;&gt;"",FQ119&lt;&gt;"",GF119&lt;&gt;""),"SI","NO"))))</f>
        <v>NO</v>
      </c>
      <c r="NP119" s="204" t="str">
        <f t="shared" si="484"/>
        <v>III TRIM</v>
      </c>
      <c r="NQ119" s="21" t="str">
        <f t="shared" si="437"/>
        <v/>
      </c>
      <c r="NR119" s="21">
        <f t="shared" si="497"/>
        <v>1</v>
      </c>
      <c r="NS119" s="205">
        <f t="shared" ca="1" si="485"/>
        <v>0</v>
      </c>
      <c r="NT119" s="21">
        <f t="shared" ca="1" si="486"/>
        <v>0</v>
      </c>
      <c r="NU119" s="21" t="str">
        <f t="shared" ca="1" si="487"/>
        <v>INCOMPLETO</v>
      </c>
      <c r="NV119" s="21" t="str">
        <f t="shared" ca="1" si="488"/>
        <v>INCOMPLETO</v>
      </c>
      <c r="NW119" s="206" t="str">
        <f>IF(AND(O119="",R119=""),"",IF(OR(AND(Tabla1[[#This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19" s="207" t="str">
        <f t="shared" ca="1" si="489"/>
        <v>SIN VACUNAR</v>
      </c>
      <c r="NY119" s="43">
        <f>ROW(Tabla1[[#This Row],['# DE TAMIZAJES SIFILIS TOMADOS ]])</f>
        <v>119</v>
      </c>
      <c r="NZ119" s="43">
        <f t="shared" si="334"/>
        <v>36</v>
      </c>
      <c r="OA119" s="43" t="str">
        <f t="shared" si="335"/>
        <v/>
      </c>
      <c r="OB119" s="43" t="str">
        <f t="shared" si="336"/>
        <v/>
      </c>
      <c r="OC119" s="43" t="str">
        <f t="shared" si="337"/>
        <v/>
      </c>
      <c r="OD119" s="43" t="str">
        <f t="shared" si="338"/>
        <v/>
      </c>
      <c r="OE119" s="43" t="str">
        <f t="shared" si="339"/>
        <v/>
      </c>
      <c r="OF119" s="43" t="str">
        <f t="shared" si="340"/>
        <v/>
      </c>
      <c r="OG119" s="43" t="str">
        <f t="shared" si="341"/>
        <v/>
      </c>
      <c r="OH119" s="43" t="str">
        <f t="shared" si="342"/>
        <v/>
      </c>
      <c r="OI119" s="43" t="str">
        <f t="shared" si="343"/>
        <v/>
      </c>
      <c r="OJ119" s="43" t="str">
        <f t="shared" si="344"/>
        <v/>
      </c>
      <c r="OK119" s="43" t="str">
        <f t="shared" si="345"/>
        <v/>
      </c>
      <c r="OL119" s="43" t="str">
        <f t="shared" si="346"/>
        <v/>
      </c>
      <c r="OM119" s="43" t="str">
        <f t="shared" si="347"/>
        <v/>
      </c>
      <c r="ON119" s="43" t="str">
        <f t="shared" si="348"/>
        <v/>
      </c>
      <c r="OO119" s="43" t="str">
        <f t="shared" si="349"/>
        <v/>
      </c>
      <c r="OP119" s="43" t="str">
        <f t="shared" si="350"/>
        <v/>
      </c>
      <c r="OQ119" s="43" t="str">
        <f t="shared" si="351"/>
        <v/>
      </c>
      <c r="OR119" s="43" t="str">
        <f t="shared" si="352"/>
        <v/>
      </c>
      <c r="OS119" s="43" t="str">
        <f t="shared" si="353"/>
        <v/>
      </c>
      <c r="OT119" s="43" t="str">
        <f t="shared" si="354"/>
        <v/>
      </c>
      <c r="OU119" s="43" t="str">
        <f t="shared" si="355"/>
        <v/>
      </c>
      <c r="OV119" s="110" t="str">
        <f t="shared" si="356"/>
        <v/>
      </c>
      <c r="OW119" s="43" t="str">
        <f t="shared" si="357"/>
        <v/>
      </c>
      <c r="OX119" s="43" t="str">
        <f t="shared" si="358"/>
        <v/>
      </c>
      <c r="OY119" s="43" t="str">
        <f t="shared" si="359"/>
        <v/>
      </c>
      <c r="OZ119" s="43" t="str">
        <f t="shared" si="360"/>
        <v/>
      </c>
      <c r="PA119" s="43" t="str">
        <f t="shared" si="361"/>
        <v/>
      </c>
      <c r="PB119" s="43" t="str">
        <f t="shared" si="362"/>
        <v>NORMAL</v>
      </c>
      <c r="PC119" s="43" t="str">
        <f t="shared" si="363"/>
        <v/>
      </c>
      <c r="PD119" s="43" t="str">
        <f t="shared" si="364"/>
        <v/>
      </c>
      <c r="PE119" s="43" t="str">
        <f t="shared" si="365"/>
        <v/>
      </c>
      <c r="PF119" s="43" t="str">
        <f t="shared" si="366"/>
        <v/>
      </c>
      <c r="PG119" s="43" t="str">
        <f t="shared" si="367"/>
        <v/>
      </c>
      <c r="PH119" s="43" t="str">
        <f t="shared" si="368"/>
        <v/>
      </c>
      <c r="PI119" s="43">
        <f t="shared" si="369"/>
        <v>36</v>
      </c>
      <c r="PJ119" s="43" t="str">
        <f t="shared" si="370"/>
        <v/>
      </c>
      <c r="PK119" s="43" t="str">
        <f t="shared" si="371"/>
        <v/>
      </c>
      <c r="PL119" s="43" t="str">
        <f t="shared" si="372"/>
        <v/>
      </c>
      <c r="PM119" s="43" t="str">
        <f t="shared" si="373"/>
        <v/>
      </c>
      <c r="PN119" s="43" t="str">
        <f t="shared" si="374"/>
        <v/>
      </c>
      <c r="PO119" s="43" t="str">
        <f t="shared" si="375"/>
        <v/>
      </c>
      <c r="PP119" s="43" t="str">
        <f t="shared" si="376"/>
        <v/>
      </c>
      <c r="PQ119" s="43" t="str">
        <f t="shared" si="377"/>
        <v/>
      </c>
      <c r="PR119" s="43" t="str">
        <f t="shared" si="378"/>
        <v/>
      </c>
      <c r="PS119" s="43" t="str">
        <f t="shared" si="379"/>
        <v/>
      </c>
      <c r="PT119" s="43" t="str">
        <f t="shared" si="380"/>
        <v/>
      </c>
      <c r="PU119" s="43" t="str">
        <f t="shared" si="381"/>
        <v/>
      </c>
      <c r="PV119" s="43" t="str">
        <f t="shared" si="382"/>
        <v/>
      </c>
      <c r="PW119" s="43" t="str">
        <f t="shared" si="383"/>
        <v/>
      </c>
      <c r="PX119" s="43" t="str">
        <f t="shared" si="384"/>
        <v/>
      </c>
      <c r="PY119" s="43" t="str">
        <f t="shared" si="385"/>
        <v/>
      </c>
      <c r="PZ119" s="43" t="str">
        <f t="shared" si="386"/>
        <v/>
      </c>
      <c r="QA119" s="43" t="str">
        <f t="shared" si="387"/>
        <v/>
      </c>
      <c r="QB119" s="43" t="str">
        <f t="shared" si="388"/>
        <v/>
      </c>
      <c r="QC119" s="43" t="str">
        <f t="shared" si="389"/>
        <v/>
      </c>
      <c r="QD119" s="43" t="str">
        <f t="shared" si="390"/>
        <v/>
      </c>
      <c r="QE119" s="43" t="str">
        <f t="shared" si="391"/>
        <v/>
      </c>
      <c r="QF119" s="43" t="str">
        <f t="shared" si="392"/>
        <v/>
      </c>
      <c r="QG119" s="43" t="str">
        <f t="shared" si="393"/>
        <v/>
      </c>
      <c r="QH119" s="43" t="str">
        <f t="shared" si="394"/>
        <v/>
      </c>
      <c r="QI119" s="43" t="str">
        <f t="shared" si="395"/>
        <v/>
      </c>
      <c r="QJ119" s="43" t="str">
        <f t="shared" si="396"/>
        <v/>
      </c>
      <c r="QK119" s="43" t="str">
        <f t="shared" si="397"/>
        <v/>
      </c>
      <c r="QL119" s="43" t="str">
        <f t="shared" si="398"/>
        <v/>
      </c>
      <c r="QM119" s="43" t="str">
        <f t="shared" si="399"/>
        <v/>
      </c>
      <c r="QN119" s="43" t="str">
        <f t="shared" si="400"/>
        <v/>
      </c>
      <c r="QO119" s="43" t="str">
        <f t="shared" si="401"/>
        <v/>
      </c>
      <c r="QP119" s="43" t="str">
        <f t="shared" si="402"/>
        <v/>
      </c>
      <c r="QQ119" s="43" t="str">
        <f t="shared" si="403"/>
        <v/>
      </c>
      <c r="QR119" s="43">
        <f t="shared" si="433"/>
        <v>36</v>
      </c>
      <c r="QS119" s="43"/>
      <c r="QT119" s="21" t="str">
        <f t="shared" si="404"/>
        <v/>
      </c>
      <c r="QU119" s="21" t="str">
        <f t="shared" si="405"/>
        <v/>
      </c>
      <c r="QV119" s="21" t="str">
        <f t="shared" si="406"/>
        <v/>
      </c>
      <c r="QW119" s="21" t="str">
        <f t="shared" si="407"/>
        <v/>
      </c>
      <c r="QX119" s="21" t="str">
        <f t="shared" si="408"/>
        <v/>
      </c>
      <c r="QY119" s="21" t="str">
        <f t="shared" si="409"/>
        <v/>
      </c>
      <c r="QZ119" s="21" t="str">
        <f t="shared" si="410"/>
        <v/>
      </c>
      <c r="RA119" s="21" t="str">
        <f t="shared" si="411"/>
        <v/>
      </c>
      <c r="RB119" s="21" t="str">
        <f t="shared" si="412"/>
        <v/>
      </c>
      <c r="RC119" s="21" t="str">
        <f t="shared" si="413"/>
        <v/>
      </c>
      <c r="RD119" s="21" t="str">
        <f t="shared" si="414"/>
        <v/>
      </c>
      <c r="RE119" s="21" t="str">
        <f t="shared" si="415"/>
        <v/>
      </c>
      <c r="RF119" s="21" t="str">
        <f t="shared" si="416"/>
        <v/>
      </c>
      <c r="RG119" s="21" t="str">
        <f t="shared" si="417"/>
        <v/>
      </c>
      <c r="RH119" s="21" t="str">
        <f t="shared" si="418"/>
        <v/>
      </c>
      <c r="RI119" s="21" t="str">
        <f t="shared" si="419"/>
        <v/>
      </c>
      <c r="RJ119" s="21" t="str">
        <f t="shared" si="420"/>
        <v/>
      </c>
      <c r="RK119" s="21" t="str">
        <f t="shared" si="421"/>
        <v/>
      </c>
      <c r="RL119" s="21" t="str">
        <f t="shared" si="422"/>
        <v/>
      </c>
      <c r="RM119" s="21" t="str">
        <f t="shared" si="423"/>
        <v/>
      </c>
      <c r="RN119" s="21" t="str">
        <f t="shared" si="424"/>
        <v/>
      </c>
      <c r="RO119" s="21" t="str">
        <f t="shared" si="425"/>
        <v/>
      </c>
      <c r="RP119" s="21" t="str">
        <f t="shared" si="426"/>
        <v/>
      </c>
      <c r="RQ119" s="21" t="str">
        <f t="shared" si="427"/>
        <v/>
      </c>
      <c r="RR119" s="21" t="str">
        <f t="shared" si="428"/>
        <v/>
      </c>
      <c r="RS119" s="21" t="str">
        <f t="shared" si="429"/>
        <v/>
      </c>
      <c r="RT119" s="21" t="str">
        <f t="shared" si="430"/>
        <v/>
      </c>
      <c r="RU119" s="21" t="str">
        <f t="shared" si="431"/>
        <v/>
      </c>
      <c r="RV119" s="21">
        <f t="shared" si="432"/>
        <v>36.714285714285715</v>
      </c>
      <c r="RW119" s="284">
        <f>IF(OR(Tabla1[[#This Row],[FUM FORMULA CONFIABLE]]="",Tabla1[[#This Row],[FUM FORMULA CONFIABLE]]="SD"),"",IF(Tabla1[[#This Row],[FUM FORMULA CONFIABLE]]="CORREGIDA",Tabla1[[#This Row],[FUM X ECO 1]],Tabla1[[#This Row],[FUM x AMENORREA]]))</f>
        <v>44732</v>
      </c>
      <c r="RX119" s="21" t="str">
        <f>IF(AND(Tabla1[[#This Row],[FUM X ECO 1]]="",Tabla1[[#This Row],[FUM x AMENORREA]]=""),"",IF(AND(Tabla1[[#This Row],[FUM X ECO 1]]="",Tabla1[[#This Row],[FUM x AMENORREA]]&lt;&gt;""),"X",SUM(Tabla1[[#This Row],[FUM X ECO 1]]-Tabla1[[#This Row],[FUM x AMENORREA]])))</f>
        <v>X</v>
      </c>
      <c r="RY119" s="21" t="str">
        <f t="shared" si="434"/>
        <v>x</v>
      </c>
    </row>
    <row r="120" spans="1:493" ht="45" customHeight="1" x14ac:dyDescent="0.25">
      <c r="A120" s="109"/>
      <c r="B120" s="43"/>
      <c r="C120" s="43" t="s">
        <v>845</v>
      </c>
      <c r="D120" s="124"/>
      <c r="E120" s="43" t="s">
        <v>914</v>
      </c>
      <c r="F120" s="43" t="s">
        <v>884</v>
      </c>
      <c r="G120" s="43" t="s">
        <v>1217</v>
      </c>
      <c r="H120" s="43" t="s">
        <v>1354</v>
      </c>
      <c r="I120" s="109" t="s">
        <v>851</v>
      </c>
      <c r="J120" s="110">
        <v>1059604950</v>
      </c>
      <c r="K120" s="43" t="s">
        <v>852</v>
      </c>
      <c r="L120" s="175" t="s">
        <v>853</v>
      </c>
      <c r="M120" s="22">
        <v>35437</v>
      </c>
      <c r="N120" s="213">
        <f t="shared" ca="1" si="252"/>
        <v>26.835616438356166</v>
      </c>
      <c r="O120" s="22">
        <v>44987</v>
      </c>
      <c r="P120" s="214" t="str">
        <f t="shared" si="438"/>
        <v>SI</v>
      </c>
      <c r="Q120" s="26" t="s">
        <v>855</v>
      </c>
      <c r="R120" s="22">
        <v>44987</v>
      </c>
      <c r="S120" s="21" t="s">
        <v>856</v>
      </c>
      <c r="T120" s="24" t="s">
        <v>690</v>
      </c>
      <c r="U120" s="21" t="s">
        <v>857</v>
      </c>
      <c r="V120" s="21" t="s">
        <v>858</v>
      </c>
      <c r="W120" s="21" t="s">
        <v>1355</v>
      </c>
      <c r="X120" s="21" t="s">
        <v>1355</v>
      </c>
      <c r="Y120" s="21"/>
      <c r="Z120" s="21">
        <v>3175995296</v>
      </c>
      <c r="AA120" s="21" t="s">
        <v>860</v>
      </c>
      <c r="AB120" s="27" t="s">
        <v>861</v>
      </c>
      <c r="AC120" s="26" t="s">
        <v>862</v>
      </c>
      <c r="AD120" s="38" t="s">
        <v>846</v>
      </c>
      <c r="AE120" s="26" t="s">
        <v>854</v>
      </c>
      <c r="AF120" s="26" t="s">
        <v>854</v>
      </c>
      <c r="AG120" s="23" t="s">
        <v>864</v>
      </c>
      <c r="AH120" s="23" t="s">
        <v>864</v>
      </c>
      <c r="AI120" s="24" t="s">
        <v>863</v>
      </c>
      <c r="AJ120" s="23" t="s">
        <v>864</v>
      </c>
      <c r="AK120" s="220" t="str">
        <f>IF(AND(AD120="",AE120="",AF120="",AG120="",AH120="",AI120="",AJ120=""),"",IF(OR(Tabla1[[#This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EVALUACIÓN",IF(AND(O120="",R120=""),"",IF(AND(OR(O120&gt;0,R120&gt;0),NG120&gt;=0,NG120&lt;2),"SIN RIESGO",IF(AND(OR(O120&gt;0,R120&gt;0),NG120&gt;=2),"CON RIESGO","ASD")))))</f>
        <v>SIN RIESGO</v>
      </c>
      <c r="AL120" s="23" t="s">
        <v>864</v>
      </c>
      <c r="AM120" s="26" t="s">
        <v>864</v>
      </c>
      <c r="AN120" s="26" t="s">
        <v>864</v>
      </c>
      <c r="AO120" s="26" t="s">
        <v>864</v>
      </c>
      <c r="AP120" s="26" t="s">
        <v>864</v>
      </c>
      <c r="AQ120" s="26" t="s">
        <v>864</v>
      </c>
      <c r="AR120" s="26" t="s">
        <v>864</v>
      </c>
      <c r="AS120" s="21">
        <v>2</v>
      </c>
      <c r="AT120" s="21">
        <v>2</v>
      </c>
      <c r="AU120" s="21">
        <v>0</v>
      </c>
      <c r="AV120" s="26" t="s">
        <v>864</v>
      </c>
      <c r="AW120" s="21">
        <v>0</v>
      </c>
      <c r="AX120" s="26" t="s">
        <v>864</v>
      </c>
      <c r="AY120" s="26" t="s">
        <v>864</v>
      </c>
      <c r="AZ120" s="26" t="s">
        <v>864</v>
      </c>
      <c r="BA120" s="26" t="s">
        <v>864</v>
      </c>
      <c r="BB120" s="26" t="s">
        <v>864</v>
      </c>
      <c r="BC120" s="26" t="s">
        <v>864</v>
      </c>
      <c r="BD120" s="26" t="s">
        <v>864</v>
      </c>
      <c r="BE120" s="26" t="s">
        <v>864</v>
      </c>
      <c r="BF120" s="26" t="s">
        <v>864</v>
      </c>
      <c r="BG120" s="26" t="s">
        <v>864</v>
      </c>
      <c r="BH120" s="26" t="s">
        <v>864</v>
      </c>
      <c r="BI120" s="26" t="s">
        <v>864</v>
      </c>
      <c r="BJ120" s="26"/>
      <c r="BK120" s="26"/>
      <c r="BL120" s="26" t="s">
        <v>864</v>
      </c>
      <c r="BM120" s="26" t="s">
        <v>864</v>
      </c>
      <c r="BN120" s="22">
        <v>43765</v>
      </c>
      <c r="BO120" s="22">
        <v>44845</v>
      </c>
      <c r="BP120" s="21" t="s">
        <v>854</v>
      </c>
      <c r="BQ120" s="222">
        <f t="shared" si="254"/>
        <v>36</v>
      </c>
      <c r="BR120" s="223">
        <f t="shared" si="255"/>
        <v>44847</v>
      </c>
      <c r="BS120" s="224">
        <f t="shared" si="256"/>
        <v>20.285714285714285</v>
      </c>
      <c r="BT120" s="216" t="str">
        <f t="shared" si="257"/>
        <v>II TRIM</v>
      </c>
      <c r="BU120" s="214" t="str">
        <f t="shared" ca="1" si="258"/>
        <v/>
      </c>
      <c r="BV120" s="25"/>
      <c r="BW120" s="22">
        <v>45015</v>
      </c>
      <c r="BX120" s="28">
        <v>24</v>
      </c>
      <c r="BY120" s="28"/>
      <c r="BZ120" s="22"/>
      <c r="CA120" s="21"/>
      <c r="CB120" s="26" t="s">
        <v>864</v>
      </c>
      <c r="CC120" s="26" t="s">
        <v>864</v>
      </c>
      <c r="CD120" s="26"/>
      <c r="CE120" s="26" t="s">
        <v>864</v>
      </c>
      <c r="CF120" s="22" t="s">
        <v>1517</v>
      </c>
      <c r="CG120" s="21">
        <v>1.55</v>
      </c>
      <c r="CH120" s="21">
        <v>60</v>
      </c>
      <c r="CI120" s="214">
        <f t="shared" si="259"/>
        <v>24.973985431841829</v>
      </c>
      <c r="CJ120" s="225" t="e">
        <f>IF(AND(CI120&lt;10,CH120="SD"),"SIN DATO PESO PREGESTACION O I TRIM",IF(AND(OR(R120&gt;0,O120&gt;0),CI120="X"),"INGRESAR DATO DE PESO",IF(CI120="SD","INGRESAR DATO DE TALLA Y PESO",IF(AND(OR(Tabla1[[#This Row],[MOMENTO EN QUE SE REALIZA EL PESO AL INGRESO A CPN]]="PREGESTACIÓN",NZ120="Menor"),CI120&lt;18.5),"BAJO PESO",IF(AND(OR(Tabla1[[#This Row],[MOMENTO EN QUE SE REALIZA EL PESO AL INGRESO A CPN]]="PREGESTACIÓN",NZ120="Menor"),CI120&lt;25),"NORMAL",IF(AND(OR(Tabla1[[#This Row],[MOMENTO EN QUE SE REALIZA EL PESO AL INGRESO A CPN]]="PREGESTACIÓN",NZ120="Menor"),CI120&lt;30),"SOBREPESO",IF(AND(OR(Tabla1[[#This Row],[MOMENTO EN QUE SE REALIZA EL PESO AL INGRESO A CPN]]="PREGESTACIÓN",NZ120="Menor"),CI120&gt;=30,CI120&lt;50),"OBESIDAD",IF(AND(BS120&gt;0,Tabla1[[#This Row],[MOMENTO EN QUE SE REALIZA EL PESO AL INGRESO A CPN]]="GESTACIÓN"),HLOOKUP(NZ120,$OA$2:PH120,NY120),""))))))))</f>
        <v>#REF!</v>
      </c>
      <c r="CK120" s="212">
        <f t="shared" si="260"/>
        <v>45050</v>
      </c>
      <c r="CL120" s="21">
        <v>64</v>
      </c>
      <c r="CM120" s="214">
        <f t="shared" si="261"/>
        <v>26.638917793964616</v>
      </c>
      <c r="CN120" s="216">
        <f t="shared" si="262"/>
        <v>29</v>
      </c>
      <c r="CO120" s="216" t="e">
        <f>IF(PI120="","",IF(PI120&gt;0,HLOOKUP(PI120,$PJ$2:QQ120,NY120),""))</f>
        <v>#REF!</v>
      </c>
      <c r="CP120" s="21">
        <v>27</v>
      </c>
      <c r="CQ120" s="216" t="e">
        <f>IF(QR120="Menor","NO APLICA-MENOR 13 SEM",IF(AND(CC120="SI",CN120&gt;23),"NO APLICA- GEMELAR",IF(QR120="","",IF(QR120&gt;0,HLOOKUP(QR120,$QS$2:RU120,NY120),""))))</f>
        <v>#REF!</v>
      </c>
      <c r="CR120" s="21">
        <v>100</v>
      </c>
      <c r="CS120" s="21">
        <v>60</v>
      </c>
      <c r="CT120" s="217" t="str">
        <f>IF(R120="","",IF(AND(BS120&gt;1,BS120&lt;12,Tabla1[[#This Row],[T.A. SISTOLICA - ANTES DE SEMANA 12]]="",Tabla1[[#This Row],[T.A. DIASTOLICA - ANTES DE SEMANA 12]]=""),"REGISTRE DATO TA ANTES SEMANA 12",IF(AND(BS120&gt;11,BS120&lt;43,Tabla1[[#This Row],[T.A. SISTOLICA - ANTES DE SEMANA 12]]="",Tabla1[[#This Row],[T.A. DIASTOLICA - ANTES DE SEMANA 12]]=""),"NO APLICA REGISTRO TA-INGRESO TARDIO",IF(AND(OR(O120&gt;0,R120&gt;0),OR(CR120&gt;=140,CS120&gt;=90)),"DEFINIR ESTADIO HTA",IF(AND(OR(O120&gt;0,R120&gt;0),AND(CR120&gt;120,CR120&lt;=139)),"PRE HTA SEGUIMIENTO",IF(AND(OR(O120&gt;0,R120&gt;0),AND(CS120&gt;80,CS120&lt;=89)),"PRE HTA SEGUIMIENTO",IF(AND(OR(O120&gt;0,R120&gt;0),AND(CR120&gt;=80,CR120&lt;=120)),"APARENTEMENTE NORMAL",IF(AND(OR(O120&gt;0,R120&gt;0),AND(CS120&gt;=50,CS120&lt;=80)),"APARENTEMENTE NORMAL",IF(AND(OR(O120&gt;0,R120&gt;0),AND(CR120&gt;1,CR120&lt;=70),AND(CS120&gt;1,CS120&lt;=40)),"HIPOTENSIÓN","")))))))))</f>
        <v>APARENTEMENTE NORMAL</v>
      </c>
      <c r="CU120" s="21">
        <v>100</v>
      </c>
      <c r="CV120" s="21">
        <v>60</v>
      </c>
      <c r="CW120" s="217" t="str">
        <f ca="1">IF(R120="","",IF(AND(CN120&gt;19,CN120&lt;27,Tabla1[[#This Row],[T.A. SISTOLICA (Entre semana 20 y 26)]]="",Tabla1[[#This Row],[T.A. DIATOLICA (Entre semana 20 y 26)]]=""),"ACUDE A CONTROL SEM 20 A 26 REGISTRE TA AHORA",IF(AND(BS120&gt;1,BS120&lt;27,BU120&gt;19,Tabla1[[#This Row],[T.A. SISTOLICA (Entre semana 20 y 26)]]="",Tabla1[[#This Row],[T.A. DIATOLICA (Entre semana 20 y 26)]]=""),"COMPLETE REGISTRO TA CONTROL SEM 20 A26 ",IF(AND(BS120&gt;26,BS120&lt;43,Tabla1[[#This Row],[T.A. SISTOLICA (Entre semana 20 y 26)]]="",Tabla1[[#This Row],[T.A. DIATOLICA (Entre semana 20 y 26)]]=""),"NO APLICA REGISTRO TA-INGRESO TARDIO",IF(AND(OR(O120&gt;0,R120&gt;0),OR(CU120&gt;=140,CV120&gt;=90)),"ALTO RIESGO PREECLAMPSIA,DEFINIR ESTADIO HTA",IF(AND(OR(O120&gt;0,R120&gt;0),AND(CU120&gt;120,CU120&lt;=139)),"PRE HTA SEGUIMIENTO,RIESGO HIPERTENSION INDUCIDA POR EL EMBARAZO",IF(AND(OR(O120&gt;0,R120&gt;0),AND(CV120&gt;80,CV120&lt;=89)),"PRE HTA SEGUIMIENTO, RIESGO HIPERTENSION INDUCIDA POR EL EMBARAZO",IF(AND(OR(O120&lt;&gt;"",R120&lt;&gt;""),CS120&lt;&gt;"",CV120&lt;&gt;"",CS120&lt;=CV120),"VIGILAR CIFRAS PRESION ARTERIAL",IF(AND(OR(O120&gt;0,R120&gt;0),AND(CU120&gt;120,CU120&lt;=139)),"PRE HTA SEGUIMIENTO",IF(AND(OR(O120&gt;0,R120&gt;0),AND(CU120&gt;1,CU120&lt;=70),AND(CV120&gt;1,CV120&lt;=40)),"HIPOTENSIÓN",IF(AND(OR(O120&lt;&gt;"",R120&lt;&gt;""),CS120&lt;&gt;"",CV120&lt;&gt;"",CS120&gt;CV120),"APARENTEMENTE NORMAL",IF(AND(OR(O120&gt;0,R120&gt;0),AND(CU120&gt;=80,CU120&lt;=120)),"APARENTEMENTE NORMAL",IF(AND(OR(O120&gt;0,R120&gt;0),AND(CV120&gt;=50,CV120&lt;=80)),"APARENTEMENTE NORMAL","")))))))))))))</f>
        <v>VIGILAR CIFRAS PRESION ARTERIAL</v>
      </c>
      <c r="CX120" s="21"/>
      <c r="CY120" s="21"/>
      <c r="CZ120" s="216" t="str">
        <f t="shared" si="457"/>
        <v/>
      </c>
      <c r="DA120" s="21">
        <v>100</v>
      </c>
      <c r="DB120" s="21">
        <v>60</v>
      </c>
      <c r="DC120" s="217" t="str">
        <f t="shared" si="264"/>
        <v>APARENTEMENTE NORMAL</v>
      </c>
      <c r="DD120" s="22">
        <v>44987</v>
      </c>
      <c r="DE120" s="22">
        <v>44987</v>
      </c>
      <c r="DF120" s="22">
        <v>45016</v>
      </c>
      <c r="DG120" s="22">
        <v>45050</v>
      </c>
      <c r="DH120" s="22"/>
      <c r="DI120" s="22"/>
      <c r="DJ120" s="22"/>
      <c r="DK120" s="22"/>
      <c r="DL120" s="22"/>
      <c r="DM120" s="22"/>
      <c r="DN120" s="22"/>
      <c r="DO120" s="22"/>
      <c r="DP120" s="22"/>
      <c r="DQ120" s="22"/>
      <c r="DR120" s="28">
        <v>1</v>
      </c>
      <c r="DS120" s="22"/>
      <c r="DT120" s="22"/>
      <c r="DU120" s="216" t="str">
        <f t="shared" ca="1" si="439"/>
        <v>SALE SIN PLAN DE PARTO</v>
      </c>
      <c r="DV120" s="226" t="str">
        <f t="shared" si="440"/>
        <v>SALIO PROGRAMA</v>
      </c>
      <c r="DW120"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20" s="216" t="str">
        <f t="shared" ca="1" si="266"/>
        <v/>
      </c>
      <c r="DY120" s="212">
        <f>IF(R120="","",IF(R120&gt;0,MAX(Tabla1[[#This Row],[FECHA C2]:[FECHA C13]],Tabla1[[#This Row],[FECHA CONSULTA PRIMERA VEZ PROGRAMA CPN ]])))</f>
        <v>45050</v>
      </c>
      <c r="DZ120" s="216">
        <f t="shared" si="267"/>
        <v>29</v>
      </c>
      <c r="EA120" s="222">
        <f>IF(R120&gt;0,SUM(COUNTA(DF120:DQ120)+COUNTA(Tabla1[[#This Row],[FECHA CONSULTA PRIMERA VEZ PROGRAMA CPN ]])),"")</f>
        <v>3</v>
      </c>
      <c r="EB120" s="222" t="str">
        <f t="shared" si="268"/>
        <v>NO</v>
      </c>
      <c r="EC120" s="214">
        <f t="shared" si="269"/>
        <v>6</v>
      </c>
      <c r="ED120" s="227">
        <f t="shared" si="270"/>
        <v>0.5</v>
      </c>
      <c r="EE120" s="22">
        <v>44987</v>
      </c>
      <c r="EF120" s="22"/>
      <c r="EG120" s="22">
        <v>44987</v>
      </c>
      <c r="EH120" s="22"/>
      <c r="EI120" s="22">
        <v>44987</v>
      </c>
      <c r="EJ120" s="22">
        <v>45015</v>
      </c>
      <c r="EK120" s="344">
        <v>45015</v>
      </c>
      <c r="EL120" s="21"/>
      <c r="EM120" s="21">
        <v>12.7</v>
      </c>
      <c r="EN120" s="22">
        <v>44989</v>
      </c>
      <c r="EO120" s="222">
        <f t="shared" si="271"/>
        <v>20.571428571428573</v>
      </c>
      <c r="EP120" s="214" t="str">
        <f t="shared" si="272"/>
        <v>NORMAL- SUMINISTRAR SULFATO FERROSO</v>
      </c>
      <c r="EQ120" s="216" t="str">
        <f t="shared" si="273"/>
        <v>II TRIM</v>
      </c>
      <c r="ER120" s="24"/>
      <c r="ES120" s="22"/>
      <c r="ET120" s="29" t="str">
        <f t="shared" ca="1" si="441"/>
        <v>SALE SIN TAMIZAJE HEMOGLOBINA SEM 28</v>
      </c>
      <c r="EU120" s="25" t="str">
        <f t="shared" si="275"/>
        <v/>
      </c>
      <c r="EV120" s="24" t="s">
        <v>866</v>
      </c>
      <c r="EW120" s="24">
        <v>44989</v>
      </c>
      <c r="EX120" s="22"/>
      <c r="EY120" s="29">
        <f t="shared" si="454"/>
        <v>20.571428571428573</v>
      </c>
      <c r="EZ120" s="25" t="str">
        <f t="shared" ca="1" si="455"/>
        <v/>
      </c>
      <c r="FA120" s="21"/>
      <c r="FB120" s="22"/>
      <c r="FC120" s="29" t="str">
        <f t="shared" si="276"/>
        <v>TOMAR EXAMEN</v>
      </c>
      <c r="FD120" s="29"/>
      <c r="FE120" s="29"/>
      <c r="FF120" s="29"/>
      <c r="FG120" s="21" t="str">
        <f t="shared" ca="1" si="277"/>
        <v/>
      </c>
      <c r="FH120" s="31"/>
      <c r="FI120" s="29" t="str">
        <f t="shared" si="278"/>
        <v>TOMAR EXAMEN</v>
      </c>
      <c r="FJ120" s="22"/>
      <c r="FK120" s="22"/>
      <c r="FL120" s="29" t="str">
        <f t="shared" ca="1" si="279"/>
        <v>NO APLICA-INGRESO TARDIO</v>
      </c>
      <c r="FM120" s="22" t="s">
        <v>867</v>
      </c>
      <c r="FN120" s="32">
        <v>44989</v>
      </c>
      <c r="FO120" s="29">
        <f t="shared" ca="1" si="442"/>
        <v>20.571428571428573</v>
      </c>
      <c r="FP120" s="22"/>
      <c r="FQ120" s="32"/>
      <c r="FR120" s="29" t="str">
        <f t="shared" ca="1" si="443"/>
        <v>PIERDE TOMA DE TAMIZAJE</v>
      </c>
      <c r="FS120" s="22"/>
      <c r="FT120" s="32"/>
      <c r="FU120" s="29" t="str">
        <f>IF(AND(FJ120="",FM120="",FP120="",FS120=""),"",IF(OR(OR(Tabla1[[#This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20" s="28"/>
      <c r="FW120" s="22"/>
      <c r="FX120" s="29" t="str">
        <f t="shared" si="280"/>
        <v>TOMAR EXAMEN</v>
      </c>
      <c r="FY120" s="22">
        <v>44989</v>
      </c>
      <c r="FZ120" s="22">
        <v>44989</v>
      </c>
      <c r="GA120" s="29" t="str">
        <f t="shared" si="453"/>
        <v>REGISTRAR EN II TRIMESTRE</v>
      </c>
      <c r="GB120" s="22" t="s">
        <v>868</v>
      </c>
      <c r="GC120" s="22">
        <v>44989</v>
      </c>
      <c r="GD120" s="29">
        <f t="shared" ca="1" si="491"/>
        <v>20.571428571428573</v>
      </c>
      <c r="GE120" s="22"/>
      <c r="GF120" s="22"/>
      <c r="GG120" s="29" t="str">
        <f t="shared" ca="1" si="445"/>
        <v>PIERDE TOMA DE TAMIZAJE</v>
      </c>
      <c r="GH120" s="22"/>
      <c r="GI120" s="29"/>
      <c r="GJ120" s="22"/>
      <c r="GK120" s="22"/>
      <c r="GL120" s="22"/>
      <c r="GM120" s="22"/>
      <c r="GN120" s="28"/>
      <c r="GO120" s="22"/>
      <c r="GP120" s="29" t="str">
        <f t="shared" si="283"/>
        <v>TOMAR EXAMEN</v>
      </c>
      <c r="GQ120" s="28">
        <v>44989</v>
      </c>
      <c r="GR120" s="28" t="s">
        <v>869</v>
      </c>
      <c r="GS120" s="22" t="str">
        <f t="shared" si="458"/>
        <v/>
      </c>
      <c r="GT120" s="22">
        <v>44989</v>
      </c>
      <c r="GU120" s="29">
        <f t="shared" si="285"/>
        <v>20.571428571428573</v>
      </c>
      <c r="GV120" s="21" t="str">
        <f t="shared" si="286"/>
        <v>II TRIM</v>
      </c>
      <c r="GW120" s="28" t="s">
        <v>869</v>
      </c>
      <c r="GX120" s="30"/>
      <c r="GY120" s="21"/>
      <c r="GZ120" s="21"/>
      <c r="HA120" s="21"/>
      <c r="HB120" s="21"/>
      <c r="HC120" s="21"/>
      <c r="HD120" s="21"/>
      <c r="HE120" s="21"/>
      <c r="HF120" s="22"/>
      <c r="HG120" s="22" t="str">
        <f>IF(OR(O120&gt;0,R120&gt;0),CONCATENATE(IF(Tabla1[[#This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20" s="22" t="e">
        <f t="shared" si="287"/>
        <v>#REF!</v>
      </c>
      <c r="HI120" s="22" t="e">
        <f t="shared" ca="1" si="288"/>
        <v>#REF!</v>
      </c>
      <c r="HJ120" s="21" t="str">
        <f t="shared" ca="1" si="289"/>
        <v>***************************************</v>
      </c>
      <c r="HK120" s="21" t="str">
        <f t="shared" si="290"/>
        <v>SIN ANTECEDENTES DE RIESGO</v>
      </c>
      <c r="HL120" s="24" t="str">
        <f t="shared" si="291"/>
        <v>APARENTEMENTE NORMAL</v>
      </c>
      <c r="HM120" s="21" t="str">
        <f t="shared" ca="1" si="292"/>
        <v/>
      </c>
      <c r="HN120" s="30" t="str">
        <f t="shared" si="446"/>
        <v>SALIO PROGRAMA</v>
      </c>
      <c r="HO120" s="21"/>
      <c r="HP120" s="21"/>
      <c r="HQ120" s="21">
        <v>44989</v>
      </c>
      <c r="HR120" s="21" t="str">
        <f>IF(R120="","",IF(Tabla1[[#This Row],[ALARMA FACTORES DE RIESGO COMPLICACIONES HIPERTENSIVAS3]]="SIN ANTECEDENTES DE RIESGO","No Aplica para suministro de ASA",IF(AND(Tabla1[[#This Row],[FECHA INICIO DE SUMINISTRO DE ASA]]&gt;0,RV120&lt;12),"Inicia ASA ANTES de Sem 12",IF(AND(RV120&gt;11,RV120&lt;17,OR(HK120="RIESGO ALTO DE COMPLICACIONES HIPERTENSIVAS VER MANEJO GUIA SUMINISTRO ASA Y CALCIO",HK120="RIESGO MODERADO (2 O MAS CRITERIOS) VER MANEJO GUIA SUMINISTRO ASA Y CALCIO")),"Inicio oportuno de ASA",IF(AND(RV120&gt;12,OR(HK120="RIESGO ALTO DE COMPLICACIONES HIPERTENSIVAS VER MANEJO GUIA SUMINISTRO ASA Y CALCIO",HK120="RIESGO MODERADO (2 O MAS CRITERIOS) VER MANEJO GUIA SUMINISTRO ASA Y CALCIO")),"Inicio no oportuno mayor a 16 semanas",IF(AND(BU120&lt;12,OR(HK120="RIESGO ALTO DE COMPLICACIONES HIPERTENSIVAS VER MANEJO GUIA SUMINISTRO ASA Y CALCIO",HK120="RIESGO MODERADO (2 O MAS CRITERIOS) VER MANEJO GUIA SUMINISTRO ASA Y CALCIO")),"Pendiente Inicio de ASA a la semana 12",IF(AND(BU120&gt;11,BU120&lt;17,OR(HK120="RIESGO ALTO DE COMPLICACIONES HIPERTENSIVAS VER MANEJO GUIA SUMINISTRO ASA Y CALCIO",HK120="RIESGO MODERADO (2 O MAS CRITERIOS) VER MANEJO GUIA SUMINISTRO ASA Y CALCIO")),"Iniciar de inmediato ASA",IF(AND(BU120&gt;16,OR(HK120="RIESGO ALTO DE COMPLICACIONES HIPERTENSIVAS VER MANEJO GUIA SUMINISTRO ASA Y CALCIO",HK120="RIESGO MODERADO (2 O MAS CRITERIOS) VER MANEJO GUIA SUMINISTRO ASA Y CALCIO")),"Pierde Oportunidad, Inicio tardío de ASA","XXXXX"))))))))</f>
        <v>No Aplica para suministro de ASA</v>
      </c>
      <c r="HS120" s="22">
        <v>44989</v>
      </c>
      <c r="HT120" s="22" t="s">
        <v>870</v>
      </c>
      <c r="HU120" s="22"/>
      <c r="HV120" s="22"/>
      <c r="HW120" s="22">
        <v>44989</v>
      </c>
      <c r="HX120" s="22" t="s">
        <v>870</v>
      </c>
      <c r="HY120" s="22">
        <v>44987</v>
      </c>
      <c r="HZ120" s="28">
        <f t="shared" si="293"/>
        <v>20.285714285714285</v>
      </c>
      <c r="IA120" s="26"/>
      <c r="IB120" s="26"/>
      <c r="IC120" s="111"/>
      <c r="ID120" s="22"/>
      <c r="IE120" s="22" t="str">
        <f t="shared" ca="1" si="294"/>
        <v>SALE SIN VACUNA</v>
      </c>
      <c r="IF120" s="22"/>
      <c r="IG120" s="22">
        <f t="shared" si="295"/>
        <v>45125</v>
      </c>
      <c r="IH120" s="29">
        <f t="shared" ca="1" si="296"/>
        <v>-107</v>
      </c>
      <c r="II120" s="22" t="str">
        <f t="shared" ca="1" si="297"/>
        <v>POSIBLEMENTE NACIO</v>
      </c>
      <c r="IJ120" s="22"/>
      <c r="IK120" s="21" t="s">
        <v>898</v>
      </c>
      <c r="IL120" s="21"/>
      <c r="IM120" s="34"/>
      <c r="IN120" s="349">
        <v>45120</v>
      </c>
      <c r="IO120" s="21" t="s">
        <v>1186</v>
      </c>
      <c r="IP120" s="29">
        <f t="shared" si="490"/>
        <v>39.285714285714285</v>
      </c>
      <c r="IQ120" s="290" t="s">
        <v>1654</v>
      </c>
      <c r="IR120" s="290" t="s">
        <v>1651</v>
      </c>
      <c r="IS120" s="290" t="s">
        <v>1646</v>
      </c>
      <c r="IT120" s="290" t="s">
        <v>1642</v>
      </c>
      <c r="IU120" s="21"/>
      <c r="IV120" s="21"/>
      <c r="IW120" s="21"/>
      <c r="IX120" s="21"/>
      <c r="IY120" s="21"/>
      <c r="IZ120" s="21"/>
      <c r="JA120" s="21"/>
      <c r="JB120" s="30">
        <v>1</v>
      </c>
      <c r="JC120" s="21" t="s">
        <v>1647</v>
      </c>
      <c r="JD120" s="36">
        <v>3270</v>
      </c>
      <c r="JE120" s="21" t="str">
        <f t="shared" si="492"/>
        <v>PESO ADECUADO EDAD GESTACIONAL</v>
      </c>
      <c r="JF120" s="30"/>
      <c r="JG120" s="21"/>
      <c r="JH120" s="21"/>
      <c r="JI120" s="21" t="s">
        <v>854</v>
      </c>
      <c r="JJ120" s="30" t="s">
        <v>866</v>
      </c>
      <c r="JK120" s="22"/>
      <c r="JL120" s="22"/>
      <c r="JM120" s="21"/>
      <c r="JN120" s="36"/>
      <c r="JO120" s="21" t="str">
        <f t="shared" si="493"/>
        <v/>
      </c>
      <c r="JP120" s="22"/>
      <c r="JQ120" s="21"/>
      <c r="JR120" s="21"/>
      <c r="JS120" s="21"/>
      <c r="JT120" s="30"/>
      <c r="JU120" s="22"/>
      <c r="JV120" s="22"/>
      <c r="JW120" s="33"/>
      <c r="JX120" s="28" t="str">
        <f t="shared" si="494"/>
        <v>INASISTENTE</v>
      </c>
      <c r="JY120" s="33"/>
      <c r="JZ120" s="28" t="str">
        <f t="shared" si="495"/>
        <v>INASISTENTE</v>
      </c>
      <c r="KA120" s="21"/>
      <c r="KB120" s="21"/>
      <c r="KC120" s="21"/>
      <c r="KD120" s="37"/>
      <c r="KE120" s="28"/>
      <c r="KF120" s="28"/>
      <c r="KG120" s="28"/>
      <c r="KH120" s="39"/>
      <c r="KI120" s="39"/>
      <c r="KJ120" s="66"/>
      <c r="KK120" s="39"/>
      <c r="KL120" s="39"/>
      <c r="KM120" s="66"/>
      <c r="KN120" s="39"/>
      <c r="KO120" s="39"/>
      <c r="KP120" s="39"/>
      <c r="KQ120" s="39"/>
      <c r="KR120" s="39"/>
      <c r="KS120" s="39"/>
      <c r="KT120" s="39"/>
      <c r="KU120" s="38"/>
      <c r="KV120" s="38"/>
      <c r="KW120" s="38"/>
      <c r="KX120" s="38"/>
      <c r="KY120" s="38"/>
      <c r="KZ120" s="38"/>
      <c r="LA120" s="38"/>
      <c r="LB120" s="38"/>
      <c r="LC120" s="38"/>
      <c r="LD120" s="38"/>
      <c r="LE120" s="38"/>
      <c r="LF120" s="38"/>
      <c r="LG120" s="38"/>
      <c r="LH120" s="38"/>
      <c r="LI120" s="38"/>
      <c r="LJ120" s="38"/>
      <c r="LK120" s="38"/>
      <c r="LL120" s="38"/>
      <c r="LM120" s="38"/>
      <c r="LN120" s="38"/>
      <c r="LO120" s="38"/>
      <c r="LP120" s="38"/>
      <c r="LQ120" s="38"/>
      <c r="LR120" s="38"/>
      <c r="LS120" s="38"/>
      <c r="LT120" s="38"/>
      <c r="LU120" s="38"/>
      <c r="LV120" s="38"/>
      <c r="LW120" s="38"/>
      <c r="LX120" s="38"/>
      <c r="LY120" s="38"/>
      <c r="LZ120" s="38"/>
      <c r="MA120" s="38"/>
      <c r="MB120" s="38"/>
      <c r="MC120" s="38"/>
      <c r="MD120" s="38"/>
      <c r="ME120" s="38"/>
      <c r="MF120" s="38"/>
      <c r="MG120" s="38"/>
      <c r="MH120" s="43">
        <f t="shared" si="459"/>
        <v>0</v>
      </c>
      <c r="MI120" s="43" t="str">
        <f t="shared" si="460"/>
        <v/>
      </c>
      <c r="MJ120" s="43" t="str">
        <f t="shared" si="461"/>
        <v/>
      </c>
      <c r="MK120" s="43">
        <f t="shared" si="462"/>
        <v>0</v>
      </c>
      <c r="ML12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20" s="43">
        <f t="shared" si="463"/>
        <v>20.285714285714285</v>
      </c>
      <c r="MN120" s="43">
        <f t="shared" si="464"/>
        <v>3</v>
      </c>
      <c r="MO120" s="43">
        <f t="shared" si="465"/>
        <v>2023</v>
      </c>
      <c r="MP120" s="43" t="str">
        <f t="shared" si="466"/>
        <v>I TRIMESTRE AÑO</v>
      </c>
      <c r="MQ120" s="43">
        <f t="shared" si="467"/>
        <v>25.774748138414367</v>
      </c>
      <c r="MR120" s="43">
        <f t="shared" si="468"/>
        <v>0</v>
      </c>
      <c r="MS120" s="43" t="str">
        <f t="shared" si="469"/>
        <v xml:space="preserve"> DE 25 A 29 AÑOS</v>
      </c>
      <c r="MT120" s="43">
        <f t="shared" si="470"/>
        <v>0</v>
      </c>
      <c r="MU120" s="43">
        <f t="shared" si="471"/>
        <v>0</v>
      </c>
      <c r="MV120" s="43">
        <f t="shared" si="472"/>
        <v>0</v>
      </c>
      <c r="MW120" s="43">
        <f t="shared" si="473"/>
        <v>0</v>
      </c>
      <c r="MX120" s="43" t="str">
        <f t="shared" si="474"/>
        <v/>
      </c>
      <c r="MY120" s="43" t="str">
        <f t="shared" ca="1" si="496"/>
        <v/>
      </c>
      <c r="MZ120" s="43" t="str">
        <f t="shared" si="475"/>
        <v/>
      </c>
      <c r="NA120" s="43" t="str">
        <f t="shared" si="476"/>
        <v/>
      </c>
      <c r="NB120" s="43" t="str">
        <f t="shared" si="477"/>
        <v/>
      </c>
      <c r="NC120" s="43" t="str">
        <f t="shared" si="478"/>
        <v/>
      </c>
      <c r="ND120" s="43">
        <f t="shared" ca="1" si="479"/>
        <v>0</v>
      </c>
      <c r="NE120" s="43">
        <f>IF(OR(O120&gt;0,R120&gt;0),SUM(COUNTIF(Tabla1[[#This Row],[AÑOS AL INICIO5 CPN]],"&gt;=40"),COUNTIF(AS120,"0"),COUNTIF(AR120,"SI"),COUNTIF(CC120,"SI"),COUNTIF(BQ120,"&gt;119"),COUNTIF(CI120,"&gt;=35")),"")</f>
        <v>0</v>
      </c>
      <c r="NF120" s="43" t="str">
        <f t="shared" si="480"/>
        <v/>
      </c>
      <c r="NG120" s="43">
        <f t="shared" si="481"/>
        <v>0</v>
      </c>
      <c r="NH120" s="43">
        <f t="shared" si="482"/>
        <v>168</v>
      </c>
      <c r="NI120"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CPN",P120="NO"),"Z",IF(AND(Tabla1[[#This Row],[CITA PROXIMO CONTROL]]="CITA MANUAL",Tabla1[[#This Row],[GESTANTES ACTUALES]]="ACTIVA INGRESO A CPN"),"W",IF(AND(Tabla1[[#This Row],[GESTANTES ACTUALES]]="SALIO PROGRAMA",IN120=""),"S",IF(AND(Tabla1[[#This Row],[CITA PROXIMO CONTROL]]&gt;0,IN120=""),(Tabla1[[#This Row],[CITA PROXIMO CONTROL]]-TODAY()),"SD"))))))))</f>
        <v>SD</v>
      </c>
      <c r="NJ120" s="43">
        <f>MONTH(Tabla1[[#This Row],[FECHA DE SALIDA  DEL PROGRAMA]])</f>
        <v>7</v>
      </c>
      <c r="NK120" s="43">
        <f>YEAR(Tabla1[[#This Row],[FECHA DE SALIDA  DEL PROGRAMA]])</f>
        <v>2023</v>
      </c>
      <c r="NL120" s="43">
        <f t="shared" si="483"/>
        <v>28</v>
      </c>
      <c r="NM120" s="43" t="str">
        <f t="shared" si="456"/>
        <v>NO</v>
      </c>
      <c r="NN120" s="43" t="str">
        <f ca="1">IF(AND(O120&gt;0,R120=""),"NO CPN",IF(AND(O120="",R120=""),"",IF(AND(R120&gt;0,Tabla1[[#This Row],[SEMANAS DE GESTACION ACTUALIZADAS]]&lt;=12),"NO APLICA",IF(AND(FH120&lt;&gt;"",FN120&lt;&gt;""),"SI","NO"))))</f>
        <v>NO</v>
      </c>
      <c r="NO120" s="43" t="str">
        <f ca="1">IF(AND(O120&gt;0,R120=""),"NO CPN",IF(AND(O120="",R120=""),"",IF(AND(R120&gt;0,Tabla1[[#This Row],[SEMANAS DE GESTACION ACTUALIZADAS]]&lt;=27),"NO APLICA",IF(AND(ES120&lt;&gt;"",FQ120&lt;&gt;"",GF120&lt;&gt;""),"SI","NO"))))</f>
        <v>NO</v>
      </c>
      <c r="NP120" s="204" t="str">
        <f t="shared" si="484"/>
        <v>II TRIM</v>
      </c>
      <c r="NQ120" s="21" t="str">
        <f t="shared" si="437"/>
        <v/>
      </c>
      <c r="NR120" s="21">
        <f t="shared" si="497"/>
        <v>2</v>
      </c>
      <c r="NS120" s="205">
        <f t="shared" ca="1" si="485"/>
        <v>1</v>
      </c>
      <c r="NT120" s="21">
        <f t="shared" ca="1" si="486"/>
        <v>1</v>
      </c>
      <c r="NU120" s="21" t="str">
        <f t="shared" ca="1" si="487"/>
        <v>INCOMPLETO</v>
      </c>
      <c r="NV120" s="21" t="str">
        <f t="shared" ca="1" si="488"/>
        <v>INCOMPLETO</v>
      </c>
      <c r="NW120" s="206" t="str">
        <f>IF(AND(O120="",R120=""),"",IF(OR(AND(Tabla1[[#This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20" s="207" t="str">
        <f t="shared" ca="1" si="489"/>
        <v>SIN VACUNAR</v>
      </c>
      <c r="NY120" s="43">
        <f>ROW(Tabla1[[#This Row],['# DE TAMIZAJES SIFILIS TOMADOS ]])</f>
        <v>120</v>
      </c>
      <c r="NZ120" s="43">
        <f t="shared" si="334"/>
        <v>20</v>
      </c>
      <c r="OA120" s="43" t="str">
        <f t="shared" si="335"/>
        <v/>
      </c>
      <c r="OB120" s="43" t="str">
        <f t="shared" si="336"/>
        <v/>
      </c>
      <c r="OC120" s="43" t="str">
        <f t="shared" si="337"/>
        <v/>
      </c>
      <c r="OD120" s="43" t="str">
        <f t="shared" si="338"/>
        <v/>
      </c>
      <c r="OE120" s="43" t="str">
        <f t="shared" si="339"/>
        <v/>
      </c>
      <c r="OF120" s="43" t="str">
        <f t="shared" si="340"/>
        <v/>
      </c>
      <c r="OG120" s="43" t="str">
        <f t="shared" si="341"/>
        <v/>
      </c>
      <c r="OH120" s="43" t="str">
        <f t="shared" si="342"/>
        <v/>
      </c>
      <c r="OI120" s="43" t="str">
        <f t="shared" si="343"/>
        <v/>
      </c>
      <c r="OJ120" s="43" t="str">
        <f t="shared" si="344"/>
        <v/>
      </c>
      <c r="OK120" s="43" t="str">
        <f t="shared" si="345"/>
        <v/>
      </c>
      <c r="OL120" s="43" t="str">
        <f t="shared" si="346"/>
        <v>NORMAL</v>
      </c>
      <c r="OM120" s="43" t="str">
        <f t="shared" si="347"/>
        <v/>
      </c>
      <c r="ON120" s="43" t="str">
        <f t="shared" si="348"/>
        <v/>
      </c>
      <c r="OO120" s="43" t="str">
        <f t="shared" si="349"/>
        <v/>
      </c>
      <c r="OP120" s="43" t="str">
        <f t="shared" si="350"/>
        <v/>
      </c>
      <c r="OQ120" s="43" t="str">
        <f t="shared" si="351"/>
        <v/>
      </c>
      <c r="OR120" s="43" t="str">
        <f t="shared" si="352"/>
        <v/>
      </c>
      <c r="OS120" s="43" t="str">
        <f t="shared" si="353"/>
        <v/>
      </c>
      <c r="OT120" s="43" t="str">
        <f t="shared" si="354"/>
        <v/>
      </c>
      <c r="OU120" s="43" t="str">
        <f t="shared" si="355"/>
        <v/>
      </c>
      <c r="OV120" s="110" t="str">
        <f t="shared" si="356"/>
        <v/>
      </c>
      <c r="OW120" s="43" t="str">
        <f t="shared" si="357"/>
        <v/>
      </c>
      <c r="OX120" s="43" t="str">
        <f t="shared" si="358"/>
        <v/>
      </c>
      <c r="OY120" s="43" t="str">
        <f t="shared" si="359"/>
        <v/>
      </c>
      <c r="OZ120" s="43" t="str">
        <f t="shared" si="360"/>
        <v/>
      </c>
      <c r="PA120" s="43" t="str">
        <f t="shared" si="361"/>
        <v/>
      </c>
      <c r="PB120" s="43" t="str">
        <f t="shared" si="362"/>
        <v/>
      </c>
      <c r="PC120" s="43" t="str">
        <f t="shared" si="363"/>
        <v/>
      </c>
      <c r="PD120" s="43" t="str">
        <f t="shared" si="364"/>
        <v/>
      </c>
      <c r="PE120" s="43" t="str">
        <f t="shared" si="365"/>
        <v/>
      </c>
      <c r="PF120" s="43" t="str">
        <f t="shared" si="366"/>
        <v/>
      </c>
      <c r="PG120" s="43" t="str">
        <f t="shared" si="367"/>
        <v/>
      </c>
      <c r="PH120" s="43" t="str">
        <f t="shared" si="368"/>
        <v/>
      </c>
      <c r="PI120" s="43">
        <f t="shared" si="369"/>
        <v>29</v>
      </c>
      <c r="PJ120" s="43" t="str">
        <f t="shared" si="370"/>
        <v/>
      </c>
      <c r="PK120" s="43" t="str">
        <f t="shared" si="371"/>
        <v/>
      </c>
      <c r="PL120" s="43" t="str">
        <f t="shared" si="372"/>
        <v/>
      </c>
      <c r="PM120" s="43" t="str">
        <f t="shared" si="373"/>
        <v/>
      </c>
      <c r="PN120" s="43" t="str">
        <f t="shared" si="374"/>
        <v/>
      </c>
      <c r="PO120" s="43" t="str">
        <f t="shared" si="375"/>
        <v/>
      </c>
      <c r="PP120" s="43" t="str">
        <f t="shared" si="376"/>
        <v/>
      </c>
      <c r="PQ120" s="43" t="str">
        <f t="shared" si="377"/>
        <v/>
      </c>
      <c r="PR120" s="43" t="str">
        <f t="shared" si="378"/>
        <v/>
      </c>
      <c r="PS120" s="43" t="str">
        <f t="shared" si="379"/>
        <v/>
      </c>
      <c r="PT120" s="43" t="str">
        <f t="shared" si="380"/>
        <v/>
      </c>
      <c r="PU120" s="43" t="str">
        <f t="shared" si="381"/>
        <v/>
      </c>
      <c r="PV120" s="43" t="str">
        <f t="shared" si="382"/>
        <v/>
      </c>
      <c r="PW120" s="43" t="str">
        <f t="shared" si="383"/>
        <v/>
      </c>
      <c r="PX120" s="43" t="str">
        <f t="shared" si="384"/>
        <v/>
      </c>
      <c r="PY120" s="43" t="str">
        <f t="shared" si="385"/>
        <v/>
      </c>
      <c r="PZ120" s="43" t="str">
        <f t="shared" si="386"/>
        <v/>
      </c>
      <c r="QA120" s="43" t="str">
        <f t="shared" si="387"/>
        <v/>
      </c>
      <c r="QB120" s="43" t="str">
        <f t="shared" si="388"/>
        <v/>
      </c>
      <c r="QC120" s="43" t="str">
        <f t="shared" si="389"/>
        <v/>
      </c>
      <c r="QD120" s="43" t="str">
        <f t="shared" si="390"/>
        <v>NORMAL</v>
      </c>
      <c r="QE120" s="43" t="str">
        <f t="shared" si="391"/>
        <v/>
      </c>
      <c r="QF120" s="43" t="str">
        <f t="shared" si="392"/>
        <v/>
      </c>
      <c r="QG120" s="43" t="str">
        <f t="shared" si="393"/>
        <v/>
      </c>
      <c r="QH120" s="43" t="str">
        <f t="shared" si="394"/>
        <v/>
      </c>
      <c r="QI120" s="43" t="str">
        <f t="shared" si="395"/>
        <v/>
      </c>
      <c r="QJ120" s="43" t="str">
        <f t="shared" si="396"/>
        <v/>
      </c>
      <c r="QK120" s="43" t="str">
        <f t="shared" si="397"/>
        <v/>
      </c>
      <c r="QL120" s="43" t="str">
        <f t="shared" si="398"/>
        <v/>
      </c>
      <c r="QM120" s="43" t="str">
        <f t="shared" si="399"/>
        <v/>
      </c>
      <c r="QN120" s="43" t="str">
        <f t="shared" si="400"/>
        <v/>
      </c>
      <c r="QO120" s="43" t="str">
        <f t="shared" si="401"/>
        <v/>
      </c>
      <c r="QP120" s="43" t="str">
        <f t="shared" si="402"/>
        <v/>
      </c>
      <c r="QQ120" s="43" t="str">
        <f t="shared" si="403"/>
        <v/>
      </c>
      <c r="QR120" s="43">
        <f t="shared" si="433"/>
        <v>29</v>
      </c>
      <c r="QS120" s="43"/>
      <c r="QT120" s="21" t="str">
        <f t="shared" si="404"/>
        <v/>
      </c>
      <c r="QU120" s="21" t="str">
        <f t="shared" si="405"/>
        <v/>
      </c>
      <c r="QV120" s="21" t="str">
        <f t="shared" si="406"/>
        <v/>
      </c>
      <c r="QW120" s="21" t="str">
        <f t="shared" si="407"/>
        <v/>
      </c>
      <c r="QX120" s="21" t="str">
        <f t="shared" si="408"/>
        <v/>
      </c>
      <c r="QY120" s="21" t="str">
        <f t="shared" si="409"/>
        <v/>
      </c>
      <c r="QZ120" s="21" t="str">
        <f t="shared" si="410"/>
        <v/>
      </c>
      <c r="RA120" s="21" t="str">
        <f t="shared" si="411"/>
        <v/>
      </c>
      <c r="RB120" s="21" t="str">
        <f t="shared" si="412"/>
        <v/>
      </c>
      <c r="RC120" s="21" t="str">
        <f t="shared" si="413"/>
        <v/>
      </c>
      <c r="RD120" s="21" t="str">
        <f t="shared" si="414"/>
        <v/>
      </c>
      <c r="RE120" s="21" t="str">
        <f t="shared" si="415"/>
        <v/>
      </c>
      <c r="RF120" s="21" t="str">
        <f t="shared" si="416"/>
        <v/>
      </c>
      <c r="RG120" s="21" t="str">
        <f t="shared" si="417"/>
        <v/>
      </c>
      <c r="RH120" s="21" t="str">
        <f t="shared" si="418"/>
        <v/>
      </c>
      <c r="RI120" s="21" t="str">
        <f t="shared" si="419"/>
        <v/>
      </c>
      <c r="RJ120" s="21" t="str">
        <f t="shared" si="420"/>
        <v>ADECUADO PARA EDAD GESTACIONAL</v>
      </c>
      <c r="RK120" s="21" t="str">
        <f t="shared" si="421"/>
        <v/>
      </c>
      <c r="RL120" s="21" t="str">
        <f t="shared" si="422"/>
        <v/>
      </c>
      <c r="RM120" s="21" t="str">
        <f t="shared" si="423"/>
        <v/>
      </c>
      <c r="RN120" s="21" t="str">
        <f t="shared" si="424"/>
        <v/>
      </c>
      <c r="RO120" s="21" t="str">
        <f t="shared" si="425"/>
        <v/>
      </c>
      <c r="RP120" s="21" t="str">
        <f t="shared" si="426"/>
        <v/>
      </c>
      <c r="RQ120" s="21" t="str">
        <f t="shared" si="427"/>
        <v/>
      </c>
      <c r="RR120" s="21" t="str">
        <f t="shared" si="428"/>
        <v/>
      </c>
      <c r="RS120" s="21" t="str">
        <f t="shared" si="429"/>
        <v/>
      </c>
      <c r="RT120" s="21" t="str">
        <f t="shared" si="430"/>
        <v/>
      </c>
      <c r="RU120" s="21" t="str">
        <f t="shared" si="431"/>
        <v/>
      </c>
      <c r="RV120" s="21">
        <f t="shared" si="432"/>
        <v>20.571428571428573</v>
      </c>
      <c r="RW120" s="284">
        <f>IF(OR(Tabla1[[#This Row],[FUM FORMULA CONFIABLE]]="",Tabla1[[#This Row],[FUM FORMULA CONFIABLE]]="SD"),"",IF(Tabla1[[#This Row],[FUM FORMULA CONFIABLE]]="CORREGIDA",Tabla1[[#This Row],[FUM X ECO 1]],Tabla1[[#This Row],[FUM x AMENORREA]]))</f>
        <v>44845</v>
      </c>
      <c r="RX120" s="21">
        <f>IF(AND(Tabla1[[#This Row],[FUM X ECO 1]]="",Tabla1[[#This Row],[FUM x AMENORREA]]=""),"",IF(AND(Tabla1[[#This Row],[FUM X ECO 1]]="",Tabla1[[#This Row],[FUM x AMENORREA]]&lt;&gt;""),"X",SUM(Tabla1[[#This Row],[FUM X ECO 1]]-Tabla1[[#This Row],[FUM x AMENORREA]])))</f>
        <v>2</v>
      </c>
      <c r="RY120" s="21">
        <f t="shared" si="434"/>
        <v>0</v>
      </c>
    </row>
    <row r="121" spans="1:493" ht="45" customHeight="1" x14ac:dyDescent="0.25">
      <c r="A121" s="109"/>
      <c r="B121" s="43"/>
      <c r="C121" s="43" t="s">
        <v>845</v>
      </c>
      <c r="D121" s="124"/>
      <c r="E121" s="43" t="s">
        <v>1356</v>
      </c>
      <c r="F121" s="43" t="s">
        <v>943</v>
      </c>
      <c r="G121" s="43" t="s">
        <v>1357</v>
      </c>
      <c r="H121" s="43"/>
      <c r="I121" s="109" t="s">
        <v>1094</v>
      </c>
      <c r="J121" s="110" t="s">
        <v>1358</v>
      </c>
      <c r="K121" s="43" t="s">
        <v>852</v>
      </c>
      <c r="L121" s="175" t="s">
        <v>886</v>
      </c>
      <c r="M121" s="22">
        <v>38664</v>
      </c>
      <c r="N121" s="213">
        <f t="shared" ca="1" si="252"/>
        <v>17.994520547945207</v>
      </c>
      <c r="O121" s="22">
        <v>44987</v>
      </c>
      <c r="P121" s="214" t="str">
        <f t="shared" si="438"/>
        <v>SI</v>
      </c>
      <c r="Q121" s="26" t="s">
        <v>855</v>
      </c>
      <c r="R121" s="22">
        <v>44987</v>
      </c>
      <c r="S121" s="21" t="s">
        <v>856</v>
      </c>
      <c r="T121" s="24" t="s">
        <v>690</v>
      </c>
      <c r="U121" s="21" t="s">
        <v>857</v>
      </c>
      <c r="V121" s="21" t="s">
        <v>858</v>
      </c>
      <c r="W121" s="21" t="s">
        <v>1359</v>
      </c>
      <c r="X121" s="21" t="s">
        <v>1359</v>
      </c>
      <c r="Y121" s="21"/>
      <c r="Z121" s="21">
        <v>3147188619</v>
      </c>
      <c r="AA121" s="21" t="s">
        <v>860</v>
      </c>
      <c r="AB121" s="27" t="s">
        <v>861</v>
      </c>
      <c r="AC121" s="26" t="s">
        <v>846</v>
      </c>
      <c r="AD121" s="38" t="s">
        <v>1546</v>
      </c>
      <c r="AE121" s="26" t="s">
        <v>854</v>
      </c>
      <c r="AF121" s="26" t="s">
        <v>854</v>
      </c>
      <c r="AG121" s="23" t="s">
        <v>864</v>
      </c>
      <c r="AH121" s="23" t="s">
        <v>864</v>
      </c>
      <c r="AI121" s="24" t="s">
        <v>863</v>
      </c>
      <c r="AJ121" s="23" t="s">
        <v>864</v>
      </c>
      <c r="AK121" s="220" t="str">
        <f>IF(AND(AD121="",AE121="",AF121="",AG121="",AH121="",AI121="",AJ121=""),"",IF(OR(Tabla1[[#This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EVALUACIÓN",IF(AND(O121="",R121=""),"",IF(AND(OR(O121&gt;0,R121&gt;0),NG121&gt;=0,NG121&lt;2),"SIN RIESGO",IF(AND(OR(O121&gt;0,R121&gt;0),NG121&gt;=2),"CON RIESGO","ASD")))))</f>
        <v>SIN RIESGO</v>
      </c>
      <c r="AL121" s="23" t="s">
        <v>864</v>
      </c>
      <c r="AM121" s="26" t="s">
        <v>864</v>
      </c>
      <c r="AN121" s="26" t="s">
        <v>864</v>
      </c>
      <c r="AO121" s="26" t="s">
        <v>864</v>
      </c>
      <c r="AP121" s="26" t="s">
        <v>864</v>
      </c>
      <c r="AQ121" s="26" t="s">
        <v>864</v>
      </c>
      <c r="AR121" s="26" t="s">
        <v>864</v>
      </c>
      <c r="AS121" s="21">
        <v>0</v>
      </c>
      <c r="AT121" s="21">
        <v>0</v>
      </c>
      <c r="AU121" s="21">
        <v>0</v>
      </c>
      <c r="AV121" s="26" t="s">
        <v>864</v>
      </c>
      <c r="AW121" s="21">
        <v>0</v>
      </c>
      <c r="AX121" s="26" t="s">
        <v>864</v>
      </c>
      <c r="AY121" s="26" t="s">
        <v>864</v>
      </c>
      <c r="AZ121" s="26" t="s">
        <v>864</v>
      </c>
      <c r="BA121" s="26" t="s">
        <v>864</v>
      </c>
      <c r="BB121" s="26" t="s">
        <v>864</v>
      </c>
      <c r="BC121" s="26" t="s">
        <v>864</v>
      </c>
      <c r="BD121" s="26" t="s">
        <v>864</v>
      </c>
      <c r="BE121" s="26" t="s">
        <v>864</v>
      </c>
      <c r="BF121" s="26" t="s">
        <v>864</v>
      </c>
      <c r="BG121" s="26" t="s">
        <v>864</v>
      </c>
      <c r="BH121" s="26" t="s">
        <v>864</v>
      </c>
      <c r="BI121" s="26" t="s">
        <v>864</v>
      </c>
      <c r="BJ121" s="26" t="s">
        <v>864</v>
      </c>
      <c r="BK121" s="26" t="s">
        <v>865</v>
      </c>
      <c r="BL121" s="26" t="s">
        <v>864</v>
      </c>
      <c r="BM121" s="26" t="s">
        <v>864</v>
      </c>
      <c r="BN121" s="22"/>
      <c r="BO121" s="22">
        <v>44893</v>
      </c>
      <c r="BP121" s="21" t="s">
        <v>1380</v>
      </c>
      <c r="BQ121" s="222">
        <f t="shared" si="254"/>
        <v>0</v>
      </c>
      <c r="BR121" s="223">
        <f t="shared" si="255"/>
        <v>44899.8</v>
      </c>
      <c r="BS121" s="224">
        <f t="shared" si="256"/>
        <v>12.457142857142442</v>
      </c>
      <c r="BT121" s="216" t="str">
        <f t="shared" si="257"/>
        <v>II TRIM</v>
      </c>
      <c r="BU121" s="214" t="str">
        <f t="shared" ca="1" si="258"/>
        <v/>
      </c>
      <c r="BV121" s="25"/>
      <c r="BW121" s="22">
        <v>44995</v>
      </c>
      <c r="BX121" s="28">
        <v>13.6</v>
      </c>
      <c r="BY121" s="28"/>
      <c r="BZ121" s="22"/>
      <c r="CA121" s="21"/>
      <c r="CB121" s="26" t="s">
        <v>864</v>
      </c>
      <c r="CC121" s="26" t="s">
        <v>864</v>
      </c>
      <c r="CD121" s="26"/>
      <c r="CE121" s="26"/>
      <c r="CF121" s="22" t="s">
        <v>1517</v>
      </c>
      <c r="CG121" s="21">
        <v>1.53</v>
      </c>
      <c r="CH121" s="21">
        <v>54</v>
      </c>
      <c r="CI121" s="214">
        <f t="shared" si="259"/>
        <v>23.068050749711649</v>
      </c>
      <c r="CJ121" s="225" t="e">
        <f>IF(AND(CI121&lt;10,CH121="SD"),"SIN DATO PESO PREGESTACION O I TRIM",IF(AND(OR(R121&gt;0,O121&gt;0),CI121="X"),"INGRESAR DATO DE PESO",IF(CI121="SD","INGRESAR DATO DE TALLA Y PESO",IF(AND(OR(Tabla1[[#This Row],[MOMENTO EN QUE SE REALIZA EL PESO AL INGRESO A CPN]]="PREGESTACIÓN",NZ121="Menor"),CI121&lt;18.5),"BAJO PESO",IF(AND(OR(Tabla1[[#This Row],[MOMENTO EN QUE SE REALIZA EL PESO AL INGRESO A CPN]]="PREGESTACIÓN",NZ121="Menor"),CI121&lt;25),"NORMAL",IF(AND(OR(Tabla1[[#This Row],[MOMENTO EN QUE SE REALIZA EL PESO AL INGRESO A CPN]]="PREGESTACIÓN",NZ121="Menor"),CI121&lt;30),"SOBREPESO",IF(AND(OR(Tabla1[[#This Row],[MOMENTO EN QUE SE REALIZA EL PESO AL INGRESO A CPN]]="PREGESTACIÓN",NZ121="Menor"),CI121&gt;=30,CI121&lt;50),"OBESIDAD",IF(AND(BS121&gt;0,Tabla1[[#This Row],[MOMENTO EN QUE SE REALIZA EL PESO AL INGRESO A CPN]]="GESTACIÓN"),HLOOKUP(NZ121,$OA$2:PH121,NY121),""))))))))</f>
        <v>#REF!</v>
      </c>
      <c r="CK121" s="212">
        <f t="shared" si="260"/>
        <v>44987</v>
      </c>
      <c r="CL121" s="21">
        <v>54</v>
      </c>
      <c r="CM121" s="214">
        <f t="shared" si="261"/>
        <v>23.068050749711649</v>
      </c>
      <c r="CN121" s="216">
        <f t="shared" si="262"/>
        <v>12</v>
      </c>
      <c r="CO121" s="216" t="e">
        <f>IF(PI121="","",IF(PI121&gt;0,HLOOKUP(PI121,$PJ$2:QQ121,NY121),""))</f>
        <v>#REF!</v>
      </c>
      <c r="CP121" s="21"/>
      <c r="CQ121" s="216" t="str">
        <f>IF(QR121="Menor","NO APLICA-MENOR 13 SEM",IF(AND(CC121="SI",CN121&gt;23),"NO APLICA- GEMELAR",IF(QR121="","",IF(QR121&gt;0,HLOOKUP(QR121,$QS$2:RU121,NY121),""))))</f>
        <v>NO APLICA-MENOR 13 SEM</v>
      </c>
      <c r="CR121" s="21">
        <v>110</v>
      </c>
      <c r="CS121" s="21">
        <v>80</v>
      </c>
      <c r="CT121" s="217" t="str">
        <f>IF(R121="","",IF(AND(BS121&gt;1,BS121&lt;12,Tabla1[[#This Row],[T.A. SISTOLICA - ANTES DE SEMANA 12]]="",Tabla1[[#This Row],[T.A. DIASTOLICA - ANTES DE SEMANA 12]]=""),"REGISTRE DATO TA ANTES SEMANA 12",IF(AND(BS121&gt;11,BS121&lt;43,Tabla1[[#This Row],[T.A. SISTOLICA - ANTES DE SEMANA 12]]="",Tabla1[[#This Row],[T.A. DIASTOLICA - ANTES DE SEMANA 12]]=""),"NO APLICA REGISTRO TA-INGRESO TARDIO",IF(AND(OR(O121&gt;0,R121&gt;0),OR(CR121&gt;=140,CS121&gt;=90)),"DEFINIR ESTADIO HTA",IF(AND(OR(O121&gt;0,R121&gt;0),AND(CR121&gt;120,CR121&lt;=139)),"PRE HTA SEGUIMIENTO",IF(AND(OR(O121&gt;0,R121&gt;0),AND(CS121&gt;80,CS121&lt;=89)),"PRE HTA SEGUIMIENTO",IF(AND(OR(O121&gt;0,R121&gt;0),AND(CR121&gt;=80,CR121&lt;=120)),"APARENTEMENTE NORMAL",IF(AND(OR(O121&gt;0,R121&gt;0),AND(CS121&gt;=50,CS121&lt;=80)),"APARENTEMENTE NORMAL",IF(AND(OR(O121&gt;0,R121&gt;0),AND(CR121&gt;1,CR121&lt;=70),AND(CS121&gt;1,CS121&lt;=40)),"HIPOTENSIÓN","")))))))))</f>
        <v>APARENTEMENTE NORMAL</v>
      </c>
      <c r="CU121" s="21"/>
      <c r="CV121" s="21"/>
      <c r="CW121" s="217" t="str">
        <f ca="1">IF(R121="","",IF(AND(CN121&gt;19,CN121&lt;27,Tabla1[[#This Row],[T.A. SISTOLICA (Entre semana 20 y 26)]]="",Tabla1[[#This Row],[T.A. DIATOLICA (Entre semana 20 y 26)]]=""),"ACUDE A CONTROL SEM 20 A 26 REGISTRE TA AHORA",IF(AND(BS121&gt;1,BS121&lt;27,BU121&gt;19,Tabla1[[#This Row],[T.A. SISTOLICA (Entre semana 20 y 26)]]="",Tabla1[[#This Row],[T.A. DIATOLICA (Entre semana 20 y 26)]]=""),"COMPLETE REGISTRO TA CONTROL SEM 20 A26 ",IF(AND(BS121&gt;26,BS121&lt;43,Tabla1[[#This Row],[T.A. SISTOLICA (Entre semana 20 y 26)]]="",Tabla1[[#This Row],[T.A. DIATOLICA (Entre semana 20 y 26)]]=""),"NO APLICA REGISTRO TA-INGRESO TARDIO",IF(AND(OR(O121&gt;0,R121&gt;0),OR(CU121&gt;=140,CV121&gt;=90)),"ALTO RIESGO PREECLAMPSIA,DEFINIR ESTADIO HTA",IF(AND(OR(O121&gt;0,R121&gt;0),AND(CU121&gt;120,CU121&lt;=139)),"PRE HTA SEGUIMIENTO,RIESGO HIPERTENSION INDUCIDA POR EL EMBARAZO",IF(AND(OR(O121&gt;0,R121&gt;0),AND(CV121&gt;80,CV121&lt;=89)),"PRE HTA SEGUIMIENTO, RIESGO HIPERTENSION INDUCIDA POR EL EMBARAZO",IF(AND(OR(O121&lt;&gt;"",R121&lt;&gt;""),CS121&lt;&gt;"",CV121&lt;&gt;"",CS121&lt;=CV121),"VIGILAR CIFRAS PRESION ARTERIAL",IF(AND(OR(O121&gt;0,R121&gt;0),AND(CU121&gt;120,CU121&lt;=139)),"PRE HTA SEGUIMIENTO",IF(AND(OR(O121&gt;0,R121&gt;0),AND(CU121&gt;1,CU121&lt;=70),AND(CV121&gt;1,CV121&lt;=40)),"HIPOTENSIÓN",IF(AND(OR(O121&lt;&gt;"",R121&lt;&gt;""),CS121&lt;&gt;"",CV121&lt;&gt;"",CS121&gt;CV121),"APARENTEMENTE NORMAL",IF(AND(OR(O121&gt;0,R121&gt;0),AND(CU121&gt;=80,CU121&lt;=120)),"APARENTEMENTE NORMAL",IF(AND(OR(O121&gt;0,R121&gt;0),AND(CV121&gt;=50,CV121&lt;=80)),"APARENTEMENTE NORMAL","")))))))))))))</f>
        <v xml:space="preserve">COMPLETE REGISTRO TA CONTROL SEM 20 A26 </v>
      </c>
      <c r="CX121" s="21"/>
      <c r="CY121" s="21"/>
      <c r="CZ121" s="216" t="str">
        <f t="shared" si="457"/>
        <v/>
      </c>
      <c r="DA121" s="21"/>
      <c r="DB121" s="21"/>
      <c r="DC121" s="217" t="str">
        <f t="shared" si="264"/>
        <v>REGISTRE DATO PRESIÓN ARTERIAL MENSUAL</v>
      </c>
      <c r="DD121" s="22">
        <v>44987</v>
      </c>
      <c r="DE121" s="22">
        <v>44987</v>
      </c>
      <c r="DF121" s="22"/>
      <c r="DG121" s="22"/>
      <c r="DH121" s="22"/>
      <c r="DI121" s="22"/>
      <c r="DJ121" s="22"/>
      <c r="DK121" s="22"/>
      <c r="DL121" s="22"/>
      <c r="DM121" s="22"/>
      <c r="DN121" s="22"/>
      <c r="DO121" s="22"/>
      <c r="DP121" s="22"/>
      <c r="DQ121" s="22"/>
      <c r="DR121" s="28"/>
      <c r="DS121" s="22"/>
      <c r="DT121" s="22"/>
      <c r="DU121" s="216" t="str">
        <f t="shared" ca="1" si="439"/>
        <v>CONCERTAR PLAN DE PARTO INMEDIATO</v>
      </c>
      <c r="DV121" s="226" t="str">
        <f t="shared" si="440"/>
        <v>ACTIVA INGRESO A CPN</v>
      </c>
      <c r="DW12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21" s="216" t="e">
        <f t="shared" ca="1" si="266"/>
        <v>#REF!</v>
      </c>
      <c r="DY121" s="212">
        <f>IF(R121="","",IF(R121&gt;0,MAX(Tabla1[[#This Row],[FECHA C2]:[FECHA C13]],Tabla1[[#This Row],[FECHA CONSULTA PRIMERA VEZ PROGRAMA CPN ]])))</f>
        <v>44987</v>
      </c>
      <c r="DZ121" s="216">
        <f t="shared" si="267"/>
        <v>12</v>
      </c>
      <c r="EA121" s="222">
        <f>IF(R121&gt;0,SUM(COUNTA(DF121:DQ121)+COUNTA(Tabla1[[#This Row],[FECHA CONSULTA PRIMERA VEZ PROGRAMA CPN ]])),"")</f>
        <v>1</v>
      </c>
      <c r="EB121" s="222" t="str">
        <f t="shared" si="268"/>
        <v>NO</v>
      </c>
      <c r="EC121" s="214">
        <f t="shared" si="269"/>
        <v>8</v>
      </c>
      <c r="ED121" s="227">
        <f t="shared" si="270"/>
        <v>0.125</v>
      </c>
      <c r="EE121" s="22"/>
      <c r="EF121" s="22"/>
      <c r="EG121" s="22">
        <v>44987</v>
      </c>
      <c r="EH121" s="22"/>
      <c r="EI121" s="22">
        <v>44987</v>
      </c>
      <c r="EJ121" s="22"/>
      <c r="EK121" s="22"/>
      <c r="EL121" s="21"/>
      <c r="EM121" s="21">
        <v>13</v>
      </c>
      <c r="EN121" s="22">
        <v>44987</v>
      </c>
      <c r="EO121" s="222">
        <f t="shared" si="271"/>
        <v>12.457142857142442</v>
      </c>
      <c r="EP121" s="214" t="str">
        <f t="shared" si="272"/>
        <v>NORMAL- SUMINISTRAR SULFATO FERROSO</v>
      </c>
      <c r="EQ121" s="216" t="str">
        <f t="shared" si="273"/>
        <v>I TRIM</v>
      </c>
      <c r="ER121" s="24"/>
      <c r="ES121" s="22"/>
      <c r="ET121" s="29" t="str">
        <f t="shared" ca="1" si="441"/>
        <v>TOMA DE HEMOGLOBINA TARDÍA</v>
      </c>
      <c r="EU121" s="25" t="str">
        <f t="shared" si="275"/>
        <v/>
      </c>
      <c r="EV121" s="24" t="s">
        <v>866</v>
      </c>
      <c r="EW121" s="24">
        <v>44987</v>
      </c>
      <c r="EX121" s="22"/>
      <c r="EY121" s="29">
        <f t="shared" si="454"/>
        <v>12.457142857142442</v>
      </c>
      <c r="EZ121" s="25" t="str">
        <f t="shared" ca="1" si="455"/>
        <v/>
      </c>
      <c r="FA121" s="21">
        <v>82</v>
      </c>
      <c r="FB121" s="22">
        <v>44987</v>
      </c>
      <c r="FC121" s="29">
        <f t="shared" si="276"/>
        <v>12.457142857142442</v>
      </c>
      <c r="FD121" s="29"/>
      <c r="FE121" s="29"/>
      <c r="FF121" s="29"/>
      <c r="FG121" s="21" t="str">
        <f t="shared" ca="1" si="277"/>
        <v/>
      </c>
      <c r="FH121" s="31"/>
      <c r="FI121" s="29" t="str">
        <f t="shared" si="278"/>
        <v>TOMAR EXAMEN</v>
      </c>
      <c r="FJ121" s="22" t="s">
        <v>867</v>
      </c>
      <c r="FK121" s="22">
        <v>44987</v>
      </c>
      <c r="FL121" s="29">
        <f t="shared" ca="1" si="279"/>
        <v>12.457142857142442</v>
      </c>
      <c r="FM121" s="22"/>
      <c r="FN121" s="32"/>
      <c r="FO121" s="29" t="str">
        <f t="shared" ca="1" si="442"/>
        <v>PIERDE TOMA DE TAMIZAJE</v>
      </c>
      <c r="FP121" s="22"/>
      <c r="FQ121" s="32"/>
      <c r="FR121" s="29" t="str">
        <f t="shared" ca="1" si="443"/>
        <v>TOMA INMEDIATA DE TAMIZAJE</v>
      </c>
      <c r="FS121" s="22"/>
      <c r="FT121" s="32"/>
      <c r="FU121" s="29" t="str">
        <f>IF(AND(FJ121="",FM121="",FP121="",FS121=""),"",IF(OR(OR(Tabla1[[#This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21" s="28"/>
      <c r="FW121" s="22"/>
      <c r="FX121" s="29" t="str">
        <f t="shared" si="280"/>
        <v>TOMAR EXAMEN</v>
      </c>
      <c r="FY121" s="22">
        <v>44987</v>
      </c>
      <c r="FZ121" s="22">
        <v>44987</v>
      </c>
      <c r="GA121" s="29">
        <f t="shared" ca="1" si="453"/>
        <v>12.457142857142442</v>
      </c>
      <c r="GB121" s="22"/>
      <c r="GC121" s="22"/>
      <c r="GD121" s="29" t="str">
        <f t="shared" ca="1" si="491"/>
        <v>PIERDE TOMA DE TAMIZAJE</v>
      </c>
      <c r="GE121" s="22"/>
      <c r="GF121" s="22"/>
      <c r="GG121" s="29" t="str">
        <f t="shared" ca="1" si="445"/>
        <v>TOMA INMEDIATA DE TAMIZAJE</v>
      </c>
      <c r="GH121" s="22"/>
      <c r="GI121" s="29"/>
      <c r="GJ121" s="22"/>
      <c r="GK121" s="22"/>
      <c r="GL121" s="22"/>
      <c r="GM121" s="22"/>
      <c r="GN121" s="28" t="s">
        <v>869</v>
      </c>
      <c r="GO121" s="22">
        <v>44987</v>
      </c>
      <c r="GP121" s="29">
        <f t="shared" si="283"/>
        <v>12.457142857142442</v>
      </c>
      <c r="GQ121" s="28" t="s">
        <v>869</v>
      </c>
      <c r="GR121" s="28" t="s">
        <v>869</v>
      </c>
      <c r="GS121" s="22" t="str">
        <f t="shared" si="458"/>
        <v>CONTROL Igm</v>
      </c>
      <c r="GT121" s="22">
        <v>44987</v>
      </c>
      <c r="GU121" s="29">
        <f t="shared" si="285"/>
        <v>13.428571428571429</v>
      </c>
      <c r="GV121" s="21" t="str">
        <f t="shared" si="286"/>
        <v>II TRIM</v>
      </c>
      <c r="GW121" s="28" t="s">
        <v>869</v>
      </c>
      <c r="GX121" s="30"/>
      <c r="GY121" s="21"/>
      <c r="GZ121" s="21"/>
      <c r="HA121" s="21"/>
      <c r="HB121" s="21"/>
      <c r="HC121" s="21"/>
      <c r="HD121" s="21"/>
      <c r="HE121" s="21"/>
      <c r="HF121" s="22"/>
      <c r="HG121" s="22" t="str">
        <f>IF(OR(O121&gt;0,R121&gt;0),CONCATENATE(IF(Tabla1[[#This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21" s="22" t="e">
        <f t="shared" si="287"/>
        <v>#REF!</v>
      </c>
      <c r="HI121" s="22" t="e">
        <f t="shared" ca="1" si="288"/>
        <v>#REF!</v>
      </c>
      <c r="HJ121" s="21" t="str">
        <f t="shared" ca="1" si="289"/>
        <v>**********************MULTIPARIDAD*****************</v>
      </c>
      <c r="HK121" s="21" t="str">
        <f t="shared" si="290"/>
        <v>SIN ANTECEDENTES DE RIESGO</v>
      </c>
      <c r="HL121" s="24" t="str">
        <f t="shared" si="291"/>
        <v>REGISTRE DATO PRESIÓN ARTERIAL MENSUAL</v>
      </c>
      <c r="HM121" s="21" t="e">
        <f t="shared" ca="1" si="292"/>
        <v>#REF!</v>
      </c>
      <c r="HN121" s="30" t="str">
        <f t="shared" si="446"/>
        <v>ACTIVA INGRESO A CPN</v>
      </c>
      <c r="HO121" s="21"/>
      <c r="HP121" s="21"/>
      <c r="HQ121" s="21"/>
      <c r="HR121" s="21" t="str">
        <f>IF(R121="","",IF(Tabla1[[#This Row],[ALARMA FACTORES DE RIESGO COMPLICACIONES HIPERTENSIVAS3]]="SIN ANTECEDENTES DE RIESGO","No Aplica para suministro de ASA",IF(AND(Tabla1[[#This Row],[FECHA INICIO DE SUMINISTRO DE ASA]]&gt;0,RV121&lt;12),"Inicia ASA ANTES de Sem 12",IF(AND(RV121&gt;11,RV121&lt;17,OR(HK121="RIESGO ALTO DE COMPLICACIONES HIPERTENSIVAS VER MANEJO GUIA SUMINISTRO ASA Y CALCIO",HK121="RIESGO MODERADO (2 O MAS CRITERIOS) VER MANEJO GUIA SUMINISTRO ASA Y CALCIO")),"Inicio oportuno de ASA",IF(AND(RV121&gt;12,OR(HK121="RIESGO ALTO DE COMPLICACIONES HIPERTENSIVAS VER MANEJO GUIA SUMINISTRO ASA Y CALCIO",HK121="RIESGO MODERADO (2 O MAS CRITERIOS) VER MANEJO GUIA SUMINISTRO ASA Y CALCIO")),"Inicio no oportuno mayor a 16 semanas",IF(AND(BU121&lt;12,OR(HK121="RIESGO ALTO DE COMPLICACIONES HIPERTENSIVAS VER MANEJO GUIA SUMINISTRO ASA Y CALCIO",HK121="RIESGO MODERADO (2 O MAS CRITERIOS) VER MANEJO GUIA SUMINISTRO ASA Y CALCIO")),"Pendiente Inicio de ASA a la semana 12",IF(AND(BU121&gt;11,BU121&lt;17,OR(HK121="RIESGO ALTO DE COMPLICACIONES HIPERTENSIVAS VER MANEJO GUIA SUMINISTRO ASA Y CALCIO",HK121="RIESGO MODERADO (2 O MAS CRITERIOS) VER MANEJO GUIA SUMINISTRO ASA Y CALCIO")),"Iniciar de inmediato ASA",IF(AND(BU121&gt;16,OR(HK121="RIESGO ALTO DE COMPLICACIONES HIPERTENSIVAS VER MANEJO GUIA SUMINISTRO ASA Y CALCIO",HK121="RIESGO MODERADO (2 O MAS CRITERIOS) VER MANEJO GUIA SUMINISTRO ASA Y CALCIO")),"Pierde Oportunidad, Inicio tardío de ASA","XXXXX"))))))))</f>
        <v>No Aplica para suministro de ASA</v>
      </c>
      <c r="HS121" s="22"/>
      <c r="HT121" s="22"/>
      <c r="HU121" s="22">
        <v>44987</v>
      </c>
      <c r="HV121" s="22" t="s">
        <v>870</v>
      </c>
      <c r="HW121" s="22">
        <v>44987</v>
      </c>
      <c r="HX121" s="22" t="s">
        <v>870</v>
      </c>
      <c r="HY121" s="22">
        <v>44987</v>
      </c>
      <c r="HZ121" s="28">
        <f t="shared" si="293"/>
        <v>12.457142857142442</v>
      </c>
      <c r="IA121" s="26"/>
      <c r="IB121" s="26"/>
      <c r="IC121" s="111"/>
      <c r="ID121" s="22"/>
      <c r="IE121" s="22" t="str">
        <f t="shared" ca="1" si="294"/>
        <v/>
      </c>
      <c r="IF121" s="22"/>
      <c r="IG121" s="22">
        <f t="shared" si="295"/>
        <v>45179.8</v>
      </c>
      <c r="IH121" s="29">
        <f t="shared" ca="1" si="296"/>
        <v>-52.19999999999709</v>
      </c>
      <c r="II121" s="22" t="str">
        <f t="shared" ca="1" si="297"/>
        <v>POSIBLEMENTE NACIO</v>
      </c>
      <c r="IJ121" s="22"/>
      <c r="IK121" s="21"/>
      <c r="IL121" s="21"/>
      <c r="IM121" s="34"/>
      <c r="IN121" s="349"/>
      <c r="IO121" s="21"/>
      <c r="IP121" s="29" t="str">
        <f t="shared" si="490"/>
        <v/>
      </c>
      <c r="IQ121" s="35"/>
      <c r="IR121" s="21"/>
      <c r="IS121" s="21"/>
      <c r="IT121" s="21"/>
      <c r="IU121" s="21"/>
      <c r="IV121" s="21"/>
      <c r="IW121" s="21"/>
      <c r="IX121" s="21"/>
      <c r="IY121" s="21"/>
      <c r="IZ121" s="21"/>
      <c r="JA121" s="21"/>
      <c r="JB121" s="30"/>
      <c r="JC121" s="21"/>
      <c r="JD121" s="36"/>
      <c r="JE121" s="21" t="str">
        <f t="shared" si="492"/>
        <v/>
      </c>
      <c r="JF121" s="30"/>
      <c r="JG121" s="21"/>
      <c r="JH121" s="21"/>
      <c r="JI121" s="21"/>
      <c r="JJ121" s="30"/>
      <c r="JK121" s="22"/>
      <c r="JL121" s="22"/>
      <c r="JM121" s="21"/>
      <c r="JN121" s="36"/>
      <c r="JO121" s="21" t="str">
        <f t="shared" si="493"/>
        <v/>
      </c>
      <c r="JP121" s="22"/>
      <c r="JQ121" s="21"/>
      <c r="JR121" s="21"/>
      <c r="JS121" s="21"/>
      <c r="JT121" s="30"/>
      <c r="JU121" s="22"/>
      <c r="JV121" s="22"/>
      <c r="JW121" s="33"/>
      <c r="JX121" s="28" t="str">
        <f t="shared" si="494"/>
        <v/>
      </c>
      <c r="JY121" s="33"/>
      <c r="JZ121" s="28" t="str">
        <f t="shared" si="495"/>
        <v/>
      </c>
      <c r="KA121" s="21"/>
      <c r="KB121" s="21"/>
      <c r="KC121" s="21"/>
      <c r="KD121" s="37"/>
      <c r="KE121" s="28"/>
      <c r="KF121" s="28"/>
      <c r="KG121" s="28"/>
      <c r="KH121" s="39"/>
      <c r="KI121" s="39"/>
      <c r="KJ121" s="66"/>
      <c r="KK121" s="39"/>
      <c r="KL121" s="39"/>
      <c r="KM121" s="66"/>
      <c r="KN121" s="39"/>
      <c r="KO121" s="39"/>
      <c r="KP121" s="39"/>
      <c r="KQ121" s="39"/>
      <c r="KR121" s="39"/>
      <c r="KS121" s="39"/>
      <c r="KT121" s="39"/>
      <c r="KU121" s="38"/>
      <c r="KV121" s="38"/>
      <c r="KW121" s="38"/>
      <c r="KX121" s="38"/>
      <c r="KY121" s="38"/>
      <c r="KZ121" s="38"/>
      <c r="LA121" s="38"/>
      <c r="LB121" s="38"/>
      <c r="LC121" s="38"/>
      <c r="LD121" s="38"/>
      <c r="LE121" s="38"/>
      <c r="LF121" s="38"/>
      <c r="LG121" s="38"/>
      <c r="LH121" s="38"/>
      <c r="LI121" s="38"/>
      <c r="LJ121" s="38"/>
      <c r="LK121" s="38"/>
      <c r="LL121" s="38"/>
      <c r="LM121" s="38"/>
      <c r="LN121" s="38"/>
      <c r="LO121" s="38"/>
      <c r="LP121" s="38"/>
      <c r="LQ121" s="38"/>
      <c r="LR121" s="38"/>
      <c r="LS121" s="38"/>
      <c r="LT121" s="38"/>
      <c r="LU121" s="38"/>
      <c r="LV121" s="38"/>
      <c r="LW121" s="38"/>
      <c r="LX121" s="38"/>
      <c r="LY121" s="38"/>
      <c r="LZ121" s="38"/>
      <c r="MA121" s="38"/>
      <c r="MB121" s="38"/>
      <c r="MC121" s="38"/>
      <c r="MD121" s="38"/>
      <c r="ME121" s="38"/>
      <c r="MF121" s="38"/>
      <c r="MG121" s="38"/>
      <c r="MH121" s="43">
        <f t="shared" si="459"/>
        <v>0</v>
      </c>
      <c r="MI121" s="43" t="str">
        <f t="shared" si="460"/>
        <v/>
      </c>
      <c r="MJ121" s="43" t="str">
        <f t="shared" si="461"/>
        <v/>
      </c>
      <c r="MK121" s="43">
        <f t="shared" si="462"/>
        <v>0</v>
      </c>
      <c r="ML12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21" s="43">
        <f t="shared" si="463"/>
        <v>12.457142857142442</v>
      </c>
      <c r="MN121" s="43">
        <f t="shared" si="464"/>
        <v>3</v>
      </c>
      <c r="MO121" s="43">
        <f t="shared" si="465"/>
        <v>2023</v>
      </c>
      <c r="MP121" s="43" t="str">
        <f t="shared" si="466"/>
        <v>I TRIMESTRE AÑO</v>
      </c>
      <c r="MQ121" s="43">
        <f t="shared" si="467"/>
        <v>17.066360052562416</v>
      </c>
      <c r="MR121" s="43">
        <f t="shared" si="468"/>
        <v>0</v>
      </c>
      <c r="MS121" s="43" t="str">
        <f t="shared" si="469"/>
        <v>DE 14 A 19AÑOS</v>
      </c>
      <c r="MT121" s="43">
        <f t="shared" si="470"/>
        <v>0</v>
      </c>
      <c r="MU121" s="43">
        <f t="shared" si="471"/>
        <v>1</v>
      </c>
      <c r="MV121" s="43">
        <f t="shared" si="472"/>
        <v>0</v>
      </c>
      <c r="MW121" s="43">
        <f t="shared" si="473"/>
        <v>0</v>
      </c>
      <c r="MX121" s="43" t="str">
        <f t="shared" si="474"/>
        <v/>
      </c>
      <c r="MY121" s="43" t="str">
        <f t="shared" ca="1" si="496"/>
        <v/>
      </c>
      <c r="MZ121" s="43" t="str">
        <f t="shared" si="475"/>
        <v/>
      </c>
      <c r="NA121" s="43" t="str">
        <f t="shared" si="476"/>
        <v/>
      </c>
      <c r="NB121" s="43" t="str">
        <f t="shared" si="477"/>
        <v/>
      </c>
      <c r="NC121" s="43" t="str">
        <f t="shared" si="478"/>
        <v/>
      </c>
      <c r="ND121" s="43">
        <f t="shared" ca="1" si="479"/>
        <v>1</v>
      </c>
      <c r="NE121" s="43">
        <f>IF(OR(O121&gt;0,R121&gt;0),SUM(COUNTIF(Tabla1[[#This Row],[AÑOS AL INICIO5 CPN]],"&gt;=40"),COUNTIF(AS121,"0"),COUNTIF(AR121,"SI"),COUNTIF(CC121,"SI"),COUNTIF(BQ121,"&gt;119"),COUNTIF(CI121,"&gt;=35")),"")</f>
        <v>1</v>
      </c>
      <c r="NF121" s="43" t="str">
        <f t="shared" si="480"/>
        <v/>
      </c>
      <c r="NG121" s="43">
        <f t="shared" si="481"/>
        <v>0</v>
      </c>
      <c r="NH121" s="43">
        <f t="shared" si="482"/>
        <v>95.2</v>
      </c>
      <c r="NI12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CPN",P121="NO"),"Z",IF(AND(Tabla1[[#This Row],[CITA PROXIMO CONTROL]]="CITA MANUAL",Tabla1[[#This Row],[GESTANTES ACTUALES]]="ACTIVA INGRESO A CPN"),"W",IF(AND(Tabla1[[#This Row],[GESTANTES ACTUALES]]="SALIO PROGRAMA",IN121=""),"S",IF(AND(Tabla1[[#This Row],[CITA PROXIMO CONTROL]]&gt;0,IN121=""),(Tabla1[[#This Row],[CITA PROXIMO CONTROL]]-TODAY()),"SD"))))))))</f>
        <v>#REF!</v>
      </c>
      <c r="NJ121" s="43">
        <f>MONTH(Tabla1[[#This Row],[FECHA DE SALIDA  DEL PROGRAMA]])</f>
        <v>1</v>
      </c>
      <c r="NK121" s="43">
        <f>YEAR(Tabla1[[#This Row],[FECHA DE SALIDA  DEL PROGRAMA]])</f>
        <v>1900</v>
      </c>
      <c r="NL121" s="43" t="str">
        <f t="shared" si="483"/>
        <v>X</v>
      </c>
      <c r="NM121" s="43" t="str">
        <f t="shared" si="456"/>
        <v>NO</v>
      </c>
      <c r="NN121" s="43" t="str">
        <f ca="1">IF(AND(O121&gt;0,R121=""),"NO CPN",IF(AND(O121="",R121=""),"",IF(AND(R121&gt;0,Tabla1[[#This Row],[SEMANAS DE GESTACION ACTUALIZADAS]]&lt;=12),"NO APLICA",IF(AND(FH121&lt;&gt;"",FN121&lt;&gt;""),"SI","NO"))))</f>
        <v>NO</v>
      </c>
      <c r="NO121" s="43" t="str">
        <f ca="1">IF(AND(O121&gt;0,R121=""),"NO CPN",IF(AND(O121="",R121=""),"",IF(AND(R121&gt;0,Tabla1[[#This Row],[SEMANAS DE GESTACION ACTUALIZADAS]]&lt;=27),"NO APLICA",IF(AND(ES121&lt;&gt;"",FQ121&lt;&gt;"",GF121&lt;&gt;""),"SI","NO"))))</f>
        <v>NO</v>
      </c>
      <c r="NP121" s="204" t="str">
        <f t="shared" si="484"/>
        <v>II TRIM</v>
      </c>
      <c r="NQ121" s="21" t="str">
        <f t="shared" si="437"/>
        <v/>
      </c>
      <c r="NR121" s="21" t="str">
        <f t="shared" ca="1" si="497"/>
        <v>REVISAR FUM O FECHA SALIDA PROGRAMA</v>
      </c>
      <c r="NS121" s="205">
        <f t="shared" ca="1" si="485"/>
        <v>1</v>
      </c>
      <c r="NT121" s="21">
        <f t="shared" ca="1" si="486"/>
        <v>1</v>
      </c>
      <c r="NU121" s="21" t="str">
        <f t="shared" ca="1" si="487"/>
        <v>POR DEFINIR</v>
      </c>
      <c r="NV121" s="21" t="str">
        <f t="shared" ca="1" si="488"/>
        <v>POR DEFINIR</v>
      </c>
      <c r="NW121" s="206" t="str">
        <f>IF(AND(O121="",R121=""),"",IF(OR(AND(Tabla1[[#This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21" s="207" t="str">
        <f t="shared" ca="1" si="489"/>
        <v>SIN VACUNAR</v>
      </c>
      <c r="NY121" s="43">
        <f>ROW(Tabla1[[#This Row],['# DE TAMIZAJES SIFILIS TOMADOS ]])</f>
        <v>121</v>
      </c>
      <c r="NZ121" s="43">
        <f t="shared" si="334"/>
        <v>12</v>
      </c>
      <c r="OA121" s="43" t="str">
        <f t="shared" si="335"/>
        <v/>
      </c>
      <c r="OB121" s="43" t="str">
        <f t="shared" si="336"/>
        <v/>
      </c>
      <c r="OC121" s="43" t="str">
        <f t="shared" si="337"/>
        <v/>
      </c>
      <c r="OD121" s="43" t="str">
        <f t="shared" si="338"/>
        <v>NORMAL</v>
      </c>
      <c r="OE121" s="43" t="str">
        <f t="shared" si="339"/>
        <v/>
      </c>
      <c r="OF121" s="43" t="str">
        <f t="shared" si="340"/>
        <v/>
      </c>
      <c r="OG121" s="43" t="str">
        <f t="shared" si="341"/>
        <v/>
      </c>
      <c r="OH121" s="43" t="str">
        <f t="shared" si="342"/>
        <v/>
      </c>
      <c r="OI121" s="43" t="str">
        <f t="shared" si="343"/>
        <v/>
      </c>
      <c r="OJ121" s="43" t="str">
        <f t="shared" si="344"/>
        <v/>
      </c>
      <c r="OK121" s="43" t="str">
        <f t="shared" si="345"/>
        <v/>
      </c>
      <c r="OL121" s="43" t="str">
        <f t="shared" si="346"/>
        <v/>
      </c>
      <c r="OM121" s="43" t="str">
        <f t="shared" si="347"/>
        <v/>
      </c>
      <c r="ON121" s="43" t="str">
        <f t="shared" si="348"/>
        <v/>
      </c>
      <c r="OO121" s="43" t="str">
        <f t="shared" si="349"/>
        <v/>
      </c>
      <c r="OP121" s="43" t="str">
        <f t="shared" si="350"/>
        <v/>
      </c>
      <c r="OQ121" s="43" t="str">
        <f t="shared" si="351"/>
        <v/>
      </c>
      <c r="OR121" s="43" t="str">
        <f t="shared" si="352"/>
        <v/>
      </c>
      <c r="OS121" s="43" t="str">
        <f t="shared" si="353"/>
        <v/>
      </c>
      <c r="OT121" s="43" t="str">
        <f t="shared" si="354"/>
        <v/>
      </c>
      <c r="OU121" s="43" t="str">
        <f t="shared" si="355"/>
        <v/>
      </c>
      <c r="OV121" s="110" t="str">
        <f t="shared" si="356"/>
        <v/>
      </c>
      <c r="OW121" s="43" t="str">
        <f t="shared" si="357"/>
        <v/>
      </c>
      <c r="OX121" s="43" t="str">
        <f t="shared" si="358"/>
        <v/>
      </c>
      <c r="OY121" s="43" t="str">
        <f t="shared" si="359"/>
        <v/>
      </c>
      <c r="OZ121" s="43" t="str">
        <f t="shared" si="360"/>
        <v/>
      </c>
      <c r="PA121" s="43" t="str">
        <f t="shared" si="361"/>
        <v/>
      </c>
      <c r="PB121" s="43" t="str">
        <f t="shared" si="362"/>
        <v/>
      </c>
      <c r="PC121" s="43" t="str">
        <f t="shared" si="363"/>
        <v/>
      </c>
      <c r="PD121" s="43" t="str">
        <f t="shared" si="364"/>
        <v/>
      </c>
      <c r="PE121" s="43" t="str">
        <f t="shared" si="365"/>
        <v/>
      </c>
      <c r="PF121" s="43" t="str">
        <f t="shared" si="366"/>
        <v/>
      </c>
      <c r="PG121" s="43" t="str">
        <f t="shared" si="367"/>
        <v/>
      </c>
      <c r="PH121" s="43" t="str">
        <f t="shared" si="368"/>
        <v/>
      </c>
      <c r="PI121" s="43">
        <f t="shared" si="369"/>
        <v>12</v>
      </c>
      <c r="PJ121" s="43" t="str">
        <f t="shared" si="370"/>
        <v/>
      </c>
      <c r="PK121" s="43" t="str">
        <f t="shared" si="371"/>
        <v/>
      </c>
      <c r="PL121" s="43" t="str">
        <f t="shared" si="372"/>
        <v/>
      </c>
      <c r="PM121" s="43" t="str">
        <f t="shared" si="373"/>
        <v>NORMAL</v>
      </c>
      <c r="PN121" s="43" t="str">
        <f t="shared" si="374"/>
        <v/>
      </c>
      <c r="PO121" s="43" t="str">
        <f t="shared" si="375"/>
        <v/>
      </c>
      <c r="PP121" s="43" t="str">
        <f t="shared" si="376"/>
        <v/>
      </c>
      <c r="PQ121" s="43" t="str">
        <f t="shared" si="377"/>
        <v/>
      </c>
      <c r="PR121" s="43" t="str">
        <f t="shared" si="378"/>
        <v/>
      </c>
      <c r="PS121" s="43" t="str">
        <f t="shared" si="379"/>
        <v/>
      </c>
      <c r="PT121" s="43" t="str">
        <f t="shared" si="380"/>
        <v/>
      </c>
      <c r="PU121" s="43" t="str">
        <f t="shared" si="381"/>
        <v/>
      </c>
      <c r="PV121" s="43" t="str">
        <f t="shared" si="382"/>
        <v/>
      </c>
      <c r="PW121" s="43" t="str">
        <f t="shared" si="383"/>
        <v/>
      </c>
      <c r="PX121" s="43" t="str">
        <f t="shared" si="384"/>
        <v/>
      </c>
      <c r="PY121" s="43" t="str">
        <f t="shared" si="385"/>
        <v/>
      </c>
      <c r="PZ121" s="43" t="str">
        <f t="shared" si="386"/>
        <v/>
      </c>
      <c r="QA121" s="43" t="str">
        <f t="shared" si="387"/>
        <v/>
      </c>
      <c r="QB121" s="43" t="str">
        <f t="shared" si="388"/>
        <v/>
      </c>
      <c r="QC121" s="43" t="str">
        <f t="shared" si="389"/>
        <v/>
      </c>
      <c r="QD121" s="43" t="str">
        <f t="shared" si="390"/>
        <v/>
      </c>
      <c r="QE121" s="43" t="str">
        <f t="shared" si="391"/>
        <v/>
      </c>
      <c r="QF121" s="43" t="str">
        <f t="shared" si="392"/>
        <v/>
      </c>
      <c r="QG121" s="43" t="str">
        <f t="shared" si="393"/>
        <v/>
      </c>
      <c r="QH121" s="43" t="str">
        <f t="shared" si="394"/>
        <v/>
      </c>
      <c r="QI121" s="43" t="str">
        <f t="shared" si="395"/>
        <v/>
      </c>
      <c r="QJ121" s="43" t="str">
        <f t="shared" si="396"/>
        <v/>
      </c>
      <c r="QK121" s="43" t="str">
        <f t="shared" si="397"/>
        <v/>
      </c>
      <c r="QL121" s="43" t="str">
        <f t="shared" si="398"/>
        <v/>
      </c>
      <c r="QM121" s="43" t="str">
        <f t="shared" si="399"/>
        <v/>
      </c>
      <c r="QN121" s="43" t="str">
        <f t="shared" si="400"/>
        <v/>
      </c>
      <c r="QO121" s="43" t="str">
        <f t="shared" si="401"/>
        <v/>
      </c>
      <c r="QP121" s="43" t="str">
        <f t="shared" si="402"/>
        <v/>
      </c>
      <c r="QQ121" s="43" t="str">
        <f t="shared" si="403"/>
        <v/>
      </c>
      <c r="QR121" s="43" t="str">
        <f t="shared" si="433"/>
        <v>Menor</v>
      </c>
      <c r="QS121" s="43"/>
      <c r="QT121" s="21" t="str">
        <f t="shared" si="404"/>
        <v/>
      </c>
      <c r="QU121" s="21" t="str">
        <f t="shared" si="405"/>
        <v/>
      </c>
      <c r="QV121" s="21" t="str">
        <f t="shared" si="406"/>
        <v/>
      </c>
      <c r="QW121" s="21" t="str">
        <f t="shared" si="407"/>
        <v/>
      </c>
      <c r="QX121" s="21" t="str">
        <f t="shared" si="408"/>
        <v/>
      </c>
      <c r="QY121" s="21" t="str">
        <f t="shared" si="409"/>
        <v/>
      </c>
      <c r="QZ121" s="21" t="str">
        <f t="shared" si="410"/>
        <v/>
      </c>
      <c r="RA121" s="21" t="str">
        <f t="shared" si="411"/>
        <v/>
      </c>
      <c r="RB121" s="21" t="str">
        <f t="shared" si="412"/>
        <v/>
      </c>
      <c r="RC121" s="21" t="str">
        <f t="shared" si="413"/>
        <v/>
      </c>
      <c r="RD121" s="21" t="str">
        <f t="shared" si="414"/>
        <v/>
      </c>
      <c r="RE121" s="21" t="str">
        <f t="shared" si="415"/>
        <v/>
      </c>
      <c r="RF121" s="21" t="str">
        <f t="shared" si="416"/>
        <v/>
      </c>
      <c r="RG121" s="21" t="str">
        <f t="shared" si="417"/>
        <v/>
      </c>
      <c r="RH121" s="21" t="str">
        <f t="shared" si="418"/>
        <v/>
      </c>
      <c r="RI121" s="21" t="str">
        <f t="shared" si="419"/>
        <v/>
      </c>
      <c r="RJ121" s="21" t="str">
        <f t="shared" si="420"/>
        <v/>
      </c>
      <c r="RK121" s="21" t="str">
        <f t="shared" si="421"/>
        <v/>
      </c>
      <c r="RL121" s="21" t="str">
        <f t="shared" si="422"/>
        <v/>
      </c>
      <c r="RM121" s="21" t="str">
        <f t="shared" si="423"/>
        <v/>
      </c>
      <c r="RN121" s="21" t="str">
        <f t="shared" si="424"/>
        <v/>
      </c>
      <c r="RO121" s="21" t="str">
        <f t="shared" si="425"/>
        <v/>
      </c>
      <c r="RP121" s="21" t="str">
        <f t="shared" si="426"/>
        <v/>
      </c>
      <c r="RQ121" s="21" t="str">
        <f t="shared" si="427"/>
        <v/>
      </c>
      <c r="RR121" s="21" t="str">
        <f t="shared" si="428"/>
        <v/>
      </c>
      <c r="RS121" s="21" t="str">
        <f t="shared" si="429"/>
        <v/>
      </c>
      <c r="RT121" s="21" t="str">
        <f t="shared" si="430"/>
        <v/>
      </c>
      <c r="RU121" s="21" t="str">
        <f t="shared" si="431"/>
        <v/>
      </c>
      <c r="RV121" s="21">
        <f t="shared" si="432"/>
        <v>-1</v>
      </c>
      <c r="RW121" s="284">
        <f>IF(OR(Tabla1[[#This Row],[FUM FORMULA CONFIABLE]]="",Tabla1[[#This Row],[FUM FORMULA CONFIABLE]]="SD"),"",IF(Tabla1[[#This Row],[FUM FORMULA CONFIABLE]]="CORREGIDA",Tabla1[[#This Row],[FUM X ECO 1]],Tabla1[[#This Row],[FUM x AMENORREA]]))</f>
        <v>44899.8</v>
      </c>
      <c r="RX121" s="21">
        <f>IF(AND(Tabla1[[#This Row],[FUM X ECO 1]]="",Tabla1[[#This Row],[FUM x AMENORREA]]=""),"",IF(AND(Tabla1[[#This Row],[FUM X ECO 1]]="",Tabla1[[#This Row],[FUM x AMENORREA]]&lt;&gt;""),"X",SUM(Tabla1[[#This Row],[FUM X ECO 1]]-Tabla1[[#This Row],[FUM x AMENORREA]])))</f>
        <v>6.8000000000029104</v>
      </c>
      <c r="RY121" s="21">
        <f t="shared" si="434"/>
        <v>1</v>
      </c>
    </row>
    <row r="122" spans="1:493" ht="45" customHeight="1" x14ac:dyDescent="0.25">
      <c r="A122" s="109"/>
      <c r="B122" s="43"/>
      <c r="C122" s="43" t="s">
        <v>845</v>
      </c>
      <c r="D122" s="124"/>
      <c r="E122" s="43" t="s">
        <v>1360</v>
      </c>
      <c r="F122" s="43" t="s">
        <v>1361</v>
      </c>
      <c r="G122" s="43" t="s">
        <v>938</v>
      </c>
      <c r="H122" s="43" t="s">
        <v>1362</v>
      </c>
      <c r="I122" s="109" t="s">
        <v>851</v>
      </c>
      <c r="J122" s="110" t="s">
        <v>1363</v>
      </c>
      <c r="K122" s="43" t="s">
        <v>852</v>
      </c>
      <c r="L122" s="175" t="s">
        <v>1509</v>
      </c>
      <c r="M122" s="22">
        <v>38336</v>
      </c>
      <c r="N122" s="213">
        <f t="shared" ca="1" si="252"/>
        <v>18.893150684931506</v>
      </c>
      <c r="O122" s="22">
        <v>44988</v>
      </c>
      <c r="P122" s="214" t="str">
        <f t="shared" si="438"/>
        <v>SI</v>
      </c>
      <c r="Q122" s="26" t="s">
        <v>855</v>
      </c>
      <c r="R122" s="22">
        <v>44988</v>
      </c>
      <c r="S122" s="21" t="s">
        <v>856</v>
      </c>
      <c r="T122" s="24" t="s">
        <v>690</v>
      </c>
      <c r="U122" s="21" t="s">
        <v>857</v>
      </c>
      <c r="V122" s="21" t="s">
        <v>858</v>
      </c>
      <c r="W122" s="21" t="s">
        <v>1259</v>
      </c>
      <c r="X122" s="21" t="s">
        <v>1259</v>
      </c>
      <c r="Y122" s="21" t="s">
        <v>859</v>
      </c>
      <c r="Z122" s="21">
        <v>3195496073</v>
      </c>
      <c r="AA122" s="21" t="s">
        <v>860</v>
      </c>
      <c r="AB122" s="27" t="s">
        <v>861</v>
      </c>
      <c r="AC122" s="26" t="s">
        <v>862</v>
      </c>
      <c r="AD122" s="38" t="s">
        <v>1546</v>
      </c>
      <c r="AE122" s="26" t="s">
        <v>854</v>
      </c>
      <c r="AF122" s="26" t="s">
        <v>854</v>
      </c>
      <c r="AG122" s="23" t="s">
        <v>864</v>
      </c>
      <c r="AH122" s="23" t="s">
        <v>864</v>
      </c>
      <c r="AI122" s="24" t="s">
        <v>863</v>
      </c>
      <c r="AJ122" s="23" t="s">
        <v>864</v>
      </c>
      <c r="AK122" s="220" t="str">
        <f>IF(AND(AD122="",AE122="",AF122="",AG122="",AH122="",AI122="",AJ122=""),"",IF(OR(Tabla1[[#This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EVALUACIÓN",IF(AND(O122="",R122=""),"",IF(AND(OR(O122&gt;0,R122&gt;0),NG122&gt;=0,NG122&lt;2),"SIN RIESGO",IF(AND(OR(O122&gt;0,R122&gt;0),NG122&gt;=2),"CON RIESGO","ASD")))))</f>
        <v>SIN RIESGO</v>
      </c>
      <c r="AL122" s="23" t="s">
        <v>864</v>
      </c>
      <c r="AM122" s="26" t="s">
        <v>864</v>
      </c>
      <c r="AN122" s="26" t="s">
        <v>864</v>
      </c>
      <c r="AO122" s="26" t="s">
        <v>864</v>
      </c>
      <c r="AP122" s="26" t="s">
        <v>864</v>
      </c>
      <c r="AQ122" s="26" t="s">
        <v>864</v>
      </c>
      <c r="AR122" s="26" t="s">
        <v>864</v>
      </c>
      <c r="AS122" s="21">
        <v>1</v>
      </c>
      <c r="AT122" s="21">
        <v>1</v>
      </c>
      <c r="AU122" s="21">
        <v>0</v>
      </c>
      <c r="AV122" s="26" t="s">
        <v>864</v>
      </c>
      <c r="AW122" s="21">
        <v>0</v>
      </c>
      <c r="AX122" s="26" t="s">
        <v>864</v>
      </c>
      <c r="AY122" s="26" t="s">
        <v>864</v>
      </c>
      <c r="AZ122" s="26" t="s">
        <v>864</v>
      </c>
      <c r="BA122" s="26" t="s">
        <v>864</v>
      </c>
      <c r="BB122" s="26" t="s">
        <v>864</v>
      </c>
      <c r="BC122" s="26" t="s">
        <v>864</v>
      </c>
      <c r="BD122" s="26" t="s">
        <v>864</v>
      </c>
      <c r="BE122" s="26" t="s">
        <v>864</v>
      </c>
      <c r="BF122" s="26" t="s">
        <v>864</v>
      </c>
      <c r="BG122" s="26" t="s">
        <v>864</v>
      </c>
      <c r="BH122" s="26" t="s">
        <v>864</v>
      </c>
      <c r="BI122" s="26" t="s">
        <v>864</v>
      </c>
      <c r="BJ122" s="26" t="s">
        <v>864</v>
      </c>
      <c r="BK122" s="26" t="s">
        <v>864</v>
      </c>
      <c r="BL122" s="26" t="s">
        <v>864</v>
      </c>
      <c r="BM122" s="26" t="s">
        <v>864</v>
      </c>
      <c r="BN122" s="22">
        <v>44411</v>
      </c>
      <c r="BO122" s="22">
        <v>44941</v>
      </c>
      <c r="BP122" s="21" t="s">
        <v>854</v>
      </c>
      <c r="BQ122" s="222">
        <f t="shared" si="254"/>
        <v>17.666666666666668</v>
      </c>
      <c r="BR122" s="223" t="str">
        <f t="shared" si="255"/>
        <v/>
      </c>
      <c r="BS122" s="224">
        <f t="shared" si="256"/>
        <v>6.7142857142857144</v>
      </c>
      <c r="BT122" s="216" t="str">
        <f t="shared" si="257"/>
        <v>I TRIM</v>
      </c>
      <c r="BU122" s="214">
        <f t="shared" ca="1" si="258"/>
        <v>41.571428571428569</v>
      </c>
      <c r="BV122" s="25"/>
      <c r="BW122" s="22"/>
      <c r="BX122" s="28"/>
      <c r="BY122" s="28"/>
      <c r="BZ122" s="22"/>
      <c r="CA122" s="21"/>
      <c r="CB122" s="26"/>
      <c r="CC122" s="26"/>
      <c r="CD122" s="26"/>
      <c r="CE122" s="26"/>
      <c r="CF122" s="22" t="s">
        <v>1517</v>
      </c>
      <c r="CG122" s="21">
        <v>1.5</v>
      </c>
      <c r="CH122" s="21">
        <v>56</v>
      </c>
      <c r="CI122" s="214">
        <f t="shared" si="259"/>
        <v>24.888888888888889</v>
      </c>
      <c r="CJ122" s="225" t="str">
        <f>IF(AND(CI122&lt;10,CH122="SD"),"SIN DATO PESO PREGESTACION O I TRIM",IF(AND(OR(R122&gt;0,O122&gt;0),CI122="X"),"INGRESAR DATO DE PESO",IF(CI122="SD","INGRESAR DATO DE TALLA Y PESO",IF(AND(OR(Tabla1[[#This Row],[MOMENTO EN QUE SE REALIZA EL PESO AL INGRESO A CPN]]="PREGESTACIÓN",NZ122="Menor"),CI122&lt;18.5),"BAJO PESO",IF(AND(OR(Tabla1[[#This Row],[MOMENTO EN QUE SE REALIZA EL PESO AL INGRESO A CPN]]="PREGESTACIÓN",NZ122="Menor"),CI122&lt;25),"NORMAL",IF(AND(OR(Tabla1[[#This Row],[MOMENTO EN QUE SE REALIZA EL PESO AL INGRESO A CPN]]="PREGESTACIÓN",NZ122="Menor"),CI122&lt;30),"SOBREPESO",IF(AND(OR(Tabla1[[#This Row],[MOMENTO EN QUE SE REALIZA EL PESO AL INGRESO A CPN]]="PREGESTACIÓN",NZ122="Menor"),CI122&gt;=30,CI122&lt;50),"OBESIDAD",IF(AND(BS122&gt;0,Tabla1[[#This Row],[MOMENTO EN QUE SE REALIZA EL PESO AL INGRESO A CPN]]="GESTACIÓN"),HLOOKUP(NZ122,$OA$2:PH122,NY122),""))))))))</f>
        <v>NORMAL</v>
      </c>
      <c r="CK122" s="212">
        <f t="shared" si="260"/>
        <v>45115</v>
      </c>
      <c r="CL122" s="21">
        <v>64.400000000000006</v>
      </c>
      <c r="CM122" s="214">
        <f t="shared" si="261"/>
        <v>28.622222222222224</v>
      </c>
      <c r="CN122" s="216">
        <f t="shared" si="262"/>
        <v>24</v>
      </c>
      <c r="CO122" s="216" t="e">
        <f>IF(PI122="","",IF(PI122&gt;0,HLOOKUP(PI122,$PJ$2:QQ122,NY122),""))</f>
        <v>#REF!</v>
      </c>
      <c r="CP122" s="21">
        <v>33</v>
      </c>
      <c r="CQ122" s="216" t="e">
        <f>IF(QR122="Menor","NO APLICA-MENOR 13 SEM",IF(AND(CC122="SI",CN122&gt;23),"NO APLICA- GEMELAR",IF(QR122="","",IF(QR122&gt;0,HLOOKUP(QR122,$QS$2:RU122,NY122),""))))</f>
        <v>#REF!</v>
      </c>
      <c r="CR122" s="21">
        <v>110</v>
      </c>
      <c r="CS122" s="21">
        <v>80</v>
      </c>
      <c r="CT122" s="217" t="str">
        <f>IF(R122="","",IF(AND(BS122&gt;1,BS122&lt;12,Tabla1[[#This Row],[T.A. SISTOLICA - ANTES DE SEMANA 12]]="",Tabla1[[#This Row],[T.A. DIASTOLICA - ANTES DE SEMANA 12]]=""),"REGISTRE DATO TA ANTES SEMANA 12",IF(AND(BS122&gt;11,BS122&lt;43,Tabla1[[#This Row],[T.A. SISTOLICA - ANTES DE SEMANA 12]]="",Tabla1[[#This Row],[T.A. DIASTOLICA - ANTES DE SEMANA 12]]=""),"NO APLICA REGISTRO TA-INGRESO TARDIO",IF(AND(OR(O122&gt;0,R122&gt;0),OR(CR122&gt;=140,CS122&gt;=90)),"DEFINIR ESTADIO HTA",IF(AND(OR(O122&gt;0,R122&gt;0),AND(CR122&gt;120,CR122&lt;=139)),"PRE HTA SEGUIMIENTO",IF(AND(OR(O122&gt;0,R122&gt;0),AND(CS122&gt;80,CS122&lt;=89)),"PRE HTA SEGUIMIENTO",IF(AND(OR(O122&gt;0,R122&gt;0),AND(CR122&gt;=80,CR122&lt;=120)),"APARENTEMENTE NORMAL",IF(AND(OR(O122&gt;0,R122&gt;0),AND(CS122&gt;=50,CS122&lt;=80)),"APARENTEMENTE NORMAL",IF(AND(OR(O122&gt;0,R122&gt;0),AND(CR122&gt;1,CR122&lt;=70),AND(CS122&gt;1,CS122&lt;=40)),"HIPOTENSIÓN","")))))))))</f>
        <v>APARENTEMENTE NORMAL</v>
      </c>
      <c r="CU122" s="21"/>
      <c r="CV122" s="21"/>
      <c r="CW122" s="217" t="str">
        <f>IF(R122="","",IF(AND(CN122&gt;19,CN122&lt;27,Tabla1[[#This Row],[T.A. SISTOLICA (Entre semana 20 y 26)]]="",Tabla1[[#This Row],[T.A. DIATOLICA (Entre semana 20 y 26)]]=""),"ACUDE A CONTROL SEM 20 A 26 REGISTRE TA AHORA",IF(AND(BS122&gt;1,BS122&lt;27,BU122&gt;19,Tabla1[[#This Row],[T.A. SISTOLICA (Entre semana 20 y 26)]]="",Tabla1[[#This Row],[T.A. DIATOLICA (Entre semana 20 y 26)]]=""),"COMPLETE REGISTRO TA CONTROL SEM 20 A26 ",IF(AND(BS122&gt;26,BS122&lt;43,Tabla1[[#This Row],[T.A. SISTOLICA (Entre semana 20 y 26)]]="",Tabla1[[#This Row],[T.A. DIATOLICA (Entre semana 20 y 26)]]=""),"NO APLICA REGISTRO TA-INGRESO TARDIO",IF(AND(OR(O122&gt;0,R122&gt;0),OR(CU122&gt;=140,CV122&gt;=90)),"ALTO RIESGO PREECLAMPSIA,DEFINIR ESTADIO HTA",IF(AND(OR(O122&gt;0,R122&gt;0),AND(CU122&gt;120,CU122&lt;=139)),"PRE HTA SEGUIMIENTO,RIESGO HIPERTENSION INDUCIDA POR EL EMBARAZO",IF(AND(OR(O122&gt;0,R122&gt;0),AND(CV122&gt;80,CV122&lt;=89)),"PRE HTA SEGUIMIENTO, RIESGO HIPERTENSION INDUCIDA POR EL EMBARAZO",IF(AND(OR(O122&lt;&gt;"",R122&lt;&gt;""),CS122&lt;&gt;"",CV122&lt;&gt;"",CS122&lt;=CV122),"VIGILAR CIFRAS PRESION ARTERIAL",IF(AND(OR(O122&gt;0,R122&gt;0),AND(CU122&gt;120,CU122&lt;=139)),"PRE HTA SEGUIMIENTO",IF(AND(OR(O122&gt;0,R122&gt;0),AND(CU122&gt;1,CU122&lt;=70),AND(CV122&gt;1,CV122&lt;=40)),"HIPOTENSIÓN",IF(AND(OR(O122&lt;&gt;"",R122&lt;&gt;""),CS122&lt;&gt;"",CV122&lt;&gt;"",CS122&gt;CV122),"APARENTEMENTE NORMAL",IF(AND(OR(O122&gt;0,R122&gt;0),AND(CU122&gt;=80,CU122&lt;=120)),"APARENTEMENTE NORMAL",IF(AND(OR(O122&gt;0,R122&gt;0),AND(CV122&gt;=50,CV122&lt;=80)),"APARENTEMENTE NORMAL","")))))))))))))</f>
        <v>ACUDE A CONTROL SEM 20 A 26 REGISTRE TA AHORA</v>
      </c>
      <c r="CX122" s="21"/>
      <c r="CY122" s="21"/>
      <c r="CZ122" s="216" t="str">
        <f t="shared" si="457"/>
        <v/>
      </c>
      <c r="DA122" s="21">
        <v>100</v>
      </c>
      <c r="DB122" s="21">
        <v>60</v>
      </c>
      <c r="DC122" s="217" t="str">
        <f t="shared" si="264"/>
        <v>APARENTEMENTE NORMAL</v>
      </c>
      <c r="DD122" s="22">
        <v>44988</v>
      </c>
      <c r="DE122" s="22">
        <v>44988</v>
      </c>
      <c r="DF122" s="22">
        <v>45098</v>
      </c>
      <c r="DG122" s="22">
        <v>45115</v>
      </c>
      <c r="DH122" s="22"/>
      <c r="DI122" s="22"/>
      <c r="DJ122" s="22"/>
      <c r="DK122" s="22"/>
      <c r="DL122" s="22"/>
      <c r="DM122" s="22"/>
      <c r="DN122" s="22"/>
      <c r="DO122" s="22"/>
      <c r="DP122" s="22"/>
      <c r="DQ122" s="22"/>
      <c r="DR122" s="28"/>
      <c r="DS122" s="22"/>
      <c r="DT122" s="22"/>
      <c r="DU122" s="216" t="str">
        <f t="shared" ca="1" si="439"/>
        <v>CONCERTAR PLAN DE PARTO INMEDIATO</v>
      </c>
      <c r="DV122" s="226" t="str">
        <f t="shared" si="440"/>
        <v>ACTIVA INGRESO A CPN</v>
      </c>
      <c r="DW122"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22" s="216" t="e">
        <f t="shared" ca="1" si="266"/>
        <v>#REF!</v>
      </c>
      <c r="DY122" s="212">
        <f>IF(R122="","",IF(R122&gt;0,MAX(Tabla1[[#This Row],[FECHA C2]:[FECHA C13]],Tabla1[[#This Row],[FECHA CONSULTA PRIMERA VEZ PROGRAMA CPN ]])))</f>
        <v>45115</v>
      </c>
      <c r="DZ122" s="216">
        <f t="shared" si="267"/>
        <v>24</v>
      </c>
      <c r="EA122" s="222">
        <f>IF(R122&gt;0,SUM(COUNTA(DF122:DQ122)+COUNTA(Tabla1[[#This Row],[FECHA CONSULTA PRIMERA VEZ PROGRAMA CPN ]])),"")</f>
        <v>3</v>
      </c>
      <c r="EB122" s="222" t="str">
        <f t="shared" si="268"/>
        <v>NO</v>
      </c>
      <c r="EC122" s="214">
        <f t="shared" si="269"/>
        <v>10</v>
      </c>
      <c r="ED122" s="227">
        <f t="shared" si="270"/>
        <v>0.3</v>
      </c>
      <c r="EE122" s="22">
        <v>44988</v>
      </c>
      <c r="EF122" s="22">
        <v>44988</v>
      </c>
      <c r="EG122" s="22">
        <v>44988</v>
      </c>
      <c r="EH122" s="22"/>
      <c r="EI122" s="22">
        <v>44988</v>
      </c>
      <c r="EJ122" s="22"/>
      <c r="EK122" s="22"/>
      <c r="EL122" s="21"/>
      <c r="EM122" s="21">
        <v>12.5</v>
      </c>
      <c r="EN122" s="22">
        <v>44988</v>
      </c>
      <c r="EO122" s="222">
        <f t="shared" si="271"/>
        <v>6.7142857142857144</v>
      </c>
      <c r="EP122" s="214" t="str">
        <f t="shared" si="272"/>
        <v>NORMAL- SUMINISTRAR SULFATO FERROSO</v>
      </c>
      <c r="EQ122" s="216" t="str">
        <f t="shared" si="273"/>
        <v>I TRIM</v>
      </c>
      <c r="ER122" s="24"/>
      <c r="ES122" s="22"/>
      <c r="ET122" s="29" t="str">
        <f t="shared" ca="1" si="441"/>
        <v>TOMA DE HEMOGLOBINA TARDÍA</v>
      </c>
      <c r="EU122" s="25" t="str">
        <f t="shared" si="275"/>
        <v/>
      </c>
      <c r="EV122" s="24" t="s">
        <v>1510</v>
      </c>
      <c r="EW122" s="24">
        <v>44988</v>
      </c>
      <c r="EX122" s="22"/>
      <c r="EY122" s="29">
        <f t="shared" si="454"/>
        <v>6.7142857142857144</v>
      </c>
      <c r="EZ122" s="25" t="str">
        <f t="shared" si="455"/>
        <v>SIN RIESGO DE ISOINMUNIZACIÓN</v>
      </c>
      <c r="FA122" s="21">
        <v>70</v>
      </c>
      <c r="FB122" s="22">
        <v>44988</v>
      </c>
      <c r="FC122" s="29">
        <f t="shared" si="276"/>
        <v>6.7142857142857144</v>
      </c>
      <c r="FD122" s="29"/>
      <c r="FE122" s="29"/>
      <c r="FF122" s="29"/>
      <c r="FG122" s="21" t="str">
        <f t="shared" ca="1" si="277"/>
        <v>TOMAR PTOG</v>
      </c>
      <c r="FH122" s="31"/>
      <c r="FI122" s="29" t="str">
        <f t="shared" si="278"/>
        <v>TOMAR EXAMEN</v>
      </c>
      <c r="FJ122" s="22" t="s">
        <v>867</v>
      </c>
      <c r="FK122" s="22">
        <v>44988</v>
      </c>
      <c r="FL122" s="29">
        <f t="shared" ca="1" si="279"/>
        <v>6.7142857142857144</v>
      </c>
      <c r="FM122" s="22" t="s">
        <v>867</v>
      </c>
      <c r="FN122" s="32">
        <v>45115</v>
      </c>
      <c r="FO122" s="29">
        <f t="shared" ca="1" si="442"/>
        <v>24.857142857142858</v>
      </c>
      <c r="FP122" s="22"/>
      <c r="FQ122" s="32"/>
      <c r="FR122" s="29" t="str">
        <f t="shared" ca="1" si="443"/>
        <v>TOMA INMEDIATA DE TAMIZAJE</v>
      </c>
      <c r="FS122" s="22"/>
      <c r="FT122" s="32"/>
      <c r="FU122" s="29" t="str">
        <f>IF(AND(FJ122="",FM122="",FP122="",FS122=""),"",IF(OR(OR(Tabla1[[#This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22" s="28"/>
      <c r="FW122" s="22"/>
      <c r="FX122" s="29" t="str">
        <f t="shared" si="280"/>
        <v>TOMAR EXAMEN</v>
      </c>
      <c r="FY122" s="22">
        <v>44988</v>
      </c>
      <c r="FZ122" s="22">
        <v>44988</v>
      </c>
      <c r="GA122" s="29">
        <f t="shared" ca="1" si="453"/>
        <v>6.7142857142857144</v>
      </c>
      <c r="GB122" s="22" t="s">
        <v>868</v>
      </c>
      <c r="GC122" s="22">
        <v>45115</v>
      </c>
      <c r="GD122" s="29">
        <f t="shared" ca="1" si="491"/>
        <v>24.857142857142858</v>
      </c>
      <c r="GE122" s="22"/>
      <c r="GF122" s="22"/>
      <c r="GG122" s="29" t="str">
        <f t="shared" ca="1" si="445"/>
        <v>TOMA INMEDIATA DE TAMIZAJE</v>
      </c>
      <c r="GH122" s="22"/>
      <c r="GI122" s="29"/>
      <c r="GJ122" s="22"/>
      <c r="GK122" s="22"/>
      <c r="GL122" s="22"/>
      <c r="GM122" s="22"/>
      <c r="GN122" s="28" t="s">
        <v>869</v>
      </c>
      <c r="GO122" s="22">
        <v>44988</v>
      </c>
      <c r="GP122" s="29">
        <f t="shared" si="283"/>
        <v>6.7142857142857144</v>
      </c>
      <c r="GQ122" s="28" t="s">
        <v>869</v>
      </c>
      <c r="GR122" s="28" t="s">
        <v>869</v>
      </c>
      <c r="GS122" s="22" t="str">
        <f t="shared" si="458"/>
        <v>CONTROL Igm</v>
      </c>
      <c r="GT122" s="22">
        <v>44988</v>
      </c>
      <c r="GU122" s="29">
        <f t="shared" si="285"/>
        <v>6.7142857142857144</v>
      </c>
      <c r="GV122" s="21" t="str">
        <f t="shared" si="286"/>
        <v>I TRIM</v>
      </c>
      <c r="GW122" s="28" t="s">
        <v>869</v>
      </c>
      <c r="GX122" s="30"/>
      <c r="GY122" s="21"/>
      <c r="GZ122" s="21"/>
      <c r="HA122" s="21"/>
      <c r="HB122" s="21"/>
      <c r="HC122" s="21"/>
      <c r="HD122" s="21"/>
      <c r="HE122" s="21"/>
      <c r="HF122" s="22"/>
      <c r="HG122" s="22" t="str">
        <f>IF(OR(O122&gt;0,R122&gt;0),CONCATENATE(IF(Tabla1[[#This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22" s="22" t="e">
        <f t="shared" si="287"/>
        <v>#REF!</v>
      </c>
      <c r="HI122" s="22" t="e">
        <f t="shared" ca="1" si="288"/>
        <v>#REF!</v>
      </c>
      <c r="HJ122" s="21" t="str">
        <f t="shared" ca="1" si="289"/>
        <v>***************************EMBARAZO PROLONGADO************</v>
      </c>
      <c r="HK122" s="21" t="str">
        <f t="shared" si="290"/>
        <v>SIN ANTECEDENTES DE RIESGO</v>
      </c>
      <c r="HL122" s="24" t="str">
        <f t="shared" si="291"/>
        <v>APARENTEMENTE NORMAL</v>
      </c>
      <c r="HM122" s="21" t="e">
        <f t="shared" ca="1" si="292"/>
        <v>#REF!</v>
      </c>
      <c r="HN122" s="30" t="str">
        <f t="shared" si="446"/>
        <v>ACTIVA INGRESO A CPN</v>
      </c>
      <c r="HO122" s="21"/>
      <c r="HP122" s="21"/>
      <c r="HQ122" s="349"/>
      <c r="HR122" s="21" t="str">
        <f>IF(R122="","",IF(Tabla1[[#This Row],[ALARMA FACTORES DE RIESGO COMPLICACIONES HIPERTENSIVAS3]]="SIN ANTECEDENTES DE RIESGO","No Aplica para suministro de ASA",IF(AND(Tabla1[[#This Row],[FECHA INICIO DE SUMINISTRO DE ASA]]&gt;0,RV122&lt;12),"Inicia ASA ANTES de Sem 12",IF(AND(RV122&gt;11,RV122&lt;17,OR(HK122="RIESGO ALTO DE COMPLICACIONES HIPERTENSIVAS VER MANEJO GUIA SUMINISTRO ASA Y CALCIO",HK122="RIESGO MODERADO (2 O MAS CRITERIOS) VER MANEJO GUIA SUMINISTRO ASA Y CALCIO")),"Inicio oportuno de ASA",IF(AND(RV122&gt;12,OR(HK122="RIESGO ALTO DE COMPLICACIONES HIPERTENSIVAS VER MANEJO GUIA SUMINISTRO ASA Y CALCIO",HK122="RIESGO MODERADO (2 O MAS CRITERIOS) VER MANEJO GUIA SUMINISTRO ASA Y CALCIO")),"Inicio no oportuno mayor a 16 semanas",IF(AND(BU122&lt;12,OR(HK122="RIESGO ALTO DE COMPLICACIONES HIPERTENSIVAS VER MANEJO GUIA SUMINISTRO ASA Y CALCIO",HK122="RIESGO MODERADO (2 O MAS CRITERIOS) VER MANEJO GUIA SUMINISTRO ASA Y CALCIO")),"Pendiente Inicio de ASA a la semana 12",IF(AND(BU122&gt;11,BU122&lt;17,OR(HK122="RIESGO ALTO DE COMPLICACIONES HIPERTENSIVAS VER MANEJO GUIA SUMINISTRO ASA Y CALCIO",HK122="RIESGO MODERADO (2 O MAS CRITERIOS) VER MANEJO GUIA SUMINISTRO ASA Y CALCIO")),"Iniciar de inmediato ASA",IF(AND(BU122&gt;16,OR(HK122="RIESGO ALTO DE COMPLICACIONES HIPERTENSIVAS VER MANEJO GUIA SUMINISTRO ASA Y CALCIO",HK122="RIESGO MODERADO (2 O MAS CRITERIOS) VER MANEJO GUIA SUMINISTRO ASA Y CALCIO")),"Pierde Oportunidad, Inicio tardío de ASA","XXXXX"))))))))</f>
        <v>No Aplica para suministro de ASA</v>
      </c>
      <c r="HS122" s="22"/>
      <c r="HT122" s="22"/>
      <c r="HU122" s="22">
        <v>44988</v>
      </c>
      <c r="HV122" s="22" t="s">
        <v>870</v>
      </c>
      <c r="HW122" s="22">
        <v>44988</v>
      </c>
      <c r="HX122" s="22" t="s">
        <v>870</v>
      </c>
      <c r="HY122" s="22">
        <v>44988</v>
      </c>
      <c r="HZ122" s="28">
        <f t="shared" si="293"/>
        <v>6.7142857142857144</v>
      </c>
      <c r="IA122" s="26"/>
      <c r="IB122" s="26"/>
      <c r="IC122" s="111"/>
      <c r="ID122" s="22"/>
      <c r="IE122" s="22" t="str">
        <f t="shared" ca="1" si="294"/>
        <v>INASISTENTE</v>
      </c>
      <c r="IF122" s="22"/>
      <c r="IG122" s="22">
        <f t="shared" si="295"/>
        <v>45221</v>
      </c>
      <c r="IH122" s="29">
        <f t="shared" ca="1" si="296"/>
        <v>-11</v>
      </c>
      <c r="II122" s="22" t="str">
        <f t="shared" ca="1" si="297"/>
        <v>POSIBLEMENTE NACIO</v>
      </c>
      <c r="IJ122" s="22"/>
      <c r="IK122" s="21"/>
      <c r="IL122" s="21"/>
      <c r="IM122" s="34"/>
      <c r="IN122" s="22"/>
      <c r="IO122" s="21"/>
      <c r="IP122" s="29" t="str">
        <f t="shared" si="490"/>
        <v/>
      </c>
      <c r="IQ122" s="35"/>
      <c r="IR122" s="21"/>
      <c r="IS122" s="21"/>
      <c r="IT122" s="21"/>
      <c r="IU122" s="21"/>
      <c r="IV122" s="21"/>
      <c r="IW122" s="21"/>
      <c r="IX122" s="21"/>
      <c r="IY122" s="21"/>
      <c r="IZ122" s="21"/>
      <c r="JA122" s="21"/>
      <c r="JB122" s="30"/>
      <c r="JC122" s="21"/>
      <c r="JD122" s="36"/>
      <c r="JE122" s="21" t="str">
        <f t="shared" si="492"/>
        <v/>
      </c>
      <c r="JF122" s="30"/>
      <c r="JG122" s="21"/>
      <c r="JH122" s="21"/>
      <c r="JI122" s="21"/>
      <c r="JJ122" s="30"/>
      <c r="JK122" s="22"/>
      <c r="JL122" s="22"/>
      <c r="JM122" s="21"/>
      <c r="JN122" s="36"/>
      <c r="JO122" s="21" t="str">
        <f t="shared" si="493"/>
        <v/>
      </c>
      <c r="JP122" s="22"/>
      <c r="JQ122" s="21"/>
      <c r="JR122" s="21"/>
      <c r="JS122" s="21"/>
      <c r="JT122" s="30"/>
      <c r="JU122" s="22"/>
      <c r="JV122" s="22"/>
      <c r="JW122" s="33"/>
      <c r="JX122" s="28" t="str">
        <f t="shared" si="494"/>
        <v/>
      </c>
      <c r="JY122" s="33"/>
      <c r="JZ122" s="28" t="str">
        <f t="shared" si="495"/>
        <v/>
      </c>
      <c r="KA122" s="21"/>
      <c r="KB122" s="21"/>
      <c r="KC122" s="21"/>
      <c r="KD122" s="37"/>
      <c r="KE122" s="28"/>
      <c r="KF122" s="28"/>
      <c r="KG122" s="28"/>
      <c r="KH122" s="39"/>
      <c r="KI122" s="39"/>
      <c r="KJ122" s="66"/>
      <c r="KK122" s="39"/>
      <c r="KL122" s="39"/>
      <c r="KM122" s="66"/>
      <c r="KN122" s="39"/>
      <c r="KO122" s="39"/>
      <c r="KP122" s="39"/>
      <c r="KQ122" s="39"/>
      <c r="KR122" s="39"/>
      <c r="KS122" s="39"/>
      <c r="KT122" s="39"/>
      <c r="KU122" s="38"/>
      <c r="KV122" s="38"/>
      <c r="KW122" s="38"/>
      <c r="KX122" s="38"/>
      <c r="KY122" s="38"/>
      <c r="KZ122" s="38"/>
      <c r="LA122" s="38"/>
      <c r="LB122" s="38"/>
      <c r="LC122" s="38"/>
      <c r="LD122" s="38"/>
      <c r="LE122" s="38"/>
      <c r="LF122" s="38"/>
      <c r="LG122" s="38"/>
      <c r="LH122" s="38"/>
      <c r="LI122" s="38"/>
      <c r="LJ122" s="38"/>
      <c r="LK122" s="38"/>
      <c r="LL122" s="38"/>
      <c r="LM122" s="38"/>
      <c r="LN122" s="38"/>
      <c r="LO122" s="38"/>
      <c r="LP122" s="38"/>
      <c r="LQ122" s="38"/>
      <c r="LR122" s="38"/>
      <c r="LS122" s="38"/>
      <c r="LT122" s="38"/>
      <c r="LU122" s="38"/>
      <c r="LV122" s="38"/>
      <c r="LW122" s="38"/>
      <c r="LX122" s="38"/>
      <c r="LY122" s="38"/>
      <c r="LZ122" s="38"/>
      <c r="MA122" s="38"/>
      <c r="MB122" s="38"/>
      <c r="MC122" s="38"/>
      <c r="MD122" s="38"/>
      <c r="ME122" s="38"/>
      <c r="MF122" s="38"/>
      <c r="MG122" s="38"/>
      <c r="MH122" s="43">
        <f t="shared" si="459"/>
        <v>0</v>
      </c>
      <c r="MI122" s="43" t="str">
        <f t="shared" si="460"/>
        <v/>
      </c>
      <c r="MJ122" s="43" t="str">
        <f t="shared" si="461"/>
        <v/>
      </c>
      <c r="MK122" s="43">
        <f t="shared" si="462"/>
        <v>0</v>
      </c>
      <c r="ML12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22" s="43">
        <f t="shared" si="463"/>
        <v>6.7142857142857144</v>
      </c>
      <c r="MN122" s="43">
        <f t="shared" si="464"/>
        <v>3</v>
      </c>
      <c r="MO122" s="43">
        <f t="shared" si="465"/>
        <v>2023</v>
      </c>
      <c r="MP122" s="43" t="str">
        <f t="shared" si="466"/>
        <v>I TRIMESTRE AÑO</v>
      </c>
      <c r="MQ122" s="43">
        <f t="shared" si="467"/>
        <v>17.953350854139291</v>
      </c>
      <c r="MR122" s="43">
        <f t="shared" si="468"/>
        <v>0</v>
      </c>
      <c r="MS122" s="43" t="str">
        <f t="shared" si="469"/>
        <v>DE 14 A 19AÑOS</v>
      </c>
      <c r="MT122" s="43">
        <f t="shared" si="470"/>
        <v>0</v>
      </c>
      <c r="MU122" s="43">
        <f t="shared" si="471"/>
        <v>0</v>
      </c>
      <c r="MV122" s="43">
        <f t="shared" si="472"/>
        <v>0</v>
      </c>
      <c r="MW122" s="43">
        <f t="shared" si="473"/>
        <v>0</v>
      </c>
      <c r="MX122" s="43" t="str">
        <f t="shared" si="474"/>
        <v/>
      </c>
      <c r="MY122" s="43">
        <f t="shared" ca="1" si="496"/>
        <v>1</v>
      </c>
      <c r="MZ122" s="43" t="str">
        <f t="shared" si="475"/>
        <v/>
      </c>
      <c r="NA122" s="43" t="str">
        <f t="shared" si="476"/>
        <v/>
      </c>
      <c r="NB122" s="43" t="str">
        <f t="shared" si="477"/>
        <v/>
      </c>
      <c r="NC122" s="43" t="str">
        <f t="shared" si="478"/>
        <v/>
      </c>
      <c r="ND122" s="43">
        <f t="shared" ca="1" si="479"/>
        <v>1</v>
      </c>
      <c r="NE122" s="43">
        <f>IF(OR(O122&gt;0,R122&gt;0),SUM(COUNTIF(Tabla1[[#This Row],[AÑOS AL INICIO5 CPN]],"&gt;=40"),COUNTIF(AS122,"0"),COUNTIF(AR122,"SI"),COUNTIF(CC122,"SI"),COUNTIF(BQ122,"&gt;119"),COUNTIF(CI122,"&gt;=35")),"")</f>
        <v>0</v>
      </c>
      <c r="NF122" s="43" t="str">
        <f t="shared" si="480"/>
        <v/>
      </c>
      <c r="NG122" s="43">
        <f t="shared" si="481"/>
        <v>0</v>
      </c>
      <c r="NH122" s="43" t="str">
        <f t="shared" si="482"/>
        <v/>
      </c>
      <c r="NI12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CPN",P122="NO"),"Z",IF(AND(Tabla1[[#This Row],[CITA PROXIMO CONTROL]]="CITA MANUAL",Tabla1[[#This Row],[GESTANTES ACTUALES]]="ACTIVA INGRESO A CPN"),"W",IF(AND(Tabla1[[#This Row],[GESTANTES ACTUALES]]="SALIO PROGRAMA",IN122=""),"S",IF(AND(Tabla1[[#This Row],[CITA PROXIMO CONTROL]]&gt;0,IN122=""),(Tabla1[[#This Row],[CITA PROXIMO CONTROL]]-TODAY()),"SD"))))))))</f>
        <v>#REF!</v>
      </c>
      <c r="NJ122" s="43">
        <f>MONTH(Tabla1[[#This Row],[FECHA DE SALIDA  DEL PROGRAMA]])</f>
        <v>1</v>
      </c>
      <c r="NK122" s="43">
        <f>YEAR(Tabla1[[#This Row],[FECHA DE SALIDA  DEL PROGRAMA]])</f>
        <v>1900</v>
      </c>
      <c r="NL122" s="43" t="str">
        <f t="shared" si="483"/>
        <v>X</v>
      </c>
      <c r="NM122" s="43" t="str">
        <f t="shared" si="456"/>
        <v>NO</v>
      </c>
      <c r="NN122" s="43" t="str">
        <f ca="1">IF(AND(O122&gt;0,R122=""),"NO CPN",IF(AND(O122="",R122=""),"",IF(AND(R122&gt;0,Tabla1[[#This Row],[SEMANAS DE GESTACION ACTUALIZADAS]]&lt;=12),"NO APLICA",IF(AND(FH122&lt;&gt;"",FN122&lt;&gt;""),"SI","NO"))))</f>
        <v>NO</v>
      </c>
      <c r="NO122" s="43" t="str">
        <f ca="1">IF(AND(O122&gt;0,R122=""),"NO CPN",IF(AND(O122="",R122=""),"",IF(AND(R122&gt;0,Tabla1[[#This Row],[SEMANAS DE GESTACION ACTUALIZADAS]]&lt;=27),"NO APLICA",IF(AND(ES122&lt;&gt;"",FQ122&lt;&gt;"",GF122&lt;&gt;""),"SI","NO"))))</f>
        <v>NO</v>
      </c>
      <c r="NP122" s="204" t="str">
        <f t="shared" si="484"/>
        <v>I TRIM</v>
      </c>
      <c r="NQ122" s="21" t="str">
        <f t="shared" si="437"/>
        <v/>
      </c>
      <c r="NR122" s="21">
        <f t="shared" ca="1" si="497"/>
        <v>3</v>
      </c>
      <c r="NS122" s="205">
        <f t="shared" ca="1" si="485"/>
        <v>2</v>
      </c>
      <c r="NT122" s="21">
        <f t="shared" ca="1" si="486"/>
        <v>2</v>
      </c>
      <c r="NU122" s="21" t="str">
        <f t="shared" ca="1" si="487"/>
        <v>INCOMPLETO</v>
      </c>
      <c r="NV122" s="21" t="str">
        <f t="shared" ca="1" si="488"/>
        <v>INCOMPLETO</v>
      </c>
      <c r="NW122" s="206" t="str">
        <f>IF(AND(O122="",R122=""),"",IF(OR(AND(Tabla1[[#This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22" s="207" t="str">
        <f t="shared" ca="1" si="489"/>
        <v>SIN VACUNAR</v>
      </c>
      <c r="NY122" s="43">
        <f>ROW(Tabla1[[#This Row],['# DE TAMIZAJES SIFILIS TOMADOS ]])</f>
        <v>122</v>
      </c>
      <c r="NZ122" s="43" t="str">
        <f t="shared" si="334"/>
        <v>Menor</v>
      </c>
      <c r="OA122" s="43" t="str">
        <f t="shared" si="335"/>
        <v>NORMAL</v>
      </c>
      <c r="OB122" s="43" t="str">
        <f t="shared" si="336"/>
        <v/>
      </c>
      <c r="OC122" s="43" t="str">
        <f t="shared" si="337"/>
        <v/>
      </c>
      <c r="OD122" s="43" t="str">
        <f t="shared" si="338"/>
        <v/>
      </c>
      <c r="OE122" s="43" t="str">
        <f t="shared" si="339"/>
        <v/>
      </c>
      <c r="OF122" s="43" t="str">
        <f t="shared" si="340"/>
        <v/>
      </c>
      <c r="OG122" s="43" t="str">
        <f t="shared" si="341"/>
        <v/>
      </c>
      <c r="OH122" s="43" t="str">
        <f t="shared" si="342"/>
        <v/>
      </c>
      <c r="OI122" s="43" t="str">
        <f t="shared" si="343"/>
        <v/>
      </c>
      <c r="OJ122" s="43" t="str">
        <f t="shared" si="344"/>
        <v/>
      </c>
      <c r="OK122" s="43" t="str">
        <f t="shared" si="345"/>
        <v/>
      </c>
      <c r="OL122" s="43" t="str">
        <f t="shared" si="346"/>
        <v/>
      </c>
      <c r="OM122" s="43" t="str">
        <f t="shared" si="347"/>
        <v/>
      </c>
      <c r="ON122" s="43" t="str">
        <f t="shared" si="348"/>
        <v/>
      </c>
      <c r="OO122" s="43" t="str">
        <f t="shared" si="349"/>
        <v/>
      </c>
      <c r="OP122" s="43" t="str">
        <f t="shared" si="350"/>
        <v/>
      </c>
      <c r="OQ122" s="43" t="str">
        <f t="shared" si="351"/>
        <v/>
      </c>
      <c r="OR122" s="43" t="str">
        <f t="shared" si="352"/>
        <v/>
      </c>
      <c r="OS122" s="43" t="str">
        <f t="shared" si="353"/>
        <v/>
      </c>
      <c r="OT122" s="43" t="str">
        <f t="shared" si="354"/>
        <v/>
      </c>
      <c r="OU122" s="43" t="str">
        <f t="shared" si="355"/>
        <v/>
      </c>
      <c r="OV122" s="110" t="str">
        <f t="shared" si="356"/>
        <v/>
      </c>
      <c r="OW122" s="43" t="str">
        <f t="shared" si="357"/>
        <v/>
      </c>
      <c r="OX122" s="43" t="str">
        <f t="shared" si="358"/>
        <v/>
      </c>
      <c r="OY122" s="43" t="str">
        <f t="shared" si="359"/>
        <v/>
      </c>
      <c r="OZ122" s="43" t="str">
        <f t="shared" si="360"/>
        <v/>
      </c>
      <c r="PA122" s="43" t="str">
        <f t="shared" si="361"/>
        <v/>
      </c>
      <c r="PB122" s="43" t="str">
        <f t="shared" si="362"/>
        <v/>
      </c>
      <c r="PC122" s="43" t="str">
        <f t="shared" si="363"/>
        <v/>
      </c>
      <c r="PD122" s="43" t="str">
        <f t="shared" si="364"/>
        <v/>
      </c>
      <c r="PE122" s="43" t="str">
        <f t="shared" si="365"/>
        <v/>
      </c>
      <c r="PF122" s="43" t="str">
        <f t="shared" si="366"/>
        <v/>
      </c>
      <c r="PG122" s="43" t="str">
        <f t="shared" si="367"/>
        <v/>
      </c>
      <c r="PH122" s="43" t="str">
        <f t="shared" si="368"/>
        <v/>
      </c>
      <c r="PI122" s="43">
        <f t="shared" si="369"/>
        <v>24</v>
      </c>
      <c r="PJ122" s="43" t="str">
        <f t="shared" si="370"/>
        <v/>
      </c>
      <c r="PK122" s="43" t="str">
        <f t="shared" si="371"/>
        <v/>
      </c>
      <c r="PL122" s="43" t="str">
        <f t="shared" si="372"/>
        <v/>
      </c>
      <c r="PM122" s="43" t="str">
        <f t="shared" si="373"/>
        <v/>
      </c>
      <c r="PN122" s="43" t="str">
        <f t="shared" si="374"/>
        <v/>
      </c>
      <c r="PO122" s="43" t="str">
        <f t="shared" si="375"/>
        <v/>
      </c>
      <c r="PP122" s="43" t="str">
        <f t="shared" si="376"/>
        <v/>
      </c>
      <c r="PQ122" s="43" t="str">
        <f t="shared" si="377"/>
        <v/>
      </c>
      <c r="PR122" s="43" t="str">
        <f t="shared" si="378"/>
        <v/>
      </c>
      <c r="PS122" s="43" t="str">
        <f t="shared" si="379"/>
        <v/>
      </c>
      <c r="PT122" s="43" t="str">
        <f t="shared" si="380"/>
        <v/>
      </c>
      <c r="PU122" s="43" t="str">
        <f t="shared" si="381"/>
        <v/>
      </c>
      <c r="PV122" s="43" t="str">
        <f t="shared" si="382"/>
        <v/>
      </c>
      <c r="PW122" s="43" t="str">
        <f t="shared" si="383"/>
        <v/>
      </c>
      <c r="PX122" s="43" t="str">
        <f t="shared" si="384"/>
        <v/>
      </c>
      <c r="PY122" s="43" t="str">
        <f t="shared" si="385"/>
        <v>SOBREPESO</v>
      </c>
      <c r="PZ122" s="43" t="str">
        <f t="shared" si="386"/>
        <v/>
      </c>
      <c r="QA122" s="43" t="str">
        <f t="shared" si="387"/>
        <v/>
      </c>
      <c r="QB122" s="43" t="str">
        <f t="shared" si="388"/>
        <v/>
      </c>
      <c r="QC122" s="43" t="str">
        <f t="shared" si="389"/>
        <v/>
      </c>
      <c r="QD122" s="43" t="str">
        <f t="shared" si="390"/>
        <v/>
      </c>
      <c r="QE122" s="43" t="str">
        <f t="shared" si="391"/>
        <v/>
      </c>
      <c r="QF122" s="43" t="str">
        <f t="shared" si="392"/>
        <v/>
      </c>
      <c r="QG122" s="43" t="str">
        <f t="shared" si="393"/>
        <v/>
      </c>
      <c r="QH122" s="43" t="str">
        <f t="shared" si="394"/>
        <v/>
      </c>
      <c r="QI122" s="43" t="str">
        <f t="shared" si="395"/>
        <v/>
      </c>
      <c r="QJ122" s="43" t="str">
        <f t="shared" si="396"/>
        <v/>
      </c>
      <c r="QK122" s="43" t="str">
        <f t="shared" si="397"/>
        <v/>
      </c>
      <c r="QL122" s="43" t="str">
        <f t="shared" si="398"/>
        <v/>
      </c>
      <c r="QM122" s="43" t="str">
        <f t="shared" si="399"/>
        <v/>
      </c>
      <c r="QN122" s="43" t="str">
        <f t="shared" si="400"/>
        <v/>
      </c>
      <c r="QO122" s="43" t="str">
        <f t="shared" si="401"/>
        <v/>
      </c>
      <c r="QP122" s="43" t="str">
        <f t="shared" si="402"/>
        <v/>
      </c>
      <c r="QQ122" s="43" t="str">
        <f t="shared" si="403"/>
        <v/>
      </c>
      <c r="QR122" s="43">
        <f t="shared" si="433"/>
        <v>24</v>
      </c>
      <c r="QS122" s="43"/>
      <c r="QT122" s="21" t="str">
        <f t="shared" si="404"/>
        <v/>
      </c>
      <c r="QU122" s="21" t="str">
        <f t="shared" si="405"/>
        <v/>
      </c>
      <c r="QV122" s="21" t="str">
        <f t="shared" si="406"/>
        <v/>
      </c>
      <c r="QW122" s="21" t="str">
        <f t="shared" si="407"/>
        <v/>
      </c>
      <c r="QX122" s="21" t="str">
        <f t="shared" si="408"/>
        <v/>
      </c>
      <c r="QY122" s="21" t="str">
        <f t="shared" si="409"/>
        <v/>
      </c>
      <c r="QZ122" s="21" t="str">
        <f t="shared" si="410"/>
        <v/>
      </c>
      <c r="RA122" s="21" t="str">
        <f t="shared" si="411"/>
        <v/>
      </c>
      <c r="RB122" s="21" t="str">
        <f t="shared" si="412"/>
        <v/>
      </c>
      <c r="RC122" s="21" t="str">
        <f t="shared" si="413"/>
        <v/>
      </c>
      <c r="RD122" s="21" t="str">
        <f t="shared" si="414"/>
        <v/>
      </c>
      <c r="RE122" s="21" t="str">
        <f t="shared" si="415"/>
        <v>ALTO PARA EDAD GESTACIONAL</v>
      </c>
      <c r="RF122" s="21" t="str">
        <f t="shared" si="416"/>
        <v/>
      </c>
      <c r="RG122" s="21" t="str">
        <f t="shared" si="417"/>
        <v/>
      </c>
      <c r="RH122" s="21" t="str">
        <f t="shared" si="418"/>
        <v/>
      </c>
      <c r="RI122" s="21" t="str">
        <f t="shared" si="419"/>
        <v/>
      </c>
      <c r="RJ122" s="21" t="str">
        <f t="shared" si="420"/>
        <v/>
      </c>
      <c r="RK122" s="21" t="str">
        <f t="shared" si="421"/>
        <v/>
      </c>
      <c r="RL122" s="21" t="str">
        <f t="shared" si="422"/>
        <v/>
      </c>
      <c r="RM122" s="21" t="str">
        <f t="shared" si="423"/>
        <v/>
      </c>
      <c r="RN122" s="21" t="str">
        <f t="shared" si="424"/>
        <v/>
      </c>
      <c r="RO122" s="21" t="str">
        <f t="shared" si="425"/>
        <v/>
      </c>
      <c r="RP122" s="21" t="str">
        <f t="shared" si="426"/>
        <v/>
      </c>
      <c r="RQ122" s="21" t="str">
        <f t="shared" si="427"/>
        <v/>
      </c>
      <c r="RR122" s="21" t="str">
        <f t="shared" si="428"/>
        <v/>
      </c>
      <c r="RS122" s="21" t="str">
        <f t="shared" si="429"/>
        <v/>
      </c>
      <c r="RT122" s="21" t="str">
        <f t="shared" si="430"/>
        <v/>
      </c>
      <c r="RU122" s="21" t="str">
        <f t="shared" si="431"/>
        <v/>
      </c>
      <c r="RV122" s="21">
        <f t="shared" si="432"/>
        <v>-1</v>
      </c>
      <c r="RW122" s="284">
        <f>IF(OR(Tabla1[[#This Row],[FUM FORMULA CONFIABLE]]="",Tabla1[[#This Row],[FUM FORMULA CONFIABLE]]="SD"),"",IF(Tabla1[[#This Row],[FUM FORMULA CONFIABLE]]="CORREGIDA",Tabla1[[#This Row],[FUM X ECO 1]],Tabla1[[#This Row],[FUM x AMENORREA]]))</f>
        <v>44941</v>
      </c>
      <c r="RX122" s="21" t="str">
        <f>IF(AND(Tabla1[[#This Row],[FUM X ECO 1]]="",Tabla1[[#This Row],[FUM x AMENORREA]]=""),"",IF(AND(Tabla1[[#This Row],[FUM X ECO 1]]="",Tabla1[[#This Row],[FUM x AMENORREA]]&lt;&gt;""),"X",SUM(Tabla1[[#This Row],[FUM X ECO 1]]-Tabla1[[#This Row],[FUM x AMENORREA]])))</f>
        <v>X</v>
      </c>
      <c r="RY122" s="21" t="str">
        <f t="shared" si="434"/>
        <v>x</v>
      </c>
    </row>
    <row r="123" spans="1:493" ht="45" customHeight="1" x14ac:dyDescent="0.25">
      <c r="A123" s="109" t="s">
        <v>1537</v>
      </c>
      <c r="B123" s="43"/>
      <c r="C123" s="43" t="s">
        <v>845</v>
      </c>
      <c r="D123" s="124"/>
      <c r="E123" s="43" t="s">
        <v>1286</v>
      </c>
      <c r="F123" s="43" t="s">
        <v>914</v>
      </c>
      <c r="G123" s="43" t="s">
        <v>1198</v>
      </c>
      <c r="H123" s="43" t="s">
        <v>1364</v>
      </c>
      <c r="I123" s="109" t="s">
        <v>851</v>
      </c>
      <c r="J123" s="110">
        <v>1059600026</v>
      </c>
      <c r="K123" s="43" t="s">
        <v>852</v>
      </c>
      <c r="L123" s="175" t="s">
        <v>853</v>
      </c>
      <c r="M123" s="22">
        <v>33624</v>
      </c>
      <c r="N123" s="213">
        <f t="shared" ca="1" si="252"/>
        <v>31.802739726027397</v>
      </c>
      <c r="O123" s="22">
        <v>44989</v>
      </c>
      <c r="P123" s="214" t="str">
        <f t="shared" si="438"/>
        <v>SI</v>
      </c>
      <c r="Q123" s="26" t="s">
        <v>855</v>
      </c>
      <c r="R123" s="22">
        <v>44989</v>
      </c>
      <c r="S123" s="21" t="s">
        <v>856</v>
      </c>
      <c r="T123" s="24" t="s">
        <v>690</v>
      </c>
      <c r="U123" s="21" t="s">
        <v>857</v>
      </c>
      <c r="V123" s="21" t="s">
        <v>858</v>
      </c>
      <c r="W123" s="21" t="s">
        <v>1288</v>
      </c>
      <c r="X123" s="21" t="s">
        <v>1288</v>
      </c>
      <c r="Y123" s="21"/>
      <c r="Z123" s="21"/>
      <c r="AA123" s="21" t="s">
        <v>860</v>
      </c>
      <c r="AB123" s="27" t="s">
        <v>861</v>
      </c>
      <c r="AC123" s="26" t="s">
        <v>846</v>
      </c>
      <c r="AD123" s="38" t="s">
        <v>1546</v>
      </c>
      <c r="AE123" s="26" t="s">
        <v>854</v>
      </c>
      <c r="AF123" s="26" t="s">
        <v>854</v>
      </c>
      <c r="AG123" s="23" t="s">
        <v>864</v>
      </c>
      <c r="AH123" s="23" t="s">
        <v>864</v>
      </c>
      <c r="AI123" s="24" t="s">
        <v>863</v>
      </c>
      <c r="AJ123" s="23" t="s">
        <v>864</v>
      </c>
      <c r="AK123" s="220" t="str">
        <f>IF(AND(AD123="",AE123="",AF123="",AG123="",AH123="",AI123="",AJ123=""),"",IF(OR(Tabla1[[#This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EVALUACIÓN",IF(AND(O123="",R123=""),"",IF(AND(OR(O123&gt;0,R123&gt;0),NG123&gt;=0,NG123&lt;2),"SIN RIESGO",IF(AND(OR(O123&gt;0,R123&gt;0),NG123&gt;=2),"CON RIESGO","ASD")))))</f>
        <v>SIN RIESGO</v>
      </c>
      <c r="AL123" s="23" t="s">
        <v>864</v>
      </c>
      <c r="AM123" s="26" t="s">
        <v>864</v>
      </c>
      <c r="AN123" s="26" t="s">
        <v>864</v>
      </c>
      <c r="AO123" s="26" t="s">
        <v>864</v>
      </c>
      <c r="AP123" s="26" t="s">
        <v>864</v>
      </c>
      <c r="AQ123" s="26" t="s">
        <v>864</v>
      </c>
      <c r="AR123" s="26" t="s">
        <v>864</v>
      </c>
      <c r="AS123" s="21">
        <v>0</v>
      </c>
      <c r="AT123" s="21">
        <v>0</v>
      </c>
      <c r="AU123" s="21">
        <v>0</v>
      </c>
      <c r="AV123" s="26" t="s">
        <v>864</v>
      </c>
      <c r="AW123" s="21">
        <v>0</v>
      </c>
      <c r="AX123" s="26" t="s">
        <v>864</v>
      </c>
      <c r="AY123" s="26" t="s">
        <v>864</v>
      </c>
      <c r="AZ123" s="26" t="s">
        <v>864</v>
      </c>
      <c r="BA123" s="26" t="s">
        <v>864</v>
      </c>
      <c r="BB123" s="26" t="s">
        <v>864</v>
      </c>
      <c r="BC123" s="26" t="s">
        <v>864</v>
      </c>
      <c r="BD123" s="26" t="s">
        <v>864</v>
      </c>
      <c r="BE123" s="26" t="s">
        <v>864</v>
      </c>
      <c r="BF123" s="26" t="s">
        <v>864</v>
      </c>
      <c r="BG123" s="26" t="s">
        <v>864</v>
      </c>
      <c r="BH123" s="26" t="s">
        <v>864</v>
      </c>
      <c r="BI123" s="26" t="s">
        <v>864</v>
      </c>
      <c r="BJ123" s="26" t="s">
        <v>864</v>
      </c>
      <c r="BK123" s="26" t="s">
        <v>865</v>
      </c>
      <c r="BL123" s="26" t="s">
        <v>864</v>
      </c>
      <c r="BM123" s="26" t="s">
        <v>864</v>
      </c>
      <c r="BN123" s="22">
        <v>42174</v>
      </c>
      <c r="BO123" s="22">
        <v>44913</v>
      </c>
      <c r="BP123" s="21" t="s">
        <v>854</v>
      </c>
      <c r="BQ123" s="222">
        <f t="shared" si="254"/>
        <v>91.3</v>
      </c>
      <c r="BR123" s="223" t="str">
        <f t="shared" si="255"/>
        <v/>
      </c>
      <c r="BS123" s="224">
        <f t="shared" si="256"/>
        <v>10.857142857142858</v>
      </c>
      <c r="BT123" s="216" t="str">
        <f t="shared" si="257"/>
        <v>II TRIM</v>
      </c>
      <c r="BU123" s="214" t="str">
        <f t="shared" ca="1" si="258"/>
        <v/>
      </c>
      <c r="BV123" s="25"/>
      <c r="BW123" s="22"/>
      <c r="BX123" s="28"/>
      <c r="BY123" s="28"/>
      <c r="BZ123" s="22"/>
      <c r="CA123" s="21"/>
      <c r="CB123" s="26"/>
      <c r="CC123" s="26"/>
      <c r="CD123" s="26"/>
      <c r="CE123" s="26"/>
      <c r="CF123" s="22" t="s">
        <v>1517</v>
      </c>
      <c r="CG123" s="21">
        <v>1.48</v>
      </c>
      <c r="CH123" s="21">
        <v>54.9</v>
      </c>
      <c r="CI123" s="214">
        <f t="shared" si="259"/>
        <v>25.063915266617968</v>
      </c>
      <c r="CJ123" s="225" t="e">
        <f>IF(AND(CI123&lt;10,CH123="SD"),"SIN DATO PESO PREGESTACION O I TRIM",IF(AND(OR(R123&gt;0,O123&gt;0),CI123="X"),"INGRESAR DATO DE PESO",IF(CI123="SD","INGRESAR DATO DE TALLA Y PESO",IF(AND(OR(Tabla1[[#This Row],[MOMENTO EN QUE SE REALIZA EL PESO AL INGRESO A CPN]]="PREGESTACIÓN",NZ123="Menor"),CI123&lt;18.5),"BAJO PESO",IF(AND(OR(Tabla1[[#This Row],[MOMENTO EN QUE SE REALIZA EL PESO AL INGRESO A CPN]]="PREGESTACIÓN",NZ123="Menor"),CI123&lt;25),"NORMAL",IF(AND(OR(Tabla1[[#This Row],[MOMENTO EN QUE SE REALIZA EL PESO AL INGRESO A CPN]]="PREGESTACIÓN",NZ123="Menor"),CI123&lt;30),"SOBREPESO",IF(AND(OR(Tabla1[[#This Row],[MOMENTO EN QUE SE REALIZA EL PESO AL INGRESO A CPN]]="PREGESTACIÓN",NZ123="Menor"),CI123&gt;=30,CI123&lt;50),"OBESIDAD",IF(AND(BS123&gt;0,Tabla1[[#This Row],[MOMENTO EN QUE SE REALIZA EL PESO AL INGRESO A CPN]]="GESTACIÓN"),HLOOKUP(NZ123,$OA$2:PH123,NY123),""))))))))</f>
        <v>#REF!</v>
      </c>
      <c r="CK123" s="212">
        <f t="shared" si="260"/>
        <v>45086</v>
      </c>
      <c r="CL123" s="21">
        <v>58</v>
      </c>
      <c r="CM123" s="214">
        <f t="shared" si="261"/>
        <v>26.479181884587291</v>
      </c>
      <c r="CN123" s="216">
        <f t="shared" si="262"/>
        <v>24</v>
      </c>
      <c r="CO123" s="216" t="e">
        <f>IF(PI123="","",IF(PI123&gt;0,HLOOKUP(PI123,$PJ$2:QQ123,NY123),""))</f>
        <v>#REF!</v>
      </c>
      <c r="CP123" s="21">
        <v>23</v>
      </c>
      <c r="CQ123" s="216" t="e">
        <f>IF(QR123="Menor","NO APLICA-MENOR 13 SEM",IF(AND(CC123="SI",CN123&gt;23),"NO APLICA- GEMELAR",IF(QR123="","",IF(QR123&gt;0,HLOOKUP(QR123,$QS$2:RU123,NY123),""))))</f>
        <v>#REF!</v>
      </c>
      <c r="CR123" s="21"/>
      <c r="CS123" s="21"/>
      <c r="CT123" s="217" t="str">
        <f>IF(R123="","",IF(AND(BS123&gt;1,BS123&lt;12,Tabla1[[#This Row],[T.A. SISTOLICA - ANTES DE SEMANA 12]]="",Tabla1[[#This Row],[T.A. DIASTOLICA - ANTES DE SEMANA 12]]=""),"REGISTRE DATO TA ANTES SEMANA 12",IF(AND(BS123&gt;11,BS123&lt;43,Tabla1[[#This Row],[T.A. SISTOLICA - ANTES DE SEMANA 12]]="",Tabla1[[#This Row],[T.A. DIASTOLICA - ANTES DE SEMANA 12]]=""),"NO APLICA REGISTRO TA-INGRESO TARDIO",IF(AND(OR(O123&gt;0,R123&gt;0),OR(CR123&gt;=140,CS123&gt;=90)),"DEFINIR ESTADIO HTA",IF(AND(OR(O123&gt;0,R123&gt;0),AND(CR123&gt;120,CR123&lt;=139)),"PRE HTA SEGUIMIENTO",IF(AND(OR(O123&gt;0,R123&gt;0),AND(CS123&gt;80,CS123&lt;=89)),"PRE HTA SEGUIMIENTO",IF(AND(OR(O123&gt;0,R123&gt;0),AND(CR123&gt;=80,CR123&lt;=120)),"APARENTEMENTE NORMAL",IF(AND(OR(O123&gt;0,R123&gt;0),AND(CS123&gt;=50,CS123&lt;=80)),"APARENTEMENTE NORMAL",IF(AND(OR(O123&gt;0,R123&gt;0),AND(CR123&gt;1,CR123&lt;=70),AND(CS123&gt;1,CS123&lt;=40)),"HIPOTENSIÓN","")))))))))</f>
        <v>REGISTRE DATO TA ANTES SEMANA 12</v>
      </c>
      <c r="CU123" s="21">
        <v>90</v>
      </c>
      <c r="CV123" s="21">
        <v>60</v>
      </c>
      <c r="CW123" s="217" t="str">
        <f ca="1">IF(R123="","",IF(AND(CN123&gt;19,CN123&lt;27,Tabla1[[#This Row],[T.A. SISTOLICA (Entre semana 20 y 26)]]="",Tabla1[[#This Row],[T.A. DIATOLICA (Entre semana 20 y 26)]]=""),"ACUDE A CONTROL SEM 20 A 26 REGISTRE TA AHORA",IF(AND(BS123&gt;1,BS123&lt;27,BU123&gt;19,Tabla1[[#This Row],[T.A. SISTOLICA (Entre semana 20 y 26)]]="",Tabla1[[#This Row],[T.A. DIATOLICA (Entre semana 20 y 26)]]=""),"COMPLETE REGISTRO TA CONTROL SEM 20 A26 ",IF(AND(BS123&gt;26,BS123&lt;43,Tabla1[[#This Row],[T.A. SISTOLICA (Entre semana 20 y 26)]]="",Tabla1[[#This Row],[T.A. DIATOLICA (Entre semana 20 y 26)]]=""),"NO APLICA REGISTRO TA-INGRESO TARDIO",IF(AND(OR(O123&gt;0,R123&gt;0),OR(CU123&gt;=140,CV123&gt;=90)),"ALTO RIESGO PREECLAMPSIA,DEFINIR ESTADIO HTA",IF(AND(OR(O123&gt;0,R123&gt;0),AND(CU123&gt;120,CU123&lt;=139)),"PRE HTA SEGUIMIENTO,RIESGO HIPERTENSION INDUCIDA POR EL EMBARAZO",IF(AND(OR(O123&gt;0,R123&gt;0),AND(CV123&gt;80,CV123&lt;=89)),"PRE HTA SEGUIMIENTO, RIESGO HIPERTENSION INDUCIDA POR EL EMBARAZO",IF(AND(OR(O123&lt;&gt;"",R123&lt;&gt;""),CS123&lt;&gt;"",CV123&lt;&gt;"",CS123&lt;=CV123),"VIGILAR CIFRAS PRESION ARTERIAL",IF(AND(OR(O123&gt;0,R123&gt;0),AND(CU123&gt;120,CU123&lt;=139)),"PRE HTA SEGUIMIENTO",IF(AND(OR(O123&gt;0,R123&gt;0),AND(CU123&gt;1,CU123&lt;=70),AND(CV123&gt;1,CV123&lt;=40)),"HIPOTENSIÓN",IF(AND(OR(O123&lt;&gt;"",R123&lt;&gt;""),CS123&lt;&gt;"",CV123&lt;&gt;"",CS123&gt;CV123),"APARENTEMENTE NORMAL",IF(AND(OR(O123&gt;0,R123&gt;0),AND(CU123&gt;=80,CU123&lt;=120)),"APARENTEMENTE NORMAL",IF(AND(OR(O123&gt;0,R123&gt;0),AND(CV123&gt;=50,CV123&lt;=80)),"APARENTEMENTE NORMAL","")))))))))))))</f>
        <v>APARENTEMENTE NORMAL</v>
      </c>
      <c r="CX123" s="21"/>
      <c r="CY123" s="21"/>
      <c r="CZ123" s="216" t="str">
        <f t="shared" si="457"/>
        <v/>
      </c>
      <c r="DA123" s="21">
        <v>90</v>
      </c>
      <c r="DB123" s="21">
        <v>60</v>
      </c>
      <c r="DC123" s="217" t="str">
        <f t="shared" si="264"/>
        <v>APARENTEMENTE NORMAL</v>
      </c>
      <c r="DD123" s="22">
        <v>44989</v>
      </c>
      <c r="DE123" s="22">
        <v>44989</v>
      </c>
      <c r="DF123" s="22">
        <v>45044</v>
      </c>
      <c r="DG123" s="22">
        <v>45086</v>
      </c>
      <c r="DH123" s="22"/>
      <c r="DI123" s="22"/>
      <c r="DJ123" s="22"/>
      <c r="DK123" s="22"/>
      <c r="DL123" s="22"/>
      <c r="DM123" s="22"/>
      <c r="DN123" s="22"/>
      <c r="DO123" s="22"/>
      <c r="DP123" s="22"/>
      <c r="DQ123" s="22"/>
      <c r="DR123" s="28">
        <v>1</v>
      </c>
      <c r="DS123" s="22"/>
      <c r="DT123" s="22"/>
      <c r="DU123" s="216" t="str">
        <f t="shared" ca="1" si="439"/>
        <v>CONCERTAR PLAN DE PARTO INMEDIATO</v>
      </c>
      <c r="DV123" s="226" t="str">
        <f t="shared" si="440"/>
        <v>ACTIVA INGRESO A CPN</v>
      </c>
      <c r="DW123"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23" s="216" t="e">
        <f t="shared" ca="1" si="266"/>
        <v>#REF!</v>
      </c>
      <c r="DY123" s="212">
        <f>IF(R123="","",IF(R123&gt;0,MAX(Tabla1[[#This Row],[FECHA C2]:[FECHA C13]],Tabla1[[#This Row],[FECHA CONSULTA PRIMERA VEZ PROGRAMA CPN ]])))</f>
        <v>45086</v>
      </c>
      <c r="DZ123" s="216">
        <f t="shared" si="267"/>
        <v>24</v>
      </c>
      <c r="EA123" s="222">
        <f>IF(R123&gt;0,SUM(COUNTA(DF123:DQ123)+COUNTA(Tabla1[[#This Row],[FECHA CONSULTA PRIMERA VEZ PROGRAMA CPN ]])),"")</f>
        <v>3</v>
      </c>
      <c r="EB123" s="222" t="str">
        <f t="shared" si="268"/>
        <v>NO</v>
      </c>
      <c r="EC123" s="214">
        <f t="shared" si="269"/>
        <v>9</v>
      </c>
      <c r="ED123" s="227">
        <f t="shared" si="270"/>
        <v>0.33333333333333331</v>
      </c>
      <c r="EE123" s="22">
        <v>44989</v>
      </c>
      <c r="EF123" s="22">
        <v>44989</v>
      </c>
      <c r="EG123" s="22">
        <v>44989</v>
      </c>
      <c r="EH123" s="22"/>
      <c r="EI123" s="22">
        <v>44989</v>
      </c>
      <c r="EJ123" s="22"/>
      <c r="EK123" s="22"/>
      <c r="EL123" s="21"/>
      <c r="EM123" s="21">
        <v>13.9</v>
      </c>
      <c r="EN123" s="22">
        <v>44989</v>
      </c>
      <c r="EO123" s="222">
        <f t="shared" si="271"/>
        <v>10.857142857142858</v>
      </c>
      <c r="EP123" s="214" t="str">
        <f t="shared" si="272"/>
        <v>NORMAL- SUMINISTRAR SULFATO FERROSO</v>
      </c>
      <c r="EQ123" s="216" t="str">
        <f t="shared" si="273"/>
        <v>I TRIM</v>
      </c>
      <c r="ER123" s="24"/>
      <c r="ES123" s="22"/>
      <c r="ET123" s="29" t="str">
        <f t="shared" ca="1" si="441"/>
        <v>TOMA DE HEMOGLOBINA TARDÍA</v>
      </c>
      <c r="EU123" s="25" t="str">
        <f t="shared" si="275"/>
        <v/>
      </c>
      <c r="EV123" s="24" t="s">
        <v>866</v>
      </c>
      <c r="EW123" s="24">
        <v>44989</v>
      </c>
      <c r="EX123" s="22"/>
      <c r="EY123" s="29">
        <f t="shared" si="454"/>
        <v>10.857142857142858</v>
      </c>
      <c r="EZ123" s="25" t="str">
        <f t="shared" ca="1" si="455"/>
        <v/>
      </c>
      <c r="FA123" s="21">
        <v>67</v>
      </c>
      <c r="FB123" s="22">
        <v>44989</v>
      </c>
      <c r="FC123" s="29">
        <f t="shared" si="276"/>
        <v>10.857142857142858</v>
      </c>
      <c r="FD123" s="29"/>
      <c r="FE123" s="29"/>
      <c r="FF123" s="29"/>
      <c r="FG123" s="21" t="str">
        <f t="shared" ca="1" si="277"/>
        <v/>
      </c>
      <c r="FH123" s="31"/>
      <c r="FI123" s="29" t="str">
        <f t="shared" si="278"/>
        <v>TOMAR EXAMEN</v>
      </c>
      <c r="FJ123" s="22" t="s">
        <v>867</v>
      </c>
      <c r="FK123" s="22">
        <v>44989</v>
      </c>
      <c r="FL123" s="29">
        <f t="shared" ca="1" si="279"/>
        <v>10.857142857142858</v>
      </c>
      <c r="FM123" s="22"/>
      <c r="FN123" s="32"/>
      <c r="FO123" s="29" t="str">
        <f t="shared" ca="1" si="442"/>
        <v>PIERDE TOMA DE TAMIZAJE</v>
      </c>
      <c r="FP123" s="22"/>
      <c r="FQ123" s="32"/>
      <c r="FR123" s="29" t="str">
        <f t="shared" ca="1" si="443"/>
        <v>TOMA INMEDIATA DE TAMIZAJE</v>
      </c>
      <c r="FS123" s="22"/>
      <c r="FT123" s="32"/>
      <c r="FU123" s="29" t="str">
        <f>IF(AND(FJ123="",FM123="",FP123="",FS123=""),"",IF(OR(OR(Tabla1[[#This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23" s="28"/>
      <c r="FW123" s="22"/>
      <c r="FX123" s="29" t="str">
        <f t="shared" si="280"/>
        <v>TOMAR EXAMEN</v>
      </c>
      <c r="FY123" s="22">
        <v>44989</v>
      </c>
      <c r="FZ123" s="22">
        <v>44989</v>
      </c>
      <c r="GA123" s="29">
        <f t="shared" ca="1" si="453"/>
        <v>10.857142857142858</v>
      </c>
      <c r="GB123" s="22"/>
      <c r="GC123" s="22"/>
      <c r="GD123" s="29" t="str">
        <f t="shared" ca="1" si="491"/>
        <v>PIERDE TOMA DE TAMIZAJE</v>
      </c>
      <c r="GE123" s="22"/>
      <c r="GF123" s="22"/>
      <c r="GG123" s="29" t="str">
        <f t="shared" ca="1" si="445"/>
        <v>TOMA INMEDIATA DE TAMIZAJE</v>
      </c>
      <c r="GH123" s="22"/>
      <c r="GI123" s="29"/>
      <c r="GJ123" s="22"/>
      <c r="GK123" s="22"/>
      <c r="GL123" s="22"/>
      <c r="GM123" s="22"/>
      <c r="GN123" s="28" t="s">
        <v>869</v>
      </c>
      <c r="GO123" s="22">
        <v>44989</v>
      </c>
      <c r="GP123" s="29">
        <f t="shared" si="283"/>
        <v>10.857142857142858</v>
      </c>
      <c r="GQ123" s="28" t="s">
        <v>869</v>
      </c>
      <c r="GR123" s="28" t="s">
        <v>869</v>
      </c>
      <c r="GS123" s="22" t="str">
        <f t="shared" si="458"/>
        <v>CONTROL Igm</v>
      </c>
      <c r="GT123" s="22">
        <v>44989</v>
      </c>
      <c r="GU123" s="29">
        <f t="shared" si="285"/>
        <v>10.857142857142858</v>
      </c>
      <c r="GV123" s="21" t="str">
        <f t="shared" si="286"/>
        <v>I TRIM</v>
      </c>
      <c r="GW123" s="28" t="s">
        <v>869</v>
      </c>
      <c r="GX123" s="30"/>
      <c r="GY123" s="21"/>
      <c r="GZ123" s="21"/>
      <c r="HA123" s="21"/>
      <c r="HB123" s="21"/>
      <c r="HC123" s="21"/>
      <c r="HD123" s="21"/>
      <c r="HE123" s="21"/>
      <c r="HF123" s="22"/>
      <c r="HG123" s="22" t="str">
        <f>IF(OR(O123&gt;0,R123&gt;0),CONCATENATE(IF(Tabla1[[#This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23" s="22" t="e">
        <f t="shared" si="287"/>
        <v>#REF!</v>
      </c>
      <c r="HI123" s="22" t="e">
        <f t="shared" ca="1" si="288"/>
        <v>#REF!</v>
      </c>
      <c r="HJ123" s="21" t="str">
        <f t="shared" ca="1" si="289"/>
        <v>**********************MULTIPARIDAD*****************</v>
      </c>
      <c r="HK123" s="21" t="str">
        <f t="shared" si="290"/>
        <v>SIN ANTECEDENTES DE RIESGO</v>
      </c>
      <c r="HL123" s="24" t="str">
        <f t="shared" si="291"/>
        <v>APARENTEMENTE NORMAL</v>
      </c>
      <c r="HM123" s="21" t="e">
        <f t="shared" ca="1" si="292"/>
        <v>#REF!</v>
      </c>
      <c r="HN123" s="30" t="str">
        <f t="shared" si="446"/>
        <v>ACTIVA INGRESO A CPN</v>
      </c>
      <c r="HO123" s="21"/>
      <c r="HP123" s="21"/>
      <c r="HQ123" s="349">
        <v>45044</v>
      </c>
      <c r="HR123" s="21" t="str">
        <f>IF(R123="","",IF(Tabla1[[#This Row],[ALARMA FACTORES DE RIESGO COMPLICACIONES HIPERTENSIVAS3]]="SIN ANTECEDENTES DE RIESGO","No Aplica para suministro de ASA",IF(AND(Tabla1[[#This Row],[FECHA INICIO DE SUMINISTRO DE ASA]]&gt;0,RV123&lt;12),"Inicia ASA ANTES de Sem 12",IF(AND(RV123&gt;11,RV123&lt;17,OR(HK123="RIESGO ALTO DE COMPLICACIONES HIPERTENSIVAS VER MANEJO GUIA SUMINISTRO ASA Y CALCIO",HK123="RIESGO MODERADO (2 O MAS CRITERIOS) VER MANEJO GUIA SUMINISTRO ASA Y CALCIO")),"Inicio oportuno de ASA",IF(AND(RV123&gt;12,OR(HK123="RIESGO ALTO DE COMPLICACIONES HIPERTENSIVAS VER MANEJO GUIA SUMINISTRO ASA Y CALCIO",HK123="RIESGO MODERADO (2 O MAS CRITERIOS) VER MANEJO GUIA SUMINISTRO ASA Y CALCIO")),"Inicio no oportuno mayor a 16 semanas",IF(AND(BU123&lt;12,OR(HK123="RIESGO ALTO DE COMPLICACIONES HIPERTENSIVAS VER MANEJO GUIA SUMINISTRO ASA Y CALCIO",HK123="RIESGO MODERADO (2 O MAS CRITERIOS) VER MANEJO GUIA SUMINISTRO ASA Y CALCIO")),"Pendiente Inicio de ASA a la semana 12",IF(AND(BU123&gt;11,BU123&lt;17,OR(HK123="RIESGO ALTO DE COMPLICACIONES HIPERTENSIVAS VER MANEJO GUIA SUMINISTRO ASA Y CALCIO",HK123="RIESGO MODERADO (2 O MAS CRITERIOS) VER MANEJO GUIA SUMINISTRO ASA Y CALCIO")),"Iniciar de inmediato ASA",IF(AND(BU123&gt;16,OR(HK123="RIESGO ALTO DE COMPLICACIONES HIPERTENSIVAS VER MANEJO GUIA SUMINISTRO ASA Y CALCIO",HK123="RIESGO MODERADO (2 O MAS CRITERIOS) VER MANEJO GUIA SUMINISTRO ASA Y CALCIO")),"Pierde Oportunidad, Inicio tardío de ASA","XXXXX"))))))))</f>
        <v>No Aplica para suministro de ASA</v>
      </c>
      <c r="HS123" s="22">
        <v>45044</v>
      </c>
      <c r="HT123" s="22" t="s">
        <v>870</v>
      </c>
      <c r="HU123" s="22">
        <v>45044</v>
      </c>
      <c r="HV123" s="22" t="s">
        <v>870</v>
      </c>
      <c r="HW123" s="22">
        <v>45044</v>
      </c>
      <c r="HX123" s="22" t="s">
        <v>870</v>
      </c>
      <c r="HY123" s="22">
        <v>45044</v>
      </c>
      <c r="HZ123" s="28">
        <f t="shared" si="293"/>
        <v>18.714285714285715</v>
      </c>
      <c r="IA123" s="26"/>
      <c r="IB123" s="26"/>
      <c r="IC123" s="111"/>
      <c r="ID123" s="22"/>
      <c r="IE123" s="22" t="str">
        <f t="shared" ca="1" si="294"/>
        <v/>
      </c>
      <c r="IF123" s="22"/>
      <c r="IG123" s="22">
        <f t="shared" si="295"/>
        <v>45193</v>
      </c>
      <c r="IH123" s="29">
        <f t="shared" ca="1" si="296"/>
        <v>-39</v>
      </c>
      <c r="II123" s="22" t="str">
        <f t="shared" ca="1" si="297"/>
        <v>POSIBLEMENTE NACIO</v>
      </c>
      <c r="IJ123" s="22"/>
      <c r="IK123" s="21"/>
      <c r="IL123" s="21"/>
      <c r="IM123" s="34"/>
      <c r="IN123" s="22"/>
      <c r="IO123" s="21"/>
      <c r="IP123" s="29" t="str">
        <f t="shared" si="490"/>
        <v/>
      </c>
      <c r="IQ123" s="35"/>
      <c r="IR123" s="21"/>
      <c r="IS123" s="21"/>
      <c r="IT123" s="21"/>
      <c r="IU123" s="21"/>
      <c r="IV123" s="21"/>
      <c r="IW123" s="21"/>
      <c r="IX123" s="21"/>
      <c r="IY123" s="21"/>
      <c r="IZ123" s="21"/>
      <c r="JA123" s="21"/>
      <c r="JB123" s="30"/>
      <c r="JC123" s="21"/>
      <c r="JD123" s="36"/>
      <c r="JE123" s="21" t="str">
        <f t="shared" si="492"/>
        <v/>
      </c>
      <c r="JF123" s="30"/>
      <c r="JG123" s="21"/>
      <c r="JH123" s="21"/>
      <c r="JI123" s="21"/>
      <c r="JJ123" s="30"/>
      <c r="JK123" s="22"/>
      <c r="JL123" s="22"/>
      <c r="JM123" s="21"/>
      <c r="JN123" s="36"/>
      <c r="JO123" s="21" t="str">
        <f t="shared" si="493"/>
        <v/>
      </c>
      <c r="JP123" s="22"/>
      <c r="JQ123" s="21"/>
      <c r="JR123" s="21"/>
      <c r="JS123" s="21"/>
      <c r="JT123" s="30"/>
      <c r="JU123" s="22"/>
      <c r="JV123" s="22"/>
      <c r="JW123" s="33"/>
      <c r="JX123" s="28" t="str">
        <f t="shared" si="494"/>
        <v/>
      </c>
      <c r="JY123" s="33"/>
      <c r="JZ123" s="28" t="str">
        <f t="shared" si="495"/>
        <v/>
      </c>
      <c r="KA123" s="21"/>
      <c r="KB123" s="21"/>
      <c r="KC123" s="21"/>
      <c r="KD123" s="37"/>
      <c r="KE123" s="28"/>
      <c r="KF123" s="28"/>
      <c r="KG123" s="28"/>
      <c r="KH123" s="39"/>
      <c r="KI123" s="39"/>
      <c r="KJ123" s="66"/>
      <c r="KK123" s="39"/>
      <c r="KL123" s="39"/>
      <c r="KM123" s="66"/>
      <c r="KN123" s="39"/>
      <c r="KO123" s="39"/>
      <c r="KP123" s="39"/>
      <c r="KQ123" s="39"/>
      <c r="KR123" s="39"/>
      <c r="KS123" s="39"/>
      <c r="KT123" s="39"/>
      <c r="KU123" s="38"/>
      <c r="KV123" s="38"/>
      <c r="KW123" s="38"/>
      <c r="KX123" s="38"/>
      <c r="KY123" s="38"/>
      <c r="KZ123" s="38"/>
      <c r="LA123" s="38"/>
      <c r="LB123" s="38"/>
      <c r="LC123" s="38"/>
      <c r="LD123" s="38"/>
      <c r="LE123" s="38"/>
      <c r="LF123" s="38"/>
      <c r="LG123" s="38"/>
      <c r="LH123" s="38"/>
      <c r="LI123" s="38"/>
      <c r="LJ123" s="38"/>
      <c r="LK123" s="38"/>
      <c r="LL123" s="38"/>
      <c r="LM123" s="38"/>
      <c r="LN123" s="38"/>
      <c r="LO123" s="38"/>
      <c r="LP123" s="38"/>
      <c r="LQ123" s="38"/>
      <c r="LR123" s="38"/>
      <c r="LS123" s="38"/>
      <c r="LT123" s="38"/>
      <c r="LU123" s="38"/>
      <c r="LV123" s="38"/>
      <c r="LW123" s="38"/>
      <c r="LX123" s="38"/>
      <c r="LY123" s="38"/>
      <c r="LZ123" s="38"/>
      <c r="MA123" s="38"/>
      <c r="MB123" s="38"/>
      <c r="MC123" s="38"/>
      <c r="MD123" s="38"/>
      <c r="ME123" s="38"/>
      <c r="MF123" s="38"/>
      <c r="MG123" s="38"/>
      <c r="MH123" s="43">
        <f t="shared" si="459"/>
        <v>0</v>
      </c>
      <c r="MI123" s="43" t="str">
        <f t="shared" si="460"/>
        <v/>
      </c>
      <c r="MJ123" s="43" t="str">
        <f t="shared" si="461"/>
        <v/>
      </c>
      <c r="MK123" s="43">
        <f t="shared" si="462"/>
        <v>0</v>
      </c>
      <c r="ML12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23" s="43">
        <f t="shared" si="463"/>
        <v>10.857142857142858</v>
      </c>
      <c r="MN123" s="43">
        <f t="shared" si="464"/>
        <v>3</v>
      </c>
      <c r="MO123" s="43">
        <f t="shared" si="465"/>
        <v>2023</v>
      </c>
      <c r="MP123" s="43" t="str">
        <f t="shared" si="466"/>
        <v>I TRIMESTRE AÑO</v>
      </c>
      <c r="MQ123" s="43">
        <f t="shared" si="467"/>
        <v>30.669623302671923</v>
      </c>
      <c r="MR123" s="43">
        <f t="shared" si="468"/>
        <v>0</v>
      </c>
      <c r="MS123" s="43" t="str">
        <f t="shared" si="469"/>
        <v xml:space="preserve"> DE 30 A 34 AÑOS</v>
      </c>
      <c r="MT123" s="43">
        <f t="shared" si="470"/>
        <v>0</v>
      </c>
      <c r="MU123" s="43">
        <f t="shared" si="471"/>
        <v>1</v>
      </c>
      <c r="MV123" s="43">
        <f t="shared" si="472"/>
        <v>0</v>
      </c>
      <c r="MW123" s="43">
        <f t="shared" si="473"/>
        <v>0</v>
      </c>
      <c r="MX123" s="43" t="str">
        <f t="shared" si="474"/>
        <v/>
      </c>
      <c r="MY123" s="43" t="str">
        <f t="shared" ca="1" si="496"/>
        <v/>
      </c>
      <c r="MZ123" s="43" t="str">
        <f t="shared" si="475"/>
        <v/>
      </c>
      <c r="NA123" s="43" t="str">
        <f t="shared" si="476"/>
        <v/>
      </c>
      <c r="NB123" s="43" t="str">
        <f t="shared" si="477"/>
        <v/>
      </c>
      <c r="NC123" s="43" t="str">
        <f t="shared" si="478"/>
        <v/>
      </c>
      <c r="ND123" s="43">
        <f t="shared" ca="1" si="479"/>
        <v>1</v>
      </c>
      <c r="NE123" s="43">
        <f>IF(OR(O123&gt;0,R123&gt;0),SUM(COUNTIF(Tabla1[[#This Row],[AÑOS AL INICIO5 CPN]],"&gt;=40"),COUNTIF(AS123,"0"),COUNTIF(AR123,"SI"),COUNTIF(CC123,"SI"),COUNTIF(BQ123,"&gt;119"),COUNTIF(CI123,"&gt;=35")),"")</f>
        <v>1</v>
      </c>
      <c r="NF123" s="43" t="str">
        <f t="shared" si="480"/>
        <v/>
      </c>
      <c r="NG123" s="43">
        <f t="shared" si="481"/>
        <v>0</v>
      </c>
      <c r="NH123" s="43" t="str">
        <f t="shared" si="482"/>
        <v/>
      </c>
      <c r="NI12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CPN",P123="NO"),"Z",IF(AND(Tabla1[[#This Row],[CITA PROXIMO CONTROL]]="CITA MANUAL",Tabla1[[#This Row],[GESTANTES ACTUALES]]="ACTIVA INGRESO A CPN"),"W",IF(AND(Tabla1[[#This Row],[GESTANTES ACTUALES]]="SALIO PROGRAMA",IN123=""),"S",IF(AND(Tabla1[[#This Row],[CITA PROXIMO CONTROL]]&gt;0,IN123=""),(Tabla1[[#This Row],[CITA PROXIMO CONTROL]]-TODAY()),"SD"))))))))</f>
        <v>#REF!</v>
      </c>
      <c r="NJ123" s="43">
        <f>MONTH(Tabla1[[#This Row],[FECHA DE SALIDA  DEL PROGRAMA]])</f>
        <v>1</v>
      </c>
      <c r="NK123" s="43">
        <f>YEAR(Tabla1[[#This Row],[FECHA DE SALIDA  DEL PROGRAMA]])</f>
        <v>1900</v>
      </c>
      <c r="NL123" s="43" t="str">
        <f t="shared" si="483"/>
        <v>X</v>
      </c>
      <c r="NM123" s="43" t="str">
        <f t="shared" si="456"/>
        <v>NO</v>
      </c>
      <c r="NN123" s="43" t="str">
        <f ca="1">IF(AND(O123&gt;0,R123=""),"NO CPN",IF(AND(O123="",R123=""),"",IF(AND(R123&gt;0,Tabla1[[#This Row],[SEMANAS DE GESTACION ACTUALIZADAS]]&lt;=12),"NO APLICA",IF(AND(FH123&lt;&gt;"",FN123&lt;&gt;""),"SI","NO"))))</f>
        <v>NO</v>
      </c>
      <c r="NO123" s="43" t="str">
        <f ca="1">IF(AND(O123&gt;0,R123=""),"NO CPN",IF(AND(O123="",R123=""),"",IF(AND(R123&gt;0,Tabla1[[#This Row],[SEMANAS DE GESTACION ACTUALIZADAS]]&lt;=27),"NO APLICA",IF(AND(ES123&lt;&gt;"",FQ123&lt;&gt;"",GF123&lt;&gt;""),"SI","NO"))))</f>
        <v>NO</v>
      </c>
      <c r="NP123" s="204" t="str">
        <f t="shared" si="484"/>
        <v>I TRIM</v>
      </c>
      <c r="NQ123" s="21" t="str">
        <f t="shared" si="437"/>
        <v/>
      </c>
      <c r="NR123" s="21" t="str">
        <f t="shared" ca="1" si="497"/>
        <v>REVISAR FUM O FECHA SALIDA PROGRAMA</v>
      </c>
      <c r="NS123" s="205">
        <f t="shared" ca="1" si="485"/>
        <v>1</v>
      </c>
      <c r="NT123" s="21">
        <f t="shared" ca="1" si="486"/>
        <v>1</v>
      </c>
      <c r="NU123" s="21" t="str">
        <f t="shared" ca="1" si="487"/>
        <v>POR DEFINIR</v>
      </c>
      <c r="NV123" s="21" t="str">
        <f t="shared" ca="1" si="488"/>
        <v>POR DEFINIR</v>
      </c>
      <c r="NW123" s="206" t="str">
        <f>IF(AND(O123="",R123=""),"",IF(OR(AND(Tabla1[[#This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23" s="207" t="str">
        <f t="shared" ca="1" si="489"/>
        <v>SIN VACUNAR</v>
      </c>
      <c r="NY123" s="43">
        <f>ROW(Tabla1[[#This Row],['# DE TAMIZAJES SIFILIS TOMADOS ]])</f>
        <v>123</v>
      </c>
      <c r="NZ123" s="43">
        <f t="shared" si="334"/>
        <v>10</v>
      </c>
      <c r="OA123" s="43" t="str">
        <f t="shared" si="335"/>
        <v/>
      </c>
      <c r="OB123" s="43" t="str">
        <f t="shared" si="336"/>
        <v>NORMAL</v>
      </c>
      <c r="OC123" s="43" t="str">
        <f t="shared" si="337"/>
        <v/>
      </c>
      <c r="OD123" s="43" t="str">
        <f t="shared" si="338"/>
        <v/>
      </c>
      <c r="OE123" s="43" t="str">
        <f t="shared" si="339"/>
        <v/>
      </c>
      <c r="OF123" s="43" t="str">
        <f t="shared" si="340"/>
        <v/>
      </c>
      <c r="OG123" s="43" t="str">
        <f t="shared" si="341"/>
        <v/>
      </c>
      <c r="OH123" s="43" t="str">
        <f t="shared" si="342"/>
        <v/>
      </c>
      <c r="OI123" s="43" t="str">
        <f t="shared" si="343"/>
        <v/>
      </c>
      <c r="OJ123" s="43" t="str">
        <f t="shared" si="344"/>
        <v/>
      </c>
      <c r="OK123" s="43" t="str">
        <f t="shared" si="345"/>
        <v/>
      </c>
      <c r="OL123" s="43" t="str">
        <f t="shared" si="346"/>
        <v/>
      </c>
      <c r="OM123" s="43" t="str">
        <f t="shared" si="347"/>
        <v/>
      </c>
      <c r="ON123" s="43" t="str">
        <f t="shared" si="348"/>
        <v/>
      </c>
      <c r="OO123" s="43" t="str">
        <f t="shared" si="349"/>
        <v/>
      </c>
      <c r="OP123" s="43" t="str">
        <f t="shared" si="350"/>
        <v/>
      </c>
      <c r="OQ123" s="43" t="str">
        <f t="shared" si="351"/>
        <v/>
      </c>
      <c r="OR123" s="43" t="str">
        <f t="shared" si="352"/>
        <v/>
      </c>
      <c r="OS123" s="43" t="str">
        <f t="shared" si="353"/>
        <v/>
      </c>
      <c r="OT123" s="43" t="str">
        <f t="shared" si="354"/>
        <v/>
      </c>
      <c r="OU123" s="43" t="str">
        <f t="shared" si="355"/>
        <v/>
      </c>
      <c r="OV123" s="110" t="str">
        <f t="shared" si="356"/>
        <v/>
      </c>
      <c r="OW123" s="43" t="str">
        <f t="shared" si="357"/>
        <v/>
      </c>
      <c r="OX123" s="43" t="str">
        <f t="shared" si="358"/>
        <v/>
      </c>
      <c r="OY123" s="43" t="str">
        <f t="shared" si="359"/>
        <v/>
      </c>
      <c r="OZ123" s="43" t="str">
        <f t="shared" si="360"/>
        <v/>
      </c>
      <c r="PA123" s="43" t="str">
        <f t="shared" si="361"/>
        <v/>
      </c>
      <c r="PB123" s="43" t="str">
        <f t="shared" si="362"/>
        <v/>
      </c>
      <c r="PC123" s="43" t="str">
        <f t="shared" si="363"/>
        <v/>
      </c>
      <c r="PD123" s="43" t="str">
        <f t="shared" si="364"/>
        <v/>
      </c>
      <c r="PE123" s="43" t="str">
        <f t="shared" si="365"/>
        <v/>
      </c>
      <c r="PF123" s="43" t="str">
        <f t="shared" si="366"/>
        <v/>
      </c>
      <c r="PG123" s="43" t="str">
        <f t="shared" si="367"/>
        <v/>
      </c>
      <c r="PH123" s="43" t="str">
        <f t="shared" si="368"/>
        <v/>
      </c>
      <c r="PI123" s="43">
        <f t="shared" si="369"/>
        <v>24</v>
      </c>
      <c r="PJ123" s="43" t="str">
        <f t="shared" si="370"/>
        <v/>
      </c>
      <c r="PK123" s="43" t="str">
        <f t="shared" si="371"/>
        <v/>
      </c>
      <c r="PL123" s="43" t="str">
        <f t="shared" si="372"/>
        <v/>
      </c>
      <c r="PM123" s="43" t="str">
        <f t="shared" si="373"/>
        <v/>
      </c>
      <c r="PN123" s="43" t="str">
        <f t="shared" si="374"/>
        <v/>
      </c>
      <c r="PO123" s="43" t="str">
        <f t="shared" si="375"/>
        <v/>
      </c>
      <c r="PP123" s="43" t="str">
        <f t="shared" si="376"/>
        <v/>
      </c>
      <c r="PQ123" s="43" t="str">
        <f t="shared" si="377"/>
        <v/>
      </c>
      <c r="PR123" s="43" t="str">
        <f t="shared" si="378"/>
        <v/>
      </c>
      <c r="PS123" s="43" t="str">
        <f t="shared" si="379"/>
        <v/>
      </c>
      <c r="PT123" s="43" t="str">
        <f t="shared" si="380"/>
        <v/>
      </c>
      <c r="PU123" s="43" t="str">
        <f t="shared" si="381"/>
        <v/>
      </c>
      <c r="PV123" s="43" t="str">
        <f t="shared" si="382"/>
        <v/>
      </c>
      <c r="PW123" s="43" t="str">
        <f t="shared" si="383"/>
        <v/>
      </c>
      <c r="PX123" s="43" t="str">
        <f t="shared" si="384"/>
        <v/>
      </c>
      <c r="PY123" s="43" t="str">
        <f t="shared" si="385"/>
        <v>NORMAL</v>
      </c>
      <c r="PZ123" s="43" t="str">
        <f t="shared" si="386"/>
        <v/>
      </c>
      <c r="QA123" s="43" t="str">
        <f t="shared" si="387"/>
        <v/>
      </c>
      <c r="QB123" s="43" t="str">
        <f t="shared" si="388"/>
        <v/>
      </c>
      <c r="QC123" s="43" t="str">
        <f t="shared" si="389"/>
        <v/>
      </c>
      <c r="QD123" s="43" t="str">
        <f t="shared" si="390"/>
        <v/>
      </c>
      <c r="QE123" s="43" t="str">
        <f t="shared" si="391"/>
        <v/>
      </c>
      <c r="QF123" s="43" t="str">
        <f t="shared" si="392"/>
        <v/>
      </c>
      <c r="QG123" s="43" t="str">
        <f t="shared" si="393"/>
        <v/>
      </c>
      <c r="QH123" s="43" t="str">
        <f t="shared" si="394"/>
        <v/>
      </c>
      <c r="QI123" s="43" t="str">
        <f t="shared" si="395"/>
        <v/>
      </c>
      <c r="QJ123" s="43" t="str">
        <f t="shared" si="396"/>
        <v/>
      </c>
      <c r="QK123" s="43" t="str">
        <f t="shared" si="397"/>
        <v/>
      </c>
      <c r="QL123" s="43" t="str">
        <f t="shared" si="398"/>
        <v/>
      </c>
      <c r="QM123" s="43" t="str">
        <f t="shared" si="399"/>
        <v/>
      </c>
      <c r="QN123" s="43" t="str">
        <f t="shared" si="400"/>
        <v/>
      </c>
      <c r="QO123" s="43" t="str">
        <f t="shared" si="401"/>
        <v/>
      </c>
      <c r="QP123" s="43" t="str">
        <f t="shared" si="402"/>
        <v/>
      </c>
      <c r="QQ123" s="43" t="str">
        <f t="shared" si="403"/>
        <v/>
      </c>
      <c r="QR123" s="43">
        <f t="shared" si="433"/>
        <v>24</v>
      </c>
      <c r="QS123" s="43"/>
      <c r="QT123" s="21" t="str">
        <f t="shared" si="404"/>
        <v/>
      </c>
      <c r="QU123" s="21" t="str">
        <f t="shared" si="405"/>
        <v/>
      </c>
      <c r="QV123" s="21" t="str">
        <f t="shared" si="406"/>
        <v/>
      </c>
      <c r="QW123" s="21" t="str">
        <f t="shared" si="407"/>
        <v/>
      </c>
      <c r="QX123" s="21" t="str">
        <f t="shared" si="408"/>
        <v/>
      </c>
      <c r="QY123" s="21" t="str">
        <f t="shared" si="409"/>
        <v/>
      </c>
      <c r="QZ123" s="21" t="str">
        <f t="shared" si="410"/>
        <v/>
      </c>
      <c r="RA123" s="21" t="str">
        <f t="shared" si="411"/>
        <v/>
      </c>
      <c r="RB123" s="21" t="str">
        <f t="shared" si="412"/>
        <v/>
      </c>
      <c r="RC123" s="21" t="str">
        <f t="shared" si="413"/>
        <v/>
      </c>
      <c r="RD123" s="21" t="str">
        <f t="shared" si="414"/>
        <v/>
      </c>
      <c r="RE123" s="21" t="str">
        <f t="shared" si="415"/>
        <v>ADECUADO PARA EDAD GESTACIONAL</v>
      </c>
      <c r="RF123" s="21" t="str">
        <f t="shared" si="416"/>
        <v/>
      </c>
      <c r="RG123" s="21" t="str">
        <f t="shared" si="417"/>
        <v/>
      </c>
      <c r="RH123" s="21" t="str">
        <f t="shared" si="418"/>
        <v/>
      </c>
      <c r="RI123" s="21" t="str">
        <f t="shared" si="419"/>
        <v/>
      </c>
      <c r="RJ123" s="21" t="str">
        <f t="shared" si="420"/>
        <v/>
      </c>
      <c r="RK123" s="21" t="str">
        <f t="shared" si="421"/>
        <v/>
      </c>
      <c r="RL123" s="21" t="str">
        <f t="shared" si="422"/>
        <v/>
      </c>
      <c r="RM123" s="21" t="str">
        <f t="shared" si="423"/>
        <v/>
      </c>
      <c r="RN123" s="21" t="str">
        <f t="shared" si="424"/>
        <v/>
      </c>
      <c r="RO123" s="21" t="str">
        <f t="shared" si="425"/>
        <v/>
      </c>
      <c r="RP123" s="21" t="str">
        <f t="shared" si="426"/>
        <v/>
      </c>
      <c r="RQ123" s="21" t="str">
        <f t="shared" si="427"/>
        <v/>
      </c>
      <c r="RR123" s="21" t="str">
        <f t="shared" si="428"/>
        <v/>
      </c>
      <c r="RS123" s="21" t="str">
        <f t="shared" si="429"/>
        <v/>
      </c>
      <c r="RT123" s="21" t="str">
        <f t="shared" si="430"/>
        <v/>
      </c>
      <c r="RU123" s="21" t="str">
        <f t="shared" si="431"/>
        <v/>
      </c>
      <c r="RV123" s="21">
        <f t="shared" si="432"/>
        <v>18.714285714285715</v>
      </c>
      <c r="RW123" s="284">
        <f>IF(OR(Tabla1[[#This Row],[FUM FORMULA CONFIABLE]]="",Tabla1[[#This Row],[FUM FORMULA CONFIABLE]]="SD"),"",IF(Tabla1[[#This Row],[FUM FORMULA CONFIABLE]]="CORREGIDA",Tabla1[[#This Row],[FUM X ECO 1]],Tabla1[[#This Row],[FUM x AMENORREA]]))</f>
        <v>44913</v>
      </c>
      <c r="RX123" s="21" t="str">
        <f>IF(AND(Tabla1[[#This Row],[FUM X ECO 1]]="",Tabla1[[#This Row],[FUM x AMENORREA]]=""),"",IF(AND(Tabla1[[#This Row],[FUM X ECO 1]]="",Tabla1[[#This Row],[FUM x AMENORREA]]&lt;&gt;""),"X",SUM(Tabla1[[#This Row],[FUM X ECO 1]]-Tabla1[[#This Row],[FUM x AMENORREA]])))</f>
        <v>X</v>
      </c>
      <c r="RY123" s="21" t="str">
        <f t="shared" si="434"/>
        <v>x</v>
      </c>
    </row>
    <row r="124" spans="1:493" ht="45" customHeight="1" x14ac:dyDescent="0.25">
      <c r="A124" s="109"/>
      <c r="B124" s="43"/>
      <c r="C124" s="43" t="s">
        <v>845</v>
      </c>
      <c r="D124" s="124"/>
      <c r="E124" s="43" t="s">
        <v>857</v>
      </c>
      <c r="F124" s="43" t="s">
        <v>1365</v>
      </c>
      <c r="G124" s="43" t="s">
        <v>949</v>
      </c>
      <c r="H124" s="43" t="s">
        <v>1366</v>
      </c>
      <c r="I124" s="109" t="s">
        <v>851</v>
      </c>
      <c r="J124" s="110">
        <v>1002953350</v>
      </c>
      <c r="K124" s="43" t="s">
        <v>852</v>
      </c>
      <c r="L124" s="175" t="s">
        <v>1367</v>
      </c>
      <c r="M124" s="22">
        <v>36505</v>
      </c>
      <c r="N124" s="213">
        <f t="shared" ca="1" si="252"/>
        <v>23.909589041095892</v>
      </c>
      <c r="O124" s="22">
        <v>44993</v>
      </c>
      <c r="P124" s="214" t="str">
        <f t="shared" si="438"/>
        <v>SI</v>
      </c>
      <c r="Q124" s="26" t="s">
        <v>855</v>
      </c>
      <c r="R124" s="22">
        <v>44993</v>
      </c>
      <c r="S124" s="21" t="s">
        <v>856</v>
      </c>
      <c r="T124" s="24" t="s">
        <v>690</v>
      </c>
      <c r="U124" s="21" t="s">
        <v>857</v>
      </c>
      <c r="V124" s="21" t="s">
        <v>858</v>
      </c>
      <c r="W124" s="21" t="s">
        <v>887</v>
      </c>
      <c r="X124" s="21"/>
      <c r="Y124" s="21"/>
      <c r="Z124" s="21">
        <v>3147427756</v>
      </c>
      <c r="AA124" s="21" t="s">
        <v>860</v>
      </c>
      <c r="AB124" s="27" t="s">
        <v>861</v>
      </c>
      <c r="AC124" s="26" t="s">
        <v>846</v>
      </c>
      <c r="AD124" s="38" t="s">
        <v>1546</v>
      </c>
      <c r="AE124" s="26" t="s">
        <v>854</v>
      </c>
      <c r="AF124" s="26" t="s">
        <v>854</v>
      </c>
      <c r="AG124" s="23" t="s">
        <v>864</v>
      </c>
      <c r="AH124" s="23" t="s">
        <v>864</v>
      </c>
      <c r="AI124" s="24" t="s">
        <v>863</v>
      </c>
      <c r="AJ124" s="23" t="s">
        <v>864</v>
      </c>
      <c r="AK124" s="220" t="str">
        <f>IF(AND(AD124="",AE124="",AF124="",AG124="",AH124="",AI124="",AJ124=""),"",IF(OR(Tabla1[[#This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EVALUACIÓN",IF(AND(O124="",R124=""),"",IF(AND(OR(O124&gt;0,R124&gt;0),NG124&gt;=0,NG124&lt;2),"SIN RIESGO",IF(AND(OR(O124&gt;0,R124&gt;0),NG124&gt;=2),"CON RIESGO","ASD")))))</f>
        <v>SIN RIESGO</v>
      </c>
      <c r="AL124" s="23" t="s">
        <v>864</v>
      </c>
      <c r="AM124" s="26" t="s">
        <v>864</v>
      </c>
      <c r="AN124" s="26" t="s">
        <v>864</v>
      </c>
      <c r="AO124" s="26" t="s">
        <v>864</v>
      </c>
      <c r="AP124" s="26" t="s">
        <v>864</v>
      </c>
      <c r="AQ124" s="26" t="s">
        <v>864</v>
      </c>
      <c r="AR124" s="26" t="s">
        <v>864</v>
      </c>
      <c r="AS124" s="21">
        <v>0</v>
      </c>
      <c r="AT124" s="21">
        <v>0</v>
      </c>
      <c r="AU124" s="21">
        <v>0</v>
      </c>
      <c r="AV124" s="26" t="s">
        <v>864</v>
      </c>
      <c r="AW124" s="21">
        <v>0</v>
      </c>
      <c r="AX124" s="26" t="s">
        <v>864</v>
      </c>
      <c r="AY124" s="26" t="s">
        <v>864</v>
      </c>
      <c r="AZ124" s="26" t="s">
        <v>864</v>
      </c>
      <c r="BA124" s="26" t="s">
        <v>864</v>
      </c>
      <c r="BB124" s="26" t="s">
        <v>864</v>
      </c>
      <c r="BC124" s="26" t="s">
        <v>864</v>
      </c>
      <c r="BD124" s="26" t="s">
        <v>864</v>
      </c>
      <c r="BE124" s="26" t="s">
        <v>864</v>
      </c>
      <c r="BF124" s="26" t="s">
        <v>864</v>
      </c>
      <c r="BG124" s="26" t="s">
        <v>864</v>
      </c>
      <c r="BH124" s="26" t="s">
        <v>864</v>
      </c>
      <c r="BI124" s="26" t="s">
        <v>864</v>
      </c>
      <c r="BJ124" s="26" t="s">
        <v>864</v>
      </c>
      <c r="BK124" s="26" t="s">
        <v>865</v>
      </c>
      <c r="BL124" s="26" t="s">
        <v>864</v>
      </c>
      <c r="BM124" s="26" t="s">
        <v>864</v>
      </c>
      <c r="BN124" s="22"/>
      <c r="BO124" s="22">
        <v>44969</v>
      </c>
      <c r="BP124" s="21" t="s">
        <v>1380</v>
      </c>
      <c r="BQ124" s="222">
        <f t="shared" si="254"/>
        <v>0</v>
      </c>
      <c r="BR124" s="223">
        <f t="shared" si="255"/>
        <v>44953</v>
      </c>
      <c r="BS124" s="224">
        <f t="shared" si="256"/>
        <v>5.7142857142857144</v>
      </c>
      <c r="BT124" s="216" t="str">
        <f t="shared" si="257"/>
        <v>I TRIM</v>
      </c>
      <c r="BU124" s="214">
        <f t="shared" ca="1" si="258"/>
        <v>39.857142857142854</v>
      </c>
      <c r="BV124" s="25"/>
      <c r="BW124" s="22">
        <v>44995</v>
      </c>
      <c r="BX124" s="28">
        <v>6</v>
      </c>
      <c r="BY124" s="28"/>
      <c r="BZ124" s="22"/>
      <c r="CA124" s="21"/>
      <c r="CB124" s="26" t="s">
        <v>864</v>
      </c>
      <c r="CC124" s="26" t="s">
        <v>864</v>
      </c>
      <c r="CD124" s="26"/>
      <c r="CE124" s="26"/>
      <c r="CF124" s="22" t="s">
        <v>1517</v>
      </c>
      <c r="CG124" s="21">
        <v>1.49</v>
      </c>
      <c r="CH124" s="21">
        <v>49.3</v>
      </c>
      <c r="CI124" s="214">
        <f t="shared" si="259"/>
        <v>22.206206927615874</v>
      </c>
      <c r="CJ124" s="225" t="str">
        <f>IF(AND(CI124&lt;10,CH124="SD"),"SIN DATO PESO PREGESTACION O I TRIM",IF(AND(OR(R124&gt;0,O124&gt;0),CI124="X"),"INGRESAR DATO DE PESO",IF(CI124="SD","INGRESAR DATO DE TALLA Y PESO",IF(AND(OR(Tabla1[[#This Row],[MOMENTO EN QUE SE REALIZA EL PESO AL INGRESO A CPN]]="PREGESTACIÓN",NZ124="Menor"),CI124&lt;18.5),"BAJO PESO",IF(AND(OR(Tabla1[[#This Row],[MOMENTO EN QUE SE REALIZA EL PESO AL INGRESO A CPN]]="PREGESTACIÓN",NZ124="Menor"),CI124&lt;25),"NORMAL",IF(AND(OR(Tabla1[[#This Row],[MOMENTO EN QUE SE REALIZA EL PESO AL INGRESO A CPN]]="PREGESTACIÓN",NZ124="Menor"),CI124&lt;30),"SOBREPESO",IF(AND(OR(Tabla1[[#This Row],[MOMENTO EN QUE SE REALIZA EL PESO AL INGRESO A CPN]]="PREGESTACIÓN",NZ124="Menor"),CI124&gt;=30,CI124&lt;50),"OBESIDAD",IF(AND(BS124&gt;0,Tabla1[[#This Row],[MOMENTO EN QUE SE REALIZA EL PESO AL INGRESO A CPN]]="GESTACIÓN"),HLOOKUP(NZ124,$OA$2:PH124,NY124),""))))))))</f>
        <v>NORMAL</v>
      </c>
      <c r="CK124" s="212">
        <f t="shared" si="260"/>
        <v>44993</v>
      </c>
      <c r="CL124" s="21" t="s">
        <v>1658</v>
      </c>
      <c r="CM124" s="214">
        <f t="shared" si="261"/>
        <v>0</v>
      </c>
      <c r="CN124" s="216">
        <f t="shared" si="262"/>
        <v>5</v>
      </c>
      <c r="CO124" s="216" t="e">
        <f>IF(PI124="","",IF(PI124&gt;0,HLOOKUP(PI124,$PJ$2:QQ124,NY124),""))</f>
        <v>#REF!</v>
      </c>
      <c r="CP124" s="21"/>
      <c r="CQ124" s="216" t="str">
        <f>IF(QR124="Menor","NO APLICA-MENOR 13 SEM",IF(AND(CC124="SI",CN124&gt;23),"NO APLICA- GEMELAR",IF(QR124="","",IF(QR124&gt;0,HLOOKUP(QR124,$QS$2:RU124,NY124),""))))</f>
        <v>NO APLICA-MENOR 13 SEM</v>
      </c>
      <c r="CR124" s="21">
        <v>90</v>
      </c>
      <c r="CS124" s="21">
        <v>60</v>
      </c>
      <c r="CT124" s="217" t="str">
        <f>IF(R124="","",IF(AND(BS124&gt;1,BS124&lt;12,Tabla1[[#This Row],[T.A. SISTOLICA - ANTES DE SEMANA 12]]="",Tabla1[[#This Row],[T.A. DIASTOLICA - ANTES DE SEMANA 12]]=""),"REGISTRE DATO TA ANTES SEMANA 12",IF(AND(BS124&gt;11,BS124&lt;43,Tabla1[[#This Row],[T.A. SISTOLICA - ANTES DE SEMANA 12]]="",Tabla1[[#This Row],[T.A. DIASTOLICA - ANTES DE SEMANA 12]]=""),"NO APLICA REGISTRO TA-INGRESO TARDIO",IF(AND(OR(O124&gt;0,R124&gt;0),OR(CR124&gt;=140,CS124&gt;=90)),"DEFINIR ESTADIO HTA",IF(AND(OR(O124&gt;0,R124&gt;0),AND(CR124&gt;120,CR124&lt;=139)),"PRE HTA SEGUIMIENTO",IF(AND(OR(O124&gt;0,R124&gt;0),AND(CS124&gt;80,CS124&lt;=89)),"PRE HTA SEGUIMIENTO",IF(AND(OR(O124&gt;0,R124&gt;0),AND(CR124&gt;=80,CR124&lt;=120)),"APARENTEMENTE NORMAL",IF(AND(OR(O124&gt;0,R124&gt;0),AND(CS124&gt;=50,CS124&lt;=80)),"APARENTEMENTE NORMAL",IF(AND(OR(O124&gt;0,R124&gt;0),AND(CR124&gt;1,CR124&lt;=70),AND(CS124&gt;1,CS124&lt;=40)),"HIPOTENSIÓN","")))))))))</f>
        <v>APARENTEMENTE NORMAL</v>
      </c>
      <c r="CU124" s="21"/>
      <c r="CV124" s="21"/>
      <c r="CW124" s="217" t="str">
        <f ca="1">IF(R124="","",IF(AND(CN124&gt;19,CN124&lt;27,Tabla1[[#This Row],[T.A. SISTOLICA (Entre semana 20 y 26)]]="",Tabla1[[#This Row],[T.A. DIATOLICA (Entre semana 20 y 26)]]=""),"ACUDE A CONTROL SEM 20 A 26 REGISTRE TA AHORA",IF(AND(BS124&gt;1,BS124&lt;27,BU124&gt;19,Tabla1[[#This Row],[T.A. SISTOLICA (Entre semana 20 y 26)]]="",Tabla1[[#This Row],[T.A. DIATOLICA (Entre semana 20 y 26)]]=""),"COMPLETE REGISTRO TA CONTROL SEM 20 A26 ",IF(AND(BS124&gt;26,BS124&lt;43,Tabla1[[#This Row],[T.A. SISTOLICA (Entre semana 20 y 26)]]="",Tabla1[[#This Row],[T.A. DIATOLICA (Entre semana 20 y 26)]]=""),"NO APLICA REGISTRO TA-INGRESO TARDIO",IF(AND(OR(O124&gt;0,R124&gt;0),OR(CU124&gt;=140,CV124&gt;=90)),"ALTO RIESGO PREECLAMPSIA,DEFINIR ESTADIO HTA",IF(AND(OR(O124&gt;0,R124&gt;0),AND(CU124&gt;120,CU124&lt;=139)),"PRE HTA SEGUIMIENTO,RIESGO HIPERTENSION INDUCIDA POR EL EMBARAZO",IF(AND(OR(O124&gt;0,R124&gt;0),AND(CV124&gt;80,CV124&lt;=89)),"PRE HTA SEGUIMIENTO, RIESGO HIPERTENSION INDUCIDA POR EL EMBARAZO",IF(AND(OR(O124&lt;&gt;"",R124&lt;&gt;""),CS124&lt;&gt;"",CV124&lt;&gt;"",CS124&lt;=CV124),"VIGILAR CIFRAS PRESION ARTERIAL",IF(AND(OR(O124&gt;0,R124&gt;0),AND(CU124&gt;120,CU124&lt;=139)),"PRE HTA SEGUIMIENTO",IF(AND(OR(O124&gt;0,R124&gt;0),AND(CU124&gt;1,CU124&lt;=70),AND(CV124&gt;1,CV124&lt;=40)),"HIPOTENSIÓN",IF(AND(OR(O124&lt;&gt;"",R124&lt;&gt;""),CS124&lt;&gt;"",CV124&lt;&gt;"",CS124&gt;CV124),"APARENTEMENTE NORMAL",IF(AND(OR(O124&gt;0,R124&gt;0),AND(CU124&gt;=80,CU124&lt;=120)),"APARENTEMENTE NORMAL",IF(AND(OR(O124&gt;0,R124&gt;0),AND(CV124&gt;=50,CV124&lt;=80)),"APARENTEMENTE NORMAL","")))))))))))))</f>
        <v xml:space="preserve">COMPLETE REGISTRO TA CONTROL SEM 20 A26 </v>
      </c>
      <c r="CX124" s="21"/>
      <c r="CY124" s="21"/>
      <c r="CZ124" s="216" t="str">
        <f t="shared" si="457"/>
        <v/>
      </c>
      <c r="DA124" s="21"/>
      <c r="DB124" s="21"/>
      <c r="DC124" s="217" t="str">
        <f t="shared" si="264"/>
        <v>REGISTRE DATO PRESIÓN ARTERIAL MENSUAL</v>
      </c>
      <c r="DD124" s="22">
        <v>44985</v>
      </c>
      <c r="DE124" s="22">
        <v>44985</v>
      </c>
      <c r="DF124" s="22"/>
      <c r="DG124" s="22"/>
      <c r="DH124" s="22"/>
      <c r="DI124" s="22"/>
      <c r="DJ124" s="22"/>
      <c r="DK124" s="22"/>
      <c r="DL124" s="22"/>
      <c r="DM124" s="22"/>
      <c r="DN124" s="22"/>
      <c r="DO124" s="22"/>
      <c r="DP124" s="22"/>
      <c r="DQ124" s="22"/>
      <c r="DR124" s="28"/>
      <c r="DS124" s="22"/>
      <c r="DT124" s="22"/>
      <c r="DU124" s="216" t="str">
        <f t="shared" ca="1" si="439"/>
        <v>CONCERTAR PLAN DE PARTO INMEDIATO</v>
      </c>
      <c r="DV124" s="226" t="str">
        <f t="shared" si="440"/>
        <v>ACTIVA INGRESO A CPN</v>
      </c>
      <c r="DW12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24" s="216" t="e">
        <f t="shared" ca="1" si="266"/>
        <v>#REF!</v>
      </c>
      <c r="DY124" s="212">
        <f>IF(R124="","",IF(R124&gt;0,MAX(Tabla1[[#This Row],[FECHA C2]:[FECHA C13]],Tabla1[[#This Row],[FECHA CONSULTA PRIMERA VEZ PROGRAMA CPN ]])))</f>
        <v>44993</v>
      </c>
      <c r="DZ124" s="216">
        <f t="shared" si="267"/>
        <v>5</v>
      </c>
      <c r="EA124" s="222">
        <f>IF(R124&gt;0,SUM(COUNTA(DF124:DQ124)+COUNTA(Tabla1[[#This Row],[FECHA CONSULTA PRIMERA VEZ PROGRAMA CPN ]])),"")</f>
        <v>1</v>
      </c>
      <c r="EB124" s="222" t="str">
        <f t="shared" si="268"/>
        <v>NO</v>
      </c>
      <c r="EC124" s="214">
        <f t="shared" si="269"/>
        <v>10</v>
      </c>
      <c r="ED124" s="227">
        <f t="shared" si="270"/>
        <v>0.1</v>
      </c>
      <c r="EE124" s="22">
        <v>45207</v>
      </c>
      <c r="EF124" s="22">
        <v>45207</v>
      </c>
      <c r="EG124" s="344">
        <v>44993</v>
      </c>
      <c r="EH124" s="22"/>
      <c r="EI124" s="22">
        <v>44993</v>
      </c>
      <c r="EJ124" s="22"/>
      <c r="EK124" s="22"/>
      <c r="EL124" s="21"/>
      <c r="EM124" s="21">
        <v>14.6</v>
      </c>
      <c r="EN124" s="22">
        <v>44993</v>
      </c>
      <c r="EO124" s="222">
        <f t="shared" si="271"/>
        <v>5.7142857142857144</v>
      </c>
      <c r="EP124" s="214" t="str">
        <f t="shared" si="272"/>
        <v>NO DAR SULFATO FERROSO</v>
      </c>
      <c r="EQ124" s="216" t="str">
        <f t="shared" si="273"/>
        <v>I TRIM</v>
      </c>
      <c r="ER124" s="24"/>
      <c r="ES124" s="22"/>
      <c r="ET124" s="29" t="str">
        <f t="shared" ca="1" si="441"/>
        <v>TOMA DE HEMOGLOBINA TARDÍA</v>
      </c>
      <c r="EU124" s="25" t="str">
        <f t="shared" si="275"/>
        <v/>
      </c>
      <c r="EV124" s="24" t="s">
        <v>866</v>
      </c>
      <c r="EW124" s="24">
        <v>44993</v>
      </c>
      <c r="EX124" s="22"/>
      <c r="EY124" s="29">
        <f t="shared" si="454"/>
        <v>5.7142857142857144</v>
      </c>
      <c r="EZ124" s="25" t="str">
        <f t="shared" ca="1" si="455"/>
        <v/>
      </c>
      <c r="FA124" s="21"/>
      <c r="FB124" s="22"/>
      <c r="FC124" s="29" t="str">
        <f t="shared" si="276"/>
        <v>TOMAR EXAMEN</v>
      </c>
      <c r="FD124" s="29"/>
      <c r="FE124" s="29"/>
      <c r="FF124" s="29"/>
      <c r="FG124" s="21" t="str">
        <f t="shared" ca="1" si="277"/>
        <v>TOMAR PTOG</v>
      </c>
      <c r="FH124" s="31"/>
      <c r="FI124" s="29" t="str">
        <f t="shared" si="278"/>
        <v>TOMAR EXAMEN</v>
      </c>
      <c r="FJ124" s="22" t="s">
        <v>867</v>
      </c>
      <c r="FK124" s="22">
        <v>44993</v>
      </c>
      <c r="FL124" s="29">
        <f t="shared" ca="1" si="279"/>
        <v>5.7142857142857144</v>
      </c>
      <c r="FM124" s="22"/>
      <c r="FN124" s="32"/>
      <c r="FO124" s="29" t="str">
        <f t="shared" ca="1" si="442"/>
        <v>PIERDE TOMA DE TAMIZAJE</v>
      </c>
      <c r="FP124" s="22"/>
      <c r="FQ124" s="32"/>
      <c r="FR124" s="29" t="str">
        <f t="shared" ca="1" si="443"/>
        <v>TOMA INMEDIATA DE TAMIZAJE</v>
      </c>
      <c r="FS124" s="22"/>
      <c r="FT124" s="32"/>
      <c r="FU124" s="29" t="str">
        <f>IF(AND(FJ124="",FM124="",FP124="",FS124=""),"",IF(OR(OR(Tabla1[[#This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24" s="28"/>
      <c r="FW124" s="22"/>
      <c r="FX124" s="29" t="str">
        <f t="shared" si="280"/>
        <v>TOMAR EXAMEN</v>
      </c>
      <c r="FY124" s="22">
        <v>44993</v>
      </c>
      <c r="FZ124" s="22">
        <v>44993</v>
      </c>
      <c r="GA124" s="29">
        <f t="shared" ca="1" si="453"/>
        <v>5.7142857142857144</v>
      </c>
      <c r="GB124" s="22"/>
      <c r="GC124" s="22"/>
      <c r="GD124" s="29" t="str">
        <f t="shared" ca="1" si="491"/>
        <v>PIERDE TOMA DE TAMIZAJE</v>
      </c>
      <c r="GE124" s="22"/>
      <c r="GF124" s="22"/>
      <c r="GG124" s="29" t="str">
        <f t="shared" ca="1" si="445"/>
        <v>TOMA INMEDIATA DE TAMIZAJE</v>
      </c>
      <c r="GH124" s="22"/>
      <c r="GI124" s="29"/>
      <c r="GJ124" s="22"/>
      <c r="GK124" s="22"/>
      <c r="GL124" s="22"/>
      <c r="GM124" s="22"/>
      <c r="GN124" s="28"/>
      <c r="GO124" s="22"/>
      <c r="GP124" s="29" t="str">
        <f t="shared" si="283"/>
        <v>TOMAR EXAMEN</v>
      </c>
      <c r="GQ124" s="28"/>
      <c r="GR124" s="28"/>
      <c r="GS124" s="22" t="str">
        <f t="shared" si="458"/>
        <v/>
      </c>
      <c r="GT124" s="22"/>
      <c r="GU124" s="29" t="str">
        <f t="shared" si="285"/>
        <v>TOMAR EXAMEN</v>
      </c>
      <c r="GV124" s="21" t="str">
        <f t="shared" si="286"/>
        <v>POR DEFINIR</v>
      </c>
      <c r="GW124" s="28"/>
      <c r="GX124" s="30"/>
      <c r="GY124" s="21"/>
      <c r="GZ124" s="21"/>
      <c r="HA124" s="21"/>
      <c r="HB124" s="21"/>
      <c r="HC124" s="21"/>
      <c r="HD124" s="21"/>
      <c r="HE124" s="21"/>
      <c r="HF124" s="22"/>
      <c r="HG124" s="22" t="str">
        <f>IF(OR(O124&gt;0,R124&gt;0),CONCATENATE(IF(Tabla1[[#This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24" s="22" t="e">
        <f t="shared" si="287"/>
        <v>#REF!</v>
      </c>
      <c r="HI124" s="22" t="e">
        <f t="shared" ca="1" si="288"/>
        <v>#REF!</v>
      </c>
      <c r="HJ124" s="21" t="str">
        <f t="shared" ca="1" si="289"/>
        <v>**********************MULTIPARIDAD*****************</v>
      </c>
      <c r="HK124" s="21" t="str">
        <f t="shared" si="290"/>
        <v>SIN ANTECEDENTES DE RIESGO</v>
      </c>
      <c r="HL124" s="24" t="str">
        <f t="shared" si="291"/>
        <v>REGISTRE DATO PRESIÓN ARTERIAL MENSUAL</v>
      </c>
      <c r="HM124" s="21" t="e">
        <f t="shared" ca="1" si="292"/>
        <v>#REF!</v>
      </c>
      <c r="HN124" s="30" t="str">
        <f t="shared" si="446"/>
        <v>ACTIVA INGRESO A CPN</v>
      </c>
      <c r="HO124" s="21"/>
      <c r="HP124" s="21"/>
      <c r="HQ124" s="349">
        <v>44993</v>
      </c>
      <c r="HR124" s="21" t="str">
        <f>IF(R124="","",IF(Tabla1[[#This Row],[ALARMA FACTORES DE RIESGO COMPLICACIONES HIPERTENSIVAS3]]="SIN ANTECEDENTES DE RIESGO","No Aplica para suministro de ASA",IF(AND(Tabla1[[#This Row],[FECHA INICIO DE SUMINISTRO DE ASA]]&gt;0,RV124&lt;12),"Inicia ASA ANTES de Sem 12",IF(AND(RV124&gt;11,RV124&lt;17,OR(HK124="RIESGO ALTO DE COMPLICACIONES HIPERTENSIVAS VER MANEJO GUIA SUMINISTRO ASA Y CALCIO",HK124="RIESGO MODERADO (2 O MAS CRITERIOS) VER MANEJO GUIA SUMINISTRO ASA Y CALCIO")),"Inicio oportuno de ASA",IF(AND(RV124&gt;12,OR(HK124="RIESGO ALTO DE COMPLICACIONES HIPERTENSIVAS VER MANEJO GUIA SUMINISTRO ASA Y CALCIO",HK124="RIESGO MODERADO (2 O MAS CRITERIOS) VER MANEJO GUIA SUMINISTRO ASA Y CALCIO")),"Inicio no oportuno mayor a 16 semanas",IF(AND(BU124&lt;12,OR(HK124="RIESGO ALTO DE COMPLICACIONES HIPERTENSIVAS VER MANEJO GUIA SUMINISTRO ASA Y CALCIO",HK124="RIESGO MODERADO (2 O MAS CRITERIOS) VER MANEJO GUIA SUMINISTRO ASA Y CALCIO")),"Pendiente Inicio de ASA a la semana 12",IF(AND(BU124&gt;11,BU124&lt;17,OR(HK124="RIESGO ALTO DE COMPLICACIONES HIPERTENSIVAS VER MANEJO GUIA SUMINISTRO ASA Y CALCIO",HK124="RIESGO MODERADO (2 O MAS CRITERIOS) VER MANEJO GUIA SUMINISTRO ASA Y CALCIO")),"Iniciar de inmediato ASA",IF(AND(BU124&gt;16,OR(HK124="RIESGO ALTO DE COMPLICACIONES HIPERTENSIVAS VER MANEJO GUIA SUMINISTRO ASA Y CALCIO",HK124="RIESGO MODERADO (2 O MAS CRITERIOS) VER MANEJO GUIA SUMINISTRO ASA Y CALCIO")),"Pierde Oportunidad, Inicio tardío de ASA","XXXXX"))))))))</f>
        <v>No Aplica para suministro de ASA</v>
      </c>
      <c r="HS124" s="22">
        <v>44993</v>
      </c>
      <c r="HT124" s="22" t="s">
        <v>870</v>
      </c>
      <c r="HU124" s="22">
        <v>44993</v>
      </c>
      <c r="HV124" s="22" t="s">
        <v>870</v>
      </c>
      <c r="HW124" s="22"/>
      <c r="HX124" s="22"/>
      <c r="HY124" s="22"/>
      <c r="HZ124" s="28" t="str">
        <f t="shared" si="293"/>
        <v>PENDIENTE CONSULTA</v>
      </c>
      <c r="IA124" s="26"/>
      <c r="IB124" s="26"/>
      <c r="IC124" s="111"/>
      <c r="ID124" s="22"/>
      <c r="IE124" s="22" t="str">
        <f t="shared" ca="1" si="294"/>
        <v>INASISTENTE</v>
      </c>
      <c r="IF124" s="22"/>
      <c r="IG124" s="22">
        <f t="shared" si="295"/>
        <v>45233</v>
      </c>
      <c r="IH124" s="29">
        <f t="shared" ca="1" si="296"/>
        <v>1</v>
      </c>
      <c r="II124" s="22" t="str">
        <f t="shared" ca="1" si="297"/>
        <v>SEMANA DE PARTO</v>
      </c>
      <c r="IJ124" s="22"/>
      <c r="IK124" s="21"/>
      <c r="IL124" s="21"/>
      <c r="IM124" s="34"/>
      <c r="IN124" s="22"/>
      <c r="IO124" s="21"/>
      <c r="IP124" s="29" t="str">
        <f t="shared" si="490"/>
        <v/>
      </c>
      <c r="IQ124" s="35"/>
      <c r="IR124" s="21"/>
      <c r="IS124" s="21"/>
      <c r="IT124" s="21"/>
      <c r="IU124" s="21"/>
      <c r="IV124" s="21"/>
      <c r="IW124" s="21"/>
      <c r="IX124" s="21"/>
      <c r="IY124" s="21"/>
      <c r="IZ124" s="21"/>
      <c r="JA124" s="21"/>
      <c r="JB124" s="30"/>
      <c r="JC124" s="21"/>
      <c r="JD124" s="36"/>
      <c r="JE124" s="21" t="str">
        <f t="shared" si="492"/>
        <v/>
      </c>
      <c r="JF124" s="30"/>
      <c r="JG124" s="21"/>
      <c r="JH124" s="21"/>
      <c r="JI124" s="21"/>
      <c r="JJ124" s="30"/>
      <c r="JK124" s="22"/>
      <c r="JL124" s="22"/>
      <c r="JM124" s="21"/>
      <c r="JN124" s="36"/>
      <c r="JO124" s="21" t="str">
        <f t="shared" si="493"/>
        <v/>
      </c>
      <c r="JP124" s="22"/>
      <c r="JQ124" s="21"/>
      <c r="JR124" s="21"/>
      <c r="JS124" s="21"/>
      <c r="JT124" s="30"/>
      <c r="JU124" s="22"/>
      <c r="JV124" s="22"/>
      <c r="JW124" s="33"/>
      <c r="JX124" s="28" t="str">
        <f t="shared" si="494"/>
        <v/>
      </c>
      <c r="JY124" s="33"/>
      <c r="JZ124" s="28" t="str">
        <f t="shared" si="495"/>
        <v/>
      </c>
      <c r="KA124" s="21"/>
      <c r="KB124" s="21"/>
      <c r="KC124" s="21"/>
      <c r="KD124" s="37"/>
      <c r="KE124" s="28"/>
      <c r="KF124" s="28"/>
      <c r="KG124" s="28"/>
      <c r="KH124" s="39"/>
      <c r="KI124" s="39"/>
      <c r="KJ124" s="66"/>
      <c r="KK124" s="39"/>
      <c r="KL124" s="39"/>
      <c r="KM124" s="66"/>
      <c r="KN124" s="39"/>
      <c r="KO124" s="39"/>
      <c r="KP124" s="39"/>
      <c r="KQ124" s="39"/>
      <c r="KR124" s="39"/>
      <c r="KS124" s="39"/>
      <c r="KT124" s="39"/>
      <c r="KU124" s="38"/>
      <c r="KV124" s="38"/>
      <c r="KW124" s="38"/>
      <c r="KX124" s="38"/>
      <c r="KY124" s="38"/>
      <c r="KZ124" s="38"/>
      <c r="LA124" s="38"/>
      <c r="LB124" s="38"/>
      <c r="LC124" s="38"/>
      <c r="LD124" s="38"/>
      <c r="LE124" s="38"/>
      <c r="LF124" s="38"/>
      <c r="LG124" s="38"/>
      <c r="LH124" s="38"/>
      <c r="LI124" s="38"/>
      <c r="LJ124" s="38"/>
      <c r="LK124" s="38"/>
      <c r="LL124" s="38"/>
      <c r="LM124" s="38"/>
      <c r="LN124" s="38"/>
      <c r="LO124" s="38"/>
      <c r="LP124" s="38"/>
      <c r="LQ124" s="38"/>
      <c r="LR124" s="38"/>
      <c r="LS124" s="38"/>
      <c r="LT124" s="38"/>
      <c r="LU124" s="38"/>
      <c r="LV124" s="38"/>
      <c r="LW124" s="38"/>
      <c r="LX124" s="38"/>
      <c r="LY124" s="38"/>
      <c r="LZ124" s="38"/>
      <c r="MA124" s="38"/>
      <c r="MB124" s="38"/>
      <c r="MC124" s="38"/>
      <c r="MD124" s="38"/>
      <c r="ME124" s="38"/>
      <c r="MF124" s="38"/>
      <c r="MG124" s="38"/>
      <c r="MH124" s="43">
        <f t="shared" si="459"/>
        <v>0</v>
      </c>
      <c r="MI124" s="43" t="str">
        <f t="shared" si="460"/>
        <v/>
      </c>
      <c r="MJ124" s="43" t="str">
        <f t="shared" si="461"/>
        <v/>
      </c>
      <c r="MK124" s="43">
        <f t="shared" si="462"/>
        <v>0</v>
      </c>
      <c r="ML12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24" s="43">
        <f t="shared" si="463"/>
        <v>5.7142857142857144</v>
      </c>
      <c r="MN124" s="43">
        <f t="shared" si="464"/>
        <v>3</v>
      </c>
      <c r="MO124" s="43">
        <f t="shared" si="465"/>
        <v>2023</v>
      </c>
      <c r="MP124" s="43" t="str">
        <f t="shared" si="466"/>
        <v>I TRIMESTRE AÑO</v>
      </c>
      <c r="MQ124" s="43">
        <f t="shared" si="467"/>
        <v>22.905716162943495</v>
      </c>
      <c r="MR124" s="43">
        <f t="shared" si="468"/>
        <v>0</v>
      </c>
      <c r="MS124" s="43" t="str">
        <f t="shared" si="469"/>
        <v xml:space="preserve"> DE 20 A 24 AÑOS</v>
      </c>
      <c r="MT124" s="43">
        <f t="shared" si="470"/>
        <v>0</v>
      </c>
      <c r="MU124" s="43">
        <f t="shared" si="471"/>
        <v>1</v>
      </c>
      <c r="MV124" s="43">
        <f t="shared" si="472"/>
        <v>0</v>
      </c>
      <c r="MW124" s="43">
        <f t="shared" si="473"/>
        <v>0</v>
      </c>
      <c r="MX124" s="43" t="str">
        <f t="shared" si="474"/>
        <v/>
      </c>
      <c r="MY124" s="43" t="str">
        <f t="shared" ca="1" si="496"/>
        <v/>
      </c>
      <c r="MZ124" s="43" t="str">
        <f t="shared" si="475"/>
        <v/>
      </c>
      <c r="NA124" s="43" t="str">
        <f t="shared" si="476"/>
        <v/>
      </c>
      <c r="NB124" s="43" t="str">
        <f t="shared" si="477"/>
        <v/>
      </c>
      <c r="NC124" s="43" t="str">
        <f t="shared" si="478"/>
        <v/>
      </c>
      <c r="ND124" s="43">
        <f t="shared" ca="1" si="479"/>
        <v>1</v>
      </c>
      <c r="NE124" s="43">
        <f>IF(OR(O124&gt;0,R124&gt;0),SUM(COUNTIF(Tabla1[[#This Row],[AÑOS AL INICIO5 CPN]],"&gt;=40"),COUNTIF(AS124,"0"),COUNTIF(AR124,"SI"),COUNTIF(CC124,"SI"),COUNTIF(BQ124,"&gt;119"),COUNTIF(CI124,"&gt;=35")),"")</f>
        <v>1</v>
      </c>
      <c r="NF124" s="43" t="str">
        <f t="shared" si="480"/>
        <v/>
      </c>
      <c r="NG124" s="43">
        <f t="shared" si="481"/>
        <v>0</v>
      </c>
      <c r="NH124" s="43">
        <f t="shared" si="482"/>
        <v>42</v>
      </c>
      <c r="NI12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CPN",P124="NO"),"Z",IF(AND(Tabla1[[#This Row],[CITA PROXIMO CONTROL]]="CITA MANUAL",Tabla1[[#This Row],[GESTANTES ACTUALES]]="ACTIVA INGRESO A CPN"),"W",IF(AND(Tabla1[[#This Row],[GESTANTES ACTUALES]]="SALIO PROGRAMA",IN124=""),"S",IF(AND(Tabla1[[#This Row],[CITA PROXIMO CONTROL]]&gt;0,IN124=""),(Tabla1[[#This Row],[CITA PROXIMO CONTROL]]-TODAY()),"SD"))))))))</f>
        <v>#REF!</v>
      </c>
      <c r="NJ124" s="43">
        <f>MONTH(Tabla1[[#This Row],[FECHA DE SALIDA  DEL PROGRAMA]])</f>
        <v>1</v>
      </c>
      <c r="NK124" s="43">
        <f>YEAR(Tabla1[[#This Row],[FECHA DE SALIDA  DEL PROGRAMA]])</f>
        <v>1900</v>
      </c>
      <c r="NL124" s="43" t="str">
        <f t="shared" si="483"/>
        <v>X</v>
      </c>
      <c r="NM124" s="43" t="str">
        <f t="shared" si="456"/>
        <v>NO</v>
      </c>
      <c r="NN124" s="43" t="str">
        <f ca="1">IF(AND(O124&gt;0,R124=""),"NO CPN",IF(AND(O124="",R124=""),"",IF(AND(R124&gt;0,Tabla1[[#This Row],[SEMANAS DE GESTACION ACTUALIZADAS]]&lt;=12),"NO APLICA",IF(AND(FH124&lt;&gt;"",FN124&lt;&gt;""),"SI","NO"))))</f>
        <v>NO</v>
      </c>
      <c r="NO124" s="43" t="str">
        <f ca="1">IF(AND(O124&gt;0,R124=""),"NO CPN",IF(AND(O124="",R124=""),"",IF(AND(R124&gt;0,Tabla1[[#This Row],[SEMANAS DE GESTACION ACTUALIZADAS]]&lt;=27),"NO APLICA",IF(AND(ES124&lt;&gt;"",FQ124&lt;&gt;"",GF124&lt;&gt;""),"SI","NO"))))</f>
        <v>NO</v>
      </c>
      <c r="NP124" s="204" t="str">
        <f t="shared" si="484"/>
        <v>I TRIM</v>
      </c>
      <c r="NQ124" s="21" t="str">
        <f t="shared" si="437"/>
        <v/>
      </c>
      <c r="NR124" s="21">
        <f t="shared" ca="1" si="497"/>
        <v>3</v>
      </c>
      <c r="NS124" s="205">
        <f t="shared" ca="1" si="485"/>
        <v>1</v>
      </c>
      <c r="NT124" s="21">
        <f t="shared" ca="1" si="486"/>
        <v>1</v>
      </c>
      <c r="NU124" s="21" t="str">
        <f t="shared" ca="1" si="487"/>
        <v>INCOMPLETO</v>
      </c>
      <c r="NV124" s="21" t="str">
        <f t="shared" ca="1" si="488"/>
        <v>INCOMPLETO</v>
      </c>
      <c r="NW124" s="206" t="str">
        <f>IF(AND(O124="",R124=""),"",IF(OR(AND(Tabla1[[#This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24" s="207" t="str">
        <f t="shared" ca="1" si="489"/>
        <v>SIN VACUNAR</v>
      </c>
      <c r="NY124" s="43">
        <f>ROW(Tabla1[[#This Row],['# DE TAMIZAJES SIFILIS TOMADOS ]])</f>
        <v>124</v>
      </c>
      <c r="NZ124" s="43" t="str">
        <f t="shared" si="334"/>
        <v>Menor</v>
      </c>
      <c r="OA124" s="43" t="str">
        <f t="shared" si="335"/>
        <v>NORMAL</v>
      </c>
      <c r="OB124" s="43" t="str">
        <f t="shared" si="336"/>
        <v/>
      </c>
      <c r="OC124" s="43" t="str">
        <f t="shared" si="337"/>
        <v/>
      </c>
      <c r="OD124" s="43" t="str">
        <f t="shared" si="338"/>
        <v/>
      </c>
      <c r="OE124" s="43" t="str">
        <f t="shared" si="339"/>
        <v/>
      </c>
      <c r="OF124" s="43" t="str">
        <f t="shared" si="340"/>
        <v/>
      </c>
      <c r="OG124" s="43" t="str">
        <f t="shared" si="341"/>
        <v/>
      </c>
      <c r="OH124" s="43" t="str">
        <f t="shared" si="342"/>
        <v/>
      </c>
      <c r="OI124" s="43" t="str">
        <f t="shared" si="343"/>
        <v/>
      </c>
      <c r="OJ124" s="43" t="str">
        <f t="shared" si="344"/>
        <v/>
      </c>
      <c r="OK124" s="43" t="str">
        <f t="shared" si="345"/>
        <v/>
      </c>
      <c r="OL124" s="43" t="str">
        <f t="shared" si="346"/>
        <v/>
      </c>
      <c r="OM124" s="43" t="str">
        <f t="shared" si="347"/>
        <v/>
      </c>
      <c r="ON124" s="43" t="str">
        <f t="shared" si="348"/>
        <v/>
      </c>
      <c r="OO124" s="43" t="str">
        <f t="shared" si="349"/>
        <v/>
      </c>
      <c r="OP124" s="43" t="str">
        <f t="shared" si="350"/>
        <v/>
      </c>
      <c r="OQ124" s="43" t="str">
        <f t="shared" si="351"/>
        <v/>
      </c>
      <c r="OR124" s="43" t="str">
        <f t="shared" si="352"/>
        <v/>
      </c>
      <c r="OS124" s="43" t="str">
        <f t="shared" si="353"/>
        <v/>
      </c>
      <c r="OT124" s="43" t="str">
        <f t="shared" si="354"/>
        <v/>
      </c>
      <c r="OU124" s="43" t="str">
        <f t="shared" si="355"/>
        <v/>
      </c>
      <c r="OV124" s="110" t="str">
        <f t="shared" si="356"/>
        <v/>
      </c>
      <c r="OW124" s="43" t="str">
        <f t="shared" si="357"/>
        <v/>
      </c>
      <c r="OX124" s="43" t="str">
        <f t="shared" si="358"/>
        <v/>
      </c>
      <c r="OY124" s="43" t="str">
        <f t="shared" si="359"/>
        <v/>
      </c>
      <c r="OZ124" s="43" t="str">
        <f t="shared" si="360"/>
        <v/>
      </c>
      <c r="PA124" s="43" t="str">
        <f t="shared" si="361"/>
        <v/>
      </c>
      <c r="PB124" s="43" t="str">
        <f t="shared" si="362"/>
        <v/>
      </c>
      <c r="PC124" s="43" t="str">
        <f t="shared" si="363"/>
        <v/>
      </c>
      <c r="PD124" s="43" t="str">
        <f t="shared" si="364"/>
        <v/>
      </c>
      <c r="PE124" s="43" t="str">
        <f t="shared" si="365"/>
        <v/>
      </c>
      <c r="PF124" s="43" t="str">
        <f t="shared" si="366"/>
        <v/>
      </c>
      <c r="PG124" s="43" t="str">
        <f t="shared" si="367"/>
        <v/>
      </c>
      <c r="PH124" s="43" t="str">
        <f t="shared" si="368"/>
        <v/>
      </c>
      <c r="PI124" s="43" t="str">
        <f t="shared" si="369"/>
        <v>Menor</v>
      </c>
      <c r="PJ124" s="43" t="str">
        <f t="shared" si="370"/>
        <v/>
      </c>
      <c r="PK124" s="43" t="str">
        <f t="shared" si="371"/>
        <v/>
      </c>
      <c r="PL124" s="43" t="str">
        <f t="shared" si="372"/>
        <v/>
      </c>
      <c r="PM124" s="43" t="str">
        <f t="shared" si="373"/>
        <v/>
      </c>
      <c r="PN124" s="43" t="str">
        <f t="shared" si="374"/>
        <v/>
      </c>
      <c r="PO124" s="43" t="str">
        <f t="shared" si="375"/>
        <v/>
      </c>
      <c r="PP124" s="43" t="str">
        <f t="shared" si="376"/>
        <v/>
      </c>
      <c r="PQ124" s="43" t="str">
        <f t="shared" si="377"/>
        <v/>
      </c>
      <c r="PR124" s="43" t="str">
        <f t="shared" si="378"/>
        <v/>
      </c>
      <c r="PS124" s="43" t="str">
        <f t="shared" si="379"/>
        <v/>
      </c>
      <c r="PT124" s="43" t="str">
        <f t="shared" si="380"/>
        <v/>
      </c>
      <c r="PU124" s="43" t="str">
        <f t="shared" si="381"/>
        <v/>
      </c>
      <c r="PV124" s="43" t="str">
        <f t="shared" si="382"/>
        <v/>
      </c>
      <c r="PW124" s="43" t="str">
        <f t="shared" si="383"/>
        <v/>
      </c>
      <c r="PX124" s="43" t="str">
        <f t="shared" si="384"/>
        <v/>
      </c>
      <c r="PY124" s="43" t="str">
        <f t="shared" si="385"/>
        <v/>
      </c>
      <c r="PZ124" s="43" t="str">
        <f t="shared" si="386"/>
        <v/>
      </c>
      <c r="QA124" s="43" t="str">
        <f t="shared" si="387"/>
        <v/>
      </c>
      <c r="QB124" s="43" t="str">
        <f t="shared" si="388"/>
        <v/>
      </c>
      <c r="QC124" s="43" t="str">
        <f t="shared" si="389"/>
        <v/>
      </c>
      <c r="QD124" s="43" t="str">
        <f t="shared" si="390"/>
        <v/>
      </c>
      <c r="QE124" s="43" t="str">
        <f t="shared" si="391"/>
        <v/>
      </c>
      <c r="QF124" s="43" t="str">
        <f t="shared" si="392"/>
        <v/>
      </c>
      <c r="QG124" s="43" t="str">
        <f t="shared" si="393"/>
        <v/>
      </c>
      <c r="QH124" s="43" t="str">
        <f t="shared" si="394"/>
        <v/>
      </c>
      <c r="QI124" s="43" t="str">
        <f t="shared" si="395"/>
        <v/>
      </c>
      <c r="QJ124" s="43" t="str">
        <f t="shared" si="396"/>
        <v/>
      </c>
      <c r="QK124" s="43" t="str">
        <f t="shared" si="397"/>
        <v/>
      </c>
      <c r="QL124" s="43" t="str">
        <f t="shared" si="398"/>
        <v/>
      </c>
      <c r="QM124" s="43" t="str">
        <f t="shared" si="399"/>
        <v/>
      </c>
      <c r="QN124" s="43" t="str">
        <f t="shared" si="400"/>
        <v/>
      </c>
      <c r="QO124" s="43" t="str">
        <f t="shared" si="401"/>
        <v/>
      </c>
      <c r="QP124" s="43" t="str">
        <f t="shared" si="402"/>
        <v/>
      </c>
      <c r="QQ124" s="43" t="str">
        <f t="shared" si="403"/>
        <v/>
      </c>
      <c r="QR124" s="43" t="str">
        <f t="shared" si="433"/>
        <v>Menor</v>
      </c>
      <c r="QS124" s="43"/>
      <c r="QT124" s="21" t="str">
        <f t="shared" si="404"/>
        <v/>
      </c>
      <c r="QU124" s="21" t="str">
        <f t="shared" si="405"/>
        <v/>
      </c>
      <c r="QV124" s="21" t="str">
        <f t="shared" si="406"/>
        <v/>
      </c>
      <c r="QW124" s="21" t="str">
        <f t="shared" si="407"/>
        <v/>
      </c>
      <c r="QX124" s="21" t="str">
        <f t="shared" si="408"/>
        <v/>
      </c>
      <c r="QY124" s="21" t="str">
        <f t="shared" si="409"/>
        <v/>
      </c>
      <c r="QZ124" s="21" t="str">
        <f t="shared" si="410"/>
        <v/>
      </c>
      <c r="RA124" s="21" t="str">
        <f t="shared" si="411"/>
        <v/>
      </c>
      <c r="RB124" s="21" t="str">
        <f t="shared" si="412"/>
        <v/>
      </c>
      <c r="RC124" s="21" t="str">
        <f t="shared" si="413"/>
        <v/>
      </c>
      <c r="RD124" s="21" t="str">
        <f t="shared" si="414"/>
        <v/>
      </c>
      <c r="RE124" s="21" t="str">
        <f t="shared" si="415"/>
        <v/>
      </c>
      <c r="RF124" s="21" t="str">
        <f t="shared" si="416"/>
        <v/>
      </c>
      <c r="RG124" s="21" t="str">
        <f t="shared" si="417"/>
        <v/>
      </c>
      <c r="RH124" s="21" t="str">
        <f t="shared" si="418"/>
        <v/>
      </c>
      <c r="RI124" s="21" t="str">
        <f t="shared" si="419"/>
        <v/>
      </c>
      <c r="RJ124" s="21" t="str">
        <f t="shared" si="420"/>
        <v/>
      </c>
      <c r="RK124" s="21" t="str">
        <f t="shared" si="421"/>
        <v/>
      </c>
      <c r="RL124" s="21" t="str">
        <f t="shared" si="422"/>
        <v/>
      </c>
      <c r="RM124" s="21" t="str">
        <f t="shared" si="423"/>
        <v/>
      </c>
      <c r="RN124" s="21" t="str">
        <f t="shared" si="424"/>
        <v/>
      </c>
      <c r="RO124" s="21" t="str">
        <f t="shared" si="425"/>
        <v/>
      </c>
      <c r="RP124" s="21" t="str">
        <f t="shared" si="426"/>
        <v/>
      </c>
      <c r="RQ124" s="21" t="str">
        <f t="shared" si="427"/>
        <v/>
      </c>
      <c r="RR124" s="21" t="str">
        <f t="shared" si="428"/>
        <v/>
      </c>
      <c r="RS124" s="21" t="str">
        <f t="shared" si="429"/>
        <v/>
      </c>
      <c r="RT124" s="21" t="str">
        <f t="shared" si="430"/>
        <v/>
      </c>
      <c r="RU124" s="21" t="str">
        <f t="shared" si="431"/>
        <v/>
      </c>
      <c r="RV124" s="21">
        <f t="shared" si="432"/>
        <v>5.7142857142857144</v>
      </c>
      <c r="RW124" s="284">
        <f>IF(OR(Tabla1[[#This Row],[FUM FORMULA CONFIABLE]]="",Tabla1[[#This Row],[FUM FORMULA CONFIABLE]]="SD"),"",IF(Tabla1[[#This Row],[FUM FORMULA CONFIABLE]]="CORREGIDA",Tabla1[[#This Row],[FUM X ECO 1]],Tabla1[[#This Row],[FUM x AMENORREA]]))</f>
        <v>44953</v>
      </c>
      <c r="RX124" s="21">
        <f>IF(AND(Tabla1[[#This Row],[FUM X ECO 1]]="",Tabla1[[#This Row],[FUM x AMENORREA]]=""),"",IF(AND(Tabla1[[#This Row],[FUM X ECO 1]]="",Tabla1[[#This Row],[FUM x AMENORREA]]&lt;&gt;""),"X",SUM(Tabla1[[#This Row],[FUM X ECO 1]]-Tabla1[[#This Row],[FUM x AMENORREA]])))</f>
        <v>-16</v>
      </c>
      <c r="RY124" s="21">
        <f t="shared" si="434"/>
        <v>1</v>
      </c>
    </row>
    <row r="125" spans="1:493" ht="45" customHeight="1" x14ac:dyDescent="0.25">
      <c r="A125" s="109"/>
      <c r="B125" s="43"/>
      <c r="C125" s="43" t="s">
        <v>845</v>
      </c>
      <c r="D125" s="124"/>
      <c r="E125" s="43" t="s">
        <v>1368</v>
      </c>
      <c r="F125" s="43" t="s">
        <v>1369</v>
      </c>
      <c r="G125" s="43" t="s">
        <v>1370</v>
      </c>
      <c r="H125" s="43" t="s">
        <v>982</v>
      </c>
      <c r="I125" s="109" t="s">
        <v>851</v>
      </c>
      <c r="J125" s="110">
        <v>1059603417</v>
      </c>
      <c r="K125" s="43" t="s">
        <v>852</v>
      </c>
      <c r="L125" s="175" t="s">
        <v>853</v>
      </c>
      <c r="M125" s="22">
        <v>34865</v>
      </c>
      <c r="N125" s="213">
        <f t="shared" ca="1" si="252"/>
        <v>28.402739726027399</v>
      </c>
      <c r="O125" s="22">
        <v>44985</v>
      </c>
      <c r="P125" s="214" t="str">
        <f t="shared" si="438"/>
        <v>SI</v>
      </c>
      <c r="Q125" s="26" t="s">
        <v>855</v>
      </c>
      <c r="R125" s="22">
        <v>44985</v>
      </c>
      <c r="S125" s="21" t="s">
        <v>856</v>
      </c>
      <c r="T125" s="24" t="s">
        <v>690</v>
      </c>
      <c r="U125" s="21" t="s">
        <v>857</v>
      </c>
      <c r="V125" s="21" t="s">
        <v>858</v>
      </c>
      <c r="W125" s="21" t="s">
        <v>1371</v>
      </c>
      <c r="X125" s="21" t="s">
        <v>857</v>
      </c>
      <c r="Y125" s="21"/>
      <c r="Z125" s="21">
        <v>3106755108</v>
      </c>
      <c r="AA125" s="21" t="s">
        <v>860</v>
      </c>
      <c r="AB125" s="27" t="s">
        <v>861</v>
      </c>
      <c r="AC125" s="26" t="s">
        <v>846</v>
      </c>
      <c r="AD125" s="38" t="s">
        <v>1546</v>
      </c>
      <c r="AE125" s="26" t="s">
        <v>854</v>
      </c>
      <c r="AF125" s="26" t="s">
        <v>854</v>
      </c>
      <c r="AG125" s="23" t="s">
        <v>864</v>
      </c>
      <c r="AH125" s="23" t="s">
        <v>864</v>
      </c>
      <c r="AI125" s="24" t="s">
        <v>863</v>
      </c>
      <c r="AJ125" s="23" t="s">
        <v>864</v>
      </c>
      <c r="AK125" s="220" t="str">
        <f>IF(AND(AD125="",AE125="",AF125="",AG125="",AH125="",AI125="",AJ125=""),"",IF(OR(Tabla1[[#This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EVALUACIÓN",IF(AND(O125="",R125=""),"",IF(AND(OR(O125&gt;0,R125&gt;0),NG125&gt;=0,NG125&lt;2),"SIN RIESGO",IF(AND(OR(O125&gt;0,R125&gt;0),NG125&gt;=2),"CON RIESGO","ASD")))))</f>
        <v>SIN RIESGO</v>
      </c>
      <c r="AL125" s="23" t="s">
        <v>864</v>
      </c>
      <c r="AM125" s="26" t="s">
        <v>864</v>
      </c>
      <c r="AN125" s="26" t="s">
        <v>864</v>
      </c>
      <c r="AO125" s="26" t="s">
        <v>864</v>
      </c>
      <c r="AP125" s="26" t="s">
        <v>864</v>
      </c>
      <c r="AQ125" s="26" t="s">
        <v>864</v>
      </c>
      <c r="AR125" s="26" t="s">
        <v>864</v>
      </c>
      <c r="AS125" s="21">
        <v>2</v>
      </c>
      <c r="AT125" s="21">
        <v>1</v>
      </c>
      <c r="AU125" s="21">
        <v>0</v>
      </c>
      <c r="AV125" s="26" t="s">
        <v>864</v>
      </c>
      <c r="AW125" s="21">
        <v>1</v>
      </c>
      <c r="AX125" s="26" t="s">
        <v>864</v>
      </c>
      <c r="AY125" s="26" t="s">
        <v>864</v>
      </c>
      <c r="AZ125" s="26" t="s">
        <v>864</v>
      </c>
      <c r="BA125" s="26" t="s">
        <v>864</v>
      </c>
      <c r="BB125" s="26" t="s">
        <v>864</v>
      </c>
      <c r="BC125" s="26" t="s">
        <v>864</v>
      </c>
      <c r="BD125" s="26" t="s">
        <v>864</v>
      </c>
      <c r="BE125" s="26" t="s">
        <v>864</v>
      </c>
      <c r="BF125" s="26" t="s">
        <v>864</v>
      </c>
      <c r="BG125" s="26" t="s">
        <v>864</v>
      </c>
      <c r="BH125" s="26" t="s">
        <v>864</v>
      </c>
      <c r="BI125" s="26" t="s">
        <v>864</v>
      </c>
      <c r="BJ125" s="26" t="s">
        <v>864</v>
      </c>
      <c r="BK125" s="26" t="s">
        <v>864</v>
      </c>
      <c r="BL125" s="26" t="s">
        <v>864</v>
      </c>
      <c r="BM125" s="26" t="s">
        <v>864</v>
      </c>
      <c r="BN125" s="22">
        <v>42359</v>
      </c>
      <c r="BO125" s="22">
        <v>44938</v>
      </c>
      <c r="BP125" s="21" t="s">
        <v>854</v>
      </c>
      <c r="BQ125" s="222">
        <f t="shared" si="254"/>
        <v>85.966666666666669</v>
      </c>
      <c r="BR125" s="223">
        <f t="shared" si="255"/>
        <v>44938.3</v>
      </c>
      <c r="BS125" s="224">
        <f t="shared" si="256"/>
        <v>6.7142857142857144</v>
      </c>
      <c r="BT125" s="216" t="str">
        <f t="shared" si="257"/>
        <v>I TRIM</v>
      </c>
      <c r="BU125" s="214">
        <f t="shared" ca="1" si="258"/>
        <v>42</v>
      </c>
      <c r="BV125" s="25" t="s">
        <v>1478</v>
      </c>
      <c r="BW125" s="22">
        <v>44995</v>
      </c>
      <c r="BX125" s="28">
        <v>8.1</v>
      </c>
      <c r="BY125" s="28"/>
      <c r="BZ125" s="22"/>
      <c r="CA125" s="21"/>
      <c r="CB125" s="26" t="s">
        <v>864</v>
      </c>
      <c r="CC125" s="26" t="s">
        <v>864</v>
      </c>
      <c r="CD125" s="26"/>
      <c r="CE125" s="26" t="s">
        <v>864</v>
      </c>
      <c r="CF125" s="22" t="s">
        <v>1517</v>
      </c>
      <c r="CG125" s="21">
        <v>1.63</v>
      </c>
      <c r="CH125" s="21">
        <v>67.3</v>
      </c>
      <c r="CI125" s="214">
        <f t="shared" si="259"/>
        <v>25.330272121645528</v>
      </c>
      <c r="CJ125" s="225" t="str">
        <f>IF(AND(CI125&lt;10,CH125="SD"),"SIN DATO PESO PREGESTACION O I TRIM",IF(AND(OR(R125&gt;0,O125&gt;0),CI125="X"),"INGRESAR DATO DE PESO",IF(CI125="SD","INGRESAR DATO DE TALLA Y PESO",IF(AND(OR(Tabla1[[#This Row],[MOMENTO EN QUE SE REALIZA EL PESO AL INGRESO A CPN]]="PREGESTACIÓN",NZ125="Menor"),CI125&lt;18.5),"BAJO PESO",IF(AND(OR(Tabla1[[#This Row],[MOMENTO EN QUE SE REALIZA EL PESO AL INGRESO A CPN]]="PREGESTACIÓN",NZ125="Menor"),CI125&lt;25),"NORMAL",IF(AND(OR(Tabla1[[#This Row],[MOMENTO EN QUE SE REALIZA EL PESO AL INGRESO A CPN]]="PREGESTACIÓN",NZ125="Menor"),CI125&lt;30),"SOBREPESO",IF(AND(OR(Tabla1[[#This Row],[MOMENTO EN QUE SE REALIZA EL PESO AL INGRESO A CPN]]="PREGESTACIÓN",NZ125="Menor"),CI125&gt;=30,CI125&lt;50),"OBESIDAD",IF(AND(BS125&gt;0,Tabla1[[#This Row],[MOMENTO EN QUE SE REALIZA EL PESO AL INGRESO A CPN]]="GESTACIÓN"),HLOOKUP(NZ125,$OA$2:PH125,NY125),""))))))))</f>
        <v>SOBREPESO</v>
      </c>
      <c r="CK125" s="212">
        <f t="shared" si="260"/>
        <v>45141</v>
      </c>
      <c r="CL125" s="21">
        <v>76.5</v>
      </c>
      <c r="CM125" s="214">
        <f t="shared" si="261"/>
        <v>28.792954194738229</v>
      </c>
      <c r="CN125" s="216">
        <f t="shared" si="262"/>
        <v>29</v>
      </c>
      <c r="CO125" s="216" t="e">
        <f>IF(PI125="","",IF(PI125&gt;0,HLOOKUP(PI125,$PJ$2:QQ125,NY125),""))</f>
        <v>#REF!</v>
      </c>
      <c r="CP125" s="21">
        <v>36</v>
      </c>
      <c r="CQ125" s="216" t="e">
        <f>IF(QR125="Menor","NO APLICA-MENOR 13 SEM",IF(AND(CC125="SI",CN125&gt;23),"NO APLICA- GEMELAR",IF(QR125="","",IF(QR125&gt;0,HLOOKUP(QR125,$QS$2:RU125,NY125),""))))</f>
        <v>#REF!</v>
      </c>
      <c r="CR125" s="21">
        <v>100</v>
      </c>
      <c r="CS125" s="21">
        <v>70</v>
      </c>
      <c r="CT125" s="217" t="str">
        <f>IF(R125="","",IF(AND(BS125&gt;1,BS125&lt;12,Tabla1[[#This Row],[T.A. SISTOLICA - ANTES DE SEMANA 12]]="",Tabla1[[#This Row],[T.A. DIASTOLICA - ANTES DE SEMANA 12]]=""),"REGISTRE DATO TA ANTES SEMANA 12",IF(AND(BS125&gt;11,BS125&lt;43,Tabla1[[#This Row],[T.A. SISTOLICA - ANTES DE SEMANA 12]]="",Tabla1[[#This Row],[T.A. DIASTOLICA - ANTES DE SEMANA 12]]=""),"NO APLICA REGISTRO TA-INGRESO TARDIO",IF(AND(OR(O125&gt;0,R125&gt;0),OR(CR125&gt;=140,CS125&gt;=90)),"DEFINIR ESTADIO HTA",IF(AND(OR(O125&gt;0,R125&gt;0),AND(CR125&gt;120,CR125&lt;=139)),"PRE HTA SEGUIMIENTO",IF(AND(OR(O125&gt;0,R125&gt;0),AND(CS125&gt;80,CS125&lt;=89)),"PRE HTA SEGUIMIENTO",IF(AND(OR(O125&gt;0,R125&gt;0),AND(CR125&gt;=80,CR125&lt;=120)),"APARENTEMENTE NORMAL",IF(AND(OR(O125&gt;0,R125&gt;0),AND(CS125&gt;=50,CS125&lt;=80)),"APARENTEMENTE NORMAL",IF(AND(OR(O125&gt;0,R125&gt;0),AND(CR125&gt;1,CR125&lt;=70),AND(CS125&gt;1,CS125&lt;=40)),"HIPOTENSIÓN","")))))))))</f>
        <v>APARENTEMENTE NORMAL</v>
      </c>
      <c r="CU125" s="21">
        <v>100</v>
      </c>
      <c r="CV125" s="21">
        <v>60</v>
      </c>
      <c r="CW125" s="217" t="str">
        <f ca="1">IF(R125="","",IF(AND(CN125&gt;19,CN125&lt;27,Tabla1[[#This Row],[T.A. SISTOLICA (Entre semana 20 y 26)]]="",Tabla1[[#This Row],[T.A. DIATOLICA (Entre semana 20 y 26)]]=""),"ACUDE A CONTROL SEM 20 A 26 REGISTRE TA AHORA",IF(AND(BS125&gt;1,BS125&lt;27,BU125&gt;19,Tabla1[[#This Row],[T.A. SISTOLICA (Entre semana 20 y 26)]]="",Tabla1[[#This Row],[T.A. DIATOLICA (Entre semana 20 y 26)]]=""),"COMPLETE REGISTRO TA CONTROL SEM 20 A26 ",IF(AND(BS125&gt;26,BS125&lt;43,Tabla1[[#This Row],[T.A. SISTOLICA (Entre semana 20 y 26)]]="",Tabla1[[#This Row],[T.A. DIATOLICA (Entre semana 20 y 26)]]=""),"NO APLICA REGISTRO TA-INGRESO TARDIO",IF(AND(OR(O125&gt;0,R125&gt;0),OR(CU125&gt;=140,CV125&gt;=90)),"ALTO RIESGO PREECLAMPSIA,DEFINIR ESTADIO HTA",IF(AND(OR(O125&gt;0,R125&gt;0),AND(CU125&gt;120,CU125&lt;=139)),"PRE HTA SEGUIMIENTO,RIESGO HIPERTENSION INDUCIDA POR EL EMBARAZO",IF(AND(OR(O125&gt;0,R125&gt;0),AND(CV125&gt;80,CV125&lt;=89)),"PRE HTA SEGUIMIENTO, RIESGO HIPERTENSION INDUCIDA POR EL EMBARAZO",IF(AND(OR(O125&lt;&gt;"",R125&lt;&gt;""),CS125&lt;&gt;"",CV125&lt;&gt;"",CS125&lt;=CV125),"VIGILAR CIFRAS PRESION ARTERIAL",IF(AND(OR(O125&gt;0,R125&gt;0),AND(CU125&gt;120,CU125&lt;=139)),"PRE HTA SEGUIMIENTO",IF(AND(OR(O125&gt;0,R125&gt;0),AND(CU125&gt;1,CU125&lt;=70),AND(CV125&gt;1,CV125&lt;=40)),"HIPOTENSIÓN",IF(AND(OR(O125&lt;&gt;"",R125&lt;&gt;""),CS125&lt;&gt;"",CV125&lt;&gt;"",CS125&gt;CV125),"APARENTEMENTE NORMAL",IF(AND(OR(O125&gt;0,R125&gt;0),AND(CU125&gt;=80,CU125&lt;=120)),"APARENTEMENTE NORMAL",IF(AND(OR(O125&gt;0,R125&gt;0),AND(CV125&gt;=50,CV125&lt;=80)),"APARENTEMENTE NORMAL","")))))))))))))</f>
        <v>APARENTEMENTE NORMAL</v>
      </c>
      <c r="CX125" s="21"/>
      <c r="CY125" s="21"/>
      <c r="CZ125" s="216" t="e">
        <f>IF(R125="","",IF(AND(CN125&gt;31,CN125&lt;35,CX125="",CY125=""),"ACUDE A CONTROL SEM 30 A 34- REGISTRE AHORA",IF(AND(BS125&gt;34,BS125&lt;43,#REF!="",#REF!=""),"NO APLICA-INGRESO TARDIO",IF(AND(OR(O125&gt;0,R125&gt;0),OR(CX125&gt;=140,CY125&gt;=90)),"ESTUDIO INMEDIATO HTA PARA DESCARTAR PREECLAMSIA",IF(AND(OR(O125&gt;0,R125&gt;0),AND(CX125&gt;=130,CX125&lt;=139)),"PRE HTA,RIESGO ALTO PREECLAMPSIA",IF(AND(OR(O125&gt;0,R125&gt;0),AND(CY125&gt;80,CY125&lt;=89)),"PRE HTA,RIESGO ALTO PREECLAMPSIA",IF(AND(OR(O125&gt;0,R125&gt;0),AND(CX125&gt;120,CX125&lt;=129)),"RANGO PREHIPERTENSIVO SEGUIMIENTO HTA",IF(AND(OR(O125&lt;&gt;"",R125&lt;&gt;""),CS125&lt;&gt;"",CY125&lt;&gt;"",CS125&lt;CY125),"VIGILAR CIFRAS PRESION ARTERIAL",IF(AND(OR(O125&lt;&gt;"",R125&lt;&gt;""),CS125&lt;&gt;"",CY125&lt;&gt;"",CS125=CY125),"APARENTEMENTE NORMAL",IF(AND(OR(O125&gt;0,R125&gt;0),CX125&gt;=80,CX125&lt;=120),"APARENTEMENTE NORMAL",IF(AND(OR(O125&gt;0,R125&gt;0),CY125&gt;=50,CY125&lt;=80),"APARENTEMENTE NORMAL","")))))))))))</f>
        <v>#REF!</v>
      </c>
      <c r="DA125" s="21">
        <v>100</v>
      </c>
      <c r="DB125" s="21">
        <v>60</v>
      </c>
      <c r="DC125" s="217" t="str">
        <f t="shared" si="264"/>
        <v>APARENTEMENTE NORMAL</v>
      </c>
      <c r="DD125" s="22">
        <v>45013</v>
      </c>
      <c r="DE125" s="22">
        <v>45013</v>
      </c>
      <c r="DF125" s="22">
        <v>45009</v>
      </c>
      <c r="DG125" s="22">
        <v>45045</v>
      </c>
      <c r="DH125" s="22">
        <v>45085</v>
      </c>
      <c r="DI125" s="22">
        <v>45112</v>
      </c>
      <c r="DJ125" s="22">
        <v>45141</v>
      </c>
      <c r="DK125" s="22"/>
      <c r="DL125" s="22"/>
      <c r="DM125" s="22"/>
      <c r="DN125" s="22"/>
      <c r="DO125" s="22"/>
      <c r="DP125" s="22"/>
      <c r="DQ125" s="22"/>
      <c r="DR125" s="28">
        <v>1</v>
      </c>
      <c r="DS125" s="22"/>
      <c r="DT125" s="22"/>
      <c r="DU125" s="216" t="str">
        <f t="shared" ca="1" si="439"/>
        <v>CONCERTAR PLAN DE PARTO INMEDIATO</v>
      </c>
      <c r="DV125" s="226" t="str">
        <f t="shared" si="440"/>
        <v>ACTIVA INGRESO A CPN</v>
      </c>
      <c r="DW12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25" s="216" t="e">
        <f t="shared" ca="1" si="266"/>
        <v>#REF!</v>
      </c>
      <c r="DY125" s="212">
        <f>IF(R125="","",IF(R125&gt;0,MAX(Tabla1[[#This Row],[FECHA C2]:[FECHA C13]],Tabla1[[#This Row],[FECHA CONSULTA PRIMERA VEZ PROGRAMA CPN ]])))</f>
        <v>45141</v>
      </c>
      <c r="DZ125" s="216">
        <f t="shared" si="267"/>
        <v>29</v>
      </c>
      <c r="EA125" s="222">
        <f>IF(R125&gt;0,SUM(COUNTA(DF125:DQ125)+COUNTA(Tabla1[[#This Row],[FECHA CONSULTA PRIMERA VEZ PROGRAMA CPN ]])),"")</f>
        <v>6</v>
      </c>
      <c r="EB125" s="222" t="str">
        <f t="shared" si="268"/>
        <v>SI</v>
      </c>
      <c r="EC125" s="214">
        <f t="shared" si="269"/>
        <v>10</v>
      </c>
      <c r="ED125" s="227">
        <f t="shared" si="270"/>
        <v>0.6</v>
      </c>
      <c r="EE125" s="22">
        <v>44968</v>
      </c>
      <c r="EF125" s="22">
        <v>44968</v>
      </c>
      <c r="EG125" s="22">
        <v>44968</v>
      </c>
      <c r="EH125" s="22">
        <v>44980</v>
      </c>
      <c r="EI125" s="22">
        <v>44968</v>
      </c>
      <c r="EJ125" s="22">
        <v>44980</v>
      </c>
      <c r="EK125" s="22">
        <v>45044</v>
      </c>
      <c r="EL125" s="21">
        <v>1</v>
      </c>
      <c r="EM125" s="21">
        <v>14</v>
      </c>
      <c r="EN125" s="22">
        <v>44985</v>
      </c>
      <c r="EO125" s="222">
        <f t="shared" si="271"/>
        <v>6.7142857142857144</v>
      </c>
      <c r="EP125" s="214" t="str">
        <f t="shared" si="272"/>
        <v>NORMAL- SUMINISTRAR SULFATO FERROSO</v>
      </c>
      <c r="EQ125" s="216" t="str">
        <f t="shared" si="273"/>
        <v>I TRIM</v>
      </c>
      <c r="ER125" s="24">
        <v>14.8</v>
      </c>
      <c r="ES125" s="22">
        <v>45107</v>
      </c>
      <c r="ET125" s="29">
        <f t="shared" ca="1" si="441"/>
        <v>24.142857142857142</v>
      </c>
      <c r="EU125" s="25" t="str">
        <f t="shared" si="275"/>
        <v>NO DAR SULFATO FERROSO</v>
      </c>
      <c r="EV125" s="24" t="s">
        <v>1510</v>
      </c>
      <c r="EW125" s="32">
        <v>44985</v>
      </c>
      <c r="EX125" s="22"/>
      <c r="EY125" s="29">
        <f t="shared" si="454"/>
        <v>6.7142857142857144</v>
      </c>
      <c r="EZ125" s="25" t="str">
        <f t="shared" si="455"/>
        <v>SIN RIESGO DE ISOINMUNIZACIÓN</v>
      </c>
      <c r="FA125" s="21">
        <v>63</v>
      </c>
      <c r="FB125" s="22">
        <v>44985</v>
      </c>
      <c r="FC125" s="29">
        <f t="shared" si="276"/>
        <v>6.7142857142857144</v>
      </c>
      <c r="FD125" s="29">
        <v>61</v>
      </c>
      <c r="FE125" s="29">
        <v>99</v>
      </c>
      <c r="FF125" s="29">
        <v>69</v>
      </c>
      <c r="FG125" s="21" t="str">
        <f t="shared" ca="1" si="277"/>
        <v>NORMAL</v>
      </c>
      <c r="FH125" s="31">
        <v>45111</v>
      </c>
      <c r="FI125" s="29">
        <f t="shared" si="278"/>
        <v>24.714285714285715</v>
      </c>
      <c r="FJ125" s="22" t="s">
        <v>867</v>
      </c>
      <c r="FK125" s="22">
        <v>44985</v>
      </c>
      <c r="FL125" s="29">
        <f t="shared" ca="1" si="279"/>
        <v>6.7142857142857144</v>
      </c>
      <c r="FM125" s="22" t="s">
        <v>867</v>
      </c>
      <c r="FN125" s="32">
        <v>45111</v>
      </c>
      <c r="FO125" s="29">
        <f t="shared" ca="1" si="442"/>
        <v>24.714285714285715</v>
      </c>
      <c r="FP125" s="22"/>
      <c r="FQ125" s="32"/>
      <c r="FR125" s="29" t="str">
        <f t="shared" ca="1" si="443"/>
        <v>TOMA INMEDIATA DE TAMIZAJE</v>
      </c>
      <c r="FS125" s="22"/>
      <c r="FT125" s="32"/>
      <c r="FU125" s="29" t="str">
        <f>IF(AND(FJ125="",FM125="",FP125="",FS125=""),"",IF(OR(OR(Tabla1[[#This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25" s="28"/>
      <c r="FW125" s="22"/>
      <c r="FX125" s="29" t="str">
        <f t="shared" si="280"/>
        <v>TOMAR EXAMEN</v>
      </c>
      <c r="FY125" s="22">
        <v>44968</v>
      </c>
      <c r="FZ125" s="22">
        <v>44968</v>
      </c>
      <c r="GA125" s="29">
        <f t="shared" ref="GA125:GA156" ca="1" si="498">IF(AND(BT125="ERROR FUM O INGRESO",FZ125&gt;0),"ERROR FUM O INGRESO",IF(AND(FZ125="",R125="",O125=""),"",IF(OR(AND(FZ125&lt;&gt;"",FZ125&lt;RW125),AND(FZ125&lt;&gt;"",AND(SUM((FZ125-RW125)/7)&gt;=13,SUM((FZ125-RW125)/7)&lt;27))),"REGISTRAR EN II TRIMESTRE",IF(OR(AND(FZ125&lt;&gt;"",FZ125&lt;RW125),AND(FZ125&lt;&gt;"",AND(SUM((FZ125-RW125)/7)&gt;=27,SUM((FZ125-RW125)/7)&lt;44))),"REGISTRAR EN III TRIMESTRE",IF(AND(FZ125="",OR(O125&gt;0,R125&gt;0),AND(BU125&gt;1,BU125&lt;10)),"EN RANGO PARA TOMAR EXAMEN",IF(AND(FZ125="",OR(O125&gt;0,R125&gt;0),AND(BU125&gt;=10,BU125&lt;12)),"TOMA INMEDIATA DE TAMIZAJE",IF(AND(FZ125="",BS125&lt;12,OR(O125&gt;0,R125&gt;0)),"PIERDE TOMA DE TAMIZAJE",IF(AND(FZ125="",OR(O125&gt;0,R125&gt;0),AND(BS125&gt;=13,BS125&lt;44)),"NO APLICA-INGRESO TARDIO",IF(FZ125&gt;0,SUM(FZ125-RW125)/7,"")))))))))</f>
        <v>4.2857142857142856</v>
      </c>
      <c r="GB125" s="22"/>
      <c r="GC125" s="22"/>
      <c r="GD125" s="29" t="str">
        <f t="shared" ca="1" si="491"/>
        <v>PIERDE TOMA DE TAMIZAJE</v>
      </c>
      <c r="GE125" s="22"/>
      <c r="GF125" s="22"/>
      <c r="GG125" s="29" t="str">
        <f t="shared" ca="1" si="445"/>
        <v>TOMA INMEDIATA DE TAMIZAJE</v>
      </c>
      <c r="GH125" s="22"/>
      <c r="GI125" s="29"/>
      <c r="GJ125" s="22"/>
      <c r="GK125" s="22"/>
      <c r="GL125" s="22"/>
      <c r="GM125" s="22"/>
      <c r="GN125" s="28"/>
      <c r="GO125" s="22"/>
      <c r="GP125" s="29" t="str">
        <f t="shared" si="283"/>
        <v>TOMAR EXAMEN</v>
      </c>
      <c r="GQ125" s="28" t="s">
        <v>869</v>
      </c>
      <c r="GR125" s="28" t="s">
        <v>869</v>
      </c>
      <c r="GS125" s="22" t="str">
        <f t="shared" si="458"/>
        <v>CONTROL Igm</v>
      </c>
      <c r="GT125" s="22">
        <v>44985</v>
      </c>
      <c r="GU125" s="29">
        <f t="shared" si="285"/>
        <v>6.7142857142857144</v>
      </c>
      <c r="GV125" s="21" t="str">
        <f t="shared" si="286"/>
        <v>I TRIM</v>
      </c>
      <c r="GW125" s="28" t="s">
        <v>869</v>
      </c>
      <c r="GX125" s="30"/>
      <c r="GY125" s="21"/>
      <c r="GZ125" s="21"/>
      <c r="HA125" s="21"/>
      <c r="HB125" s="21"/>
      <c r="HC125" s="21"/>
      <c r="HD125" s="21"/>
      <c r="HE125" s="21"/>
      <c r="HF125" s="22"/>
      <c r="HG125" s="22" t="str">
        <f>IF(OR(O125&gt;0,R125&gt;0),CONCATENATE(IF(Tabla1[[#This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25" s="22" t="e">
        <f t="shared" si="287"/>
        <v>#REF!</v>
      </c>
      <c r="HI125" s="22" t="e">
        <f t="shared" ca="1" si="288"/>
        <v>#REF!</v>
      </c>
      <c r="HJ125" s="21" t="str">
        <f t="shared" ca="1" si="289"/>
        <v>*************************CESAREAS PREVIAS**EMBARAZO PROLONGADO************</v>
      </c>
      <c r="HK125" s="21" t="str">
        <f t="shared" si="290"/>
        <v>SIN ANTECEDENTES DE RIESGO</v>
      </c>
      <c r="HL125" s="24" t="str">
        <f t="shared" si="291"/>
        <v>APARENTEMENTE NORMAL</v>
      </c>
      <c r="HM125" s="21" t="e">
        <f t="shared" ca="1" si="292"/>
        <v>#REF!</v>
      </c>
      <c r="HN125" s="30" t="str">
        <f t="shared" si="446"/>
        <v>ACTIVA INGRESO A CPN</v>
      </c>
      <c r="HO125" s="21"/>
      <c r="HP125" s="21"/>
      <c r="HQ125" s="349">
        <v>45009</v>
      </c>
      <c r="HR125" s="21" t="str">
        <f>IF(R125="","",IF(Tabla1[[#This Row],[ALARMA FACTORES DE RIESGO COMPLICACIONES HIPERTENSIVAS3]]="SIN ANTECEDENTES DE RIESGO","No Aplica para suministro de ASA",IF(AND(Tabla1[[#This Row],[FECHA INICIO DE SUMINISTRO DE ASA]]&gt;0,RV125&lt;12),"Inicia ASA ANTES de Sem 12",IF(AND(RV125&gt;11,RV125&lt;17,OR(HK125="RIESGO ALTO DE COMPLICACIONES HIPERTENSIVAS VER MANEJO GUIA SUMINISTRO ASA Y CALCIO",HK125="RIESGO MODERADO (2 O MAS CRITERIOS) VER MANEJO GUIA SUMINISTRO ASA Y CALCIO")),"Inicio oportuno de ASA",IF(AND(RV125&gt;12,OR(HK125="RIESGO ALTO DE COMPLICACIONES HIPERTENSIVAS VER MANEJO GUIA SUMINISTRO ASA Y CALCIO",HK125="RIESGO MODERADO (2 O MAS CRITERIOS) VER MANEJO GUIA SUMINISTRO ASA Y CALCIO")),"Inicio no oportuno mayor a 16 semanas",IF(AND(BU125&lt;12,OR(HK125="RIESGO ALTO DE COMPLICACIONES HIPERTENSIVAS VER MANEJO GUIA SUMINISTRO ASA Y CALCIO",HK125="RIESGO MODERADO (2 O MAS CRITERIOS) VER MANEJO GUIA SUMINISTRO ASA Y CALCIO")),"Pendiente Inicio de ASA a la semana 12",IF(AND(BU125&gt;11,BU125&lt;17,OR(HK125="RIESGO ALTO DE COMPLICACIONES HIPERTENSIVAS VER MANEJO GUIA SUMINISTRO ASA Y CALCIO",HK125="RIESGO MODERADO (2 O MAS CRITERIOS) VER MANEJO GUIA SUMINISTRO ASA Y CALCIO")),"Iniciar de inmediato ASA",IF(AND(BU125&gt;16,OR(HK125="RIESGO ALTO DE COMPLICACIONES HIPERTENSIVAS VER MANEJO GUIA SUMINISTRO ASA Y CALCIO",HK125="RIESGO MODERADO (2 O MAS CRITERIOS) VER MANEJO GUIA SUMINISTRO ASA Y CALCIO")),"Pierde Oportunidad, Inicio tardío de ASA","XXXXX"))))))))</f>
        <v>No Aplica para suministro de ASA</v>
      </c>
      <c r="HS125" s="22">
        <v>45009</v>
      </c>
      <c r="HT125" s="22" t="s">
        <v>870</v>
      </c>
      <c r="HU125" s="22">
        <v>45009</v>
      </c>
      <c r="HV125" s="22" t="s">
        <v>870</v>
      </c>
      <c r="HW125" s="22"/>
      <c r="HX125" s="22"/>
      <c r="HY125" s="22">
        <v>44968</v>
      </c>
      <c r="HZ125" s="28">
        <f t="shared" si="293"/>
        <v>4.2857142857142856</v>
      </c>
      <c r="IA125" s="26"/>
      <c r="IB125" s="26"/>
      <c r="IC125" s="111"/>
      <c r="ID125" s="22"/>
      <c r="IE125" s="22" t="str">
        <f t="shared" ca="1" si="294"/>
        <v>INASISTENTE</v>
      </c>
      <c r="IF125" s="22"/>
      <c r="IG125" s="22">
        <f t="shared" si="295"/>
        <v>45218</v>
      </c>
      <c r="IH125" s="29">
        <f t="shared" ca="1" si="296"/>
        <v>-14</v>
      </c>
      <c r="II125" s="22" t="str">
        <f t="shared" ca="1" si="297"/>
        <v>POSIBLEMENTE NACIO</v>
      </c>
      <c r="IJ125" s="22"/>
      <c r="IK125" s="21"/>
      <c r="IL125" s="21"/>
      <c r="IM125" s="34"/>
      <c r="IN125" s="22"/>
      <c r="IO125" s="21"/>
      <c r="IP125" s="29" t="str">
        <f t="shared" si="490"/>
        <v/>
      </c>
      <c r="IQ125" s="35"/>
      <c r="IR125" s="21"/>
      <c r="IS125" s="21"/>
      <c r="IT125" s="21"/>
      <c r="IU125" s="21"/>
      <c r="IV125" s="21"/>
      <c r="IW125" s="21"/>
      <c r="IX125" s="21"/>
      <c r="IY125" s="21"/>
      <c r="IZ125" s="21"/>
      <c r="JA125" s="21"/>
      <c r="JB125" s="30"/>
      <c r="JC125" s="21"/>
      <c r="JD125" s="36"/>
      <c r="JE125" s="21" t="str">
        <f t="shared" si="492"/>
        <v/>
      </c>
      <c r="JF125" s="30"/>
      <c r="JG125" s="21"/>
      <c r="JH125" s="21"/>
      <c r="JI125" s="21"/>
      <c r="JJ125" s="30"/>
      <c r="JK125" s="22"/>
      <c r="JL125" s="22"/>
      <c r="JM125" s="21"/>
      <c r="JN125" s="36"/>
      <c r="JO125" s="21" t="str">
        <f t="shared" si="493"/>
        <v/>
      </c>
      <c r="JP125" s="22"/>
      <c r="JQ125" s="21"/>
      <c r="JR125" s="21"/>
      <c r="JS125" s="21"/>
      <c r="JT125" s="30"/>
      <c r="JU125" s="22"/>
      <c r="JV125" s="22"/>
      <c r="JW125" s="33"/>
      <c r="JX125" s="28" t="str">
        <f t="shared" si="494"/>
        <v/>
      </c>
      <c r="JY125" s="33"/>
      <c r="JZ125" s="28" t="str">
        <f t="shared" si="495"/>
        <v/>
      </c>
      <c r="KA125" s="21"/>
      <c r="KB125" s="21"/>
      <c r="KC125" s="21"/>
      <c r="KD125" s="37"/>
      <c r="KE125" s="28"/>
      <c r="KF125" s="28"/>
      <c r="KG125" s="28"/>
      <c r="KH125" s="39"/>
      <c r="KI125" s="39"/>
      <c r="KJ125" s="66"/>
      <c r="KK125" s="39"/>
      <c r="KL125" s="39"/>
      <c r="KM125" s="66"/>
      <c r="KN125" s="39"/>
      <c r="KO125" s="39"/>
      <c r="KP125" s="39"/>
      <c r="KQ125" s="39"/>
      <c r="KR125" s="39"/>
      <c r="KS125" s="39"/>
      <c r="KT125" s="39"/>
      <c r="KU125" s="38"/>
      <c r="KV125" s="38"/>
      <c r="KW125" s="38"/>
      <c r="KX125" s="38"/>
      <c r="KY125" s="38"/>
      <c r="KZ125" s="38"/>
      <c r="LA125" s="38"/>
      <c r="LB125" s="38"/>
      <c r="LC125" s="38"/>
      <c r="LD125" s="38"/>
      <c r="LE125" s="38"/>
      <c r="LF125" s="38"/>
      <c r="LG125" s="38"/>
      <c r="LH125" s="38"/>
      <c r="LI125" s="38"/>
      <c r="LJ125" s="38"/>
      <c r="LK125" s="38"/>
      <c r="LL125" s="38"/>
      <c r="LM125" s="38"/>
      <c r="LN125" s="38"/>
      <c r="LO125" s="38"/>
      <c r="LP125" s="38"/>
      <c r="LQ125" s="38"/>
      <c r="LR125" s="38"/>
      <c r="LS125" s="38"/>
      <c r="LT125" s="38"/>
      <c r="LU125" s="38"/>
      <c r="LV125" s="38"/>
      <c r="LW125" s="38"/>
      <c r="LX125" s="38"/>
      <c r="LY125" s="38"/>
      <c r="LZ125" s="38"/>
      <c r="MA125" s="38"/>
      <c r="MB125" s="38"/>
      <c r="MC125" s="38"/>
      <c r="MD125" s="38"/>
      <c r="ME125" s="38"/>
      <c r="MF125" s="38"/>
      <c r="MG125" s="38"/>
      <c r="MH125" s="43">
        <f t="shared" si="459"/>
        <v>0</v>
      </c>
      <c r="MI125" s="43" t="str">
        <f t="shared" si="460"/>
        <v/>
      </c>
      <c r="MJ125" s="43" t="str">
        <f t="shared" si="461"/>
        <v/>
      </c>
      <c r="MK125" s="43">
        <f t="shared" si="462"/>
        <v>0</v>
      </c>
      <c r="ML12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25" s="43">
        <f t="shared" si="463"/>
        <v>6.7142857142857144</v>
      </c>
      <c r="MN125" s="43">
        <f t="shared" si="464"/>
        <v>2</v>
      </c>
      <c r="MO125" s="43">
        <f t="shared" si="465"/>
        <v>2023</v>
      </c>
      <c r="MP125" s="43" t="str">
        <f t="shared" si="466"/>
        <v>I TRIMESTRE AÑO</v>
      </c>
      <c r="MQ125" s="43">
        <f t="shared" si="467"/>
        <v>27.302343407796759</v>
      </c>
      <c r="MR125" s="43">
        <f t="shared" si="468"/>
        <v>0</v>
      </c>
      <c r="MS125" s="43" t="str">
        <f t="shared" si="469"/>
        <v xml:space="preserve"> DE 25 A 29 AÑOS</v>
      </c>
      <c r="MT125" s="43">
        <f t="shared" si="470"/>
        <v>0</v>
      </c>
      <c r="MU125" s="43">
        <f t="shared" si="471"/>
        <v>0</v>
      </c>
      <c r="MV125" s="43">
        <f t="shared" si="472"/>
        <v>1</v>
      </c>
      <c r="MW125" s="43">
        <f t="shared" si="473"/>
        <v>0</v>
      </c>
      <c r="MX125" s="43" t="str">
        <f t="shared" si="474"/>
        <v/>
      </c>
      <c r="MY125" s="43">
        <f t="shared" ca="1" si="496"/>
        <v>1</v>
      </c>
      <c r="MZ125" s="43" t="str">
        <f t="shared" si="475"/>
        <v/>
      </c>
      <c r="NA125" s="43" t="str">
        <f t="shared" si="476"/>
        <v/>
      </c>
      <c r="NB125" s="43" t="str">
        <f t="shared" si="477"/>
        <v/>
      </c>
      <c r="NC125" s="43" t="str">
        <f t="shared" si="478"/>
        <v/>
      </c>
      <c r="ND125" s="43">
        <f t="shared" ca="1" si="479"/>
        <v>2</v>
      </c>
      <c r="NE125" s="43">
        <f>IF(OR(O125&gt;0,R125&gt;0),SUM(COUNTIF(Tabla1[[#This Row],[AÑOS AL INICIO5 CPN]],"&gt;=40"),COUNTIF(AS125,"0"),COUNTIF(AR125,"SI"),COUNTIF(CC125,"SI"),COUNTIF(BQ125,"&gt;119"),COUNTIF(CI125,"&gt;=35")),"")</f>
        <v>0</v>
      </c>
      <c r="NF125" s="43" t="str">
        <f t="shared" si="480"/>
        <v/>
      </c>
      <c r="NG125" s="43">
        <f t="shared" si="481"/>
        <v>0</v>
      </c>
      <c r="NH125" s="43">
        <f t="shared" si="482"/>
        <v>56.699999999999996</v>
      </c>
      <c r="NI12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CPN",P125="NO"),"Z",IF(AND(Tabla1[[#This Row],[CITA PROXIMO CONTROL]]="CITA MANUAL",Tabla1[[#This Row],[GESTANTES ACTUALES]]="ACTIVA INGRESO A CPN"),"W",IF(AND(Tabla1[[#This Row],[GESTANTES ACTUALES]]="SALIO PROGRAMA",IN125=""),"S",IF(AND(Tabla1[[#This Row],[CITA PROXIMO CONTROL]]&gt;0,IN125=""),(Tabla1[[#This Row],[CITA PROXIMO CONTROL]]-TODAY()),"SD"))))))))</f>
        <v>#REF!</v>
      </c>
      <c r="NJ125" s="43">
        <f>MONTH(Tabla1[[#This Row],[FECHA DE SALIDA  DEL PROGRAMA]])</f>
        <v>1</v>
      </c>
      <c r="NK125" s="43">
        <f>YEAR(Tabla1[[#This Row],[FECHA DE SALIDA  DEL PROGRAMA]])</f>
        <v>1900</v>
      </c>
      <c r="NL125" s="43">
        <f t="shared" si="483"/>
        <v>12</v>
      </c>
      <c r="NM125" s="43" t="str">
        <f t="shared" si="456"/>
        <v>NO</v>
      </c>
      <c r="NN125" s="43" t="str">
        <f ca="1">IF(AND(O125&gt;0,R125=""),"NO CPN",IF(AND(O125="",R125=""),"",IF(AND(R125&gt;0,Tabla1[[#This Row],[SEMANAS DE GESTACION ACTUALIZADAS]]&lt;=12),"NO APLICA",IF(AND(FH125&lt;&gt;"",FN125&lt;&gt;""),"SI","NO"))))</f>
        <v>SI</v>
      </c>
      <c r="NO125" s="43" t="str">
        <f ca="1">IF(AND(O125&gt;0,R125=""),"NO CPN",IF(AND(O125="",R125=""),"",IF(AND(R125&gt;0,Tabla1[[#This Row],[SEMANAS DE GESTACION ACTUALIZADAS]]&lt;=27),"NO APLICA",IF(AND(ES125&lt;&gt;"",FQ125&lt;&gt;"",GF125&lt;&gt;""),"SI","NO"))))</f>
        <v>NO</v>
      </c>
      <c r="NP125" s="204" t="str">
        <f t="shared" si="484"/>
        <v>I TRIM</v>
      </c>
      <c r="NQ125"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125" s="21">
        <f t="shared" ca="1" si="497"/>
        <v>3</v>
      </c>
      <c r="NS125" s="205">
        <f t="shared" ca="1" si="485"/>
        <v>2</v>
      </c>
      <c r="NT125" s="21">
        <f t="shared" ca="1" si="486"/>
        <v>1</v>
      </c>
      <c r="NU125" s="21" t="str">
        <f t="shared" ca="1" si="487"/>
        <v>INCOMPLETO</v>
      </c>
      <c r="NV125" s="21" t="str">
        <f t="shared" ca="1" si="488"/>
        <v>INCOMPLETO</v>
      </c>
      <c r="NW125" s="206" t="str">
        <f>IF(AND(O125="",R125=""),"",IF(OR(AND(Tabla1[[#This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25" s="207" t="str">
        <f t="shared" ca="1" si="489"/>
        <v>SIN VACUNAR</v>
      </c>
      <c r="NY125" s="43">
        <f>ROW(Tabla1[[#This Row],['# DE TAMIZAJES SIFILIS TOMADOS ]])</f>
        <v>125</v>
      </c>
      <c r="NZ125" s="43" t="str">
        <f t="shared" si="334"/>
        <v>Menor</v>
      </c>
      <c r="OA125" s="43" t="str">
        <f t="shared" si="335"/>
        <v>SOBREPESO</v>
      </c>
      <c r="OB125" s="43" t="str">
        <f t="shared" si="336"/>
        <v/>
      </c>
      <c r="OC125" s="43" t="str">
        <f t="shared" si="337"/>
        <v/>
      </c>
      <c r="OD125" s="43" t="str">
        <f t="shared" si="338"/>
        <v/>
      </c>
      <c r="OE125" s="43" t="str">
        <f t="shared" si="339"/>
        <v/>
      </c>
      <c r="OF125" s="43" t="str">
        <f t="shared" si="340"/>
        <v/>
      </c>
      <c r="OG125" s="43" t="str">
        <f t="shared" si="341"/>
        <v/>
      </c>
      <c r="OH125" s="43" t="str">
        <f t="shared" si="342"/>
        <v/>
      </c>
      <c r="OI125" s="43" t="str">
        <f t="shared" si="343"/>
        <v/>
      </c>
      <c r="OJ125" s="43" t="str">
        <f t="shared" si="344"/>
        <v/>
      </c>
      <c r="OK125" s="43" t="str">
        <f t="shared" si="345"/>
        <v/>
      </c>
      <c r="OL125" s="43" t="str">
        <f t="shared" si="346"/>
        <v/>
      </c>
      <c r="OM125" s="43" t="str">
        <f t="shared" si="347"/>
        <v/>
      </c>
      <c r="ON125" s="43" t="str">
        <f t="shared" si="348"/>
        <v/>
      </c>
      <c r="OO125" s="43" t="str">
        <f t="shared" si="349"/>
        <v/>
      </c>
      <c r="OP125" s="43" t="str">
        <f t="shared" si="350"/>
        <v/>
      </c>
      <c r="OQ125" s="43" t="str">
        <f t="shared" si="351"/>
        <v/>
      </c>
      <c r="OR125" s="43" t="str">
        <f t="shared" si="352"/>
        <v/>
      </c>
      <c r="OS125" s="43" t="str">
        <f t="shared" si="353"/>
        <v/>
      </c>
      <c r="OT125" s="43" t="str">
        <f t="shared" si="354"/>
        <v/>
      </c>
      <c r="OU125" s="43" t="str">
        <f t="shared" si="355"/>
        <v/>
      </c>
      <c r="OV125" s="110" t="str">
        <f t="shared" si="356"/>
        <v/>
      </c>
      <c r="OW125" s="43" t="str">
        <f t="shared" si="357"/>
        <v/>
      </c>
      <c r="OX125" s="43" t="str">
        <f t="shared" si="358"/>
        <v/>
      </c>
      <c r="OY125" s="43" t="str">
        <f t="shared" si="359"/>
        <v/>
      </c>
      <c r="OZ125" s="43" t="str">
        <f t="shared" si="360"/>
        <v/>
      </c>
      <c r="PA125" s="43" t="str">
        <f t="shared" si="361"/>
        <v/>
      </c>
      <c r="PB125" s="43" t="str">
        <f t="shared" si="362"/>
        <v/>
      </c>
      <c r="PC125" s="43" t="str">
        <f t="shared" si="363"/>
        <v/>
      </c>
      <c r="PD125" s="43" t="str">
        <f t="shared" si="364"/>
        <v/>
      </c>
      <c r="PE125" s="43" t="str">
        <f t="shared" si="365"/>
        <v/>
      </c>
      <c r="PF125" s="43" t="str">
        <f t="shared" si="366"/>
        <v/>
      </c>
      <c r="PG125" s="43" t="str">
        <f t="shared" si="367"/>
        <v/>
      </c>
      <c r="PH125" s="43" t="str">
        <f t="shared" si="368"/>
        <v/>
      </c>
      <c r="PI125" s="43">
        <f t="shared" si="369"/>
        <v>29</v>
      </c>
      <c r="PJ125" s="43" t="str">
        <f t="shared" si="370"/>
        <v/>
      </c>
      <c r="PK125" s="43" t="str">
        <f t="shared" si="371"/>
        <v/>
      </c>
      <c r="PL125" s="43" t="str">
        <f t="shared" si="372"/>
        <v/>
      </c>
      <c r="PM125" s="43" t="str">
        <f t="shared" si="373"/>
        <v/>
      </c>
      <c r="PN125" s="43" t="str">
        <f t="shared" si="374"/>
        <v/>
      </c>
      <c r="PO125" s="43" t="str">
        <f t="shared" si="375"/>
        <v/>
      </c>
      <c r="PP125" s="43" t="str">
        <f t="shared" si="376"/>
        <v/>
      </c>
      <c r="PQ125" s="43" t="str">
        <f t="shared" si="377"/>
        <v/>
      </c>
      <c r="PR125" s="43" t="str">
        <f t="shared" si="378"/>
        <v/>
      </c>
      <c r="PS125" s="43" t="str">
        <f t="shared" si="379"/>
        <v/>
      </c>
      <c r="PT125" s="43" t="str">
        <f t="shared" si="380"/>
        <v/>
      </c>
      <c r="PU125" s="43" t="str">
        <f t="shared" si="381"/>
        <v/>
      </c>
      <c r="PV125" s="43" t="str">
        <f t="shared" si="382"/>
        <v/>
      </c>
      <c r="PW125" s="43" t="str">
        <f t="shared" si="383"/>
        <v/>
      </c>
      <c r="PX125" s="43" t="str">
        <f t="shared" si="384"/>
        <v/>
      </c>
      <c r="PY125" s="43" t="str">
        <f t="shared" si="385"/>
        <v/>
      </c>
      <c r="PZ125" s="43" t="str">
        <f t="shared" si="386"/>
        <v/>
      </c>
      <c r="QA125" s="43" t="str">
        <f t="shared" si="387"/>
        <v/>
      </c>
      <c r="QB125" s="43" t="str">
        <f t="shared" si="388"/>
        <v/>
      </c>
      <c r="QC125" s="43" t="str">
        <f t="shared" si="389"/>
        <v/>
      </c>
      <c r="QD125" s="43" t="str">
        <f t="shared" si="390"/>
        <v>SOBREPESO</v>
      </c>
      <c r="QE125" s="43" t="str">
        <f t="shared" si="391"/>
        <v/>
      </c>
      <c r="QF125" s="43" t="str">
        <f t="shared" si="392"/>
        <v/>
      </c>
      <c r="QG125" s="43" t="str">
        <f t="shared" si="393"/>
        <v/>
      </c>
      <c r="QH125" s="43" t="str">
        <f t="shared" si="394"/>
        <v/>
      </c>
      <c r="QI125" s="43" t="str">
        <f t="shared" si="395"/>
        <v/>
      </c>
      <c r="QJ125" s="43" t="str">
        <f t="shared" si="396"/>
        <v/>
      </c>
      <c r="QK125" s="43" t="str">
        <f t="shared" si="397"/>
        <v/>
      </c>
      <c r="QL125" s="43" t="str">
        <f t="shared" si="398"/>
        <v/>
      </c>
      <c r="QM125" s="43" t="str">
        <f t="shared" si="399"/>
        <v/>
      </c>
      <c r="QN125" s="43" t="str">
        <f t="shared" si="400"/>
        <v/>
      </c>
      <c r="QO125" s="43" t="str">
        <f t="shared" si="401"/>
        <v/>
      </c>
      <c r="QP125" s="43" t="str">
        <f t="shared" si="402"/>
        <v/>
      </c>
      <c r="QQ125" s="43" t="str">
        <f t="shared" si="403"/>
        <v/>
      </c>
      <c r="QR125" s="43">
        <f t="shared" si="433"/>
        <v>29</v>
      </c>
      <c r="QS125" s="43"/>
      <c r="QT125" s="21" t="str">
        <f t="shared" si="404"/>
        <v/>
      </c>
      <c r="QU125" s="21" t="str">
        <f t="shared" si="405"/>
        <v/>
      </c>
      <c r="QV125" s="21" t="str">
        <f t="shared" si="406"/>
        <v/>
      </c>
      <c r="QW125" s="21" t="str">
        <f t="shared" si="407"/>
        <v/>
      </c>
      <c r="QX125" s="21" t="str">
        <f t="shared" si="408"/>
        <v/>
      </c>
      <c r="QY125" s="21" t="str">
        <f t="shared" si="409"/>
        <v/>
      </c>
      <c r="QZ125" s="21" t="str">
        <f t="shared" si="410"/>
        <v/>
      </c>
      <c r="RA125" s="21" t="str">
        <f t="shared" si="411"/>
        <v/>
      </c>
      <c r="RB125" s="21" t="str">
        <f t="shared" si="412"/>
        <v/>
      </c>
      <c r="RC125" s="21" t="str">
        <f t="shared" si="413"/>
        <v/>
      </c>
      <c r="RD125" s="21" t="str">
        <f t="shared" si="414"/>
        <v/>
      </c>
      <c r="RE125" s="21" t="str">
        <f t="shared" si="415"/>
        <v/>
      </c>
      <c r="RF125" s="21" t="str">
        <f t="shared" si="416"/>
        <v/>
      </c>
      <c r="RG125" s="21" t="str">
        <f t="shared" si="417"/>
        <v/>
      </c>
      <c r="RH125" s="21" t="str">
        <f t="shared" si="418"/>
        <v/>
      </c>
      <c r="RI125" s="21" t="str">
        <f t="shared" si="419"/>
        <v/>
      </c>
      <c r="RJ125" s="21" t="str">
        <f t="shared" si="420"/>
        <v>ALTO PARA EDAD GESTACIONAL</v>
      </c>
      <c r="RK125" s="21" t="str">
        <f t="shared" si="421"/>
        <v/>
      </c>
      <c r="RL125" s="21" t="str">
        <f t="shared" si="422"/>
        <v/>
      </c>
      <c r="RM125" s="21" t="str">
        <f t="shared" si="423"/>
        <v/>
      </c>
      <c r="RN125" s="21" t="str">
        <f t="shared" si="424"/>
        <v/>
      </c>
      <c r="RO125" s="21" t="str">
        <f t="shared" si="425"/>
        <v/>
      </c>
      <c r="RP125" s="21" t="str">
        <f t="shared" si="426"/>
        <v/>
      </c>
      <c r="RQ125" s="21" t="str">
        <f t="shared" si="427"/>
        <v/>
      </c>
      <c r="RR125" s="21" t="str">
        <f t="shared" si="428"/>
        <v/>
      </c>
      <c r="RS125" s="21" t="str">
        <f t="shared" si="429"/>
        <v/>
      </c>
      <c r="RT125" s="21" t="str">
        <f t="shared" si="430"/>
        <v/>
      </c>
      <c r="RU125" s="21" t="str">
        <f t="shared" si="431"/>
        <v/>
      </c>
      <c r="RV125" s="21">
        <f t="shared" si="432"/>
        <v>10.142857142857142</v>
      </c>
      <c r="RW125" s="284">
        <f>IF(OR(Tabla1[[#This Row],[FUM FORMULA CONFIABLE]]="",Tabla1[[#This Row],[FUM FORMULA CONFIABLE]]="SD"),"",IF(Tabla1[[#This Row],[FUM FORMULA CONFIABLE]]="CORREGIDA",Tabla1[[#This Row],[FUM X ECO 1]],Tabla1[[#This Row],[FUM x AMENORREA]]))</f>
        <v>44938</v>
      </c>
      <c r="RX125" s="21">
        <f>IF(AND(Tabla1[[#This Row],[FUM X ECO 1]]="",Tabla1[[#This Row],[FUM x AMENORREA]]=""),"",IF(AND(Tabla1[[#This Row],[FUM X ECO 1]]="",Tabla1[[#This Row],[FUM x AMENORREA]]&lt;&gt;""),"X",SUM(Tabla1[[#This Row],[FUM X ECO 1]]-Tabla1[[#This Row],[FUM x AMENORREA]])))</f>
        <v>0.30000000000291038</v>
      </c>
      <c r="RY125" s="21">
        <f t="shared" si="434"/>
        <v>0</v>
      </c>
    </row>
    <row r="126" spans="1:493" ht="45" customHeight="1" x14ac:dyDescent="0.25">
      <c r="A126" s="109" t="s">
        <v>137</v>
      </c>
      <c r="B126" s="43"/>
      <c r="C126" s="43" t="s">
        <v>845</v>
      </c>
      <c r="D126" s="124"/>
      <c r="E126" s="43" t="s">
        <v>943</v>
      </c>
      <c r="F126" s="43" t="s">
        <v>1361</v>
      </c>
      <c r="G126" s="43" t="s">
        <v>1372</v>
      </c>
      <c r="H126" s="43" t="s">
        <v>1373</v>
      </c>
      <c r="I126" s="109" t="s">
        <v>851</v>
      </c>
      <c r="J126" s="110">
        <v>1068216345</v>
      </c>
      <c r="K126" s="43" t="s">
        <v>852</v>
      </c>
      <c r="L126" s="175" t="s">
        <v>1509</v>
      </c>
      <c r="M126" s="22">
        <v>38296</v>
      </c>
      <c r="N126" s="213">
        <f t="shared" ca="1" si="252"/>
        <v>19.002739726027396</v>
      </c>
      <c r="O126" s="22">
        <v>44992</v>
      </c>
      <c r="P126" s="214" t="str">
        <f t="shared" si="438"/>
        <v>SI</v>
      </c>
      <c r="Q126" s="26" t="s">
        <v>855</v>
      </c>
      <c r="R126" s="22">
        <v>44992</v>
      </c>
      <c r="S126" s="21" t="s">
        <v>856</v>
      </c>
      <c r="T126" s="24" t="s">
        <v>690</v>
      </c>
      <c r="U126" s="21" t="s">
        <v>1374</v>
      </c>
      <c r="V126" s="21" t="s">
        <v>858</v>
      </c>
      <c r="W126" s="21" t="s">
        <v>1375</v>
      </c>
      <c r="X126" s="21"/>
      <c r="Y126" s="21"/>
      <c r="Z126" s="21">
        <v>3145271270</v>
      </c>
      <c r="AA126" s="21" t="s">
        <v>860</v>
      </c>
      <c r="AB126" s="27" t="s">
        <v>861</v>
      </c>
      <c r="AC126" s="26" t="s">
        <v>862</v>
      </c>
      <c r="AD126" s="38" t="s">
        <v>1546</v>
      </c>
      <c r="AE126" s="26" t="s">
        <v>854</v>
      </c>
      <c r="AF126" s="26" t="s">
        <v>854</v>
      </c>
      <c r="AG126" s="23" t="s">
        <v>864</v>
      </c>
      <c r="AH126" s="23" t="s">
        <v>864</v>
      </c>
      <c r="AI126" s="24" t="s">
        <v>863</v>
      </c>
      <c r="AJ126" s="23" t="s">
        <v>864</v>
      </c>
      <c r="AK126" s="220" t="str">
        <f>IF(AND(AD126="",AE126="",AF126="",AG126="",AH126="",AI126="",AJ126=""),"",IF(OR(Tabla1[[#This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EVALUACIÓN",IF(AND(O126="",R126=""),"",IF(AND(OR(O126&gt;0,R126&gt;0),NG126&gt;=0,NG126&lt;2),"SIN RIESGO",IF(AND(OR(O126&gt;0,R126&gt;0),NG126&gt;=2),"CON RIESGO","ASD")))))</f>
        <v>SIN RIESGO</v>
      </c>
      <c r="AL126" s="23" t="s">
        <v>864</v>
      </c>
      <c r="AM126" s="26" t="s">
        <v>864</v>
      </c>
      <c r="AN126" s="26" t="s">
        <v>864</v>
      </c>
      <c r="AO126" s="26" t="s">
        <v>864</v>
      </c>
      <c r="AP126" s="26" t="s">
        <v>864</v>
      </c>
      <c r="AQ126" s="26" t="s">
        <v>864</v>
      </c>
      <c r="AR126" s="26" t="s">
        <v>864</v>
      </c>
      <c r="AS126" s="21">
        <v>1</v>
      </c>
      <c r="AT126" s="21">
        <v>0</v>
      </c>
      <c r="AU126" s="21">
        <v>0</v>
      </c>
      <c r="AV126" s="26" t="s">
        <v>864</v>
      </c>
      <c r="AW126" s="21">
        <v>0</v>
      </c>
      <c r="AX126" s="26" t="s">
        <v>864</v>
      </c>
      <c r="AY126" s="26" t="s">
        <v>864</v>
      </c>
      <c r="AZ126" s="26" t="s">
        <v>864</v>
      </c>
      <c r="BA126" s="26" t="s">
        <v>864</v>
      </c>
      <c r="BB126" s="26" t="s">
        <v>864</v>
      </c>
      <c r="BC126" s="26" t="s">
        <v>864</v>
      </c>
      <c r="BD126" s="26" t="s">
        <v>864</v>
      </c>
      <c r="BE126" s="26" t="s">
        <v>864</v>
      </c>
      <c r="BF126" s="26" t="s">
        <v>864</v>
      </c>
      <c r="BG126" s="26" t="s">
        <v>864</v>
      </c>
      <c r="BH126" s="26" t="s">
        <v>864</v>
      </c>
      <c r="BI126" s="26" t="s">
        <v>864</v>
      </c>
      <c r="BJ126" s="26" t="s">
        <v>864</v>
      </c>
      <c r="BK126" s="26" t="s">
        <v>864</v>
      </c>
      <c r="BL126" s="26" t="s">
        <v>864</v>
      </c>
      <c r="BM126" s="26" t="s">
        <v>864</v>
      </c>
      <c r="BN126" s="22"/>
      <c r="BO126" s="22">
        <v>44903</v>
      </c>
      <c r="BP126" s="21" t="s">
        <v>854</v>
      </c>
      <c r="BQ126" s="222">
        <f t="shared" si="254"/>
        <v>0</v>
      </c>
      <c r="BR126" s="223">
        <f t="shared" si="255"/>
        <v>44903.3</v>
      </c>
      <c r="BS126" s="224">
        <f t="shared" si="256"/>
        <v>12.714285714285714</v>
      </c>
      <c r="BT126" s="216" t="str">
        <f t="shared" si="257"/>
        <v>II TRIM</v>
      </c>
      <c r="BU126" s="214" t="str">
        <f t="shared" ca="1" si="258"/>
        <v/>
      </c>
      <c r="BV126" s="25" t="s">
        <v>989</v>
      </c>
      <c r="BW126" s="22">
        <v>45065</v>
      </c>
      <c r="BX126" s="28">
        <v>23.1</v>
      </c>
      <c r="BY126" s="28" t="s">
        <v>988</v>
      </c>
      <c r="BZ126" s="22">
        <v>45121</v>
      </c>
      <c r="CA126" s="21" t="s">
        <v>1573</v>
      </c>
      <c r="CB126" s="26" t="s">
        <v>864</v>
      </c>
      <c r="CC126" s="26" t="s">
        <v>864</v>
      </c>
      <c r="CD126" s="26"/>
      <c r="CE126" s="26" t="s">
        <v>864</v>
      </c>
      <c r="CF126" s="22" t="s">
        <v>1517</v>
      </c>
      <c r="CG126" s="21">
        <v>1.48</v>
      </c>
      <c r="CH126" s="21">
        <v>55.9</v>
      </c>
      <c r="CI126" s="214">
        <f t="shared" si="259"/>
        <v>25.520452885317752</v>
      </c>
      <c r="CJ126" s="225" t="e">
        <f>IF(AND(CI126&lt;10,CH126="SD"),"SIN DATO PESO PREGESTACION O I TRIM",IF(AND(OR(R126&gt;0,O126&gt;0),CI126="X"),"INGRESAR DATO DE PESO",IF(CI126="SD","INGRESAR DATO DE TALLA Y PESO",IF(AND(OR(Tabla1[[#This Row],[MOMENTO EN QUE SE REALIZA EL PESO AL INGRESO A CPN]]="PREGESTACIÓN",NZ126="Menor"),CI126&lt;18.5),"BAJO PESO",IF(AND(OR(Tabla1[[#This Row],[MOMENTO EN QUE SE REALIZA EL PESO AL INGRESO A CPN]]="PREGESTACIÓN",NZ126="Menor"),CI126&lt;25),"NORMAL",IF(AND(OR(Tabla1[[#This Row],[MOMENTO EN QUE SE REALIZA EL PESO AL INGRESO A CPN]]="PREGESTACIÓN",NZ126="Menor"),CI126&lt;30),"SOBREPESO",IF(AND(OR(Tabla1[[#This Row],[MOMENTO EN QUE SE REALIZA EL PESO AL INGRESO A CPN]]="PREGESTACIÓN",NZ126="Menor"),CI126&gt;=30,CI126&lt;50),"OBESIDAD",IF(AND(BS126&gt;0,Tabla1[[#This Row],[MOMENTO EN QUE SE REALIZA EL PESO AL INGRESO A CPN]]="GESTACIÓN"),HLOOKUP(NZ126,$OA$2:PH126,NY126),""))))))))</f>
        <v>#REF!</v>
      </c>
      <c r="CK126" s="212">
        <f t="shared" si="260"/>
        <v>45121</v>
      </c>
      <c r="CL126" s="21">
        <v>56</v>
      </c>
      <c r="CM126" s="214">
        <f t="shared" si="261"/>
        <v>25.566106647187731</v>
      </c>
      <c r="CN126" s="216">
        <f t="shared" si="262"/>
        <v>31</v>
      </c>
      <c r="CO126" s="216" t="e">
        <f>IF(PI126="","",IF(PI126&gt;0,HLOOKUP(PI126,$PJ$2:QQ126,NY126),""))</f>
        <v>#REF!</v>
      </c>
      <c r="CP126" s="21">
        <v>30</v>
      </c>
      <c r="CQ126" s="216" t="e">
        <f>IF(QR126="Menor","NO APLICA-MENOR 13 SEM",IF(AND(CC126="SI",CN126&gt;23),"NO APLICA- GEMELAR",IF(QR126="","",IF(QR126&gt;0,HLOOKUP(QR126,$QS$2:RU126,NY126),""))))</f>
        <v>#REF!</v>
      </c>
      <c r="CR126" s="21"/>
      <c r="CS126" s="21"/>
      <c r="CT126" s="217" t="str">
        <f>IF(R126="","",IF(AND(BS126&gt;1,BS126&lt;12,Tabla1[[#This Row],[T.A. SISTOLICA - ANTES DE SEMANA 12]]="",Tabla1[[#This Row],[T.A. DIASTOLICA - ANTES DE SEMANA 12]]=""),"REGISTRE DATO TA ANTES SEMANA 12",IF(AND(BS126&gt;11,BS126&lt;43,Tabla1[[#This Row],[T.A. SISTOLICA - ANTES DE SEMANA 12]]="",Tabla1[[#This Row],[T.A. DIASTOLICA - ANTES DE SEMANA 12]]=""),"NO APLICA REGISTRO TA-INGRESO TARDIO",IF(AND(OR(O126&gt;0,R126&gt;0),OR(CR126&gt;=140,CS126&gt;=90)),"DEFINIR ESTADIO HTA",IF(AND(OR(O126&gt;0,R126&gt;0),AND(CR126&gt;120,CR126&lt;=139)),"PRE HTA SEGUIMIENTO",IF(AND(OR(O126&gt;0,R126&gt;0),AND(CS126&gt;80,CS126&lt;=89)),"PRE HTA SEGUIMIENTO",IF(AND(OR(O126&gt;0,R126&gt;0),AND(CR126&gt;=80,CR126&lt;=120)),"APARENTEMENTE NORMAL",IF(AND(OR(O126&gt;0,R126&gt;0),AND(CS126&gt;=50,CS126&lt;=80)),"APARENTEMENTE NORMAL",IF(AND(OR(O126&gt;0,R126&gt;0),AND(CR126&gt;1,CR126&lt;=70),AND(CS126&gt;1,CS126&lt;=40)),"HIPOTENSIÓN","")))))))))</f>
        <v>NO APLICA REGISTRO TA-INGRESO TARDIO</v>
      </c>
      <c r="CU126" s="21">
        <v>90</v>
      </c>
      <c r="CV126" s="21">
        <v>60</v>
      </c>
      <c r="CW126" s="217" t="str">
        <f ca="1">IF(R126="","",IF(AND(CN126&gt;19,CN126&lt;27,Tabla1[[#This Row],[T.A. SISTOLICA (Entre semana 20 y 26)]]="",Tabla1[[#This Row],[T.A. DIATOLICA (Entre semana 20 y 26)]]=""),"ACUDE A CONTROL SEM 20 A 26 REGISTRE TA AHORA",IF(AND(BS126&gt;1,BS126&lt;27,BU126&gt;19,Tabla1[[#This Row],[T.A. SISTOLICA (Entre semana 20 y 26)]]="",Tabla1[[#This Row],[T.A. DIATOLICA (Entre semana 20 y 26)]]=""),"COMPLETE REGISTRO TA CONTROL SEM 20 A26 ",IF(AND(BS126&gt;26,BS126&lt;43,Tabla1[[#This Row],[T.A. SISTOLICA (Entre semana 20 y 26)]]="",Tabla1[[#This Row],[T.A. DIATOLICA (Entre semana 20 y 26)]]=""),"NO APLICA REGISTRO TA-INGRESO TARDIO",IF(AND(OR(O126&gt;0,R126&gt;0),OR(CU126&gt;=140,CV126&gt;=90)),"ALTO RIESGO PREECLAMPSIA,DEFINIR ESTADIO HTA",IF(AND(OR(O126&gt;0,R126&gt;0),AND(CU126&gt;120,CU126&lt;=139)),"PRE HTA SEGUIMIENTO,RIESGO HIPERTENSION INDUCIDA POR EL EMBARAZO",IF(AND(OR(O126&gt;0,R126&gt;0),AND(CV126&gt;80,CV126&lt;=89)),"PRE HTA SEGUIMIENTO, RIESGO HIPERTENSION INDUCIDA POR EL EMBARAZO",IF(AND(OR(O126&lt;&gt;"",R126&lt;&gt;""),CS126&lt;&gt;"",CV126&lt;&gt;"",CS126&lt;=CV126),"VIGILAR CIFRAS PRESION ARTERIAL",IF(AND(OR(O126&gt;0,R126&gt;0),AND(CU126&gt;120,CU126&lt;=139)),"PRE HTA SEGUIMIENTO",IF(AND(OR(O126&gt;0,R126&gt;0),AND(CU126&gt;1,CU126&lt;=70),AND(CV126&gt;1,CV126&lt;=40)),"HIPOTENSIÓN",IF(AND(OR(O126&lt;&gt;"",R126&lt;&gt;""),CS126&lt;&gt;"",CV126&lt;&gt;"",CS126&gt;CV126),"APARENTEMENTE NORMAL",IF(AND(OR(O126&gt;0,R126&gt;0),AND(CU126&gt;=80,CU126&lt;=120)),"APARENTEMENTE NORMAL",IF(AND(OR(O126&gt;0,R126&gt;0),AND(CV126&gt;=50,CV126&lt;=80)),"APARENTEMENTE NORMAL","")))))))))))))</f>
        <v>APARENTEMENTE NORMAL</v>
      </c>
      <c r="CX126" s="21">
        <v>90</v>
      </c>
      <c r="CY126" s="21">
        <v>60</v>
      </c>
      <c r="CZ126" s="216" t="str">
        <f t="shared" ref="CZ126:CZ141" si="499">IF(R126="","",IF(AND(CN126&gt;31,CN126&lt;35,CX126="",CY126=""),"ACUDE A CONTROL SEM 30 A 34- REGISTRE AHORA",IF(AND(BS126&gt;34,BS126&lt;43,CX127="",CY127=""),"NO APLICA-INGRESO TARDIO",IF(AND(OR(O126&gt;0,R126&gt;0),OR(CX126&gt;=140,CY126&gt;=90)),"ESTUDIO INMEDIATO HTA PARA DESCARTAR PREECLAMSIA",IF(AND(OR(O126&gt;0,R126&gt;0),AND(CX126&gt;=130,CX126&lt;=139)),"PRE HTA,RIESGO ALTO PREECLAMPSIA",IF(AND(OR(O126&gt;0,R126&gt;0),AND(CY126&gt;80,CY126&lt;=89)),"PRE HTA,RIESGO ALTO PREECLAMPSIA",IF(AND(OR(O126&gt;0,R126&gt;0),AND(CX126&gt;120,CX126&lt;=129)),"RANGO PREHIPERTENSIVO SEGUIMIENTO HTA",IF(AND(OR(O126&lt;&gt;"",R126&lt;&gt;""),CS126&lt;&gt;"",CY126&lt;&gt;"",CS126&lt;CY126),"VIGILAR CIFRAS PRESION ARTERIAL",IF(AND(OR(O126&lt;&gt;"",R126&lt;&gt;""),CS126&lt;&gt;"",CY126&lt;&gt;"",CS126=CY126),"APARENTEMENTE NORMAL",IF(AND(OR(O126&gt;0,R126&gt;0),CX126&gt;=80,CX126&lt;=120),"APARENTEMENTE NORMAL",IF(AND(OR(O126&gt;0,R126&gt;0),CY126&gt;=50,CY126&lt;=80),"APARENTEMENTE NORMAL","")))))))))))</f>
        <v>APARENTEMENTE NORMAL</v>
      </c>
      <c r="DA126" s="21">
        <v>90</v>
      </c>
      <c r="DB126" s="21">
        <v>60</v>
      </c>
      <c r="DC126" s="217" t="str">
        <f t="shared" si="264"/>
        <v>APARENTEMENTE NORMAL</v>
      </c>
      <c r="DD126" s="22">
        <v>44992</v>
      </c>
      <c r="DE126" s="22">
        <v>44992</v>
      </c>
      <c r="DF126" s="22">
        <v>45035</v>
      </c>
      <c r="DG126" s="22">
        <v>45121</v>
      </c>
      <c r="DH126" s="22"/>
      <c r="DI126" s="22"/>
      <c r="DJ126" s="22"/>
      <c r="DK126" s="22"/>
      <c r="DL126" s="22"/>
      <c r="DM126" s="22"/>
      <c r="DN126" s="22"/>
      <c r="DO126" s="22"/>
      <c r="DP126" s="22"/>
      <c r="DQ126" s="22"/>
      <c r="DR126" s="28">
        <v>1</v>
      </c>
      <c r="DS126" s="22"/>
      <c r="DT126" s="22"/>
      <c r="DU126" s="216" t="str">
        <f t="shared" ca="1" si="439"/>
        <v>CONCERTAR PLAN DE PARTO INMEDIATO</v>
      </c>
      <c r="DV126" s="226" t="str">
        <f t="shared" si="440"/>
        <v>ACTIVA INGRESO A CPN</v>
      </c>
      <c r="DW12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26" s="216" t="e">
        <f t="shared" ca="1" si="266"/>
        <v>#REF!</v>
      </c>
      <c r="DY126" s="212">
        <f>IF(R126="","",IF(R126&gt;0,MAX(Tabla1[[#This Row],[FECHA C2]:[FECHA C13]],Tabla1[[#This Row],[FECHA CONSULTA PRIMERA VEZ PROGRAMA CPN ]])))</f>
        <v>45121</v>
      </c>
      <c r="DZ126" s="216">
        <f t="shared" si="267"/>
        <v>31</v>
      </c>
      <c r="EA126" s="222">
        <f>IF(R126&gt;0,SUM(COUNTA(DF126:DQ126)+COUNTA(Tabla1[[#This Row],[FECHA CONSULTA PRIMERA VEZ PROGRAMA CPN ]])),"")</f>
        <v>3</v>
      </c>
      <c r="EB126" s="222" t="str">
        <f t="shared" si="268"/>
        <v>NO</v>
      </c>
      <c r="EC126" s="214">
        <f t="shared" si="269"/>
        <v>8</v>
      </c>
      <c r="ED126" s="227">
        <f t="shared" si="270"/>
        <v>0.375</v>
      </c>
      <c r="EE126" s="22">
        <v>44992</v>
      </c>
      <c r="EF126" s="22">
        <v>44995</v>
      </c>
      <c r="EG126" s="22">
        <v>44992</v>
      </c>
      <c r="EH126" s="22"/>
      <c r="EI126" s="22">
        <v>44992</v>
      </c>
      <c r="EJ126" s="22"/>
      <c r="EK126" s="22"/>
      <c r="EL126" s="21"/>
      <c r="EM126" s="21">
        <v>14</v>
      </c>
      <c r="EN126" s="22">
        <v>45035</v>
      </c>
      <c r="EO126" s="222">
        <f t="shared" si="271"/>
        <v>18.857142857142858</v>
      </c>
      <c r="EP126" s="214" t="str">
        <f t="shared" si="272"/>
        <v>NORMAL- SUMINISTRAR SULFATO FERROSO</v>
      </c>
      <c r="EQ126" s="216" t="str">
        <f t="shared" si="273"/>
        <v>II TRIM</v>
      </c>
      <c r="ER126" s="24"/>
      <c r="ES126" s="22"/>
      <c r="ET126" s="29" t="str">
        <f t="shared" ca="1" si="441"/>
        <v>TOMA DE HEMOGLOBINA TARDÍA</v>
      </c>
      <c r="EU126" s="25" t="str">
        <f t="shared" si="275"/>
        <v/>
      </c>
      <c r="EV126" s="24" t="s">
        <v>866</v>
      </c>
      <c r="EW126" s="24">
        <v>44995</v>
      </c>
      <c r="EX126" s="22"/>
      <c r="EY126" s="29">
        <f t="shared" si="454"/>
        <v>13.142857142857142</v>
      </c>
      <c r="EZ126" s="25" t="str">
        <f t="shared" ca="1" si="455"/>
        <v/>
      </c>
      <c r="FA126" s="21">
        <v>73</v>
      </c>
      <c r="FB126" s="22">
        <v>44995</v>
      </c>
      <c r="FC126" s="29">
        <f t="shared" si="276"/>
        <v>13.142857142857142</v>
      </c>
      <c r="FD126" s="29">
        <v>75</v>
      </c>
      <c r="FE126" s="29">
        <v>134</v>
      </c>
      <c r="FF126" s="29">
        <v>132</v>
      </c>
      <c r="FG126" s="21" t="str">
        <f t="shared" ca="1" si="277"/>
        <v>NORMAL</v>
      </c>
      <c r="FH126" s="31">
        <v>45126</v>
      </c>
      <c r="FI126" s="29">
        <f t="shared" si="278"/>
        <v>31.857142857142858</v>
      </c>
      <c r="FJ126" s="22"/>
      <c r="FK126" s="22"/>
      <c r="FL126" s="29" t="str">
        <f t="shared" ca="1" si="279"/>
        <v>PIERDE TOMA DE TAMIZAJE</v>
      </c>
      <c r="FM126" s="22" t="s">
        <v>867</v>
      </c>
      <c r="FN126" s="32">
        <v>44995</v>
      </c>
      <c r="FO126" s="29">
        <f t="shared" ca="1" si="442"/>
        <v>13.142857142857142</v>
      </c>
      <c r="FP126" s="22" t="s">
        <v>867</v>
      </c>
      <c r="FQ126" s="32">
        <v>45126</v>
      </c>
      <c r="FR126" s="29">
        <f t="shared" ca="1" si="443"/>
        <v>31.857142857142858</v>
      </c>
      <c r="FS126" s="22"/>
      <c r="FT126" s="32"/>
      <c r="FU126" s="29" t="str">
        <f>IF(AND(FJ126="",FM126="",FP126="",FS126=""),"",IF(OR(OR(Tabla1[[#This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26" s="28"/>
      <c r="FW126" s="22"/>
      <c r="FX126" s="29" t="str">
        <f t="shared" si="280"/>
        <v>TOMAR EXAMEN</v>
      </c>
      <c r="FY126" s="22">
        <v>44992</v>
      </c>
      <c r="FZ126" s="22">
        <v>44992</v>
      </c>
      <c r="GA126" s="29">
        <f t="shared" ca="1" si="498"/>
        <v>12.714285714285714</v>
      </c>
      <c r="GB126" s="22" t="s">
        <v>868</v>
      </c>
      <c r="GC126" s="22">
        <v>44995</v>
      </c>
      <c r="GD126" s="29">
        <f t="shared" ca="1" si="491"/>
        <v>13.142857142857142</v>
      </c>
      <c r="GE126" s="22"/>
      <c r="GF126" s="22"/>
      <c r="GG126" s="29" t="str">
        <f t="shared" ca="1" si="445"/>
        <v>TOMA INMEDIATA DE TAMIZAJE</v>
      </c>
      <c r="GH126" s="22"/>
      <c r="GI126" s="29"/>
      <c r="GJ126" s="22"/>
      <c r="GK126" s="22"/>
      <c r="GL126" s="22"/>
      <c r="GM126" s="22"/>
      <c r="GN126" s="28"/>
      <c r="GO126" s="22"/>
      <c r="GP126" s="29" t="str">
        <f t="shared" si="283"/>
        <v>TOMAR EXAMEN</v>
      </c>
      <c r="GQ126" s="28" t="s">
        <v>869</v>
      </c>
      <c r="GR126" s="28" t="s">
        <v>869</v>
      </c>
      <c r="GS126" s="22" t="str">
        <f t="shared" si="458"/>
        <v>CONTROL Igm</v>
      </c>
      <c r="GT126" s="22">
        <v>45126</v>
      </c>
      <c r="GU126" s="29">
        <f t="shared" si="285"/>
        <v>31.857142857142858</v>
      </c>
      <c r="GV126" s="21" t="str">
        <f t="shared" si="286"/>
        <v>III TRIM</v>
      </c>
      <c r="GW126" s="28" t="s">
        <v>869</v>
      </c>
      <c r="GX126" s="30"/>
      <c r="GY126" s="21"/>
      <c r="GZ126" s="21"/>
      <c r="HA126" s="21"/>
      <c r="HB126" s="21"/>
      <c r="HC126" s="21"/>
      <c r="HD126" s="21"/>
      <c r="HE126" s="21"/>
      <c r="HF126" s="22"/>
      <c r="HG126" s="22" t="str">
        <f>IF(OR(O126&gt;0,R126&gt;0),CONCATENATE(IF(Tabla1[[#This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26" s="22" t="e">
        <f t="shared" si="287"/>
        <v>#REF!</v>
      </c>
      <c r="HI126" s="22" t="e">
        <f t="shared" ca="1" si="288"/>
        <v>#REF!</v>
      </c>
      <c r="HJ126" s="21" t="str">
        <f t="shared" ca="1" si="289"/>
        <v>**********************MULTIPARIDAD*****************</v>
      </c>
      <c r="HK126" s="21" t="str">
        <f t="shared" si="290"/>
        <v>SIN ANTECEDENTES DE RIESGO</v>
      </c>
      <c r="HL126" s="24" t="str">
        <f t="shared" si="291"/>
        <v>APARENTEMENTE NORMAL</v>
      </c>
      <c r="HM126" s="21" t="e">
        <f t="shared" ca="1" si="292"/>
        <v>#REF!</v>
      </c>
      <c r="HN126" s="30" t="str">
        <f t="shared" si="446"/>
        <v>ACTIVA INGRESO A CPN</v>
      </c>
      <c r="HO126" s="21"/>
      <c r="HP126" s="21"/>
      <c r="HQ126" s="21">
        <v>45035</v>
      </c>
      <c r="HR126" s="21" t="str">
        <f>IF(R126="","",IF(Tabla1[[#This Row],[ALARMA FACTORES DE RIESGO COMPLICACIONES HIPERTENSIVAS3]]="SIN ANTECEDENTES DE RIESGO","No Aplica para suministro de ASA",IF(AND(Tabla1[[#This Row],[FECHA INICIO DE SUMINISTRO DE ASA]]&gt;0,RV126&lt;12),"Inicia ASA ANTES de Sem 12",IF(AND(RV126&gt;11,RV126&lt;17,OR(HK126="RIESGO ALTO DE COMPLICACIONES HIPERTENSIVAS VER MANEJO GUIA SUMINISTRO ASA Y CALCIO",HK126="RIESGO MODERADO (2 O MAS CRITERIOS) VER MANEJO GUIA SUMINISTRO ASA Y CALCIO")),"Inicio oportuno de ASA",IF(AND(RV126&gt;12,OR(HK126="RIESGO ALTO DE COMPLICACIONES HIPERTENSIVAS VER MANEJO GUIA SUMINISTRO ASA Y CALCIO",HK126="RIESGO MODERADO (2 O MAS CRITERIOS) VER MANEJO GUIA SUMINISTRO ASA Y CALCIO")),"Inicio no oportuno mayor a 16 semanas",IF(AND(BU126&lt;12,OR(HK126="RIESGO ALTO DE COMPLICACIONES HIPERTENSIVAS VER MANEJO GUIA SUMINISTRO ASA Y CALCIO",HK126="RIESGO MODERADO (2 O MAS CRITERIOS) VER MANEJO GUIA SUMINISTRO ASA Y CALCIO")),"Pendiente Inicio de ASA a la semana 12",IF(AND(BU126&gt;11,BU126&lt;17,OR(HK126="RIESGO ALTO DE COMPLICACIONES HIPERTENSIVAS VER MANEJO GUIA SUMINISTRO ASA Y CALCIO",HK126="RIESGO MODERADO (2 O MAS CRITERIOS) VER MANEJO GUIA SUMINISTRO ASA Y CALCIO")),"Iniciar de inmediato ASA",IF(AND(BU126&gt;16,OR(HK126="RIESGO ALTO DE COMPLICACIONES HIPERTENSIVAS VER MANEJO GUIA SUMINISTRO ASA Y CALCIO",HK126="RIESGO MODERADO (2 O MAS CRITERIOS) VER MANEJO GUIA SUMINISTRO ASA Y CALCIO")),"Pierde Oportunidad, Inicio tardío de ASA","XXXXX"))))))))</f>
        <v>No Aplica para suministro de ASA</v>
      </c>
      <c r="HS126" s="22">
        <v>45035</v>
      </c>
      <c r="HT126" s="22" t="s">
        <v>870</v>
      </c>
      <c r="HU126" s="22">
        <v>45035</v>
      </c>
      <c r="HV126" s="22" t="s">
        <v>870</v>
      </c>
      <c r="HW126" s="22"/>
      <c r="HX126" s="22"/>
      <c r="HY126" s="22">
        <v>44995</v>
      </c>
      <c r="HZ126" s="28">
        <f t="shared" si="293"/>
        <v>13.142857142857142</v>
      </c>
      <c r="IA126" s="26"/>
      <c r="IB126" s="26"/>
      <c r="IC126" s="111"/>
      <c r="ID126" s="22"/>
      <c r="IE126" s="22" t="str">
        <f t="shared" ca="1" si="294"/>
        <v/>
      </c>
      <c r="IF126" s="22"/>
      <c r="IG126" s="22">
        <f t="shared" si="295"/>
        <v>45183</v>
      </c>
      <c r="IH126" s="29">
        <f t="shared" ca="1" si="296"/>
        <v>-49</v>
      </c>
      <c r="II126" s="22" t="str">
        <f t="shared" ca="1" si="297"/>
        <v>POSIBLEMENTE NACIO</v>
      </c>
      <c r="IJ126" s="22"/>
      <c r="IK126" s="21"/>
      <c r="IL126" s="21"/>
      <c r="IM126" s="34"/>
      <c r="IN126" s="349"/>
      <c r="IO126" s="21"/>
      <c r="IP126" s="29" t="str">
        <f t="shared" si="490"/>
        <v/>
      </c>
      <c r="IQ126" s="35"/>
      <c r="IR126" s="21"/>
      <c r="IS126" s="21"/>
      <c r="IT126" s="21"/>
      <c r="IU126" s="21"/>
      <c r="IV126" s="21"/>
      <c r="IW126" s="21"/>
      <c r="IX126" s="21"/>
      <c r="IY126" s="21"/>
      <c r="IZ126" s="21"/>
      <c r="JA126" s="21"/>
      <c r="JB126" s="30"/>
      <c r="JC126" s="21"/>
      <c r="JD126" s="36"/>
      <c r="JE126" s="21" t="str">
        <f t="shared" si="492"/>
        <v/>
      </c>
      <c r="JF126" s="30"/>
      <c r="JG126" s="21"/>
      <c r="JH126" s="21"/>
      <c r="JI126" s="21"/>
      <c r="JJ126" s="30"/>
      <c r="JK126" s="22"/>
      <c r="JL126" s="22"/>
      <c r="JM126" s="21"/>
      <c r="JN126" s="36"/>
      <c r="JO126" s="21" t="str">
        <f t="shared" si="493"/>
        <v/>
      </c>
      <c r="JP126" s="22"/>
      <c r="JQ126" s="21"/>
      <c r="JR126" s="21"/>
      <c r="JS126" s="21"/>
      <c r="JT126" s="30"/>
      <c r="JU126" s="22"/>
      <c r="JV126" s="22"/>
      <c r="JW126" s="33"/>
      <c r="JX126" s="28" t="str">
        <f t="shared" si="494"/>
        <v/>
      </c>
      <c r="JY126" s="33"/>
      <c r="JZ126" s="28" t="str">
        <f t="shared" si="495"/>
        <v/>
      </c>
      <c r="KA126" s="21"/>
      <c r="KB126" s="21"/>
      <c r="KC126" s="21"/>
      <c r="KD126" s="37"/>
      <c r="KE126" s="28"/>
      <c r="KF126" s="28"/>
      <c r="KG126" s="28"/>
      <c r="KH126" s="39"/>
      <c r="KI126" s="39"/>
      <c r="KJ126" s="66"/>
      <c r="KK126" s="39"/>
      <c r="KL126" s="39"/>
      <c r="KM126" s="66"/>
      <c r="KN126" s="39"/>
      <c r="KO126" s="39"/>
      <c r="KP126" s="39"/>
      <c r="KQ126" s="39"/>
      <c r="KR126" s="39"/>
      <c r="KS126" s="39"/>
      <c r="KT126" s="39"/>
      <c r="KU126" s="38"/>
      <c r="KV126" s="38"/>
      <c r="KW126" s="38"/>
      <c r="KX126" s="38"/>
      <c r="KY126" s="38"/>
      <c r="KZ126" s="38"/>
      <c r="LA126" s="38"/>
      <c r="LB126" s="38"/>
      <c r="LC126" s="38"/>
      <c r="LD126" s="38"/>
      <c r="LE126" s="38"/>
      <c r="LF126" s="38"/>
      <c r="LG126" s="38"/>
      <c r="LH126" s="38"/>
      <c r="LI126" s="38"/>
      <c r="LJ126" s="38"/>
      <c r="LK126" s="38"/>
      <c r="LL126" s="38"/>
      <c r="LM126" s="38"/>
      <c r="LN126" s="38"/>
      <c r="LO126" s="38"/>
      <c r="LP126" s="38"/>
      <c r="LQ126" s="38"/>
      <c r="LR126" s="38"/>
      <c r="LS126" s="38"/>
      <c r="LT126" s="38"/>
      <c r="LU126" s="38"/>
      <c r="LV126" s="38"/>
      <c r="LW126" s="38"/>
      <c r="LX126" s="38"/>
      <c r="LY126" s="38"/>
      <c r="LZ126" s="38"/>
      <c r="MA126" s="38"/>
      <c r="MB126" s="38"/>
      <c r="MC126" s="38"/>
      <c r="MD126" s="38"/>
      <c r="ME126" s="38"/>
      <c r="MF126" s="38"/>
      <c r="MG126" s="38"/>
      <c r="MH126" s="43">
        <f t="shared" si="459"/>
        <v>0</v>
      </c>
      <c r="MI126" s="43" t="str">
        <f t="shared" si="460"/>
        <v/>
      </c>
      <c r="MJ126" s="43" t="str">
        <f t="shared" si="461"/>
        <v/>
      </c>
      <c r="MK126" s="43">
        <f t="shared" si="462"/>
        <v>0</v>
      </c>
      <c r="ML12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26" s="43">
        <f t="shared" si="463"/>
        <v>12.714285714285714</v>
      </c>
      <c r="MN126" s="43">
        <f t="shared" si="464"/>
        <v>3</v>
      </c>
      <c r="MO126" s="43">
        <f t="shared" si="465"/>
        <v>2023</v>
      </c>
      <c r="MP126" s="43" t="str">
        <f t="shared" si="466"/>
        <v>I TRIMESTRE AÑO</v>
      </c>
      <c r="MQ126" s="43">
        <f t="shared" si="467"/>
        <v>18.073806395094174</v>
      </c>
      <c r="MR126" s="43">
        <f t="shared" si="468"/>
        <v>0</v>
      </c>
      <c r="MS126" s="43" t="str">
        <f t="shared" si="469"/>
        <v>DE 14 A 19AÑOS</v>
      </c>
      <c r="MT126" s="43">
        <f t="shared" si="470"/>
        <v>0</v>
      </c>
      <c r="MU126" s="43">
        <f t="shared" si="471"/>
        <v>1</v>
      </c>
      <c r="MV126" s="43">
        <f t="shared" si="472"/>
        <v>0</v>
      </c>
      <c r="MW126" s="43">
        <f t="shared" si="473"/>
        <v>0</v>
      </c>
      <c r="MX126" s="43" t="str">
        <f t="shared" si="474"/>
        <v/>
      </c>
      <c r="MY126" s="43" t="str">
        <f t="shared" ca="1" si="496"/>
        <v/>
      </c>
      <c r="MZ126" s="43" t="str">
        <f t="shared" si="475"/>
        <v/>
      </c>
      <c r="NA126" s="43" t="str">
        <f t="shared" si="476"/>
        <v/>
      </c>
      <c r="NB126" s="43" t="str">
        <f t="shared" si="477"/>
        <v/>
      </c>
      <c r="NC126" s="43" t="str">
        <f t="shared" si="478"/>
        <v/>
      </c>
      <c r="ND126" s="43">
        <f t="shared" ca="1" si="479"/>
        <v>1</v>
      </c>
      <c r="NE126" s="43">
        <f>IF(OR(O126&gt;0,R126&gt;0),SUM(COUNTIF(Tabla1[[#This Row],[AÑOS AL INICIO5 CPN]],"&gt;=40"),COUNTIF(AS126,"0"),COUNTIF(AR126,"SI"),COUNTIF(CC126,"SI"),COUNTIF(BQ126,"&gt;119"),COUNTIF(CI126,"&gt;=35")),"")</f>
        <v>0</v>
      </c>
      <c r="NF126" s="43" t="str">
        <f t="shared" si="480"/>
        <v/>
      </c>
      <c r="NG126" s="43">
        <f t="shared" si="481"/>
        <v>0</v>
      </c>
      <c r="NH126" s="43">
        <f t="shared" si="482"/>
        <v>161.70000000000002</v>
      </c>
      <c r="NI12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CPN",P126="NO"),"Z",IF(AND(Tabla1[[#This Row],[CITA PROXIMO CONTROL]]="CITA MANUAL",Tabla1[[#This Row],[GESTANTES ACTUALES]]="ACTIVA INGRESO A CPN"),"W",IF(AND(Tabla1[[#This Row],[GESTANTES ACTUALES]]="SALIO PROGRAMA",IN126=""),"S",IF(AND(Tabla1[[#This Row],[CITA PROXIMO CONTROL]]&gt;0,IN126=""),(Tabla1[[#This Row],[CITA PROXIMO CONTROL]]-TODAY()),"SD"))))))))</f>
        <v>#REF!</v>
      </c>
      <c r="NJ126" s="43">
        <f>MONTH(Tabla1[[#This Row],[FECHA DE SALIDA  DEL PROGRAMA]])</f>
        <v>1</v>
      </c>
      <c r="NK126" s="43">
        <f>YEAR(Tabla1[[#This Row],[FECHA DE SALIDA  DEL PROGRAMA]])</f>
        <v>1900</v>
      </c>
      <c r="NL126" s="43" t="str">
        <f t="shared" si="483"/>
        <v>X</v>
      </c>
      <c r="NM126" s="43" t="str">
        <f t="shared" si="456"/>
        <v>NO</v>
      </c>
      <c r="NN126" s="43" t="str">
        <f ca="1">IF(AND(O126&gt;0,R126=""),"NO CPN",IF(AND(O126="",R126=""),"",IF(AND(R126&gt;0,Tabla1[[#This Row],[SEMANAS DE GESTACION ACTUALIZADAS]]&lt;=12),"NO APLICA",IF(AND(FH126&lt;&gt;"",FN126&lt;&gt;""),"SI","NO"))))</f>
        <v>SI</v>
      </c>
      <c r="NO126" s="43" t="str">
        <f ca="1">IF(AND(O126&gt;0,R126=""),"NO CPN",IF(AND(O126="",R126=""),"",IF(AND(R126&gt;0,Tabla1[[#This Row],[SEMANAS DE GESTACION ACTUALIZADAS]]&lt;=27),"NO APLICA",IF(AND(ES126&lt;&gt;"",FQ126&lt;&gt;"",GF126&lt;&gt;""),"SI","NO"))))</f>
        <v>NO</v>
      </c>
      <c r="NP126" s="204" t="str">
        <f t="shared" si="484"/>
        <v>II TRIM</v>
      </c>
      <c r="NQ126" s="21" t="str">
        <f t="shared" ref="NQ126:NQ141" si="500">IF(AND(IP127&gt;0,IP127&lt;37),10,IF(OR(CD127="Transversa",CD127="Oblicua"),9,IF(CC127="SI",8,IF(AND(AT127=0,AW127=0,CC127="NO",CD127="Cefálica",IP127&gt;=37,IT127="INICIO ESPONTÁNEO"),1,IF(AND(AND(AT127=0,AW127=0,CC127="NO",CD127="Cefálica",IP127&gt;=37),OR(IT127="LE HACEN INDUCCIÓN",IT127="LE HACEN CESÁREA SIN INICIO TRABAJO DE PARTO")),2,IF(AND(AT127&gt;=1,AW127=0,CC127="NO",CD127="Cefálica",IP127&gt;=37,IT127="INICIO ESPONTÁNEO"),3,IF(AND(AND(AT127&gt;=1,AW127=0,CC127="NO",CD127="Cefálica",IP127&gt;=37),OR(IT127="LE HACEN INDUCCIÓN",IT127="LE HACEN CESÁREA SIN INICIO TRABAJO DE PARTO")),4,IF(AND(AND(AT127&gt;=1,AW127&gt;=1,CC127="NO",CD127="Cefálica",IP127&gt;=37),OR(IT127="LE HACEN INDUCCIÓN",IT127="LE HACEN CESÁREA SIN INICIO TRABAJO DE PARTO",IT127="INICIO ESPONTÁNEO")),5,IF(AND(AND(AT127=0,AW127=0,CC127="NO",CD127="Podálica",IP127&gt;=1),OR(IT127="LE HACEN INDUCCIÓN",IT127="LE HACEN CESÁREA SIN INICIO TRABAJO DE PARTO",IT127="INICIO ESPONTÁNEO")),6,IF(AND(AND(AT127&gt;=1,CC127="NO",CD127="Podálica",IP127&gt;=1),OR(IT127="LE HACEN INDUCCIÓN",IT127="LE HACEN CESÁREA SIN INICIO TRABAJO DE PARTO",IT127="INICIO ESPONTÁNEO"),OR(AW127=0,AW127&gt;=1)),7,""))))))))))</f>
        <v/>
      </c>
      <c r="NR126" s="21" t="str">
        <f t="shared" ca="1" si="497"/>
        <v>REVISAR FUM O FECHA SALIDA PROGRAMA</v>
      </c>
      <c r="NS126" s="205">
        <f t="shared" ca="1" si="485"/>
        <v>2</v>
      </c>
      <c r="NT126" s="21">
        <f t="shared" ca="1" si="486"/>
        <v>2</v>
      </c>
      <c r="NU126" s="21" t="str">
        <f t="shared" ca="1" si="487"/>
        <v>POR DEFINIR</v>
      </c>
      <c r="NV126" s="21" t="str">
        <f t="shared" ca="1" si="488"/>
        <v>POR DEFINIR</v>
      </c>
      <c r="NW126" s="206" t="str">
        <f>IF(AND(O126="",R126=""),"",IF(OR(AND(Tabla1[[#This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26" s="207" t="str">
        <f t="shared" ca="1" si="489"/>
        <v>SIN VACUNAR</v>
      </c>
      <c r="NY126" s="43">
        <f>ROW(Tabla1[[#This Row],['# DE TAMIZAJES SIFILIS TOMADOS ]])</f>
        <v>126</v>
      </c>
      <c r="NZ126" s="43">
        <f t="shared" si="334"/>
        <v>12</v>
      </c>
      <c r="OA126" s="43" t="str">
        <f t="shared" si="335"/>
        <v/>
      </c>
      <c r="OB126" s="43" t="str">
        <f t="shared" si="336"/>
        <v/>
      </c>
      <c r="OC126" s="43" t="str">
        <f t="shared" si="337"/>
        <v/>
      </c>
      <c r="OD126" s="43" t="str">
        <f t="shared" si="338"/>
        <v>SOBREPESO</v>
      </c>
      <c r="OE126" s="43" t="str">
        <f t="shared" si="339"/>
        <v/>
      </c>
      <c r="OF126" s="43" t="str">
        <f t="shared" si="340"/>
        <v/>
      </c>
      <c r="OG126" s="43" t="str">
        <f t="shared" si="341"/>
        <v/>
      </c>
      <c r="OH126" s="43" t="str">
        <f t="shared" si="342"/>
        <v/>
      </c>
      <c r="OI126" s="43" t="str">
        <f t="shared" si="343"/>
        <v/>
      </c>
      <c r="OJ126" s="43" t="str">
        <f t="shared" si="344"/>
        <v/>
      </c>
      <c r="OK126" s="43" t="str">
        <f t="shared" si="345"/>
        <v/>
      </c>
      <c r="OL126" s="43" t="str">
        <f t="shared" si="346"/>
        <v/>
      </c>
      <c r="OM126" s="43" t="str">
        <f t="shared" si="347"/>
        <v/>
      </c>
      <c r="ON126" s="43" t="str">
        <f t="shared" si="348"/>
        <v/>
      </c>
      <c r="OO126" s="43" t="str">
        <f t="shared" si="349"/>
        <v/>
      </c>
      <c r="OP126" s="43" t="str">
        <f t="shared" si="350"/>
        <v/>
      </c>
      <c r="OQ126" s="43" t="str">
        <f t="shared" si="351"/>
        <v/>
      </c>
      <c r="OR126" s="43" t="str">
        <f t="shared" si="352"/>
        <v/>
      </c>
      <c r="OS126" s="43" t="str">
        <f t="shared" si="353"/>
        <v/>
      </c>
      <c r="OT126" s="43" t="str">
        <f t="shared" si="354"/>
        <v/>
      </c>
      <c r="OU126" s="43" t="str">
        <f t="shared" si="355"/>
        <v/>
      </c>
      <c r="OV126" s="110" t="str">
        <f t="shared" si="356"/>
        <v/>
      </c>
      <c r="OW126" s="43" t="str">
        <f t="shared" si="357"/>
        <v/>
      </c>
      <c r="OX126" s="43" t="str">
        <f t="shared" si="358"/>
        <v/>
      </c>
      <c r="OY126" s="43" t="str">
        <f t="shared" si="359"/>
        <v/>
      </c>
      <c r="OZ126" s="43" t="str">
        <f t="shared" si="360"/>
        <v/>
      </c>
      <c r="PA126" s="43" t="str">
        <f t="shared" si="361"/>
        <v/>
      </c>
      <c r="PB126" s="43" t="str">
        <f t="shared" si="362"/>
        <v/>
      </c>
      <c r="PC126" s="43" t="str">
        <f t="shared" si="363"/>
        <v/>
      </c>
      <c r="PD126" s="43" t="str">
        <f t="shared" si="364"/>
        <v/>
      </c>
      <c r="PE126" s="43" t="str">
        <f t="shared" si="365"/>
        <v/>
      </c>
      <c r="PF126" s="43" t="str">
        <f t="shared" si="366"/>
        <v/>
      </c>
      <c r="PG126" s="43" t="str">
        <f t="shared" si="367"/>
        <v/>
      </c>
      <c r="PH126" s="43" t="str">
        <f t="shared" si="368"/>
        <v/>
      </c>
      <c r="PI126" s="43">
        <f t="shared" si="369"/>
        <v>31</v>
      </c>
      <c r="PJ126" s="43" t="str">
        <f t="shared" si="370"/>
        <v/>
      </c>
      <c r="PK126" s="43" t="str">
        <f t="shared" si="371"/>
        <v/>
      </c>
      <c r="PL126" s="43" t="str">
        <f t="shared" si="372"/>
        <v/>
      </c>
      <c r="PM126" s="43" t="str">
        <f t="shared" si="373"/>
        <v/>
      </c>
      <c r="PN126" s="43" t="str">
        <f t="shared" si="374"/>
        <v/>
      </c>
      <c r="PO126" s="43" t="str">
        <f t="shared" si="375"/>
        <v/>
      </c>
      <c r="PP126" s="43" t="str">
        <f t="shared" si="376"/>
        <v/>
      </c>
      <c r="PQ126" s="43" t="str">
        <f t="shared" si="377"/>
        <v/>
      </c>
      <c r="PR126" s="43" t="str">
        <f t="shared" si="378"/>
        <v/>
      </c>
      <c r="PS126" s="43" t="str">
        <f t="shared" si="379"/>
        <v/>
      </c>
      <c r="PT126" s="43" t="str">
        <f t="shared" si="380"/>
        <v/>
      </c>
      <c r="PU126" s="43" t="str">
        <f t="shared" si="381"/>
        <v/>
      </c>
      <c r="PV126" s="43" t="str">
        <f t="shared" si="382"/>
        <v/>
      </c>
      <c r="PW126" s="43" t="str">
        <f t="shared" si="383"/>
        <v/>
      </c>
      <c r="PX126" s="43" t="str">
        <f t="shared" si="384"/>
        <v/>
      </c>
      <c r="PY126" s="43" t="str">
        <f t="shared" si="385"/>
        <v/>
      </c>
      <c r="PZ126" s="43" t="str">
        <f t="shared" si="386"/>
        <v/>
      </c>
      <c r="QA126" s="43" t="str">
        <f t="shared" si="387"/>
        <v/>
      </c>
      <c r="QB126" s="43" t="str">
        <f t="shared" si="388"/>
        <v/>
      </c>
      <c r="QC126" s="43" t="str">
        <f t="shared" si="389"/>
        <v/>
      </c>
      <c r="QD126" s="43" t="str">
        <f t="shared" si="390"/>
        <v/>
      </c>
      <c r="QE126" s="43" t="str">
        <f t="shared" si="391"/>
        <v/>
      </c>
      <c r="QF126" s="43" t="str">
        <f t="shared" si="392"/>
        <v>NORMAL</v>
      </c>
      <c r="QG126" s="43" t="str">
        <f t="shared" si="393"/>
        <v/>
      </c>
      <c r="QH126" s="43" t="str">
        <f t="shared" si="394"/>
        <v/>
      </c>
      <c r="QI126" s="43" t="str">
        <f t="shared" si="395"/>
        <v/>
      </c>
      <c r="QJ126" s="43" t="str">
        <f t="shared" si="396"/>
        <v/>
      </c>
      <c r="QK126" s="43" t="str">
        <f t="shared" si="397"/>
        <v/>
      </c>
      <c r="QL126" s="43" t="str">
        <f t="shared" si="398"/>
        <v/>
      </c>
      <c r="QM126" s="43" t="str">
        <f t="shared" si="399"/>
        <v/>
      </c>
      <c r="QN126" s="43" t="str">
        <f t="shared" si="400"/>
        <v/>
      </c>
      <c r="QO126" s="43" t="str">
        <f t="shared" si="401"/>
        <v/>
      </c>
      <c r="QP126" s="43" t="str">
        <f t="shared" si="402"/>
        <v/>
      </c>
      <c r="QQ126" s="43" t="str">
        <f t="shared" si="403"/>
        <v/>
      </c>
      <c r="QR126" s="43">
        <f t="shared" si="433"/>
        <v>31</v>
      </c>
      <c r="QS126" s="43"/>
      <c r="QT126" s="21" t="str">
        <f t="shared" si="404"/>
        <v/>
      </c>
      <c r="QU126" s="21" t="str">
        <f t="shared" si="405"/>
        <v/>
      </c>
      <c r="QV126" s="21" t="str">
        <f t="shared" si="406"/>
        <v/>
      </c>
      <c r="QW126" s="21" t="str">
        <f t="shared" si="407"/>
        <v/>
      </c>
      <c r="QX126" s="21" t="str">
        <f t="shared" si="408"/>
        <v/>
      </c>
      <c r="QY126" s="21" t="str">
        <f t="shared" si="409"/>
        <v/>
      </c>
      <c r="QZ126" s="21" t="str">
        <f t="shared" si="410"/>
        <v/>
      </c>
      <c r="RA126" s="21" t="str">
        <f t="shared" si="411"/>
        <v/>
      </c>
      <c r="RB126" s="21" t="str">
        <f t="shared" si="412"/>
        <v/>
      </c>
      <c r="RC126" s="21" t="str">
        <f t="shared" si="413"/>
        <v/>
      </c>
      <c r="RD126" s="21" t="str">
        <f t="shared" si="414"/>
        <v/>
      </c>
      <c r="RE126" s="21" t="str">
        <f t="shared" si="415"/>
        <v/>
      </c>
      <c r="RF126" s="21" t="str">
        <f t="shared" si="416"/>
        <v/>
      </c>
      <c r="RG126" s="21" t="str">
        <f t="shared" si="417"/>
        <v/>
      </c>
      <c r="RH126" s="21" t="str">
        <f t="shared" si="418"/>
        <v/>
      </c>
      <c r="RI126" s="21" t="str">
        <f t="shared" si="419"/>
        <v/>
      </c>
      <c r="RJ126" s="21" t="str">
        <f t="shared" si="420"/>
        <v/>
      </c>
      <c r="RK126" s="21" t="str">
        <f t="shared" si="421"/>
        <v/>
      </c>
      <c r="RL126" s="21" t="str">
        <f t="shared" si="422"/>
        <v>ALTO PARA EDAD GESTACIONAL</v>
      </c>
      <c r="RM126" s="21" t="str">
        <f t="shared" si="423"/>
        <v/>
      </c>
      <c r="RN126" s="21" t="str">
        <f t="shared" si="424"/>
        <v/>
      </c>
      <c r="RO126" s="21" t="str">
        <f t="shared" si="425"/>
        <v/>
      </c>
      <c r="RP126" s="21" t="str">
        <f t="shared" si="426"/>
        <v/>
      </c>
      <c r="RQ126" s="21" t="str">
        <f t="shared" si="427"/>
        <v/>
      </c>
      <c r="RR126" s="21" t="str">
        <f t="shared" si="428"/>
        <v/>
      </c>
      <c r="RS126" s="21" t="str">
        <f t="shared" si="429"/>
        <v/>
      </c>
      <c r="RT126" s="21" t="str">
        <f t="shared" si="430"/>
        <v/>
      </c>
      <c r="RU126" s="21" t="str">
        <f t="shared" si="431"/>
        <v/>
      </c>
      <c r="RV126" s="21">
        <f t="shared" si="432"/>
        <v>18.857142857142858</v>
      </c>
      <c r="RW126" s="284">
        <f>IF(OR(Tabla1[[#This Row],[FUM FORMULA CONFIABLE]]="",Tabla1[[#This Row],[FUM FORMULA CONFIABLE]]="SD"),"",IF(Tabla1[[#This Row],[FUM FORMULA CONFIABLE]]="CORREGIDA",Tabla1[[#This Row],[FUM X ECO 1]],Tabla1[[#This Row],[FUM x AMENORREA]]))</f>
        <v>44903</v>
      </c>
      <c r="RX126" s="21">
        <f>IF(AND(Tabla1[[#This Row],[FUM X ECO 1]]="",Tabla1[[#This Row],[FUM x AMENORREA]]=""),"",IF(AND(Tabla1[[#This Row],[FUM X ECO 1]]="",Tabla1[[#This Row],[FUM x AMENORREA]]&lt;&gt;""),"X",SUM(Tabla1[[#This Row],[FUM X ECO 1]]-Tabla1[[#This Row],[FUM x AMENORREA]])))</f>
        <v>0.30000000000291038</v>
      </c>
      <c r="RY126" s="21">
        <f t="shared" si="434"/>
        <v>0</v>
      </c>
    </row>
    <row r="127" spans="1:493" ht="45" customHeight="1" x14ac:dyDescent="0.25">
      <c r="A127" s="109"/>
      <c r="B127" s="43"/>
      <c r="C127" s="43" t="s">
        <v>845</v>
      </c>
      <c r="D127" s="124"/>
      <c r="E127" s="43" t="s">
        <v>943</v>
      </c>
      <c r="F127" s="43" t="s">
        <v>1025</v>
      </c>
      <c r="G127" s="43" t="s">
        <v>1657</v>
      </c>
      <c r="H127" s="43"/>
      <c r="I127" s="109" t="s">
        <v>851</v>
      </c>
      <c r="J127" s="110">
        <v>1059594597</v>
      </c>
      <c r="K127" s="43" t="s">
        <v>852</v>
      </c>
      <c r="L127" s="175" t="s">
        <v>853</v>
      </c>
      <c r="M127" s="22">
        <v>37622</v>
      </c>
      <c r="N127" s="213">
        <f t="shared" ca="1" si="252"/>
        <v>20.849315068493151</v>
      </c>
      <c r="O127" s="22">
        <v>44894</v>
      </c>
      <c r="P127" s="214" t="str">
        <f t="shared" si="438"/>
        <v>SI</v>
      </c>
      <c r="Q127" s="26" t="s">
        <v>855</v>
      </c>
      <c r="R127" s="22">
        <v>44894</v>
      </c>
      <c r="S127" s="21" t="s">
        <v>856</v>
      </c>
      <c r="T127" s="24" t="s">
        <v>690</v>
      </c>
      <c r="U127" s="21" t="s">
        <v>857</v>
      </c>
      <c r="V127" s="21" t="s">
        <v>858</v>
      </c>
      <c r="W127" s="21" t="s">
        <v>1062</v>
      </c>
      <c r="X127" s="21"/>
      <c r="Y127" s="21"/>
      <c r="Z127" s="21">
        <v>3105161144</v>
      </c>
      <c r="AA127" s="21" t="s">
        <v>860</v>
      </c>
      <c r="AB127" s="27" t="s">
        <v>861</v>
      </c>
      <c r="AC127" s="26" t="s">
        <v>846</v>
      </c>
      <c r="AD127" s="21" t="s">
        <v>1546</v>
      </c>
      <c r="AE127" s="26" t="s">
        <v>854</v>
      </c>
      <c r="AF127" s="26" t="s">
        <v>854</v>
      </c>
      <c r="AG127" s="23" t="s">
        <v>864</v>
      </c>
      <c r="AH127" s="23" t="s">
        <v>864</v>
      </c>
      <c r="AI127" s="24" t="s">
        <v>863</v>
      </c>
      <c r="AJ127" s="23" t="s">
        <v>864</v>
      </c>
      <c r="AK127" s="220" t="str">
        <f>IF(AND(AD127="",AE127="",AF127="",AG127="",AH127="",AI127="",AJ127=""),"",IF(OR(Tabla1[[#This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EVALUACIÓN",IF(AND(O127="",R127=""),"",IF(AND(OR(O127&gt;0,R127&gt;0),NG127&gt;=0,NG127&lt;2),"SIN RIESGO",IF(AND(OR(O127&gt;0,R127&gt;0),NG127&gt;=2),"CON RIESGO","ASD")))))</f>
        <v>SIN RIESGO</v>
      </c>
      <c r="AL127" s="23" t="s">
        <v>864</v>
      </c>
      <c r="AM127" s="26" t="s">
        <v>864</v>
      </c>
      <c r="AN127" s="26" t="s">
        <v>864</v>
      </c>
      <c r="AO127" s="26" t="s">
        <v>864</v>
      </c>
      <c r="AP127" s="26" t="s">
        <v>864</v>
      </c>
      <c r="AQ127" s="26" t="s">
        <v>864</v>
      </c>
      <c r="AR127" s="26" t="s">
        <v>864</v>
      </c>
      <c r="AS127" s="21">
        <v>0</v>
      </c>
      <c r="AT127" s="21">
        <v>0</v>
      </c>
      <c r="AU127" s="21">
        <v>0</v>
      </c>
      <c r="AV127" s="26" t="s">
        <v>864</v>
      </c>
      <c r="AW127" s="21">
        <v>0</v>
      </c>
      <c r="AX127" s="26" t="s">
        <v>864</v>
      </c>
      <c r="AY127" s="26" t="s">
        <v>864</v>
      </c>
      <c r="AZ127" s="26" t="s">
        <v>864</v>
      </c>
      <c r="BA127" s="26" t="s">
        <v>864</v>
      </c>
      <c r="BB127" s="26" t="s">
        <v>864</v>
      </c>
      <c r="BC127" s="26" t="s">
        <v>864</v>
      </c>
      <c r="BD127" s="26" t="s">
        <v>864</v>
      </c>
      <c r="BE127" s="26" t="s">
        <v>864</v>
      </c>
      <c r="BF127" s="26" t="s">
        <v>864</v>
      </c>
      <c r="BG127" s="26" t="s">
        <v>864</v>
      </c>
      <c r="BH127" s="26" t="s">
        <v>864</v>
      </c>
      <c r="BI127" s="26" t="s">
        <v>864</v>
      </c>
      <c r="BJ127" s="26" t="s">
        <v>864</v>
      </c>
      <c r="BK127" s="26" t="s">
        <v>864</v>
      </c>
      <c r="BL127" s="26" t="s">
        <v>864</v>
      </c>
      <c r="BM127" s="26" t="s">
        <v>864</v>
      </c>
      <c r="BN127" s="22"/>
      <c r="BO127" s="22">
        <v>44743</v>
      </c>
      <c r="BP127" s="21" t="s">
        <v>854</v>
      </c>
      <c r="BQ127" s="222">
        <f t="shared" si="254"/>
        <v>0</v>
      </c>
      <c r="BR127" s="223">
        <f t="shared" si="255"/>
        <v>44751</v>
      </c>
      <c r="BS127" s="224">
        <f t="shared" si="256"/>
        <v>21.571428571428573</v>
      </c>
      <c r="BT127" s="216" t="str">
        <f t="shared" si="257"/>
        <v>II TRIM</v>
      </c>
      <c r="BU127" s="214" t="str">
        <f t="shared" ca="1" si="258"/>
        <v/>
      </c>
      <c r="BV127" s="25"/>
      <c r="BW127" s="22">
        <v>44898</v>
      </c>
      <c r="BX127" s="28">
        <v>21</v>
      </c>
      <c r="BY127" s="28"/>
      <c r="BZ127" s="22">
        <v>44995</v>
      </c>
      <c r="CA127" s="21">
        <v>35.299999999999997</v>
      </c>
      <c r="CB127" s="26" t="s">
        <v>864</v>
      </c>
      <c r="CC127" s="26" t="s">
        <v>864</v>
      </c>
      <c r="CD127" s="26"/>
      <c r="CE127" s="26"/>
      <c r="CF127" s="22" t="s">
        <v>1517</v>
      </c>
      <c r="CG127" s="21">
        <v>1.51</v>
      </c>
      <c r="CH127" s="21">
        <v>60</v>
      </c>
      <c r="CI127" s="214">
        <f t="shared" si="259"/>
        <v>26.314635323012148</v>
      </c>
      <c r="CJ127" s="225" t="e">
        <f>IF(AND(CI127&lt;10,CH127="SD"),"SIN DATO PESO PREGESTACION O I TRIM",IF(AND(OR(R127&gt;0,O127&gt;0),CI127="X"),"INGRESAR DATO DE PESO",IF(CI127="SD","INGRESAR DATO DE TALLA Y PESO",IF(AND(OR(Tabla1[[#This Row],[MOMENTO EN QUE SE REALIZA EL PESO AL INGRESO A CPN]]="PREGESTACIÓN",NZ127="Menor"),CI127&lt;18.5),"BAJO PESO",IF(AND(OR(Tabla1[[#This Row],[MOMENTO EN QUE SE REALIZA EL PESO AL INGRESO A CPN]]="PREGESTACIÓN",NZ127="Menor"),CI127&lt;25),"NORMAL",IF(AND(OR(Tabla1[[#This Row],[MOMENTO EN QUE SE REALIZA EL PESO AL INGRESO A CPN]]="PREGESTACIÓN",NZ127="Menor"),CI127&lt;30),"SOBREPESO",IF(AND(OR(Tabla1[[#This Row],[MOMENTO EN QUE SE REALIZA EL PESO AL INGRESO A CPN]]="PREGESTACIÓN",NZ127="Menor"),CI127&gt;=30,CI127&lt;50),"OBESIDAD",IF(AND(BS127&gt;0,Tabla1[[#This Row],[MOMENTO EN QUE SE REALIZA EL PESO AL INGRESO A CPN]]="GESTACIÓN"),HLOOKUP(NZ127,$OA$2:PH127,NY127),""))))))))</f>
        <v>#REF!</v>
      </c>
      <c r="CK127" s="212">
        <f t="shared" si="260"/>
        <v>44977</v>
      </c>
      <c r="CL127" s="21"/>
      <c r="CM127" s="214">
        <f t="shared" si="261"/>
        <v>0</v>
      </c>
      <c r="CN127" s="216">
        <f t="shared" si="262"/>
        <v>33</v>
      </c>
      <c r="CO127" s="216" t="e">
        <f>IF(PI127="","",IF(PI127&gt;0,HLOOKUP(PI127,$PJ$2:QQ127,NY127),""))</f>
        <v>#REF!</v>
      </c>
      <c r="CP127" s="21"/>
      <c r="CQ127" s="216" t="e">
        <f>IF(QR127="Menor","NO APLICA-MENOR 13 SEM",IF(AND(CC127="SI",CN127&gt;23),"NO APLICA- GEMELAR",IF(QR127="","",IF(QR127&gt;0,HLOOKUP(QR127,$QS$2:RU127,NY127),""))))</f>
        <v>#REF!</v>
      </c>
      <c r="CR127" s="21"/>
      <c r="CS127" s="21"/>
      <c r="CT127" s="217" t="str">
        <f>IF(R127="","",IF(AND(BS127&gt;1,BS127&lt;12,Tabla1[[#This Row],[T.A. SISTOLICA - ANTES DE SEMANA 12]]="",Tabla1[[#This Row],[T.A. DIASTOLICA - ANTES DE SEMANA 12]]=""),"REGISTRE DATO TA ANTES SEMANA 12",IF(AND(BS127&gt;11,BS127&lt;43,Tabla1[[#This Row],[T.A. SISTOLICA - ANTES DE SEMANA 12]]="",Tabla1[[#This Row],[T.A. DIASTOLICA - ANTES DE SEMANA 12]]=""),"NO APLICA REGISTRO TA-INGRESO TARDIO",IF(AND(OR(O127&gt;0,R127&gt;0),OR(CR127&gt;=140,CS127&gt;=90)),"DEFINIR ESTADIO HTA",IF(AND(OR(O127&gt;0,R127&gt;0),AND(CR127&gt;120,CR127&lt;=139)),"PRE HTA SEGUIMIENTO",IF(AND(OR(O127&gt;0,R127&gt;0),AND(CS127&gt;80,CS127&lt;=89)),"PRE HTA SEGUIMIENTO",IF(AND(OR(O127&gt;0,R127&gt;0),AND(CR127&gt;=80,CR127&lt;=120)),"APARENTEMENTE NORMAL",IF(AND(OR(O127&gt;0,R127&gt;0),AND(CS127&gt;=50,CS127&lt;=80)),"APARENTEMENTE NORMAL",IF(AND(OR(O127&gt;0,R127&gt;0),AND(CR127&gt;1,CR127&lt;=70),AND(CS127&gt;1,CS127&lt;=40)),"HIPOTENSIÓN","")))))))))</f>
        <v>NO APLICA REGISTRO TA-INGRESO TARDIO</v>
      </c>
      <c r="CU127" s="21"/>
      <c r="CV127" s="21"/>
      <c r="CW127" s="217" t="str">
        <f ca="1">IF(R127="","",IF(AND(CN127&gt;19,CN127&lt;27,Tabla1[[#This Row],[T.A. SISTOLICA (Entre semana 20 y 26)]]="",Tabla1[[#This Row],[T.A. DIATOLICA (Entre semana 20 y 26)]]=""),"ACUDE A CONTROL SEM 20 A 26 REGISTRE TA AHORA",IF(AND(BS127&gt;1,BS127&lt;27,BU127&gt;19,Tabla1[[#This Row],[T.A. SISTOLICA (Entre semana 20 y 26)]]="",Tabla1[[#This Row],[T.A. DIATOLICA (Entre semana 20 y 26)]]=""),"COMPLETE REGISTRO TA CONTROL SEM 20 A26 ",IF(AND(BS127&gt;26,BS127&lt;43,Tabla1[[#This Row],[T.A. SISTOLICA (Entre semana 20 y 26)]]="",Tabla1[[#This Row],[T.A. DIATOLICA (Entre semana 20 y 26)]]=""),"NO APLICA REGISTRO TA-INGRESO TARDIO",IF(AND(OR(O127&gt;0,R127&gt;0),OR(CU127&gt;=140,CV127&gt;=90)),"ALTO RIESGO PREECLAMPSIA,DEFINIR ESTADIO HTA",IF(AND(OR(O127&gt;0,R127&gt;0),AND(CU127&gt;120,CU127&lt;=139)),"PRE HTA SEGUIMIENTO,RIESGO HIPERTENSION INDUCIDA POR EL EMBARAZO",IF(AND(OR(O127&gt;0,R127&gt;0),AND(CV127&gt;80,CV127&lt;=89)),"PRE HTA SEGUIMIENTO, RIESGO HIPERTENSION INDUCIDA POR EL EMBARAZO",IF(AND(OR(O127&lt;&gt;"",R127&lt;&gt;""),CS127&lt;&gt;"",CV127&lt;&gt;"",CS127&lt;=CV127),"VIGILAR CIFRAS PRESION ARTERIAL",IF(AND(OR(O127&gt;0,R127&gt;0),AND(CU127&gt;120,CU127&lt;=139)),"PRE HTA SEGUIMIENTO",IF(AND(OR(O127&gt;0,R127&gt;0),AND(CU127&gt;1,CU127&lt;=70),AND(CV127&gt;1,CV127&lt;=40)),"HIPOTENSIÓN",IF(AND(OR(O127&lt;&gt;"",R127&lt;&gt;""),CS127&lt;&gt;"",CV127&lt;&gt;"",CS127&gt;CV127),"APARENTEMENTE NORMAL",IF(AND(OR(O127&gt;0,R127&gt;0),AND(CU127&gt;=80,CU127&lt;=120)),"APARENTEMENTE NORMAL",IF(AND(OR(O127&gt;0,R127&gt;0),AND(CV127&gt;=50,CV127&lt;=80)),"APARENTEMENTE NORMAL","")))))))))))))</f>
        <v xml:space="preserve">COMPLETE REGISTRO TA CONTROL SEM 20 A26 </v>
      </c>
      <c r="CX127" s="21"/>
      <c r="CY127" s="21"/>
      <c r="CZ127" s="216" t="str">
        <f t="shared" si="499"/>
        <v>ACUDE A CONTROL SEM 30 A 34- REGISTRE AHORA</v>
      </c>
      <c r="DA127" s="21"/>
      <c r="DB127" s="21"/>
      <c r="DC127" s="217" t="str">
        <f t="shared" si="264"/>
        <v>REGISTRE DATO PRESIÓN ARTERIAL MENSUAL</v>
      </c>
      <c r="DD127" s="22">
        <v>44894</v>
      </c>
      <c r="DE127" s="22">
        <v>44894</v>
      </c>
      <c r="DF127" s="22">
        <v>44977</v>
      </c>
      <c r="DG127" s="22"/>
      <c r="DH127" s="22"/>
      <c r="DI127" s="22"/>
      <c r="DJ127" s="22"/>
      <c r="DK127" s="22"/>
      <c r="DL127" s="22"/>
      <c r="DM127" s="22"/>
      <c r="DN127" s="22"/>
      <c r="DO127" s="22"/>
      <c r="DP127" s="22"/>
      <c r="DQ127" s="22"/>
      <c r="DR127" s="28"/>
      <c r="DS127" s="22"/>
      <c r="DT127" s="22"/>
      <c r="DU127" s="216" t="str">
        <f t="shared" ca="1" si="439"/>
        <v>SALE SIN PLAN DE PARTO</v>
      </c>
      <c r="DV127" s="226" t="str">
        <f t="shared" si="440"/>
        <v>SALIO PROGRAMA</v>
      </c>
      <c r="DW127"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27" s="216" t="str">
        <f t="shared" ca="1" si="266"/>
        <v/>
      </c>
      <c r="DY127" s="212">
        <f>IF(R127="","",IF(R127&gt;0,MAX(Tabla1[[#This Row],[FECHA C2]:[FECHA C13]],Tabla1[[#This Row],[FECHA CONSULTA PRIMERA VEZ PROGRAMA CPN ]])))</f>
        <v>44977</v>
      </c>
      <c r="DZ127" s="216">
        <f t="shared" si="267"/>
        <v>33</v>
      </c>
      <c r="EA127" s="222">
        <f>IF(R127&gt;0,SUM(COUNTA(DF127:DQ127)+COUNTA(Tabla1[[#This Row],[FECHA CONSULTA PRIMERA VEZ PROGRAMA CPN ]])),"")</f>
        <v>2</v>
      </c>
      <c r="EB127" s="222" t="str">
        <f t="shared" si="268"/>
        <v>NO</v>
      </c>
      <c r="EC127" s="214">
        <f t="shared" si="269"/>
        <v>6</v>
      </c>
      <c r="ED127" s="227">
        <f t="shared" si="270"/>
        <v>0.33333333333333331</v>
      </c>
      <c r="EE127" s="22"/>
      <c r="EF127" s="22"/>
      <c r="EG127" s="22"/>
      <c r="EH127" s="22"/>
      <c r="EI127" s="22"/>
      <c r="EJ127" s="22"/>
      <c r="EK127" s="22"/>
      <c r="EL127" s="21"/>
      <c r="EM127" s="21"/>
      <c r="EN127" s="22"/>
      <c r="EO127" s="222" t="str">
        <f t="shared" si="271"/>
        <v>TOMAR EXAMEN</v>
      </c>
      <c r="EP127" s="214" t="str">
        <f t="shared" si="272"/>
        <v/>
      </c>
      <c r="EQ127" s="216" t="str">
        <f t="shared" si="273"/>
        <v>POR DEFINIR</v>
      </c>
      <c r="ER127" s="24"/>
      <c r="ES127" s="22"/>
      <c r="ET127" s="29" t="str">
        <f t="shared" ca="1" si="441"/>
        <v>SALE SIN TAMIZAJE HEMOGLOBINA SEM 28</v>
      </c>
      <c r="EU127" s="25" t="str">
        <f t="shared" si="275"/>
        <v/>
      </c>
      <c r="EV127" s="24"/>
      <c r="EW127" s="24"/>
      <c r="EX127" s="22"/>
      <c r="EY127" s="29" t="str">
        <f t="shared" si="454"/>
        <v>TOMAR EXAMEN</v>
      </c>
      <c r="EZ127" s="25" t="str">
        <f t="shared" ca="1" si="455"/>
        <v/>
      </c>
      <c r="FA127" s="21"/>
      <c r="FB127" s="22"/>
      <c r="FC127" s="29" t="str">
        <f t="shared" si="276"/>
        <v>TOMAR EXAMEN</v>
      </c>
      <c r="FD127" s="29"/>
      <c r="FE127" s="29"/>
      <c r="FF127" s="29"/>
      <c r="FG127" s="21" t="str">
        <f t="shared" ca="1" si="277"/>
        <v/>
      </c>
      <c r="FH127" s="31"/>
      <c r="FI127" s="29" t="str">
        <f t="shared" si="278"/>
        <v>TOMAR EXAMEN</v>
      </c>
      <c r="FJ127" s="22"/>
      <c r="FK127" s="22"/>
      <c r="FL127" s="29" t="str">
        <f t="shared" ca="1" si="279"/>
        <v>NO APLICA-INGRESO TARDIO</v>
      </c>
      <c r="FM127" s="22"/>
      <c r="FN127" s="32"/>
      <c r="FO127" s="29" t="str">
        <f t="shared" ca="1" si="442"/>
        <v>PIERDE TOMA DE TAMIZAJE</v>
      </c>
      <c r="FP127" s="22"/>
      <c r="FQ127" s="32"/>
      <c r="FR127" s="29" t="str">
        <f t="shared" ca="1" si="443"/>
        <v>PIERDE TOMA DE TAMIZAJE</v>
      </c>
      <c r="FS127" s="22"/>
      <c r="FT127" s="32"/>
      <c r="FU127" s="29" t="str">
        <f>IF(AND(FJ127="",FM127="",FP127="",FS127=""),"",IF(OR(OR(Tabla1[[#This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27" s="28"/>
      <c r="FW127" s="22"/>
      <c r="FX127" s="29" t="str">
        <f t="shared" si="280"/>
        <v>TOMAR EXAMEN</v>
      </c>
      <c r="FY127" s="22"/>
      <c r="FZ127" s="22"/>
      <c r="GA127" s="29" t="str">
        <f t="shared" ca="1" si="498"/>
        <v>NO APLICA-INGRESO TARDIO</v>
      </c>
      <c r="GB127" s="22"/>
      <c r="GC127" s="22"/>
      <c r="GD127" s="29" t="str">
        <f t="shared" ca="1" si="491"/>
        <v>PIERDE TOMA DE TAMIZAJE</v>
      </c>
      <c r="GE127" s="22"/>
      <c r="GF127" s="22"/>
      <c r="GG127" s="29" t="str">
        <f t="shared" ca="1" si="445"/>
        <v>PIERDE TOMA DE TAMIZAJE</v>
      </c>
      <c r="GH127" s="22"/>
      <c r="GI127" s="29"/>
      <c r="GJ127" s="22"/>
      <c r="GK127" s="22"/>
      <c r="GL127" s="22"/>
      <c r="GM127" s="22"/>
      <c r="GN127" s="28"/>
      <c r="GO127" s="22"/>
      <c r="GP127" s="29" t="str">
        <f t="shared" si="283"/>
        <v>TOMAR EXAMEN</v>
      </c>
      <c r="GQ127" s="28"/>
      <c r="GR127" s="28"/>
      <c r="GS127" s="22" t="str">
        <f t="shared" si="458"/>
        <v/>
      </c>
      <c r="GT127" s="22"/>
      <c r="GU127" s="29" t="str">
        <f t="shared" si="285"/>
        <v>TOMAR EXAMEN</v>
      </c>
      <c r="GV127" s="21" t="str">
        <f t="shared" si="286"/>
        <v>POR DEFINIR</v>
      </c>
      <c r="GW127" s="28"/>
      <c r="GX127" s="30"/>
      <c r="GY127" s="21"/>
      <c r="GZ127" s="21"/>
      <c r="HA127" s="21"/>
      <c r="HB127" s="21"/>
      <c r="HC127" s="21"/>
      <c r="HD127" s="21"/>
      <c r="HE127" s="21"/>
      <c r="HF127" s="22"/>
      <c r="HG127" s="22" t="str">
        <f>IF(OR(O127&gt;0,R127&gt;0),CONCATENATE(IF(Tabla1[[#This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27" s="22" t="e">
        <f t="shared" si="287"/>
        <v>#REF!</v>
      </c>
      <c r="HI127" s="22" t="e">
        <f t="shared" ca="1" si="288"/>
        <v>#REF!</v>
      </c>
      <c r="HJ127" s="21" t="str">
        <f t="shared" ca="1" si="289"/>
        <v>**********************MULTIPARIDAD*****************</v>
      </c>
      <c r="HK127" s="21" t="str">
        <f t="shared" si="290"/>
        <v>SIN ANTECEDENTES DE RIESGO</v>
      </c>
      <c r="HL127" s="24" t="str">
        <f t="shared" si="291"/>
        <v>REGISTRE DATO PRESIÓN ARTERIAL MENSUAL</v>
      </c>
      <c r="HM127" s="21" t="str">
        <f t="shared" ca="1" si="292"/>
        <v/>
      </c>
      <c r="HN127" s="30" t="str">
        <f t="shared" si="446"/>
        <v>SALIO PROGRAMA</v>
      </c>
      <c r="HO127" s="21"/>
      <c r="HP127" s="21"/>
      <c r="HQ127" s="21"/>
      <c r="HR127" s="21" t="str">
        <f>IF(R127="","",IF(Tabla1[[#This Row],[ALARMA FACTORES DE RIESGO COMPLICACIONES HIPERTENSIVAS3]]="SIN ANTECEDENTES DE RIESGO","No Aplica para suministro de ASA",IF(AND(Tabla1[[#This Row],[FECHA INICIO DE SUMINISTRO DE ASA]]&gt;0,RV127&lt;12),"Inicia ASA ANTES de Sem 12",IF(AND(RV127&gt;11,RV127&lt;17,OR(HK127="RIESGO ALTO DE COMPLICACIONES HIPERTENSIVAS VER MANEJO GUIA SUMINISTRO ASA Y CALCIO",HK127="RIESGO MODERADO (2 O MAS CRITERIOS) VER MANEJO GUIA SUMINISTRO ASA Y CALCIO")),"Inicio oportuno de ASA",IF(AND(RV127&gt;12,OR(HK127="RIESGO ALTO DE COMPLICACIONES HIPERTENSIVAS VER MANEJO GUIA SUMINISTRO ASA Y CALCIO",HK127="RIESGO MODERADO (2 O MAS CRITERIOS) VER MANEJO GUIA SUMINISTRO ASA Y CALCIO")),"Inicio no oportuno mayor a 16 semanas",IF(AND(BU127&lt;12,OR(HK127="RIESGO ALTO DE COMPLICACIONES HIPERTENSIVAS VER MANEJO GUIA SUMINISTRO ASA Y CALCIO",HK127="RIESGO MODERADO (2 O MAS CRITERIOS) VER MANEJO GUIA SUMINISTRO ASA Y CALCIO")),"Pendiente Inicio de ASA a la semana 12",IF(AND(BU127&gt;11,BU127&lt;17,OR(HK127="RIESGO ALTO DE COMPLICACIONES HIPERTENSIVAS VER MANEJO GUIA SUMINISTRO ASA Y CALCIO",HK127="RIESGO MODERADO (2 O MAS CRITERIOS) VER MANEJO GUIA SUMINISTRO ASA Y CALCIO")),"Iniciar de inmediato ASA",IF(AND(BU127&gt;16,OR(HK127="RIESGO ALTO DE COMPLICACIONES HIPERTENSIVAS VER MANEJO GUIA SUMINISTRO ASA Y CALCIO",HK127="RIESGO MODERADO (2 O MAS CRITERIOS) VER MANEJO GUIA SUMINISTRO ASA Y CALCIO")),"Pierde Oportunidad, Inicio tardío de ASA","XXXXX"))))))))</f>
        <v>No Aplica para suministro de ASA</v>
      </c>
      <c r="HS127" s="22"/>
      <c r="HT127" s="22"/>
      <c r="HU127" s="22"/>
      <c r="HV127" s="22"/>
      <c r="HW127" s="22"/>
      <c r="HX127" s="22"/>
      <c r="HY127" s="22"/>
      <c r="HZ127" s="28" t="str">
        <f t="shared" si="293"/>
        <v>PENDIENTE CONSULTA</v>
      </c>
      <c r="IA127" s="26"/>
      <c r="IB127" s="26"/>
      <c r="IC127" s="111"/>
      <c r="ID127" s="22">
        <v>44898</v>
      </c>
      <c r="IE127" s="22" t="str">
        <f t="shared" ca="1" si="294"/>
        <v>VACUNA APLICADA ENTRE SEMANA 20 Y SEMANA 26</v>
      </c>
      <c r="IF127" s="22"/>
      <c r="IG127" s="22">
        <f t="shared" si="295"/>
        <v>45023</v>
      </c>
      <c r="IH127" s="29">
        <f t="shared" ca="1" si="296"/>
        <v>-209</v>
      </c>
      <c r="II127" s="22" t="str">
        <f t="shared" ca="1" si="297"/>
        <v>POSIBLEMENTE NACIO</v>
      </c>
      <c r="IJ127" s="22"/>
      <c r="IK127" s="21" t="s">
        <v>898</v>
      </c>
      <c r="IL127" s="21"/>
      <c r="IM127" s="34"/>
      <c r="IN127" s="349">
        <v>45015</v>
      </c>
      <c r="IO127" s="21" t="s">
        <v>1640</v>
      </c>
      <c r="IP127" s="29">
        <f t="shared" si="490"/>
        <v>38.857142857142854</v>
      </c>
      <c r="IQ127" s="35"/>
      <c r="IR127" s="21" t="s">
        <v>879</v>
      </c>
      <c r="IS127" s="21" t="s">
        <v>1641</v>
      </c>
      <c r="IT127" s="21" t="s">
        <v>1642</v>
      </c>
      <c r="IU127" s="21"/>
      <c r="IV127" s="21"/>
      <c r="IW127" s="21"/>
      <c r="IX127" s="21"/>
      <c r="IY127" s="21"/>
      <c r="IZ127" s="21"/>
      <c r="JA127" s="21"/>
      <c r="JB127" s="30">
        <v>1</v>
      </c>
      <c r="JC127" s="21" t="s">
        <v>1643</v>
      </c>
      <c r="JD127" s="36">
        <v>2630</v>
      </c>
      <c r="JE127" s="21" t="str">
        <f t="shared" si="492"/>
        <v>PESO ADECUADO EDAD GESTACIONAL</v>
      </c>
      <c r="JF127" s="30"/>
      <c r="JG127" s="21"/>
      <c r="JH127" s="21"/>
      <c r="JI127" s="21"/>
      <c r="JJ127" s="30"/>
      <c r="JK127" s="22"/>
      <c r="JL127" s="22"/>
      <c r="JM127" s="21"/>
      <c r="JN127" s="36"/>
      <c r="JO127" s="21" t="str">
        <f t="shared" si="493"/>
        <v/>
      </c>
      <c r="JP127" s="22"/>
      <c r="JQ127" s="21"/>
      <c r="JR127" s="21"/>
      <c r="JS127" s="21"/>
      <c r="JT127" s="30"/>
      <c r="JU127" s="22"/>
      <c r="JV127" s="22"/>
      <c r="JW127" s="33"/>
      <c r="JX127" s="28" t="str">
        <f t="shared" si="494"/>
        <v>INASISTENTE</v>
      </c>
      <c r="JY127" s="33"/>
      <c r="JZ127" s="28" t="str">
        <f t="shared" si="495"/>
        <v>INASISTENTE</v>
      </c>
      <c r="KA127" s="21"/>
      <c r="KB127" s="21"/>
      <c r="KC127" s="21"/>
      <c r="KD127" s="37"/>
      <c r="KE127" s="28"/>
      <c r="KF127" s="28"/>
      <c r="KG127" s="28"/>
      <c r="KH127" s="39"/>
      <c r="KI127" s="39"/>
      <c r="KJ127" s="66"/>
      <c r="KK127" s="39"/>
      <c r="KL127" s="39"/>
      <c r="KM127" s="66"/>
      <c r="KN127" s="39"/>
      <c r="KO127" s="39"/>
      <c r="KP127" s="39"/>
      <c r="KQ127" s="39"/>
      <c r="KR127" s="39"/>
      <c r="KS127" s="39"/>
      <c r="KT127" s="39"/>
      <c r="KU127" s="38"/>
      <c r="KV127" s="38"/>
      <c r="KW127" s="38"/>
      <c r="KX127" s="38"/>
      <c r="KY127" s="38"/>
      <c r="KZ127" s="38"/>
      <c r="LA127" s="38"/>
      <c r="LB127" s="38"/>
      <c r="LC127" s="38"/>
      <c r="LD127" s="38"/>
      <c r="LE127" s="38"/>
      <c r="LF127" s="38"/>
      <c r="LG127" s="38"/>
      <c r="LH127" s="38"/>
      <c r="LI127" s="38"/>
      <c r="LJ127" s="38"/>
      <c r="LK127" s="38"/>
      <c r="LL127" s="38"/>
      <c r="LM127" s="38"/>
      <c r="LN127" s="38"/>
      <c r="LO127" s="38"/>
      <c r="LP127" s="38"/>
      <c r="LQ127" s="38"/>
      <c r="LR127" s="38"/>
      <c r="LS127" s="38"/>
      <c r="LT127" s="38"/>
      <c r="LU127" s="38"/>
      <c r="LV127" s="38"/>
      <c r="LW127" s="38"/>
      <c r="LX127" s="38"/>
      <c r="LY127" s="38"/>
      <c r="LZ127" s="38"/>
      <c r="MA127" s="38"/>
      <c r="MB127" s="38"/>
      <c r="MC127" s="38"/>
      <c r="MD127" s="38"/>
      <c r="ME127" s="38"/>
      <c r="MF127" s="38"/>
      <c r="MG127" s="38"/>
      <c r="MH127" s="43">
        <f t="shared" si="459"/>
        <v>0</v>
      </c>
      <c r="MI127" s="43" t="str">
        <f t="shared" si="460"/>
        <v/>
      </c>
      <c r="MJ127" s="43" t="str">
        <f t="shared" si="461"/>
        <v/>
      </c>
      <c r="MK127" s="43">
        <f t="shared" si="462"/>
        <v>0</v>
      </c>
      <c r="ML12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27" s="43">
        <f t="shared" si="463"/>
        <v>21.571428571428573</v>
      </c>
      <c r="MN127" s="43">
        <f t="shared" si="464"/>
        <v>11</v>
      </c>
      <c r="MO127" s="43">
        <f t="shared" si="465"/>
        <v>2022</v>
      </c>
      <c r="MP127" s="43" t="str">
        <f t="shared" si="466"/>
        <v>IV TRIMESTRE AÑO</v>
      </c>
      <c r="MQ127" s="43">
        <f t="shared" si="467"/>
        <v>19.623302671922907</v>
      </c>
      <c r="MR127" s="43">
        <f t="shared" si="468"/>
        <v>0</v>
      </c>
      <c r="MS127" s="43" t="str">
        <f t="shared" si="469"/>
        <v>DE 14 A 19AÑOS</v>
      </c>
      <c r="MT127" s="43">
        <f t="shared" si="470"/>
        <v>0</v>
      </c>
      <c r="MU127" s="43">
        <f t="shared" si="471"/>
        <v>1</v>
      </c>
      <c r="MV127" s="43">
        <f t="shared" si="472"/>
        <v>0</v>
      </c>
      <c r="MW127" s="43">
        <f t="shared" si="473"/>
        <v>0</v>
      </c>
      <c r="MX127" s="43" t="str">
        <f t="shared" si="474"/>
        <v/>
      </c>
      <c r="MY127" s="43" t="str">
        <f t="shared" ca="1" si="496"/>
        <v/>
      </c>
      <c r="MZ127" s="43" t="str">
        <f t="shared" si="475"/>
        <v/>
      </c>
      <c r="NA127" s="43" t="str">
        <f t="shared" si="476"/>
        <v/>
      </c>
      <c r="NB127" s="43" t="str">
        <f t="shared" si="477"/>
        <v/>
      </c>
      <c r="NC127" s="43" t="str">
        <f t="shared" si="478"/>
        <v/>
      </c>
      <c r="ND127" s="43">
        <f t="shared" ca="1" si="479"/>
        <v>1</v>
      </c>
      <c r="NE127" s="43">
        <f>IF(OR(O127&gt;0,R127&gt;0),SUM(COUNTIF(Tabla1[[#This Row],[AÑOS AL INICIO5 CPN]],"&gt;=40"),COUNTIF(AS127,"0"),COUNTIF(AR127,"SI"),COUNTIF(CC127,"SI"),COUNTIF(BQ127,"&gt;119"),COUNTIF(CI127,"&gt;=35")),"")</f>
        <v>1</v>
      </c>
      <c r="NF127" s="43">
        <f t="shared" si="480"/>
        <v>22.142857142857142</v>
      </c>
      <c r="NG127" s="43">
        <f t="shared" si="481"/>
        <v>0</v>
      </c>
      <c r="NH127" s="43">
        <f t="shared" si="482"/>
        <v>147</v>
      </c>
      <c r="NI127"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CPN",P127="NO"),"Z",IF(AND(Tabla1[[#This Row],[CITA PROXIMO CONTROL]]="CITA MANUAL",Tabla1[[#This Row],[GESTANTES ACTUALES]]="ACTIVA INGRESO A CPN"),"W",IF(AND(Tabla1[[#This Row],[GESTANTES ACTUALES]]="SALIO PROGRAMA",IN127=""),"S",IF(AND(Tabla1[[#This Row],[CITA PROXIMO CONTROL]]&gt;0,IN127=""),(Tabla1[[#This Row],[CITA PROXIMO CONTROL]]-TODAY()),"SD"))))))))</f>
        <v>SD</v>
      </c>
      <c r="NJ127" s="43">
        <f>MONTH(Tabla1[[#This Row],[FECHA DE SALIDA  DEL PROGRAMA]])</f>
        <v>3</v>
      </c>
      <c r="NK127" s="43">
        <f>YEAR(Tabla1[[#This Row],[FECHA DE SALIDA  DEL PROGRAMA]])</f>
        <v>2023</v>
      </c>
      <c r="NL127" s="43" t="str">
        <f t="shared" si="483"/>
        <v>X</v>
      </c>
      <c r="NM127" s="43" t="str">
        <f t="shared" si="456"/>
        <v>NO</v>
      </c>
      <c r="NN127" s="43" t="str">
        <f ca="1">IF(AND(O127&gt;0,R127=""),"NO CPN",IF(AND(O127="",R127=""),"",IF(AND(R127&gt;0,Tabla1[[#This Row],[SEMANAS DE GESTACION ACTUALIZADAS]]&lt;=12),"NO APLICA",IF(AND(FH127&lt;&gt;"",FN127&lt;&gt;""),"SI","NO"))))</f>
        <v>NO</v>
      </c>
      <c r="NO127" s="43" t="str">
        <f ca="1">IF(AND(O127&gt;0,R127=""),"NO CPN",IF(AND(O127="",R127=""),"",IF(AND(R127&gt;0,Tabla1[[#This Row],[SEMANAS DE GESTACION ACTUALIZADAS]]&lt;=27),"NO APLICA",IF(AND(ES127&lt;&gt;"",FQ127&lt;&gt;"",GF127&lt;&gt;""),"SI","NO"))))</f>
        <v>NO</v>
      </c>
      <c r="NP127" s="204" t="str">
        <f t="shared" si="484"/>
        <v>II TRIM</v>
      </c>
      <c r="NQ127" s="21" t="str">
        <f t="shared" si="500"/>
        <v/>
      </c>
      <c r="NR127" s="21">
        <f t="shared" si="497"/>
        <v>2</v>
      </c>
      <c r="NS127" s="205">
        <f t="shared" ca="1" si="485"/>
        <v>0</v>
      </c>
      <c r="NT127" s="21">
        <f t="shared" ca="1" si="486"/>
        <v>0</v>
      </c>
      <c r="NU127" s="21" t="str">
        <f t="shared" ca="1" si="487"/>
        <v>INCOMPLETO</v>
      </c>
      <c r="NV127" s="21" t="str">
        <f t="shared" ca="1" si="488"/>
        <v>INCOMPLETO</v>
      </c>
      <c r="NW127" s="206" t="str">
        <f>IF(AND(O127="",R127=""),"",IF(OR(AND(Tabla1[[#This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27" s="207" t="str">
        <f t="shared" ca="1" si="489"/>
        <v>VACUNADA</v>
      </c>
      <c r="NY127" s="43">
        <f>ROW(Tabla1[[#This Row],['# DE TAMIZAJES SIFILIS TOMADOS ]])</f>
        <v>127</v>
      </c>
      <c r="NZ127" s="43">
        <f t="shared" si="334"/>
        <v>21</v>
      </c>
      <c r="OA127" s="43" t="str">
        <f t="shared" si="335"/>
        <v/>
      </c>
      <c r="OB127" s="43" t="str">
        <f t="shared" si="336"/>
        <v/>
      </c>
      <c r="OC127" s="43" t="str">
        <f t="shared" si="337"/>
        <v/>
      </c>
      <c r="OD127" s="43" t="str">
        <f t="shared" si="338"/>
        <v/>
      </c>
      <c r="OE127" s="43" t="str">
        <f t="shared" si="339"/>
        <v/>
      </c>
      <c r="OF127" s="43" t="str">
        <f t="shared" si="340"/>
        <v/>
      </c>
      <c r="OG127" s="43" t="str">
        <f t="shared" si="341"/>
        <v/>
      </c>
      <c r="OH127" s="43" t="str">
        <f t="shared" si="342"/>
        <v/>
      </c>
      <c r="OI127" s="43" t="str">
        <f t="shared" si="343"/>
        <v/>
      </c>
      <c r="OJ127" s="43" t="str">
        <f t="shared" si="344"/>
        <v/>
      </c>
      <c r="OK127" s="43" t="str">
        <f t="shared" si="345"/>
        <v/>
      </c>
      <c r="OL127" s="43" t="str">
        <f t="shared" si="346"/>
        <v/>
      </c>
      <c r="OM127" s="43" t="str">
        <f t="shared" si="347"/>
        <v>NORMAL</v>
      </c>
      <c r="ON127" s="43" t="str">
        <f t="shared" si="348"/>
        <v/>
      </c>
      <c r="OO127" s="43" t="str">
        <f t="shared" si="349"/>
        <v/>
      </c>
      <c r="OP127" s="43" t="str">
        <f t="shared" si="350"/>
        <v/>
      </c>
      <c r="OQ127" s="43" t="str">
        <f t="shared" si="351"/>
        <v/>
      </c>
      <c r="OR127" s="43" t="str">
        <f t="shared" si="352"/>
        <v/>
      </c>
      <c r="OS127" s="43" t="str">
        <f t="shared" si="353"/>
        <v/>
      </c>
      <c r="OT127" s="43" t="str">
        <f t="shared" si="354"/>
        <v/>
      </c>
      <c r="OU127" s="43" t="str">
        <f t="shared" si="355"/>
        <v/>
      </c>
      <c r="OV127" s="110" t="str">
        <f t="shared" si="356"/>
        <v/>
      </c>
      <c r="OW127" s="43" t="str">
        <f t="shared" si="357"/>
        <v/>
      </c>
      <c r="OX127" s="43" t="str">
        <f t="shared" si="358"/>
        <v/>
      </c>
      <c r="OY127" s="43" t="str">
        <f t="shared" si="359"/>
        <v/>
      </c>
      <c r="OZ127" s="43" t="str">
        <f t="shared" si="360"/>
        <v/>
      </c>
      <c r="PA127" s="43" t="str">
        <f t="shared" si="361"/>
        <v/>
      </c>
      <c r="PB127" s="43" t="str">
        <f t="shared" si="362"/>
        <v/>
      </c>
      <c r="PC127" s="43" t="str">
        <f t="shared" si="363"/>
        <v/>
      </c>
      <c r="PD127" s="43" t="str">
        <f t="shared" si="364"/>
        <v/>
      </c>
      <c r="PE127" s="43" t="str">
        <f t="shared" si="365"/>
        <v/>
      </c>
      <c r="PF127" s="43" t="str">
        <f t="shared" si="366"/>
        <v/>
      </c>
      <c r="PG127" s="43" t="str">
        <f t="shared" si="367"/>
        <v/>
      </c>
      <c r="PH127" s="43" t="str">
        <f t="shared" si="368"/>
        <v/>
      </c>
      <c r="PI127" s="43">
        <f t="shared" si="369"/>
        <v>33</v>
      </c>
      <c r="PJ127" s="43" t="str">
        <f t="shared" si="370"/>
        <v/>
      </c>
      <c r="PK127" s="43" t="str">
        <f t="shared" si="371"/>
        <v/>
      </c>
      <c r="PL127" s="43" t="str">
        <f t="shared" si="372"/>
        <v/>
      </c>
      <c r="PM127" s="43" t="str">
        <f t="shared" si="373"/>
        <v/>
      </c>
      <c r="PN127" s="43" t="str">
        <f t="shared" si="374"/>
        <v/>
      </c>
      <c r="PO127" s="43" t="str">
        <f t="shared" si="375"/>
        <v/>
      </c>
      <c r="PP127" s="43" t="str">
        <f t="shared" si="376"/>
        <v/>
      </c>
      <c r="PQ127" s="43" t="str">
        <f t="shared" si="377"/>
        <v/>
      </c>
      <c r="PR127" s="43" t="str">
        <f t="shared" si="378"/>
        <v/>
      </c>
      <c r="PS127" s="43" t="str">
        <f t="shared" si="379"/>
        <v/>
      </c>
      <c r="PT127" s="43" t="str">
        <f t="shared" si="380"/>
        <v/>
      </c>
      <c r="PU127" s="43" t="str">
        <f t="shared" si="381"/>
        <v/>
      </c>
      <c r="PV127" s="43" t="str">
        <f t="shared" si="382"/>
        <v/>
      </c>
      <c r="PW127" s="43" t="str">
        <f t="shared" si="383"/>
        <v/>
      </c>
      <c r="PX127" s="43" t="str">
        <f t="shared" si="384"/>
        <v/>
      </c>
      <c r="PY127" s="43" t="str">
        <f t="shared" si="385"/>
        <v/>
      </c>
      <c r="PZ127" s="43" t="str">
        <f t="shared" si="386"/>
        <v/>
      </c>
      <c r="QA127" s="43" t="str">
        <f t="shared" si="387"/>
        <v/>
      </c>
      <c r="QB127" s="43" t="str">
        <f t="shared" si="388"/>
        <v/>
      </c>
      <c r="QC127" s="43" t="str">
        <f t="shared" si="389"/>
        <v/>
      </c>
      <c r="QD127" s="43" t="str">
        <f t="shared" si="390"/>
        <v/>
      </c>
      <c r="QE127" s="43" t="str">
        <f t="shared" si="391"/>
        <v/>
      </c>
      <c r="QF127" s="43" t="str">
        <f t="shared" si="392"/>
        <v/>
      </c>
      <c r="QG127" s="43" t="str">
        <f t="shared" si="393"/>
        <v/>
      </c>
      <c r="QH127" s="43" t="str">
        <f t="shared" si="394"/>
        <v/>
      </c>
      <c r="QI127" s="43" t="str">
        <f t="shared" si="395"/>
        <v/>
      </c>
      <c r="QJ127" s="43" t="str">
        <f t="shared" si="396"/>
        <v/>
      </c>
      <c r="QK127" s="43" t="str">
        <f t="shared" si="397"/>
        <v/>
      </c>
      <c r="QL127" s="43" t="str">
        <f t="shared" si="398"/>
        <v/>
      </c>
      <c r="QM127" s="43" t="str">
        <f t="shared" si="399"/>
        <v/>
      </c>
      <c r="QN127" s="43" t="str">
        <f t="shared" si="400"/>
        <v/>
      </c>
      <c r="QO127" s="43" t="str">
        <f t="shared" si="401"/>
        <v/>
      </c>
      <c r="QP127" s="43" t="str">
        <f t="shared" si="402"/>
        <v/>
      </c>
      <c r="QQ127" s="43" t="str">
        <f t="shared" si="403"/>
        <v/>
      </c>
      <c r="QR127" s="43">
        <f t="shared" si="433"/>
        <v>33</v>
      </c>
      <c r="QS127" s="43"/>
      <c r="QT127" s="21" t="str">
        <f t="shared" si="404"/>
        <v/>
      </c>
      <c r="QU127" s="21" t="str">
        <f t="shared" si="405"/>
        <v/>
      </c>
      <c r="QV127" s="21" t="str">
        <f t="shared" si="406"/>
        <v/>
      </c>
      <c r="QW127" s="21" t="str">
        <f t="shared" si="407"/>
        <v/>
      </c>
      <c r="QX127" s="21" t="str">
        <f t="shared" si="408"/>
        <v/>
      </c>
      <c r="QY127" s="21" t="str">
        <f t="shared" si="409"/>
        <v/>
      </c>
      <c r="QZ127" s="21" t="str">
        <f t="shared" si="410"/>
        <v/>
      </c>
      <c r="RA127" s="21" t="str">
        <f t="shared" si="411"/>
        <v/>
      </c>
      <c r="RB127" s="21" t="str">
        <f t="shared" si="412"/>
        <v/>
      </c>
      <c r="RC127" s="21" t="str">
        <f t="shared" si="413"/>
        <v/>
      </c>
      <c r="RD127" s="21" t="str">
        <f t="shared" si="414"/>
        <v/>
      </c>
      <c r="RE127" s="21" t="str">
        <f t="shared" si="415"/>
        <v/>
      </c>
      <c r="RF127" s="21" t="str">
        <f t="shared" si="416"/>
        <v/>
      </c>
      <c r="RG127" s="21" t="str">
        <f t="shared" si="417"/>
        <v/>
      </c>
      <c r="RH127" s="21" t="str">
        <f t="shared" si="418"/>
        <v/>
      </c>
      <c r="RI127" s="21" t="str">
        <f t="shared" si="419"/>
        <v/>
      </c>
      <c r="RJ127" s="21" t="str">
        <f t="shared" si="420"/>
        <v/>
      </c>
      <c r="RK127" s="21" t="str">
        <f t="shared" si="421"/>
        <v/>
      </c>
      <c r="RL127" s="21" t="str">
        <f t="shared" si="422"/>
        <v/>
      </c>
      <c r="RM127" s="21" t="str">
        <f t="shared" si="423"/>
        <v/>
      </c>
      <c r="RN127" s="21" t="str">
        <f t="shared" si="424"/>
        <v/>
      </c>
      <c r="RO127" s="21" t="str">
        <f t="shared" si="425"/>
        <v/>
      </c>
      <c r="RP127" s="21" t="str">
        <f t="shared" si="426"/>
        <v/>
      </c>
      <c r="RQ127" s="21" t="str">
        <f t="shared" si="427"/>
        <v/>
      </c>
      <c r="RR127" s="21" t="str">
        <f t="shared" si="428"/>
        <v/>
      </c>
      <c r="RS127" s="21" t="str">
        <f t="shared" si="429"/>
        <v/>
      </c>
      <c r="RT127" s="21" t="str">
        <f t="shared" si="430"/>
        <v/>
      </c>
      <c r="RU127" s="21" t="str">
        <f t="shared" si="431"/>
        <v/>
      </c>
      <c r="RV127" s="21">
        <f t="shared" si="432"/>
        <v>-1</v>
      </c>
      <c r="RW127" s="284">
        <f>IF(OR(Tabla1[[#This Row],[FUM FORMULA CONFIABLE]]="",Tabla1[[#This Row],[FUM FORMULA CONFIABLE]]="SD"),"",IF(Tabla1[[#This Row],[FUM FORMULA CONFIABLE]]="CORREGIDA",Tabla1[[#This Row],[FUM X ECO 1]],Tabla1[[#This Row],[FUM x AMENORREA]]))</f>
        <v>44743</v>
      </c>
      <c r="RX127" s="21">
        <f>IF(AND(Tabla1[[#This Row],[FUM X ECO 1]]="",Tabla1[[#This Row],[FUM x AMENORREA]]=""),"",IF(AND(Tabla1[[#This Row],[FUM X ECO 1]]="",Tabla1[[#This Row],[FUM x AMENORREA]]&lt;&gt;""),"X",SUM(Tabla1[[#This Row],[FUM X ECO 1]]-Tabla1[[#This Row],[FUM x AMENORREA]])))</f>
        <v>8</v>
      </c>
      <c r="RY127" s="21">
        <f t="shared" si="434"/>
        <v>1</v>
      </c>
    </row>
    <row r="128" spans="1:493" s="338" customFormat="1" ht="45" customHeight="1" x14ac:dyDescent="0.25">
      <c r="A128" s="300"/>
      <c r="B128" s="301" t="s">
        <v>1571</v>
      </c>
      <c r="C128" s="301" t="s">
        <v>845</v>
      </c>
      <c r="D128" s="302"/>
      <c r="E128" s="301" t="s">
        <v>914</v>
      </c>
      <c r="F128" s="301" t="s">
        <v>917</v>
      </c>
      <c r="G128" s="301" t="s">
        <v>1376</v>
      </c>
      <c r="H128" s="301"/>
      <c r="I128" s="300" t="s">
        <v>851</v>
      </c>
      <c r="J128" s="303">
        <v>1002847472</v>
      </c>
      <c r="K128" s="301" t="s">
        <v>932</v>
      </c>
      <c r="L128" s="304" t="s">
        <v>853</v>
      </c>
      <c r="M128" s="305">
        <v>37409</v>
      </c>
      <c r="N128" s="306">
        <f t="shared" ca="1" si="252"/>
        <v>21.432876712328767</v>
      </c>
      <c r="O128" s="305">
        <v>44995</v>
      </c>
      <c r="P128" s="307" t="str">
        <f t="shared" si="438"/>
        <v>SI</v>
      </c>
      <c r="Q128" s="308" t="s">
        <v>855</v>
      </c>
      <c r="R128" s="305">
        <v>44995</v>
      </c>
      <c r="S128" s="309" t="s">
        <v>856</v>
      </c>
      <c r="T128" s="310" t="s">
        <v>690</v>
      </c>
      <c r="U128" s="309" t="s">
        <v>857</v>
      </c>
      <c r="V128" s="309" t="s">
        <v>858</v>
      </c>
      <c r="W128" s="309" t="s">
        <v>1200</v>
      </c>
      <c r="X128" s="309"/>
      <c r="Y128" s="309" t="s">
        <v>920</v>
      </c>
      <c r="Z128" s="309">
        <v>3146721179</v>
      </c>
      <c r="AA128" s="309" t="s">
        <v>860</v>
      </c>
      <c r="AB128" s="311" t="s">
        <v>861</v>
      </c>
      <c r="AC128" s="308" t="s">
        <v>877</v>
      </c>
      <c r="AD128" s="312" t="s">
        <v>846</v>
      </c>
      <c r="AE128" s="308" t="s">
        <v>854</v>
      </c>
      <c r="AF128" s="308" t="s">
        <v>854</v>
      </c>
      <c r="AG128" s="313" t="s">
        <v>864</v>
      </c>
      <c r="AH128" s="313" t="s">
        <v>864</v>
      </c>
      <c r="AI128" s="310" t="s">
        <v>863</v>
      </c>
      <c r="AJ128" s="313" t="s">
        <v>864</v>
      </c>
      <c r="AK128" s="314" t="str">
        <f>IF(AND(AD128="",AE128="",AF128="",AG128="",AH128="",AI128="",AJ128=""),"",IF(OR(Tabla1[[#This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EVALUACIÓN",IF(AND(O128="",R128=""),"",IF(AND(OR(O128&gt;0,R128&gt;0),NG128&gt;=0,NG128&lt;2),"SIN RIESGO",IF(AND(OR(O128&gt;0,R128&gt;0),NG128&gt;=2),"CON RIESGO","ASD")))))</f>
        <v>SIN RIESGO</v>
      </c>
      <c r="AL128" s="313" t="s">
        <v>864</v>
      </c>
      <c r="AM128" s="308" t="s">
        <v>864</v>
      </c>
      <c r="AN128" s="308" t="s">
        <v>864</v>
      </c>
      <c r="AO128" s="308" t="s">
        <v>864</v>
      </c>
      <c r="AP128" s="308" t="s">
        <v>864</v>
      </c>
      <c r="AQ128" s="308" t="s">
        <v>864</v>
      </c>
      <c r="AR128" s="308" t="s">
        <v>864</v>
      </c>
      <c r="AS128" s="309">
        <v>1</v>
      </c>
      <c r="AT128" s="309">
        <v>0</v>
      </c>
      <c r="AU128" s="309">
        <v>0</v>
      </c>
      <c r="AV128" s="308" t="s">
        <v>864</v>
      </c>
      <c r="AW128" s="309">
        <v>1</v>
      </c>
      <c r="AX128" s="308" t="s">
        <v>864</v>
      </c>
      <c r="AY128" s="308" t="s">
        <v>864</v>
      </c>
      <c r="AZ128" s="308" t="s">
        <v>864</v>
      </c>
      <c r="BA128" s="308" t="s">
        <v>864</v>
      </c>
      <c r="BB128" s="308" t="s">
        <v>864</v>
      </c>
      <c r="BC128" s="308" t="s">
        <v>864</v>
      </c>
      <c r="BD128" s="308" t="s">
        <v>864</v>
      </c>
      <c r="BE128" s="308" t="s">
        <v>864</v>
      </c>
      <c r="BF128" s="308" t="s">
        <v>864</v>
      </c>
      <c r="BG128" s="308" t="s">
        <v>864</v>
      </c>
      <c r="BH128" s="308" t="s">
        <v>864</v>
      </c>
      <c r="BI128" s="308" t="s">
        <v>864</v>
      </c>
      <c r="BJ128" s="308" t="s">
        <v>864</v>
      </c>
      <c r="BK128" s="308" t="s">
        <v>864</v>
      </c>
      <c r="BL128" s="308" t="s">
        <v>864</v>
      </c>
      <c r="BM128" s="308" t="s">
        <v>864</v>
      </c>
      <c r="BN128" s="305">
        <v>43776</v>
      </c>
      <c r="BO128" s="305">
        <v>44874</v>
      </c>
      <c r="BP128" s="309" t="s">
        <v>854</v>
      </c>
      <c r="BQ128" s="315">
        <f t="shared" si="254"/>
        <v>36.6</v>
      </c>
      <c r="BR128" s="316">
        <f t="shared" si="255"/>
        <v>44874.6</v>
      </c>
      <c r="BS128" s="317">
        <f t="shared" si="256"/>
        <v>17.285714285714285</v>
      </c>
      <c r="BT128" s="318" t="str">
        <f t="shared" si="257"/>
        <v>II TRIM</v>
      </c>
      <c r="BU128" s="307" t="str">
        <f t="shared" ca="1" si="258"/>
        <v/>
      </c>
      <c r="BV128" s="319"/>
      <c r="BW128" s="305">
        <v>44995</v>
      </c>
      <c r="BX128" s="320">
        <v>17.2</v>
      </c>
      <c r="BY128" s="320" t="s">
        <v>988</v>
      </c>
      <c r="BZ128" s="305">
        <v>45121</v>
      </c>
      <c r="CA128" s="309">
        <v>35.200000000000003</v>
      </c>
      <c r="CB128" s="308" t="s">
        <v>854</v>
      </c>
      <c r="CC128" s="308" t="s">
        <v>864</v>
      </c>
      <c r="CD128" s="308" t="s">
        <v>878</v>
      </c>
      <c r="CE128" s="308" t="s">
        <v>864</v>
      </c>
      <c r="CF128" s="22" t="s">
        <v>1517</v>
      </c>
      <c r="CG128" s="309">
        <v>1.48</v>
      </c>
      <c r="CH128" s="309">
        <v>56.2</v>
      </c>
      <c r="CI128" s="307">
        <f t="shared" si="259"/>
        <v>25.657414170927687</v>
      </c>
      <c r="CJ128" s="321" t="e">
        <f>IF(AND(CI128&lt;10,CH128="SD"),"SIN DATO PESO PREGESTACION O I TRIM",IF(AND(OR(R128&gt;0,O128&gt;0),CI128="X"),"INGRESAR DATO DE PESO",IF(CI128="SD","INGRESAR DATO DE TALLA Y PESO",IF(AND(OR(Tabla1[[#This Row],[MOMENTO EN QUE SE REALIZA EL PESO AL INGRESO A CPN]]="PREGESTACIÓN",NZ128="Menor"),CI128&lt;18.5),"BAJO PESO",IF(AND(OR(Tabla1[[#This Row],[MOMENTO EN QUE SE REALIZA EL PESO AL INGRESO A CPN]]="PREGESTACIÓN",NZ128="Menor"),CI128&lt;25),"NORMAL",IF(AND(OR(Tabla1[[#This Row],[MOMENTO EN QUE SE REALIZA EL PESO AL INGRESO A CPN]]="PREGESTACIÓN",NZ128="Menor"),CI128&lt;30),"SOBREPESO",IF(AND(OR(Tabla1[[#This Row],[MOMENTO EN QUE SE REALIZA EL PESO AL INGRESO A CPN]]="PREGESTACIÓN",NZ128="Menor"),CI128&gt;=30,CI128&lt;50),"OBESIDAD",IF(AND(BS128&gt;0,Tabla1[[#This Row],[MOMENTO EN QUE SE REALIZA EL PESO AL INGRESO A CPN]]="GESTACIÓN"),HLOOKUP(NZ128,$OA$2:PH128,NY128),""))))))))</f>
        <v>#REF!</v>
      </c>
      <c r="CK128" s="322">
        <f t="shared" si="260"/>
        <v>45110</v>
      </c>
      <c r="CL128" s="309">
        <v>65.3</v>
      </c>
      <c r="CM128" s="307">
        <f t="shared" si="261"/>
        <v>29.811906501095692</v>
      </c>
      <c r="CN128" s="318">
        <f t="shared" si="262"/>
        <v>33</v>
      </c>
      <c r="CO128" s="318" t="e">
        <f>IF(PI128="","",IF(PI128&gt;0,HLOOKUP(PI128,$PJ$2:QQ128,NY128),""))</f>
        <v>#REF!</v>
      </c>
      <c r="CP128" s="309">
        <v>31</v>
      </c>
      <c r="CQ128" s="318" t="e">
        <f>IF(QR128="Menor","NO APLICA-MENOR 13 SEM",IF(AND(CC128="SI",CN128&gt;23),"NO APLICA- GEMELAR",IF(QR128="","",IF(QR128&gt;0,HLOOKUP(QR128,$QS$2:RU128,NY128),""))))</f>
        <v>#REF!</v>
      </c>
      <c r="CR128" s="309"/>
      <c r="CS128" s="309"/>
      <c r="CT128" s="323" t="str">
        <f>IF(R128="","",IF(AND(BS128&gt;1,BS128&lt;12,Tabla1[[#This Row],[T.A. SISTOLICA - ANTES DE SEMANA 12]]="",Tabla1[[#This Row],[T.A. DIASTOLICA - ANTES DE SEMANA 12]]=""),"REGISTRE DATO TA ANTES SEMANA 12",IF(AND(BS128&gt;11,BS128&lt;43,Tabla1[[#This Row],[T.A. SISTOLICA - ANTES DE SEMANA 12]]="",Tabla1[[#This Row],[T.A. DIASTOLICA - ANTES DE SEMANA 12]]=""),"NO APLICA REGISTRO TA-INGRESO TARDIO",IF(AND(OR(O128&gt;0,R128&gt;0),OR(CR128&gt;=140,CS128&gt;=90)),"DEFINIR ESTADIO HTA",IF(AND(OR(O128&gt;0,R128&gt;0),AND(CR128&gt;120,CR128&lt;=139)),"PRE HTA SEGUIMIENTO",IF(AND(OR(O128&gt;0,R128&gt;0),AND(CS128&gt;80,CS128&lt;=89)),"PRE HTA SEGUIMIENTO",IF(AND(OR(O128&gt;0,R128&gt;0),AND(CR128&gt;=80,CR128&lt;=120)),"APARENTEMENTE NORMAL",IF(AND(OR(O128&gt;0,R128&gt;0),AND(CS128&gt;=50,CS128&lt;=80)),"APARENTEMENTE NORMAL",IF(AND(OR(O128&gt;0,R128&gt;0),AND(CR128&gt;1,CR128&lt;=70),AND(CS128&gt;1,CS128&lt;=40)),"HIPOTENSIÓN","")))))))))</f>
        <v>NO APLICA REGISTRO TA-INGRESO TARDIO</v>
      </c>
      <c r="CU128" s="309">
        <v>100</v>
      </c>
      <c r="CV128" s="309">
        <v>60</v>
      </c>
      <c r="CW128" s="323" t="str">
        <f ca="1">IF(R128="","",IF(AND(CN128&gt;19,CN128&lt;27,Tabla1[[#This Row],[T.A. SISTOLICA (Entre semana 20 y 26)]]="",Tabla1[[#This Row],[T.A. DIATOLICA (Entre semana 20 y 26)]]=""),"ACUDE A CONTROL SEM 20 A 26 REGISTRE TA AHORA",IF(AND(BS128&gt;1,BS128&lt;27,BU128&gt;19,Tabla1[[#This Row],[T.A. SISTOLICA (Entre semana 20 y 26)]]="",Tabla1[[#This Row],[T.A. DIATOLICA (Entre semana 20 y 26)]]=""),"COMPLETE REGISTRO TA CONTROL SEM 20 A26 ",IF(AND(BS128&gt;26,BS128&lt;43,Tabla1[[#This Row],[T.A. SISTOLICA (Entre semana 20 y 26)]]="",Tabla1[[#This Row],[T.A. DIATOLICA (Entre semana 20 y 26)]]=""),"NO APLICA REGISTRO TA-INGRESO TARDIO",IF(AND(OR(O128&gt;0,R128&gt;0),OR(CU128&gt;=140,CV128&gt;=90)),"ALTO RIESGO PREECLAMPSIA,DEFINIR ESTADIO HTA",IF(AND(OR(O128&gt;0,R128&gt;0),AND(CU128&gt;120,CU128&lt;=139)),"PRE HTA SEGUIMIENTO,RIESGO HIPERTENSION INDUCIDA POR EL EMBARAZO",IF(AND(OR(O128&gt;0,R128&gt;0),AND(CV128&gt;80,CV128&lt;=89)),"PRE HTA SEGUIMIENTO, RIESGO HIPERTENSION INDUCIDA POR EL EMBARAZO",IF(AND(OR(O128&lt;&gt;"",R128&lt;&gt;""),CS128&lt;&gt;"",CV128&lt;&gt;"",CS128&lt;=CV128),"VIGILAR CIFRAS PRESION ARTERIAL",IF(AND(OR(O128&gt;0,R128&gt;0),AND(CU128&gt;120,CU128&lt;=139)),"PRE HTA SEGUIMIENTO",IF(AND(OR(O128&gt;0,R128&gt;0),AND(CU128&gt;1,CU128&lt;=70),AND(CV128&gt;1,CV128&lt;=40)),"HIPOTENSIÓN",IF(AND(OR(O128&lt;&gt;"",R128&lt;&gt;""),CS128&lt;&gt;"",CV128&lt;&gt;"",CS128&gt;CV128),"APARENTEMENTE NORMAL",IF(AND(OR(O128&gt;0,R128&gt;0),AND(CU128&gt;=80,CU128&lt;=120)),"APARENTEMENTE NORMAL",IF(AND(OR(O128&gt;0,R128&gt;0),AND(CV128&gt;=50,CV128&lt;=80)),"APARENTEMENTE NORMAL","")))))))))))))</f>
        <v>APARENTEMENTE NORMAL</v>
      </c>
      <c r="CX128" s="309">
        <v>100</v>
      </c>
      <c r="CY128" s="309">
        <v>60</v>
      </c>
      <c r="CZ128" s="318" t="str">
        <f t="shared" si="499"/>
        <v>APARENTEMENTE NORMAL</v>
      </c>
      <c r="DA128" s="309">
        <v>100</v>
      </c>
      <c r="DB128" s="309">
        <v>60</v>
      </c>
      <c r="DC128" s="323" t="str">
        <f t="shared" si="264"/>
        <v>APARENTEMENTE NORMAL</v>
      </c>
      <c r="DD128" s="305">
        <v>44995</v>
      </c>
      <c r="DE128" s="305">
        <v>44995</v>
      </c>
      <c r="DF128" s="305">
        <v>45027</v>
      </c>
      <c r="DG128" s="305">
        <v>45063</v>
      </c>
      <c r="DH128" s="305">
        <v>45110</v>
      </c>
      <c r="DI128" s="305"/>
      <c r="DJ128" s="305"/>
      <c r="DK128" s="305"/>
      <c r="DL128" s="305"/>
      <c r="DM128" s="305"/>
      <c r="DN128" s="305"/>
      <c r="DO128" s="305"/>
      <c r="DP128" s="305"/>
      <c r="DQ128" s="305"/>
      <c r="DR128" s="320">
        <v>1</v>
      </c>
      <c r="DS128" s="305"/>
      <c r="DT128" s="305"/>
      <c r="DU128" s="318" t="str">
        <f t="shared" ca="1" si="439"/>
        <v>CONCERTAR PLAN DE PARTO INMEDIATO</v>
      </c>
      <c r="DV128" s="324" t="str">
        <f t="shared" si="440"/>
        <v>ACTIVA INGRESO A CPN</v>
      </c>
      <c r="DW128" s="32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28" s="318" t="e">
        <f t="shared" ca="1" si="266"/>
        <v>#REF!</v>
      </c>
      <c r="DY128" s="322">
        <f>IF(R128="","",IF(R128&gt;0,MAX(Tabla1[[#This Row],[FECHA C2]:[FECHA C13]],Tabla1[[#This Row],[FECHA CONSULTA PRIMERA VEZ PROGRAMA CPN ]])))</f>
        <v>45110</v>
      </c>
      <c r="DZ128" s="318">
        <f t="shared" si="267"/>
        <v>33</v>
      </c>
      <c r="EA128" s="315">
        <f>IF(R128&gt;0,SUM(COUNTA(DF128:DQ128)+COUNTA(Tabla1[[#This Row],[FECHA CONSULTA PRIMERA VEZ PROGRAMA CPN ]])),"")</f>
        <v>4</v>
      </c>
      <c r="EB128" s="315" t="str">
        <f t="shared" si="268"/>
        <v>SI</v>
      </c>
      <c r="EC128" s="307">
        <f t="shared" si="269"/>
        <v>7</v>
      </c>
      <c r="ED128" s="325">
        <f t="shared" si="270"/>
        <v>0.5714285714285714</v>
      </c>
      <c r="EE128" s="305">
        <v>44995</v>
      </c>
      <c r="EF128" s="305">
        <v>44995</v>
      </c>
      <c r="EG128" s="305">
        <v>44995</v>
      </c>
      <c r="EH128" s="305"/>
      <c r="EI128" s="305">
        <v>44995</v>
      </c>
      <c r="EJ128" s="305"/>
      <c r="EK128" s="305"/>
      <c r="EL128" s="309"/>
      <c r="EM128" s="309">
        <v>14.4</v>
      </c>
      <c r="EN128" s="305">
        <v>44995</v>
      </c>
      <c r="EO128" s="315">
        <f t="shared" si="271"/>
        <v>17.285714285714285</v>
      </c>
      <c r="EP128" s="307" t="str">
        <f t="shared" si="272"/>
        <v>NO DAR SULFATO FERROSO</v>
      </c>
      <c r="EQ128" s="318" t="str">
        <f t="shared" si="273"/>
        <v>II TRIM</v>
      </c>
      <c r="ER128" s="310">
        <v>12.8</v>
      </c>
      <c r="ES128" s="305">
        <v>45115</v>
      </c>
      <c r="ET128" s="326">
        <f t="shared" ca="1" si="441"/>
        <v>34.428571428571431</v>
      </c>
      <c r="EU128" s="319" t="str">
        <f t="shared" si="275"/>
        <v>NORMAL- SUMINISTRAR SULFATO FERROSO</v>
      </c>
      <c r="EV128" s="310" t="s">
        <v>866</v>
      </c>
      <c r="EW128" s="328">
        <v>44998</v>
      </c>
      <c r="EX128" s="305"/>
      <c r="EY128" s="326">
        <f t="shared" si="454"/>
        <v>17.714285714285715</v>
      </c>
      <c r="EZ128" s="319" t="str">
        <f t="shared" ca="1" si="455"/>
        <v/>
      </c>
      <c r="FA128" s="309">
        <v>14.4</v>
      </c>
      <c r="FB128" s="305">
        <v>44995</v>
      </c>
      <c r="FC128" s="326">
        <f t="shared" si="276"/>
        <v>17.285714285714285</v>
      </c>
      <c r="FD128" s="326"/>
      <c r="FE128" s="326"/>
      <c r="FF128" s="326"/>
      <c r="FG128" s="309" t="str">
        <f t="shared" ca="1" si="277"/>
        <v/>
      </c>
      <c r="FH128" s="327"/>
      <c r="FI128" s="326" t="str">
        <f t="shared" si="278"/>
        <v>TOMAR EXAMEN</v>
      </c>
      <c r="FJ128" s="305"/>
      <c r="FK128" s="305"/>
      <c r="FL128" s="326" t="str">
        <f t="shared" ca="1" si="279"/>
        <v>NO APLICA-INGRESO TARDIO</v>
      </c>
      <c r="FM128" s="305" t="s">
        <v>867</v>
      </c>
      <c r="FN128" s="328">
        <v>44995</v>
      </c>
      <c r="FO128" s="326">
        <f t="shared" ca="1" si="442"/>
        <v>17.285714285714285</v>
      </c>
      <c r="FP128" s="305" t="s">
        <v>867</v>
      </c>
      <c r="FQ128" s="328">
        <v>45066</v>
      </c>
      <c r="FR128" s="326">
        <f t="shared" ca="1" si="443"/>
        <v>27.428571428571427</v>
      </c>
      <c r="FS128" s="305"/>
      <c r="FT128" s="328"/>
      <c r="FU128" s="326" t="str">
        <f>IF(AND(FJ128="",FM128="",FP128="",FS128=""),"",IF(OR(OR(Tabla1[[#This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28" s="320"/>
      <c r="FW128" s="305"/>
      <c r="FX128" s="326" t="str">
        <f t="shared" si="280"/>
        <v>TOMAR EXAMEN</v>
      </c>
      <c r="FY128" s="305">
        <v>44995</v>
      </c>
      <c r="FZ128" s="305">
        <v>44995</v>
      </c>
      <c r="GA128" s="326" t="str">
        <f t="shared" si="498"/>
        <v>REGISTRAR EN II TRIMESTRE</v>
      </c>
      <c r="GB128" s="305" t="s">
        <v>868</v>
      </c>
      <c r="GC128" s="305">
        <v>44995</v>
      </c>
      <c r="GD128" s="326">
        <f t="shared" ca="1" si="491"/>
        <v>17.285714285714285</v>
      </c>
      <c r="GE128" s="305" t="s">
        <v>868</v>
      </c>
      <c r="GF128" s="305">
        <v>45145</v>
      </c>
      <c r="GG128" s="326">
        <f t="shared" ca="1" si="445"/>
        <v>38.714285714285715</v>
      </c>
      <c r="GH128" s="305"/>
      <c r="GI128" s="326"/>
      <c r="GJ128" s="305"/>
      <c r="GK128" s="305"/>
      <c r="GL128" s="305"/>
      <c r="GM128" s="305"/>
      <c r="GN128" s="320" t="s">
        <v>869</v>
      </c>
      <c r="GO128" s="305">
        <v>44995</v>
      </c>
      <c r="GP128" s="326">
        <f t="shared" si="283"/>
        <v>17.285714285714285</v>
      </c>
      <c r="GQ128" s="320" t="s">
        <v>880</v>
      </c>
      <c r="GR128" s="320" t="s">
        <v>869</v>
      </c>
      <c r="GS128" s="305" t="str">
        <f t="shared" si="458"/>
        <v>SE EXCLUYE INFECCION</v>
      </c>
      <c r="GT128" s="305">
        <v>44995</v>
      </c>
      <c r="GU128" s="326">
        <f t="shared" si="285"/>
        <v>17.285714285714285</v>
      </c>
      <c r="GV128" s="309" t="str">
        <f t="shared" si="286"/>
        <v>II TRIM</v>
      </c>
      <c r="GW128" s="320" t="s">
        <v>869</v>
      </c>
      <c r="GX128" s="329"/>
      <c r="GY128" s="309"/>
      <c r="GZ128" s="309"/>
      <c r="HA128" s="309"/>
      <c r="HB128" s="309"/>
      <c r="HC128" s="309"/>
      <c r="HD128" s="309"/>
      <c r="HE128" s="309"/>
      <c r="HF128" s="305"/>
      <c r="HG128" s="305" t="str">
        <f>IF(OR(O128&gt;0,R128&gt;0),CONCATENATE(IF(Tabla1[[#This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28" s="305" t="e">
        <f t="shared" si="287"/>
        <v>#REF!</v>
      </c>
      <c r="HI128" s="305" t="e">
        <f t="shared" ca="1" si="288"/>
        <v>#REF!</v>
      </c>
      <c r="HJ128" s="309" t="str">
        <f t="shared" ca="1" si="289"/>
        <v>*************RCIU*********MULTIPARIDAD***CESAREAS PREVIAS**************</v>
      </c>
      <c r="HK128" s="309" t="str">
        <f t="shared" si="290"/>
        <v>SIN ANTECEDENTES DE RIESGO</v>
      </c>
      <c r="HL128" s="310" t="str">
        <f t="shared" si="291"/>
        <v>APARENTEMENTE NORMAL</v>
      </c>
      <c r="HM128" s="309" t="e">
        <f t="shared" ca="1" si="292"/>
        <v>#REF!</v>
      </c>
      <c r="HN128" s="329" t="str">
        <f t="shared" si="446"/>
        <v>ACTIVA INGRESO A CPN</v>
      </c>
      <c r="HO128" s="309"/>
      <c r="HP128" s="309"/>
      <c r="HQ128" s="309">
        <v>44995</v>
      </c>
      <c r="HR128" s="309" t="str">
        <f>IF(R128="","",IF(Tabla1[[#This Row],[ALARMA FACTORES DE RIESGO COMPLICACIONES HIPERTENSIVAS3]]="SIN ANTECEDENTES DE RIESGO","No Aplica para suministro de ASA",IF(AND(Tabla1[[#This Row],[FECHA INICIO DE SUMINISTRO DE ASA]]&gt;0,RV128&lt;12),"Inicia ASA ANTES de Sem 12",IF(AND(RV128&gt;11,RV128&lt;17,OR(HK128="RIESGO ALTO DE COMPLICACIONES HIPERTENSIVAS VER MANEJO GUIA SUMINISTRO ASA Y CALCIO",HK128="RIESGO MODERADO (2 O MAS CRITERIOS) VER MANEJO GUIA SUMINISTRO ASA Y CALCIO")),"Inicio oportuno de ASA",IF(AND(RV128&gt;12,OR(HK128="RIESGO ALTO DE COMPLICACIONES HIPERTENSIVAS VER MANEJO GUIA SUMINISTRO ASA Y CALCIO",HK128="RIESGO MODERADO (2 O MAS CRITERIOS) VER MANEJO GUIA SUMINISTRO ASA Y CALCIO")),"Inicio no oportuno mayor a 16 semanas",IF(AND(BU128&lt;12,OR(HK128="RIESGO ALTO DE COMPLICACIONES HIPERTENSIVAS VER MANEJO GUIA SUMINISTRO ASA Y CALCIO",HK128="RIESGO MODERADO (2 O MAS CRITERIOS) VER MANEJO GUIA SUMINISTRO ASA Y CALCIO")),"Pendiente Inicio de ASA a la semana 12",IF(AND(BU128&gt;11,BU128&lt;17,OR(HK128="RIESGO ALTO DE COMPLICACIONES HIPERTENSIVAS VER MANEJO GUIA SUMINISTRO ASA Y CALCIO",HK128="RIESGO MODERADO (2 O MAS CRITERIOS) VER MANEJO GUIA SUMINISTRO ASA Y CALCIO")),"Iniciar de inmediato ASA",IF(AND(BU128&gt;16,OR(HK128="RIESGO ALTO DE COMPLICACIONES HIPERTENSIVAS VER MANEJO GUIA SUMINISTRO ASA Y CALCIO",HK128="RIESGO MODERADO (2 O MAS CRITERIOS) VER MANEJO GUIA SUMINISTRO ASA Y CALCIO")),"Pierde Oportunidad, Inicio tardío de ASA","XXXXX"))))))))</f>
        <v>No Aplica para suministro de ASA</v>
      </c>
      <c r="HS128" s="305">
        <v>44995</v>
      </c>
      <c r="HT128" s="305" t="s">
        <v>870</v>
      </c>
      <c r="HU128" s="305"/>
      <c r="HV128" s="305"/>
      <c r="HW128" s="305">
        <v>44995</v>
      </c>
      <c r="HX128" s="305" t="s">
        <v>870</v>
      </c>
      <c r="HY128" s="305">
        <v>44995</v>
      </c>
      <c r="HZ128" s="320">
        <f t="shared" si="293"/>
        <v>17.285714285714285</v>
      </c>
      <c r="IA128" s="308"/>
      <c r="IB128" s="308"/>
      <c r="IC128" s="330">
        <v>45121</v>
      </c>
      <c r="ID128" s="305">
        <v>45027</v>
      </c>
      <c r="IE128" s="305" t="str">
        <f t="shared" ca="1" si="294"/>
        <v>VACUNA APLICADA ENTRE SEMANA 20 Y SEMANA 26</v>
      </c>
      <c r="IF128" s="305"/>
      <c r="IG128" s="305">
        <f t="shared" si="295"/>
        <v>45154</v>
      </c>
      <c r="IH128" s="326">
        <f t="shared" ca="1" si="296"/>
        <v>-78</v>
      </c>
      <c r="II128" s="305" t="str">
        <f t="shared" ca="1" si="297"/>
        <v>POSIBLEMENTE NACIO</v>
      </c>
      <c r="IJ128" s="305"/>
      <c r="IK128" s="309"/>
      <c r="IL128" s="309"/>
      <c r="IM128" s="331"/>
      <c r="IN128" s="350"/>
      <c r="IO128" s="309"/>
      <c r="IP128" s="326" t="str">
        <f t="shared" si="490"/>
        <v/>
      </c>
      <c r="IQ128" s="332"/>
      <c r="IR128" s="309"/>
      <c r="IS128" s="309"/>
      <c r="IT128" s="309"/>
      <c r="IU128" s="309"/>
      <c r="IV128" s="309"/>
      <c r="IW128" s="309"/>
      <c r="IX128" s="309"/>
      <c r="IY128" s="309"/>
      <c r="IZ128" s="309"/>
      <c r="JA128" s="309"/>
      <c r="JB128" s="329"/>
      <c r="JC128" s="309"/>
      <c r="JD128" s="333"/>
      <c r="JE128" s="309" t="str">
        <f t="shared" si="492"/>
        <v/>
      </c>
      <c r="JF128" s="329"/>
      <c r="JG128" s="309"/>
      <c r="JH128" s="309"/>
      <c r="JI128" s="309"/>
      <c r="JJ128" s="329"/>
      <c r="JK128" s="305"/>
      <c r="JL128" s="305"/>
      <c r="JM128" s="309"/>
      <c r="JN128" s="333"/>
      <c r="JO128" s="309" t="str">
        <f t="shared" si="493"/>
        <v/>
      </c>
      <c r="JP128" s="305"/>
      <c r="JQ128" s="309"/>
      <c r="JR128" s="309"/>
      <c r="JS128" s="309"/>
      <c r="JT128" s="329"/>
      <c r="JU128" s="305"/>
      <c r="JV128" s="305"/>
      <c r="JW128" s="334"/>
      <c r="JX128" s="320" t="str">
        <f t="shared" si="494"/>
        <v/>
      </c>
      <c r="JY128" s="334"/>
      <c r="JZ128" s="320" t="str">
        <f t="shared" si="495"/>
        <v/>
      </c>
      <c r="KA128" s="309"/>
      <c r="KB128" s="309"/>
      <c r="KC128" s="309"/>
      <c r="KD128" s="335"/>
      <c r="KE128" s="320"/>
      <c r="KF128" s="320"/>
      <c r="KG128" s="320"/>
      <c r="KH128" s="336"/>
      <c r="KI128" s="336"/>
      <c r="KJ128" s="337"/>
      <c r="KK128" s="336"/>
      <c r="KL128" s="336"/>
      <c r="KM128" s="337"/>
      <c r="KN128" s="336"/>
      <c r="KO128" s="336"/>
      <c r="KP128" s="336"/>
      <c r="KQ128" s="336"/>
      <c r="KR128" s="336"/>
      <c r="KS128" s="336"/>
      <c r="KT128" s="336"/>
      <c r="KU128" s="312"/>
      <c r="KV128" s="312"/>
      <c r="KW128" s="312"/>
      <c r="KX128" s="312"/>
      <c r="KY128" s="312"/>
      <c r="KZ128" s="312"/>
      <c r="LA128" s="312"/>
      <c r="LB128" s="312"/>
      <c r="LC128" s="312"/>
      <c r="LD128" s="312"/>
      <c r="LE128" s="312"/>
      <c r="LF128" s="312"/>
      <c r="LG128" s="312"/>
      <c r="LH128" s="312"/>
      <c r="LI128" s="312"/>
      <c r="LJ128" s="312"/>
      <c r="LK128" s="312"/>
      <c r="LL128" s="312"/>
      <c r="LM128" s="312"/>
      <c r="LN128" s="312"/>
      <c r="LO128" s="312"/>
      <c r="LP128" s="312"/>
      <c r="LQ128" s="312"/>
      <c r="LR128" s="312"/>
      <c r="LS128" s="312"/>
      <c r="LT128" s="312"/>
      <c r="LU128" s="312"/>
      <c r="LV128" s="312"/>
      <c r="LW128" s="312"/>
      <c r="LX128" s="312"/>
      <c r="LY128" s="312"/>
      <c r="LZ128" s="312"/>
      <c r="MA128" s="312"/>
      <c r="MB128" s="312"/>
      <c r="MC128" s="312"/>
      <c r="MD128" s="312"/>
      <c r="ME128" s="312"/>
      <c r="MF128" s="312"/>
      <c r="MG128" s="312"/>
      <c r="MH128" s="43">
        <f t="shared" si="459"/>
        <v>0</v>
      </c>
      <c r="MI128" s="43" t="str">
        <f t="shared" si="460"/>
        <v/>
      </c>
      <c r="MJ128" s="43" t="str">
        <f t="shared" si="461"/>
        <v/>
      </c>
      <c r="MK128" s="43">
        <f t="shared" si="462"/>
        <v>0</v>
      </c>
      <c r="ML12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28" s="43">
        <f t="shared" si="463"/>
        <v>17.285714285714285</v>
      </c>
      <c r="MN128" s="43">
        <f t="shared" si="464"/>
        <v>3</v>
      </c>
      <c r="MO128" s="43">
        <f t="shared" si="465"/>
        <v>2023</v>
      </c>
      <c r="MP128" s="43" t="str">
        <f t="shared" si="466"/>
        <v>I TRIMESTRE AÑO</v>
      </c>
      <c r="MQ128" s="43">
        <f t="shared" si="467"/>
        <v>20.471966710468681</v>
      </c>
      <c r="MR128" s="43">
        <f t="shared" si="468"/>
        <v>0</v>
      </c>
      <c r="MS128" s="43" t="str">
        <f t="shared" si="469"/>
        <v xml:space="preserve"> DE 20 A 24 AÑOS</v>
      </c>
      <c r="MT128" s="43">
        <f t="shared" si="470"/>
        <v>0</v>
      </c>
      <c r="MU128" s="43">
        <f t="shared" si="471"/>
        <v>1</v>
      </c>
      <c r="MV128" s="43">
        <f t="shared" si="472"/>
        <v>1</v>
      </c>
      <c r="MW128" s="43">
        <f t="shared" si="473"/>
        <v>0</v>
      </c>
      <c r="MX128" s="43" t="str">
        <f t="shared" si="474"/>
        <v/>
      </c>
      <c r="MY128" s="43" t="str">
        <f t="shared" ca="1" si="496"/>
        <v/>
      </c>
      <c r="MZ128" s="43" t="str">
        <f t="shared" si="475"/>
        <v/>
      </c>
      <c r="NA128" s="43">
        <f t="shared" si="476"/>
        <v>0</v>
      </c>
      <c r="NB128" s="43" t="str">
        <f t="shared" si="477"/>
        <v/>
      </c>
      <c r="NC128" s="43" t="str">
        <f t="shared" si="478"/>
        <v/>
      </c>
      <c r="ND128" s="43">
        <f t="shared" ca="1" si="479"/>
        <v>5</v>
      </c>
      <c r="NE128" s="43">
        <f>IF(OR(O128&gt;0,R128&gt;0),SUM(COUNTIF(Tabla1[[#This Row],[AÑOS AL INICIO5 CPN]],"&gt;=40"),COUNTIF(AS128,"0"),COUNTIF(AR128,"SI"),COUNTIF(CC128,"SI"),COUNTIF(BQ128,"&gt;119"),COUNTIF(CI128,"&gt;=35")),"")</f>
        <v>0</v>
      </c>
      <c r="NF128" s="43">
        <f t="shared" si="480"/>
        <v>21.857142857142858</v>
      </c>
      <c r="NG128" s="43">
        <f t="shared" si="481"/>
        <v>0</v>
      </c>
      <c r="NH128" s="43">
        <f t="shared" si="482"/>
        <v>120.39999999999999</v>
      </c>
      <c r="NI12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CPN",P128="NO"),"Z",IF(AND(Tabla1[[#This Row],[CITA PROXIMO CONTROL]]="CITA MANUAL",Tabla1[[#This Row],[GESTANTES ACTUALES]]="ACTIVA INGRESO A CPN"),"W",IF(AND(Tabla1[[#This Row],[GESTANTES ACTUALES]]="SALIO PROGRAMA",IN128=""),"S",IF(AND(Tabla1[[#This Row],[CITA PROXIMO CONTROL]]&gt;0,IN128=""),(Tabla1[[#This Row],[CITA PROXIMO CONTROL]]-TODAY()),"SD"))))))))</f>
        <v>#REF!</v>
      </c>
      <c r="NJ128" s="43">
        <f>MONTH(Tabla1[[#This Row],[FECHA DE SALIDA  DEL PROGRAMA]])</f>
        <v>1</v>
      </c>
      <c r="NK128" s="43">
        <f>YEAR(Tabla1[[#This Row],[FECHA DE SALIDA  DEL PROGRAMA]])</f>
        <v>1900</v>
      </c>
      <c r="NL128" s="43" t="str">
        <f t="shared" si="483"/>
        <v>X</v>
      </c>
      <c r="NM128" s="43" t="str">
        <f t="shared" ref="NM128:NM159" si="501">IF(AND(O128&gt;0,R128=""),"NO CPN",IF(AND(O128="",R128=""),"",IF(AND(EN128&lt;&gt;"",EX128&lt;&gt;"",FB128&lt;&gt;"",FK128&lt;&gt;"",FW128&lt;&gt;"",FZ128&lt;&gt;"",GO128&lt;&gt;"",GQ128&lt;&gt;"",GR128&lt;&gt;""),"SI","NO")))</f>
        <v>NO</v>
      </c>
      <c r="NN128" s="43" t="str">
        <f ca="1">IF(AND(O128&gt;0,R128=""),"NO CPN",IF(AND(O128="",R128=""),"",IF(AND(R128&gt;0,Tabla1[[#This Row],[SEMANAS DE GESTACION ACTUALIZADAS]]&lt;=12),"NO APLICA",IF(AND(FH128&lt;&gt;"",FN128&lt;&gt;""),"SI","NO"))))</f>
        <v>NO</v>
      </c>
      <c r="NO128" s="43" t="str">
        <f ca="1">IF(AND(O128&gt;0,R128=""),"NO CPN",IF(AND(O128="",R128=""),"",IF(AND(R128&gt;0,Tabla1[[#This Row],[SEMANAS DE GESTACION ACTUALIZADAS]]&lt;=27),"NO APLICA",IF(AND(ES128&lt;&gt;"",FQ128&lt;&gt;"",GF128&lt;&gt;""),"SI","NO"))))</f>
        <v>SI</v>
      </c>
      <c r="NP128" s="204" t="str">
        <f t="shared" si="484"/>
        <v>II TRIM</v>
      </c>
      <c r="NQ128" s="21" t="str">
        <f t="shared" si="500"/>
        <v/>
      </c>
      <c r="NR128" s="21" t="str">
        <f t="shared" ca="1" si="497"/>
        <v>REVISAR FUM O FECHA SALIDA PROGRAMA</v>
      </c>
      <c r="NS128" s="205">
        <f t="shared" ca="1" si="485"/>
        <v>2</v>
      </c>
      <c r="NT128" s="21">
        <f t="shared" ca="1" si="486"/>
        <v>2</v>
      </c>
      <c r="NU128" s="21" t="str">
        <f t="shared" ca="1" si="487"/>
        <v>POR DEFINIR</v>
      </c>
      <c r="NV128" s="21" t="str">
        <f t="shared" ca="1" si="488"/>
        <v>POR DEFINIR</v>
      </c>
      <c r="NW128" s="206" t="str">
        <f>IF(AND(O128="",R128=""),"",IF(OR(AND(Tabla1[[#This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28" s="207" t="str">
        <f t="shared" ca="1" si="489"/>
        <v>VACUNADA</v>
      </c>
      <c r="NY128" s="43">
        <f>ROW(Tabla1[[#This Row],['# DE TAMIZAJES SIFILIS TOMADOS ]])</f>
        <v>128</v>
      </c>
      <c r="NZ128" s="43">
        <f t="shared" si="334"/>
        <v>17</v>
      </c>
      <c r="OA128" s="43" t="str">
        <f t="shared" si="335"/>
        <v/>
      </c>
      <c r="OB128" s="43" t="str">
        <f t="shared" si="336"/>
        <v/>
      </c>
      <c r="OC128" s="43" t="str">
        <f t="shared" si="337"/>
        <v/>
      </c>
      <c r="OD128" s="43" t="str">
        <f t="shared" si="338"/>
        <v/>
      </c>
      <c r="OE128" s="43" t="str">
        <f t="shared" si="339"/>
        <v/>
      </c>
      <c r="OF128" s="43" t="str">
        <f t="shared" si="340"/>
        <v/>
      </c>
      <c r="OG128" s="43" t="str">
        <f t="shared" si="341"/>
        <v/>
      </c>
      <c r="OH128" s="43" t="str">
        <f t="shared" si="342"/>
        <v/>
      </c>
      <c r="OI128" s="43" t="str">
        <f t="shared" si="343"/>
        <v>NORMAL</v>
      </c>
      <c r="OJ128" s="43" t="str">
        <f t="shared" si="344"/>
        <v/>
      </c>
      <c r="OK128" s="43" t="str">
        <f t="shared" si="345"/>
        <v/>
      </c>
      <c r="OL128" s="43" t="str">
        <f t="shared" si="346"/>
        <v/>
      </c>
      <c r="OM128" s="43" t="str">
        <f t="shared" si="347"/>
        <v/>
      </c>
      <c r="ON128" s="43" t="str">
        <f t="shared" si="348"/>
        <v/>
      </c>
      <c r="OO128" s="43" t="str">
        <f t="shared" si="349"/>
        <v/>
      </c>
      <c r="OP128" s="43" t="str">
        <f t="shared" si="350"/>
        <v/>
      </c>
      <c r="OQ128" s="43" t="str">
        <f t="shared" si="351"/>
        <v/>
      </c>
      <c r="OR128" s="43" t="str">
        <f t="shared" si="352"/>
        <v/>
      </c>
      <c r="OS128" s="43" t="str">
        <f t="shared" si="353"/>
        <v/>
      </c>
      <c r="OT128" s="43" t="str">
        <f t="shared" si="354"/>
        <v/>
      </c>
      <c r="OU128" s="43" t="str">
        <f t="shared" si="355"/>
        <v/>
      </c>
      <c r="OV128" s="110" t="str">
        <f t="shared" si="356"/>
        <v/>
      </c>
      <c r="OW128" s="43" t="str">
        <f t="shared" si="357"/>
        <v/>
      </c>
      <c r="OX128" s="43" t="str">
        <f t="shared" si="358"/>
        <v/>
      </c>
      <c r="OY128" s="43" t="str">
        <f t="shared" si="359"/>
        <v/>
      </c>
      <c r="OZ128" s="43" t="str">
        <f t="shared" si="360"/>
        <v/>
      </c>
      <c r="PA128" s="43" t="str">
        <f t="shared" si="361"/>
        <v/>
      </c>
      <c r="PB128" s="43" t="str">
        <f t="shared" si="362"/>
        <v/>
      </c>
      <c r="PC128" s="43" t="str">
        <f t="shared" si="363"/>
        <v/>
      </c>
      <c r="PD128" s="43" t="str">
        <f t="shared" si="364"/>
        <v/>
      </c>
      <c r="PE128" s="43" t="str">
        <f t="shared" si="365"/>
        <v/>
      </c>
      <c r="PF128" s="43" t="str">
        <f t="shared" si="366"/>
        <v/>
      </c>
      <c r="PG128" s="43" t="str">
        <f t="shared" si="367"/>
        <v/>
      </c>
      <c r="PH128" s="43" t="str">
        <f t="shared" si="368"/>
        <v/>
      </c>
      <c r="PI128" s="43">
        <f t="shared" si="369"/>
        <v>33</v>
      </c>
      <c r="PJ128" s="43" t="str">
        <f t="shared" si="370"/>
        <v/>
      </c>
      <c r="PK128" s="43" t="str">
        <f t="shared" si="371"/>
        <v/>
      </c>
      <c r="PL128" s="43" t="str">
        <f t="shared" si="372"/>
        <v/>
      </c>
      <c r="PM128" s="43" t="str">
        <f t="shared" si="373"/>
        <v/>
      </c>
      <c r="PN128" s="43" t="str">
        <f t="shared" si="374"/>
        <v/>
      </c>
      <c r="PO128" s="43" t="str">
        <f t="shared" si="375"/>
        <v/>
      </c>
      <c r="PP128" s="43" t="str">
        <f t="shared" si="376"/>
        <v/>
      </c>
      <c r="PQ128" s="43" t="str">
        <f t="shared" si="377"/>
        <v/>
      </c>
      <c r="PR128" s="43" t="str">
        <f t="shared" si="378"/>
        <v/>
      </c>
      <c r="PS128" s="43" t="str">
        <f t="shared" si="379"/>
        <v/>
      </c>
      <c r="PT128" s="43" t="str">
        <f t="shared" si="380"/>
        <v/>
      </c>
      <c r="PU128" s="43" t="str">
        <f t="shared" si="381"/>
        <v/>
      </c>
      <c r="PV128" s="43" t="str">
        <f t="shared" si="382"/>
        <v/>
      </c>
      <c r="PW128" s="43" t="str">
        <f t="shared" si="383"/>
        <v/>
      </c>
      <c r="PX128" s="43" t="str">
        <f t="shared" si="384"/>
        <v/>
      </c>
      <c r="PY128" s="43" t="str">
        <f t="shared" si="385"/>
        <v/>
      </c>
      <c r="PZ128" s="43" t="str">
        <f t="shared" si="386"/>
        <v/>
      </c>
      <c r="QA128" s="43" t="str">
        <f t="shared" si="387"/>
        <v/>
      </c>
      <c r="QB128" s="43" t="str">
        <f t="shared" si="388"/>
        <v/>
      </c>
      <c r="QC128" s="43" t="str">
        <f t="shared" si="389"/>
        <v/>
      </c>
      <c r="QD128" s="43" t="str">
        <f t="shared" si="390"/>
        <v/>
      </c>
      <c r="QE128" s="43" t="str">
        <f t="shared" si="391"/>
        <v/>
      </c>
      <c r="QF128" s="43" t="str">
        <f t="shared" si="392"/>
        <v/>
      </c>
      <c r="QG128" s="43" t="str">
        <f t="shared" si="393"/>
        <v/>
      </c>
      <c r="QH128" s="43" t="str">
        <f t="shared" si="394"/>
        <v>SOBREPESO</v>
      </c>
      <c r="QI128" s="43" t="str">
        <f t="shared" si="395"/>
        <v/>
      </c>
      <c r="QJ128" s="43" t="str">
        <f t="shared" si="396"/>
        <v/>
      </c>
      <c r="QK128" s="43" t="str">
        <f t="shared" si="397"/>
        <v/>
      </c>
      <c r="QL128" s="43" t="str">
        <f t="shared" si="398"/>
        <v/>
      </c>
      <c r="QM128" s="43" t="str">
        <f t="shared" si="399"/>
        <v/>
      </c>
      <c r="QN128" s="43" t="str">
        <f t="shared" si="400"/>
        <v/>
      </c>
      <c r="QO128" s="43" t="str">
        <f t="shared" si="401"/>
        <v/>
      </c>
      <c r="QP128" s="43" t="str">
        <f t="shared" si="402"/>
        <v/>
      </c>
      <c r="QQ128" s="43" t="str">
        <f t="shared" si="403"/>
        <v/>
      </c>
      <c r="QR128" s="43">
        <f t="shared" si="433"/>
        <v>33</v>
      </c>
      <c r="QS128" s="43"/>
      <c r="QT128" s="21" t="str">
        <f t="shared" si="404"/>
        <v/>
      </c>
      <c r="QU128" s="21" t="str">
        <f t="shared" si="405"/>
        <v/>
      </c>
      <c r="QV128" s="21" t="str">
        <f t="shared" si="406"/>
        <v/>
      </c>
      <c r="QW128" s="21" t="str">
        <f t="shared" si="407"/>
        <v/>
      </c>
      <c r="QX128" s="21" t="str">
        <f t="shared" si="408"/>
        <v/>
      </c>
      <c r="QY128" s="21" t="str">
        <f t="shared" si="409"/>
        <v/>
      </c>
      <c r="QZ128" s="21" t="str">
        <f t="shared" si="410"/>
        <v/>
      </c>
      <c r="RA128" s="21" t="str">
        <f t="shared" si="411"/>
        <v/>
      </c>
      <c r="RB128" s="21" t="str">
        <f t="shared" si="412"/>
        <v/>
      </c>
      <c r="RC128" s="21" t="str">
        <f t="shared" si="413"/>
        <v/>
      </c>
      <c r="RD128" s="21" t="str">
        <f t="shared" si="414"/>
        <v/>
      </c>
      <c r="RE128" s="21" t="str">
        <f t="shared" si="415"/>
        <v/>
      </c>
      <c r="RF128" s="21" t="str">
        <f t="shared" si="416"/>
        <v/>
      </c>
      <c r="RG128" s="21" t="str">
        <f t="shared" si="417"/>
        <v/>
      </c>
      <c r="RH128" s="21" t="str">
        <f t="shared" si="418"/>
        <v/>
      </c>
      <c r="RI128" s="21" t="str">
        <f t="shared" si="419"/>
        <v/>
      </c>
      <c r="RJ128" s="21" t="str">
        <f t="shared" si="420"/>
        <v/>
      </c>
      <c r="RK128" s="21" t="str">
        <f t="shared" si="421"/>
        <v/>
      </c>
      <c r="RL128" s="21" t="str">
        <f t="shared" si="422"/>
        <v/>
      </c>
      <c r="RM128" s="21" t="str">
        <f t="shared" si="423"/>
        <v/>
      </c>
      <c r="RN128" s="21" t="str">
        <f t="shared" si="424"/>
        <v>ADECUADO PARA EDAD GESTACIONAL</v>
      </c>
      <c r="RO128" s="21" t="str">
        <f t="shared" si="425"/>
        <v/>
      </c>
      <c r="RP128" s="21" t="str">
        <f t="shared" si="426"/>
        <v/>
      </c>
      <c r="RQ128" s="21" t="str">
        <f t="shared" si="427"/>
        <v/>
      </c>
      <c r="RR128" s="21" t="str">
        <f t="shared" si="428"/>
        <v/>
      </c>
      <c r="RS128" s="21" t="str">
        <f t="shared" si="429"/>
        <v/>
      </c>
      <c r="RT128" s="21" t="str">
        <f t="shared" si="430"/>
        <v/>
      </c>
      <c r="RU128" s="21" t="str">
        <f t="shared" si="431"/>
        <v/>
      </c>
      <c r="RV128" s="21">
        <f t="shared" si="432"/>
        <v>17.285714285714285</v>
      </c>
      <c r="RW128" s="284">
        <f>IF(OR(Tabla1[[#This Row],[FUM FORMULA CONFIABLE]]="",Tabla1[[#This Row],[FUM FORMULA CONFIABLE]]="SD"),"",IF(Tabla1[[#This Row],[FUM FORMULA CONFIABLE]]="CORREGIDA",Tabla1[[#This Row],[FUM X ECO 1]],Tabla1[[#This Row],[FUM x AMENORREA]]))</f>
        <v>44874</v>
      </c>
      <c r="RX128" s="21">
        <f>IF(AND(Tabla1[[#This Row],[FUM X ECO 1]]="",Tabla1[[#This Row],[FUM x AMENORREA]]=""),"",IF(AND(Tabla1[[#This Row],[FUM X ECO 1]]="",Tabla1[[#This Row],[FUM x AMENORREA]]&lt;&gt;""),"X",SUM(Tabla1[[#This Row],[FUM X ECO 1]]-Tabla1[[#This Row],[FUM x AMENORREA]])))</f>
        <v>0.59999999999854481</v>
      </c>
      <c r="RY128" s="21">
        <f t="shared" si="434"/>
        <v>0</v>
      </c>
    </row>
    <row r="129" spans="1:493" ht="45" customHeight="1" x14ac:dyDescent="0.25">
      <c r="A129" s="109" t="s">
        <v>1377</v>
      </c>
      <c r="B129" s="43"/>
      <c r="C129" s="43" t="s">
        <v>845</v>
      </c>
      <c r="D129" s="124"/>
      <c r="E129" s="43" t="s">
        <v>1365</v>
      </c>
      <c r="F129" s="43" t="s">
        <v>1378</v>
      </c>
      <c r="G129" s="43" t="s">
        <v>1379</v>
      </c>
      <c r="H129" s="43"/>
      <c r="I129" s="109" t="s">
        <v>851</v>
      </c>
      <c r="J129" s="110">
        <v>1059594610</v>
      </c>
      <c r="K129" s="43" t="s">
        <v>852</v>
      </c>
      <c r="L129" s="175" t="s">
        <v>853</v>
      </c>
      <c r="M129" s="22">
        <v>31303</v>
      </c>
      <c r="N129" s="213">
        <f t="shared" ca="1" si="252"/>
        <v>38.161643835616438</v>
      </c>
      <c r="O129" s="22">
        <v>44995</v>
      </c>
      <c r="P129" s="214" t="str">
        <f t="shared" si="438"/>
        <v>SI</v>
      </c>
      <c r="Q129" s="26" t="s">
        <v>855</v>
      </c>
      <c r="R129" s="22">
        <v>44995</v>
      </c>
      <c r="S129" s="21" t="s">
        <v>856</v>
      </c>
      <c r="T129" s="24" t="s">
        <v>690</v>
      </c>
      <c r="U129" s="21" t="s">
        <v>857</v>
      </c>
      <c r="V129" s="21"/>
      <c r="W129" s="21" t="s">
        <v>1569</v>
      </c>
      <c r="X129" s="21"/>
      <c r="Y129" s="21"/>
      <c r="Z129" s="21" t="s">
        <v>1570</v>
      </c>
      <c r="AA129" s="21" t="s">
        <v>860</v>
      </c>
      <c r="AB129" s="27" t="s">
        <v>861</v>
      </c>
      <c r="AC129" s="26" t="s">
        <v>877</v>
      </c>
      <c r="AD129" s="38" t="s">
        <v>1546</v>
      </c>
      <c r="AE129" s="26" t="s">
        <v>854</v>
      </c>
      <c r="AF129" s="26" t="s">
        <v>854</v>
      </c>
      <c r="AG129" s="23" t="s">
        <v>864</v>
      </c>
      <c r="AH129" s="23" t="s">
        <v>864</v>
      </c>
      <c r="AI129" s="24" t="s">
        <v>863</v>
      </c>
      <c r="AJ129" s="23" t="s">
        <v>864</v>
      </c>
      <c r="AK129" s="220" t="str">
        <f>IF(AND(AD129="",AE129="",AF129="",AG129="",AH129="",AI129="",AJ129=""),"",IF(OR(Tabla1[[#This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EVALUACIÓN",IF(AND(O129="",R129=""),"",IF(AND(OR(O129&gt;0,R129&gt;0),NG129&gt;=0,NG129&lt;2),"SIN RIESGO",IF(AND(OR(O129&gt;0,R129&gt;0),NG129&gt;=2),"CON RIESGO","ASD")))))</f>
        <v>SIN RIESGO</v>
      </c>
      <c r="AL129" s="23" t="s">
        <v>864</v>
      </c>
      <c r="AM129" s="26" t="s">
        <v>864</v>
      </c>
      <c r="AN129" s="26" t="s">
        <v>864</v>
      </c>
      <c r="AO129" s="26" t="s">
        <v>864</v>
      </c>
      <c r="AP129" s="26" t="s">
        <v>864</v>
      </c>
      <c r="AQ129" s="26" t="s">
        <v>864</v>
      </c>
      <c r="AR129" s="26" t="s">
        <v>864</v>
      </c>
      <c r="AS129" s="21">
        <v>3</v>
      </c>
      <c r="AT129" s="21">
        <v>3</v>
      </c>
      <c r="AU129" s="21">
        <v>0</v>
      </c>
      <c r="AV129" s="26" t="s">
        <v>864</v>
      </c>
      <c r="AW129" s="21">
        <v>0</v>
      </c>
      <c r="AX129" s="26" t="s">
        <v>864</v>
      </c>
      <c r="AY129" s="26" t="s">
        <v>864</v>
      </c>
      <c r="AZ129" s="26" t="s">
        <v>864</v>
      </c>
      <c r="BA129" s="26" t="s">
        <v>864</v>
      </c>
      <c r="BB129" s="26" t="s">
        <v>864</v>
      </c>
      <c r="BC129" s="26" t="s">
        <v>864</v>
      </c>
      <c r="BD129" s="26" t="s">
        <v>864</v>
      </c>
      <c r="BE129" s="26" t="s">
        <v>864</v>
      </c>
      <c r="BF129" s="26" t="s">
        <v>864</v>
      </c>
      <c r="BG129" s="26" t="s">
        <v>864</v>
      </c>
      <c r="BH129" s="26" t="s">
        <v>864</v>
      </c>
      <c r="BI129" s="26" t="s">
        <v>864</v>
      </c>
      <c r="BJ129" s="26" t="s">
        <v>864</v>
      </c>
      <c r="BK129" s="26" t="s">
        <v>865</v>
      </c>
      <c r="BL129" s="26" t="s">
        <v>864</v>
      </c>
      <c r="BM129" s="26" t="s">
        <v>864</v>
      </c>
      <c r="BN129" s="22">
        <v>41834</v>
      </c>
      <c r="BO129" s="22">
        <v>44908</v>
      </c>
      <c r="BP129" s="21" t="s">
        <v>1380</v>
      </c>
      <c r="BQ129" s="222">
        <f t="shared" si="254"/>
        <v>102.07666666666677</v>
      </c>
      <c r="BR129" s="223">
        <f t="shared" si="255"/>
        <v>44896.3</v>
      </c>
      <c r="BS129" s="224">
        <f t="shared" si="256"/>
        <v>14.099999999999584</v>
      </c>
      <c r="BT129" s="216" t="str">
        <f t="shared" si="257"/>
        <v>II TRIM</v>
      </c>
      <c r="BU129" s="214" t="str">
        <f t="shared" ca="1" si="258"/>
        <v/>
      </c>
      <c r="BV129" s="25" t="s">
        <v>988</v>
      </c>
      <c r="BW129" s="22">
        <v>44995</v>
      </c>
      <c r="BX129" s="28">
        <v>14.1</v>
      </c>
      <c r="BY129" s="28" t="s">
        <v>989</v>
      </c>
      <c r="BZ129" s="22">
        <v>45062</v>
      </c>
      <c r="CA129" s="21">
        <v>23.5</v>
      </c>
      <c r="CB129" s="26" t="s">
        <v>864</v>
      </c>
      <c r="CC129" s="26" t="s">
        <v>864</v>
      </c>
      <c r="CD129" s="26"/>
      <c r="CE129" s="26" t="s">
        <v>864</v>
      </c>
      <c r="CF129" s="22" t="s">
        <v>1517</v>
      </c>
      <c r="CG129" s="21">
        <v>1.49</v>
      </c>
      <c r="CH129" s="21">
        <v>55.2</v>
      </c>
      <c r="CI129" s="214">
        <f t="shared" si="259"/>
        <v>24.863744876356922</v>
      </c>
      <c r="CJ129" s="225" t="e">
        <f>IF(AND(CI129&lt;10,CH129="SD"),"SIN DATO PESO PREGESTACION O I TRIM",IF(AND(OR(R129&gt;0,O129&gt;0),CI129="X"),"INGRESAR DATO DE PESO",IF(CI129="SD","INGRESAR DATO DE TALLA Y PESO",IF(AND(OR(Tabla1[[#This Row],[MOMENTO EN QUE SE REALIZA EL PESO AL INGRESO A CPN]]="PREGESTACIÓN",NZ129="Menor"),CI129&lt;18.5),"BAJO PESO",IF(AND(OR(Tabla1[[#This Row],[MOMENTO EN QUE SE REALIZA EL PESO AL INGRESO A CPN]]="PREGESTACIÓN",NZ129="Menor"),CI129&lt;25),"NORMAL",IF(AND(OR(Tabla1[[#This Row],[MOMENTO EN QUE SE REALIZA EL PESO AL INGRESO A CPN]]="PREGESTACIÓN",NZ129="Menor"),CI129&lt;30),"SOBREPESO",IF(AND(OR(Tabla1[[#This Row],[MOMENTO EN QUE SE REALIZA EL PESO AL INGRESO A CPN]]="PREGESTACIÓN",NZ129="Menor"),CI129&gt;=30,CI129&lt;50),"OBESIDAD",IF(AND(BS129&gt;0,Tabla1[[#This Row],[MOMENTO EN QUE SE REALIZA EL PESO AL INGRESO A CPN]]="GESTACIÓN"),HLOOKUP(NZ129,$OA$2:PH129,NY129),""))))))))</f>
        <v>#REF!</v>
      </c>
      <c r="CK129" s="212">
        <f t="shared" si="260"/>
        <v>45141</v>
      </c>
      <c r="CL129" s="21">
        <v>64</v>
      </c>
      <c r="CM129" s="214">
        <f t="shared" si="261"/>
        <v>28.827530291428314</v>
      </c>
      <c r="CN129" s="216">
        <f t="shared" si="262"/>
        <v>34</v>
      </c>
      <c r="CO129" s="216" t="e">
        <f>IF(PI129="","",IF(PI129&gt;0,HLOOKUP(PI129,$PJ$2:QQ129,NY129),""))</f>
        <v>#REF!</v>
      </c>
      <c r="CP129" s="21">
        <v>34</v>
      </c>
      <c r="CQ129" s="216" t="e">
        <f>IF(QR129="Menor","NO APLICA-MENOR 13 SEM",IF(AND(CC129="SI",CN129&gt;23),"NO APLICA- GEMELAR",IF(QR129="","",IF(QR129&gt;0,HLOOKUP(QR129,$QS$2:RU129,NY129),""))))</f>
        <v>#REF!</v>
      </c>
      <c r="CR129" s="21"/>
      <c r="CS129" s="21"/>
      <c r="CT129" s="217" t="str">
        <f>IF(R129="","",IF(AND(BS129&gt;1,BS129&lt;12,Tabla1[[#This Row],[T.A. SISTOLICA - ANTES DE SEMANA 12]]="",Tabla1[[#This Row],[T.A. DIASTOLICA - ANTES DE SEMANA 12]]=""),"REGISTRE DATO TA ANTES SEMANA 12",IF(AND(BS129&gt;11,BS129&lt;43,Tabla1[[#This Row],[T.A. SISTOLICA - ANTES DE SEMANA 12]]="",Tabla1[[#This Row],[T.A. DIASTOLICA - ANTES DE SEMANA 12]]=""),"NO APLICA REGISTRO TA-INGRESO TARDIO",IF(AND(OR(O129&gt;0,R129&gt;0),OR(CR129&gt;=140,CS129&gt;=90)),"DEFINIR ESTADIO HTA",IF(AND(OR(O129&gt;0,R129&gt;0),AND(CR129&gt;120,CR129&lt;=139)),"PRE HTA SEGUIMIENTO",IF(AND(OR(O129&gt;0,R129&gt;0),AND(CS129&gt;80,CS129&lt;=89)),"PRE HTA SEGUIMIENTO",IF(AND(OR(O129&gt;0,R129&gt;0),AND(CR129&gt;=80,CR129&lt;=120)),"APARENTEMENTE NORMAL",IF(AND(OR(O129&gt;0,R129&gt;0),AND(CS129&gt;=50,CS129&lt;=80)),"APARENTEMENTE NORMAL",IF(AND(OR(O129&gt;0,R129&gt;0),AND(CR129&gt;1,CR129&lt;=70),AND(CS129&gt;1,CS129&lt;=40)),"HIPOTENSIÓN","")))))))))</f>
        <v>NO APLICA REGISTRO TA-INGRESO TARDIO</v>
      </c>
      <c r="CU129" s="21"/>
      <c r="CV129" s="21"/>
      <c r="CW129" s="217" t="str">
        <f ca="1">IF(R129="","",IF(AND(CN129&gt;19,CN129&lt;27,Tabla1[[#This Row],[T.A. SISTOLICA (Entre semana 20 y 26)]]="",Tabla1[[#This Row],[T.A. DIATOLICA (Entre semana 20 y 26)]]=""),"ACUDE A CONTROL SEM 20 A 26 REGISTRE TA AHORA",IF(AND(BS129&gt;1,BS129&lt;27,BU129&gt;19,Tabla1[[#This Row],[T.A. SISTOLICA (Entre semana 20 y 26)]]="",Tabla1[[#This Row],[T.A. DIATOLICA (Entre semana 20 y 26)]]=""),"COMPLETE REGISTRO TA CONTROL SEM 20 A26 ",IF(AND(BS129&gt;26,BS129&lt;43,Tabla1[[#This Row],[T.A. SISTOLICA (Entre semana 20 y 26)]]="",Tabla1[[#This Row],[T.A. DIATOLICA (Entre semana 20 y 26)]]=""),"NO APLICA REGISTRO TA-INGRESO TARDIO",IF(AND(OR(O129&gt;0,R129&gt;0),OR(CU129&gt;=140,CV129&gt;=90)),"ALTO RIESGO PREECLAMPSIA,DEFINIR ESTADIO HTA",IF(AND(OR(O129&gt;0,R129&gt;0),AND(CU129&gt;120,CU129&lt;=139)),"PRE HTA SEGUIMIENTO,RIESGO HIPERTENSION INDUCIDA POR EL EMBARAZO",IF(AND(OR(O129&gt;0,R129&gt;0),AND(CV129&gt;80,CV129&lt;=89)),"PRE HTA SEGUIMIENTO, RIESGO HIPERTENSION INDUCIDA POR EL EMBARAZO",IF(AND(OR(O129&lt;&gt;"",R129&lt;&gt;""),CS129&lt;&gt;"",CV129&lt;&gt;"",CS129&lt;=CV129),"VIGILAR CIFRAS PRESION ARTERIAL",IF(AND(OR(O129&gt;0,R129&gt;0),AND(CU129&gt;120,CU129&lt;=139)),"PRE HTA SEGUIMIENTO",IF(AND(OR(O129&gt;0,R129&gt;0),AND(CU129&gt;1,CU129&lt;=70),AND(CV129&gt;1,CV129&lt;=40)),"HIPOTENSIÓN",IF(AND(OR(O129&lt;&gt;"",R129&lt;&gt;""),CS129&lt;&gt;"",CV129&lt;&gt;"",CS129&gt;CV129),"APARENTEMENTE NORMAL",IF(AND(OR(O129&gt;0,R129&gt;0),AND(CU129&gt;=80,CU129&lt;=120)),"APARENTEMENTE NORMAL",IF(AND(OR(O129&gt;0,R129&gt;0),AND(CV129&gt;=50,CV129&lt;=80)),"APARENTEMENTE NORMAL","")))))))))))))</f>
        <v xml:space="preserve">COMPLETE REGISTRO TA CONTROL SEM 20 A26 </v>
      </c>
      <c r="CX129" s="21">
        <v>100</v>
      </c>
      <c r="CY129" s="21">
        <v>70</v>
      </c>
      <c r="CZ129" s="216" t="str">
        <f t="shared" si="499"/>
        <v>APARENTEMENTE NORMAL</v>
      </c>
      <c r="DA129" s="21">
        <v>100</v>
      </c>
      <c r="DB129" s="21">
        <v>70</v>
      </c>
      <c r="DC129" s="217" t="str">
        <f t="shared" si="264"/>
        <v>APARENTEMENTE NORMAL</v>
      </c>
      <c r="DD129" s="22">
        <v>44995</v>
      </c>
      <c r="DE129" s="22">
        <v>44995</v>
      </c>
      <c r="DF129" s="22">
        <v>45043</v>
      </c>
      <c r="DG129" s="22"/>
      <c r="DH129" s="22"/>
      <c r="DI129" s="22">
        <v>45141</v>
      </c>
      <c r="DJ129" s="22"/>
      <c r="DK129" s="22"/>
      <c r="DL129" s="22"/>
      <c r="DM129" s="22"/>
      <c r="DN129" s="22"/>
      <c r="DO129" s="22"/>
      <c r="DP129" s="22"/>
      <c r="DQ129" s="22"/>
      <c r="DR129" s="28">
        <v>1</v>
      </c>
      <c r="DS129" s="22"/>
      <c r="DT129" s="22"/>
      <c r="DU129" s="216" t="str">
        <f t="shared" ca="1" si="439"/>
        <v>CONCERTAR PLAN DE PARTO INMEDIATO</v>
      </c>
      <c r="DV129" s="226" t="str">
        <f t="shared" si="440"/>
        <v>ACTIVA INGRESO A CPN</v>
      </c>
      <c r="DW129"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29" s="216" t="e">
        <f t="shared" ca="1" si="266"/>
        <v>#REF!</v>
      </c>
      <c r="DY129" s="212">
        <f>IF(R129="","",IF(R129&gt;0,MAX(Tabla1[[#This Row],[FECHA C2]:[FECHA C13]],Tabla1[[#This Row],[FECHA CONSULTA PRIMERA VEZ PROGRAMA CPN ]])))</f>
        <v>45141</v>
      </c>
      <c r="DZ129" s="216">
        <f t="shared" si="267"/>
        <v>34</v>
      </c>
      <c r="EA129" s="222">
        <f>IF(R129&gt;0,SUM(COUNTA(DF129:DQ129)+COUNTA(Tabla1[[#This Row],[FECHA CONSULTA PRIMERA VEZ PROGRAMA CPN ]])),"")</f>
        <v>3</v>
      </c>
      <c r="EB129" s="222" t="str">
        <f t="shared" si="268"/>
        <v>NO</v>
      </c>
      <c r="EC129" s="214">
        <f t="shared" si="269"/>
        <v>8</v>
      </c>
      <c r="ED129" s="227">
        <f t="shared" si="270"/>
        <v>0.375</v>
      </c>
      <c r="EE129" s="22">
        <v>44995</v>
      </c>
      <c r="EF129" s="22">
        <v>44995</v>
      </c>
      <c r="EG129" s="22">
        <v>44995</v>
      </c>
      <c r="EH129" s="22"/>
      <c r="EI129" s="22">
        <v>44995</v>
      </c>
      <c r="EJ129" s="22">
        <v>45065</v>
      </c>
      <c r="EK129" s="22"/>
      <c r="EL129" s="21"/>
      <c r="EM129" s="21">
        <v>14.9</v>
      </c>
      <c r="EN129" s="22">
        <v>44995</v>
      </c>
      <c r="EO129" s="222">
        <f t="shared" si="271"/>
        <v>14.099999999999584</v>
      </c>
      <c r="EP129" s="214" t="str">
        <f t="shared" si="272"/>
        <v>NO DAR SULFATO FERROSO</v>
      </c>
      <c r="EQ129" s="216" t="str">
        <f t="shared" si="273"/>
        <v>II TRIM</v>
      </c>
      <c r="ER129" s="24"/>
      <c r="ES129" s="22"/>
      <c r="ET129" s="29" t="str">
        <f t="shared" ca="1" si="441"/>
        <v>TOMA DE HEMOGLOBINA TARDÍA</v>
      </c>
      <c r="EU129" s="25" t="str">
        <f t="shared" si="275"/>
        <v/>
      </c>
      <c r="EV129" s="24" t="s">
        <v>1510</v>
      </c>
      <c r="EW129" s="32">
        <v>44995</v>
      </c>
      <c r="EX129" s="22"/>
      <c r="EY129" s="29">
        <f t="shared" si="454"/>
        <v>14.099999999999584</v>
      </c>
      <c r="EZ129" s="25" t="str">
        <f t="shared" si="455"/>
        <v>SIN RIESGO DE ISOINMUNIZACIÓN</v>
      </c>
      <c r="FA129" s="21">
        <v>67</v>
      </c>
      <c r="FB129" s="22">
        <v>44995</v>
      </c>
      <c r="FC129" s="29">
        <f t="shared" si="276"/>
        <v>14.099999999999584</v>
      </c>
      <c r="FD129" s="29"/>
      <c r="FE129" s="29"/>
      <c r="FF129" s="29"/>
      <c r="FG129" s="21" t="str">
        <f t="shared" ca="1" si="277"/>
        <v/>
      </c>
      <c r="FH129" s="31"/>
      <c r="FI129" s="29" t="str">
        <f t="shared" si="278"/>
        <v>TOMAR EXAMEN</v>
      </c>
      <c r="FJ129" s="22" t="s">
        <v>867</v>
      </c>
      <c r="FK129" s="22">
        <v>44995</v>
      </c>
      <c r="FL129" s="29" t="str">
        <f t="shared" si="279"/>
        <v>REGISTRAR EN II TRIMESTRE</v>
      </c>
      <c r="FM129" s="22"/>
      <c r="FN129" s="32"/>
      <c r="FO129" s="29" t="str">
        <f t="shared" ca="1" si="442"/>
        <v>PIERDE TOMA DE TAMIZAJE</v>
      </c>
      <c r="FP129" s="22"/>
      <c r="FQ129" s="32"/>
      <c r="FR129" s="29" t="str">
        <f t="shared" ca="1" si="443"/>
        <v>TOMA INMEDIATA DE TAMIZAJE</v>
      </c>
      <c r="FS129" s="22"/>
      <c r="FT129" s="32"/>
      <c r="FU129" s="29" t="str">
        <f>IF(AND(FJ129="",FM129="",FP129="",FS129=""),"",IF(OR(OR(Tabla1[[#This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29" s="28"/>
      <c r="FW129" s="22"/>
      <c r="FX129" s="29" t="str">
        <f t="shared" si="280"/>
        <v>TOMAR EXAMEN</v>
      </c>
      <c r="FY129" s="22">
        <v>44995</v>
      </c>
      <c r="FZ129" s="22">
        <v>44995</v>
      </c>
      <c r="GA129" s="29" t="str">
        <f t="shared" si="498"/>
        <v>REGISTRAR EN II TRIMESTRE</v>
      </c>
      <c r="GB129" s="22"/>
      <c r="GC129" s="22"/>
      <c r="GD129" s="29" t="str">
        <f t="shared" ca="1" si="491"/>
        <v>PIERDE TOMA DE TAMIZAJE</v>
      </c>
      <c r="GE129" s="22"/>
      <c r="GF129" s="22"/>
      <c r="GG129" s="29" t="str">
        <f t="shared" ca="1" si="445"/>
        <v>TOMA INMEDIATA DE TAMIZAJE</v>
      </c>
      <c r="GH129" s="22"/>
      <c r="GI129" s="29"/>
      <c r="GJ129" s="22"/>
      <c r="GK129" s="22"/>
      <c r="GL129" s="22"/>
      <c r="GM129" s="22"/>
      <c r="GN129" s="28" t="s">
        <v>869</v>
      </c>
      <c r="GO129" s="22">
        <v>44995</v>
      </c>
      <c r="GP129" s="29">
        <f t="shared" si="283"/>
        <v>14.099999999999584</v>
      </c>
      <c r="GQ129" s="28" t="s">
        <v>880</v>
      </c>
      <c r="GR129" s="28" t="s">
        <v>869</v>
      </c>
      <c r="GS129" s="22" t="str">
        <f t="shared" si="458"/>
        <v>SE EXCLUYE INFECCION</v>
      </c>
      <c r="GT129" s="22">
        <v>44995</v>
      </c>
      <c r="GU129" s="29">
        <f t="shared" si="285"/>
        <v>12.428571428571429</v>
      </c>
      <c r="GV129" s="21" t="str">
        <f t="shared" si="286"/>
        <v>I TRIM</v>
      </c>
      <c r="GW129" s="28" t="s">
        <v>869</v>
      </c>
      <c r="GX129" s="30"/>
      <c r="GY129" s="21"/>
      <c r="GZ129" s="21"/>
      <c r="HA129" s="21"/>
      <c r="HB129" s="21"/>
      <c r="HC129" s="21"/>
      <c r="HD129" s="21"/>
      <c r="HE129" s="21"/>
      <c r="HF129" s="22"/>
      <c r="HG129" s="22" t="str">
        <f>IF(OR(O129&gt;0,R129&gt;0),CONCATENATE(IF(Tabla1[[#This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29" s="22" t="e">
        <f t="shared" si="287"/>
        <v>#REF!</v>
      </c>
      <c r="HI129" s="22" t="e">
        <f t="shared" ca="1" si="288"/>
        <v>#REF!</v>
      </c>
      <c r="HJ129" s="21" t="str">
        <f t="shared" ca="1" si="289"/>
        <v>************************RIESGO POR EDAD***************</v>
      </c>
      <c r="HK129" s="21" t="str">
        <f t="shared" si="290"/>
        <v>SIN ANTECEDENTES DE RIESGO</v>
      </c>
      <c r="HL129" s="24" t="str">
        <f t="shared" si="291"/>
        <v>APARENTEMENTE NORMAL</v>
      </c>
      <c r="HM129" s="21" t="e">
        <f t="shared" ca="1" si="292"/>
        <v>#REF!</v>
      </c>
      <c r="HN129" s="30" t="str">
        <f t="shared" si="446"/>
        <v>ACTIVA INGRESO A CPN</v>
      </c>
      <c r="HO129" s="21"/>
      <c r="HP129" s="21" t="s">
        <v>854</v>
      </c>
      <c r="HQ129" s="21">
        <v>45043</v>
      </c>
      <c r="HR129" s="21" t="str">
        <f>IF(R129="","",IF(Tabla1[[#This Row],[ALARMA FACTORES DE RIESGO COMPLICACIONES HIPERTENSIVAS3]]="SIN ANTECEDENTES DE RIESGO","No Aplica para suministro de ASA",IF(AND(Tabla1[[#This Row],[FECHA INICIO DE SUMINISTRO DE ASA]]&gt;0,RV129&lt;12),"Inicia ASA ANTES de Sem 12",IF(AND(RV129&gt;11,RV129&lt;17,OR(HK129="RIESGO ALTO DE COMPLICACIONES HIPERTENSIVAS VER MANEJO GUIA SUMINISTRO ASA Y CALCIO",HK129="RIESGO MODERADO (2 O MAS CRITERIOS) VER MANEJO GUIA SUMINISTRO ASA Y CALCIO")),"Inicio oportuno de ASA",IF(AND(RV129&gt;12,OR(HK129="RIESGO ALTO DE COMPLICACIONES HIPERTENSIVAS VER MANEJO GUIA SUMINISTRO ASA Y CALCIO",HK129="RIESGO MODERADO (2 O MAS CRITERIOS) VER MANEJO GUIA SUMINISTRO ASA Y CALCIO")),"Inicio no oportuno mayor a 16 semanas",IF(AND(BU129&lt;12,OR(HK129="RIESGO ALTO DE COMPLICACIONES HIPERTENSIVAS VER MANEJO GUIA SUMINISTRO ASA Y CALCIO",HK129="RIESGO MODERADO (2 O MAS CRITERIOS) VER MANEJO GUIA SUMINISTRO ASA Y CALCIO")),"Pendiente Inicio de ASA a la semana 12",IF(AND(BU129&gt;11,BU129&lt;17,OR(HK129="RIESGO ALTO DE COMPLICACIONES HIPERTENSIVAS VER MANEJO GUIA SUMINISTRO ASA Y CALCIO",HK129="RIESGO MODERADO (2 O MAS CRITERIOS) VER MANEJO GUIA SUMINISTRO ASA Y CALCIO")),"Iniciar de inmediato ASA",IF(AND(BU129&gt;16,OR(HK129="RIESGO ALTO DE COMPLICACIONES HIPERTENSIVAS VER MANEJO GUIA SUMINISTRO ASA Y CALCIO",HK129="RIESGO MODERADO (2 O MAS CRITERIOS) VER MANEJO GUIA SUMINISTRO ASA Y CALCIO")),"Pierde Oportunidad, Inicio tardío de ASA","XXXXX"))))))))</f>
        <v>No Aplica para suministro de ASA</v>
      </c>
      <c r="HS129" s="22">
        <v>45043</v>
      </c>
      <c r="HT129" s="22" t="s">
        <v>870</v>
      </c>
      <c r="HU129" s="22"/>
      <c r="HV129" s="22"/>
      <c r="HW129" s="22">
        <v>45043</v>
      </c>
      <c r="HX129" s="22" t="s">
        <v>870</v>
      </c>
      <c r="HY129" s="22"/>
      <c r="HZ129" s="28" t="str">
        <f t="shared" si="293"/>
        <v>PENDIENTE CONSULTA</v>
      </c>
      <c r="IA129" s="26"/>
      <c r="IB129" s="26"/>
      <c r="IC129" s="111">
        <v>45101</v>
      </c>
      <c r="ID129" s="22">
        <v>45101</v>
      </c>
      <c r="IE129" s="22" t="str">
        <f t="shared" ca="1" si="294"/>
        <v>VACUNA APLICADA ENTRE SEMANA 27 Y EL PARTO</v>
      </c>
      <c r="IF129" s="22">
        <v>45040</v>
      </c>
      <c r="IG129" s="22">
        <f t="shared" si="295"/>
        <v>45176.3</v>
      </c>
      <c r="IH129" s="29">
        <f t="shared" ca="1" si="296"/>
        <v>-55.69999999999709</v>
      </c>
      <c r="II129" s="22" t="str">
        <f t="shared" ca="1" si="297"/>
        <v>POSIBLEMENTE NACIO</v>
      </c>
      <c r="IJ129" s="22"/>
      <c r="IK129" s="21"/>
      <c r="IL129" s="21"/>
      <c r="IM129" s="34"/>
      <c r="IN129" s="349"/>
      <c r="IO129" s="21"/>
      <c r="IP129" s="29" t="str">
        <f t="shared" si="490"/>
        <v/>
      </c>
      <c r="IQ129" s="35"/>
      <c r="IR129" s="21"/>
      <c r="IS129" s="21"/>
      <c r="IT129" s="21"/>
      <c r="IU129" s="21"/>
      <c r="IV129" s="21"/>
      <c r="IW129" s="21"/>
      <c r="IX129" s="21"/>
      <c r="IY129" s="21"/>
      <c r="IZ129" s="21"/>
      <c r="JA129" s="21"/>
      <c r="JB129" s="30"/>
      <c r="JC129" s="21"/>
      <c r="JD129" s="36"/>
      <c r="JE129" s="21" t="str">
        <f t="shared" si="492"/>
        <v/>
      </c>
      <c r="JF129" s="30"/>
      <c r="JG129" s="21"/>
      <c r="JH129" s="21"/>
      <c r="JI129" s="21"/>
      <c r="JJ129" s="30"/>
      <c r="JK129" s="22"/>
      <c r="JL129" s="22"/>
      <c r="JM129" s="21"/>
      <c r="JN129" s="36"/>
      <c r="JO129" s="21" t="str">
        <f t="shared" si="493"/>
        <v/>
      </c>
      <c r="JP129" s="22"/>
      <c r="JQ129" s="21"/>
      <c r="JR129" s="21"/>
      <c r="JS129" s="21"/>
      <c r="JT129" s="30"/>
      <c r="JU129" s="22"/>
      <c r="JV129" s="22"/>
      <c r="JW129" s="33"/>
      <c r="JX129" s="28" t="str">
        <f t="shared" si="494"/>
        <v/>
      </c>
      <c r="JY129" s="33"/>
      <c r="JZ129" s="28" t="str">
        <f t="shared" si="495"/>
        <v/>
      </c>
      <c r="KA129" s="21"/>
      <c r="KB129" s="21"/>
      <c r="KC129" s="21"/>
      <c r="KD129" s="37"/>
      <c r="KE129" s="28"/>
      <c r="KF129" s="28"/>
      <c r="KG129" s="28"/>
      <c r="KH129" s="39"/>
      <c r="KI129" s="39"/>
      <c r="KJ129" s="66"/>
      <c r="KK129" s="39"/>
      <c r="KL129" s="39"/>
      <c r="KM129" s="66"/>
      <c r="KN129" s="39"/>
      <c r="KO129" s="39"/>
      <c r="KP129" s="39"/>
      <c r="KQ129" s="39"/>
      <c r="KR129" s="39"/>
      <c r="KS129" s="39"/>
      <c r="KT129" s="39"/>
      <c r="KU129" s="38"/>
      <c r="KV129" s="38"/>
      <c r="KW129" s="38"/>
      <c r="KX129" s="38"/>
      <c r="KY129" s="38"/>
      <c r="KZ129" s="38"/>
      <c r="LA129" s="38"/>
      <c r="LB129" s="38"/>
      <c r="LC129" s="38"/>
      <c r="LD129" s="38"/>
      <c r="LE129" s="38"/>
      <c r="LF129" s="38"/>
      <c r="LG129" s="38"/>
      <c r="LH129" s="38"/>
      <c r="LI129" s="38"/>
      <c r="LJ129" s="38"/>
      <c r="LK129" s="38"/>
      <c r="LL129" s="38"/>
      <c r="LM129" s="38"/>
      <c r="LN129" s="38"/>
      <c r="LO129" s="38"/>
      <c r="LP129" s="38"/>
      <c r="LQ129" s="38"/>
      <c r="LR129" s="38"/>
      <c r="LS129" s="38"/>
      <c r="LT129" s="38"/>
      <c r="LU129" s="38"/>
      <c r="LV129" s="38"/>
      <c r="LW129" s="38"/>
      <c r="LX129" s="38"/>
      <c r="LY129" s="38"/>
      <c r="LZ129" s="38"/>
      <c r="MA129" s="38"/>
      <c r="MB129" s="38"/>
      <c r="MC129" s="38"/>
      <c r="MD129" s="38"/>
      <c r="ME129" s="38"/>
      <c r="MF129" s="38"/>
      <c r="MG129" s="38"/>
      <c r="MH129" s="43">
        <f t="shared" si="459"/>
        <v>0</v>
      </c>
      <c r="MI129" s="43" t="str">
        <f t="shared" si="460"/>
        <v/>
      </c>
      <c r="MJ129" s="43" t="str">
        <f t="shared" si="461"/>
        <v/>
      </c>
      <c r="MK129" s="43">
        <f t="shared" si="462"/>
        <v>0</v>
      </c>
      <c r="ML12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29" s="43">
        <f t="shared" si="463"/>
        <v>14.099999999999584</v>
      </c>
      <c r="MN129" s="43">
        <f t="shared" si="464"/>
        <v>3</v>
      </c>
      <c r="MO129" s="43">
        <f t="shared" si="465"/>
        <v>2023</v>
      </c>
      <c r="MP129" s="43" t="str">
        <f t="shared" si="466"/>
        <v>I TRIMESTRE AÑO</v>
      </c>
      <c r="MQ129" s="43">
        <f t="shared" si="467"/>
        <v>36.949737187910642</v>
      </c>
      <c r="MR129" s="43">
        <f t="shared" si="468"/>
        <v>2</v>
      </c>
      <c r="MS129" s="43" t="str">
        <f t="shared" si="469"/>
        <v xml:space="preserve"> DE 35 A 39 AÑOS</v>
      </c>
      <c r="MT129" s="43">
        <f t="shared" si="470"/>
        <v>0</v>
      </c>
      <c r="MU129" s="43">
        <f t="shared" si="471"/>
        <v>0</v>
      </c>
      <c r="MV129" s="43">
        <f t="shared" si="472"/>
        <v>0</v>
      </c>
      <c r="MW129" s="43">
        <f t="shared" si="473"/>
        <v>0</v>
      </c>
      <c r="MX129" s="43" t="str">
        <f t="shared" si="474"/>
        <v/>
      </c>
      <c r="MY129" s="43" t="str">
        <f t="shared" ca="1" si="496"/>
        <v/>
      </c>
      <c r="MZ129" s="43" t="str">
        <f t="shared" si="475"/>
        <v/>
      </c>
      <c r="NA129" s="43" t="str">
        <f t="shared" si="476"/>
        <v/>
      </c>
      <c r="NB129" s="43" t="str">
        <f t="shared" si="477"/>
        <v/>
      </c>
      <c r="NC129" s="43" t="str">
        <f t="shared" si="478"/>
        <v/>
      </c>
      <c r="ND129" s="43">
        <f t="shared" ca="1" si="479"/>
        <v>2</v>
      </c>
      <c r="NE129" s="43">
        <f>IF(OR(O129&gt;0,R129&gt;0),SUM(COUNTIF(Tabla1[[#This Row],[AÑOS AL INICIO5 CPN]],"&gt;=40"),COUNTIF(AS129,"0"),COUNTIF(AR129,"SI"),COUNTIF(CC129,"SI"),COUNTIF(BQ129,"&gt;119"),COUNTIF(CI129,"&gt;=35")),"")</f>
        <v>0</v>
      </c>
      <c r="NF129" s="43">
        <f t="shared" si="480"/>
        <v>29.242857142856728</v>
      </c>
      <c r="NG129" s="43">
        <f t="shared" si="481"/>
        <v>0</v>
      </c>
      <c r="NH129" s="43">
        <f t="shared" si="482"/>
        <v>98.7</v>
      </c>
      <c r="NI129"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CPN",P129="NO"),"Z",IF(AND(Tabla1[[#This Row],[CITA PROXIMO CONTROL]]="CITA MANUAL",Tabla1[[#This Row],[GESTANTES ACTUALES]]="ACTIVA INGRESO A CPN"),"W",IF(AND(Tabla1[[#This Row],[GESTANTES ACTUALES]]="SALIO PROGRAMA",IN129=""),"S",IF(AND(Tabla1[[#This Row],[CITA PROXIMO CONTROL]]&gt;0,IN129=""),(Tabla1[[#This Row],[CITA PROXIMO CONTROL]]-TODAY()),"SD"))))))))</f>
        <v>#REF!</v>
      </c>
      <c r="NJ129" s="43">
        <f>MONTH(Tabla1[[#This Row],[FECHA DE SALIDA  DEL PROGRAMA]])</f>
        <v>1</v>
      </c>
      <c r="NK129" s="43">
        <f>YEAR(Tabla1[[#This Row],[FECHA DE SALIDA  DEL PROGRAMA]])</f>
        <v>1900</v>
      </c>
      <c r="NL129" s="43">
        <f t="shared" si="483"/>
        <v>70</v>
      </c>
      <c r="NM129" s="43" t="str">
        <f t="shared" si="501"/>
        <v>NO</v>
      </c>
      <c r="NN129" s="43" t="str">
        <f ca="1">IF(AND(O129&gt;0,R129=""),"NO CPN",IF(AND(O129="",R129=""),"",IF(AND(R129&gt;0,Tabla1[[#This Row],[SEMANAS DE GESTACION ACTUALIZADAS]]&lt;=12),"NO APLICA",IF(AND(FH129&lt;&gt;"",FN129&lt;&gt;""),"SI","NO"))))</f>
        <v>NO</v>
      </c>
      <c r="NO129" s="43" t="str">
        <f ca="1">IF(AND(O129&gt;0,R129=""),"NO CPN",IF(AND(O129="",R129=""),"",IF(AND(R129&gt;0,Tabla1[[#This Row],[SEMANAS DE GESTACION ACTUALIZADAS]]&lt;=27),"NO APLICA",IF(AND(ES129&lt;&gt;"",FQ129&lt;&gt;"",GF129&lt;&gt;""),"SI","NO"))))</f>
        <v>NO</v>
      </c>
      <c r="NP129" s="204" t="str">
        <f t="shared" si="484"/>
        <v>II TRIM</v>
      </c>
      <c r="NQ129" s="21" t="str">
        <f t="shared" si="500"/>
        <v/>
      </c>
      <c r="NR129" s="21" t="str">
        <f t="shared" ca="1" si="497"/>
        <v>REVISAR FUM O FECHA SALIDA PROGRAMA</v>
      </c>
      <c r="NS129" s="205">
        <f t="shared" ca="1" si="485"/>
        <v>0</v>
      </c>
      <c r="NT129" s="21">
        <f t="shared" ca="1" si="486"/>
        <v>0</v>
      </c>
      <c r="NU129" s="21" t="str">
        <f t="shared" ca="1" si="487"/>
        <v>POR DEFINIR</v>
      </c>
      <c r="NV129" s="21" t="str">
        <f t="shared" ca="1" si="488"/>
        <v>POR DEFINIR</v>
      </c>
      <c r="NW129" s="206" t="str">
        <f>IF(AND(O129="",R129=""),"",IF(OR(AND(Tabla1[[#This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29" s="207" t="str">
        <f t="shared" ca="1" si="489"/>
        <v>VACUNADA</v>
      </c>
      <c r="NY129" s="43">
        <f>ROW(Tabla1[[#This Row],['# DE TAMIZAJES SIFILIS TOMADOS ]])</f>
        <v>129</v>
      </c>
      <c r="NZ129" s="43">
        <f t="shared" si="334"/>
        <v>14</v>
      </c>
      <c r="OA129" s="43" t="str">
        <f t="shared" si="335"/>
        <v/>
      </c>
      <c r="OB129" s="43" t="str">
        <f t="shared" si="336"/>
        <v/>
      </c>
      <c r="OC129" s="43" t="str">
        <f t="shared" si="337"/>
        <v/>
      </c>
      <c r="OD129" s="43" t="str">
        <f t="shared" si="338"/>
        <v/>
      </c>
      <c r="OE129" s="43" t="str">
        <f t="shared" si="339"/>
        <v/>
      </c>
      <c r="OF129" s="43" t="str">
        <f t="shared" si="340"/>
        <v>NORMAL</v>
      </c>
      <c r="OG129" s="43" t="str">
        <f t="shared" si="341"/>
        <v/>
      </c>
      <c r="OH129" s="43" t="str">
        <f t="shared" si="342"/>
        <v/>
      </c>
      <c r="OI129" s="43" t="str">
        <f t="shared" si="343"/>
        <v/>
      </c>
      <c r="OJ129" s="43" t="str">
        <f t="shared" si="344"/>
        <v/>
      </c>
      <c r="OK129" s="43" t="str">
        <f t="shared" si="345"/>
        <v/>
      </c>
      <c r="OL129" s="43" t="str">
        <f t="shared" si="346"/>
        <v/>
      </c>
      <c r="OM129" s="43" t="str">
        <f t="shared" si="347"/>
        <v/>
      </c>
      <c r="ON129" s="43" t="str">
        <f t="shared" si="348"/>
        <v/>
      </c>
      <c r="OO129" s="43" t="str">
        <f t="shared" si="349"/>
        <v/>
      </c>
      <c r="OP129" s="43" t="str">
        <f t="shared" si="350"/>
        <v/>
      </c>
      <c r="OQ129" s="43" t="str">
        <f t="shared" si="351"/>
        <v/>
      </c>
      <c r="OR129" s="43" t="str">
        <f t="shared" si="352"/>
        <v/>
      </c>
      <c r="OS129" s="43" t="str">
        <f t="shared" si="353"/>
        <v/>
      </c>
      <c r="OT129" s="43" t="str">
        <f t="shared" si="354"/>
        <v/>
      </c>
      <c r="OU129" s="43" t="str">
        <f t="shared" si="355"/>
        <v/>
      </c>
      <c r="OV129" s="110" t="str">
        <f t="shared" si="356"/>
        <v/>
      </c>
      <c r="OW129" s="43" t="str">
        <f t="shared" si="357"/>
        <v/>
      </c>
      <c r="OX129" s="43" t="str">
        <f t="shared" si="358"/>
        <v/>
      </c>
      <c r="OY129" s="43" t="str">
        <f t="shared" si="359"/>
        <v/>
      </c>
      <c r="OZ129" s="43" t="str">
        <f t="shared" si="360"/>
        <v/>
      </c>
      <c r="PA129" s="43" t="str">
        <f t="shared" si="361"/>
        <v/>
      </c>
      <c r="PB129" s="43" t="str">
        <f t="shared" si="362"/>
        <v/>
      </c>
      <c r="PC129" s="43" t="str">
        <f t="shared" si="363"/>
        <v/>
      </c>
      <c r="PD129" s="43" t="str">
        <f t="shared" si="364"/>
        <v/>
      </c>
      <c r="PE129" s="43" t="str">
        <f t="shared" si="365"/>
        <v/>
      </c>
      <c r="PF129" s="43" t="str">
        <f t="shared" si="366"/>
        <v/>
      </c>
      <c r="PG129" s="43" t="str">
        <f t="shared" si="367"/>
        <v/>
      </c>
      <c r="PH129" s="43" t="str">
        <f t="shared" si="368"/>
        <v/>
      </c>
      <c r="PI129" s="43">
        <f t="shared" si="369"/>
        <v>34</v>
      </c>
      <c r="PJ129" s="43" t="str">
        <f t="shared" si="370"/>
        <v/>
      </c>
      <c r="PK129" s="43" t="str">
        <f t="shared" si="371"/>
        <v/>
      </c>
      <c r="PL129" s="43" t="str">
        <f t="shared" si="372"/>
        <v/>
      </c>
      <c r="PM129" s="43" t="str">
        <f t="shared" si="373"/>
        <v/>
      </c>
      <c r="PN129" s="43" t="str">
        <f t="shared" si="374"/>
        <v/>
      </c>
      <c r="PO129" s="43" t="str">
        <f t="shared" si="375"/>
        <v/>
      </c>
      <c r="PP129" s="43" t="str">
        <f t="shared" si="376"/>
        <v/>
      </c>
      <c r="PQ129" s="43" t="str">
        <f t="shared" si="377"/>
        <v/>
      </c>
      <c r="PR129" s="43" t="str">
        <f t="shared" si="378"/>
        <v/>
      </c>
      <c r="PS129" s="43" t="str">
        <f t="shared" si="379"/>
        <v/>
      </c>
      <c r="PT129" s="43" t="str">
        <f t="shared" si="380"/>
        <v/>
      </c>
      <c r="PU129" s="43" t="str">
        <f t="shared" si="381"/>
        <v/>
      </c>
      <c r="PV129" s="43" t="str">
        <f t="shared" si="382"/>
        <v/>
      </c>
      <c r="PW129" s="43" t="str">
        <f t="shared" si="383"/>
        <v/>
      </c>
      <c r="PX129" s="43" t="str">
        <f t="shared" si="384"/>
        <v/>
      </c>
      <c r="PY129" s="43" t="str">
        <f t="shared" si="385"/>
        <v/>
      </c>
      <c r="PZ129" s="43" t="str">
        <f t="shared" si="386"/>
        <v/>
      </c>
      <c r="QA129" s="43" t="str">
        <f t="shared" si="387"/>
        <v/>
      </c>
      <c r="QB129" s="43" t="str">
        <f t="shared" si="388"/>
        <v/>
      </c>
      <c r="QC129" s="43" t="str">
        <f t="shared" si="389"/>
        <v/>
      </c>
      <c r="QD129" s="43" t="str">
        <f t="shared" si="390"/>
        <v/>
      </c>
      <c r="QE129" s="43" t="str">
        <f t="shared" si="391"/>
        <v/>
      </c>
      <c r="QF129" s="43" t="str">
        <f t="shared" si="392"/>
        <v/>
      </c>
      <c r="QG129" s="43" t="str">
        <f t="shared" si="393"/>
        <v/>
      </c>
      <c r="QH129" s="43" t="str">
        <f t="shared" si="394"/>
        <v/>
      </c>
      <c r="QI129" s="43" t="str">
        <f t="shared" si="395"/>
        <v>SOBREPESO</v>
      </c>
      <c r="QJ129" s="43" t="str">
        <f t="shared" si="396"/>
        <v/>
      </c>
      <c r="QK129" s="43" t="str">
        <f t="shared" si="397"/>
        <v/>
      </c>
      <c r="QL129" s="43" t="str">
        <f t="shared" si="398"/>
        <v/>
      </c>
      <c r="QM129" s="43" t="str">
        <f t="shared" si="399"/>
        <v/>
      </c>
      <c r="QN129" s="43" t="str">
        <f t="shared" si="400"/>
        <v/>
      </c>
      <c r="QO129" s="43" t="str">
        <f t="shared" si="401"/>
        <v/>
      </c>
      <c r="QP129" s="43" t="str">
        <f t="shared" si="402"/>
        <v/>
      </c>
      <c r="QQ129" s="43" t="str">
        <f t="shared" si="403"/>
        <v/>
      </c>
      <c r="QR129" s="43">
        <f t="shared" si="433"/>
        <v>34</v>
      </c>
      <c r="QS129" s="43"/>
      <c r="QT129" s="21" t="str">
        <f t="shared" si="404"/>
        <v/>
      </c>
      <c r="QU129" s="21" t="str">
        <f t="shared" si="405"/>
        <v/>
      </c>
      <c r="QV129" s="21" t="str">
        <f t="shared" si="406"/>
        <v/>
      </c>
      <c r="QW129" s="21" t="str">
        <f t="shared" si="407"/>
        <v/>
      </c>
      <c r="QX129" s="21" t="str">
        <f t="shared" si="408"/>
        <v/>
      </c>
      <c r="QY129" s="21" t="str">
        <f t="shared" si="409"/>
        <v/>
      </c>
      <c r="QZ129" s="21" t="str">
        <f t="shared" si="410"/>
        <v/>
      </c>
      <c r="RA129" s="21" t="str">
        <f t="shared" si="411"/>
        <v/>
      </c>
      <c r="RB129" s="21" t="str">
        <f t="shared" si="412"/>
        <v/>
      </c>
      <c r="RC129" s="21" t="str">
        <f t="shared" si="413"/>
        <v/>
      </c>
      <c r="RD129" s="21" t="str">
        <f t="shared" si="414"/>
        <v/>
      </c>
      <c r="RE129" s="21" t="str">
        <f t="shared" si="415"/>
        <v/>
      </c>
      <c r="RF129" s="21" t="str">
        <f t="shared" si="416"/>
        <v/>
      </c>
      <c r="RG129" s="21" t="str">
        <f t="shared" si="417"/>
        <v/>
      </c>
      <c r="RH129" s="21" t="str">
        <f t="shared" si="418"/>
        <v/>
      </c>
      <c r="RI129" s="21" t="str">
        <f t="shared" si="419"/>
        <v/>
      </c>
      <c r="RJ129" s="21" t="str">
        <f t="shared" si="420"/>
        <v/>
      </c>
      <c r="RK129" s="21" t="str">
        <f t="shared" si="421"/>
        <v/>
      </c>
      <c r="RL129" s="21" t="str">
        <f t="shared" si="422"/>
        <v/>
      </c>
      <c r="RM129" s="21" t="str">
        <f t="shared" si="423"/>
        <v/>
      </c>
      <c r="RN129" s="21" t="str">
        <f t="shared" si="424"/>
        <v/>
      </c>
      <c r="RO129" s="21" t="str">
        <f t="shared" si="425"/>
        <v>ALTO PARA EDAD GESTACIONAL</v>
      </c>
      <c r="RP129" s="21" t="str">
        <f t="shared" si="426"/>
        <v/>
      </c>
      <c r="RQ129" s="21" t="str">
        <f t="shared" si="427"/>
        <v/>
      </c>
      <c r="RR129" s="21" t="str">
        <f t="shared" si="428"/>
        <v/>
      </c>
      <c r="RS129" s="21" t="str">
        <f t="shared" si="429"/>
        <v/>
      </c>
      <c r="RT129" s="21" t="str">
        <f t="shared" si="430"/>
        <v/>
      </c>
      <c r="RU129" s="21" t="str">
        <f t="shared" si="431"/>
        <v/>
      </c>
      <c r="RV129" s="21">
        <f t="shared" si="432"/>
        <v>20.95714285714244</v>
      </c>
      <c r="RW129" s="284">
        <f>IF(OR(Tabla1[[#This Row],[FUM FORMULA CONFIABLE]]="",Tabla1[[#This Row],[FUM FORMULA CONFIABLE]]="SD"),"",IF(Tabla1[[#This Row],[FUM FORMULA CONFIABLE]]="CORREGIDA",Tabla1[[#This Row],[FUM X ECO 1]],Tabla1[[#This Row],[FUM x AMENORREA]]))</f>
        <v>44896.3</v>
      </c>
      <c r="RX129" s="21">
        <f>IF(AND(Tabla1[[#This Row],[FUM X ECO 1]]="",Tabla1[[#This Row],[FUM x AMENORREA]]=""),"",IF(AND(Tabla1[[#This Row],[FUM X ECO 1]]="",Tabla1[[#This Row],[FUM x AMENORREA]]&lt;&gt;""),"X",SUM(Tabla1[[#This Row],[FUM X ECO 1]]-Tabla1[[#This Row],[FUM x AMENORREA]])))</f>
        <v>-11.69999999999709</v>
      </c>
      <c r="RY129" s="21">
        <f t="shared" si="434"/>
        <v>1</v>
      </c>
    </row>
    <row r="130" spans="1:493" ht="45" customHeight="1" x14ac:dyDescent="0.25">
      <c r="A130" s="109"/>
      <c r="B130" s="43" t="s">
        <v>1381</v>
      </c>
      <c r="C130" s="43" t="s">
        <v>845</v>
      </c>
      <c r="D130" s="124"/>
      <c r="E130" s="43" t="s">
        <v>1382</v>
      </c>
      <c r="F130" s="43" t="s">
        <v>1382</v>
      </c>
      <c r="G130" s="43" t="s">
        <v>1383</v>
      </c>
      <c r="H130" s="43"/>
      <c r="I130" s="109" t="s">
        <v>851</v>
      </c>
      <c r="J130" s="110">
        <v>1003371767</v>
      </c>
      <c r="K130" s="43" t="s">
        <v>852</v>
      </c>
      <c r="L130" s="175" t="s">
        <v>1509</v>
      </c>
      <c r="M130" s="22">
        <v>37567</v>
      </c>
      <c r="N130" s="213">
        <f t="shared" ca="1" si="252"/>
        <v>21</v>
      </c>
      <c r="O130" s="22">
        <v>45014</v>
      </c>
      <c r="P130" s="214" t="str">
        <f t="shared" si="438"/>
        <v>SI</v>
      </c>
      <c r="Q130" s="26" t="s">
        <v>855</v>
      </c>
      <c r="R130" s="22">
        <v>45014</v>
      </c>
      <c r="S130" s="21" t="s">
        <v>856</v>
      </c>
      <c r="T130" s="24" t="s">
        <v>690</v>
      </c>
      <c r="U130" s="21" t="s">
        <v>857</v>
      </c>
      <c r="V130" s="21" t="s">
        <v>1009</v>
      </c>
      <c r="W130" s="21" t="s">
        <v>1384</v>
      </c>
      <c r="X130" s="21" t="s">
        <v>1385</v>
      </c>
      <c r="Y130" s="21"/>
      <c r="Z130" s="21">
        <v>3165739527</v>
      </c>
      <c r="AA130" s="21" t="s">
        <v>860</v>
      </c>
      <c r="AB130" s="27" t="s">
        <v>861</v>
      </c>
      <c r="AC130" s="26" t="s">
        <v>897</v>
      </c>
      <c r="AD130" s="38" t="s">
        <v>1546</v>
      </c>
      <c r="AE130" s="26" t="s">
        <v>854</v>
      </c>
      <c r="AF130" s="26" t="s">
        <v>854</v>
      </c>
      <c r="AG130" s="23" t="s">
        <v>864</v>
      </c>
      <c r="AH130" s="23" t="s">
        <v>864</v>
      </c>
      <c r="AI130" s="24" t="s">
        <v>863</v>
      </c>
      <c r="AJ130" s="23" t="s">
        <v>864</v>
      </c>
      <c r="AK130" s="220" t="str">
        <f>IF(AND(AD130="",AE130="",AF130="",AG130="",AH130="",AI130="",AJ130=""),"",IF(OR(Tabla1[[#This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EVALUACIÓN",IF(AND(O130="",R130=""),"",IF(AND(OR(O130&gt;0,R130&gt;0),NG130&gt;=0,NG130&lt;2),"SIN RIESGO",IF(AND(OR(O130&gt;0,R130&gt;0),NG130&gt;=2),"CON RIESGO","ASD")))))</f>
        <v>SIN RIESGO</v>
      </c>
      <c r="AL130" s="23" t="s">
        <v>864</v>
      </c>
      <c r="AM130" s="26" t="s">
        <v>864</v>
      </c>
      <c r="AN130" s="26" t="s">
        <v>864</v>
      </c>
      <c r="AO130" s="26" t="s">
        <v>864</v>
      </c>
      <c r="AP130" s="26" t="s">
        <v>864</v>
      </c>
      <c r="AQ130" s="26" t="s">
        <v>864</v>
      </c>
      <c r="AR130" s="26" t="s">
        <v>864</v>
      </c>
      <c r="AS130" s="21">
        <v>1</v>
      </c>
      <c r="AT130" s="21">
        <v>1</v>
      </c>
      <c r="AU130" s="21">
        <v>0</v>
      </c>
      <c r="AV130" s="26" t="s">
        <v>864</v>
      </c>
      <c r="AW130" s="21">
        <v>0</v>
      </c>
      <c r="AX130" s="26" t="s">
        <v>864</v>
      </c>
      <c r="AY130" s="26" t="s">
        <v>864</v>
      </c>
      <c r="AZ130" s="26" t="s">
        <v>864</v>
      </c>
      <c r="BA130" s="26" t="s">
        <v>864</v>
      </c>
      <c r="BB130" s="26" t="s">
        <v>864</v>
      </c>
      <c r="BC130" s="26" t="s">
        <v>864</v>
      </c>
      <c r="BD130" s="26" t="s">
        <v>864</v>
      </c>
      <c r="BE130" s="26" t="s">
        <v>864</v>
      </c>
      <c r="BF130" s="26" t="s">
        <v>864</v>
      </c>
      <c r="BG130" s="26" t="s">
        <v>864</v>
      </c>
      <c r="BH130" s="26" t="s">
        <v>864</v>
      </c>
      <c r="BI130" s="26" t="s">
        <v>864</v>
      </c>
      <c r="BJ130" s="26" t="s">
        <v>864</v>
      </c>
      <c r="BK130" s="26" t="s">
        <v>865</v>
      </c>
      <c r="BL130" s="26" t="s">
        <v>864</v>
      </c>
      <c r="BM130" s="26" t="s">
        <v>864</v>
      </c>
      <c r="BN130" s="22">
        <v>42568</v>
      </c>
      <c r="BO130" s="22">
        <v>44949</v>
      </c>
      <c r="BP130" s="21" t="s">
        <v>1380</v>
      </c>
      <c r="BQ130" s="222">
        <f t="shared" si="254"/>
        <v>79.663333333333384</v>
      </c>
      <c r="BR130" s="223">
        <f t="shared" si="255"/>
        <v>44957.9</v>
      </c>
      <c r="BS130" s="224">
        <f t="shared" si="256"/>
        <v>8.0142857142855064</v>
      </c>
      <c r="BT130" s="216" t="str">
        <f t="shared" si="257"/>
        <v>I TRIM</v>
      </c>
      <c r="BU130" s="214">
        <f t="shared" ca="1" si="258"/>
        <v>39.157142857142652</v>
      </c>
      <c r="BV130" s="25"/>
      <c r="BW130" s="22">
        <v>45016</v>
      </c>
      <c r="BX130" s="28">
        <v>8.3000000000000007</v>
      </c>
      <c r="BY130" s="28" t="s">
        <v>989</v>
      </c>
      <c r="BZ130" s="22">
        <v>45112</v>
      </c>
      <c r="CA130" s="21" t="s">
        <v>1596</v>
      </c>
      <c r="CB130" s="26" t="s">
        <v>864</v>
      </c>
      <c r="CC130" s="26" t="s">
        <v>864</v>
      </c>
      <c r="CD130" s="26" t="s">
        <v>878</v>
      </c>
      <c r="CE130" s="26" t="s">
        <v>864</v>
      </c>
      <c r="CF130" s="22" t="s">
        <v>1517</v>
      </c>
      <c r="CG130" s="21">
        <v>1.53</v>
      </c>
      <c r="CH130" s="21">
        <v>64</v>
      </c>
      <c r="CI130" s="214">
        <f t="shared" si="259"/>
        <v>27.339911999658252</v>
      </c>
      <c r="CJ130" s="225" t="str">
        <f>IF(AND(CI130&lt;10,CH130="SD"),"SIN DATO PESO PREGESTACION O I TRIM",IF(AND(OR(R130&gt;0,O130&gt;0),CI130="X"),"INGRESAR DATO DE PESO",IF(CI130="SD","INGRESAR DATO DE TALLA Y PESO",IF(AND(OR(Tabla1[[#This Row],[MOMENTO EN QUE SE REALIZA EL PESO AL INGRESO A CPN]]="PREGESTACIÓN",NZ130="Menor"),CI130&lt;18.5),"BAJO PESO",IF(AND(OR(Tabla1[[#This Row],[MOMENTO EN QUE SE REALIZA EL PESO AL INGRESO A CPN]]="PREGESTACIÓN",NZ130="Menor"),CI130&lt;25),"NORMAL",IF(AND(OR(Tabla1[[#This Row],[MOMENTO EN QUE SE REALIZA EL PESO AL INGRESO A CPN]]="PREGESTACIÓN",NZ130="Menor"),CI130&lt;30),"SOBREPESO",IF(AND(OR(Tabla1[[#This Row],[MOMENTO EN QUE SE REALIZA EL PESO AL INGRESO A CPN]]="PREGESTACIÓN",NZ130="Menor"),CI130&gt;=30,CI130&lt;50),"OBESIDAD",IF(AND(BS130&gt;0,Tabla1[[#This Row],[MOMENTO EN QUE SE REALIZA EL PESO AL INGRESO A CPN]]="GESTACIÓN"),HLOOKUP(NZ130,$OA$2:PH130,NY130),""))))))))</f>
        <v>SOBREPESO</v>
      </c>
      <c r="CK130" s="212">
        <f t="shared" si="260"/>
        <v>45139</v>
      </c>
      <c r="CL130" s="21">
        <v>66</v>
      </c>
      <c r="CM130" s="214">
        <f t="shared" si="261"/>
        <v>28.194284249647573</v>
      </c>
      <c r="CN130" s="216">
        <f t="shared" si="262"/>
        <v>25</v>
      </c>
      <c r="CO130" s="216" t="e">
        <f>IF(PI130="","",IF(PI130&gt;0,HLOOKUP(PI130,$PJ$2:QQ130,NY130),""))</f>
        <v>#REF!</v>
      </c>
      <c r="CP130" s="21">
        <v>25</v>
      </c>
      <c r="CQ130" s="216" t="e">
        <f>IF(QR130="Menor","NO APLICA-MENOR 13 SEM",IF(AND(CC130="SI",CN130&gt;23),"NO APLICA- GEMELAR",IF(QR130="","",IF(QR130&gt;0,HLOOKUP(QR130,$QS$2:RU130,NY130),""))))</f>
        <v>#REF!</v>
      </c>
      <c r="CR130" s="21">
        <v>90</v>
      </c>
      <c r="CS130" s="21">
        <v>60</v>
      </c>
      <c r="CT130" s="217" t="str">
        <f>IF(R130="","",IF(AND(BS130&gt;1,BS130&lt;12,Tabla1[[#This Row],[T.A. SISTOLICA - ANTES DE SEMANA 12]]="",Tabla1[[#This Row],[T.A. DIASTOLICA - ANTES DE SEMANA 12]]=""),"REGISTRE DATO TA ANTES SEMANA 12",IF(AND(BS130&gt;11,BS130&lt;43,Tabla1[[#This Row],[T.A. SISTOLICA - ANTES DE SEMANA 12]]="",Tabla1[[#This Row],[T.A. DIASTOLICA - ANTES DE SEMANA 12]]=""),"NO APLICA REGISTRO TA-INGRESO TARDIO",IF(AND(OR(O130&gt;0,R130&gt;0),OR(CR130&gt;=140,CS130&gt;=90)),"DEFINIR ESTADIO HTA",IF(AND(OR(O130&gt;0,R130&gt;0),AND(CR130&gt;120,CR130&lt;=139)),"PRE HTA SEGUIMIENTO",IF(AND(OR(O130&gt;0,R130&gt;0),AND(CS130&gt;80,CS130&lt;=89)),"PRE HTA SEGUIMIENTO",IF(AND(OR(O130&gt;0,R130&gt;0),AND(CR130&gt;=80,CR130&lt;=120)),"APARENTEMENTE NORMAL",IF(AND(OR(O130&gt;0,R130&gt;0),AND(CS130&gt;=50,CS130&lt;=80)),"APARENTEMENTE NORMAL",IF(AND(OR(O130&gt;0,R130&gt;0),AND(CR130&gt;1,CR130&lt;=70),AND(CS130&gt;1,CS130&lt;=40)),"HIPOTENSIÓN","")))))))))</f>
        <v>APARENTEMENTE NORMAL</v>
      </c>
      <c r="CU130" s="21">
        <v>90</v>
      </c>
      <c r="CV130" s="21">
        <v>60</v>
      </c>
      <c r="CW130" s="217" t="str">
        <f ca="1">IF(R130="","",IF(AND(CN130&gt;19,CN130&lt;27,Tabla1[[#This Row],[T.A. SISTOLICA (Entre semana 20 y 26)]]="",Tabla1[[#This Row],[T.A. DIATOLICA (Entre semana 20 y 26)]]=""),"ACUDE A CONTROL SEM 20 A 26 REGISTRE TA AHORA",IF(AND(BS130&gt;1,BS130&lt;27,BU130&gt;19,Tabla1[[#This Row],[T.A. SISTOLICA (Entre semana 20 y 26)]]="",Tabla1[[#This Row],[T.A. DIATOLICA (Entre semana 20 y 26)]]=""),"COMPLETE REGISTRO TA CONTROL SEM 20 A26 ",IF(AND(BS130&gt;26,BS130&lt;43,Tabla1[[#This Row],[T.A. SISTOLICA (Entre semana 20 y 26)]]="",Tabla1[[#This Row],[T.A. DIATOLICA (Entre semana 20 y 26)]]=""),"NO APLICA REGISTRO TA-INGRESO TARDIO",IF(AND(OR(O130&gt;0,R130&gt;0),OR(CU130&gt;=140,CV130&gt;=90)),"ALTO RIESGO PREECLAMPSIA,DEFINIR ESTADIO HTA",IF(AND(OR(O130&gt;0,R130&gt;0),AND(CU130&gt;120,CU130&lt;=139)),"PRE HTA SEGUIMIENTO,RIESGO HIPERTENSION INDUCIDA POR EL EMBARAZO",IF(AND(OR(O130&gt;0,R130&gt;0),AND(CV130&gt;80,CV130&lt;=89)),"PRE HTA SEGUIMIENTO, RIESGO HIPERTENSION INDUCIDA POR EL EMBARAZO",IF(AND(OR(O130&lt;&gt;"",R130&lt;&gt;""),CS130&lt;&gt;"",CV130&lt;&gt;"",CS130&lt;=CV130),"VIGILAR CIFRAS PRESION ARTERIAL",IF(AND(OR(O130&gt;0,R130&gt;0),AND(CU130&gt;120,CU130&lt;=139)),"PRE HTA SEGUIMIENTO",IF(AND(OR(O130&gt;0,R130&gt;0),AND(CU130&gt;1,CU130&lt;=70),AND(CV130&gt;1,CV130&lt;=40)),"HIPOTENSIÓN",IF(AND(OR(O130&lt;&gt;"",R130&lt;&gt;""),CS130&lt;&gt;"",CV130&lt;&gt;"",CS130&gt;CV130),"APARENTEMENTE NORMAL",IF(AND(OR(O130&gt;0,R130&gt;0),AND(CU130&gt;=80,CU130&lt;=120)),"APARENTEMENTE NORMAL",IF(AND(OR(O130&gt;0,R130&gt;0),AND(CV130&gt;=50,CV130&lt;=80)),"APARENTEMENTE NORMAL","")))))))))))))</f>
        <v>VIGILAR CIFRAS PRESION ARTERIAL</v>
      </c>
      <c r="CX130" s="21"/>
      <c r="CY130" s="21"/>
      <c r="CZ130" s="216" t="str">
        <f t="shared" si="499"/>
        <v/>
      </c>
      <c r="DA130" s="21">
        <v>90</v>
      </c>
      <c r="DB130" s="21">
        <v>60</v>
      </c>
      <c r="DC130" s="217" t="str">
        <f t="shared" si="264"/>
        <v>APARENTEMENTE NORMAL</v>
      </c>
      <c r="DD130" s="22">
        <v>45014</v>
      </c>
      <c r="DE130" s="22">
        <v>45014</v>
      </c>
      <c r="DF130" s="22">
        <v>45045</v>
      </c>
      <c r="DG130" s="22">
        <v>45076</v>
      </c>
      <c r="DH130" s="22">
        <v>45107</v>
      </c>
      <c r="DI130" s="22">
        <v>45139</v>
      </c>
      <c r="DJ130" s="22"/>
      <c r="DK130" s="22"/>
      <c r="DL130" s="22"/>
      <c r="DM130" s="22"/>
      <c r="DN130" s="22"/>
      <c r="DO130" s="22"/>
      <c r="DP130" s="22"/>
      <c r="DQ130" s="22"/>
      <c r="DR130" s="28">
        <v>2</v>
      </c>
      <c r="DS130" s="22"/>
      <c r="DT130" s="22"/>
      <c r="DU130" s="216" t="str">
        <f t="shared" ca="1" si="439"/>
        <v>CONCERTAR PLAN DE PARTO INMEDIATO</v>
      </c>
      <c r="DV130" s="226" t="str">
        <f t="shared" si="440"/>
        <v>ACTIVA INGRESO A CPN</v>
      </c>
      <c r="DW130"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30" s="216" t="e">
        <f t="shared" ca="1" si="266"/>
        <v>#REF!</v>
      </c>
      <c r="DY130" s="212">
        <f>IF(R130="","",IF(R130&gt;0,MAX(Tabla1[[#This Row],[FECHA C2]:[FECHA C13]],Tabla1[[#This Row],[FECHA CONSULTA PRIMERA VEZ PROGRAMA CPN ]])))</f>
        <v>45139</v>
      </c>
      <c r="DZ130" s="216">
        <f t="shared" si="267"/>
        <v>25</v>
      </c>
      <c r="EA130" s="222">
        <f>IF(R130&gt;0,SUM(COUNTA(DF130:DQ130)+COUNTA(Tabla1[[#This Row],[FECHA CONSULTA PRIMERA VEZ PROGRAMA CPN ]])),"")</f>
        <v>5</v>
      </c>
      <c r="EB130" s="222" t="str">
        <f t="shared" si="268"/>
        <v>SI</v>
      </c>
      <c r="EC130" s="214">
        <f t="shared" si="269"/>
        <v>9</v>
      </c>
      <c r="ED130" s="227">
        <f t="shared" si="270"/>
        <v>0.55555555555555558</v>
      </c>
      <c r="EE130" s="22">
        <v>45014</v>
      </c>
      <c r="EF130" s="22">
        <v>45014</v>
      </c>
      <c r="EG130" s="22">
        <v>45014</v>
      </c>
      <c r="EH130" s="22">
        <v>45043</v>
      </c>
      <c r="EI130" s="22">
        <v>45014</v>
      </c>
      <c r="EJ130" s="22">
        <v>45049</v>
      </c>
      <c r="EK130" s="22">
        <v>45049</v>
      </c>
      <c r="EL130" s="21">
        <v>1</v>
      </c>
      <c r="EM130" s="21">
        <v>14</v>
      </c>
      <c r="EN130" s="22">
        <v>45014</v>
      </c>
      <c r="EO130" s="222">
        <f t="shared" si="271"/>
        <v>8.0142857142855064</v>
      </c>
      <c r="EP130" s="214" t="str">
        <f t="shared" si="272"/>
        <v>NORMAL- SUMINISTRAR SULFATO FERROSO</v>
      </c>
      <c r="EQ130" s="216" t="str">
        <f t="shared" si="273"/>
        <v>I TRIM</v>
      </c>
      <c r="ER130" s="24">
        <v>10.1</v>
      </c>
      <c r="ES130" s="22">
        <v>45108</v>
      </c>
      <c r="ET130" s="29">
        <f t="shared" ca="1" si="441"/>
        <v>21.442857142856933</v>
      </c>
      <c r="EU130" s="25" t="str">
        <f t="shared" si="275"/>
        <v>MANEJO MD POR ANEMIA FERROPENICA</v>
      </c>
      <c r="EV130" s="24" t="s">
        <v>1510</v>
      </c>
      <c r="EW130" s="22">
        <v>45014</v>
      </c>
      <c r="EX130" s="22"/>
      <c r="EY130" s="29">
        <f t="shared" si="454"/>
        <v>8.0142857142855064</v>
      </c>
      <c r="EZ130" s="25" t="str">
        <f t="shared" si="455"/>
        <v>SIN RIESGO DE ISOINMUNIZACIÓN</v>
      </c>
      <c r="FA130" s="21">
        <v>74</v>
      </c>
      <c r="FB130" s="22">
        <v>45014</v>
      </c>
      <c r="FC130" s="29">
        <f t="shared" si="276"/>
        <v>8.0142857142855064</v>
      </c>
      <c r="FD130" s="29"/>
      <c r="FE130" s="29"/>
      <c r="FF130" s="29">
        <v>5</v>
      </c>
      <c r="FG130" s="21" t="str">
        <f t="shared" ca="1" si="277"/>
        <v/>
      </c>
      <c r="FH130" s="31"/>
      <c r="FI130" s="29" t="str">
        <f t="shared" si="278"/>
        <v>TOMAR EXAMEN</v>
      </c>
      <c r="FJ130" s="22" t="s">
        <v>867</v>
      </c>
      <c r="FK130" s="22">
        <v>45014</v>
      </c>
      <c r="FL130" s="29">
        <f t="shared" ca="1" si="279"/>
        <v>8.0142857142855064</v>
      </c>
      <c r="FM130" s="22" t="s">
        <v>867</v>
      </c>
      <c r="FN130" s="32">
        <v>45109</v>
      </c>
      <c r="FO130" s="29">
        <f t="shared" ca="1" si="442"/>
        <v>21.585714285714079</v>
      </c>
      <c r="FP130" s="22"/>
      <c r="FQ130" s="32"/>
      <c r="FR130" s="29" t="str">
        <f t="shared" ca="1" si="443"/>
        <v>TOMA INMEDIATA DE TAMIZAJE</v>
      </c>
      <c r="FS130" s="22"/>
      <c r="FT130" s="32"/>
      <c r="FU130" s="29" t="str">
        <f>IF(AND(FJ130="",FM130="",FP130="",FS130=""),"",IF(OR(OR(Tabla1[[#This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30" s="28"/>
      <c r="FW130" s="22"/>
      <c r="FX130" s="29" t="str">
        <f t="shared" si="280"/>
        <v>TOMAR EXAMEN</v>
      </c>
      <c r="FY130" s="22" t="s">
        <v>868</v>
      </c>
      <c r="FZ130" s="22">
        <v>45014</v>
      </c>
      <c r="GA130" s="29">
        <f t="shared" ca="1" si="498"/>
        <v>8.0142857142855064</v>
      </c>
      <c r="GB130" s="22"/>
      <c r="GC130" s="22"/>
      <c r="GD130" s="29" t="str">
        <f t="shared" ca="1" si="491"/>
        <v>PIERDE TOMA DE TAMIZAJE</v>
      </c>
      <c r="GE130" s="22"/>
      <c r="GF130" s="22"/>
      <c r="GG130" s="29" t="str">
        <f t="shared" ca="1" si="445"/>
        <v>TOMA INMEDIATA DE TAMIZAJE</v>
      </c>
      <c r="GH130" s="22"/>
      <c r="GI130" s="29"/>
      <c r="GJ130" s="22"/>
      <c r="GK130" s="22"/>
      <c r="GL130" s="22"/>
      <c r="GM130" s="22"/>
      <c r="GN130" s="28" t="s">
        <v>869</v>
      </c>
      <c r="GO130" s="22">
        <v>45014</v>
      </c>
      <c r="GP130" s="29">
        <f t="shared" si="283"/>
        <v>8.0142857142855064</v>
      </c>
      <c r="GQ130" s="28" t="s">
        <v>869</v>
      </c>
      <c r="GR130" s="28"/>
      <c r="GS130" s="22" t="str">
        <f t="shared" si="458"/>
        <v>CONTROL Igm</v>
      </c>
      <c r="GT130" s="22">
        <v>45014</v>
      </c>
      <c r="GU130" s="29">
        <f t="shared" si="285"/>
        <v>9.2857142857142865</v>
      </c>
      <c r="GV130" s="21" t="str">
        <f t="shared" si="286"/>
        <v>I TRIM</v>
      </c>
      <c r="GW130" s="28"/>
      <c r="GX130" s="30"/>
      <c r="GY130" s="21"/>
      <c r="GZ130" s="21"/>
      <c r="HA130" s="21"/>
      <c r="HB130" s="21"/>
      <c r="HC130" s="21"/>
      <c r="HD130" s="21"/>
      <c r="HE130" s="21"/>
      <c r="HF130" s="22"/>
      <c r="HG130" s="22" t="str">
        <f>IF(OR(O130&gt;0,R130&gt;0),CONCATENATE(IF(Tabla1[[#This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30" s="22" t="e">
        <f t="shared" si="287"/>
        <v>#REF!</v>
      </c>
      <c r="HI130" s="22" t="e">
        <f t="shared" ca="1" si="288"/>
        <v>#REF!</v>
      </c>
      <c r="HJ130" s="21" t="str">
        <f t="shared" ca="1" si="289"/>
        <v>********************SEGUIMIENTO PARA ANEMIA*******************</v>
      </c>
      <c r="HK130" s="21" t="str">
        <f t="shared" si="290"/>
        <v>SIN ANTECEDENTES DE RIESGO</v>
      </c>
      <c r="HL130" s="24" t="str">
        <f t="shared" si="291"/>
        <v>APARENTEMENTE NORMAL</v>
      </c>
      <c r="HM130" s="21" t="e">
        <f t="shared" ca="1" si="292"/>
        <v>#REF!</v>
      </c>
      <c r="HN130" s="30" t="str">
        <f t="shared" si="446"/>
        <v>ACTIVA INGRESO A CPN</v>
      </c>
      <c r="HO130" s="21"/>
      <c r="HP130" s="21"/>
      <c r="HQ130" s="349">
        <v>45014</v>
      </c>
      <c r="HR130" s="21" t="str">
        <f>IF(R130="","",IF(Tabla1[[#This Row],[ALARMA FACTORES DE RIESGO COMPLICACIONES HIPERTENSIVAS3]]="SIN ANTECEDENTES DE RIESGO","No Aplica para suministro de ASA",IF(AND(Tabla1[[#This Row],[FECHA INICIO DE SUMINISTRO DE ASA]]&gt;0,RV130&lt;12),"Inicia ASA ANTES de Sem 12",IF(AND(RV130&gt;11,RV130&lt;17,OR(HK130="RIESGO ALTO DE COMPLICACIONES HIPERTENSIVAS VER MANEJO GUIA SUMINISTRO ASA Y CALCIO",HK130="RIESGO MODERADO (2 O MAS CRITERIOS) VER MANEJO GUIA SUMINISTRO ASA Y CALCIO")),"Inicio oportuno de ASA",IF(AND(RV130&gt;12,OR(HK130="RIESGO ALTO DE COMPLICACIONES HIPERTENSIVAS VER MANEJO GUIA SUMINISTRO ASA Y CALCIO",HK130="RIESGO MODERADO (2 O MAS CRITERIOS) VER MANEJO GUIA SUMINISTRO ASA Y CALCIO")),"Inicio no oportuno mayor a 16 semanas",IF(AND(BU130&lt;12,OR(HK130="RIESGO ALTO DE COMPLICACIONES HIPERTENSIVAS VER MANEJO GUIA SUMINISTRO ASA Y CALCIO",HK130="RIESGO MODERADO (2 O MAS CRITERIOS) VER MANEJO GUIA SUMINISTRO ASA Y CALCIO")),"Pendiente Inicio de ASA a la semana 12",IF(AND(BU130&gt;11,BU130&lt;17,OR(HK130="RIESGO ALTO DE COMPLICACIONES HIPERTENSIVAS VER MANEJO GUIA SUMINISTRO ASA Y CALCIO",HK130="RIESGO MODERADO (2 O MAS CRITERIOS) VER MANEJO GUIA SUMINISTRO ASA Y CALCIO")),"Iniciar de inmediato ASA",IF(AND(BU130&gt;16,OR(HK130="RIESGO ALTO DE COMPLICACIONES HIPERTENSIVAS VER MANEJO GUIA SUMINISTRO ASA Y CALCIO",HK130="RIESGO MODERADO (2 O MAS CRITERIOS) VER MANEJO GUIA SUMINISTRO ASA Y CALCIO")),"Pierde Oportunidad, Inicio tardío de ASA","XXXXX"))))))))</f>
        <v>No Aplica para suministro de ASA</v>
      </c>
      <c r="HS130" s="22">
        <v>45014</v>
      </c>
      <c r="HT130" s="22" t="s">
        <v>870</v>
      </c>
      <c r="HU130" s="22">
        <v>45014</v>
      </c>
      <c r="HV130" s="22" t="s">
        <v>870</v>
      </c>
      <c r="HW130" s="22">
        <v>45014</v>
      </c>
      <c r="HX130" s="22" t="s">
        <v>870</v>
      </c>
      <c r="HY130" s="22"/>
      <c r="HZ130" s="28" t="str">
        <f t="shared" si="293"/>
        <v>PENDIENTE CONSULTA</v>
      </c>
      <c r="IA130" s="26"/>
      <c r="IB130" s="26"/>
      <c r="IC130" s="111"/>
      <c r="ID130" s="22"/>
      <c r="IE130" s="22" t="str">
        <f t="shared" ca="1" si="294"/>
        <v>INASISTENTE</v>
      </c>
      <c r="IF130" s="22"/>
      <c r="IG130" s="22">
        <f t="shared" si="295"/>
        <v>45237.9</v>
      </c>
      <c r="IH130" s="29">
        <f t="shared" ca="1" si="296"/>
        <v>5.9000000000014552</v>
      </c>
      <c r="II130" s="22" t="str">
        <f t="shared" ca="1" si="297"/>
        <v>SEMANA DE PARTO</v>
      </c>
      <c r="IJ130" s="22"/>
      <c r="IK130" s="21"/>
      <c r="IL130" s="21"/>
      <c r="IM130" s="34"/>
      <c r="IN130" s="22"/>
      <c r="IO130" s="21"/>
      <c r="IP130" s="29" t="str">
        <f t="shared" si="490"/>
        <v/>
      </c>
      <c r="IQ130" s="35"/>
      <c r="IR130" s="21"/>
      <c r="IS130" s="21"/>
      <c r="IT130" s="21"/>
      <c r="IU130" s="21"/>
      <c r="IV130" s="21"/>
      <c r="IW130" s="21"/>
      <c r="IX130" s="21"/>
      <c r="IY130" s="21"/>
      <c r="IZ130" s="21"/>
      <c r="JA130" s="21"/>
      <c r="JB130" s="30"/>
      <c r="JC130" s="21"/>
      <c r="JD130" s="36"/>
      <c r="JE130" s="21" t="str">
        <f t="shared" si="492"/>
        <v/>
      </c>
      <c r="JF130" s="30"/>
      <c r="JG130" s="21"/>
      <c r="JH130" s="21"/>
      <c r="JI130" s="21"/>
      <c r="JJ130" s="30"/>
      <c r="JK130" s="22"/>
      <c r="JL130" s="22"/>
      <c r="JM130" s="21"/>
      <c r="JN130" s="36"/>
      <c r="JO130" s="21" t="str">
        <f t="shared" si="493"/>
        <v/>
      </c>
      <c r="JP130" s="22"/>
      <c r="JQ130" s="21"/>
      <c r="JR130" s="21"/>
      <c r="JS130" s="21"/>
      <c r="JT130" s="30"/>
      <c r="JU130" s="22"/>
      <c r="JV130" s="22"/>
      <c r="JW130" s="33"/>
      <c r="JX130" s="28" t="str">
        <f t="shared" si="494"/>
        <v/>
      </c>
      <c r="JY130" s="33"/>
      <c r="JZ130" s="28" t="str">
        <f t="shared" si="495"/>
        <v/>
      </c>
      <c r="KA130" s="21"/>
      <c r="KB130" s="21"/>
      <c r="KC130" s="21"/>
      <c r="KD130" s="37"/>
      <c r="KE130" s="28"/>
      <c r="KF130" s="28"/>
      <c r="KG130" s="28"/>
      <c r="KH130" s="39"/>
      <c r="KI130" s="39"/>
      <c r="KJ130" s="66"/>
      <c r="KK130" s="39"/>
      <c r="KL130" s="39"/>
      <c r="KM130" s="66"/>
      <c r="KN130" s="39"/>
      <c r="KO130" s="39"/>
      <c r="KP130" s="39"/>
      <c r="KQ130" s="39"/>
      <c r="KR130" s="39"/>
      <c r="KS130" s="39"/>
      <c r="KT130" s="39"/>
      <c r="KU130" s="38"/>
      <c r="KV130" s="38"/>
      <c r="KW130" s="38"/>
      <c r="KX130" s="38"/>
      <c r="KY130" s="38"/>
      <c r="KZ130" s="38"/>
      <c r="LA130" s="38"/>
      <c r="LB130" s="38"/>
      <c r="LC130" s="38"/>
      <c r="LD130" s="38"/>
      <c r="LE130" s="38"/>
      <c r="LF130" s="38"/>
      <c r="LG130" s="38"/>
      <c r="LH130" s="38"/>
      <c r="LI130" s="38"/>
      <c r="LJ130" s="38"/>
      <c r="LK130" s="38"/>
      <c r="LL130" s="38"/>
      <c r="LM130" s="38"/>
      <c r="LN130" s="38"/>
      <c r="LO130" s="38"/>
      <c r="LP130" s="38"/>
      <c r="LQ130" s="38"/>
      <c r="LR130" s="38"/>
      <c r="LS130" s="38"/>
      <c r="LT130" s="38"/>
      <c r="LU130" s="38"/>
      <c r="LV130" s="38"/>
      <c r="LW130" s="38"/>
      <c r="LX130" s="38"/>
      <c r="LY130" s="38"/>
      <c r="LZ130" s="38"/>
      <c r="MA130" s="38"/>
      <c r="MB130" s="38"/>
      <c r="MC130" s="38"/>
      <c r="MD130" s="38"/>
      <c r="ME130" s="38"/>
      <c r="MF130" s="38"/>
      <c r="MG130" s="38"/>
      <c r="MH130" s="43">
        <f t="shared" si="459"/>
        <v>0</v>
      </c>
      <c r="MI130" s="43" t="str">
        <f t="shared" si="460"/>
        <v/>
      </c>
      <c r="MJ130" s="43" t="str">
        <f t="shared" si="461"/>
        <v/>
      </c>
      <c r="MK130" s="43">
        <f t="shared" si="462"/>
        <v>0</v>
      </c>
      <c r="ML13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30" s="43">
        <f t="shared" si="463"/>
        <v>8.0142857142855064</v>
      </c>
      <c r="MN130" s="43">
        <f t="shared" si="464"/>
        <v>3</v>
      </c>
      <c r="MO130" s="43">
        <f t="shared" si="465"/>
        <v>2023</v>
      </c>
      <c r="MP130" s="43" t="str">
        <f t="shared" si="466"/>
        <v>I TRIMESTRE AÑO</v>
      </c>
      <c r="MQ130" s="43">
        <f t="shared" si="467"/>
        <v>20.099649583880858</v>
      </c>
      <c r="MR130" s="43">
        <f t="shared" si="468"/>
        <v>0</v>
      </c>
      <c r="MS130" s="43" t="str">
        <f t="shared" si="469"/>
        <v xml:space="preserve"> DE 20 A 24 AÑOS</v>
      </c>
      <c r="MT130" s="43">
        <f t="shared" si="470"/>
        <v>0</v>
      </c>
      <c r="MU130" s="43">
        <f t="shared" si="471"/>
        <v>0</v>
      </c>
      <c r="MV130" s="43">
        <f t="shared" si="472"/>
        <v>0</v>
      </c>
      <c r="MW130" s="43">
        <f t="shared" si="473"/>
        <v>0</v>
      </c>
      <c r="MX130" s="43">
        <f t="shared" si="474"/>
        <v>1</v>
      </c>
      <c r="MY130" s="43" t="str">
        <f t="shared" ca="1" si="496"/>
        <v/>
      </c>
      <c r="MZ130" s="43" t="str">
        <f t="shared" si="475"/>
        <v/>
      </c>
      <c r="NA130" s="43">
        <f t="shared" si="476"/>
        <v>0</v>
      </c>
      <c r="NB130" s="43" t="str">
        <f t="shared" si="477"/>
        <v/>
      </c>
      <c r="NC130" s="43" t="str">
        <f t="shared" si="478"/>
        <v/>
      </c>
      <c r="ND130" s="43">
        <f t="shared" ca="1" si="479"/>
        <v>1</v>
      </c>
      <c r="NE130" s="43">
        <f>IF(OR(O130&gt;0,R130&gt;0),SUM(COUNTIF(Tabla1[[#This Row],[AÑOS AL INICIO5 CPN]],"&gt;=40"),COUNTIF(AS130,"0"),COUNTIF(AR130,"SI"),COUNTIF(CC130,"SI"),COUNTIF(BQ130,"&gt;119"),COUNTIF(CI130,"&gt;=35")),"")</f>
        <v>0</v>
      </c>
      <c r="NF130" s="43" t="str">
        <f t="shared" si="480"/>
        <v/>
      </c>
      <c r="NG130" s="43">
        <f t="shared" si="481"/>
        <v>0</v>
      </c>
      <c r="NH130" s="43">
        <f t="shared" si="482"/>
        <v>58.100000000000009</v>
      </c>
      <c r="NI130"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CPN",P130="NO"),"Z",IF(AND(Tabla1[[#This Row],[CITA PROXIMO CONTROL]]="CITA MANUAL",Tabla1[[#This Row],[GESTANTES ACTUALES]]="ACTIVA INGRESO A CPN"),"W",IF(AND(Tabla1[[#This Row],[GESTANTES ACTUALES]]="SALIO PROGRAMA",IN130=""),"S",IF(AND(Tabla1[[#This Row],[CITA PROXIMO CONTROL]]&gt;0,IN130=""),(Tabla1[[#This Row],[CITA PROXIMO CONTROL]]-TODAY()),"SD"))))))))</f>
        <v>#REF!</v>
      </c>
      <c r="NJ130" s="43">
        <f>MONTH(Tabla1[[#This Row],[FECHA DE SALIDA  DEL PROGRAMA]])</f>
        <v>1</v>
      </c>
      <c r="NK130" s="43">
        <f>YEAR(Tabla1[[#This Row],[FECHA DE SALIDA  DEL PROGRAMA]])</f>
        <v>1900</v>
      </c>
      <c r="NL130" s="43">
        <f t="shared" si="483"/>
        <v>35</v>
      </c>
      <c r="NM130" s="43" t="str">
        <f t="shared" si="501"/>
        <v>NO</v>
      </c>
      <c r="NN130" s="43" t="str">
        <f ca="1">IF(AND(O130&gt;0,R130=""),"NO CPN",IF(AND(O130="",R130=""),"",IF(AND(R130&gt;0,Tabla1[[#This Row],[SEMANAS DE GESTACION ACTUALIZADAS]]&lt;=12),"NO APLICA",IF(AND(FH130&lt;&gt;"",FN130&lt;&gt;""),"SI","NO"))))</f>
        <v>NO</v>
      </c>
      <c r="NO130" s="43" t="str">
        <f ca="1">IF(AND(O130&gt;0,R130=""),"NO CPN",IF(AND(O130="",R130=""),"",IF(AND(R130&gt;0,Tabla1[[#This Row],[SEMANAS DE GESTACION ACTUALIZADAS]]&lt;=27),"NO APLICA",IF(AND(ES130&lt;&gt;"",FQ130&lt;&gt;"",GF130&lt;&gt;""),"SI","NO"))))</f>
        <v>NO</v>
      </c>
      <c r="NP130" s="204" t="str">
        <f t="shared" si="484"/>
        <v>I TRIM</v>
      </c>
      <c r="NQ130" s="21">
        <f t="shared" si="500"/>
        <v>10</v>
      </c>
      <c r="NR130" s="21">
        <f t="shared" ca="1" si="497"/>
        <v>3</v>
      </c>
      <c r="NS130" s="205">
        <f t="shared" ca="1" si="485"/>
        <v>2</v>
      </c>
      <c r="NT130" s="21">
        <f t="shared" ca="1" si="486"/>
        <v>1</v>
      </c>
      <c r="NU130" s="21" t="str">
        <f t="shared" ca="1" si="487"/>
        <v>INCOMPLETO</v>
      </c>
      <c r="NV130" s="21" t="str">
        <f t="shared" ca="1" si="488"/>
        <v>INCOMPLETO</v>
      </c>
      <c r="NW130" s="206" t="str">
        <f>IF(AND(O130="",R130=""),"",IF(OR(AND(Tabla1[[#This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30" s="207" t="str">
        <f t="shared" ca="1" si="489"/>
        <v>SIN VACUNAR</v>
      </c>
      <c r="NY130" s="43">
        <f>ROW(Tabla1[[#This Row],['# DE TAMIZAJES SIFILIS TOMADOS ]])</f>
        <v>130</v>
      </c>
      <c r="NZ130" s="43" t="str">
        <f t="shared" ref="NZ130:NZ190" si="502">IF(BS130="","",IF(BS130&lt;10,"Menor",INT(BS130)))</f>
        <v>Menor</v>
      </c>
      <c r="OA130" s="43" t="str">
        <f t="shared" ref="OA130:OA190" si="503">IF(AND(NZ130=$OA$2,CI130&gt;10,CI130&lt;18.5),"BAJO PESO",IF(AND(NZ130=$OA$2,CI130&gt;18.4,CI130&lt;25),"NORMAL",IF(AND(NZ130=$OA$2,CI130&gt;24,CI130&lt;30),"SOBREPESO",IF(AND(NZ130=$OA$2,CI130&gt;29,CI130&lt;50),"OBESIDAD",""))))</f>
        <v>SOBREPESO</v>
      </c>
      <c r="OB130" s="43" t="str">
        <f t="shared" ref="OB130:OB190" si="504">IF(AND(NZ130=$OB$2,CI130&gt;10,CI130&lt;20.3),"BAJO PESO",IF(AND(NZ130=$OB$2,CI130&gt;20.2,CI130&lt;25.3),"NORMAL",IF(AND(NZ130=$OB$2,CI130&gt;25.2,CI130&lt;30.3),"SOBREPESO",IF(AND(NZ130=$OB$2,CI130&gt;30.2,CI130&lt;50),"OBESIDAD",""))))</f>
        <v/>
      </c>
      <c r="OC130" s="43" t="str">
        <f t="shared" ref="OC130:OC190" si="505">IF(AND(NZ130=$OC$2,CI130&gt;10,CI130&lt;20.4),"BAJO PESO",IF(AND(NZ130=$OC$2,CI130&gt;20.3,CI130&lt;25.4),"NORMAL",IF(AND(NZ130=$OC$2,CI130&gt;25.3,CI130&lt;30.4),"SOBREPESO",IF(AND(NZ130=$OC$2,CI130&gt;30.3,CI130&lt;50),"OBESIDAD",""))))</f>
        <v/>
      </c>
      <c r="OD130" s="43" t="str">
        <f t="shared" ref="OD130:OD190" si="506">IF(AND(NZ130=$OD$2,CI130&gt;10,CI130&lt;20.5),"BAJO PESO",IF(AND(NZ130=$OD$2,CI130&gt;20.4,CI130&lt;25.5),"NORMAL",IF(AND(NZ130=$OD$2,CI130&gt;25.4,CI130&lt;30.4),"SOBREPESO",IF(AND(NZ130=$OD$2,CI130&gt;30.3,CI130&lt;50),"OBESIDAD",""))))</f>
        <v/>
      </c>
      <c r="OE130" s="43" t="str">
        <f t="shared" ref="OE130:OE190" si="507">IF(AND(NZ130=$OE$2,CI130&gt;10,CI130&lt;20.7),"BAJO PESO",IF(AND(NZ130=$OE$2,CI130&gt;20.6,CI130&lt;25.7),"NORMAL",IF(AND(NZ130=$OE$2,CI130&gt;25.7,CI130&lt;30.5),"SOBREPESO",IF(AND(NZ130=$OE$2,CI130&gt;30.4,CI130&lt;50),"OBESIDAD",""))))</f>
        <v/>
      </c>
      <c r="OF130" s="43" t="str">
        <f t="shared" ref="OF130:OF190" si="508">IF(AND(NZ130=$OF$2,CI130&gt;10,CI130&lt;20.8),"BAJO PESO",IF(AND(NZ130=$OF$2,CI130&gt;20.7,CI130&lt;25.8),"NORMAL",IF(AND(NZ130=$OF$2,CI130&gt;25.7,CI130&lt;30.6),"SOBREPESO",IF(AND(NZ130=$OF$2,CI130&gt;30.5,CI130&lt;50),"OBESIDAD",""))))</f>
        <v/>
      </c>
      <c r="OG130" s="43" t="str">
        <f t="shared" ref="OG130:OG190" si="509">IF(AND(NZ130=$OG$2,CI130&gt;10,CI130&lt;20.9),"BAJO PESO",IF(AND(NZ130=$OG$2,CI130&gt;20.8,CI130&lt;25.9),"NORMAL",IF(AND(NZ130=$OG$2,CI130&gt;25.8,CI130&lt;30.7),"SOBREPESO",IF(AND(NZ130=$OG$2,CI130&gt;30.6,CI130&lt;50),"OBESIDAD",""))))</f>
        <v/>
      </c>
      <c r="OH130" s="43" t="str">
        <f t="shared" ref="OH130:OH190" si="510">IF(AND(NZ130=$OH$2,CI130&gt;10,CI130&lt;21.1),"BAJO PESO",IF(AND(NZ130=$OH$2,CI130&gt;21,CI130&lt;26),"NORMAL",IF(AND(NZ130=$OH$2,CI130&gt;25.9,CI130&lt;30.8),"SOBREPESO",IF(AND(NZ130=$OH$2,CI130&gt;30.7,CI130&lt;50),"OBESIDAD",""))))</f>
        <v/>
      </c>
      <c r="OI130" s="43" t="str">
        <f t="shared" ref="OI130:OI190" si="511">IF(AND(NZ130=$OI$2,CI130&gt;10,CI130&lt;21.2),"BAJO PESO",IF(AND(NZ130=$OI$2,CI130&gt;21.1,CI130&lt;26.1),"NORMAL",IF(AND(NZ130=$OI$2,CI130&gt;26,CI130&lt;31.9),"SOBREPESO",IF(AND(NZ130=$OI$2,CI130&gt;30.8,CI130&lt;50),"OBESIDAD",""))))</f>
        <v/>
      </c>
      <c r="OJ130" s="43" t="str">
        <f t="shared" ref="OJ130:OJ190" si="512">IF(AND(NZ130=$OJ$2,CI130&gt;10,CI130&lt;21.3),"BAJO PESO",IF(AND(NZ130=$OJ$2,CI130&gt;21.2,CI130&lt;26.2),"NORMAL",IF(AND(NZ130=$OJ$2,CI130&gt;26.1,CI130&lt;31),"SOBREPESO",IF(AND(NZ130=$OJ$2,CI130&gt;30.9,CI130&lt;50),"OBESIDAD",""))))</f>
        <v/>
      </c>
      <c r="OK130" s="43" t="str">
        <f t="shared" ref="OK130:OK190" si="513">IF(AND(NZ130=$OK$2,CI130&gt;10,CI130&lt;21.5),"BAJO PESO",IF(AND(NZ130=$OK$2,CI130&gt;21.4,CI130&lt;26.3),"NORMAL",IF(AND(NZ130=$OK$2,CI130&gt;26.2,CI130&lt;31),"SOBREPESO",IF(AND(NZ130=$OK$2,CI130&gt;30.9,CI130&lt;50),"OBESIDAD",""))))</f>
        <v/>
      </c>
      <c r="OL130" s="43" t="str">
        <f t="shared" ref="OL130:OL190" si="514">IF(AND(NZ130=$OL$2,CI130&gt;10,CI130&lt;21.6),"BAJO PESO",IF(AND(NZ130=$OL$2,CI130&gt;21.5,CI130&lt;26.4),"NORMAL",IF(AND(NZ130=$OL$2,CI130&gt;26.3,CI130&lt;31.1),"SOBREPESO",IF(AND(NZ130=$OL$2,CI130&gt;31,CI130&lt;50),"OBESIDAD",""))))</f>
        <v/>
      </c>
      <c r="OM130" s="43" t="str">
        <f t="shared" ref="OM130:OM190" si="515">IF(AND(NZ130=$OM$2,CI130&gt;10,CI130&lt;21.8),"BAJO PESO",IF(AND(NZ130=$OM$2,CI130&gt;21.7,CI130&lt;26.5),"NORMAL",IF(AND(NZ130=$OM$2,CI130&gt;26.4,CI130&lt;31.2),"SOBREPESO",IF(AND(NZ130=$OM$2,CI130&gt;31.1,CI130&lt;50),"OBESIDAD",""))))</f>
        <v/>
      </c>
      <c r="ON130" s="43" t="str">
        <f t="shared" ref="ON130:ON190" si="516">IF(AND(NZ130=$ON$2,CI130&gt;10,CI130&lt;21.9),"BAJO PESO",IF(AND(NZ130=$ON$2,CI130&gt;21.8,CI130&lt;26.7),"NORMAL",IF(AND(NZ130=$ON$2,CI130&gt;26.6,CI130&lt;31.3),"SOBREPESO",IF(AND(NZ130=$ON$2,CI130&gt;31.2,CI130&lt;50),"OBESIDAD",""))))</f>
        <v/>
      </c>
      <c r="OO130" s="43" t="str">
        <f t="shared" ref="OO130:OO190" si="517">IF(AND(NZ130=$OO$2,CI130&gt;10,CI130&lt;22.1),"BAJO PESO",IF(AND(NZ130=$OO$2,CI130&gt;22,CI130&lt;26.8),"NORMAL",IF(AND(NZ130=$OO$2,CI130&gt;26.7,CI130&lt;31.4),"SOBREPESO",IF(AND(NZ130=$OO$2,CI130&gt;31.3,CI130&lt;50),"OBESIDAD",""))))</f>
        <v/>
      </c>
      <c r="OP130" s="43" t="str">
        <f t="shared" ref="OP130:OP190" si="518">IF(AND(NZ130=$OP$2,CI130&gt;10,CI130&lt;22.3),"BAJO PESO",IF(AND(NZ130=$OP$2,CI130&gt;22.2,CI130&lt;27),"NORMAL",IF(AND(NZ130=$OP$2,CI130&gt;26.9,CI130&lt;31.6),"SOBREPESO",IF(AND(NZ130=$OP$2,CI130&gt;31.5,CI130&lt;50),"OBESIDAD",""))))</f>
        <v/>
      </c>
      <c r="OQ130" s="43" t="str">
        <f t="shared" ref="OQ130:OQ190" si="519">IF(AND(NZ130=$OQ$2,$CI130&gt;10,CI130&lt;22.5),"BAJO PESO",IF(AND(NZ130=$OQ$2,CI130&gt;22.4,CI130&lt;27.1),"NORMAL",IF(AND(NZ130=$OQ$2,CI130&gt;27,CI130&lt;31.7),"SOBREPESO",IF(AND(NZ130=$OQ$2,CI130&gt;31.6,CI130&lt;50),"OBESIDAD",""))))</f>
        <v/>
      </c>
      <c r="OR130" s="43" t="str">
        <f t="shared" ref="OR130:OR190" si="520">IF(AND(NZ130=$OR$2,CI130&gt;10,CI130&lt;22.7),"BAJO PESO",IF(AND(NZ130=$OR$2,CI130&gt;22.6,CI130&lt;27.3),"NORMAL",IF(AND(NZ130=$OR$2,CI130&gt;27.1,CI130&lt;31.8),"SOBREPESO",IF(AND(NZ130=$OR$2,CI130&gt;31.7,CI130&lt;50),"OBESIDAD",""))))</f>
        <v/>
      </c>
      <c r="OS130" s="43" t="str">
        <f t="shared" ref="OS130:OS190" si="521">IF(AND(NZ130=$OS$2,CI130&gt;10,CI130&lt;22.8),"BAJO PESO",IF(AND(NZ130=$OS$2,CI130&gt;22.7,CI130&lt;27.4),"NORMAL",IF(AND(NZ130=$OS$2,CI130&gt;27.3,CI130&lt;31.9),"SOBREPESO",IF(AND(NZ130=$OS$2,CI130&gt;31.8,CI130&lt;50),"OBESIDAD",""))))</f>
        <v/>
      </c>
      <c r="OT130" s="43" t="str">
        <f t="shared" ref="OT130:OT190" si="522">IF(AND(NZ130=$OT$2,CI130&gt;10,CI130&lt;23),"BAJO PESO",IF(AND(NZ130=$OT$2,CI130&gt;22.9,CI130&lt;27.6),"NORMAL",IF(AND(NZ130=$OT$2,CI130&gt;27.5,CI130&lt;32),"SOBREPESO",IF(AND(NZ130=$OT$2,CI130&gt;31.9,CI130&lt;50),"OBESIDAD",""))))</f>
        <v/>
      </c>
      <c r="OU130" s="43" t="str">
        <f t="shared" ref="OU130:OU190" si="523">IF(AND(NZ130=$OU$2,CI130&gt;10,CI130&lt;23.2),"BAJO PESO",IF(AND(NZ130=$OU$2,CI130&gt;23.1,CI130&lt;27.7),"NORMAL",IF(AND(NZ130=$OU$2,CI130&gt;27.6,CI130&lt;32.1),"SOBREPESO",IF(AND(NZ130=$OU$2,CI130&gt;32,CI130&lt;50),"OBESIDAD",""))))</f>
        <v/>
      </c>
      <c r="OV130" s="110" t="str">
        <f t="shared" ref="OV130:OV190" si="524">IF(AND(NZ130=$OV$2,CI130&gt;10,CI130&lt;23.4),"BAJO PESO",IF(AND(NZ130=$OV$2,CI130&gt;23.3,CI130&lt;27.9),"NORMAL",IF(AND(NZ130=$OV$2,CI130&gt;27.8,CI130&lt;32.2),"SOBREPESO",IF(AND(NZ130=$OV$2,CI130&gt;32.1,CI130&lt;50),"OBESIDAD",""))))</f>
        <v/>
      </c>
      <c r="OW130" s="43" t="str">
        <f t="shared" ref="OW130:OW190" si="525">IF(AND(NZ130=$OW$2,CI130&gt;10,CI130&lt;23.5),"BAJO PESO",IF(AND(NZ130=$OW$2,CI130&gt;23.4,CI130&lt;28),"NORMAL",IF(AND(NZ130=$OW$2,CI130&gt;27.9,CI130&lt;32.1),"SOBREPESO",IF(AND(NZ130=$OW$2,CI130&gt;32.2,CI130&lt;50),"OBESIDAD",""))))</f>
        <v/>
      </c>
      <c r="OX130" s="43" t="str">
        <f t="shared" ref="OX130:OX190" si="526">IF(AND(NZ130=$OX$2,CI130&gt;10,CI130&lt;23.7),"BAJO PESO",IF(AND(NZ130=$OX$2,CI130&gt;23.6,CI130&lt;28.1),"NORMAL",IF(AND(NZ130=$OX$2,CI130&gt;28,CI130&lt;33.4),"SOBREPESO",IF(AND(NZ130=$OX$2,CI130&gt;33.3,CI130&lt;50),"OBESIDAD",""))))</f>
        <v/>
      </c>
      <c r="OY130" s="43" t="str">
        <f t="shared" ref="OY130:OY190" si="527">IF(AND(NZ130=$OY$2,CI130&gt;10,CI130&lt;23.9),"BAJO PESO",IF(AND(NZ130=$OY$2,CI130&gt;23.8,CI130&lt;28.2),"NORMAL",IF(AND(NZ130=$OY$2,CI130&gt;28.1,CI130&lt;33.5),"SOBREPESO",IF(AND(NZ130=$OY$2,CI130&gt;33.4,CI130&lt;50),"OBESIDAD",""))))</f>
        <v/>
      </c>
      <c r="OZ130" s="43" t="str">
        <f t="shared" ref="OZ130:OZ190" si="528">IF(AND(NZ130=$OZ$2,CI130&gt;10,CI130&lt;24),"BAJO PESO",IF(AND(NZ130=$OZ$2,CI130&gt;23.9,CI130&lt;28.4),"NORMAL",IF(AND(NZ130=$OZ$2,CI130&gt;28.3,CI130&lt;33.6),"SOBREPESO",IF(AND(NZ130=$OZ$2,CI130&gt;33.5,CI130&lt;50),"OBESIDAD",""))))</f>
        <v/>
      </c>
      <c r="PA130" s="43" t="str">
        <f t="shared" ref="PA130:PA190" si="529">IF(AND(NZ130=$PA$2,CI130&gt;10,CI130&lt;24.2),"BAJO PESO",IF(AND(NZ130=$PA$2,CI130&gt;24.1,CI130&lt;28.5),"NORMAL",IF(AND(NZ130=$PA$2,CI130&gt;28.4,CI130&lt;33.7),"SOBREPESO",IF(AND(NZ130=$PA$2,CI130&gt;33.6,CI130&lt;50),"OBESIDAD",""))))</f>
        <v/>
      </c>
      <c r="PB130" s="43" t="str">
        <f t="shared" ref="PB130:PB190" si="530">IF(AND(NZ130=$PB$2,CI130&gt;10,CI130&lt;24.3),"BAJO PESO",IF(AND(NZ130=$PB$2,CI130&gt;24.2,CI130&lt;28.6),"NORMAL",IF(AND(NZ130=$PB$2,CI130&gt;28.5,CI130&lt;33.8),"SOBREPESO",IF(AND(NZ130=$PB$2,CI130&gt;33.7,CI130&lt;50),"OBESIDAD",""))))</f>
        <v/>
      </c>
      <c r="PC130" s="43" t="str">
        <f t="shared" ref="PC130:PC190" si="531">IF(AND(NZ130=$PC$2,CI130&gt;10,CI130&lt;24.5),"BAJO PESO",IF(AND(NZ130=$PC$2,CI130&gt;24.4,CI130&lt;28.8),"NORMAL",IF(AND(NZ130=$PC$2,CI130&gt;28.7,CI130&lt;32.9),"SOBREPESO",IF(AND(NZ130=$PC$2,CI130&gt;32.8,CI130&lt;50),"OBESIDAD",""))))</f>
        <v/>
      </c>
      <c r="PD130" s="43" t="str">
        <f t="shared" ref="PD130:PD190" si="532">IF(AND(NZ130=$PD$2,CI130&gt;10,CI130&lt;24.6),"BAJO PESO",IF(AND(NZ130=$PD$2,CI130&gt;24.5,CI130&lt;28.9),"NORMAL",IF(AND(NZ130=$PD$2,CI130&gt;28.8,CI130&lt;33),"SOBREPESO",IF(AND(NZ130=$PD$2,CI130&gt;32.9,CI130&lt;50),"OBESIDAD",""))))</f>
        <v/>
      </c>
      <c r="PE130" s="43" t="str">
        <f t="shared" ref="PE130:PE190" si="533">IF(AND(NZ130=$PE$2,CI130&gt;10,CI130&lt;24.8),"BAJO PESO",IF(AND(NZ130=$PE$2,CI130&gt;24.7,CI130&lt;29),"NORMAL",IF(AND(NZ130=$PE$2,CI130&gt;28.9,CI130&lt;33.1),"SOBREPESO",IF(AND(NZ130=$PE$2,CI130&gt;33,CI130&lt;50),"OBESIDAD",""))))</f>
        <v/>
      </c>
      <c r="PF130" s="43" t="str">
        <f t="shared" ref="PF130:PF190" si="534">IF(AND(NZ130=$PF$2,CI130&gt;10,CI130&lt;25),"BAJO PESO",IF(AND(NZ130=$PF$2,CI130&gt;24.9,CI130&lt;29.2),"NORMAL",IF(AND(NZ130=$PF$2,CI130&gt;29.1,CI130&lt;33.2),"SOBREPESO",IF(AND(NZ130=$PF$2,CI130&gt;33.1,CI130&lt;50),"OBESIDAD",""))))</f>
        <v/>
      </c>
      <c r="PG130" s="43" t="str">
        <f t="shared" ref="PG130:PG190" si="535">IF(AND(NZ130=$PG$2,CI130&gt;10,CI130&lt;25.1),"BAJO PESO",IF(AND(NZ130=$PG$2,CI130&gt;25,CI130&lt;29.3),"NORMAL",IF(AND(NZ130=$PG$2,CI130&gt;29.2,CI130&lt;33.3),"SOBREPESO",IF(AND(NZ130=$PG$2,CI130&gt;33.2,CI130&lt;50),"OBESIDAD",""))))</f>
        <v/>
      </c>
      <c r="PH130" s="43" t="str">
        <f t="shared" ref="PH130:PH190" si="536">IF(AND(NZ130=$PH$2,CI130&gt;10,CI130&lt;25.1),"BAJO PESO",IF(AND(NZ130=$PH$2,CI130&gt;25,CI130&lt;29.4),"NORMAL",IF(AND(NZ130=$PH$2,CI130&gt;29.3,CI130&lt;33.3),"SOBREPESO",IF(AND(NZ130=$PH$2,CI130&gt;33.2,CI130&lt;50),"OBESIDAD",""))))</f>
        <v/>
      </c>
      <c r="PI130" s="43">
        <f t="shared" ref="PI130:PI190" si="537">IF(DZ130="","",IF(DZ130&lt;10,"Menor",DZ130))</f>
        <v>25</v>
      </c>
      <c r="PJ130" s="43" t="str">
        <f t="shared" ref="PJ130:PJ190" si="538">IF(AND(PI130=$PJ$2,CM130&gt;10,CM130&lt;18.5),"BAJO PESO",IF(AND(PI130=$PJ$2,CM130&gt;18.4,CM130&lt;25),"NORMAL",IF(AND(PI130=$PJ$2,CM130&gt;24,CM130&lt;30),"SOBREPESO",IF(AND(PI130=$PJ$2,CM130&gt;29,CM130&lt;50),"OBESIDAD",""))))</f>
        <v/>
      </c>
      <c r="PK130" s="43" t="str">
        <f t="shared" ref="PK130:PK190" si="539">IF(AND(PI130=$PK$2,CM130&gt;10,CM130&lt;20.3),"BAJO PESO",IF(AND(PI130=$PK$2,CM130&gt;20.2,CM130&lt;25.3),"NORMAL",IF(AND(PI130=$PK$2,CM130&gt;25.2,CM130&lt;30.3),"SOBREPESO",IF(AND(PI130=$PK$2,CM130&gt;30.2,CM130&lt;50),"OBESIDAD",""))))</f>
        <v/>
      </c>
      <c r="PL130" s="43" t="str">
        <f t="shared" ref="PL130:PL190" si="540">IF(AND(PI130=$PL$2,CM130&gt;10,CM130&lt;20.4),"BAJO PESO",IF(AND(PI130=$PL$2,CM130&gt;20.3,CM130&lt;25.4),"NORMAL",IF(AND(PI130=$PL$2,CM130&gt;25.3,CM130&lt;30.4),"SOBREPESO",IF(AND(PI130=$PL$2,CM130&gt;30.3,CM130&lt;50),"OBESIDAD",""))))</f>
        <v/>
      </c>
      <c r="PM130" s="43" t="str">
        <f t="shared" ref="PM130:PM190" si="541">IF(AND(PI130=$PM$2,CM130&gt;10,CM130&lt;20.5),"BAJO PESO",IF(AND(PI130=$PM$2,CM130&gt;20.4,CM130&lt;25.5),"NORMAL",IF(AND(PI130=$PM$2,CM130&gt;25.4,CM130&lt;30.4),"SOBREPESO",IF(AND(PI130=$PM$2,CM130&gt;30.3,CM130&lt;50),"OBESIDAD",""))))</f>
        <v/>
      </c>
      <c r="PN130" s="43" t="str">
        <f t="shared" ref="PN130:PN190" si="542">IF(AND(PI130=$PN$2,CM130&gt;10,CM130&lt;20.7),"BAJO PESO",IF(AND(PI130=$PN$2,CM130&gt;20.6,CM130&lt;25.7),"NORMAL",IF(AND(PI130=$PN$2,CM130&gt;25.7,CM130&lt;30.5),"SOBREPESO",IF(AND(PI130=$PN$2,CM130&gt;30.4,CM130&lt;50),"OBESIDAD",""))))</f>
        <v/>
      </c>
      <c r="PO130" s="43" t="str">
        <f t="shared" ref="PO130:PO190" si="543">IF(AND(PI130=$PO$2,CM130&gt;10,CM130&lt;20.8),"BAJO PESO",IF(AND(PI130=$PO$2,CM130&gt;20.7,CM130&lt;25.8),"NORMAL",IF(AND(PI130=$PO$2,CM130&gt;25.7,CM130&lt;30.6),"SOBREPESO",IF(AND(PI130=$PO$2,CM130&gt;30.5,CM130&lt;50),"OBESIDAD",""))))</f>
        <v/>
      </c>
      <c r="PP130" s="43" t="str">
        <f t="shared" ref="PP130:PP190" si="544">IF(AND(PI130=$PP$2,CM130&gt;10,CM130&lt;20.9),"BAJO PESO",IF(AND(PI130=$PP$2,CM130&gt;20.8,CM130&lt;25.9),"NORMAL",IF(AND(PI130=$PP$2,CM130&gt;25.8,CM130&lt;30.7),"SOBREPESO",IF(AND(PI130=$PP$2,CM130&gt;30.6,CM130&lt;50),"OBESIDAD",""))))</f>
        <v/>
      </c>
      <c r="PQ130" s="43" t="str">
        <f t="shared" ref="PQ130:PQ190" si="545">IF(AND(PI130=$PQ$2,CM130&gt;10,CM130&lt;21.1),"BAJO PESO",IF(AND(PI130=$PQ$2,CM130&gt;21,CM130&lt;26),"NORMAL",IF(AND(PI130=$PQ$2,CM130&gt;25.9,CM130&lt;30.8),"SOBREPESO",IF(AND(PI130=$PQ$2,CM130&gt;30.7,CM130&lt;50),"OBESIDAD",""))))</f>
        <v/>
      </c>
      <c r="PR130" s="43" t="str">
        <f t="shared" ref="PR130:PR190" si="546">IF(AND(PI130=$PR$2,CM130&gt;10,CM130&lt;21.2),"BAJO PESO",IF(AND(PI130=$PR$2,CM130&gt;21.1,CM130&lt;26.1),"NORMAL",IF(AND(PI130=$PR$2,CM130&gt;26,CM130&lt;31.9),"SOBREPESO",IF(AND(PI130=$PR$2,CM130&gt;30.8,CM130&lt;50),"OBESIDAD",""))))</f>
        <v/>
      </c>
      <c r="PS130" s="43" t="str">
        <f t="shared" ref="PS130:PS190" si="547">IF(AND(PI130=$PS$2,CM130&gt;10,CM130&lt;21.3),"BAJO PESO",IF(AND(PI130=$PS$2,CM130&gt;21.2,CM130&lt;26.2),"NORMAL",IF(AND(PI130=$PS$2,CM130&gt;26.1,CM130&lt;31),"SOBREPESO",IF(AND(PI130=$PS$2,CM130&gt;30.9,CM130&lt;50),"OBESIDAD",""))))</f>
        <v/>
      </c>
      <c r="PT130" s="43" t="str">
        <f t="shared" ref="PT130:PT190" si="548">IF(AND(PI130=$PT$2,CM130&gt;10,CM130&lt;21.5),"BAJO PESO",IF(AND(PI130=$PT$2,CM130&gt;21.4,CM130&lt;26.3),"NORMAL",IF(AND(PI130=$PT$2,CM130&gt;26.2,CM130&lt;31),"SOBREPESO",IF(AND(PI130=$PT$2,CM130&gt;30.9,CM130&lt;50),"OBESIDAD",""))))</f>
        <v/>
      </c>
      <c r="PU130" s="43" t="str">
        <f t="shared" ref="PU130:PU190" si="549">IF(AND(PI130=$PU$2,CM130&gt;10,CM130&lt;21.6),"BAJO PESO",IF(AND(PI130=$PU$2,CM130&gt;21.5,CM130&lt;26.4),"NORMAL",IF(AND(PI130=$PU$2,CM130&gt;26.3,CM130&lt;31.1),"SOBREPESO",IF(AND(PI130=$PU$2,CM130&gt;31,CM130&lt;50),"OBESIDAD",""))))</f>
        <v/>
      </c>
      <c r="PV130" s="43" t="str">
        <f t="shared" ref="PV130:PV190" si="550">IF(AND(PI130=$PV$2,CM130&gt;10,CM130&lt;21.8),"BAJO PESO",IF(AND(PI130=$PV$2,CM130&gt;21.7,CM130&lt;26.5),"NORMAL",IF(AND(PI130=$PV$2,CM130&gt;26.4,CM130&lt;31.2),"SOBREPESO",IF(AND(PI130=$PV$2,CM130&gt;31.1,CM130&lt;50),"OBESIDAD",""))))</f>
        <v/>
      </c>
      <c r="PW130" s="43" t="str">
        <f t="shared" ref="PW130:PW190" si="551">IF(AND(PI130=$PW$2,CM130&gt;10,CM130&lt;21.9),"BAJO PESO",IF(AND(PI130=$PW$2,CM130&gt;21.8,CM130&lt;26.7),"NORMAL",IF(AND(PI130=$PW$2,CM130&gt;26.6,CM130&lt;31.3),"SOBREPESO",IF(AND(PI130=$PW$2,CM130&gt;31.2,CM130&lt;50),"OBESIDAD",""))))</f>
        <v/>
      </c>
      <c r="PX130" s="43" t="str">
        <f t="shared" ref="PX130:PX190" si="552">IF(AND(PI130=$PX$2,CM130&gt;10,CM130&lt;22.1),"BAJO PESO",IF(AND(PI130=$PX$2,CM130&gt;22,CM130&lt;26.8),"NORMAL",IF(AND(PI130=$PX$2,CM130&gt;26.7,CM130&lt;31.4),"SOBREPESO",IF(AND(PI130=$PX$2,CM130&gt;31.3,CM130&lt;50),"OBESIDAD",""))))</f>
        <v/>
      </c>
      <c r="PY130" s="43" t="str">
        <f t="shared" ref="PY130:PY190" si="553">IF(AND(PI130=$PY$2,CM130&gt;10,CM130&lt;22.3),"BAJO PESO",IF(AND(PI130=$PY$2,CM130&gt;22.2,CM130&lt;27),"NORMAL",IF(AND(PI130=$PY$2,CM130&gt;26.9,CM130&lt;31.6),"SOBREPESO",IF(AND(PI130=$PY$2,CM130&gt;31.5,CM130&lt;50),"OBESIDAD",""))))</f>
        <v/>
      </c>
      <c r="PZ130" s="43" t="str">
        <f t="shared" ref="PZ130:PZ190" si="554">IF(AND(PI130=$PZ$2,$CM130&gt;10,CM130&lt;22.5),"BAJO PESO",IF(AND(PI130=$PZ$2,CM130&gt;22.4,CM130&lt;27.1),"NORMAL",IF(AND(PI130=$PZ$2,CM130&gt;27,CM130&lt;31.7),"SOBREPESO",IF(AND(PI130=$PZ$2,CM130&gt;31.6,CM130&lt;50),"OBESIDAD",""))))</f>
        <v>SOBREPESO</v>
      </c>
      <c r="QA130" s="43" t="str">
        <f t="shared" ref="QA130:QA190" si="555">IF(AND(PI130=$QA$2,CM130&gt;10,CM130&lt;22.7),"BAJO PESO",IF(AND(PI130=$QA$2,CM130&gt;22.6,CM130&lt;27.3),"NORMAL",IF(AND(PI130=$QA$2,CM130&gt;27.1,CM130&lt;31.8),"SOBREPESO",IF(AND(PI130=$QA$2,CM130&gt;31.7,CM130&lt;50),"OBESIDAD",""))))</f>
        <v/>
      </c>
      <c r="QB130" s="43" t="str">
        <f t="shared" ref="QB130:QB190" si="556">IF(AND(PI130=$QB$2,CM130&gt;10,CM130&lt;22.8),"BAJO PESO",IF(AND(PI130=$QB$2,CM130&gt;22.7,CM130&lt;27.4),"NORMAL",IF(AND(PI130=$QB$2,CM130&gt;27.3,CM130&lt;31.9),"SOBREPESO",IF(AND(PI130=$QB$2,CM130&gt;31.8,CM130&lt;50),"OBESIDAD",""))))</f>
        <v/>
      </c>
      <c r="QC130" s="43" t="str">
        <f t="shared" ref="QC130:QC190" si="557">IF(AND(PI130=$QC$2,CM130&gt;10,CM130&lt;23),"BAJO PESO",IF(AND(PI130=$QC$2,CM130&gt;22.9,CM130&lt;27.6),"NORMAL",IF(AND(PI130=$QC$2,CM130&gt;27.5,CM130&lt;32),"SOBREPESO",IF(AND(PI130=$QC$2,CM130&gt;31.9,CM130&lt;50),"OBESIDAD",""))))</f>
        <v/>
      </c>
      <c r="QD130" s="43" t="str">
        <f t="shared" ref="QD130:QD190" si="558">IF(AND(PI130=$QD$2,CM130&gt;10,CM130&lt;23.2),"BAJO PESO",IF(AND(PI130=$QD$2,CM130&gt;23.1,CM130&lt;27.7),"NORMAL",IF(AND(PI130=$QD$2,CM130&gt;27.6,CM130&lt;32.1),"SOBREPESO",IF(AND(PI130=$QD$2,CM130&gt;32,CM130&lt;50),"OBESIDAD",""))))</f>
        <v/>
      </c>
      <c r="QE130" s="43" t="str">
        <f t="shared" ref="QE130:QE190" si="559">IF(AND(PI130=$QE$2,CM130&gt;10,CM130&lt;23.4),"BAJO PESO",IF(AND(PI130=$QE$2,CM130&gt;23.3,CM130&lt;27.9),"NORMAL",IF(AND(PI130=$QE$2,CM130&gt;27.8,CM130&lt;32.2),"SOBREPESO",IF(AND(PI130=$QE$2,CM130&gt;32.1,CM130&lt;50),"OBESIDAD",""))))</f>
        <v/>
      </c>
      <c r="QF130" s="43" t="str">
        <f t="shared" ref="QF130:QF190" si="560">IF(AND(PI130=$QF$2,CM130&gt;10,CM130&lt;23.5),"BAJO PESO",IF(AND(PI130=$QF$2,CM130&gt;23.4,CM130&lt;28),"NORMAL",IF(AND(PI130=$QF$2,CM130&gt;27.9,CM130&lt;32.1),"SOBREPESO",IF(AND(PI130=$QF$2,CM130&gt;32.2,CM130&lt;50),"OBESIDAD",""))))</f>
        <v/>
      </c>
      <c r="QG130" s="43" t="str">
        <f t="shared" ref="QG130:QG190" si="561">IF(AND(PI130=$QG$2,CM130&gt;10,CM130&lt;23.7),"BAJO PESO",IF(AND(PI130=$QG$2,CM130&gt;23.6,CM130&lt;28.1),"NORMAL",IF(AND(PI130=$QG$2,CM130&gt;28,CM130&lt;33.4),"SOBREPESO",IF(AND(PI130=$QG$2,CM130&gt;33.3,CM130&lt;50),"OBESIDAD",""))))</f>
        <v/>
      </c>
      <c r="QH130" s="43" t="str">
        <f t="shared" ref="QH130:QH190" si="562">IF(AND(PI130=$QH$2,CM130&gt;10,CM130&lt;23.9),"BAJO PESO",IF(AND(PI130=$QH$2,CM130&gt;23.8,CM130&lt;28.2),"NORMAL",IF(AND(PI130=$QH$2,CM130&gt;28.1,CM130&lt;33.5),"SOBREPESO",IF(AND(PI130=$QH$2,CM130&gt;33.4,CM130&lt;50),"OBESIDAD",""))))</f>
        <v/>
      </c>
      <c r="QI130" s="43" t="str">
        <f t="shared" ref="QI130:QI190" si="563">IF(AND(PI130=$QI$2,CM130&gt;10,CM130&lt;24),"BAJO PESO",IF(AND(PI130=$QI$2,CM130&gt;23.9,CM130&lt;28.4),"NORMAL",IF(AND(PI130=$QI$2,CM130&gt;28.3,CM130&lt;33.6),"SOBREPESO",IF(AND(PI130=$QI$2,CM130&gt;33.5,CM130&lt;50),"OBESIDAD",""))))</f>
        <v/>
      </c>
      <c r="QJ130" s="43" t="str">
        <f t="shared" ref="QJ130:QJ190" si="564">IF(AND(PI130=$QJ$2,CM130&gt;10,CM130&lt;24.2),"BAJO PESO",IF(AND(PI130=$QJ$2,CM130&gt;24.1,CM130&lt;28.5),"NORMAL",IF(AND(PI130=$QJ$2,CM130&gt;28.4,CM130&lt;33.7),"SOBREPESO",IF(AND(PI130=$QJ$2,CM130&gt;33.6,CM130&lt;50),"OBESIDAD",""))))</f>
        <v/>
      </c>
      <c r="QK130" s="43" t="str">
        <f t="shared" ref="QK130:QK190" si="565">IF(AND(PI130=$QK$2,CM130&gt;10,CM130&lt;24.3),"BAJO PESO",IF(AND(PI130=$QK$2,CM130&gt;24.2,CM130&lt;28.6),"NORMAL",IF(AND(PI130=$QK$2,CM130&gt;28.5,CM130&lt;33.8),"SOBREPESO",IF(AND(PI130=$QK$2,CM130&gt;33.7,CM130&lt;50),"OBESIDAD",""))))</f>
        <v/>
      </c>
      <c r="QL130" s="43" t="str">
        <f t="shared" ref="QL130:QL190" si="566">IF(AND(PI130=$QL$2,CM130&gt;10,CM130&lt;24.5),"BAJO PESO",IF(AND(PI130=$QL$2,CM130&gt;24.4,CM130&lt;28.8),"NORMAL",IF(AND(PI130=$QL$2,CM130&gt;28.7,CM130&lt;32.9),"SOBREPESO",IF(AND(PI130=$QL$2,CM130&gt;32.8,CM130&lt;50),"OBESIDAD",""))))</f>
        <v/>
      </c>
      <c r="QM130" s="43" t="str">
        <f t="shared" ref="QM130:QM190" si="567">IF(AND(PI130=$QM$2,CM130&gt;10,CM130&lt;24.6),"BAJO PESO",IF(AND(PI130=$QM$2,CM130&gt;24.5,CM130&lt;28.9),"NORMAL",IF(AND(PI130=$QM$2,CM130&gt;28.8,CM130&lt;33),"SOBREPESO",IF(AND(PI130=$QM$2,CM130&gt;32.9,CM130&lt;50),"OBESIDAD",""))))</f>
        <v/>
      </c>
      <c r="QN130" s="43" t="str">
        <f t="shared" ref="QN130:QN190" si="568">IF(AND(PI130=$QN$2,CM130&gt;10,CM130&lt;24.8),"BAJO PESO",IF(AND(PI130=$QN$2,CM130&gt;24.7,CM130&lt;29),"NORMAL",IF(AND(PI130=$QN$2,CM130&gt;28.9,CM130&lt;33.1),"SOBREPESO",IF(AND(PI130=$QN$2,CM130&gt;33,CM130&lt;50),"OBESIDAD",""))))</f>
        <v/>
      </c>
      <c r="QO130" s="43" t="str">
        <f t="shared" ref="QO130:QO190" si="569">IF(AND(PI130=$QO$2,CM130&gt;10,CM130&lt;25),"BAJO PESO",IF(AND(PI130=$QO$2,CM130&gt;24.9,CM130&lt;29.2),"NORMAL",IF(AND(PI130=$QO$2,CM130&gt;29.1,CM130&lt;33.2),"SOBREPESO",IF(AND(PI130=$QO$2,CM130&gt;33.1,CM130&lt;50),"OBESIDAD",""))))</f>
        <v/>
      </c>
      <c r="QP130" s="43" t="str">
        <f t="shared" ref="QP130:QP190" si="570">IF(AND(PI130=$QP$2,CM130&gt;10,CM130&lt;25.1),"BAJO PESO",IF(AND(PI130=$QP$2,CM130&gt;25,CM130&lt;29.3),"NORMAL",IF(AND(PI130=$QP$2,CM130&gt;29.2,CM130&lt;33.3),"SOBREPESO",IF(AND(PI130=$QP$2,CM130&gt;33.2,CM130&lt;50),"OBESIDAD",""))))</f>
        <v/>
      </c>
      <c r="QQ130" s="43" t="str">
        <f t="shared" ref="QQ130:QQ190" si="571">IF(AND(PI130=$QQ$2,CM130&gt;10,CM130&lt;25.1),"BAJO PESO",IF(AND(PI130=$QQ$2,CM130&gt;25,CM130&lt;29.4),"NORMAL",IF(AND(PI130=$QQ$2,CM130&gt;29.3,CM130&lt;33.3),"SOBREPESO",IF(AND(PI130=$QQ$2,CM130&gt;33.2,CM130&lt;50),"OBESIDAD",""))))</f>
        <v/>
      </c>
      <c r="QR130" s="43">
        <f t="shared" si="433"/>
        <v>25</v>
      </c>
      <c r="QS130" s="43"/>
      <c r="QT130" s="21" t="str">
        <f t="shared" ref="QT130:QT190" si="572">IF(AND(QR130=$QT$2,CP130&gt;1,CP130&lt;8),"BAJO PARA EDAD GESTACIONAL",IF(AND(QR130=$QT$2,CP130&gt;=8,CP130&lt;=12),"ADECUADO PARA EDAD GESTACIONAL",IF(AND(QR130=$QT$2,CP130&gt;12,CP130&lt;38),"ALTO PARA EDAD GESTACIONAL","")))</f>
        <v/>
      </c>
      <c r="QU130" s="21" t="str">
        <f t="shared" ref="QU130:QU190" si="573">IF(AND(QR130=$QU$2,CP130&gt;1,CP130&lt;8.5),"BAJO PARA EDAD GESTACIONAL",IF(AND(QR130=$QU$2,CP130&gt;=8.5,CP130&lt;=14.5),"ADECUADO PARA EDAD GESTACIONAL",IF(AND(QR130=$QU$2,CP130&gt;14.5,CP130&lt;38),"ALTO PARA EDAD GESTACIONAL","")))</f>
        <v/>
      </c>
      <c r="QV130" s="21" t="str">
        <f t="shared" ref="QV130:QV190" si="574">IF(AND(QR130=$QV$2,CP130&gt;1,CP130&lt;9.5),"BAJO PARA EDAD GESTACIONAL",IF(AND(QR130=$QV$2,CP130&gt;=9.5,CP130&lt;=15),"ADECUADO PARA EDAD GESTACIONAL",IF(AND(QR130=$QV$2,CP130&gt;15,CP130&lt;38),"ALTO PARA EDAD GESTACIONAL","")))</f>
        <v/>
      </c>
      <c r="QW130" s="21" t="str">
        <f t="shared" ref="QW130:QW190" si="575">IF(AND(QR130=$QW$2,CP130&gt;1,CP130&lt;11.5),"BAJO PARA EDAD GESTACIONAL",IF(AND(QR130=$QW$2,CP130&gt;=11.5,CP130&lt;=18),"ADECUADO PARA EDAD GESTACIONAL",IF(AND(QR130=$QW$2,CP130&gt;18,CP130&lt;38),"ALTO PARA EDAD GESTACIONAL","")))</f>
        <v/>
      </c>
      <c r="QX130" s="21" t="str">
        <f t="shared" ref="QX130:QX190" si="576">IF(AND(QR130=$QX$2,CP130&gt;1,CP130&lt;12.5),"BAJO PARA EDAD GESTACIONAL",IF(AND(QR130=$QX$2,CP130&gt;=12.5,CP130&lt;=18),"ADECUADO PARA EDAD GESTACIONAL",IF(AND(QR130=$QX$2,CP130&gt;18,CP130&lt;38),"ALTO PARA EDAD GESTACIONAL","")))</f>
        <v/>
      </c>
      <c r="QY130" s="21" t="str">
        <f t="shared" ref="QY130:QY190" si="577">IF(AND(QR130=$QY$2,CP130&gt;1,CP130&lt;13.5),"BAJO PARA EDAD GESTACIONAL",IF(AND(QR130=$QY$2,CP130&gt;=13.5,CP130&lt;=19),"ADECUADO PARA EDAD GESTACIONAL",IF(AND(QR130=$QY$2,CP130&gt;19,CP130&lt;38),"ALTO PARA EDAD GESTACIONAL","")))</f>
        <v/>
      </c>
      <c r="QZ130" s="21" t="str">
        <f t="shared" ref="QZ130:QZ190" si="578">IF(AND(QR130=$QZ$2,CP130&gt;1,CP130&lt;14),"BAJO PARA EDAD GESTACIONAL",IF(AND(QR130=$QZ$2,CP130&gt;=14,CP130&lt;=19.5),"ADECUADO PARA EDAD GESTACIONAL",IF(AND(QR130=$QZ$2,CP130&gt;19.5,CP130&lt;38),"ALTO PARA EDAD GESTACIONAL","")))</f>
        <v/>
      </c>
      <c r="RA130" s="21" t="str">
        <f t="shared" ref="RA130:RA190" si="579">IF(AND(QR130=$RA$2,CP130&gt;1,CP130&lt;15),"BAJO PARA EDAD GESTACIONAL",IF(AND(QR130=$RA$2,CP130&gt;=15,CP130&lt;=21),"ADECUADO PARA EDAD GESTACIONAL",IF(AND(QR130=$RA$2,CP130&gt;21,CP130&lt;38),"ALTO PARA EDAD GESTACIONAL","")))</f>
        <v/>
      </c>
      <c r="RB130" s="21" t="str">
        <f t="shared" ref="RB130:RB190" si="580">IF(AND(QR130=$RB$2,CP130&gt;1,CP130&lt;15.5),"BAJO PARA EDAD GESTACIONAL",IF(AND(QR130=$RB$2,CP130&gt;=15.5,CP130&lt;=21.5),"ADECUADO PARA EDAD GESTACIONAL",IF(AND(QR130=$RB$2,CP130&gt;21.5,CP130&lt;38),"ALTO PARA EDAD GESTACIONAL","")))</f>
        <v/>
      </c>
      <c r="RC130" s="21" t="str">
        <f t="shared" ref="RC130:RC190" si="581">IF(AND(QR130=$RC$2,CP130&gt;1,CP130&lt;16.5),"BAJO PARA EDAD GESTACIONAL",IF(AND(QR130=$RC$2,CP130&gt;=16.5,CP130&lt;=22.5),"ADECUADO PARA EDAD GESTACIONAL",IF(AND(QR130=$RC$2,CP130&gt;22.5,CP130&lt;38),"ALTO PARA EDAD GESTACIONAL","")))</f>
        <v/>
      </c>
      <c r="RD130" s="21" t="str">
        <f t="shared" ref="RD130:RD190" si="582">IF(AND(QR130=$RD$2,CP130&gt;1,CP130&lt;17.5),"BAJO PARA EDAD GESTACIONAL",IF(AND(QR130=$RD$2,CP130&gt;=17.5,CP130&lt;=23),"ADECUADO PARA EDAD GESTACIONAL",IF(AND(QR130=$RD$2,CP130&gt;23,CP130&lt;38),"ALTO PARA EDAD GESTACIONAL","")))</f>
        <v/>
      </c>
      <c r="RE130" s="21" t="str">
        <f t="shared" ref="RE130:RE190" si="583">IF(AND(QR130=$RE$2,CP130&gt;1,CP130&lt;18.5),"BAJO PARA EDAD GESTACIONAL",IF(AND(QR130=$RE$2,CP130&gt;=18.5,CP130&lt;=24),"ADECUADO PARA EDAD GESTACIONAL",IF(AND(QR130=$RE$2,CP130&gt;24,CP130&lt;38),"ALTO PARA EDAD GESTACIONAL","")))</f>
        <v/>
      </c>
      <c r="RF130" s="21" t="str">
        <f t="shared" ref="RF130:RF190" si="584">IF(AND(QR130=$RF$2,CP130&gt;1,CP130&lt;19.5),"BAJO PARA EDAD GESTACIONAL",IF(AND(QR130=$RF$2,CP130&gt;=19.5,CP130&lt;=25),"ADECUADO PARA EDAD GESTACIONAL",IF(AND(QR130=$RF$2,CP130&gt;25,CP130&lt;38),"ALTO PARA EDAD GESTACIONAL","")))</f>
        <v>ADECUADO PARA EDAD GESTACIONAL</v>
      </c>
      <c r="RG130" s="21" t="str">
        <f t="shared" ref="RG130:RG190" si="585">IF(AND(QR130=$RG$2,CP130&gt;1,CP130&lt;20),"BAJO PARA EDAD GESTACIONAL",IF(AND(QR130=$RG$2,CP130&gt;=20,CP130&lt;=25.5),"ADECUADO PARA EDAD GESTACIONAL",IF(AND(QR130=$RG$2,CP130&gt;25.5,CP130&lt;38),"ALTO PARA EDAD GESTACIONAL","")))</f>
        <v/>
      </c>
      <c r="RH130" s="21" t="str">
        <f t="shared" ref="RH130:RH190" si="586">IF(AND(QR130=$RH$2,CP130&gt;1,CP130&lt;20.5),"BAJO PARA EDAD GESTACIONAL",IF(AND(QR130=$RH$2,CP130&gt;=20.5,CP130&lt;=26.5),"ADECUADO PARA EDAD GESTACIONAL",IF(AND(QR130=$RH$2,CP130&gt;26.5,CP130&lt;38),"ALTO PARA EDAD GESTACIONAL","")))</f>
        <v/>
      </c>
      <c r="RI130" s="21" t="str">
        <f t="shared" ref="RI130:RI190" si="587">IF(AND(QR130=$RI$2,CP130&gt;1,CP130&lt;21),"BAJO PARA EDAD GESTACIONAL",IF(AND(QR130=$RI$2,CP130&gt;=21,CP130&lt;=27),"ADECUADO PARA EDAD GESTACIONAL",IF(AND(QR130=$RI$2,CP130&gt;27,CP130&lt;38),"ALTO PARA EDAD GESTACIONAL","")))</f>
        <v/>
      </c>
      <c r="RJ130" s="21" t="str">
        <f t="shared" ref="RJ130:RJ190" si="588">IF(AND(QR130=$RJ$2,CP130&gt;1,CP130&lt;22.5),"BAJO PARA EDAD GESTACIONAL",IF(AND(QR130=$RJ$2,CP130&gt;=22.5,CP130&lt;=28),"ADECUADO PARA EDAD GESTACIONAL",IF(AND(QR130=$RJ$2,CP130&gt;28,CP130&lt;38),"ALTO PARA EDAD GESTACIONAL","")))</f>
        <v/>
      </c>
      <c r="RK130" s="21" t="str">
        <f t="shared" ref="RK130:RK190" si="589">IF(AND(QR130=$RK$2,CP130&gt;1,CP130&lt;23.5),"BAJO PARA EDAD GESTACIONAL",IF(AND(QR130=$RK$2,CP130&gt;=23.5,CP130&lt;=29),"ADECUADO PARA EDAD GESTACIONAL",IF(AND(QR130=$RK$2,CP130&gt;29,CP130&lt;38),"ALTO PARA EDAD GESTACIONAL","")))</f>
        <v/>
      </c>
      <c r="RL130" s="21" t="str">
        <f t="shared" ref="RL130:RL190" si="590">IF(AND(QR130=$RL$2,CP130&gt;1,CP130&lt;24),"BAJO PARA EDAD GESTACIONAL",IF(AND(QR130=$RL$2,CP130&gt;=24,CP130&lt;=29.5),"ADECUADO PARA EDAD GESTACIONAL",IF(AND(QR130=$RL$2,CP130&gt;29.5,CP130&lt;38),"ALTO PARA EDAD GESTACIONAL","")))</f>
        <v/>
      </c>
      <c r="RM130" s="21" t="str">
        <f t="shared" ref="RM130:RM190" si="591">IF(AND(QR130=$RM$2,CP130&gt;1,CP130&lt;25),"BAJO PARA EDAD GESTACIONAL",IF(AND(QR130=$RM$2,CP130&gt;=25,CP130&lt;=30),"ADECUADO PARA EDAD GESTACIONAL",IF(AND(QR130=$RM$2,CP130&gt;30,CP130&lt;38),"ALTO PARA EDAD GESTACIONAL","")))</f>
        <v/>
      </c>
      <c r="RN130" s="21" t="str">
        <f t="shared" ref="RN130:RN190" si="592">IF(AND(QR130=$RN$2,CP130&gt;1,CP130&lt;25.5),"BAJO PARA EDAD GESTACIONAL",IF(AND(QR130=$RN$2,CP130&gt;=25.5,CP130&lt;=31),"ADECUADO PARA EDAD GESTACIONAL",IF(AND(QR130=$RN$2,CP130&gt;31,CP130&lt;38),"ALTO PARA EDAD GESTACIONAL","")))</f>
        <v/>
      </c>
      <c r="RO130" s="21" t="str">
        <f t="shared" ref="RO130:RO190" si="593">IF(AND(QR130=$RO$2,CP130&gt;1,CP130&lt;26),"BAJO PARA EDAD GESTACIONAL",IF(AND(QR130=$RO$2,CP130&gt;=26,CP130&lt;=32),"ADECUADO PARA EDAD GESTACIONAL",IF(AND(QR130=$RO$2,CP130&gt;32,CP130&lt;38),"ALTO PARA EDAD GESTACIONAL","")))</f>
        <v/>
      </c>
      <c r="RP130" s="21" t="str">
        <f t="shared" ref="RP130:RP190" si="594">IF(AND(QR130=$RP$2,CP130&gt;1,CP130&lt;26.5),"BAJO PARA EDAD GESTACIONAL",IF(AND(QR130=$RP$2,CP130&gt;=26.5,CP130&lt;=33),"ADECUADO PARA EDAD GESTACIONAL",IF(AND(QR130=$RP$2,CP130&gt;33,CP130&lt;38),"ALTO PARA EDAD GESTACIONAL","")))</f>
        <v/>
      </c>
      <c r="RQ130" s="21" t="str">
        <f t="shared" ref="RQ130:RQ190" si="595">IF(AND(QR130=$RQ$2,CP130&gt;1,CP130&lt;28),"BAJO PARA EDAD GESTACIONAL",IF(AND(QR130=$RQ$2,CP130&gt;=28,CP130&lt;=33),"ADECUADO PARA EDAD GESTACIONAL",IF(AND(QR130=$RQ$2,CP130&gt;33,CP130&lt;38),"ALTO PARA EDAD GESTACIONAL","")))</f>
        <v/>
      </c>
      <c r="RR130" s="21" t="str">
        <f t="shared" ref="RR130:RR190" si="596">IF(AND(QR130=$RR$2,CP130&gt;1,CP130&lt;28.5),"BAJO PARA EDAD GESTACIONAL",IF(AND(QR130=$RR$2,CP130&gt;=28.5,CP130&lt;=34),"ADECUADO PARA EDAD GESTACIONAL",IF(AND(QR130=$RR$2,CP130&gt;34,CP130&lt;38),"ALTO PARA EDAD GESTACIONAL","")))</f>
        <v/>
      </c>
      <c r="RS130" s="21" t="str">
        <f t="shared" ref="RS130:RS190" si="597">IF(AND(QR130=$RS$2,CP130&gt;1,CP130&lt;29.5),"BAJO PARA EDAD GESTACIONAL",IF(AND(QR130=$RS$2,CP130&gt;=29.5,CP130&lt;=34),"ADECUADO PARA EDAD GESTACIONAL",IF(AND(QR130=$RS$2,CP130&gt;34,CP130&lt;38),"ALTO PARA EDAD GESTACIONAL","")))</f>
        <v/>
      </c>
      <c r="RT130" s="21" t="str">
        <f t="shared" ref="RT130:RT190" si="598">IF(AND(QR130=$RT$2,CP130&gt;1,CP130&lt;30.5),"BAJO PARA EDAD GESTACIONAL",IF(AND(QR130=$RT$2,CP130&gt;=30.5,CP130&lt;=34),"ADECUADO PARA EDAD GESTACIONAL",IF(AND(QR130=$RT$2,CP130&gt;34,CP130&lt;38),"ALTO PARA EDAD GESTACIONAL","")))</f>
        <v/>
      </c>
      <c r="RU130" s="21" t="str">
        <f t="shared" ref="RU130:RU190" si="599">IF(AND(QR130=$RU$2,CP130&gt;1,CP130&lt;31),"BAJO PARA EDAD GESTACIONAL",IF(AND(QR130=$RU$2,CP130&gt;=31,CP130&lt;=34.5),"ADECUADO PARA EDAD GESTACIONAL",IF(AND(QR130=$RU$2,CP130&gt;34.5,CP130&lt;38),"ALTO PARA EDAD GESTACIONAL","")))</f>
        <v/>
      </c>
      <c r="RV130" s="21">
        <f t="shared" ref="RV130:RV190" si="600">IF(AND(R130="",HQ130=""),"",IF(SUM((HQ130-RW130)/7)&gt;43.1,"",IF(SUM((HQ130-RW130)/7)&lt;0,-1,SUM((HQ130-RW130)/7))))</f>
        <v>8.0142857142855064</v>
      </c>
      <c r="RW130" s="284">
        <f>IF(OR(Tabla1[[#This Row],[FUM FORMULA CONFIABLE]]="",Tabla1[[#This Row],[FUM FORMULA CONFIABLE]]="SD"),"",IF(Tabla1[[#This Row],[FUM FORMULA CONFIABLE]]="CORREGIDA",Tabla1[[#This Row],[FUM X ECO 1]],Tabla1[[#This Row],[FUM x AMENORREA]]))</f>
        <v>44957.9</v>
      </c>
      <c r="RX130" s="21">
        <f>IF(AND(Tabla1[[#This Row],[FUM X ECO 1]]="",Tabla1[[#This Row],[FUM x AMENORREA]]=""),"",IF(AND(Tabla1[[#This Row],[FUM X ECO 1]]="",Tabla1[[#This Row],[FUM x AMENORREA]]&lt;&gt;""),"X",SUM(Tabla1[[#This Row],[FUM X ECO 1]]-Tabla1[[#This Row],[FUM x AMENORREA]])))</f>
        <v>8.9000000000014552</v>
      </c>
      <c r="RY130" s="21">
        <f t="shared" si="434"/>
        <v>1</v>
      </c>
    </row>
    <row r="131" spans="1:493" ht="45" customHeight="1" x14ac:dyDescent="0.25">
      <c r="A131" s="109"/>
      <c r="B131" s="43"/>
      <c r="C131" s="43" t="s">
        <v>845</v>
      </c>
      <c r="D131" s="124" t="s">
        <v>846</v>
      </c>
      <c r="E131" s="43" t="s">
        <v>1386</v>
      </c>
      <c r="F131" s="43" t="s">
        <v>1387</v>
      </c>
      <c r="G131" s="43" t="s">
        <v>1388</v>
      </c>
      <c r="H131" s="43"/>
      <c r="I131" s="109" t="s">
        <v>851</v>
      </c>
      <c r="J131" s="110">
        <v>34655779</v>
      </c>
      <c r="K131" s="43" t="s">
        <v>852</v>
      </c>
      <c r="L131" s="175" t="s">
        <v>1509</v>
      </c>
      <c r="M131" s="22">
        <v>30477</v>
      </c>
      <c r="N131" s="213">
        <f t="shared" ref="N131:N193" ca="1" si="601">IF(M131&gt;0,SUM(TODAY()-M131)/365,"")</f>
        <v>40.424657534246577</v>
      </c>
      <c r="O131" s="22">
        <v>45003</v>
      </c>
      <c r="P131" s="214" t="str">
        <f t="shared" si="438"/>
        <v>SI</v>
      </c>
      <c r="Q131" s="26" t="s">
        <v>855</v>
      </c>
      <c r="R131" s="22">
        <v>45003</v>
      </c>
      <c r="S131" s="21" t="s">
        <v>856</v>
      </c>
      <c r="T131" s="24" t="s">
        <v>690</v>
      </c>
      <c r="U131" s="21" t="s">
        <v>857</v>
      </c>
      <c r="V131" s="21" t="s">
        <v>858</v>
      </c>
      <c r="W131" s="21" t="s">
        <v>1389</v>
      </c>
      <c r="X131" s="21" t="s">
        <v>1390</v>
      </c>
      <c r="Y131" s="21"/>
      <c r="Z131" s="21">
        <v>3242746814</v>
      </c>
      <c r="AA131" s="21" t="s">
        <v>860</v>
      </c>
      <c r="AB131" s="27" t="s">
        <v>861</v>
      </c>
      <c r="AC131" s="26" t="s">
        <v>862</v>
      </c>
      <c r="AD131" s="38" t="s">
        <v>846</v>
      </c>
      <c r="AE131" s="26" t="s">
        <v>854</v>
      </c>
      <c r="AF131" s="26" t="s">
        <v>854</v>
      </c>
      <c r="AG131" s="23" t="s">
        <v>864</v>
      </c>
      <c r="AH131" s="23" t="s">
        <v>864</v>
      </c>
      <c r="AI131" s="24" t="s">
        <v>863</v>
      </c>
      <c r="AJ131" s="23" t="s">
        <v>864</v>
      </c>
      <c r="AK131" s="220" t="str">
        <f>IF(AND(AD131="",AE131="",AF131="",AG131="",AH131="",AI131="",AJ131=""),"",IF(OR(Tabla1[[#This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EVALUACIÓN",IF(AND(O131="",R131=""),"",IF(AND(OR(O131&gt;0,R131&gt;0),NG131&gt;=0,NG131&lt;2),"SIN RIESGO",IF(AND(OR(O131&gt;0,R131&gt;0),NG131&gt;=2),"CON RIESGO","ASD")))))</f>
        <v>SIN RIESGO</v>
      </c>
      <c r="AL131" s="23" t="s">
        <v>864</v>
      </c>
      <c r="AM131" s="26" t="s">
        <v>864</v>
      </c>
      <c r="AN131" s="26" t="s">
        <v>864</v>
      </c>
      <c r="AO131" s="26" t="s">
        <v>864</v>
      </c>
      <c r="AP131" s="26" t="s">
        <v>864</v>
      </c>
      <c r="AQ131" s="26" t="s">
        <v>864</v>
      </c>
      <c r="AR131" s="26" t="s">
        <v>864</v>
      </c>
      <c r="AS131" s="21">
        <v>1</v>
      </c>
      <c r="AT131" s="21">
        <v>1</v>
      </c>
      <c r="AU131" s="21">
        <v>0</v>
      </c>
      <c r="AV131" s="26" t="s">
        <v>864</v>
      </c>
      <c r="AW131" s="21">
        <v>0</v>
      </c>
      <c r="AX131" s="26" t="s">
        <v>864</v>
      </c>
      <c r="AY131" s="26" t="s">
        <v>864</v>
      </c>
      <c r="AZ131" s="26" t="s">
        <v>864</v>
      </c>
      <c r="BA131" s="26" t="s">
        <v>864</v>
      </c>
      <c r="BB131" s="26" t="s">
        <v>864</v>
      </c>
      <c r="BC131" s="26" t="s">
        <v>864</v>
      </c>
      <c r="BD131" s="26" t="s">
        <v>864</v>
      </c>
      <c r="BE131" s="26" t="s">
        <v>864</v>
      </c>
      <c r="BF131" s="26" t="s">
        <v>864</v>
      </c>
      <c r="BG131" s="26" t="s">
        <v>864</v>
      </c>
      <c r="BH131" s="26" t="s">
        <v>864</v>
      </c>
      <c r="BI131" s="26" t="s">
        <v>864</v>
      </c>
      <c r="BJ131" s="26"/>
      <c r="BK131" s="26"/>
      <c r="BL131" s="26" t="s">
        <v>864</v>
      </c>
      <c r="BM131" s="26" t="s">
        <v>864</v>
      </c>
      <c r="BN131" s="22"/>
      <c r="BO131" s="22">
        <v>44718</v>
      </c>
      <c r="BP131" s="21" t="s">
        <v>1380</v>
      </c>
      <c r="BQ131" s="222">
        <f t="shared" ref="BQ131:BQ193" si="602">IF(OR(BN131="SD",RW131=""),"",IF(BN131="",0,SUM(RW131-BN131)/30))</f>
        <v>0</v>
      </c>
      <c r="BR131" s="223">
        <f t="shared" ref="BR131:BR193" si="603">IF(BX131&gt;0,SUM(BW131-NH131),"")</f>
        <v>44761.2</v>
      </c>
      <c r="BS131" s="224">
        <f t="shared" ref="BS131:BS193" si="604">IF(AND(BP131="Corregida",BO131&gt;0,R131&gt;0,ISBLANK(BX131)),"SIN SEMANAS X ECO",IF(AND(BP131="Corregida",BO131&gt;0,R131&gt;0),SUM(R131-BR131)/7,IF(AND(OR(BP131="SI",BP131="NO"),BO131&gt;0,R131&gt;0),SUM(R131-BO131)/7,"")))</f>
        <v>34.542857142857557</v>
      </c>
      <c r="BT131" s="216" t="str">
        <f t="shared" ref="BT131:BT193" si="605">IF(AND(BS131="",IG131=""),"",IF(AND(BS131="",IG131="DEFINIR FPP POR ECO"),"SIN DATO",IF(BS131&lt;0,"ERROR FUM O INGRESO O ECO",IF(BP131="NO","DEFINIR CON ECO",IF(BS131&lt;10,"I TRIM",IF(BS131&lt;27,"II TRIM",IF(AND(BS131&gt;26,BS131&lt;45),"III TRIM","ERROR FUM O INGRESO O ECO")))))))</f>
        <v>III TRIM</v>
      </c>
      <c r="BU131" s="214" t="str">
        <f t="shared" ref="BU131:BU193" ca="1" si="606">IF(AND(BO131="",BR131=""),"",IF(SUM((TODAY()-RW131)/7)&gt;43.1,"",IF(AND(RW131&gt;0,OR(BP131="si",BP131="Corregida",BP131="NO")),SUM((TODAY()-RW131)/7),"")))</f>
        <v/>
      </c>
      <c r="BV131" s="25"/>
      <c r="BW131" s="22">
        <v>45016</v>
      </c>
      <c r="BX131" s="28">
        <v>36.4</v>
      </c>
      <c r="BY131" s="28"/>
      <c r="BZ131" s="22"/>
      <c r="CA131" s="21"/>
      <c r="CB131" s="26" t="s">
        <v>864</v>
      </c>
      <c r="CC131" s="26" t="s">
        <v>864</v>
      </c>
      <c r="CD131" s="26"/>
      <c r="CE131" s="26" t="s">
        <v>864</v>
      </c>
      <c r="CF131" s="22" t="s">
        <v>1517</v>
      </c>
      <c r="CG131" s="21"/>
      <c r="CH131" s="21"/>
      <c r="CI131" s="214" t="str">
        <f t="shared" ref="CI131:CI193" si="607">IF(AND(OR(O131&gt;0,R131&gt;0),CG131=""),"SD",IF(AND(OR(O131="",R131=""),CG131=""),"",IF(AND(OR(O131&gt;0,R131&gt;0),CG131&gt;0,CH131&gt;0),SUM(CH131)/(CG131*CG131),"X")))</f>
        <v>SD</v>
      </c>
      <c r="CJ131" s="225" t="str">
        <f>IF(AND(CI131&lt;10,CH131="SD"),"SIN DATO PESO PREGESTACION O I TRIM",IF(AND(OR(R131&gt;0,O131&gt;0),CI131="X"),"INGRESAR DATO DE PESO",IF(CI131="SD","INGRESAR DATO DE TALLA Y PESO",IF(AND(OR(Tabla1[[#This Row],[MOMENTO EN QUE SE REALIZA EL PESO AL INGRESO A CPN]]="PREGESTACIÓN",NZ131="Menor"),CI131&lt;18.5),"BAJO PESO",IF(AND(OR(Tabla1[[#This Row],[MOMENTO EN QUE SE REALIZA EL PESO AL INGRESO A CPN]]="PREGESTACIÓN",NZ131="Menor"),CI131&lt;25),"NORMAL",IF(AND(OR(Tabla1[[#This Row],[MOMENTO EN QUE SE REALIZA EL PESO AL INGRESO A CPN]]="PREGESTACIÓN",NZ131="Menor"),CI131&lt;30),"SOBREPESO",IF(AND(OR(Tabla1[[#This Row],[MOMENTO EN QUE SE REALIZA EL PESO AL INGRESO A CPN]]="PREGESTACIÓN",NZ131="Menor"),CI131&gt;=30,CI131&lt;50),"OBESIDAD",IF(AND(BS131&gt;0,Tabla1[[#This Row],[MOMENTO EN QUE SE REALIZA EL PESO AL INGRESO A CPN]]="GESTACIÓN"),HLOOKUP(NZ131,$OA$2:PH131,NY131),""))))))))</f>
        <v>INGRESAR DATO DE TALLA Y PESO</v>
      </c>
      <c r="CK131" s="212">
        <f t="shared" ref="CK131:CK193" si="608">DY131</f>
        <v>45003</v>
      </c>
      <c r="CL131" s="21"/>
      <c r="CM131" s="214" t="str">
        <f t="shared" ref="CM131:CM193" si="609">IF(AND(OR(O131&gt;0,R131&gt;0),CG131=""),"SD",IF(AND(OR(O131="",R131=""),CG131=""),"",IF(AND(OR(O131&gt;0,R131&gt;0),CG131&gt;0),SUM(CL131)/(CG131*CG131),"X")))</f>
        <v>SD</v>
      </c>
      <c r="CN131" s="216">
        <f t="shared" ref="CN131:CN193" si="610">DZ131</f>
        <v>34</v>
      </c>
      <c r="CO131" s="216" t="e">
        <f>IF(PI131="","",IF(PI131&gt;0,HLOOKUP(PI131,$PJ$2:QQ131,NY131),""))</f>
        <v>#REF!</v>
      </c>
      <c r="CP131" s="21"/>
      <c r="CQ131" s="216" t="e">
        <f>IF(QR131="Menor","NO APLICA-MENOR 13 SEM",IF(AND(CC131="SI",CN131&gt;23),"NO APLICA- GEMELAR",IF(QR131="","",IF(QR131&gt;0,HLOOKUP(QR131,$QS$2:RU131,NY131),""))))</f>
        <v>#REF!</v>
      </c>
      <c r="CR131" s="21"/>
      <c r="CS131" s="21"/>
      <c r="CT131" s="217" t="str">
        <f>IF(R131="","",IF(AND(BS131&gt;1,BS131&lt;12,Tabla1[[#This Row],[T.A. SISTOLICA - ANTES DE SEMANA 12]]="",Tabla1[[#This Row],[T.A. DIASTOLICA - ANTES DE SEMANA 12]]=""),"REGISTRE DATO TA ANTES SEMANA 12",IF(AND(BS131&gt;11,BS131&lt;43,Tabla1[[#This Row],[T.A. SISTOLICA - ANTES DE SEMANA 12]]="",Tabla1[[#This Row],[T.A. DIASTOLICA - ANTES DE SEMANA 12]]=""),"NO APLICA REGISTRO TA-INGRESO TARDIO",IF(AND(OR(O131&gt;0,R131&gt;0),OR(CR131&gt;=140,CS131&gt;=90)),"DEFINIR ESTADIO HTA",IF(AND(OR(O131&gt;0,R131&gt;0),AND(CR131&gt;120,CR131&lt;=139)),"PRE HTA SEGUIMIENTO",IF(AND(OR(O131&gt;0,R131&gt;0),AND(CS131&gt;80,CS131&lt;=89)),"PRE HTA SEGUIMIENTO",IF(AND(OR(O131&gt;0,R131&gt;0),AND(CR131&gt;=80,CR131&lt;=120)),"APARENTEMENTE NORMAL",IF(AND(OR(O131&gt;0,R131&gt;0),AND(CS131&gt;=50,CS131&lt;=80)),"APARENTEMENTE NORMAL",IF(AND(OR(O131&gt;0,R131&gt;0),AND(CR131&gt;1,CR131&lt;=70),AND(CS131&gt;1,CS131&lt;=40)),"HIPOTENSIÓN","")))))))))</f>
        <v>NO APLICA REGISTRO TA-INGRESO TARDIO</v>
      </c>
      <c r="CU131" s="21"/>
      <c r="CV131" s="21"/>
      <c r="CW131" s="217" t="str">
        <f ca="1">IF(R131="","",IF(AND(CN131&gt;19,CN131&lt;27,Tabla1[[#This Row],[T.A. SISTOLICA (Entre semana 20 y 26)]]="",Tabla1[[#This Row],[T.A. DIATOLICA (Entre semana 20 y 26)]]=""),"ACUDE A CONTROL SEM 20 A 26 REGISTRE TA AHORA",IF(AND(BS131&gt;1,BS131&lt;27,BU131&gt;19,Tabla1[[#This Row],[T.A. SISTOLICA (Entre semana 20 y 26)]]="",Tabla1[[#This Row],[T.A. DIATOLICA (Entre semana 20 y 26)]]=""),"COMPLETE REGISTRO TA CONTROL SEM 20 A26 ",IF(AND(BS131&gt;26,BS131&lt;43,Tabla1[[#This Row],[T.A. SISTOLICA (Entre semana 20 y 26)]]="",Tabla1[[#This Row],[T.A. DIATOLICA (Entre semana 20 y 26)]]=""),"NO APLICA REGISTRO TA-INGRESO TARDIO",IF(AND(OR(O131&gt;0,R131&gt;0),OR(CU131&gt;=140,CV131&gt;=90)),"ALTO RIESGO PREECLAMPSIA,DEFINIR ESTADIO HTA",IF(AND(OR(O131&gt;0,R131&gt;0),AND(CU131&gt;120,CU131&lt;=139)),"PRE HTA SEGUIMIENTO,RIESGO HIPERTENSION INDUCIDA POR EL EMBARAZO",IF(AND(OR(O131&gt;0,R131&gt;0),AND(CV131&gt;80,CV131&lt;=89)),"PRE HTA SEGUIMIENTO, RIESGO HIPERTENSION INDUCIDA POR EL EMBARAZO",IF(AND(OR(O131&lt;&gt;"",R131&lt;&gt;""),CS131&lt;&gt;"",CV131&lt;&gt;"",CS131&lt;=CV131),"VIGILAR CIFRAS PRESION ARTERIAL",IF(AND(OR(O131&gt;0,R131&gt;0),AND(CU131&gt;120,CU131&lt;=139)),"PRE HTA SEGUIMIENTO",IF(AND(OR(O131&gt;0,R131&gt;0),AND(CU131&gt;1,CU131&lt;=70),AND(CV131&gt;1,CV131&lt;=40)),"HIPOTENSIÓN",IF(AND(OR(O131&lt;&gt;"",R131&lt;&gt;""),CS131&lt;&gt;"",CV131&lt;&gt;"",CS131&gt;CV131),"APARENTEMENTE NORMAL",IF(AND(OR(O131&gt;0,R131&gt;0),AND(CU131&gt;=80,CU131&lt;=120)),"APARENTEMENTE NORMAL",IF(AND(OR(O131&gt;0,R131&gt;0),AND(CV131&gt;=50,CV131&lt;=80)),"APARENTEMENTE NORMAL","")))))))))))))</f>
        <v>NO APLICA REGISTRO TA-INGRESO TARDIO</v>
      </c>
      <c r="CX131" s="21"/>
      <c r="CY131" s="21"/>
      <c r="CZ131" s="216" t="str">
        <f t="shared" si="499"/>
        <v>ACUDE A CONTROL SEM 30 A 34- REGISTRE AHORA</v>
      </c>
      <c r="DA131" s="21"/>
      <c r="DB131" s="21"/>
      <c r="DC131" s="217" t="str">
        <f t="shared" ref="DC131:DC193" si="611">IF(AND(R131="",DA131="",DB131=""),"",IF(AND(R131&lt;&gt;"",DA131="",DB131=""),"REGISTRE DATO PRESIÓN ARTERIAL MENSUAL",IF(AND(OR(O131&gt;0,R131&gt;0),OR(DA131&gt;=140,DB131&gt;=90)),"ESTUDIO INMEDIATO HTA PARA DESCARTAR PREECLAMSIA",IF(AND(OR(O131&gt;0,R131&gt;0),AND(DA131&gt;=130,DA131&lt;=139)),"PRE HTA,RIESGO ALTO PREECLAMPSIA",IF(AND(OR(O131&gt;0,R131&gt;0),AND(DB131&gt;80,DB131&lt;=89)),"PRE HTA,RIESGO ALTO PREECLAMPSIA",IF(AND(OR(O131&gt;0,R131&gt;0),AND(DA131&gt;120,DA131&lt;=129)),"RANGO PREHIPERTENSIVO SEGUIMIENTO HTA",IF(AND(CN131&gt;34,CN131&lt;43,OR(O131&lt;&gt;"",R131&lt;&gt;""),CS131&lt;&gt;"",CY131&lt;&gt;"",DB131&lt;&gt;"",OR(CS131&lt;DB131,CS131&lt;CY131)),"VIGILAR CIFRAS PRESION ARTERIAL",IF(AND(CN131&gt;34,CN131&lt;43,OR(O131&lt;&gt;"",R131&lt;&gt;""),CR131="",CS131="",OR(CY131&lt;DB131,CX131&lt;DA131)),"VIGILAR CIFRAS PRESION ARTERIAL",IF(AND(CN131&gt;34,CN131&lt;43,OR(O131&lt;&gt;"",R131&lt;&gt;""),CS131&lt;&gt;"",CY131&lt;&gt;"",DB131&lt;&gt;"",OR(CS131=DB131,CS131=CY131)),"APARENTEMENTE NORMAL",IF(AND(OR(O131&gt;0,R131&gt;0),AND(DA131&gt;=80,DA131&lt;=120)),"APARENTEMENTE NORMAL",IF(AND(CN131&gt;34,CN131&lt;43,OR(O131&gt;0,R131&gt;0),AND(DB131&gt;=50,DB131&lt;=80)),"APARENTEMENTE NORMAL","")))))))))))</f>
        <v>REGISTRE DATO PRESIÓN ARTERIAL MENSUAL</v>
      </c>
      <c r="DD131" s="22">
        <v>45003</v>
      </c>
      <c r="DE131" s="22">
        <v>45003</v>
      </c>
      <c r="DF131" s="22"/>
      <c r="DG131" s="22"/>
      <c r="DH131" s="22"/>
      <c r="DI131" s="22"/>
      <c r="DJ131" s="22">
        <v>45003</v>
      </c>
      <c r="DK131" s="22"/>
      <c r="DL131" s="22"/>
      <c r="DM131" s="22"/>
      <c r="DN131" s="22"/>
      <c r="DO131" s="22"/>
      <c r="DP131" s="22"/>
      <c r="DQ131" s="22"/>
      <c r="DR131" s="28">
        <v>1</v>
      </c>
      <c r="DS131" s="22"/>
      <c r="DT131" s="22"/>
      <c r="DU131" s="216" t="str">
        <f t="shared" ca="1" si="439"/>
        <v>SALE SIN PLAN DE PARTO</v>
      </c>
      <c r="DV131" s="226" t="str">
        <f t="shared" si="440"/>
        <v>SALIO PROGRAMA</v>
      </c>
      <c r="DW131"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31" s="216" t="str">
        <f t="shared" ref="DX131:DX193" ca="1" si="612">IF(NI131="SD","",IF(AND(NI131&lt;=33,NI131&gt;=8),"MES DE CONTROL",IF(AND(NI131&gt;=1,NI131&lt;8),"SEMANA DE CONTROL",IF(NI131=0,"DIA DE CONTROL",IF(NI131&lt;0,"INASISTENTE",IF(NI131="Y","SEGUIMIENTO FUERA MUNICIPIO",IF(NI131="Z","BUSCAR PARA INGRESO A CPN",IF(NI131="W","DEFINIR FECHA CITA",IF(NI131="X","NO REALIZO CPN",IF(NI131="I","IVE",IF(NI131="S","DILIGENCIAR FECHA SALIDA PROGRAMA","REVISAR FORMULA")))))))))))</f>
        <v/>
      </c>
      <c r="DY131" s="212">
        <f>IF(R131="","",IF(R131&gt;0,MAX(Tabla1[[#This Row],[FECHA C2]:[FECHA C13]],Tabla1[[#This Row],[FECHA CONSULTA PRIMERA VEZ PROGRAMA CPN ]])))</f>
        <v>45003</v>
      </c>
      <c r="DZ131" s="216">
        <f t="shared" ref="DZ131:DZ193" si="613">IF(AND(DY131="",RW131="",R131=""),"",IF(AND(R131="",RW131&gt;0,DY131=""),"",IF(AND(R131&gt;0,DY131&lt;RW131),"REVISAR FUM O FECHA CPN",IF(AND(R131&gt;0,DY131&gt;0,RW131=""),"SD",IF(AND(R131&gt;0,DY131&gt;0,RW131&gt;0),INT(SUM(DY131-RW131)/7))))))</f>
        <v>34</v>
      </c>
      <c r="EA131" s="222">
        <f>IF(R131&gt;0,SUM(COUNTA(DF131:DQ131)+COUNTA(Tabla1[[#This Row],[FECHA CONSULTA PRIMERA VEZ PROGRAMA CPN ]])),"")</f>
        <v>2</v>
      </c>
      <c r="EB131" s="222" t="str">
        <f t="shared" ref="EB131:EB193" si="614">IF(AND(EA131&gt;=0,EA131&lt;4),"NO",IF(AND(EA131&gt;=4,EA131&lt;12),"SI",""))</f>
        <v>NO</v>
      </c>
      <c r="EC131" s="214">
        <f t="shared" ref="EC131:EC193" si="615">IF(BS131="","",IF(BS131&gt;0,INT(SUM(((40-BS131)/4)+2)),"X"))</f>
        <v>3</v>
      </c>
      <c r="ED131" s="227">
        <f t="shared" ref="ED131:ED193" si="616">IF(EC131="","",IF(EA131&gt;0,SUM(EA131/EC131),"X"))</f>
        <v>0.66666666666666663</v>
      </c>
      <c r="EE131" s="22">
        <v>45003</v>
      </c>
      <c r="EF131" s="22">
        <v>45003</v>
      </c>
      <c r="EG131" s="22">
        <v>45003</v>
      </c>
      <c r="EH131" s="22">
        <v>44846</v>
      </c>
      <c r="EI131" s="22">
        <v>44846</v>
      </c>
      <c r="EJ131" s="22">
        <v>44846</v>
      </c>
      <c r="EK131" s="22"/>
      <c r="EL131" s="21">
        <v>1</v>
      </c>
      <c r="EM131" s="21"/>
      <c r="EN131" s="22"/>
      <c r="EO131" s="222" t="str">
        <f t="shared" ref="EO131:EO193" si="617">IF(AND(BT131="ERROR FUM O INGRESO",EN131&gt;0),"ERROR FUM O INGRESO",IF(AND(EN131="",R131="",O131=""),"",IF(OR(AND(EN131&lt;&gt;"",EN131&lt;RW131),AND(EN131&lt;&gt;"",SUM((EN131-RW131)/7)&gt;40)),"CORREGIR FECHA RESULTADO",IF(AND(EN131="",OR(O131&gt;0,R131&gt;0)),"TOMAR EXAMEN",IF(EN131&gt;0,SUM(EN131-RW131)/7,"")))))</f>
        <v>TOMAR EXAMEN</v>
      </c>
      <c r="EP131" s="214" t="str">
        <f t="shared" ref="EP131:EP193" si="618">IF(AND(OR(O131&gt;0,R131&gt;0),EM131=""),"",IF(AND(OR(O131&gt;0,R131&gt;0),EM131&gt;0,EM131&lt;11),"MANEJO MD POR ANEMIA FERROPENICA",IF(AND(OR(O131&gt;0,R131&gt;0),EM131&lt;=14),"NORMAL- SUMINISTRAR SULFATO FERROSO",IF(AND(OR(O131&gt;0,R131&gt;0),EM131&lt;20),"NO DAR SULFATO FERROSO",""))))</f>
        <v/>
      </c>
      <c r="EQ131" s="216" t="str">
        <f t="shared" ref="EQ131:EQ193" si="619">IF(AND(EO131="",BT131=""),"",IF(AND(EO131&lt;&gt;"",BT131="SIN DATO"),"SIN DATO",IF(AND(EO131="",BT131&lt;&gt;""),"",IF(AND(EO131&lt;0,BT131&gt;0),"ERROR FUM O INGRESO",IF(EO131&lt;=13,"I TRIM",IF(EO131&lt;28,"II TRIM",IF(AND(EO131&gt;27,EO131&lt;45),"III TRIM","POR DEFINIR")))))))</f>
        <v>POR DEFINIR</v>
      </c>
      <c r="ER131" s="24">
        <v>13.1</v>
      </c>
      <c r="ES131" s="22">
        <v>44803</v>
      </c>
      <c r="ET131" s="29">
        <f t="shared" ca="1" si="441"/>
        <v>5.9714285714289872</v>
      </c>
      <c r="EU131" s="25" t="str">
        <f t="shared" ref="EU131:EU193" si="620">IF(AND(OR(O131&gt;0,R131&gt;0),ER131=""),"",IF(AND(OR(O131&gt;0,R131&gt;0),ER131&gt;0,ER131&lt;10.5),"MANEJO MD POR ANEMIA FERROPENICA",IF(AND(OR(O131&gt;0,R131&gt;0),ER131&lt;14),"NORMAL- SUMINISTRAR SULFATO FERROSO",IF(AND(OR(O131&gt;0,R131&gt;0),ER131&lt;20),"NO DAR SULFATO FERROSO",""))))</f>
        <v>NORMAL- SUMINISTRAR SULFATO FERROSO</v>
      </c>
      <c r="EV131" s="24" t="s">
        <v>1510</v>
      </c>
      <c r="EW131" s="24">
        <v>45168</v>
      </c>
      <c r="EX131" s="22"/>
      <c r="EY131" s="29" t="str">
        <f t="shared" si="454"/>
        <v>CORREGIR FECHA RESULTADO</v>
      </c>
      <c r="EZ131" s="25" t="str">
        <f t="shared" si="455"/>
        <v>SIN RIESGO DE ISOINMUNIZACIÓN</v>
      </c>
      <c r="FA131" s="21">
        <v>79</v>
      </c>
      <c r="FB131" s="22">
        <v>45168</v>
      </c>
      <c r="FC131" s="29" t="str">
        <f t="shared" ref="FC131:FC193" si="621">IF(AND(BT131="ERROR FUM O INGRESO",FB131&gt;0),"ERROR FUM O INGRESO",IF(AND(FB131="",R131="",O131=""),"",IF(OR(AND(FB131&lt;&gt;"",FB131&lt;RW131),AND(FB131&lt;&gt;"",SUM((FB131-RW131)/7)&gt;40)),"CORREGIR FECHA RESULTADO",IF(AND(FB131="",BS131&gt;=24,OR(O131&gt;0,R131&gt;0)),"PIERDE TOMA TAMIZAJE- INGRESO TARDIO",IF(AND(FB131="",OR(O131&gt;0,R131&gt;0)),"TOMAR EXAMEN",IF(SUM((FB131-RW131)/7)&gt;=24,"NO APLICA &gt; 23 SEM -TOMAR PTOG",IF(AND(SUM((FB131-RW131)/7)&lt;24,FA131&gt;126),"DIABETES PREGESTACIONAL- REMITIR",IF(FB131&gt;0,SUM(FB131-RW131)/7,""))))))))</f>
        <v>CORREGIR FECHA RESULTADO</v>
      </c>
      <c r="FD131" s="29">
        <v>80</v>
      </c>
      <c r="FE131" s="29">
        <v>139</v>
      </c>
      <c r="FF131" s="29">
        <v>100</v>
      </c>
      <c r="FG131" s="21" t="str">
        <f t="shared" ref="FG131:FG193" ca="1" si="622">IF(AND(OR(FD131&gt;0,FE131&gt;0,FF131&gt;0),FI131&gt;0,FI131&lt;24,AND(FD131&gt;1,FD131&lt;92),AND(FE131&gt;1,FE131&lt;180),AND(FF131&gt;1,FF131&lt;153)),"NORMAL, NO DESCARTA DIABETES POR REALIZARLO ANTES DE  SEMANA 24, ",IF(AND(OR(FD131&gt;0,FE131&gt;0,FF131&gt;0),FI131&gt;0,FI131&lt;24,OR(FD131&gt;=92,FE131&gt;=180,FF131&gt;=153)),"DIABETES, REMITIR",IF(AND(BU131="",FH131="",FD131="",FE131="",FF131=""),"",IF(AND(BU131&gt;=19,BU131&lt;24,FH131="",FD131="",FE131="",FF131=""),"PROGRAMAR TOMA PTOG SIGUIENTE CONTROL",IF(AND(BU131&gt;=24,FH131="",FD131="",FE131="",FF131=""),"TOMAR PTOG",IF(OR(FD131&gt;=92,FE131&gt;=180,FF131&gt;=153),"DIABETES, REMITIR",IF(AND(AND(FD131&gt;1,FD131&lt;92),AND(FE131&gt;1,FE131&lt;180),AND(FF131&gt;1,FF131&lt;153)),"NORMAL",IF(AND(FD131&gt;0,OR(FE131=0,FF131=0)),"NO COMPLETA EXAMEN",""))))))))</f>
        <v>NORMAL</v>
      </c>
      <c r="FH131" s="31">
        <v>44947</v>
      </c>
      <c r="FI131" s="29">
        <f t="shared" ref="FI131:FI193" si="623">IF(AND(BT131="ERROR FUM O INGRESO",FH131&gt;0),"ERROR FUM O INGRESO",IF(AND(FH131="",R131="",O131=""),"",IF(OR(AND(FH131&lt;&gt;"",FH131&lt;RW131),AND(FH131&lt;&gt;"",SUM((FH131-RW131)/7)&gt;40)),"CORREGIR FECHA RESULTADO",IF(AND(FH131="",OR(O131&gt;0,R131&gt;0)),"TOMAR EXAMEN",IF(FH131&gt;0,SUM(FH131-RW131)/7,"")))))</f>
        <v>26.54285714285756</v>
      </c>
      <c r="FJ131" s="22" t="s">
        <v>867</v>
      </c>
      <c r="FK131" s="22">
        <v>44803</v>
      </c>
      <c r="FL131" s="29">
        <f t="shared" ref="FL131:FL193" ca="1" si="624">IF(AND(BT131="ERROR FUM O INGRESO",FK131&gt;0),"ERROR FUM O INGRESO",IF(AND(FK131="",R131="",O131=""),"",IF(OR(AND(FK131&lt;&gt;"",FK131&lt;RW131),AND(FK131&lt;&gt;"",AND(SUM((FK131-RW131)/7)&gt;=13,SUM((FK131-RW131)/7)&lt;27))),"REGISTRAR EN II TRIMESTRE",IF(OR(AND(FK131&lt;&gt;"",FK131&lt;RW131),AND(FK131&lt;&gt;"",AND(SUM((FK131-RW131)/7)&gt;=27,SUM((FK131-RW131)/7)&lt;44))),"REGISTRAR EN III TRIMESTRE",IF(AND(FK131="",OR(O131&gt;0,R131&gt;0),AND(BU131&gt;1,BU131&lt;10)),"EN RANGO PARA TOMAR EXAMEN",IF(AND(FK131="",OR(O131&gt;0,R131&gt;0),AND(BU131&gt;=10,BU131&lt;13)),"TOMA INMEDIATA DE TAMIZAJE",IF(AND(FK131="",BS131&lt;13,OR(O131&gt;0,R131&gt;0)),"PIERDE TOMA DE TAMIZAJE",IF(AND(FK131="",OR(O131&gt;0,R131&gt;0),AND(BS131&gt;=13,BS131&lt;43)),"NO APLICA-INGRESO TARDIO",IF(FK131&gt;0,SUM(FK131-RW131)/7,"")))))))))</f>
        <v>5.9714285714289872</v>
      </c>
      <c r="FM131" s="22" t="s">
        <v>867</v>
      </c>
      <c r="FN131" s="32">
        <v>45220</v>
      </c>
      <c r="FO131" s="29">
        <f t="shared" ca="1" si="442"/>
        <v>65.542857142857557</v>
      </c>
      <c r="FP131" s="22"/>
      <c r="FQ131" s="32"/>
      <c r="FR131" s="29" t="str">
        <f t="shared" ca="1" si="443"/>
        <v>PIERDE TOMA DE TAMIZAJE</v>
      </c>
      <c r="FS131" s="22"/>
      <c r="FT131" s="32"/>
      <c r="FU131" s="29" t="str">
        <f>IF(AND(FJ131="",FM131="",FP131="",FS131=""),"",IF(OR(OR(Tabla1[[#This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31" s="28"/>
      <c r="FW131" s="22"/>
      <c r="FX131" s="29" t="str">
        <f t="shared" ref="FX131:FX193" si="625">IF(AND(BT131="ERROR FUM O INGRESO",FW131&gt;0),"ERROR FUM O INGRESO",IF(AND(FW131="",R131="",O131=""),"",IF(OR(AND(FW131&lt;&gt;"",FW131&lt;RW131),AND(FW131&lt;&gt;"",SUM((FW131-RW131)/7)&gt;40)),"CORREGIR FECHA RESULTADO",IF(AND(FW131="",OR(O131&gt;0,R131&gt;0)),"TOMAR EXAMEN",IF(FW131&gt;0,SUM(FW131-RW131)/7,"")))))</f>
        <v>TOMAR EXAMEN</v>
      </c>
      <c r="FY131" s="22">
        <v>45168</v>
      </c>
      <c r="FZ131" s="22">
        <v>45168</v>
      </c>
      <c r="GA131" s="29">
        <f t="shared" ca="1" si="498"/>
        <v>58.114285714286133</v>
      </c>
      <c r="GB131" s="22"/>
      <c r="GC131" s="22"/>
      <c r="GD131" s="29" t="str">
        <f t="shared" ca="1" si="491"/>
        <v>NO APLICA-INGRESO TARDIO</v>
      </c>
      <c r="GE131" s="22"/>
      <c r="GF131" s="22"/>
      <c r="GG131" s="29" t="str">
        <f t="shared" ca="1" si="445"/>
        <v>PIERDE TOMA DE TAMIZAJE</v>
      </c>
      <c r="GH131" s="22"/>
      <c r="GI131" s="29"/>
      <c r="GJ131" s="22"/>
      <c r="GK131" s="22"/>
      <c r="GL131" s="22"/>
      <c r="GM131" s="22"/>
      <c r="GN131" s="28"/>
      <c r="GO131" s="22"/>
      <c r="GP131" s="29" t="str">
        <f t="shared" ref="GP131:GP193" si="626">IF(AND(BT131="ERROR FUM O INGRESO",GO131&gt;0),"ERROR FUM O INGRESO",IF(AND(GO131="",R131="",O131=""),"",IF(OR(AND(GO131&lt;&gt;"",GO131&lt;RW131),AND(GO131&lt;&gt;"",SUM((GO131-RW131)/7)&gt;40)),"CORREGIR FECHA RESULTADO",IF(AND(GO131="",OR(O131&gt;0,R131&gt;0)),"TOMAR EXAMEN",IF(GO131&gt;0,SUM(GO131-RW131)/7,"")))))</f>
        <v>TOMAR EXAMEN</v>
      </c>
      <c r="GQ131" s="28" t="s">
        <v>869</v>
      </c>
      <c r="GR131" s="28" t="s">
        <v>869</v>
      </c>
      <c r="GS131" s="22" t="str">
        <f t="shared" ref="GS131:GS162" si="627">IF(GQ131="NEGATIVO","CONTROL Igm",IF(AND(GQ131="POSITIVO",GR131="NEGATIVO"),"SE EXCLUYE INFECCION",IF(AND(GQ131="POSITIVO",GR131="POSITIVO"),"TOXOPLASMOSIS, REMITIR PARA MANEJO","")))</f>
        <v>CONTROL Igm</v>
      </c>
      <c r="GT131" s="22">
        <v>45168</v>
      </c>
      <c r="GU131" s="29" t="str">
        <f t="shared" ref="GU131:GU193" si="628">IF(AND(BT131="ERROR FUM O INGRESO",GT131&gt;0),"ERROR FUM O INGRESO",IF(AND(GT131="",R131="",O131=""),"",IF(OR(AND(GT131&lt;&gt;"",GT131&lt;BO131),AND(GT131&lt;&gt;"",SUM((GT131-BO131)/7)&gt;40)),"CORREGIR FECHA RESULTADO",IF(AND(GT131="",OR(O131&gt;0,R131&gt;0)),"TOMAR EXAMEN",IF(GT131&gt;0,SUM(GT131-BO131)/7,"")))))</f>
        <v>CORREGIR FECHA RESULTADO</v>
      </c>
      <c r="GV131" s="21" t="str">
        <f t="shared" ref="GV131:GV193" si="629">IF(AND(GU131="",BT131=""),"",IF(AND(GU131&lt;&gt;"",BT131="SIN DATO"),"SIN DATO",IF(AND(GU131="",BT131&lt;&gt;""),"",IF(AND(GU131&lt;0,BT131&gt;0),"ERROR FUM O INGRESO",IF(GU131&lt;=13,"I TRIM",IF(GU131&lt;28,"II TRIM",IF(AND(GU131&gt;27,GU131&lt;45),"III TRIM","POR DEFINIR")))))))</f>
        <v>POR DEFINIR</v>
      </c>
      <c r="GW131" s="28" t="s">
        <v>869</v>
      </c>
      <c r="GX131" s="30"/>
      <c r="GY131" s="21"/>
      <c r="GZ131" s="21"/>
      <c r="HA131" s="21"/>
      <c r="HB131" s="21"/>
      <c r="HC131" s="21"/>
      <c r="HD131" s="21"/>
      <c r="HE131" s="21"/>
      <c r="HF131" s="22"/>
      <c r="HG131" s="22" t="str">
        <f>IF(OR(O131&gt;0,R131&gt;0),CONCATENATE(IF(Tabla1[[#This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31" s="22" t="e">
        <f t="shared" ref="HH131:HH193" si="630">IF(OR(O131&gt;0,R131&gt;0),CONCATENATE(IF(AZ131="SI","ANTECEDENTE EMBARAZO MOLAR",""),"*",CONCATENATE(IF(BA131="SI","ANTECEDENTE MUERTE NEONATAL",""),"*",CONCATENATE(IF(AND(BQ131&gt;0,BQ131&lt;13),"PERIODO INTERGENESICO CORTO",""),"*",CONCATENATE(IF(AND(BS131&gt;13,BS131&lt;42),"INGRESO TARDIO A CPN",""),"*",CONCATENATE(IF(CO131="BAJO PESO","BAJO PESO",""),"*",CONCATENATE(IF(CO131="SOBREPESO","SOBREPESO",""),"*",CONCATENATE(IF(CO131="OBESIDAD","OBESIDAD",""),"*",CONCATENATE(IF(GN131="POSITIVO","SEGUIMIENTO INFECCIÓN HEP B",""),"*",CONCATENATE(IF(GS131="TOXOPLASMOSIS, REMITIR PARA MANEJO","INFECCIÓN TOXOPLASMOSIS",""),"*",CONCATENATE(IF(GS131="CONTROL Igm","PREVENCIÓN CONTAGIO TOXOPLASMOSIS",""),"*",CONCATENATE(IF(OR(HF131="COVID19 PRIMER TRIMESTRE",HF131="COVID19 SEGUNDO TRIMESTRE",HF131="COVID19 TERCER TRIMESTRE",HF131="COVID19 PUERPERIO"),"INFECCIÓN SARS-CoV2 CONFIRMADA",""),"*",CONCATENATE(IF(GY131="Esquema vigente – Alterado","DESCARTAR CANCER DE UTERO",""),"*",)))))))))))),"")</f>
        <v>#REF!</v>
      </c>
      <c r="HI131" s="22" t="e">
        <f t="shared" ref="HI131:HI193" ca="1" si="631">IF(AND(O131="",R131=""),"",IF(AND(OR(O131&lt;&gt;"",R131&lt;&gt;""),OR(HK131="RIESGO ALTO DE COMPLICACIONES HIPERTENSIVAS VER MANEJO GUIA SUMINISTRO ASA Y CALCIO",HK131="RIESGO MODERADO (2 O MAS CRITERIOS) VER MANEJO GUIA SUMINISTRO ASA Y CALCIO")),"ALTO RIESGO",IF(AND(HH131="************",OR(O131&lt;&gt;"",R131&lt;&gt;""),AND(ND131&gt;=0,ND131&lt;3)),"BAJO RIESGO",IF(AND(OR(O131&lt;&gt;"",R131&lt;&gt;""),OR(HF131="COVID19 PRIMER TRIMESTRE",HF131="COVID19 SEGUNDO TRIMESTRE",HF131="COVID19 TERCER TRIMESTRE",HF131="COVID19 PUERPERIO")),"ALTO RIESGO",IF(AND(HH131&lt;&gt;"",OR(O131&lt;&gt;"",R131&lt;&gt;""),AND(ND131&gt;=0,ND131&lt;3)),"CON RIESGO",IF(AND(OR(O131&lt;&gt;"",R131&lt;&gt;""),ND131&gt;2),"ALTO RIESGO",""))))))</f>
        <v>#REF!</v>
      </c>
      <c r="HJ131" s="21" t="str">
        <f t="shared" ref="HJ131:HJ193" ca="1" si="632">IF(OR(O131&gt;0,R131&gt;0),CONCATENATE(IF(AK131="CON RIESGO","RIESGO PSICOSOCIAL",""),"*",CONCATENATE(IF(AL131="SI","ANTECEDENTE PREECLAMPSIA",""),"*",CONCATENATE(IF(AM131="SI","ANTECEDENTE HEMORRAGIA POSTPARTO O RETENCIÓN DE PLACENTA",""),"*",CONCATENATE(IF(AN131="SI","ANTECEDENTE RN BAJO PESO",""),"*",CONCATENATE(IF(AQ131="SI","ANTECEDENTE TRABAJO DE PARTO PROLONGADO",""),"*",CONCATENATE(IF(AV131="SI","INFERTILIDAD",""),"*",CONCATENATE(IF(BD131="SI","ENFERMERDAD AUTOINMUNE",""),"*",CONCATENATE(IF(BE131="SI","DIABETES PREGESTACIONAL",""),"*",CONCATENATE(IF(BF131="SI","ENFERMEDAD CARDIACA",""),"*",CONCATENATE(IF(BG131="SI","HTA CRÓNICA",""),"*",CONCATENATE(IF(BH131="SI","ENFERMEDAD RENAL CRÓNICA",""),"*",CONCATENATE(IF(BK131="SI","ANOMALIA CONGÉNITA",""),"*",CONCATENATE(IF(OR(BL131="SI",BM131="SI"),"HEMORRAGIA DURANTE LA GESTACIÓN",""),"*",CONCATENATE(IF(CB131="SI","RCIU",""),"*",CONCATENATE(IF(CC131="SI","EMBARAZO GEMELAR",""),"*",CONCATENATE(IF(NA131=3,"PRESENTACIÓN FETAL PODALICA O TRANSVERSA",""),"*",CONCATENATE(IF(CE131="SI","POLIHIDRAMNIOS",""),"*",CONCATENATE(IF(FG131="DIABETES, REMITIR","DIABETES GESTACIONAL",""),"*",CONCATENATE(IF(FU131&lt;&gt;"","SEGUIMIENTO PARA SIFILIS GESTACIONAL",""),"*",CONCATENATE(IF(MZ131=3,"SEGUIMIENTO PARA VIH",""),"*",CONCATENATE(IF(MX131=1,"SEGUIMIENTO PARA ANEMIA",""),"*",CONCATENATE(IF(MU131=2,"MULTIPARIDAD",""),"*",CONCATENATE(IF(MU131=1,"MULTIPARIDAD",""),"*",CONCATENATE(IF(MT131=1,"ANTECEDENTE MUERTE PERINATAL",""),"*",CONCATENATE(IF(OR(MR131=2,MR131=1),"RIESGO POR EDAD",""),"*",CONCATENATE(IF(OR(MV131=1,MV131=2),"CESAREAS PREVIAS",""),"*",CONCATENATE(IF(MW131=1,"ANTECEDENTE ECTOPICO O CX UTERINA",""),"*",CONCATENATE(IF(MY131=1,"EMBARAZO PROLONGADO",""),"*",CONCATENATE(IF(NB131=2,"SEGUIMIENTO PARA CHAGAS",""),"*",CONCATENATE(IF(NC131=3,"SEGUIMIENTO PARA MALARIA",""),"*",CONCATENATE(IF(OR(HF131="COVID19 PRIMER TRIMESTRE",HF131="COVID19 SEGUNDO TRIMESTRE",HF131="COVID19 TERCER TRIMESTRE",HF131="COVID19 PUERPERIO"),"SEGUIMIENTO PARA COVID19",""),"*",CONCATENATE(IF(EZ131="COOMBS C/MES Y RESUMAN SEM 28","RIESGO DE ISOINMUNIZACIÓN RH",""),"*",CONCATENATE(IF(EZ131="TOMAR COOMBS CUANTITATIVO Y REMISIÓN","ISOINMUNIZACIÓN RH",""),"*",CONCATENATE(IF(BC131="SI, CONTROLADA","EPILEPSIA CONTROLADA",""),"*",CONCATENATE(IF(BC131="SI, SIN MANEJO","EPILEPSIA SIN MANEJO",""),"*",CONCATENATE(IF(BC131="SI, NO CONTROLADA","EPILEPSIA NO CONTROLADA",""),"*",CONCATENATE(IF(AP131="SI","AMENAZA PARTO PRETERMINO",""),"*",CONCATENATE(IF(AO131="SI","ANTECEDENTE MACROSOMICO",""),"*",CONCATENATE(IF(AD131="Consumo ActualI","USO SUSTANCIAS PSICOACTIVAS",""),"*"))))))))))))))))))))))))))))))))))))))),"")</f>
        <v>************************RIESGO POR EDAD***************</v>
      </c>
      <c r="HK131" s="21" t="str">
        <f t="shared" ref="HK131:HK193" si="633">IF(AND(O131="",R131=""),"",IF(AND(OR(O131&gt;0,R131&gt;0),OR(AL131="SI",BG131="SI",BD131="SI",BE131="SI",BH131="SI")),"RIESGO ALTO DE COMPLICACIONES HIPERTENSIVAS VER MANEJO GUIA SUMINISTRO ASA Y CALCIO",IF(AND(OR(O131&gt;0,R131&gt;0),NE131&gt;1),"RIESGO MODERADO (2 O MAS CRITERIOS) VER MANEJO GUIA SUMINISTRO ASA Y CALCIO","SIN ANTECEDENTES DE RIESGO")))</f>
        <v>SIN ANTECEDENTES DE RIESGO</v>
      </c>
      <c r="HL131" s="24" t="str">
        <f t="shared" ref="HL131:HL193" si="634">DC131</f>
        <v>REGISTRE DATO PRESIÓN ARTERIAL MENSUAL</v>
      </c>
      <c r="HM131" s="21" t="str">
        <f t="shared" ref="HM131:HM193" ca="1" si="635">IF(NI131="SD","",IF(AND(NI131&lt;=33,NI131&gt;=8),"MES DE CONTROL",IF(AND(NI131&gt;=1,NI131&lt;8),"SEMANA DE CONTROL",IF(NI131=0,"DIA DE CONTROL",IF(NI131&lt;0,"INASISTENTE",IF(NI131="Y","SEGUIMIENTO FUERA MUNICIPIO",IF(NI131="Z","BUSCAR PARA INGRESO A CPN",IF(NI131="W","DEFINIR FECHA CITA",IF(NI131="X","NO REALIZO CPN",IF(NI131="S","DILIGENCIAR FECHA SALIDA PROGRAMA","REVISAR FORMULA"))))))))))</f>
        <v/>
      </c>
      <c r="HN131" s="30" t="str">
        <f t="shared" si="446"/>
        <v>SALIO PROGRAMA</v>
      </c>
      <c r="HO131" s="21"/>
      <c r="HP131" s="21"/>
      <c r="HQ131" s="21">
        <v>45003</v>
      </c>
      <c r="HR131" s="21" t="str">
        <f>IF(R131="","",IF(Tabla1[[#This Row],[ALARMA FACTORES DE RIESGO COMPLICACIONES HIPERTENSIVAS3]]="SIN ANTECEDENTES DE RIESGO","No Aplica para suministro de ASA",IF(AND(Tabla1[[#This Row],[FECHA INICIO DE SUMINISTRO DE ASA]]&gt;0,RV131&lt;12),"Inicia ASA ANTES de Sem 12",IF(AND(RV131&gt;11,RV131&lt;17,OR(HK131="RIESGO ALTO DE COMPLICACIONES HIPERTENSIVAS VER MANEJO GUIA SUMINISTRO ASA Y CALCIO",HK131="RIESGO MODERADO (2 O MAS CRITERIOS) VER MANEJO GUIA SUMINISTRO ASA Y CALCIO")),"Inicio oportuno de ASA",IF(AND(RV131&gt;12,OR(HK131="RIESGO ALTO DE COMPLICACIONES HIPERTENSIVAS VER MANEJO GUIA SUMINISTRO ASA Y CALCIO",HK131="RIESGO MODERADO (2 O MAS CRITERIOS) VER MANEJO GUIA SUMINISTRO ASA Y CALCIO")),"Inicio no oportuno mayor a 16 semanas",IF(AND(BU131&lt;12,OR(HK131="RIESGO ALTO DE COMPLICACIONES HIPERTENSIVAS VER MANEJO GUIA SUMINISTRO ASA Y CALCIO",HK131="RIESGO MODERADO (2 O MAS CRITERIOS) VER MANEJO GUIA SUMINISTRO ASA Y CALCIO")),"Pendiente Inicio de ASA a la semana 12",IF(AND(BU131&gt;11,BU131&lt;17,OR(HK131="RIESGO ALTO DE COMPLICACIONES HIPERTENSIVAS VER MANEJO GUIA SUMINISTRO ASA Y CALCIO",HK131="RIESGO MODERADO (2 O MAS CRITERIOS) VER MANEJO GUIA SUMINISTRO ASA Y CALCIO")),"Iniciar de inmediato ASA",IF(AND(BU131&gt;16,OR(HK131="RIESGO ALTO DE COMPLICACIONES HIPERTENSIVAS VER MANEJO GUIA SUMINISTRO ASA Y CALCIO",HK131="RIESGO MODERADO (2 O MAS CRITERIOS) VER MANEJO GUIA SUMINISTRO ASA Y CALCIO")),"Pierde Oportunidad, Inicio tardío de ASA","XXXXX"))))))))</f>
        <v>No Aplica para suministro de ASA</v>
      </c>
      <c r="HS131" s="22">
        <v>45003</v>
      </c>
      <c r="HT131" s="22" t="s">
        <v>870</v>
      </c>
      <c r="HU131" s="22"/>
      <c r="HV131" s="22"/>
      <c r="HW131" s="22">
        <v>45003</v>
      </c>
      <c r="HX131" s="22" t="s">
        <v>870</v>
      </c>
      <c r="HY131" s="22"/>
      <c r="HZ131" s="28" t="str">
        <f t="shared" ref="HZ131:HZ193" si="636">IF(AND(BT131="ERROR FUM O INGRESO",HY131&gt;0),"ERROR FUM O INGRESO",IF(AND(HY131="",R131=""),"",IF(OR(AND(HY131&lt;&gt;"",HY131&lt;RW131),AND(HY131&lt;&gt;"",SUM((HY131-RW131)/7)&gt;40)),"CORREGIR FECHA CONSULTA",IF(AND(HY131="",R131&gt;0),"PENDIENTE CONSULTA",IF(HY131&gt;0,SUM(HY131-RW131)/7,"")))))</f>
        <v>PENDIENTE CONSULTA</v>
      </c>
      <c r="IA131" s="26"/>
      <c r="IB131" s="26"/>
      <c r="IC131" s="111"/>
      <c r="ID131" s="22"/>
      <c r="IE131" s="22" t="str">
        <f t="shared" ref="IE131:IE193" ca="1" si="637">IF(AND(RW131="",NF131="SD"),"SIN DATO EDAD GESTACIONAL",IF(AND(RW131="",ID131=""),"",IF(AND(AND(BU131&gt;0,BU131&lt;20),ID131=""),"EN ESPERA PARA VACUNAR",IF(AND(AND(BU131&gt;19,BU131&lt;27),ID131=""),"PROGRAMAR APLICACION DE VACUNA",IF(AND(AND(BU131&gt;26,BU131&lt;43),ID131=""),"INASISTENTE",IF(AND(AND(NF131&gt;19,NF131&lt;27),ID131&gt;0),"VACUNA APLICADA ENTRE SEMANA 20 Y SEMANA 26",IF(AND(NF131&lt;20,ID131&gt;0),"VACUNA APLICADA ANTES SEMANA 20",IF(AND(NF131&gt;26,ID131&gt;0),"VACUNA APLICADA ENTRE SEMANA 27 Y EL PARTO",IF(AND(OR(IK131="CESAREA",IK131="PARTO"),II131="POSIBLEMENTE NACIO",ID131=""),"SALE SIN VACUNA","")))))))))</f>
        <v>SALE SIN VACUNA</v>
      </c>
      <c r="IF131" s="22"/>
      <c r="IG131" s="22">
        <f t="shared" ref="IG131:IG193" si="638">IF(OR(BP131="SI",BP131="Corregida",BP131="NO"),(RW131+280),IF(BP131="Sin Dato","DEFINIR FPP POR ECO",""))</f>
        <v>45041.2</v>
      </c>
      <c r="IH131" s="29">
        <f t="shared" ref="IH131:IH193" ca="1" si="639">IF(OR(IG131="DEFINIR FPP POR ECO",BT131="ERROR FUM O INGRESO"),"SIN DEFINIR",IF(IG131="","",IF(IG131&gt;0,SUM(IG131-TODAY()),"X")))</f>
        <v>-190.80000000000291</v>
      </c>
      <c r="II131" s="22" t="str">
        <f t="shared" ref="II131:II193" ca="1" si="640">IF(IH131&lt;0,"POSIBLEMENTE NACIO",IF(IH131="SIN DEFINIR","SIN DATO",IF(AND(IH131&gt;=0,IH131&lt;=7),"SEMANA DE PARTO",IF(AND(IH131&gt;=8,IH131&lt;=28),"MENOS DE 4 SEMANAS",IF(AND(IH131&gt;=29,IH131&lt;=280),"PENDIENTE","")))))</f>
        <v>POSIBLEMENTE NACIO</v>
      </c>
      <c r="IJ131" s="22"/>
      <c r="IK131" s="21" t="s">
        <v>898</v>
      </c>
      <c r="IL131" s="21" t="s">
        <v>1639</v>
      </c>
      <c r="IM131" s="34"/>
      <c r="IN131" s="349">
        <v>45017</v>
      </c>
      <c r="IO131" s="21" t="s">
        <v>1186</v>
      </c>
      <c r="IP131" s="29">
        <f t="shared" si="490"/>
        <v>36.542857142857557</v>
      </c>
      <c r="IQ131" s="290" t="s">
        <v>1654</v>
      </c>
      <c r="IR131" s="290" t="s">
        <v>1651</v>
      </c>
      <c r="IS131" s="290" t="s">
        <v>1646</v>
      </c>
      <c r="IT131" s="290" t="s">
        <v>1642</v>
      </c>
      <c r="IU131" s="21"/>
      <c r="IV131" s="21"/>
      <c r="IW131" s="21"/>
      <c r="IX131" s="21"/>
      <c r="IY131" s="21"/>
      <c r="IZ131" s="21"/>
      <c r="JA131" s="21"/>
      <c r="JB131" s="30">
        <v>1</v>
      </c>
      <c r="JC131" s="21"/>
      <c r="JD131" s="36"/>
      <c r="JE131" s="21" t="str">
        <f t="shared" si="492"/>
        <v/>
      </c>
      <c r="JF131" s="30"/>
      <c r="JG131" s="21"/>
      <c r="JH131" s="21"/>
      <c r="JI131" s="21"/>
      <c r="JJ131" s="30"/>
      <c r="JK131" s="22"/>
      <c r="JL131" s="22"/>
      <c r="JM131" s="21"/>
      <c r="JN131" s="36"/>
      <c r="JO131" s="21" t="str">
        <f t="shared" si="493"/>
        <v/>
      </c>
      <c r="JP131" s="22"/>
      <c r="JQ131" s="21"/>
      <c r="JR131" s="21"/>
      <c r="JS131" s="21"/>
      <c r="JT131" s="30"/>
      <c r="JU131" s="22"/>
      <c r="JV131" s="22"/>
      <c r="JW131" s="33"/>
      <c r="JX131" s="28" t="str">
        <f t="shared" si="494"/>
        <v>INASISTENTE</v>
      </c>
      <c r="JY131" s="33"/>
      <c r="JZ131" s="28" t="str">
        <f t="shared" si="495"/>
        <v>INASISTENTE</v>
      </c>
      <c r="KA131" s="21"/>
      <c r="KB131" s="21"/>
      <c r="KC131" s="21"/>
      <c r="KD131" s="37"/>
      <c r="KE131" s="28"/>
      <c r="KF131" s="28"/>
      <c r="KG131" s="28"/>
      <c r="KH131" s="39"/>
      <c r="KI131" s="39"/>
      <c r="KJ131" s="66"/>
      <c r="KK131" s="39"/>
      <c r="KL131" s="39"/>
      <c r="KM131" s="66"/>
      <c r="KN131" s="39"/>
      <c r="KO131" s="39"/>
      <c r="KP131" s="39"/>
      <c r="KQ131" s="39"/>
      <c r="KR131" s="39"/>
      <c r="KS131" s="39"/>
      <c r="KT131" s="39"/>
      <c r="KU131" s="38"/>
      <c r="KV131" s="38"/>
      <c r="KW131" s="38"/>
      <c r="KX131" s="38"/>
      <c r="KY131" s="38"/>
      <c r="KZ131" s="38"/>
      <c r="LA131" s="38"/>
      <c r="LB131" s="38"/>
      <c r="LC131" s="38"/>
      <c r="LD131" s="38"/>
      <c r="LE131" s="38"/>
      <c r="LF131" s="38"/>
      <c r="LG131" s="38"/>
      <c r="LH131" s="38"/>
      <c r="LI131" s="38"/>
      <c r="LJ131" s="38"/>
      <c r="LK131" s="38"/>
      <c r="LL131" s="38"/>
      <c r="LM131" s="38"/>
      <c r="LN131" s="38"/>
      <c r="LO131" s="38"/>
      <c r="LP131" s="38"/>
      <c r="LQ131" s="38"/>
      <c r="LR131" s="38"/>
      <c r="LS131" s="38"/>
      <c r="LT131" s="38"/>
      <c r="LU131" s="38"/>
      <c r="LV131" s="38"/>
      <c r="LW131" s="38"/>
      <c r="LX131" s="38"/>
      <c r="LY131" s="38"/>
      <c r="LZ131" s="38"/>
      <c r="MA131" s="38"/>
      <c r="MB131" s="38"/>
      <c r="MC131" s="38"/>
      <c r="MD131" s="38"/>
      <c r="ME131" s="38"/>
      <c r="MF131" s="38"/>
      <c r="MG131" s="38"/>
      <c r="MH131" s="43">
        <f t="shared" ref="MH131:MH162" si="641">SUM(COUNTIF(KU131,"PARTERO (A)"),COUNTIF(KY131,"PARTERO (A)"),COUNTIF(LC131,"PARTERO (A)"),COUNTIF(LG131,"PARTERO (A)"),COUNTIF(LK131,"PARTERO (A)"),COUNTIF(LO131,"PARTERO (A)"),COUNTIF(ME131,"PARTERO (A)"))</f>
        <v>0</v>
      </c>
      <c r="MI131" s="43" t="str">
        <f t="shared" ref="MI131:MI162" si="642">IF(AND(R131="",O131=""),"",IF(AND(OR(O131&gt;0,R131&gt;0),KT131&gt;0),SUM(KT131-RW131)/7,""))</f>
        <v/>
      </c>
      <c r="MJ131" s="43" t="str">
        <f t="shared" ref="MJ131:MJ162" si="643">IF(AND(MI131="",BT131=""),"",IF(AND(MI131&lt;&gt;"",BT131="SIN DATO"),"SIN DATO",IF(AND(MI131="",BT131&lt;&gt;""),"",IF(AND(MI131&lt;0,BT131&gt;0),"ERROR FUM O INGRESO",IF(MI131&lt;=13,"I TRIM",IF(MI131&lt;28,"II TRIM",IF(AND(MI131&gt;27,MI131&lt;45),"III TRIM","POR DEFINIR")))))))</f>
        <v/>
      </c>
      <c r="MK131" s="43">
        <f t="shared" ref="MK131:MK162" si="644">SUM(COUNTIF(KU131,"MEDICO (A) TRADICIONAL"),COUNTIF(KY131,"MEDICO (A) TRADICIONAL"),COUNTIF(LC131,"MEDICO (A) TRADICIONAL"),COUNTIF(LG131,"MEDICO (A) TRADICIONAL"),COUNTIF(LK131,"MEDICO (A) TRADICIONAL"),COUNTIF(LO131,"MEDICO (A) TRADICIONAL"),COUNTIF(ME131,"MEDICO (A) TRADICIONAL"))</f>
        <v>0</v>
      </c>
      <c r="ML13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31" s="43">
        <f t="shared" ref="MM131:MM162" si="645">IF(AND(O131&gt;0,RW131&gt;0),SUM(O131-RW131)/7,"")</f>
        <v>34.542857142857557</v>
      </c>
      <c r="MN131" s="43">
        <f t="shared" ref="MN131:MN162" si="646">IF(R131&gt;0,MONTH(R131),"")</f>
        <v>3</v>
      </c>
      <c r="MO131" s="43">
        <f t="shared" ref="MO131:MO162" si="647">IF(R131&gt;0,YEAR(R131),"")</f>
        <v>2023</v>
      </c>
      <c r="MP131" s="43" t="str">
        <f t="shared" ref="MP131:MP162" si="648">IF(AND(MN131&gt;=1,MN131&lt;=3),"I TRIMESTRE AÑO",IF(AND(MN131&gt;=4,MN131&lt;=6),"II TRIMESTRE AÑO",IF(AND(MN131&gt;=7,MN131&lt;=9),"III TRIMESTRE AÑO",IF(AND(MN131&gt;=10,MN131&lt;=12),"IV TRIMESTRE AÑO",""))))</f>
        <v>I TRIMESTRE AÑO</v>
      </c>
      <c r="MQ131" s="43">
        <f t="shared" ref="MQ131:MQ162" si="649">IF(AND(M131&gt;0,R131&gt;0),DAYS360(M131,R131)/30.44/12,IF(AND(M131&gt;0,O131&gt;0,R131=""),DAYS360(M131,O131)/30.44/12,""))</f>
        <v>39.197328077091548</v>
      </c>
      <c r="MR131" s="43">
        <f t="shared" ref="MR131:MR162" si="650">IF(AND(MQ131&gt;7,MQ131&lt;14),2,IF(MQ131&lt;16,1,IF(MQ131&lt;=35,0,IF(AND(MQ131&gt;35,MQ131&lt;50),2,""))))</f>
        <v>2</v>
      </c>
      <c r="MS131" s="43" t="str">
        <f t="shared" ref="MS131:MS162" si="651">+IF(MQ131="","",IF(MQ131&lt;14,"MENOR 14 AÑOS",IF(MQ131&lt;20,"DE 14 A 19AÑOS",IF(MQ131&lt;25," DE 20 A 24 AÑOS",IF(MQ131&lt;30," DE 25 A 29 AÑOS",IF(MQ131&lt;35," DE 30 A 34 AÑOS",IF(MQ131&lt;40," DE 35 A 39 AÑOS"," DE 40 Y MAS")))))))</f>
        <v xml:space="preserve"> DE 35 A 39 AÑOS</v>
      </c>
      <c r="MT131" s="43">
        <f t="shared" ref="MT131:MT162" si="652">IF(OR(AX131="SI",BA131="SI"),1,IF(AND(AX131="NO",BA131="NO"),0,""))</f>
        <v>0</v>
      </c>
      <c r="MU131" s="43">
        <f t="shared" ref="MU131:MU162" si="653">IF(AT131="","",IF(AT131=0,1,IF(AND(AT131&gt;=1,AT131&lt;=4),0,IF(AT131&gt;=5,2,"X"))))</f>
        <v>0</v>
      </c>
      <c r="MV131" s="43">
        <f t="shared" ref="MV131:MV162" si="654">IF(AW131="","",IF(AW131=0,0,IF(AW131=1,1,IF(OR(AW131=2,AW131="3 o MAS"),2,"X"))))</f>
        <v>0</v>
      </c>
      <c r="MW131" s="43">
        <f t="shared" ref="MW131:MW162" si="655">IF(AY131="SI",1,IF(AY131="NO",0,""))</f>
        <v>0</v>
      </c>
      <c r="MX131" s="43" t="str">
        <f t="shared" ref="MX131:MX162" si="656">IF(OR(AND(EM131&gt;0,EM131&lt;11),AND(ER131&gt;0,ER131&lt;10.5)),1,"")</f>
        <v/>
      </c>
      <c r="MY131" s="43" t="str">
        <f t="shared" ca="1" si="496"/>
        <v/>
      </c>
      <c r="MZ131" s="43" t="str">
        <f t="shared" ref="MZ131:MZ162" si="657">IF(AND(GJ131="",GL131="",BB131=""),"",IF(OR(OR(GJ131="P.R REACTIVA",GJ131="ELISA REACTIVA"),OR(BB131="SI",GL131="POSITIVA",GL131="NO CONCLUYENTE")),3,""))</f>
        <v/>
      </c>
      <c r="NA131" s="43" t="str">
        <f t="shared" ref="NA131:NA162" si="658">IF(CD131="","",IF(OR(CD131="CEFÁLICA",CD131="SD"),0,IF(OR(CD131="PODÁLICA",CD131="TRANSVERSA O DE FRENTE",CD131="OBLICUA"),3,"")))</f>
        <v/>
      </c>
      <c r="NB131" s="43" t="str">
        <f t="shared" ref="NB131:NB162" si="659">IF(GZ131="","",IF(GZ131="POSITIVO",2,"0"))</f>
        <v/>
      </c>
      <c r="NC131" s="43" t="str">
        <f t="shared" ref="NC131:NC162" si="660">IF(AND(HB131="",HD131=""),"",IF(OR(HB131="POSITIVO",HD131="POSITIVO"),3,0))</f>
        <v/>
      </c>
      <c r="ND131" s="43">
        <f t="shared" ref="ND131:ND162" ca="1" si="661">IF(AND(O131="",R131=""),"",IF(OR(O131&lt;&gt;"",R131&lt;&gt;""),SUM(COUNTIF(AL131:AR131,"SI"),COUNTIF(AV131,"SI"),COUNTIF(BC131,"SI, CONTROLADA"),COUNTIF(BI131,"SI"),COUNTIF(BM131,"SI"),SUM(COUNTIF(BC131,"SI, SIN MANEJO")*3),SUM(COUNTIF(BC131,"SI, NO CONTROLADA")*3),SUM(COUNTIF(BD131:BG131,"SI")*3),SUM(COUNTIF(CB131:CC131,"SI")*3),SUM(COUNTIF(AD131,"Consumo Actual")*3),SUM(COUNTIF(AD131,"Hasta Antes de la Gestación")*2),SUM(COUNTIF(BK131,"SI")*3),SUM(COUNTIF(BL131,"SI")*2),SUM(COUNTIF(CE131,"SI")*2),SUM(COUNTIF(BH131,"SI")*2),SUM(COUNTIF(FG131,"DIABETES, REMITIR")*2),SUM(MT131:NC131),SUM(MR131),SUM(NG131),SUM(COUNTIF(EZ131,"COOMBS C/MES Y RESUMAN SEM 28")*2),SUM(COUNTIF(EZ131,"TOMAR COOMBS CUANTITATIVO Y REMISIÓN")*3),SUM(COUNTIF(FU131,"SIFILIS GESTACIONAL")*3)),""))</f>
        <v>2</v>
      </c>
      <c r="NE131" s="43">
        <f>IF(OR(O131&gt;0,R131&gt;0),SUM(COUNTIF(Tabla1[[#This Row],[AÑOS AL INICIO5 CPN]],"&gt;=40"),COUNTIF(AS131,"0"),COUNTIF(AR131,"SI"),COUNTIF(CC131,"SI"),COUNTIF(BQ131,"&gt;119"),COUNTIF(CI131,"&gt;=35")),"")</f>
        <v>0</v>
      </c>
      <c r="NF131" s="43" t="str">
        <f t="shared" ref="NF131:NF162" si="662">IF(AND(R131="",O131=""),"",IF(AND(OR(O131&gt;0,R131&gt;0),RW131=""),"SD",IF(AND(OR(O131&gt;0,R131&gt;0),ID131&gt;0),SUM(ID131-RW131)/7,"")))</f>
        <v/>
      </c>
      <c r="NG131" s="43">
        <f t="shared" ref="NG131:NG162" si="663">IF(AND(AD131="",AE131="",AF131="",AG131="",AH131="",AI131="",AJ131=""),"",SUM(COUNTIF(AD131,"Hasta Antes de la Gestación")/2,SUM(COUNTIF(AE131,"NO")/2),COUNTIF(AF131,"NO"),SUM(COUNTIF(AG131,"SI")/2),COUNTIF(AH131,"SI"),SUM(COUNTIF(AJ131,"SI")*2),COUNTIF(AD131,"Consumo Actual"),COUNTIF(AI131,"HABITANTE DE CALLE"),COUNTIF(AI131,"DESPLAZADA"),COUNTIF(AI131,"MIGRATORIA"),COUNTIF(AI131,"DISCAPACIDAD FISICA"),COUNTIF(AI131,"DISCAPACIDAD CONDUCTUAL"),COUNTIF(AI131,"DISCAPACIDAD VISUAL"),COUNTIF(AI131,"DISCAPACIDAD AUDITIVA"),COUNTIF(AI131,"DISCAPACIDAD MULTIPLE"),COUNTIF(AI131,"DISCAPACIDAD SISTEMICA")))</f>
        <v>0</v>
      </c>
      <c r="NH131" s="43">
        <f t="shared" ref="NH131:NH162" si="664">IF(BX131&gt;0,BX131*7,"")</f>
        <v>254.79999999999998</v>
      </c>
      <c r="NI131"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CPN",P131="NO"),"Z",IF(AND(Tabla1[[#This Row],[CITA PROXIMO CONTROL]]="CITA MANUAL",Tabla1[[#This Row],[GESTANTES ACTUALES]]="ACTIVA INGRESO A CPN"),"W",IF(AND(Tabla1[[#This Row],[GESTANTES ACTUALES]]="SALIO PROGRAMA",IN131=""),"S",IF(AND(Tabla1[[#This Row],[CITA PROXIMO CONTROL]]&gt;0,IN131=""),(Tabla1[[#This Row],[CITA PROXIMO CONTROL]]-TODAY()),"SD"))))))))</f>
        <v>SD</v>
      </c>
      <c r="NJ131" s="43">
        <f>MONTH(Tabla1[[#This Row],[FECHA DE SALIDA  DEL PROGRAMA]])</f>
        <v>4</v>
      </c>
      <c r="NK131" s="43">
        <f>YEAR(Tabla1[[#This Row],[FECHA DE SALIDA  DEL PROGRAMA]])</f>
        <v>2023</v>
      </c>
      <c r="NL131" s="43">
        <f t="shared" ref="NL131:NL162" si="665">IF(AND(O131&gt;0,R131=""),"NO CPN",IF(AND(O131="",R131=""),"",IF(AND(R131&gt;0,EJ131&gt;0,EI131&gt;0),_xlfn.DAYS(EJ131,EI131),IF(AND(R131&gt;0,EJ131&gt;0,EI131=""),"NO CITA","X"))))</f>
        <v>0</v>
      </c>
      <c r="NM131" s="43" t="str">
        <f t="shared" si="501"/>
        <v>NO</v>
      </c>
      <c r="NN131" s="43" t="str">
        <f ca="1">IF(AND(O131&gt;0,R131=""),"NO CPN",IF(AND(O131="",R131=""),"",IF(AND(R131&gt;0,Tabla1[[#This Row],[SEMANAS DE GESTACION ACTUALIZADAS]]&lt;=12),"NO APLICA",IF(AND(FH131&lt;&gt;"",FN131&lt;&gt;""),"SI","NO"))))</f>
        <v>SI</v>
      </c>
      <c r="NO131" s="43" t="str">
        <f ca="1">IF(AND(O131&gt;0,R131=""),"NO CPN",IF(AND(O131="",R131=""),"",IF(AND(R131&gt;0,Tabla1[[#This Row],[SEMANAS DE GESTACION ACTUALIZADAS]]&lt;=27),"NO APLICA",IF(AND(ES131&lt;&gt;"",FQ131&lt;&gt;"",GF131&lt;&gt;""),"SI","NO"))))</f>
        <v>NO</v>
      </c>
      <c r="NP131" s="204" t="str">
        <f t="shared" ref="NP131:NP162" si="666">IF(AND(BS131="",IG131=""),"",IF(AND(BS131="",IG131="DEFINIR FPP POR ECO"),"SIN DATO",IF(BS131&lt;0,"ERROR FUM O INGRESO",IF(BP131="NO","DEFINIR CON ECO",IF(BS131&lt;12,"I TRIM",IF(BS131&lt;27,"II TRIM",IF(AND(BS131&gt;26,BS131&lt;45),"III TRIM","ERROR FUM O INGRESO")))))))</f>
        <v>III TRIM</v>
      </c>
      <c r="NQ131" s="21" t="str">
        <f t="shared" si="500"/>
        <v/>
      </c>
      <c r="NR131" s="21">
        <f t="shared" si="497"/>
        <v>1</v>
      </c>
      <c r="NS131" s="205">
        <f t="shared" ref="NS131:NS162" ca="1" si="667">COUNT(FL131,FO131,FR131,FT131)</f>
        <v>2</v>
      </c>
      <c r="NT131" s="21">
        <f t="shared" ref="NT131:NT162" ca="1" si="668">COUNT(GA131,GD131,GG131,GI131)</f>
        <v>1</v>
      </c>
      <c r="NU131" s="21" t="str">
        <f t="shared" ref="NU131:NU162" ca="1" si="669">IF(NR131="","",IF(NR131="REVISAR FUM O FECHA SALIDA PROGRAMA","POR DEFINIR",IF(OR(NR131=NS131,NS131&gt;NR131),"COMPLETO",IF(NS131&lt;NR131,"INCOMPLETO",""))))</f>
        <v>COMPLETO</v>
      </c>
      <c r="NV131" s="21" t="str">
        <f t="shared" ref="NV131:NV162" ca="1" si="670">IF(NR131="","",IF(NR131="REVISAR FUM O FECHA SALIDA PROGRAMA","POR DEFINIR",IF(OR(NR131=NT131,NT131&gt;NR131),"COMPLETO",IF(NT131&lt;NR131,"INCOMPLETO",""))))</f>
        <v>COMPLETO</v>
      </c>
      <c r="NW131" s="206" t="str">
        <f>IF(AND(O131="",R131=""),"",IF(OR(AND(Tabla1[[#This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31" s="207" t="str">
        <f t="shared" ref="NX131:NX162" ca="1" si="671">IF(AND(O131="",R131=""),"",IF(OR(IE131="VACUNA APLICADA ENTRE SEMANA 20 Y SEMANA 26",IE131="VACUNA APLICADA ENTRE SEMANA 27 Y EL PARTO",IE131="VACUNA APLICADA ANTES SEMANA 20"),"VACUNADA","SIN VACUNAR"))</f>
        <v>SIN VACUNAR</v>
      </c>
      <c r="NY131" s="43">
        <f>ROW(Tabla1[[#This Row],['# DE TAMIZAJES SIFILIS TOMADOS ]])</f>
        <v>131</v>
      </c>
      <c r="NZ131" s="43">
        <f t="shared" si="502"/>
        <v>34</v>
      </c>
      <c r="OA131" s="43" t="str">
        <f t="shared" si="503"/>
        <v/>
      </c>
      <c r="OB131" s="43" t="str">
        <f t="shared" si="504"/>
        <v/>
      </c>
      <c r="OC131" s="43" t="str">
        <f t="shared" si="505"/>
        <v/>
      </c>
      <c r="OD131" s="43" t="str">
        <f t="shared" si="506"/>
        <v/>
      </c>
      <c r="OE131" s="43" t="str">
        <f t="shared" si="507"/>
        <v/>
      </c>
      <c r="OF131" s="43" t="str">
        <f t="shared" si="508"/>
        <v/>
      </c>
      <c r="OG131" s="43" t="str">
        <f t="shared" si="509"/>
        <v/>
      </c>
      <c r="OH131" s="43" t="str">
        <f t="shared" si="510"/>
        <v/>
      </c>
      <c r="OI131" s="43" t="str">
        <f t="shared" si="511"/>
        <v/>
      </c>
      <c r="OJ131" s="43" t="str">
        <f t="shared" si="512"/>
        <v/>
      </c>
      <c r="OK131" s="43" t="str">
        <f t="shared" si="513"/>
        <v/>
      </c>
      <c r="OL131" s="43" t="str">
        <f t="shared" si="514"/>
        <v/>
      </c>
      <c r="OM131" s="43" t="str">
        <f t="shared" si="515"/>
        <v/>
      </c>
      <c r="ON131" s="43" t="str">
        <f t="shared" si="516"/>
        <v/>
      </c>
      <c r="OO131" s="43" t="str">
        <f t="shared" si="517"/>
        <v/>
      </c>
      <c r="OP131" s="43" t="str">
        <f t="shared" si="518"/>
        <v/>
      </c>
      <c r="OQ131" s="43" t="str">
        <f t="shared" si="519"/>
        <v/>
      </c>
      <c r="OR131" s="43" t="str">
        <f t="shared" si="520"/>
        <v/>
      </c>
      <c r="OS131" s="43" t="str">
        <f t="shared" si="521"/>
        <v/>
      </c>
      <c r="OT131" s="43" t="str">
        <f t="shared" si="522"/>
        <v/>
      </c>
      <c r="OU131" s="43" t="str">
        <f t="shared" si="523"/>
        <v/>
      </c>
      <c r="OV131" s="110" t="str">
        <f t="shared" si="524"/>
        <v/>
      </c>
      <c r="OW131" s="43" t="str">
        <f t="shared" si="525"/>
        <v/>
      </c>
      <c r="OX131" s="43" t="str">
        <f t="shared" si="526"/>
        <v/>
      </c>
      <c r="OY131" s="43" t="str">
        <f t="shared" si="527"/>
        <v/>
      </c>
      <c r="OZ131" s="43" t="str">
        <f t="shared" si="528"/>
        <v/>
      </c>
      <c r="PA131" s="43" t="str">
        <f t="shared" si="529"/>
        <v/>
      </c>
      <c r="PB131" s="43" t="str">
        <f t="shared" si="530"/>
        <v/>
      </c>
      <c r="PC131" s="43" t="str">
        <f t="shared" si="531"/>
        <v/>
      </c>
      <c r="PD131" s="43" t="str">
        <f t="shared" si="532"/>
        <v/>
      </c>
      <c r="PE131" s="43" t="str">
        <f t="shared" si="533"/>
        <v/>
      </c>
      <c r="PF131" s="43" t="str">
        <f t="shared" si="534"/>
        <v/>
      </c>
      <c r="PG131" s="43" t="str">
        <f t="shared" si="535"/>
        <v/>
      </c>
      <c r="PH131" s="43" t="str">
        <f t="shared" si="536"/>
        <v/>
      </c>
      <c r="PI131" s="43">
        <f t="shared" si="537"/>
        <v>34</v>
      </c>
      <c r="PJ131" s="43" t="str">
        <f t="shared" si="538"/>
        <v/>
      </c>
      <c r="PK131" s="43" t="str">
        <f t="shared" si="539"/>
        <v/>
      </c>
      <c r="PL131" s="43" t="str">
        <f t="shared" si="540"/>
        <v/>
      </c>
      <c r="PM131" s="43" t="str">
        <f t="shared" si="541"/>
        <v/>
      </c>
      <c r="PN131" s="43" t="str">
        <f t="shared" si="542"/>
        <v/>
      </c>
      <c r="PO131" s="43" t="str">
        <f t="shared" si="543"/>
        <v/>
      </c>
      <c r="PP131" s="43" t="str">
        <f t="shared" si="544"/>
        <v/>
      </c>
      <c r="PQ131" s="43" t="str">
        <f t="shared" si="545"/>
        <v/>
      </c>
      <c r="PR131" s="43" t="str">
        <f t="shared" si="546"/>
        <v/>
      </c>
      <c r="PS131" s="43" t="str">
        <f t="shared" si="547"/>
        <v/>
      </c>
      <c r="PT131" s="43" t="str">
        <f t="shared" si="548"/>
        <v/>
      </c>
      <c r="PU131" s="43" t="str">
        <f t="shared" si="549"/>
        <v/>
      </c>
      <c r="PV131" s="43" t="str">
        <f t="shared" si="550"/>
        <v/>
      </c>
      <c r="PW131" s="43" t="str">
        <f t="shared" si="551"/>
        <v/>
      </c>
      <c r="PX131" s="43" t="str">
        <f t="shared" si="552"/>
        <v/>
      </c>
      <c r="PY131" s="43" t="str">
        <f t="shared" si="553"/>
        <v/>
      </c>
      <c r="PZ131" s="43" t="str">
        <f t="shared" si="554"/>
        <v/>
      </c>
      <c r="QA131" s="43" t="str">
        <f t="shared" si="555"/>
        <v/>
      </c>
      <c r="QB131" s="43" t="str">
        <f t="shared" si="556"/>
        <v/>
      </c>
      <c r="QC131" s="43" t="str">
        <f t="shared" si="557"/>
        <v/>
      </c>
      <c r="QD131" s="43" t="str">
        <f t="shared" si="558"/>
        <v/>
      </c>
      <c r="QE131" s="43" t="str">
        <f t="shared" si="559"/>
        <v/>
      </c>
      <c r="QF131" s="43" t="str">
        <f t="shared" si="560"/>
        <v/>
      </c>
      <c r="QG131" s="43" t="str">
        <f t="shared" si="561"/>
        <v/>
      </c>
      <c r="QH131" s="43" t="str">
        <f t="shared" si="562"/>
        <v/>
      </c>
      <c r="QI131" s="43" t="str">
        <f t="shared" si="563"/>
        <v/>
      </c>
      <c r="QJ131" s="43" t="str">
        <f t="shared" si="564"/>
        <v/>
      </c>
      <c r="QK131" s="43" t="str">
        <f t="shared" si="565"/>
        <v/>
      </c>
      <c r="QL131" s="43" t="str">
        <f t="shared" si="566"/>
        <v/>
      </c>
      <c r="QM131" s="43" t="str">
        <f t="shared" si="567"/>
        <v/>
      </c>
      <c r="QN131" s="43" t="str">
        <f t="shared" si="568"/>
        <v/>
      </c>
      <c r="QO131" s="43" t="str">
        <f t="shared" si="569"/>
        <v/>
      </c>
      <c r="QP131" s="43" t="str">
        <f t="shared" si="570"/>
        <v/>
      </c>
      <c r="QQ131" s="43" t="str">
        <f t="shared" si="571"/>
        <v/>
      </c>
      <c r="QR131" s="43">
        <f t="shared" ref="QR131:QR191" si="672">IF(DZ131="","",IF(DZ131&lt;13,"Menor",IF(DZ131&gt;40,"Mayor",DZ131)))</f>
        <v>34</v>
      </c>
      <c r="QS131" s="43"/>
      <c r="QT131" s="21" t="str">
        <f t="shared" si="572"/>
        <v/>
      </c>
      <c r="QU131" s="21" t="str">
        <f t="shared" si="573"/>
        <v/>
      </c>
      <c r="QV131" s="21" t="str">
        <f t="shared" si="574"/>
        <v/>
      </c>
      <c r="QW131" s="21" t="str">
        <f t="shared" si="575"/>
        <v/>
      </c>
      <c r="QX131" s="21" t="str">
        <f t="shared" si="576"/>
        <v/>
      </c>
      <c r="QY131" s="21" t="str">
        <f t="shared" si="577"/>
        <v/>
      </c>
      <c r="QZ131" s="21" t="str">
        <f t="shared" si="578"/>
        <v/>
      </c>
      <c r="RA131" s="21" t="str">
        <f t="shared" si="579"/>
        <v/>
      </c>
      <c r="RB131" s="21" t="str">
        <f t="shared" si="580"/>
        <v/>
      </c>
      <c r="RC131" s="21" t="str">
        <f t="shared" si="581"/>
        <v/>
      </c>
      <c r="RD131" s="21" t="str">
        <f t="shared" si="582"/>
        <v/>
      </c>
      <c r="RE131" s="21" t="str">
        <f t="shared" si="583"/>
        <v/>
      </c>
      <c r="RF131" s="21" t="str">
        <f t="shared" si="584"/>
        <v/>
      </c>
      <c r="RG131" s="21" t="str">
        <f t="shared" si="585"/>
        <v/>
      </c>
      <c r="RH131" s="21" t="str">
        <f t="shared" si="586"/>
        <v/>
      </c>
      <c r="RI131" s="21" t="str">
        <f t="shared" si="587"/>
        <v/>
      </c>
      <c r="RJ131" s="21" t="str">
        <f t="shared" si="588"/>
        <v/>
      </c>
      <c r="RK131" s="21" t="str">
        <f t="shared" si="589"/>
        <v/>
      </c>
      <c r="RL131" s="21" t="str">
        <f t="shared" si="590"/>
        <v/>
      </c>
      <c r="RM131" s="21" t="str">
        <f t="shared" si="591"/>
        <v/>
      </c>
      <c r="RN131" s="21" t="str">
        <f t="shared" si="592"/>
        <v/>
      </c>
      <c r="RO131" s="21" t="str">
        <f t="shared" si="593"/>
        <v/>
      </c>
      <c r="RP131" s="21" t="str">
        <f t="shared" si="594"/>
        <v/>
      </c>
      <c r="RQ131" s="21" t="str">
        <f t="shared" si="595"/>
        <v/>
      </c>
      <c r="RR131" s="21" t="str">
        <f t="shared" si="596"/>
        <v/>
      </c>
      <c r="RS131" s="21" t="str">
        <f t="shared" si="597"/>
        <v/>
      </c>
      <c r="RT131" s="21" t="str">
        <f t="shared" si="598"/>
        <v/>
      </c>
      <c r="RU131" s="21" t="str">
        <f t="shared" si="599"/>
        <v/>
      </c>
      <c r="RV131" s="21">
        <f t="shared" si="600"/>
        <v>34.542857142857557</v>
      </c>
      <c r="RW131" s="284">
        <f>IF(OR(Tabla1[[#This Row],[FUM FORMULA CONFIABLE]]="",Tabla1[[#This Row],[FUM FORMULA CONFIABLE]]="SD"),"",IF(Tabla1[[#This Row],[FUM FORMULA CONFIABLE]]="CORREGIDA",Tabla1[[#This Row],[FUM X ECO 1]],Tabla1[[#This Row],[FUM x AMENORREA]]))</f>
        <v>44761.2</v>
      </c>
      <c r="RX131" s="21">
        <f>IF(AND(Tabla1[[#This Row],[FUM X ECO 1]]="",Tabla1[[#This Row],[FUM x AMENORREA]]=""),"",IF(AND(Tabla1[[#This Row],[FUM X ECO 1]]="",Tabla1[[#This Row],[FUM x AMENORREA]]&lt;&gt;""),"X",SUM(Tabla1[[#This Row],[FUM X ECO 1]]-Tabla1[[#This Row],[FUM x AMENORREA]])))</f>
        <v>43.19999999999709</v>
      </c>
      <c r="RY131" s="21">
        <f t="shared" ref="RY131:RY191" si="673">IF(RX131="","",IF(RX131="x","x",IF(OR(RX131&gt;6,RX131&lt;-7),1,0)))</f>
        <v>1</v>
      </c>
    </row>
    <row r="132" spans="1:493" ht="45" customHeight="1" x14ac:dyDescent="0.25">
      <c r="A132" s="109"/>
      <c r="B132" s="43"/>
      <c r="C132" s="43" t="s">
        <v>845</v>
      </c>
      <c r="D132" s="124"/>
      <c r="E132" s="43" t="s">
        <v>873</v>
      </c>
      <c r="F132" s="43" t="s">
        <v>1391</v>
      </c>
      <c r="G132" s="43" t="s">
        <v>985</v>
      </c>
      <c r="H132" s="43" t="s">
        <v>1392</v>
      </c>
      <c r="I132" s="109" t="s">
        <v>851</v>
      </c>
      <c r="J132" s="110">
        <v>25547491</v>
      </c>
      <c r="K132" s="43" t="s">
        <v>852</v>
      </c>
      <c r="L132" s="175" t="s">
        <v>853</v>
      </c>
      <c r="M132" s="22">
        <v>30843</v>
      </c>
      <c r="N132" s="213">
        <f t="shared" ca="1" si="601"/>
        <v>39.421917808219177</v>
      </c>
      <c r="O132" s="22">
        <v>45008</v>
      </c>
      <c r="P132" s="214" t="str">
        <f t="shared" si="438"/>
        <v>SI</v>
      </c>
      <c r="Q132" s="26" t="s">
        <v>855</v>
      </c>
      <c r="R132" s="22">
        <v>45008</v>
      </c>
      <c r="S132" s="21" t="s">
        <v>856</v>
      </c>
      <c r="T132" s="24" t="s">
        <v>690</v>
      </c>
      <c r="U132" s="21" t="s">
        <v>857</v>
      </c>
      <c r="V132" s="21" t="s">
        <v>858</v>
      </c>
      <c r="W132" s="21" t="s">
        <v>887</v>
      </c>
      <c r="X132" s="21" t="s">
        <v>887</v>
      </c>
      <c r="Y132" s="21"/>
      <c r="Z132" s="21">
        <v>3012966756</v>
      </c>
      <c r="AA132" s="21" t="s">
        <v>860</v>
      </c>
      <c r="AB132" s="27" t="s">
        <v>861</v>
      </c>
      <c r="AC132" s="26" t="s">
        <v>862</v>
      </c>
      <c r="AD132" s="38" t="s">
        <v>1546</v>
      </c>
      <c r="AE132" s="26" t="s">
        <v>854</v>
      </c>
      <c r="AF132" s="26" t="s">
        <v>854</v>
      </c>
      <c r="AG132" s="23" t="s">
        <v>864</v>
      </c>
      <c r="AH132" s="23" t="s">
        <v>864</v>
      </c>
      <c r="AI132" s="24" t="s">
        <v>863</v>
      </c>
      <c r="AJ132" s="23" t="s">
        <v>864</v>
      </c>
      <c r="AK132" s="220" t="str">
        <f>IF(AND(AD132="",AE132="",AF132="",AG132="",AH132="",AI132="",AJ132=""),"",IF(OR(Tabla1[[#This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EVALUACIÓN",IF(AND(O132="",R132=""),"",IF(AND(OR(O132&gt;0,R132&gt;0),NG132&gt;=0,NG132&lt;2),"SIN RIESGO",IF(AND(OR(O132&gt;0,R132&gt;0),NG132&gt;=2),"CON RIESGO","ASD")))))</f>
        <v>SIN RIESGO</v>
      </c>
      <c r="AL132" s="23" t="s">
        <v>864</v>
      </c>
      <c r="AM132" s="26" t="s">
        <v>864</v>
      </c>
      <c r="AN132" s="26" t="s">
        <v>864</v>
      </c>
      <c r="AO132" s="26" t="s">
        <v>864</v>
      </c>
      <c r="AP132" s="26" t="s">
        <v>864</v>
      </c>
      <c r="AQ132" s="26" t="s">
        <v>864</v>
      </c>
      <c r="AR132" s="26" t="s">
        <v>864</v>
      </c>
      <c r="AS132" s="21">
        <v>2</v>
      </c>
      <c r="AT132" s="21">
        <v>2</v>
      </c>
      <c r="AU132" s="21">
        <v>0</v>
      </c>
      <c r="AV132" s="26" t="s">
        <v>864</v>
      </c>
      <c r="AW132" s="21">
        <v>0</v>
      </c>
      <c r="AX132" s="26" t="s">
        <v>864</v>
      </c>
      <c r="AY132" s="26" t="s">
        <v>864</v>
      </c>
      <c r="AZ132" s="26" t="s">
        <v>864</v>
      </c>
      <c r="BA132" s="26" t="s">
        <v>864</v>
      </c>
      <c r="BB132" s="26" t="s">
        <v>864</v>
      </c>
      <c r="BC132" s="26" t="s">
        <v>864</v>
      </c>
      <c r="BD132" s="26" t="s">
        <v>864</v>
      </c>
      <c r="BE132" s="26" t="s">
        <v>864</v>
      </c>
      <c r="BF132" s="26" t="s">
        <v>864</v>
      </c>
      <c r="BG132" s="26" t="s">
        <v>864</v>
      </c>
      <c r="BH132" s="26" t="s">
        <v>864</v>
      </c>
      <c r="BI132" s="26" t="s">
        <v>864</v>
      </c>
      <c r="BJ132" s="26" t="s">
        <v>864</v>
      </c>
      <c r="BK132" s="26" t="s">
        <v>865</v>
      </c>
      <c r="BL132" s="26" t="s">
        <v>864</v>
      </c>
      <c r="BM132" s="26" t="s">
        <v>864</v>
      </c>
      <c r="BN132" s="22">
        <v>41885</v>
      </c>
      <c r="BO132" s="22">
        <v>44969</v>
      </c>
      <c r="BP132" s="21" t="s">
        <v>854</v>
      </c>
      <c r="BQ132" s="222">
        <f t="shared" si="602"/>
        <v>102.8</v>
      </c>
      <c r="BR132" s="223">
        <f t="shared" si="603"/>
        <v>44970.5</v>
      </c>
      <c r="BS132" s="224">
        <f t="shared" si="604"/>
        <v>5.5714285714285712</v>
      </c>
      <c r="BT132" s="216" t="str">
        <f t="shared" si="605"/>
        <v>I TRIM</v>
      </c>
      <c r="BU132" s="214">
        <f t="shared" ca="1" si="606"/>
        <v>37.571428571428569</v>
      </c>
      <c r="BV132" s="25" t="s">
        <v>1478</v>
      </c>
      <c r="BW132" s="22">
        <v>45016</v>
      </c>
      <c r="BX132" s="28">
        <v>6.5</v>
      </c>
      <c r="BY132" s="28"/>
      <c r="BZ132" s="22"/>
      <c r="CA132" s="21"/>
      <c r="CB132" s="26" t="s">
        <v>864</v>
      </c>
      <c r="CC132" s="26" t="s">
        <v>864</v>
      </c>
      <c r="CD132" s="26"/>
      <c r="CE132" s="26" t="s">
        <v>864</v>
      </c>
      <c r="CF132" s="22" t="s">
        <v>1517</v>
      </c>
      <c r="CG132" s="21">
        <v>1.55</v>
      </c>
      <c r="CH132" s="21">
        <v>68</v>
      </c>
      <c r="CI132" s="214">
        <f t="shared" si="607"/>
        <v>28.303850156087407</v>
      </c>
      <c r="CJ132" s="225" t="str">
        <f>IF(AND(CI132&lt;10,CH132="SD"),"SIN DATO PESO PREGESTACION O I TRIM",IF(AND(OR(R132&gt;0,O132&gt;0),CI132="X"),"INGRESAR DATO DE PESO",IF(CI132="SD","INGRESAR DATO DE TALLA Y PESO",IF(AND(OR(Tabla1[[#This Row],[MOMENTO EN QUE SE REALIZA EL PESO AL INGRESO A CPN]]="PREGESTACIÓN",NZ132="Menor"),CI132&lt;18.5),"BAJO PESO",IF(AND(OR(Tabla1[[#This Row],[MOMENTO EN QUE SE REALIZA EL PESO AL INGRESO A CPN]]="PREGESTACIÓN",NZ132="Menor"),CI132&lt;25),"NORMAL",IF(AND(OR(Tabla1[[#This Row],[MOMENTO EN QUE SE REALIZA EL PESO AL INGRESO A CPN]]="PREGESTACIÓN",NZ132="Menor"),CI132&lt;30),"SOBREPESO",IF(AND(OR(Tabla1[[#This Row],[MOMENTO EN QUE SE REALIZA EL PESO AL INGRESO A CPN]]="PREGESTACIÓN",NZ132="Menor"),CI132&gt;=30,CI132&lt;50),"OBESIDAD",IF(AND(BS132&gt;0,Tabla1[[#This Row],[MOMENTO EN QUE SE REALIZA EL PESO AL INGRESO A CPN]]="GESTACIÓN"),HLOOKUP(NZ132,$OA$2:PH132,NY132),""))))))))</f>
        <v>SOBREPESO</v>
      </c>
      <c r="CK132" s="212">
        <f t="shared" si="608"/>
        <v>45154</v>
      </c>
      <c r="CL132" s="21">
        <v>71.3</v>
      </c>
      <c r="CM132" s="214">
        <f t="shared" si="609"/>
        <v>29.677419354838705</v>
      </c>
      <c r="CN132" s="216">
        <f t="shared" si="610"/>
        <v>26</v>
      </c>
      <c r="CO132" s="216" t="e">
        <f>IF(PI132="","",IF(PI132&gt;0,HLOOKUP(PI132,$PJ$2:QQ132,NY132),""))</f>
        <v>#REF!</v>
      </c>
      <c r="CP132" s="21">
        <v>26</v>
      </c>
      <c r="CQ132" s="216" t="e">
        <f>IF(QR132="Menor","NO APLICA-MENOR 13 SEM",IF(AND(CC132="SI",CN132&gt;23),"NO APLICA- GEMELAR",IF(QR132="","",IF(QR132&gt;0,HLOOKUP(QR132,$QS$2:RU132,NY132),""))))</f>
        <v>#REF!</v>
      </c>
      <c r="CR132" s="21">
        <v>100</v>
      </c>
      <c r="CS132" s="21">
        <v>80</v>
      </c>
      <c r="CT132" s="217" t="str">
        <f>IF(R132="","",IF(AND(BS132&gt;1,BS132&lt;12,Tabla1[[#This Row],[T.A. SISTOLICA - ANTES DE SEMANA 12]]="",Tabla1[[#This Row],[T.A. DIASTOLICA - ANTES DE SEMANA 12]]=""),"REGISTRE DATO TA ANTES SEMANA 12",IF(AND(BS132&gt;11,BS132&lt;43,Tabla1[[#This Row],[T.A. SISTOLICA - ANTES DE SEMANA 12]]="",Tabla1[[#This Row],[T.A. DIASTOLICA - ANTES DE SEMANA 12]]=""),"NO APLICA REGISTRO TA-INGRESO TARDIO",IF(AND(OR(O132&gt;0,R132&gt;0),OR(CR132&gt;=140,CS132&gt;=90)),"DEFINIR ESTADIO HTA",IF(AND(OR(O132&gt;0,R132&gt;0),AND(CR132&gt;120,CR132&lt;=139)),"PRE HTA SEGUIMIENTO",IF(AND(OR(O132&gt;0,R132&gt;0),AND(CS132&gt;80,CS132&lt;=89)),"PRE HTA SEGUIMIENTO",IF(AND(OR(O132&gt;0,R132&gt;0),AND(CR132&gt;=80,CR132&lt;=120)),"APARENTEMENTE NORMAL",IF(AND(OR(O132&gt;0,R132&gt;0),AND(CS132&gt;=50,CS132&lt;=80)),"APARENTEMENTE NORMAL",IF(AND(OR(O132&gt;0,R132&gt;0),AND(CR132&gt;1,CR132&lt;=70),AND(CS132&gt;1,CS132&lt;=40)),"HIPOTENSIÓN","")))))))))</f>
        <v>APARENTEMENTE NORMAL</v>
      </c>
      <c r="CU132" s="21"/>
      <c r="CV132" s="21"/>
      <c r="CW132" s="217" t="str">
        <f>IF(R132="","",IF(AND(CN132&gt;19,CN132&lt;27,Tabla1[[#This Row],[T.A. SISTOLICA (Entre semana 20 y 26)]]="",Tabla1[[#This Row],[T.A. DIATOLICA (Entre semana 20 y 26)]]=""),"ACUDE A CONTROL SEM 20 A 26 REGISTRE TA AHORA",IF(AND(BS132&gt;1,BS132&lt;27,BU132&gt;19,Tabla1[[#This Row],[T.A. SISTOLICA (Entre semana 20 y 26)]]="",Tabla1[[#This Row],[T.A. DIATOLICA (Entre semana 20 y 26)]]=""),"COMPLETE REGISTRO TA CONTROL SEM 20 A26 ",IF(AND(BS132&gt;26,BS132&lt;43,Tabla1[[#This Row],[T.A. SISTOLICA (Entre semana 20 y 26)]]="",Tabla1[[#This Row],[T.A. DIATOLICA (Entre semana 20 y 26)]]=""),"NO APLICA REGISTRO TA-INGRESO TARDIO",IF(AND(OR(O132&gt;0,R132&gt;0),OR(CU132&gt;=140,CV132&gt;=90)),"ALTO RIESGO PREECLAMPSIA,DEFINIR ESTADIO HTA",IF(AND(OR(O132&gt;0,R132&gt;0),AND(CU132&gt;120,CU132&lt;=139)),"PRE HTA SEGUIMIENTO,RIESGO HIPERTENSION INDUCIDA POR EL EMBARAZO",IF(AND(OR(O132&gt;0,R132&gt;0),AND(CV132&gt;80,CV132&lt;=89)),"PRE HTA SEGUIMIENTO, RIESGO HIPERTENSION INDUCIDA POR EL EMBARAZO",IF(AND(OR(O132&lt;&gt;"",R132&lt;&gt;""),CS132&lt;&gt;"",CV132&lt;&gt;"",CS132&lt;=CV132),"VIGILAR CIFRAS PRESION ARTERIAL",IF(AND(OR(O132&gt;0,R132&gt;0),AND(CU132&gt;120,CU132&lt;=139)),"PRE HTA SEGUIMIENTO",IF(AND(OR(O132&gt;0,R132&gt;0),AND(CU132&gt;1,CU132&lt;=70),AND(CV132&gt;1,CV132&lt;=40)),"HIPOTENSIÓN",IF(AND(OR(O132&lt;&gt;"",R132&lt;&gt;""),CS132&lt;&gt;"",CV132&lt;&gt;"",CS132&gt;CV132),"APARENTEMENTE NORMAL",IF(AND(OR(O132&gt;0,R132&gt;0),AND(CU132&gt;=80,CU132&lt;=120)),"APARENTEMENTE NORMAL",IF(AND(OR(O132&gt;0,R132&gt;0),AND(CV132&gt;=50,CV132&lt;=80)),"APARENTEMENTE NORMAL","")))))))))))))</f>
        <v>ACUDE A CONTROL SEM 20 A 26 REGISTRE TA AHORA</v>
      </c>
      <c r="CX132" s="21"/>
      <c r="CY132" s="21"/>
      <c r="CZ132" s="216" t="str">
        <f t="shared" si="499"/>
        <v/>
      </c>
      <c r="DA132" s="21">
        <v>90</v>
      </c>
      <c r="DB132" s="21">
        <v>60</v>
      </c>
      <c r="DC132" s="217" t="str">
        <f t="shared" si="611"/>
        <v>APARENTEMENTE NORMAL</v>
      </c>
      <c r="DD132" s="22">
        <v>45008</v>
      </c>
      <c r="DE132" s="22">
        <v>45008</v>
      </c>
      <c r="DF132" s="22">
        <v>45038</v>
      </c>
      <c r="DG132" s="22">
        <v>45073</v>
      </c>
      <c r="DH132" s="22">
        <v>45154</v>
      </c>
      <c r="DI132" s="22"/>
      <c r="DJ132" s="22"/>
      <c r="DK132" s="22"/>
      <c r="DL132" s="22"/>
      <c r="DM132" s="22"/>
      <c r="DN132" s="22"/>
      <c r="DO132" s="22"/>
      <c r="DP132" s="22"/>
      <c r="DQ132" s="22"/>
      <c r="DR132" s="28">
        <v>1</v>
      </c>
      <c r="DS132" s="22"/>
      <c r="DT132" s="22"/>
      <c r="DU132" s="216" t="str">
        <f t="shared" ca="1" si="439"/>
        <v>CONCERTAR PLAN DE PARTO INMEDIATO</v>
      </c>
      <c r="DV132" s="226" t="str">
        <f t="shared" si="440"/>
        <v>ACTIVA INGRESO A CPN</v>
      </c>
      <c r="DW132"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32" s="216" t="e">
        <f t="shared" ca="1" si="612"/>
        <v>#REF!</v>
      </c>
      <c r="DY132" s="212">
        <f>IF(R132="","",IF(R132&gt;0,MAX(Tabla1[[#This Row],[FECHA C2]:[FECHA C13]],Tabla1[[#This Row],[FECHA CONSULTA PRIMERA VEZ PROGRAMA CPN ]])))</f>
        <v>45154</v>
      </c>
      <c r="DZ132" s="216">
        <f t="shared" si="613"/>
        <v>26</v>
      </c>
      <c r="EA132" s="222">
        <f>IF(R132&gt;0,SUM(COUNTA(DF132:DQ132)+COUNTA(Tabla1[[#This Row],[FECHA CONSULTA PRIMERA VEZ PROGRAMA CPN ]])),"")</f>
        <v>4</v>
      </c>
      <c r="EB132" s="222" t="str">
        <f t="shared" si="614"/>
        <v>SI</v>
      </c>
      <c r="EC132" s="214">
        <f t="shared" si="615"/>
        <v>10</v>
      </c>
      <c r="ED132" s="227">
        <f t="shared" si="616"/>
        <v>0.4</v>
      </c>
      <c r="EE132" s="22">
        <v>45008</v>
      </c>
      <c r="EF132" s="22">
        <v>45008</v>
      </c>
      <c r="EG132" s="22">
        <v>45008</v>
      </c>
      <c r="EH132" s="22" t="s">
        <v>1675</v>
      </c>
      <c r="EI132" s="22">
        <v>45008</v>
      </c>
      <c r="EJ132" s="22">
        <v>45077</v>
      </c>
      <c r="EK132" s="22"/>
      <c r="EL132" s="21"/>
      <c r="EM132" s="21">
        <v>13.3</v>
      </c>
      <c r="EN132" s="22">
        <v>45008</v>
      </c>
      <c r="EO132" s="222">
        <f t="shared" si="617"/>
        <v>5.5714285714285712</v>
      </c>
      <c r="EP132" s="214" t="str">
        <f t="shared" si="618"/>
        <v>NORMAL- SUMINISTRAR SULFATO FERROSO</v>
      </c>
      <c r="EQ132" s="216" t="str">
        <f t="shared" si="619"/>
        <v>I TRIM</v>
      </c>
      <c r="ER132" s="24"/>
      <c r="ES132" s="22"/>
      <c r="ET132" s="29" t="str">
        <f t="shared" ca="1" si="441"/>
        <v>TOMA DE HEMOGLOBINA TARDÍA</v>
      </c>
      <c r="EU132" s="25" t="str">
        <f t="shared" si="620"/>
        <v/>
      </c>
      <c r="EV132" s="24" t="s">
        <v>1510</v>
      </c>
      <c r="EW132" s="24">
        <v>45008</v>
      </c>
      <c r="EX132" s="22"/>
      <c r="EY132" s="29">
        <f t="shared" si="454"/>
        <v>5.5714285714285712</v>
      </c>
      <c r="EZ132" s="25" t="str">
        <f t="shared" si="455"/>
        <v>SIN RIESGO DE ISOINMUNIZACIÓN</v>
      </c>
      <c r="FA132" s="21">
        <v>82</v>
      </c>
      <c r="FB132" s="22">
        <v>45008</v>
      </c>
      <c r="FC132" s="29">
        <f t="shared" si="621"/>
        <v>5.5714285714285712</v>
      </c>
      <c r="FD132" s="29"/>
      <c r="FE132" s="29"/>
      <c r="FF132" s="29"/>
      <c r="FG132" s="21" t="str">
        <f t="shared" ca="1" si="622"/>
        <v>TOMAR PTOG</v>
      </c>
      <c r="FH132" s="31"/>
      <c r="FI132" s="29" t="str">
        <f t="shared" si="623"/>
        <v>TOMAR EXAMEN</v>
      </c>
      <c r="FJ132" s="22" t="s">
        <v>867</v>
      </c>
      <c r="FK132" s="22">
        <v>45008</v>
      </c>
      <c r="FL132" s="29">
        <f t="shared" ca="1" si="624"/>
        <v>5.5714285714285712</v>
      </c>
      <c r="FM132" s="22"/>
      <c r="FN132" s="32"/>
      <c r="FO132" s="29" t="str">
        <f t="shared" ca="1" si="442"/>
        <v>PIERDE TOMA DE TAMIZAJE</v>
      </c>
      <c r="FP132" s="22"/>
      <c r="FQ132" s="32"/>
      <c r="FR132" s="29" t="str">
        <f t="shared" ca="1" si="443"/>
        <v>TOMA INMEDIATA DE TAMIZAJE</v>
      </c>
      <c r="FS132" s="22"/>
      <c r="FT132" s="32"/>
      <c r="FU132" s="29" t="str">
        <f>IF(AND(FJ132="",FM132="",FP132="",FS132=""),"",IF(OR(OR(Tabla1[[#This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32" s="28"/>
      <c r="FW132" s="22"/>
      <c r="FX132" s="29" t="str">
        <f t="shared" si="625"/>
        <v>TOMAR EXAMEN</v>
      </c>
      <c r="FY132" s="22"/>
      <c r="FZ132" s="22"/>
      <c r="GA132" s="29" t="str">
        <f t="shared" ca="1" si="498"/>
        <v>PIERDE TOMA DE TAMIZAJE</v>
      </c>
      <c r="GB132" s="22"/>
      <c r="GC132" s="22"/>
      <c r="GD132" s="29" t="str">
        <f t="shared" ca="1" si="491"/>
        <v>PIERDE TOMA DE TAMIZAJE</v>
      </c>
      <c r="GE132" s="22"/>
      <c r="GF132" s="22"/>
      <c r="GG132" s="29" t="str">
        <f t="shared" ca="1" si="445"/>
        <v>TOMA INMEDIATA DE TAMIZAJE</v>
      </c>
      <c r="GH132" s="22"/>
      <c r="GI132" s="29"/>
      <c r="GJ132" s="22"/>
      <c r="GK132" s="22"/>
      <c r="GL132" s="22"/>
      <c r="GM132" s="22"/>
      <c r="GN132" s="28" t="s">
        <v>869</v>
      </c>
      <c r="GO132" s="22">
        <v>45008</v>
      </c>
      <c r="GP132" s="29">
        <f t="shared" si="626"/>
        <v>5.5714285714285712</v>
      </c>
      <c r="GQ132" s="28" t="s">
        <v>869</v>
      </c>
      <c r="GR132" s="28" t="s">
        <v>869</v>
      </c>
      <c r="GS132" s="22" t="str">
        <f t="shared" si="627"/>
        <v>CONTROL Igm</v>
      </c>
      <c r="GT132" s="22">
        <v>45008</v>
      </c>
      <c r="GU132" s="29">
        <f t="shared" si="628"/>
        <v>5.5714285714285712</v>
      </c>
      <c r="GV132" s="21" t="str">
        <f t="shared" si="629"/>
        <v>I TRIM</v>
      </c>
      <c r="GW132" s="28" t="s">
        <v>869</v>
      </c>
      <c r="GX132" s="30"/>
      <c r="GY132" s="21"/>
      <c r="GZ132" s="21"/>
      <c r="HA132" s="21"/>
      <c r="HB132" s="21"/>
      <c r="HC132" s="21"/>
      <c r="HD132" s="21"/>
      <c r="HE132" s="21"/>
      <c r="HF132" s="22"/>
      <c r="HG132" s="22" t="str">
        <f>IF(OR(O132&gt;0,R132&gt;0),CONCATENATE(IF(Tabla1[[#This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32" s="22" t="e">
        <f t="shared" si="630"/>
        <v>#REF!</v>
      </c>
      <c r="HI132" s="22" t="e">
        <f t="shared" ca="1" si="631"/>
        <v>#REF!</v>
      </c>
      <c r="HJ132" s="21" t="str">
        <f t="shared" ca="1" si="632"/>
        <v>************************RIESGO POR EDAD***************</v>
      </c>
      <c r="HK132" s="21" t="str">
        <f t="shared" si="633"/>
        <v>SIN ANTECEDENTES DE RIESGO</v>
      </c>
      <c r="HL132" s="24" t="str">
        <f t="shared" si="634"/>
        <v>APARENTEMENTE NORMAL</v>
      </c>
      <c r="HM132" s="21" t="e">
        <f t="shared" ca="1" si="635"/>
        <v>#REF!</v>
      </c>
      <c r="HN132" s="30" t="str">
        <f t="shared" si="446"/>
        <v>ACTIVA INGRESO A CPN</v>
      </c>
      <c r="HO132" s="21"/>
      <c r="HP132" s="21"/>
      <c r="HQ132" s="349"/>
      <c r="HR132" s="21" t="str">
        <f>IF(R132="","",IF(Tabla1[[#This Row],[ALARMA FACTORES DE RIESGO COMPLICACIONES HIPERTENSIVAS3]]="SIN ANTECEDENTES DE RIESGO","No Aplica para suministro de ASA",IF(AND(Tabla1[[#This Row],[FECHA INICIO DE SUMINISTRO DE ASA]]&gt;0,RV132&lt;12),"Inicia ASA ANTES de Sem 12",IF(AND(RV132&gt;11,RV132&lt;17,OR(HK132="RIESGO ALTO DE COMPLICACIONES HIPERTENSIVAS VER MANEJO GUIA SUMINISTRO ASA Y CALCIO",HK132="RIESGO MODERADO (2 O MAS CRITERIOS) VER MANEJO GUIA SUMINISTRO ASA Y CALCIO")),"Inicio oportuno de ASA",IF(AND(RV132&gt;12,OR(HK132="RIESGO ALTO DE COMPLICACIONES HIPERTENSIVAS VER MANEJO GUIA SUMINISTRO ASA Y CALCIO",HK132="RIESGO MODERADO (2 O MAS CRITERIOS) VER MANEJO GUIA SUMINISTRO ASA Y CALCIO")),"Inicio no oportuno mayor a 16 semanas",IF(AND(BU132&lt;12,OR(HK132="RIESGO ALTO DE COMPLICACIONES HIPERTENSIVAS VER MANEJO GUIA SUMINISTRO ASA Y CALCIO",HK132="RIESGO MODERADO (2 O MAS CRITERIOS) VER MANEJO GUIA SUMINISTRO ASA Y CALCIO")),"Pendiente Inicio de ASA a la semana 12",IF(AND(BU132&gt;11,BU132&lt;17,OR(HK132="RIESGO ALTO DE COMPLICACIONES HIPERTENSIVAS VER MANEJO GUIA SUMINISTRO ASA Y CALCIO",HK132="RIESGO MODERADO (2 O MAS CRITERIOS) VER MANEJO GUIA SUMINISTRO ASA Y CALCIO")),"Iniciar de inmediato ASA",IF(AND(BU132&gt;16,OR(HK132="RIESGO ALTO DE COMPLICACIONES HIPERTENSIVAS VER MANEJO GUIA SUMINISTRO ASA Y CALCIO",HK132="RIESGO MODERADO (2 O MAS CRITERIOS) VER MANEJO GUIA SUMINISTRO ASA Y CALCIO")),"Pierde Oportunidad, Inicio tardío de ASA","XXXXX"))))))))</f>
        <v>No Aplica para suministro de ASA</v>
      </c>
      <c r="HS132" s="22"/>
      <c r="HT132" s="22"/>
      <c r="HU132" s="22">
        <v>45008</v>
      </c>
      <c r="HV132" s="22" t="s">
        <v>870</v>
      </c>
      <c r="HW132" s="22">
        <v>45008</v>
      </c>
      <c r="HX132" s="22" t="s">
        <v>870</v>
      </c>
      <c r="HY132" s="22">
        <v>45008</v>
      </c>
      <c r="HZ132" s="28">
        <f t="shared" si="636"/>
        <v>5.5714285714285712</v>
      </c>
      <c r="IA132" s="26" t="s">
        <v>864</v>
      </c>
      <c r="IB132" s="26"/>
      <c r="IC132" s="111"/>
      <c r="ID132" s="22"/>
      <c r="IE132" s="22" t="str">
        <f t="shared" ca="1" si="637"/>
        <v>INASISTENTE</v>
      </c>
      <c r="IF132" s="22"/>
      <c r="IG132" s="22">
        <f t="shared" si="638"/>
        <v>45249</v>
      </c>
      <c r="IH132" s="29">
        <f t="shared" ca="1" si="639"/>
        <v>17</v>
      </c>
      <c r="II132" s="22" t="str">
        <f t="shared" ca="1" si="640"/>
        <v>MENOS DE 4 SEMANAS</v>
      </c>
      <c r="IJ132" s="22"/>
      <c r="IK132" s="21"/>
      <c r="IL132" s="21"/>
      <c r="IM132" s="34"/>
      <c r="IN132" s="22"/>
      <c r="IO132" s="21"/>
      <c r="IP132" s="29" t="str">
        <f t="shared" si="490"/>
        <v/>
      </c>
      <c r="IQ132" s="35"/>
      <c r="IR132" s="21"/>
      <c r="IS132" s="21"/>
      <c r="IT132" s="21"/>
      <c r="IU132" s="21"/>
      <c r="IV132" s="21"/>
      <c r="IW132" s="21"/>
      <c r="IX132" s="21"/>
      <c r="IY132" s="21"/>
      <c r="IZ132" s="21"/>
      <c r="JA132" s="21"/>
      <c r="JB132" s="30"/>
      <c r="JC132" s="21"/>
      <c r="JD132" s="36"/>
      <c r="JE132" s="21" t="str">
        <f t="shared" si="492"/>
        <v/>
      </c>
      <c r="JF132" s="30"/>
      <c r="JG132" s="21"/>
      <c r="JH132" s="21"/>
      <c r="JI132" s="21"/>
      <c r="JJ132" s="30"/>
      <c r="JK132" s="22"/>
      <c r="JL132" s="22"/>
      <c r="JM132" s="21"/>
      <c r="JN132" s="36"/>
      <c r="JO132" s="21" t="str">
        <f t="shared" si="493"/>
        <v/>
      </c>
      <c r="JP132" s="22"/>
      <c r="JQ132" s="21"/>
      <c r="JR132" s="21"/>
      <c r="JS132" s="21"/>
      <c r="JT132" s="30"/>
      <c r="JU132" s="22"/>
      <c r="JV132" s="22"/>
      <c r="JW132" s="33"/>
      <c r="JX132" s="28" t="str">
        <f t="shared" si="494"/>
        <v/>
      </c>
      <c r="JY132" s="33"/>
      <c r="JZ132" s="28" t="str">
        <f t="shared" si="495"/>
        <v/>
      </c>
      <c r="KA132" s="21"/>
      <c r="KB132" s="21"/>
      <c r="KC132" s="21"/>
      <c r="KD132" s="37"/>
      <c r="KE132" s="28"/>
      <c r="KF132" s="28"/>
      <c r="KG132" s="28"/>
      <c r="KH132" s="39"/>
      <c r="KI132" s="39"/>
      <c r="KJ132" s="66"/>
      <c r="KK132" s="39"/>
      <c r="KL132" s="39"/>
      <c r="KM132" s="66"/>
      <c r="KN132" s="39"/>
      <c r="KO132" s="39"/>
      <c r="KP132" s="39"/>
      <c r="KQ132" s="39"/>
      <c r="KR132" s="39"/>
      <c r="KS132" s="39"/>
      <c r="KT132" s="39"/>
      <c r="KU132" s="38"/>
      <c r="KV132" s="38"/>
      <c r="KW132" s="38"/>
      <c r="KX132" s="38"/>
      <c r="KY132" s="38"/>
      <c r="KZ132" s="38"/>
      <c r="LA132" s="38"/>
      <c r="LB132" s="38"/>
      <c r="LC132" s="38"/>
      <c r="LD132" s="38"/>
      <c r="LE132" s="38"/>
      <c r="LF132" s="38"/>
      <c r="LG132" s="38"/>
      <c r="LH132" s="38"/>
      <c r="LI132" s="38"/>
      <c r="LJ132" s="38"/>
      <c r="LK132" s="38"/>
      <c r="LL132" s="38"/>
      <c r="LM132" s="38"/>
      <c r="LN132" s="38"/>
      <c r="LO132" s="38"/>
      <c r="LP132" s="38"/>
      <c r="LQ132" s="38"/>
      <c r="LR132" s="38"/>
      <c r="LS132" s="38"/>
      <c r="LT132" s="38"/>
      <c r="LU132" s="38"/>
      <c r="LV132" s="38"/>
      <c r="LW132" s="38"/>
      <c r="LX132" s="38"/>
      <c r="LY132" s="38"/>
      <c r="LZ132" s="38"/>
      <c r="MA132" s="38"/>
      <c r="MB132" s="38"/>
      <c r="MC132" s="38"/>
      <c r="MD132" s="38"/>
      <c r="ME132" s="38"/>
      <c r="MF132" s="38"/>
      <c r="MG132" s="38"/>
      <c r="MH132" s="43">
        <f t="shared" si="641"/>
        <v>0</v>
      </c>
      <c r="MI132" s="43" t="str">
        <f t="shared" si="642"/>
        <v/>
      </c>
      <c r="MJ132" s="43" t="str">
        <f t="shared" si="643"/>
        <v/>
      </c>
      <c r="MK132" s="43">
        <f t="shared" si="644"/>
        <v>0</v>
      </c>
      <c r="ML13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32" s="43">
        <f t="shared" si="645"/>
        <v>5.5714285714285712</v>
      </c>
      <c r="MN132" s="43">
        <f t="shared" si="646"/>
        <v>3</v>
      </c>
      <c r="MO132" s="43">
        <f t="shared" si="647"/>
        <v>2023</v>
      </c>
      <c r="MP132" s="43" t="str">
        <f t="shared" si="648"/>
        <v>I TRIMESTRE AÑO</v>
      </c>
      <c r="MQ132" s="43">
        <f t="shared" si="649"/>
        <v>38.225470871660093</v>
      </c>
      <c r="MR132" s="43">
        <f t="shared" si="650"/>
        <v>2</v>
      </c>
      <c r="MS132" s="43" t="str">
        <f t="shared" si="651"/>
        <v xml:space="preserve"> DE 35 A 39 AÑOS</v>
      </c>
      <c r="MT132" s="43">
        <f t="shared" si="652"/>
        <v>0</v>
      </c>
      <c r="MU132" s="43">
        <f t="shared" si="653"/>
        <v>0</v>
      </c>
      <c r="MV132" s="43">
        <f t="shared" si="654"/>
        <v>0</v>
      </c>
      <c r="MW132" s="43">
        <f t="shared" si="655"/>
        <v>0</v>
      </c>
      <c r="MX132" s="43" t="str">
        <f t="shared" si="656"/>
        <v/>
      </c>
      <c r="MY132" s="43" t="str">
        <f t="shared" ca="1" si="496"/>
        <v/>
      </c>
      <c r="MZ132" s="43" t="str">
        <f t="shared" si="657"/>
        <v/>
      </c>
      <c r="NA132" s="43" t="str">
        <f t="shared" si="658"/>
        <v/>
      </c>
      <c r="NB132" s="43" t="str">
        <f t="shared" si="659"/>
        <v/>
      </c>
      <c r="NC132" s="43" t="str">
        <f t="shared" si="660"/>
        <v/>
      </c>
      <c r="ND132" s="43">
        <f t="shared" ca="1" si="661"/>
        <v>2</v>
      </c>
      <c r="NE132" s="43">
        <f>IF(OR(O132&gt;0,R132&gt;0),SUM(COUNTIF(Tabla1[[#This Row],[AÑOS AL INICIO5 CPN]],"&gt;=40"),COUNTIF(AS132,"0"),COUNTIF(AR132,"SI"),COUNTIF(CC132,"SI"),COUNTIF(BQ132,"&gt;119"),COUNTIF(CI132,"&gt;=35")),"")</f>
        <v>0</v>
      </c>
      <c r="NF132" s="43" t="str">
        <f t="shared" si="662"/>
        <v/>
      </c>
      <c r="NG132" s="43">
        <f t="shared" si="663"/>
        <v>0</v>
      </c>
      <c r="NH132" s="43">
        <f t="shared" si="664"/>
        <v>45.5</v>
      </c>
      <c r="NI13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CPN",P132="NO"),"Z",IF(AND(Tabla1[[#This Row],[CITA PROXIMO CONTROL]]="CITA MANUAL",Tabla1[[#This Row],[GESTANTES ACTUALES]]="ACTIVA INGRESO A CPN"),"W",IF(AND(Tabla1[[#This Row],[GESTANTES ACTUALES]]="SALIO PROGRAMA",IN132=""),"S",IF(AND(Tabla1[[#This Row],[CITA PROXIMO CONTROL]]&gt;0,IN132=""),(Tabla1[[#This Row],[CITA PROXIMO CONTROL]]-TODAY()),"SD"))))))))</f>
        <v>#REF!</v>
      </c>
      <c r="NJ132" s="43">
        <f>MONTH(Tabla1[[#This Row],[FECHA DE SALIDA  DEL PROGRAMA]])</f>
        <v>1</v>
      </c>
      <c r="NK132" s="43">
        <f>YEAR(Tabla1[[#This Row],[FECHA DE SALIDA  DEL PROGRAMA]])</f>
        <v>1900</v>
      </c>
      <c r="NL132" s="43">
        <f t="shared" si="665"/>
        <v>69</v>
      </c>
      <c r="NM132" s="43" t="str">
        <f t="shared" si="501"/>
        <v>NO</v>
      </c>
      <c r="NN132" s="43" t="str">
        <f ca="1">IF(AND(O132&gt;0,R132=""),"NO CPN",IF(AND(O132="",R132=""),"",IF(AND(R132&gt;0,Tabla1[[#This Row],[SEMANAS DE GESTACION ACTUALIZADAS]]&lt;=12),"NO APLICA",IF(AND(FH132&lt;&gt;"",FN132&lt;&gt;""),"SI","NO"))))</f>
        <v>NO</v>
      </c>
      <c r="NO132" s="43" t="str">
        <f ca="1">IF(AND(O132&gt;0,R132=""),"NO CPN",IF(AND(O132="",R132=""),"",IF(AND(R132&gt;0,Tabla1[[#This Row],[SEMANAS DE GESTACION ACTUALIZADAS]]&lt;=27),"NO APLICA",IF(AND(ES132&lt;&gt;"",FQ132&lt;&gt;"",GF132&lt;&gt;""),"SI","NO"))))</f>
        <v>NO</v>
      </c>
      <c r="NP132" s="204" t="str">
        <f t="shared" si="666"/>
        <v>I TRIM</v>
      </c>
      <c r="NQ132" s="21" t="str">
        <f t="shared" si="500"/>
        <v/>
      </c>
      <c r="NR132" s="21">
        <f t="shared" ca="1" si="497"/>
        <v>3</v>
      </c>
      <c r="NS132" s="205">
        <f t="shared" ca="1" si="667"/>
        <v>1</v>
      </c>
      <c r="NT132" s="21">
        <f t="shared" ca="1" si="668"/>
        <v>0</v>
      </c>
      <c r="NU132" s="21" t="str">
        <f t="shared" ca="1" si="669"/>
        <v>INCOMPLETO</v>
      </c>
      <c r="NV132" s="21" t="str">
        <f t="shared" ca="1" si="670"/>
        <v>INCOMPLETO</v>
      </c>
      <c r="NW132" s="206" t="str">
        <f>IF(AND(O132="",R132=""),"",IF(OR(AND(Tabla1[[#This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32" s="207" t="str">
        <f t="shared" ca="1" si="671"/>
        <v>SIN VACUNAR</v>
      </c>
      <c r="NY132" s="43">
        <f>ROW(Tabla1[[#This Row],['# DE TAMIZAJES SIFILIS TOMADOS ]])</f>
        <v>132</v>
      </c>
      <c r="NZ132" s="43" t="str">
        <f t="shared" si="502"/>
        <v>Menor</v>
      </c>
      <c r="OA132" s="43" t="str">
        <f t="shared" si="503"/>
        <v>SOBREPESO</v>
      </c>
      <c r="OB132" s="43" t="str">
        <f t="shared" si="504"/>
        <v/>
      </c>
      <c r="OC132" s="43" t="str">
        <f t="shared" si="505"/>
        <v/>
      </c>
      <c r="OD132" s="43" t="str">
        <f t="shared" si="506"/>
        <v/>
      </c>
      <c r="OE132" s="43" t="str">
        <f t="shared" si="507"/>
        <v/>
      </c>
      <c r="OF132" s="43" t="str">
        <f t="shared" si="508"/>
        <v/>
      </c>
      <c r="OG132" s="43" t="str">
        <f t="shared" si="509"/>
        <v/>
      </c>
      <c r="OH132" s="43" t="str">
        <f t="shared" si="510"/>
        <v/>
      </c>
      <c r="OI132" s="43" t="str">
        <f t="shared" si="511"/>
        <v/>
      </c>
      <c r="OJ132" s="43" t="str">
        <f t="shared" si="512"/>
        <v/>
      </c>
      <c r="OK132" s="43" t="str">
        <f t="shared" si="513"/>
        <v/>
      </c>
      <c r="OL132" s="43" t="str">
        <f t="shared" si="514"/>
        <v/>
      </c>
      <c r="OM132" s="43" t="str">
        <f t="shared" si="515"/>
        <v/>
      </c>
      <c r="ON132" s="43" t="str">
        <f t="shared" si="516"/>
        <v/>
      </c>
      <c r="OO132" s="43" t="str">
        <f t="shared" si="517"/>
        <v/>
      </c>
      <c r="OP132" s="43" t="str">
        <f t="shared" si="518"/>
        <v/>
      </c>
      <c r="OQ132" s="43" t="str">
        <f t="shared" si="519"/>
        <v/>
      </c>
      <c r="OR132" s="43" t="str">
        <f t="shared" si="520"/>
        <v/>
      </c>
      <c r="OS132" s="43" t="str">
        <f t="shared" si="521"/>
        <v/>
      </c>
      <c r="OT132" s="43" t="str">
        <f t="shared" si="522"/>
        <v/>
      </c>
      <c r="OU132" s="43" t="str">
        <f t="shared" si="523"/>
        <v/>
      </c>
      <c r="OV132" s="110" t="str">
        <f t="shared" si="524"/>
        <v/>
      </c>
      <c r="OW132" s="43" t="str">
        <f t="shared" si="525"/>
        <v/>
      </c>
      <c r="OX132" s="43" t="str">
        <f t="shared" si="526"/>
        <v/>
      </c>
      <c r="OY132" s="43" t="str">
        <f t="shared" si="527"/>
        <v/>
      </c>
      <c r="OZ132" s="43" t="str">
        <f t="shared" si="528"/>
        <v/>
      </c>
      <c r="PA132" s="43" t="str">
        <f t="shared" si="529"/>
        <v/>
      </c>
      <c r="PB132" s="43" t="str">
        <f t="shared" si="530"/>
        <v/>
      </c>
      <c r="PC132" s="43" t="str">
        <f t="shared" si="531"/>
        <v/>
      </c>
      <c r="PD132" s="43" t="str">
        <f t="shared" si="532"/>
        <v/>
      </c>
      <c r="PE132" s="43" t="str">
        <f t="shared" si="533"/>
        <v/>
      </c>
      <c r="PF132" s="43" t="str">
        <f t="shared" si="534"/>
        <v/>
      </c>
      <c r="PG132" s="43" t="str">
        <f t="shared" si="535"/>
        <v/>
      </c>
      <c r="PH132" s="43" t="str">
        <f t="shared" si="536"/>
        <v/>
      </c>
      <c r="PI132" s="43">
        <f t="shared" si="537"/>
        <v>26</v>
      </c>
      <c r="PJ132" s="43" t="str">
        <f t="shared" si="538"/>
        <v/>
      </c>
      <c r="PK132" s="43" t="str">
        <f t="shared" si="539"/>
        <v/>
      </c>
      <c r="PL132" s="43" t="str">
        <f t="shared" si="540"/>
        <v/>
      </c>
      <c r="PM132" s="43" t="str">
        <f t="shared" si="541"/>
        <v/>
      </c>
      <c r="PN132" s="43" t="str">
        <f t="shared" si="542"/>
        <v/>
      </c>
      <c r="PO132" s="43" t="str">
        <f t="shared" si="543"/>
        <v/>
      </c>
      <c r="PP132" s="43" t="str">
        <f t="shared" si="544"/>
        <v/>
      </c>
      <c r="PQ132" s="43" t="str">
        <f t="shared" si="545"/>
        <v/>
      </c>
      <c r="PR132" s="43" t="str">
        <f t="shared" si="546"/>
        <v/>
      </c>
      <c r="PS132" s="43" t="str">
        <f t="shared" si="547"/>
        <v/>
      </c>
      <c r="PT132" s="43" t="str">
        <f t="shared" si="548"/>
        <v/>
      </c>
      <c r="PU132" s="43" t="str">
        <f t="shared" si="549"/>
        <v/>
      </c>
      <c r="PV132" s="43" t="str">
        <f t="shared" si="550"/>
        <v/>
      </c>
      <c r="PW132" s="43" t="str">
        <f t="shared" si="551"/>
        <v/>
      </c>
      <c r="PX132" s="43" t="str">
        <f t="shared" si="552"/>
        <v/>
      </c>
      <c r="PY132" s="43" t="str">
        <f t="shared" si="553"/>
        <v/>
      </c>
      <c r="PZ132" s="43" t="str">
        <f t="shared" si="554"/>
        <v/>
      </c>
      <c r="QA132" s="43" t="str">
        <f t="shared" si="555"/>
        <v>SOBREPESO</v>
      </c>
      <c r="QB132" s="43" t="str">
        <f t="shared" si="556"/>
        <v/>
      </c>
      <c r="QC132" s="43" t="str">
        <f t="shared" si="557"/>
        <v/>
      </c>
      <c r="QD132" s="43" t="str">
        <f t="shared" si="558"/>
        <v/>
      </c>
      <c r="QE132" s="43" t="str">
        <f t="shared" si="559"/>
        <v/>
      </c>
      <c r="QF132" s="43" t="str">
        <f t="shared" si="560"/>
        <v/>
      </c>
      <c r="QG132" s="43" t="str">
        <f t="shared" si="561"/>
        <v/>
      </c>
      <c r="QH132" s="43" t="str">
        <f t="shared" si="562"/>
        <v/>
      </c>
      <c r="QI132" s="43" t="str">
        <f t="shared" si="563"/>
        <v/>
      </c>
      <c r="QJ132" s="43" t="str">
        <f t="shared" si="564"/>
        <v/>
      </c>
      <c r="QK132" s="43" t="str">
        <f t="shared" si="565"/>
        <v/>
      </c>
      <c r="QL132" s="43" t="str">
        <f t="shared" si="566"/>
        <v/>
      </c>
      <c r="QM132" s="43" t="str">
        <f t="shared" si="567"/>
        <v/>
      </c>
      <c r="QN132" s="43" t="str">
        <f t="shared" si="568"/>
        <v/>
      </c>
      <c r="QO132" s="43" t="str">
        <f t="shared" si="569"/>
        <v/>
      </c>
      <c r="QP132" s="43" t="str">
        <f t="shared" si="570"/>
        <v/>
      </c>
      <c r="QQ132" s="43" t="str">
        <f t="shared" si="571"/>
        <v/>
      </c>
      <c r="QR132" s="43">
        <f t="shared" si="672"/>
        <v>26</v>
      </c>
      <c r="QS132" s="43"/>
      <c r="QT132" s="21" t="str">
        <f t="shared" si="572"/>
        <v/>
      </c>
      <c r="QU132" s="21" t="str">
        <f t="shared" si="573"/>
        <v/>
      </c>
      <c r="QV132" s="21" t="str">
        <f t="shared" si="574"/>
        <v/>
      </c>
      <c r="QW132" s="21" t="str">
        <f t="shared" si="575"/>
        <v/>
      </c>
      <c r="QX132" s="21" t="str">
        <f t="shared" si="576"/>
        <v/>
      </c>
      <c r="QY132" s="21" t="str">
        <f t="shared" si="577"/>
        <v/>
      </c>
      <c r="QZ132" s="21" t="str">
        <f t="shared" si="578"/>
        <v/>
      </c>
      <c r="RA132" s="21" t="str">
        <f t="shared" si="579"/>
        <v/>
      </c>
      <c r="RB132" s="21" t="str">
        <f t="shared" si="580"/>
        <v/>
      </c>
      <c r="RC132" s="21" t="str">
        <f t="shared" si="581"/>
        <v/>
      </c>
      <c r="RD132" s="21" t="str">
        <f t="shared" si="582"/>
        <v/>
      </c>
      <c r="RE132" s="21" t="str">
        <f t="shared" si="583"/>
        <v/>
      </c>
      <c r="RF132" s="21" t="str">
        <f t="shared" si="584"/>
        <v/>
      </c>
      <c r="RG132" s="21" t="str">
        <f t="shared" si="585"/>
        <v>ALTO PARA EDAD GESTACIONAL</v>
      </c>
      <c r="RH132" s="21" t="str">
        <f t="shared" si="586"/>
        <v/>
      </c>
      <c r="RI132" s="21" t="str">
        <f t="shared" si="587"/>
        <v/>
      </c>
      <c r="RJ132" s="21" t="str">
        <f t="shared" si="588"/>
        <v/>
      </c>
      <c r="RK132" s="21" t="str">
        <f t="shared" si="589"/>
        <v/>
      </c>
      <c r="RL132" s="21" t="str">
        <f t="shared" si="590"/>
        <v/>
      </c>
      <c r="RM132" s="21" t="str">
        <f t="shared" si="591"/>
        <v/>
      </c>
      <c r="RN132" s="21" t="str">
        <f t="shared" si="592"/>
        <v/>
      </c>
      <c r="RO132" s="21" t="str">
        <f t="shared" si="593"/>
        <v/>
      </c>
      <c r="RP132" s="21" t="str">
        <f t="shared" si="594"/>
        <v/>
      </c>
      <c r="RQ132" s="21" t="str">
        <f t="shared" si="595"/>
        <v/>
      </c>
      <c r="RR132" s="21" t="str">
        <f t="shared" si="596"/>
        <v/>
      </c>
      <c r="RS132" s="21" t="str">
        <f t="shared" si="597"/>
        <v/>
      </c>
      <c r="RT132" s="21" t="str">
        <f t="shared" si="598"/>
        <v/>
      </c>
      <c r="RU132" s="21" t="str">
        <f t="shared" si="599"/>
        <v/>
      </c>
      <c r="RV132" s="21">
        <f t="shared" si="600"/>
        <v>-1</v>
      </c>
      <c r="RW132" s="284">
        <f>IF(OR(Tabla1[[#This Row],[FUM FORMULA CONFIABLE]]="",Tabla1[[#This Row],[FUM FORMULA CONFIABLE]]="SD"),"",IF(Tabla1[[#This Row],[FUM FORMULA CONFIABLE]]="CORREGIDA",Tabla1[[#This Row],[FUM X ECO 1]],Tabla1[[#This Row],[FUM x AMENORREA]]))</f>
        <v>44969</v>
      </c>
      <c r="RX132" s="21">
        <f>IF(AND(Tabla1[[#This Row],[FUM X ECO 1]]="",Tabla1[[#This Row],[FUM x AMENORREA]]=""),"",IF(AND(Tabla1[[#This Row],[FUM X ECO 1]]="",Tabla1[[#This Row],[FUM x AMENORREA]]&lt;&gt;""),"X",SUM(Tabla1[[#This Row],[FUM X ECO 1]]-Tabla1[[#This Row],[FUM x AMENORREA]])))</f>
        <v>1.5</v>
      </c>
      <c r="RY132" s="21">
        <f t="shared" si="673"/>
        <v>0</v>
      </c>
    </row>
    <row r="133" spans="1:493" ht="45" customHeight="1" x14ac:dyDescent="0.25">
      <c r="A133" s="109" t="s">
        <v>1393</v>
      </c>
      <c r="B133" s="43"/>
      <c r="C133" s="43" t="s">
        <v>845</v>
      </c>
      <c r="D133" s="124"/>
      <c r="E133" s="43" t="s">
        <v>1394</v>
      </c>
      <c r="F133" s="43" t="s">
        <v>1395</v>
      </c>
      <c r="G133" s="43" t="s">
        <v>1284</v>
      </c>
      <c r="H133" s="43" t="s">
        <v>1182</v>
      </c>
      <c r="I133" s="109" t="s">
        <v>851</v>
      </c>
      <c r="J133" s="110">
        <v>1059594142</v>
      </c>
      <c r="K133" s="43" t="s">
        <v>852</v>
      </c>
      <c r="L133" s="175" t="s">
        <v>1509</v>
      </c>
      <c r="M133" s="22">
        <v>38054</v>
      </c>
      <c r="N133" s="213">
        <f t="shared" ca="1" si="601"/>
        <v>19.665753424657535</v>
      </c>
      <c r="O133" s="22">
        <v>45013</v>
      </c>
      <c r="P133" s="214" t="str">
        <f t="shared" si="438"/>
        <v>SI</v>
      </c>
      <c r="Q133" s="26" t="s">
        <v>855</v>
      </c>
      <c r="R133" s="22">
        <v>45013</v>
      </c>
      <c r="S133" s="21" t="s">
        <v>856</v>
      </c>
      <c r="T133" s="24" t="s">
        <v>690</v>
      </c>
      <c r="U133" s="21" t="s">
        <v>857</v>
      </c>
      <c r="V133" s="21" t="s">
        <v>858</v>
      </c>
      <c r="W133" s="21" t="s">
        <v>1259</v>
      </c>
      <c r="X133" s="21"/>
      <c r="Y133" s="21" t="s">
        <v>859</v>
      </c>
      <c r="Z133" s="21">
        <v>3008443510</v>
      </c>
      <c r="AA133" s="21" t="s">
        <v>860</v>
      </c>
      <c r="AB133" s="27" t="s">
        <v>861</v>
      </c>
      <c r="AC133" s="26" t="s">
        <v>897</v>
      </c>
      <c r="AD133" s="38" t="s">
        <v>1546</v>
      </c>
      <c r="AE133" s="26" t="s">
        <v>854</v>
      </c>
      <c r="AF133" s="26" t="s">
        <v>854</v>
      </c>
      <c r="AG133" s="23" t="s">
        <v>864</v>
      </c>
      <c r="AH133" s="23" t="s">
        <v>864</v>
      </c>
      <c r="AI133" s="24" t="s">
        <v>863</v>
      </c>
      <c r="AJ133" s="23" t="s">
        <v>864</v>
      </c>
      <c r="AK133" s="220" t="str">
        <f>IF(AND(AD133="",AE133="",AF133="",AG133="",AH133="",AI133="",AJ133=""),"",IF(OR(Tabla1[[#This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EVALUACIÓN",IF(AND(O133="",R133=""),"",IF(AND(OR(O133&gt;0,R133&gt;0),NG133&gt;=0,NG133&lt;2),"SIN RIESGO",IF(AND(OR(O133&gt;0,R133&gt;0),NG133&gt;=2),"CON RIESGO","ASD")))))</f>
        <v>SIN RIESGO</v>
      </c>
      <c r="AL133" s="23" t="s">
        <v>864</v>
      </c>
      <c r="AM133" s="26" t="s">
        <v>864</v>
      </c>
      <c r="AN133" s="26" t="s">
        <v>864</v>
      </c>
      <c r="AO133" s="26" t="s">
        <v>864</v>
      </c>
      <c r="AP133" s="26" t="s">
        <v>864</v>
      </c>
      <c r="AQ133" s="26" t="s">
        <v>864</v>
      </c>
      <c r="AR133" s="26" t="s">
        <v>864</v>
      </c>
      <c r="AS133" s="21">
        <v>1</v>
      </c>
      <c r="AT133" s="21">
        <v>1</v>
      </c>
      <c r="AU133" s="21">
        <v>0</v>
      </c>
      <c r="AV133" s="26" t="s">
        <v>864</v>
      </c>
      <c r="AW133" s="21">
        <v>0</v>
      </c>
      <c r="AX133" s="26" t="s">
        <v>864</v>
      </c>
      <c r="AY133" s="26" t="s">
        <v>864</v>
      </c>
      <c r="AZ133" s="26" t="s">
        <v>864</v>
      </c>
      <c r="BA133" s="26" t="s">
        <v>864</v>
      </c>
      <c r="BB133" s="26" t="s">
        <v>864</v>
      </c>
      <c r="BC133" s="26" t="s">
        <v>864</v>
      </c>
      <c r="BD133" s="26" t="s">
        <v>864</v>
      </c>
      <c r="BE133" s="26" t="s">
        <v>864</v>
      </c>
      <c r="BF133" s="26" t="s">
        <v>864</v>
      </c>
      <c r="BG133" s="26" t="s">
        <v>864</v>
      </c>
      <c r="BH133" s="26" t="s">
        <v>864</v>
      </c>
      <c r="BI133" s="26" t="s">
        <v>864</v>
      </c>
      <c r="BJ133" s="26" t="s">
        <v>864</v>
      </c>
      <c r="BK133" s="26" t="s">
        <v>864</v>
      </c>
      <c r="BL133" s="26" t="s">
        <v>864</v>
      </c>
      <c r="BM133" s="26" t="s">
        <v>864</v>
      </c>
      <c r="BN133" s="22">
        <v>43150</v>
      </c>
      <c r="BO133" s="22">
        <v>44895</v>
      </c>
      <c r="BP133" s="21" t="s">
        <v>1380</v>
      </c>
      <c r="BQ133" s="222">
        <f t="shared" si="602"/>
        <v>58.396666666666718</v>
      </c>
      <c r="BR133" s="223">
        <f t="shared" si="603"/>
        <v>44901.9</v>
      </c>
      <c r="BS133" s="224">
        <f t="shared" si="604"/>
        <v>15.871428571428364</v>
      </c>
      <c r="BT133" s="216" t="str">
        <f t="shared" si="605"/>
        <v>II TRIM</v>
      </c>
      <c r="BU133" s="214" t="str">
        <f t="shared" ca="1" si="606"/>
        <v/>
      </c>
      <c r="BV133" s="25"/>
      <c r="BW133" s="22">
        <v>45016</v>
      </c>
      <c r="BX133" s="28">
        <v>16.3</v>
      </c>
      <c r="BY133" s="28"/>
      <c r="BZ133" s="22">
        <v>45051</v>
      </c>
      <c r="CA133" s="21">
        <v>21</v>
      </c>
      <c r="CB133" s="26" t="s">
        <v>864</v>
      </c>
      <c r="CC133" s="26" t="s">
        <v>864</v>
      </c>
      <c r="CD133" s="26"/>
      <c r="CE133" s="26" t="s">
        <v>864</v>
      </c>
      <c r="CF133" s="22" t="s">
        <v>1517</v>
      </c>
      <c r="CG133" s="21">
        <v>1.64</v>
      </c>
      <c r="CH133" s="21">
        <v>53.4</v>
      </c>
      <c r="CI133" s="214">
        <f t="shared" si="607"/>
        <v>19.854253420582989</v>
      </c>
      <c r="CJ133" s="225" t="e">
        <f>IF(AND(CI133&lt;10,CH133="SD"),"SIN DATO PESO PREGESTACION O I TRIM",IF(AND(OR(R133&gt;0,O133&gt;0),CI133="X"),"INGRESAR DATO DE PESO",IF(CI133="SD","INGRESAR DATO DE TALLA Y PESO",IF(AND(OR(Tabla1[[#This Row],[MOMENTO EN QUE SE REALIZA EL PESO AL INGRESO A CPN]]="PREGESTACIÓN",NZ133="Menor"),CI133&lt;18.5),"BAJO PESO",IF(AND(OR(Tabla1[[#This Row],[MOMENTO EN QUE SE REALIZA EL PESO AL INGRESO A CPN]]="PREGESTACIÓN",NZ133="Menor"),CI133&lt;25),"NORMAL",IF(AND(OR(Tabla1[[#This Row],[MOMENTO EN QUE SE REALIZA EL PESO AL INGRESO A CPN]]="PREGESTACIÓN",NZ133="Menor"),CI133&lt;30),"SOBREPESO",IF(AND(OR(Tabla1[[#This Row],[MOMENTO EN QUE SE REALIZA EL PESO AL INGRESO A CPN]]="PREGESTACIÓN",NZ133="Menor"),CI133&gt;=30,CI133&lt;50),"OBESIDAD",IF(AND(BS133&gt;0,Tabla1[[#This Row],[MOMENTO EN QUE SE REALIZA EL PESO AL INGRESO A CPN]]="GESTACIÓN"),HLOOKUP(NZ133,$OA$2:PH133,NY133),""))))))))</f>
        <v>#REF!</v>
      </c>
      <c r="CK133" s="212">
        <f t="shared" si="608"/>
        <v>45121</v>
      </c>
      <c r="CL133" s="21">
        <v>56.4</v>
      </c>
      <c r="CM133" s="214">
        <f t="shared" si="609"/>
        <v>20.969660916121359</v>
      </c>
      <c r="CN133" s="216">
        <f t="shared" si="610"/>
        <v>31</v>
      </c>
      <c r="CO133" s="216" t="e">
        <f>IF(PI133="","",IF(PI133&gt;0,HLOOKUP(PI133,$PJ$2:QQ133,NY133),""))</f>
        <v>#REF!</v>
      </c>
      <c r="CP133" s="21">
        <v>29</v>
      </c>
      <c r="CQ133" s="216" t="e">
        <f>IF(QR133="Menor","NO APLICA-MENOR 13 SEM",IF(AND(CC133="SI",CN133&gt;23),"NO APLICA- GEMELAR",IF(QR133="","",IF(QR133&gt;0,HLOOKUP(QR133,$QS$2:RU133,NY133),""))))</f>
        <v>#REF!</v>
      </c>
      <c r="CR133" s="21"/>
      <c r="CS133" s="21"/>
      <c r="CT133" s="217" t="str">
        <f>IF(R133="","",IF(AND(BS133&gt;1,BS133&lt;12,Tabla1[[#This Row],[T.A. SISTOLICA - ANTES DE SEMANA 12]]="",Tabla1[[#This Row],[T.A. DIASTOLICA - ANTES DE SEMANA 12]]=""),"REGISTRE DATO TA ANTES SEMANA 12",IF(AND(BS133&gt;11,BS133&lt;43,Tabla1[[#This Row],[T.A. SISTOLICA - ANTES DE SEMANA 12]]="",Tabla1[[#This Row],[T.A. DIASTOLICA - ANTES DE SEMANA 12]]=""),"NO APLICA REGISTRO TA-INGRESO TARDIO",IF(AND(OR(O133&gt;0,R133&gt;0),OR(CR133&gt;=140,CS133&gt;=90)),"DEFINIR ESTADIO HTA",IF(AND(OR(O133&gt;0,R133&gt;0),AND(CR133&gt;120,CR133&lt;=139)),"PRE HTA SEGUIMIENTO",IF(AND(OR(O133&gt;0,R133&gt;0),AND(CS133&gt;80,CS133&lt;=89)),"PRE HTA SEGUIMIENTO",IF(AND(OR(O133&gt;0,R133&gt;0),AND(CR133&gt;=80,CR133&lt;=120)),"APARENTEMENTE NORMAL",IF(AND(OR(O133&gt;0,R133&gt;0),AND(CS133&gt;=50,CS133&lt;=80)),"APARENTEMENTE NORMAL",IF(AND(OR(O133&gt;0,R133&gt;0),AND(CR133&gt;1,CR133&lt;=70),AND(CS133&gt;1,CS133&lt;=40)),"HIPOTENSIÓN","")))))))))</f>
        <v>NO APLICA REGISTRO TA-INGRESO TARDIO</v>
      </c>
      <c r="CU133" s="21"/>
      <c r="CV133" s="21"/>
      <c r="CW133" s="217" t="str">
        <f ca="1">IF(R133="","",IF(AND(CN133&gt;19,CN133&lt;27,Tabla1[[#This Row],[T.A. SISTOLICA (Entre semana 20 y 26)]]="",Tabla1[[#This Row],[T.A. DIATOLICA (Entre semana 20 y 26)]]=""),"ACUDE A CONTROL SEM 20 A 26 REGISTRE TA AHORA",IF(AND(BS133&gt;1,BS133&lt;27,BU133&gt;19,Tabla1[[#This Row],[T.A. SISTOLICA (Entre semana 20 y 26)]]="",Tabla1[[#This Row],[T.A. DIATOLICA (Entre semana 20 y 26)]]=""),"COMPLETE REGISTRO TA CONTROL SEM 20 A26 ",IF(AND(BS133&gt;26,BS133&lt;43,Tabla1[[#This Row],[T.A. SISTOLICA (Entre semana 20 y 26)]]="",Tabla1[[#This Row],[T.A. DIATOLICA (Entre semana 20 y 26)]]=""),"NO APLICA REGISTRO TA-INGRESO TARDIO",IF(AND(OR(O133&gt;0,R133&gt;0),OR(CU133&gt;=140,CV133&gt;=90)),"ALTO RIESGO PREECLAMPSIA,DEFINIR ESTADIO HTA",IF(AND(OR(O133&gt;0,R133&gt;0),AND(CU133&gt;120,CU133&lt;=139)),"PRE HTA SEGUIMIENTO,RIESGO HIPERTENSION INDUCIDA POR EL EMBARAZO",IF(AND(OR(O133&gt;0,R133&gt;0),AND(CV133&gt;80,CV133&lt;=89)),"PRE HTA SEGUIMIENTO, RIESGO HIPERTENSION INDUCIDA POR EL EMBARAZO",IF(AND(OR(O133&lt;&gt;"",R133&lt;&gt;""),CS133&lt;&gt;"",CV133&lt;&gt;"",CS133&lt;=CV133),"VIGILAR CIFRAS PRESION ARTERIAL",IF(AND(OR(O133&gt;0,R133&gt;0),AND(CU133&gt;120,CU133&lt;=139)),"PRE HTA SEGUIMIENTO",IF(AND(OR(O133&gt;0,R133&gt;0),AND(CU133&gt;1,CU133&lt;=70),AND(CV133&gt;1,CV133&lt;=40)),"HIPOTENSIÓN",IF(AND(OR(O133&lt;&gt;"",R133&lt;&gt;""),CS133&lt;&gt;"",CV133&lt;&gt;"",CS133&gt;CV133),"APARENTEMENTE NORMAL",IF(AND(OR(O133&gt;0,R133&gt;0),AND(CU133&gt;=80,CU133&lt;=120)),"APARENTEMENTE NORMAL",IF(AND(OR(O133&gt;0,R133&gt;0),AND(CV133&gt;=50,CV133&lt;=80)),"APARENTEMENTE NORMAL","")))))))))))))</f>
        <v xml:space="preserve">COMPLETE REGISTRO TA CONTROL SEM 20 A26 </v>
      </c>
      <c r="CX133" s="21">
        <v>100</v>
      </c>
      <c r="CY133" s="21">
        <v>60</v>
      </c>
      <c r="CZ133" s="216" t="str">
        <f t="shared" si="499"/>
        <v>APARENTEMENTE NORMAL</v>
      </c>
      <c r="DA133" s="21">
        <v>100</v>
      </c>
      <c r="DB133" s="21">
        <v>60</v>
      </c>
      <c r="DC133" s="217" t="str">
        <f t="shared" si="611"/>
        <v>APARENTEMENTE NORMAL</v>
      </c>
      <c r="DD133" s="22">
        <v>45013</v>
      </c>
      <c r="DE133" s="22">
        <v>45013</v>
      </c>
      <c r="DF133" s="22">
        <v>45044</v>
      </c>
      <c r="DG133" s="22">
        <v>45121</v>
      </c>
      <c r="DH133" s="22"/>
      <c r="DI133" s="22"/>
      <c r="DJ133" s="22"/>
      <c r="DK133" s="22"/>
      <c r="DL133" s="22"/>
      <c r="DM133" s="22"/>
      <c r="DN133" s="22"/>
      <c r="DO133" s="22"/>
      <c r="DP133" s="22"/>
      <c r="DQ133" s="22"/>
      <c r="DR133" s="28">
        <v>1</v>
      </c>
      <c r="DS133" s="22"/>
      <c r="DT133" s="22"/>
      <c r="DU133" s="216" t="str">
        <f t="shared" ca="1" si="439"/>
        <v>CONCERTAR PLAN DE PARTO INMEDIATO</v>
      </c>
      <c r="DV133" s="226" t="str">
        <f t="shared" si="440"/>
        <v>ACTIVA INGRESO A CPN</v>
      </c>
      <c r="DW133"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33" s="216" t="e">
        <f t="shared" ca="1" si="612"/>
        <v>#REF!</v>
      </c>
      <c r="DY133" s="212">
        <f>IF(R133="","",IF(R133&gt;0,MAX(Tabla1[[#This Row],[FECHA C2]:[FECHA C13]],Tabla1[[#This Row],[FECHA CONSULTA PRIMERA VEZ PROGRAMA CPN ]])))</f>
        <v>45121</v>
      </c>
      <c r="DZ133" s="216">
        <f t="shared" si="613"/>
        <v>31</v>
      </c>
      <c r="EA133" s="222">
        <f>IF(R133&gt;0,SUM(COUNTA(DF133:DQ133)+COUNTA(Tabla1[[#This Row],[FECHA CONSULTA PRIMERA VEZ PROGRAMA CPN ]])),"")</f>
        <v>3</v>
      </c>
      <c r="EB133" s="222" t="str">
        <f t="shared" si="614"/>
        <v>NO</v>
      </c>
      <c r="EC133" s="214">
        <f t="shared" si="615"/>
        <v>8</v>
      </c>
      <c r="ED133" s="227">
        <f t="shared" si="616"/>
        <v>0.375</v>
      </c>
      <c r="EE133" s="22">
        <v>45013</v>
      </c>
      <c r="EF133" s="22">
        <v>45013</v>
      </c>
      <c r="EG133" s="22">
        <v>45013</v>
      </c>
      <c r="EH133" s="22"/>
      <c r="EI133" s="22">
        <v>45013</v>
      </c>
      <c r="EJ133" s="22"/>
      <c r="EK133" s="22"/>
      <c r="EL133" s="21"/>
      <c r="EM133" s="21">
        <v>13.1</v>
      </c>
      <c r="EN133" s="22">
        <v>45010</v>
      </c>
      <c r="EO133" s="222">
        <f t="shared" si="617"/>
        <v>15.442857142856935</v>
      </c>
      <c r="EP133" s="214" t="str">
        <f t="shared" si="618"/>
        <v>NORMAL- SUMINISTRAR SULFATO FERROSO</v>
      </c>
      <c r="EQ133" s="216" t="str">
        <f t="shared" si="619"/>
        <v>II TRIM</v>
      </c>
      <c r="ER133" s="24">
        <v>13</v>
      </c>
      <c r="ES133" s="22">
        <v>45013</v>
      </c>
      <c r="ET133" s="29">
        <f t="shared" ca="1" si="441"/>
        <v>15.871428571428364</v>
      </c>
      <c r="EU133" s="25" t="str">
        <f t="shared" si="620"/>
        <v>NORMAL- SUMINISTRAR SULFATO FERROSO</v>
      </c>
      <c r="EV133" s="24" t="s">
        <v>1510</v>
      </c>
      <c r="EW133" s="24">
        <v>45013</v>
      </c>
      <c r="EX133" s="22"/>
      <c r="EY133" s="29">
        <f t="shared" si="454"/>
        <v>15.871428571428364</v>
      </c>
      <c r="EZ133" s="25" t="str">
        <f t="shared" si="455"/>
        <v>SIN RIESGO DE ISOINMUNIZACIÓN</v>
      </c>
      <c r="FA133" s="21">
        <v>66</v>
      </c>
      <c r="FB133" s="22">
        <v>45013</v>
      </c>
      <c r="FC133" s="29">
        <f t="shared" si="621"/>
        <v>15.871428571428364</v>
      </c>
      <c r="FD133" s="29"/>
      <c r="FE133" s="29"/>
      <c r="FF133" s="29"/>
      <c r="FG133" s="21" t="str">
        <f t="shared" ca="1" si="622"/>
        <v/>
      </c>
      <c r="FH133" s="31"/>
      <c r="FI133" s="29" t="str">
        <f t="shared" si="623"/>
        <v>TOMAR EXAMEN</v>
      </c>
      <c r="FJ133" s="22"/>
      <c r="FK133" s="22"/>
      <c r="FL133" s="29" t="str">
        <f t="shared" ca="1" si="624"/>
        <v>NO APLICA-INGRESO TARDIO</v>
      </c>
      <c r="FM133" s="22" t="s">
        <v>867</v>
      </c>
      <c r="FN133" s="32">
        <v>45013</v>
      </c>
      <c r="FO133" s="29">
        <f t="shared" ca="1" si="442"/>
        <v>15.871428571428364</v>
      </c>
      <c r="FP133" s="22"/>
      <c r="FQ133" s="32"/>
      <c r="FR133" s="29" t="str">
        <f t="shared" ca="1" si="443"/>
        <v>TOMA INMEDIATA DE TAMIZAJE</v>
      </c>
      <c r="FS133" s="22"/>
      <c r="FT133" s="32"/>
      <c r="FU133" s="29" t="str">
        <f>IF(AND(FJ133="",FM133="",FP133="",FS133=""),"",IF(OR(OR(Tabla1[[#This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33" s="28"/>
      <c r="FW133" s="22"/>
      <c r="FX133" s="29" t="str">
        <f t="shared" si="625"/>
        <v>TOMAR EXAMEN</v>
      </c>
      <c r="FY133" s="22"/>
      <c r="FZ133" s="22"/>
      <c r="GA133" s="29" t="str">
        <f t="shared" ca="1" si="498"/>
        <v>NO APLICA-INGRESO TARDIO</v>
      </c>
      <c r="GB133" s="22" t="s">
        <v>868</v>
      </c>
      <c r="GC133" s="22">
        <v>45013</v>
      </c>
      <c r="GD133" s="29">
        <f t="shared" ca="1" si="491"/>
        <v>15.871428571428364</v>
      </c>
      <c r="GE133" s="22"/>
      <c r="GF133" s="22"/>
      <c r="GG133" s="29" t="str">
        <f t="shared" ca="1" si="445"/>
        <v>TOMA INMEDIATA DE TAMIZAJE</v>
      </c>
      <c r="GH133" s="22"/>
      <c r="GI133" s="29"/>
      <c r="GJ133" s="22"/>
      <c r="GK133" s="22"/>
      <c r="GL133" s="22"/>
      <c r="GM133" s="22"/>
      <c r="GN133" s="28"/>
      <c r="GO133" s="22"/>
      <c r="GP133" s="29" t="str">
        <f t="shared" si="626"/>
        <v>TOMAR EXAMEN</v>
      </c>
      <c r="GQ133" s="28"/>
      <c r="GR133" s="28"/>
      <c r="GS133" s="22" t="str">
        <f t="shared" si="627"/>
        <v/>
      </c>
      <c r="GT133" s="22"/>
      <c r="GU133" s="29" t="str">
        <f t="shared" si="628"/>
        <v>TOMAR EXAMEN</v>
      </c>
      <c r="GV133" s="21" t="str">
        <f t="shared" si="629"/>
        <v>POR DEFINIR</v>
      </c>
      <c r="GW133" s="28"/>
      <c r="GX133" s="30"/>
      <c r="GY133" s="21"/>
      <c r="GZ133" s="21"/>
      <c r="HA133" s="21"/>
      <c r="HB133" s="21"/>
      <c r="HC133" s="21"/>
      <c r="HD133" s="21"/>
      <c r="HE133" s="21"/>
      <c r="HF133" s="22"/>
      <c r="HG133" s="22" t="str">
        <f>IF(OR(O133&gt;0,R133&gt;0),CONCATENATE(IF(Tabla1[[#This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33" s="22" t="e">
        <f t="shared" si="630"/>
        <v>#REF!</v>
      </c>
      <c r="HI133" s="22" t="e">
        <f t="shared" ca="1" si="631"/>
        <v>#REF!</v>
      </c>
      <c r="HJ133" s="21" t="str">
        <f t="shared" ca="1" si="632"/>
        <v>***************************************</v>
      </c>
      <c r="HK133" s="21" t="str">
        <f t="shared" si="633"/>
        <v>SIN ANTECEDENTES DE RIESGO</v>
      </c>
      <c r="HL133" s="24" t="str">
        <f t="shared" si="634"/>
        <v>APARENTEMENTE NORMAL</v>
      </c>
      <c r="HM133" s="21" t="e">
        <f t="shared" ca="1" si="635"/>
        <v>#REF!</v>
      </c>
      <c r="HN133" s="30" t="str">
        <f t="shared" si="446"/>
        <v>ACTIVA INGRESO A CPN</v>
      </c>
      <c r="HO133" s="21"/>
      <c r="HP133" s="21"/>
      <c r="HQ133" s="21">
        <v>45013</v>
      </c>
      <c r="HR133" s="21" t="str">
        <f>IF(R133="","",IF(Tabla1[[#This Row],[ALARMA FACTORES DE RIESGO COMPLICACIONES HIPERTENSIVAS3]]="SIN ANTECEDENTES DE RIESGO","No Aplica para suministro de ASA",IF(AND(Tabla1[[#This Row],[FECHA INICIO DE SUMINISTRO DE ASA]]&gt;0,RV133&lt;12),"Inicia ASA ANTES de Sem 12",IF(AND(RV133&gt;11,RV133&lt;17,OR(HK133="RIESGO ALTO DE COMPLICACIONES HIPERTENSIVAS VER MANEJO GUIA SUMINISTRO ASA Y CALCIO",HK133="RIESGO MODERADO (2 O MAS CRITERIOS) VER MANEJO GUIA SUMINISTRO ASA Y CALCIO")),"Inicio oportuno de ASA",IF(AND(RV133&gt;12,OR(HK133="RIESGO ALTO DE COMPLICACIONES HIPERTENSIVAS VER MANEJO GUIA SUMINISTRO ASA Y CALCIO",HK133="RIESGO MODERADO (2 O MAS CRITERIOS) VER MANEJO GUIA SUMINISTRO ASA Y CALCIO")),"Inicio no oportuno mayor a 16 semanas",IF(AND(BU133&lt;12,OR(HK133="RIESGO ALTO DE COMPLICACIONES HIPERTENSIVAS VER MANEJO GUIA SUMINISTRO ASA Y CALCIO",HK133="RIESGO MODERADO (2 O MAS CRITERIOS) VER MANEJO GUIA SUMINISTRO ASA Y CALCIO")),"Pendiente Inicio de ASA a la semana 12",IF(AND(BU133&gt;11,BU133&lt;17,OR(HK133="RIESGO ALTO DE COMPLICACIONES HIPERTENSIVAS VER MANEJO GUIA SUMINISTRO ASA Y CALCIO",HK133="RIESGO MODERADO (2 O MAS CRITERIOS) VER MANEJO GUIA SUMINISTRO ASA Y CALCIO")),"Iniciar de inmediato ASA",IF(AND(BU133&gt;16,OR(HK133="RIESGO ALTO DE COMPLICACIONES HIPERTENSIVAS VER MANEJO GUIA SUMINISTRO ASA Y CALCIO",HK133="RIESGO MODERADO (2 O MAS CRITERIOS) VER MANEJO GUIA SUMINISTRO ASA Y CALCIO")),"Pierde Oportunidad, Inicio tardío de ASA","XXXXX"))))))))</f>
        <v>No Aplica para suministro de ASA</v>
      </c>
      <c r="HS133" s="22">
        <v>45013</v>
      </c>
      <c r="HT133" s="22" t="s">
        <v>870</v>
      </c>
      <c r="HU133" s="22"/>
      <c r="HV133" s="22"/>
      <c r="HW133" s="22">
        <v>45013</v>
      </c>
      <c r="HX133" s="22" t="s">
        <v>870</v>
      </c>
      <c r="HY133" s="22">
        <v>45013</v>
      </c>
      <c r="HZ133" s="28">
        <f t="shared" si="636"/>
        <v>15.871428571428364</v>
      </c>
      <c r="IA133" s="26"/>
      <c r="IB133" s="26"/>
      <c r="IC133" s="111"/>
      <c r="ID133" s="22">
        <v>45051</v>
      </c>
      <c r="IE133" s="22" t="str">
        <f t="shared" ca="1" si="637"/>
        <v>VACUNA APLICADA ENTRE SEMANA 20 Y SEMANA 26</v>
      </c>
      <c r="IF133" s="22"/>
      <c r="IG133" s="22">
        <f t="shared" si="638"/>
        <v>45181.9</v>
      </c>
      <c r="IH133" s="29">
        <f t="shared" ca="1" si="639"/>
        <v>-50.099999999998545</v>
      </c>
      <c r="II133" s="22" t="str">
        <f t="shared" ca="1" si="640"/>
        <v>POSIBLEMENTE NACIO</v>
      </c>
      <c r="IJ133" s="22"/>
      <c r="IK133" s="21"/>
      <c r="IL133" s="21"/>
      <c r="IM133" s="34"/>
      <c r="IN133" s="349"/>
      <c r="IO133" s="21"/>
      <c r="IP133" s="29" t="str">
        <f t="shared" si="490"/>
        <v/>
      </c>
      <c r="IQ133" s="35"/>
      <c r="IR133" s="21"/>
      <c r="IS133" s="21"/>
      <c r="IT133" s="21"/>
      <c r="IU133" s="21"/>
      <c r="IV133" s="21"/>
      <c r="IW133" s="21"/>
      <c r="IX133" s="21"/>
      <c r="IY133" s="21"/>
      <c r="IZ133" s="21"/>
      <c r="JA133" s="21"/>
      <c r="JB133" s="30"/>
      <c r="JC133" s="21"/>
      <c r="JD133" s="36"/>
      <c r="JE133" s="21" t="str">
        <f t="shared" si="492"/>
        <v/>
      </c>
      <c r="JF133" s="30"/>
      <c r="JG133" s="21"/>
      <c r="JH133" s="21"/>
      <c r="JI133" s="21"/>
      <c r="JJ133" s="30"/>
      <c r="JK133" s="22"/>
      <c r="JL133" s="22"/>
      <c r="JM133" s="21"/>
      <c r="JN133" s="36"/>
      <c r="JO133" s="21" t="str">
        <f t="shared" si="493"/>
        <v/>
      </c>
      <c r="JP133" s="22"/>
      <c r="JQ133" s="21"/>
      <c r="JR133" s="21"/>
      <c r="JS133" s="21"/>
      <c r="JT133" s="30"/>
      <c r="JU133" s="22"/>
      <c r="JV133" s="22"/>
      <c r="JW133" s="33"/>
      <c r="JX133" s="28" t="str">
        <f t="shared" si="494"/>
        <v/>
      </c>
      <c r="JY133" s="33"/>
      <c r="JZ133" s="28" t="str">
        <f t="shared" si="495"/>
        <v/>
      </c>
      <c r="KA133" s="21"/>
      <c r="KB133" s="21"/>
      <c r="KC133" s="21"/>
      <c r="KD133" s="37"/>
      <c r="KE133" s="28"/>
      <c r="KF133" s="28"/>
      <c r="KG133" s="28"/>
      <c r="KH133" s="39"/>
      <c r="KI133" s="39"/>
      <c r="KJ133" s="66"/>
      <c r="KK133" s="39"/>
      <c r="KL133" s="39"/>
      <c r="KM133" s="66"/>
      <c r="KN133" s="39"/>
      <c r="KO133" s="39"/>
      <c r="KP133" s="39"/>
      <c r="KQ133" s="39"/>
      <c r="KR133" s="39"/>
      <c r="KS133" s="39"/>
      <c r="KT133" s="39"/>
      <c r="KU133" s="38"/>
      <c r="KV133" s="38"/>
      <c r="KW133" s="38"/>
      <c r="KX133" s="38"/>
      <c r="KY133" s="38"/>
      <c r="KZ133" s="38"/>
      <c r="LA133" s="38"/>
      <c r="LB133" s="38"/>
      <c r="LC133" s="38"/>
      <c r="LD133" s="38"/>
      <c r="LE133" s="38"/>
      <c r="LF133" s="38"/>
      <c r="LG133" s="38"/>
      <c r="LH133" s="38"/>
      <c r="LI133" s="38"/>
      <c r="LJ133" s="38"/>
      <c r="LK133" s="38"/>
      <c r="LL133" s="38"/>
      <c r="LM133" s="38"/>
      <c r="LN133" s="38"/>
      <c r="LO133" s="38"/>
      <c r="LP133" s="38"/>
      <c r="LQ133" s="38"/>
      <c r="LR133" s="38"/>
      <c r="LS133" s="38"/>
      <c r="LT133" s="38"/>
      <c r="LU133" s="38"/>
      <c r="LV133" s="38"/>
      <c r="LW133" s="38"/>
      <c r="LX133" s="38"/>
      <c r="LY133" s="38"/>
      <c r="LZ133" s="38"/>
      <c r="MA133" s="38"/>
      <c r="MB133" s="38"/>
      <c r="MC133" s="38"/>
      <c r="MD133" s="38"/>
      <c r="ME133" s="38"/>
      <c r="MF133" s="38"/>
      <c r="MG133" s="38"/>
      <c r="MH133" s="43">
        <f t="shared" si="641"/>
        <v>0</v>
      </c>
      <c r="MI133" s="43" t="str">
        <f t="shared" si="642"/>
        <v/>
      </c>
      <c r="MJ133" s="43" t="str">
        <f t="shared" si="643"/>
        <v/>
      </c>
      <c r="MK133" s="43">
        <f t="shared" si="644"/>
        <v>0</v>
      </c>
      <c r="ML13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33" s="43">
        <f t="shared" si="645"/>
        <v>15.871428571428364</v>
      </c>
      <c r="MN133" s="43">
        <f t="shared" si="646"/>
        <v>3</v>
      </c>
      <c r="MO133" s="43">
        <f t="shared" si="647"/>
        <v>2023</v>
      </c>
      <c r="MP133" s="43" t="str">
        <f t="shared" si="648"/>
        <v>I TRIMESTRE AÑO</v>
      </c>
      <c r="MQ133" s="43">
        <f t="shared" si="649"/>
        <v>18.78011388523872</v>
      </c>
      <c r="MR133" s="43">
        <f t="shared" si="650"/>
        <v>0</v>
      </c>
      <c r="MS133" s="43" t="str">
        <f t="shared" si="651"/>
        <v>DE 14 A 19AÑOS</v>
      </c>
      <c r="MT133" s="43">
        <f t="shared" si="652"/>
        <v>0</v>
      </c>
      <c r="MU133" s="43">
        <f t="shared" si="653"/>
        <v>0</v>
      </c>
      <c r="MV133" s="43">
        <f t="shared" si="654"/>
        <v>0</v>
      </c>
      <c r="MW133" s="43">
        <f t="shared" si="655"/>
        <v>0</v>
      </c>
      <c r="MX133" s="43" t="str">
        <f t="shared" si="656"/>
        <v/>
      </c>
      <c r="MY133" s="43" t="str">
        <f t="shared" ca="1" si="496"/>
        <v/>
      </c>
      <c r="MZ133" s="43" t="str">
        <f t="shared" si="657"/>
        <v/>
      </c>
      <c r="NA133" s="43" t="str">
        <f t="shared" si="658"/>
        <v/>
      </c>
      <c r="NB133" s="43" t="str">
        <f t="shared" si="659"/>
        <v/>
      </c>
      <c r="NC133" s="43" t="str">
        <f t="shared" si="660"/>
        <v/>
      </c>
      <c r="ND133" s="43">
        <f t="shared" ca="1" si="661"/>
        <v>0</v>
      </c>
      <c r="NE133" s="43">
        <f>IF(OR(O133&gt;0,R133&gt;0),SUM(COUNTIF(Tabla1[[#This Row],[AÑOS AL INICIO5 CPN]],"&gt;=40"),COUNTIF(AS133,"0"),COUNTIF(AR133,"SI"),COUNTIF(CC133,"SI"),COUNTIF(BQ133,"&gt;119"),COUNTIF(CI133,"&gt;=35")),"")</f>
        <v>0</v>
      </c>
      <c r="NF133" s="43">
        <f t="shared" si="662"/>
        <v>21.299999999999791</v>
      </c>
      <c r="NG133" s="43">
        <f t="shared" si="663"/>
        <v>0</v>
      </c>
      <c r="NH133" s="43">
        <f t="shared" si="664"/>
        <v>114.10000000000001</v>
      </c>
      <c r="NI13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CPN",P133="NO"),"Z",IF(AND(Tabla1[[#This Row],[CITA PROXIMO CONTROL]]="CITA MANUAL",Tabla1[[#This Row],[GESTANTES ACTUALES]]="ACTIVA INGRESO A CPN"),"W",IF(AND(Tabla1[[#This Row],[GESTANTES ACTUALES]]="SALIO PROGRAMA",IN133=""),"S",IF(AND(Tabla1[[#This Row],[CITA PROXIMO CONTROL]]&gt;0,IN133=""),(Tabla1[[#This Row],[CITA PROXIMO CONTROL]]-TODAY()),"SD"))))))))</f>
        <v>#REF!</v>
      </c>
      <c r="NJ133" s="43">
        <f>MONTH(Tabla1[[#This Row],[FECHA DE SALIDA  DEL PROGRAMA]])</f>
        <v>1</v>
      </c>
      <c r="NK133" s="43">
        <f>YEAR(Tabla1[[#This Row],[FECHA DE SALIDA  DEL PROGRAMA]])</f>
        <v>1900</v>
      </c>
      <c r="NL133" s="43" t="str">
        <f t="shared" si="665"/>
        <v>X</v>
      </c>
      <c r="NM133" s="43" t="str">
        <f t="shared" si="501"/>
        <v>NO</v>
      </c>
      <c r="NN133" s="43" t="str">
        <f ca="1">IF(AND(O133&gt;0,R133=""),"NO CPN",IF(AND(O133="",R133=""),"",IF(AND(R133&gt;0,Tabla1[[#This Row],[SEMANAS DE GESTACION ACTUALIZADAS]]&lt;=12),"NO APLICA",IF(AND(FH133&lt;&gt;"",FN133&lt;&gt;""),"SI","NO"))))</f>
        <v>NO</v>
      </c>
      <c r="NO133" s="43" t="str">
        <f ca="1">IF(AND(O133&gt;0,R133=""),"NO CPN",IF(AND(O133="",R133=""),"",IF(AND(R133&gt;0,Tabla1[[#This Row],[SEMANAS DE GESTACION ACTUALIZADAS]]&lt;=27),"NO APLICA",IF(AND(ES133&lt;&gt;"",FQ133&lt;&gt;"",GF133&lt;&gt;""),"SI","NO"))))</f>
        <v>NO</v>
      </c>
      <c r="NP133" s="204" t="str">
        <f t="shared" si="666"/>
        <v>II TRIM</v>
      </c>
      <c r="NQ133" s="21" t="str">
        <f t="shared" si="500"/>
        <v/>
      </c>
      <c r="NR133" s="21" t="str">
        <f t="shared" ca="1" si="497"/>
        <v>REVISAR FUM O FECHA SALIDA PROGRAMA</v>
      </c>
      <c r="NS133" s="205">
        <f t="shared" ca="1" si="667"/>
        <v>1</v>
      </c>
      <c r="NT133" s="21">
        <f t="shared" ca="1" si="668"/>
        <v>1</v>
      </c>
      <c r="NU133" s="21" t="str">
        <f t="shared" ca="1" si="669"/>
        <v>POR DEFINIR</v>
      </c>
      <c r="NV133" s="21" t="str">
        <f t="shared" ca="1" si="670"/>
        <v>POR DEFINIR</v>
      </c>
      <c r="NW133" s="206" t="str">
        <f>IF(AND(O133="",R133=""),"",IF(OR(AND(Tabla1[[#This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33" s="207" t="str">
        <f t="shared" ca="1" si="671"/>
        <v>VACUNADA</v>
      </c>
      <c r="NY133" s="43">
        <f>ROW(Tabla1[[#This Row],['# DE TAMIZAJES SIFILIS TOMADOS ]])</f>
        <v>133</v>
      </c>
      <c r="NZ133" s="43">
        <f t="shared" si="502"/>
        <v>15</v>
      </c>
      <c r="OA133" s="43" t="str">
        <f t="shared" si="503"/>
        <v/>
      </c>
      <c r="OB133" s="43" t="str">
        <f t="shared" si="504"/>
        <v/>
      </c>
      <c r="OC133" s="43" t="str">
        <f t="shared" si="505"/>
        <v/>
      </c>
      <c r="OD133" s="43" t="str">
        <f t="shared" si="506"/>
        <v/>
      </c>
      <c r="OE133" s="43" t="str">
        <f t="shared" si="507"/>
        <v/>
      </c>
      <c r="OF133" s="43" t="str">
        <f t="shared" si="508"/>
        <v/>
      </c>
      <c r="OG133" s="43" t="str">
        <f t="shared" si="509"/>
        <v>BAJO PESO</v>
      </c>
      <c r="OH133" s="43" t="str">
        <f t="shared" si="510"/>
        <v/>
      </c>
      <c r="OI133" s="43" t="str">
        <f t="shared" si="511"/>
        <v/>
      </c>
      <c r="OJ133" s="43" t="str">
        <f t="shared" si="512"/>
        <v/>
      </c>
      <c r="OK133" s="43" t="str">
        <f t="shared" si="513"/>
        <v/>
      </c>
      <c r="OL133" s="43" t="str">
        <f t="shared" si="514"/>
        <v/>
      </c>
      <c r="OM133" s="43" t="str">
        <f t="shared" si="515"/>
        <v/>
      </c>
      <c r="ON133" s="43" t="str">
        <f t="shared" si="516"/>
        <v/>
      </c>
      <c r="OO133" s="43" t="str">
        <f t="shared" si="517"/>
        <v/>
      </c>
      <c r="OP133" s="43" t="str">
        <f t="shared" si="518"/>
        <v/>
      </c>
      <c r="OQ133" s="43" t="str">
        <f t="shared" si="519"/>
        <v/>
      </c>
      <c r="OR133" s="43" t="str">
        <f t="shared" si="520"/>
        <v/>
      </c>
      <c r="OS133" s="43" t="str">
        <f t="shared" si="521"/>
        <v/>
      </c>
      <c r="OT133" s="43" t="str">
        <f t="shared" si="522"/>
        <v/>
      </c>
      <c r="OU133" s="43" t="str">
        <f t="shared" si="523"/>
        <v/>
      </c>
      <c r="OV133" s="110" t="str">
        <f t="shared" si="524"/>
        <v/>
      </c>
      <c r="OW133" s="43" t="str">
        <f t="shared" si="525"/>
        <v/>
      </c>
      <c r="OX133" s="43" t="str">
        <f t="shared" si="526"/>
        <v/>
      </c>
      <c r="OY133" s="43" t="str">
        <f t="shared" si="527"/>
        <v/>
      </c>
      <c r="OZ133" s="43" t="str">
        <f t="shared" si="528"/>
        <v/>
      </c>
      <c r="PA133" s="43" t="str">
        <f t="shared" si="529"/>
        <v/>
      </c>
      <c r="PB133" s="43" t="str">
        <f t="shared" si="530"/>
        <v/>
      </c>
      <c r="PC133" s="43" t="str">
        <f t="shared" si="531"/>
        <v/>
      </c>
      <c r="PD133" s="43" t="str">
        <f t="shared" si="532"/>
        <v/>
      </c>
      <c r="PE133" s="43" t="str">
        <f t="shared" si="533"/>
        <v/>
      </c>
      <c r="PF133" s="43" t="str">
        <f t="shared" si="534"/>
        <v/>
      </c>
      <c r="PG133" s="43" t="str">
        <f t="shared" si="535"/>
        <v/>
      </c>
      <c r="PH133" s="43" t="str">
        <f t="shared" si="536"/>
        <v/>
      </c>
      <c r="PI133" s="43">
        <f t="shared" si="537"/>
        <v>31</v>
      </c>
      <c r="PJ133" s="43" t="str">
        <f t="shared" si="538"/>
        <v/>
      </c>
      <c r="PK133" s="43" t="str">
        <f t="shared" si="539"/>
        <v/>
      </c>
      <c r="PL133" s="43" t="str">
        <f t="shared" si="540"/>
        <v/>
      </c>
      <c r="PM133" s="43" t="str">
        <f t="shared" si="541"/>
        <v/>
      </c>
      <c r="PN133" s="43" t="str">
        <f t="shared" si="542"/>
        <v/>
      </c>
      <c r="PO133" s="43" t="str">
        <f t="shared" si="543"/>
        <v/>
      </c>
      <c r="PP133" s="43" t="str">
        <f t="shared" si="544"/>
        <v/>
      </c>
      <c r="PQ133" s="43" t="str">
        <f t="shared" si="545"/>
        <v/>
      </c>
      <c r="PR133" s="43" t="str">
        <f t="shared" si="546"/>
        <v/>
      </c>
      <c r="PS133" s="43" t="str">
        <f t="shared" si="547"/>
        <v/>
      </c>
      <c r="PT133" s="43" t="str">
        <f t="shared" si="548"/>
        <v/>
      </c>
      <c r="PU133" s="43" t="str">
        <f t="shared" si="549"/>
        <v/>
      </c>
      <c r="PV133" s="43" t="str">
        <f t="shared" si="550"/>
        <v/>
      </c>
      <c r="PW133" s="43" t="str">
        <f t="shared" si="551"/>
        <v/>
      </c>
      <c r="PX133" s="43" t="str">
        <f t="shared" si="552"/>
        <v/>
      </c>
      <c r="PY133" s="43" t="str">
        <f t="shared" si="553"/>
        <v/>
      </c>
      <c r="PZ133" s="43" t="str">
        <f t="shared" si="554"/>
        <v/>
      </c>
      <c r="QA133" s="43" t="str">
        <f t="shared" si="555"/>
        <v/>
      </c>
      <c r="QB133" s="43" t="str">
        <f t="shared" si="556"/>
        <v/>
      </c>
      <c r="QC133" s="43" t="str">
        <f t="shared" si="557"/>
        <v/>
      </c>
      <c r="QD133" s="43" t="str">
        <f t="shared" si="558"/>
        <v/>
      </c>
      <c r="QE133" s="43" t="str">
        <f t="shared" si="559"/>
        <v/>
      </c>
      <c r="QF133" s="43" t="str">
        <f t="shared" si="560"/>
        <v>BAJO PESO</v>
      </c>
      <c r="QG133" s="43" t="str">
        <f t="shared" si="561"/>
        <v/>
      </c>
      <c r="QH133" s="43" t="str">
        <f t="shared" si="562"/>
        <v/>
      </c>
      <c r="QI133" s="43" t="str">
        <f t="shared" si="563"/>
        <v/>
      </c>
      <c r="QJ133" s="43" t="str">
        <f t="shared" si="564"/>
        <v/>
      </c>
      <c r="QK133" s="43" t="str">
        <f t="shared" si="565"/>
        <v/>
      </c>
      <c r="QL133" s="43" t="str">
        <f t="shared" si="566"/>
        <v/>
      </c>
      <c r="QM133" s="43" t="str">
        <f t="shared" si="567"/>
        <v/>
      </c>
      <c r="QN133" s="43" t="str">
        <f t="shared" si="568"/>
        <v/>
      </c>
      <c r="QO133" s="43" t="str">
        <f t="shared" si="569"/>
        <v/>
      </c>
      <c r="QP133" s="43" t="str">
        <f t="shared" si="570"/>
        <v/>
      </c>
      <c r="QQ133" s="43" t="str">
        <f t="shared" si="571"/>
        <v/>
      </c>
      <c r="QR133" s="43">
        <f t="shared" si="672"/>
        <v>31</v>
      </c>
      <c r="QS133" s="43"/>
      <c r="QT133" s="21" t="str">
        <f t="shared" si="572"/>
        <v/>
      </c>
      <c r="QU133" s="21" t="str">
        <f t="shared" si="573"/>
        <v/>
      </c>
      <c r="QV133" s="21" t="str">
        <f t="shared" si="574"/>
        <v/>
      </c>
      <c r="QW133" s="21" t="str">
        <f t="shared" si="575"/>
        <v/>
      </c>
      <c r="QX133" s="21" t="str">
        <f t="shared" si="576"/>
        <v/>
      </c>
      <c r="QY133" s="21" t="str">
        <f t="shared" si="577"/>
        <v/>
      </c>
      <c r="QZ133" s="21" t="str">
        <f t="shared" si="578"/>
        <v/>
      </c>
      <c r="RA133" s="21" t="str">
        <f t="shared" si="579"/>
        <v/>
      </c>
      <c r="RB133" s="21" t="str">
        <f t="shared" si="580"/>
        <v/>
      </c>
      <c r="RC133" s="21" t="str">
        <f t="shared" si="581"/>
        <v/>
      </c>
      <c r="RD133" s="21" t="str">
        <f t="shared" si="582"/>
        <v/>
      </c>
      <c r="RE133" s="21" t="str">
        <f t="shared" si="583"/>
        <v/>
      </c>
      <c r="RF133" s="21" t="str">
        <f t="shared" si="584"/>
        <v/>
      </c>
      <c r="RG133" s="21" t="str">
        <f t="shared" si="585"/>
        <v/>
      </c>
      <c r="RH133" s="21" t="str">
        <f t="shared" si="586"/>
        <v/>
      </c>
      <c r="RI133" s="21" t="str">
        <f t="shared" si="587"/>
        <v/>
      </c>
      <c r="RJ133" s="21" t="str">
        <f t="shared" si="588"/>
        <v/>
      </c>
      <c r="RK133" s="21" t="str">
        <f t="shared" si="589"/>
        <v/>
      </c>
      <c r="RL133" s="21" t="str">
        <f t="shared" si="590"/>
        <v>ADECUADO PARA EDAD GESTACIONAL</v>
      </c>
      <c r="RM133" s="21" t="str">
        <f t="shared" si="591"/>
        <v/>
      </c>
      <c r="RN133" s="21" t="str">
        <f t="shared" si="592"/>
        <v/>
      </c>
      <c r="RO133" s="21" t="str">
        <f t="shared" si="593"/>
        <v/>
      </c>
      <c r="RP133" s="21" t="str">
        <f t="shared" si="594"/>
        <v/>
      </c>
      <c r="RQ133" s="21" t="str">
        <f t="shared" si="595"/>
        <v/>
      </c>
      <c r="RR133" s="21" t="str">
        <f t="shared" si="596"/>
        <v/>
      </c>
      <c r="RS133" s="21" t="str">
        <f t="shared" si="597"/>
        <v/>
      </c>
      <c r="RT133" s="21" t="str">
        <f t="shared" si="598"/>
        <v/>
      </c>
      <c r="RU133" s="21" t="str">
        <f t="shared" si="599"/>
        <v/>
      </c>
      <c r="RV133" s="21">
        <f t="shared" si="600"/>
        <v>15.871428571428364</v>
      </c>
      <c r="RW133" s="284">
        <f>IF(OR(Tabla1[[#This Row],[FUM FORMULA CONFIABLE]]="",Tabla1[[#This Row],[FUM FORMULA CONFIABLE]]="SD"),"",IF(Tabla1[[#This Row],[FUM FORMULA CONFIABLE]]="CORREGIDA",Tabla1[[#This Row],[FUM X ECO 1]],Tabla1[[#This Row],[FUM x AMENORREA]]))</f>
        <v>44901.9</v>
      </c>
      <c r="RX133" s="21">
        <f>IF(AND(Tabla1[[#This Row],[FUM X ECO 1]]="",Tabla1[[#This Row],[FUM x AMENORREA]]=""),"",IF(AND(Tabla1[[#This Row],[FUM X ECO 1]]="",Tabla1[[#This Row],[FUM x AMENORREA]]&lt;&gt;""),"X",SUM(Tabla1[[#This Row],[FUM X ECO 1]]-Tabla1[[#This Row],[FUM x AMENORREA]])))</f>
        <v>6.9000000000014552</v>
      </c>
      <c r="RY133" s="21">
        <f t="shared" si="673"/>
        <v>1</v>
      </c>
    </row>
    <row r="134" spans="1:493" ht="45" customHeight="1" x14ac:dyDescent="0.25">
      <c r="A134" s="109" t="s">
        <v>1396</v>
      </c>
      <c r="B134" s="43" t="s">
        <v>1397</v>
      </c>
      <c r="C134" s="43" t="s">
        <v>845</v>
      </c>
      <c r="D134" s="124"/>
      <c r="E134" s="43" t="s">
        <v>979</v>
      </c>
      <c r="F134" s="43" t="s">
        <v>943</v>
      </c>
      <c r="G134" s="43" t="s">
        <v>1217</v>
      </c>
      <c r="H134" s="43" t="s">
        <v>1398</v>
      </c>
      <c r="I134" s="109" t="s">
        <v>851</v>
      </c>
      <c r="J134" s="110">
        <v>1002846528</v>
      </c>
      <c r="K134" s="43" t="s">
        <v>852</v>
      </c>
      <c r="L134" s="175" t="s">
        <v>1509</v>
      </c>
      <c r="M134" s="22">
        <v>35970</v>
      </c>
      <c r="N134" s="213">
        <f t="shared" ca="1" si="601"/>
        <v>25.375342465753423</v>
      </c>
      <c r="O134" s="22">
        <v>45001</v>
      </c>
      <c r="P134" s="214" t="str">
        <f t="shared" si="438"/>
        <v>SI</v>
      </c>
      <c r="Q134" s="26" t="s">
        <v>855</v>
      </c>
      <c r="R134" s="22">
        <v>45001</v>
      </c>
      <c r="S134" s="21" t="s">
        <v>856</v>
      </c>
      <c r="T134" s="24" t="s">
        <v>690</v>
      </c>
      <c r="U134" s="21" t="s">
        <v>857</v>
      </c>
      <c r="V134" s="21" t="s">
        <v>858</v>
      </c>
      <c r="W134" s="21" t="s">
        <v>955</v>
      </c>
      <c r="X134" s="21"/>
      <c r="Y134" s="21" t="s">
        <v>955</v>
      </c>
      <c r="Z134" s="21">
        <v>3163644216</v>
      </c>
      <c r="AA134" s="21" t="s">
        <v>860</v>
      </c>
      <c r="AB134" s="27" t="s">
        <v>861</v>
      </c>
      <c r="AC134" s="26" t="s">
        <v>897</v>
      </c>
      <c r="AD134" s="38" t="s">
        <v>1546</v>
      </c>
      <c r="AE134" s="26" t="s">
        <v>854</v>
      </c>
      <c r="AF134" s="26" t="s">
        <v>854</v>
      </c>
      <c r="AG134" s="23" t="s">
        <v>864</v>
      </c>
      <c r="AH134" s="23" t="s">
        <v>864</v>
      </c>
      <c r="AI134" s="24" t="s">
        <v>863</v>
      </c>
      <c r="AJ134" s="23" t="s">
        <v>864</v>
      </c>
      <c r="AK134" s="220" t="str">
        <f>IF(AND(AD134="",AE134="",AF134="",AG134="",AH134="",AI134="",AJ134=""),"",IF(OR(Tabla1[[#This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EVALUACIÓN",IF(AND(O134="",R134=""),"",IF(AND(OR(O134&gt;0,R134&gt;0),NG134&gt;=0,NG134&lt;2),"SIN RIESGO",IF(AND(OR(O134&gt;0,R134&gt;0),NG134&gt;=2),"CON RIESGO","ASD")))))</f>
        <v>SIN RIESGO</v>
      </c>
      <c r="AL134" s="23" t="s">
        <v>864</v>
      </c>
      <c r="AM134" s="26" t="s">
        <v>864</v>
      </c>
      <c r="AN134" s="26" t="s">
        <v>864</v>
      </c>
      <c r="AO134" s="26" t="s">
        <v>864</v>
      </c>
      <c r="AP134" s="26" t="s">
        <v>864</v>
      </c>
      <c r="AQ134" s="26" t="s">
        <v>864</v>
      </c>
      <c r="AR134" s="26" t="s">
        <v>864</v>
      </c>
      <c r="AS134" s="21">
        <v>1</v>
      </c>
      <c r="AT134" s="21">
        <v>1</v>
      </c>
      <c r="AU134" s="21">
        <v>0</v>
      </c>
      <c r="AV134" s="26" t="s">
        <v>864</v>
      </c>
      <c r="AW134" s="21">
        <v>0</v>
      </c>
      <c r="AX134" s="26" t="s">
        <v>864</v>
      </c>
      <c r="AY134" s="26" t="s">
        <v>864</v>
      </c>
      <c r="AZ134" s="26" t="s">
        <v>864</v>
      </c>
      <c r="BA134" s="26" t="s">
        <v>864</v>
      </c>
      <c r="BB134" s="26" t="s">
        <v>864</v>
      </c>
      <c r="BC134" s="26" t="s">
        <v>864</v>
      </c>
      <c r="BD134" s="26" t="s">
        <v>864</v>
      </c>
      <c r="BE134" s="26" t="s">
        <v>864</v>
      </c>
      <c r="BF134" s="26" t="s">
        <v>864</v>
      </c>
      <c r="BG134" s="26" t="s">
        <v>864</v>
      </c>
      <c r="BH134" s="26" t="s">
        <v>864</v>
      </c>
      <c r="BI134" s="26" t="s">
        <v>864</v>
      </c>
      <c r="BJ134" s="26" t="s">
        <v>864</v>
      </c>
      <c r="BK134" s="26" t="s">
        <v>864</v>
      </c>
      <c r="BL134" s="26" t="s">
        <v>864</v>
      </c>
      <c r="BM134" s="26" t="s">
        <v>864</v>
      </c>
      <c r="BN134" s="22">
        <v>43945</v>
      </c>
      <c r="BO134" s="22">
        <v>44922</v>
      </c>
      <c r="BP134" s="21" t="s">
        <v>854</v>
      </c>
      <c r="BQ134" s="222">
        <f t="shared" si="602"/>
        <v>32.56666666666667</v>
      </c>
      <c r="BR134" s="223">
        <f t="shared" si="603"/>
        <v>44922.9</v>
      </c>
      <c r="BS134" s="224">
        <f t="shared" si="604"/>
        <v>11.285714285714286</v>
      </c>
      <c r="BT134" s="216" t="str">
        <f t="shared" si="605"/>
        <v>II TRIM</v>
      </c>
      <c r="BU134" s="214" t="str">
        <f t="shared" ca="1" si="606"/>
        <v/>
      </c>
      <c r="BV134" s="25"/>
      <c r="BW134" s="22">
        <v>45016</v>
      </c>
      <c r="BX134" s="28">
        <v>13.3</v>
      </c>
      <c r="BY134" s="28"/>
      <c r="BZ134" s="22"/>
      <c r="CA134" s="21"/>
      <c r="CB134" s="26" t="s">
        <v>864</v>
      </c>
      <c r="CC134" s="26" t="s">
        <v>864</v>
      </c>
      <c r="CD134" s="26"/>
      <c r="CE134" s="26" t="s">
        <v>864</v>
      </c>
      <c r="CF134" s="22" t="s">
        <v>1517</v>
      </c>
      <c r="CG134" s="21">
        <v>1.48</v>
      </c>
      <c r="CH134" s="21">
        <v>72.2</v>
      </c>
      <c r="CI134" s="214">
        <f t="shared" si="607"/>
        <v>32.962016070124179</v>
      </c>
      <c r="CJ134" s="225" t="e">
        <f>IF(AND(CI134&lt;10,CH134="SD"),"SIN DATO PESO PREGESTACION O I TRIM",IF(AND(OR(R134&gt;0,O134&gt;0),CI134="X"),"INGRESAR DATO DE PESO",IF(CI134="SD","INGRESAR DATO DE TALLA Y PESO",IF(AND(OR(Tabla1[[#This Row],[MOMENTO EN QUE SE REALIZA EL PESO AL INGRESO A CPN]]="PREGESTACIÓN",NZ134="Menor"),CI134&lt;18.5),"BAJO PESO",IF(AND(OR(Tabla1[[#This Row],[MOMENTO EN QUE SE REALIZA EL PESO AL INGRESO A CPN]]="PREGESTACIÓN",NZ134="Menor"),CI134&lt;25),"NORMAL",IF(AND(OR(Tabla1[[#This Row],[MOMENTO EN QUE SE REALIZA EL PESO AL INGRESO A CPN]]="PREGESTACIÓN",NZ134="Menor"),CI134&lt;30),"SOBREPESO",IF(AND(OR(Tabla1[[#This Row],[MOMENTO EN QUE SE REALIZA EL PESO AL INGRESO A CPN]]="PREGESTACIÓN",NZ134="Menor"),CI134&gt;=30,CI134&lt;50),"OBESIDAD",IF(AND(BS134&gt;0,Tabla1[[#This Row],[MOMENTO EN QUE SE REALIZA EL PESO AL INGRESO A CPN]]="GESTACIÓN"),HLOOKUP(NZ134,$OA$2:PH134,NY134),""))))))))</f>
        <v>#REF!</v>
      </c>
      <c r="CK134" s="212">
        <f t="shared" si="608"/>
        <v>45134</v>
      </c>
      <c r="CL134" s="21">
        <v>80</v>
      </c>
      <c r="CM134" s="214">
        <f t="shared" si="609"/>
        <v>36.523009495982471</v>
      </c>
      <c r="CN134" s="216">
        <f t="shared" si="610"/>
        <v>30</v>
      </c>
      <c r="CO134" s="216" t="e">
        <f>IF(PI134="","",IF(PI134&gt;0,HLOOKUP(PI134,$PJ$2:QQ134,NY134),""))</f>
        <v>#REF!</v>
      </c>
      <c r="CP134" s="21">
        <v>33</v>
      </c>
      <c r="CQ134" s="216" t="e">
        <f>IF(QR134="Menor","NO APLICA-MENOR 13 SEM",IF(AND(CC134="SI",CN134&gt;23),"NO APLICA- GEMELAR",IF(QR134="","",IF(QR134&gt;0,HLOOKUP(QR134,$QS$2:RU134,NY134),""))))</f>
        <v>#REF!</v>
      </c>
      <c r="CR134" s="21">
        <v>100</v>
      </c>
      <c r="CS134" s="21">
        <v>60</v>
      </c>
      <c r="CT134" s="217" t="str">
        <f>IF(R134="","",IF(AND(BS134&gt;1,BS134&lt;12,Tabla1[[#This Row],[T.A. SISTOLICA - ANTES DE SEMANA 12]]="",Tabla1[[#This Row],[T.A. DIASTOLICA - ANTES DE SEMANA 12]]=""),"REGISTRE DATO TA ANTES SEMANA 12",IF(AND(BS134&gt;11,BS134&lt;43,Tabla1[[#This Row],[T.A. SISTOLICA - ANTES DE SEMANA 12]]="",Tabla1[[#This Row],[T.A. DIASTOLICA - ANTES DE SEMANA 12]]=""),"NO APLICA REGISTRO TA-INGRESO TARDIO",IF(AND(OR(O134&gt;0,R134&gt;0),OR(CR134&gt;=140,CS134&gt;=90)),"DEFINIR ESTADIO HTA",IF(AND(OR(O134&gt;0,R134&gt;0),AND(CR134&gt;120,CR134&lt;=139)),"PRE HTA SEGUIMIENTO",IF(AND(OR(O134&gt;0,R134&gt;0),AND(CS134&gt;80,CS134&lt;=89)),"PRE HTA SEGUIMIENTO",IF(AND(OR(O134&gt;0,R134&gt;0),AND(CR134&gt;=80,CR134&lt;=120)),"APARENTEMENTE NORMAL",IF(AND(OR(O134&gt;0,R134&gt;0),AND(CS134&gt;=50,CS134&lt;=80)),"APARENTEMENTE NORMAL",IF(AND(OR(O134&gt;0,R134&gt;0),AND(CR134&gt;1,CR134&lt;=70),AND(CS134&gt;1,CS134&lt;=40)),"HIPOTENSIÓN","")))))))))</f>
        <v>APARENTEMENTE NORMAL</v>
      </c>
      <c r="CU134" s="21">
        <v>100</v>
      </c>
      <c r="CV134" s="21">
        <v>60</v>
      </c>
      <c r="CW134" s="217" t="str">
        <f ca="1">IF(R134="","",IF(AND(CN134&gt;19,CN134&lt;27,Tabla1[[#This Row],[T.A. SISTOLICA (Entre semana 20 y 26)]]="",Tabla1[[#This Row],[T.A. DIATOLICA (Entre semana 20 y 26)]]=""),"ACUDE A CONTROL SEM 20 A 26 REGISTRE TA AHORA",IF(AND(BS134&gt;1,BS134&lt;27,BU134&gt;19,Tabla1[[#This Row],[T.A. SISTOLICA (Entre semana 20 y 26)]]="",Tabla1[[#This Row],[T.A. DIATOLICA (Entre semana 20 y 26)]]=""),"COMPLETE REGISTRO TA CONTROL SEM 20 A26 ",IF(AND(BS134&gt;26,BS134&lt;43,Tabla1[[#This Row],[T.A. SISTOLICA (Entre semana 20 y 26)]]="",Tabla1[[#This Row],[T.A. DIATOLICA (Entre semana 20 y 26)]]=""),"NO APLICA REGISTRO TA-INGRESO TARDIO",IF(AND(OR(O134&gt;0,R134&gt;0),OR(CU134&gt;=140,CV134&gt;=90)),"ALTO RIESGO PREECLAMPSIA,DEFINIR ESTADIO HTA",IF(AND(OR(O134&gt;0,R134&gt;0),AND(CU134&gt;120,CU134&lt;=139)),"PRE HTA SEGUIMIENTO,RIESGO HIPERTENSION INDUCIDA POR EL EMBARAZO",IF(AND(OR(O134&gt;0,R134&gt;0),AND(CV134&gt;80,CV134&lt;=89)),"PRE HTA SEGUIMIENTO, RIESGO HIPERTENSION INDUCIDA POR EL EMBARAZO",IF(AND(OR(O134&lt;&gt;"",R134&lt;&gt;""),CS134&lt;&gt;"",CV134&lt;&gt;"",CS134&lt;=CV134),"VIGILAR CIFRAS PRESION ARTERIAL",IF(AND(OR(O134&gt;0,R134&gt;0),AND(CU134&gt;120,CU134&lt;=139)),"PRE HTA SEGUIMIENTO",IF(AND(OR(O134&gt;0,R134&gt;0),AND(CU134&gt;1,CU134&lt;=70),AND(CV134&gt;1,CV134&lt;=40)),"HIPOTENSIÓN",IF(AND(OR(O134&lt;&gt;"",R134&lt;&gt;""),CS134&lt;&gt;"",CV134&lt;&gt;"",CS134&gt;CV134),"APARENTEMENTE NORMAL",IF(AND(OR(O134&gt;0,R134&gt;0),AND(CU134&gt;=80,CU134&lt;=120)),"APARENTEMENTE NORMAL",IF(AND(OR(O134&gt;0,R134&gt;0),AND(CV134&gt;=50,CV134&lt;=80)),"APARENTEMENTE NORMAL","")))))))))))))</f>
        <v>VIGILAR CIFRAS PRESION ARTERIAL</v>
      </c>
      <c r="CX134" s="21"/>
      <c r="CY134" s="21"/>
      <c r="CZ134" s="216" t="str">
        <f t="shared" si="499"/>
        <v/>
      </c>
      <c r="DA134" s="21">
        <v>115</v>
      </c>
      <c r="DB134" s="21">
        <v>85</v>
      </c>
      <c r="DC134" s="217" t="str">
        <f t="shared" si="611"/>
        <v>PRE HTA,RIESGO ALTO PREECLAMPSIA</v>
      </c>
      <c r="DD134" s="22">
        <v>45001</v>
      </c>
      <c r="DE134" s="22">
        <v>45001</v>
      </c>
      <c r="DF134" s="22">
        <v>45065</v>
      </c>
      <c r="DG134" s="22">
        <v>45104</v>
      </c>
      <c r="DH134" s="22">
        <v>45134</v>
      </c>
      <c r="DI134" s="22"/>
      <c r="DJ134" s="22"/>
      <c r="DK134" s="22"/>
      <c r="DL134" s="22"/>
      <c r="DM134" s="22"/>
      <c r="DN134" s="22"/>
      <c r="DO134" s="22"/>
      <c r="DP134" s="22"/>
      <c r="DQ134" s="22"/>
      <c r="DR134" s="28">
        <v>1</v>
      </c>
      <c r="DS134" s="22"/>
      <c r="DT134" s="22"/>
      <c r="DU134" s="216" t="str">
        <f t="shared" ca="1" si="439"/>
        <v>CONCERTAR PLAN DE PARTO INMEDIATO</v>
      </c>
      <c r="DV134" s="226" t="str">
        <f t="shared" si="440"/>
        <v>ACTIVA INGRESO A CPN</v>
      </c>
      <c r="DW13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34" s="216" t="e">
        <f t="shared" ca="1" si="612"/>
        <v>#REF!</v>
      </c>
      <c r="DY134" s="212">
        <f>IF(R134="","",IF(R134&gt;0,MAX(Tabla1[[#This Row],[FECHA C2]:[FECHA C13]],Tabla1[[#This Row],[FECHA CONSULTA PRIMERA VEZ PROGRAMA CPN ]])))</f>
        <v>45134</v>
      </c>
      <c r="DZ134" s="216">
        <f t="shared" si="613"/>
        <v>30</v>
      </c>
      <c r="EA134" s="222">
        <f>IF(R134&gt;0,SUM(COUNTA(DF134:DQ134)+COUNTA(Tabla1[[#This Row],[FECHA CONSULTA PRIMERA VEZ PROGRAMA CPN ]])),"")</f>
        <v>4</v>
      </c>
      <c r="EB134" s="222" t="str">
        <f t="shared" si="614"/>
        <v>SI</v>
      </c>
      <c r="EC134" s="214">
        <f t="shared" si="615"/>
        <v>9</v>
      </c>
      <c r="ED134" s="227">
        <f t="shared" si="616"/>
        <v>0.44444444444444442</v>
      </c>
      <c r="EE134" s="22">
        <v>45003</v>
      </c>
      <c r="EF134" s="22">
        <v>45003</v>
      </c>
      <c r="EG134" s="22">
        <v>45003</v>
      </c>
      <c r="EH134" s="22"/>
      <c r="EI134" s="22">
        <v>45003</v>
      </c>
      <c r="EJ134" s="22"/>
      <c r="EK134" s="22"/>
      <c r="EL134" s="21"/>
      <c r="EM134" s="21">
        <v>13.6</v>
      </c>
      <c r="EN134" s="22">
        <v>45016</v>
      </c>
      <c r="EO134" s="222">
        <f t="shared" si="617"/>
        <v>13.428571428571429</v>
      </c>
      <c r="EP134" s="214" t="str">
        <f t="shared" si="618"/>
        <v>NORMAL- SUMINISTRAR SULFATO FERROSO</v>
      </c>
      <c r="EQ134" s="216" t="str">
        <f t="shared" si="619"/>
        <v>II TRIM</v>
      </c>
      <c r="ER134" s="24"/>
      <c r="ES134" s="22"/>
      <c r="ET134" s="29" t="str">
        <f t="shared" ca="1" si="441"/>
        <v>TOMA DE HEMOGLOBINA TARDÍA</v>
      </c>
      <c r="EU134" s="25" t="str">
        <f t="shared" si="620"/>
        <v/>
      </c>
      <c r="EV134" s="24" t="s">
        <v>1510</v>
      </c>
      <c r="EW134" s="32">
        <v>45016</v>
      </c>
      <c r="EX134" s="22"/>
      <c r="EY134" s="29">
        <f t="shared" si="454"/>
        <v>13.428571428571429</v>
      </c>
      <c r="EZ134" s="25" t="str">
        <f t="shared" si="455"/>
        <v>SIN RIESGO DE ISOINMUNIZACIÓN</v>
      </c>
      <c r="FA134" s="21">
        <v>90</v>
      </c>
      <c r="FB134" s="22">
        <v>45016</v>
      </c>
      <c r="FC134" s="29">
        <f t="shared" si="621"/>
        <v>13.428571428571429</v>
      </c>
      <c r="FD134" s="29"/>
      <c r="FE134" s="29"/>
      <c r="FF134" s="29"/>
      <c r="FG134" s="21" t="str">
        <f t="shared" ca="1" si="622"/>
        <v/>
      </c>
      <c r="FH134" s="31"/>
      <c r="FI134" s="29" t="str">
        <f t="shared" si="623"/>
        <v>TOMAR EXAMEN</v>
      </c>
      <c r="FJ134" s="22"/>
      <c r="FK134" s="22"/>
      <c r="FL134" s="29" t="str">
        <f t="shared" ca="1" si="624"/>
        <v>PIERDE TOMA DE TAMIZAJE</v>
      </c>
      <c r="FM134" s="22" t="s">
        <v>867</v>
      </c>
      <c r="FN134" s="32">
        <v>45016</v>
      </c>
      <c r="FO134" s="29">
        <f t="shared" ca="1" si="442"/>
        <v>13.428571428571429</v>
      </c>
      <c r="FP134" s="22"/>
      <c r="FQ134" s="32"/>
      <c r="FR134" s="29" t="str">
        <f t="shared" ca="1" si="443"/>
        <v>TOMA INMEDIATA DE TAMIZAJE</v>
      </c>
      <c r="FS134" s="22"/>
      <c r="FT134" s="32"/>
      <c r="FU134" s="29" t="str">
        <f>IF(AND(FJ134="",FM134="",FP134="",FS134=""),"",IF(OR(OR(Tabla1[[#This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34" s="28"/>
      <c r="FW134" s="22"/>
      <c r="FX134" s="29" t="str">
        <f t="shared" si="625"/>
        <v>TOMAR EXAMEN</v>
      </c>
      <c r="FY134" s="22" t="s">
        <v>868</v>
      </c>
      <c r="FZ134" s="22">
        <v>45001</v>
      </c>
      <c r="GA134" s="29">
        <f t="shared" ca="1" si="498"/>
        <v>11.285714285714286</v>
      </c>
      <c r="GB134" s="22" t="s">
        <v>868</v>
      </c>
      <c r="GC134" s="22">
        <v>45016</v>
      </c>
      <c r="GD134" s="29">
        <f t="shared" ca="1" si="491"/>
        <v>13.428571428571429</v>
      </c>
      <c r="GE134" s="22"/>
      <c r="GF134" s="22"/>
      <c r="GG134" s="29" t="str">
        <f t="shared" ca="1" si="445"/>
        <v>TOMA INMEDIATA DE TAMIZAJE</v>
      </c>
      <c r="GH134" s="22"/>
      <c r="GI134" s="29"/>
      <c r="GJ134" s="22"/>
      <c r="GK134" s="22"/>
      <c r="GL134" s="22"/>
      <c r="GM134" s="22"/>
      <c r="GN134" s="28" t="s">
        <v>869</v>
      </c>
      <c r="GO134" s="22">
        <v>45016</v>
      </c>
      <c r="GP134" s="29">
        <f t="shared" si="626"/>
        <v>13.428571428571429</v>
      </c>
      <c r="GQ134" s="28" t="s">
        <v>869</v>
      </c>
      <c r="GR134" s="28" t="s">
        <v>869</v>
      </c>
      <c r="GS134" s="22" t="str">
        <f t="shared" si="627"/>
        <v>CONTROL Igm</v>
      </c>
      <c r="GT134" s="22">
        <v>45016</v>
      </c>
      <c r="GU134" s="29">
        <f t="shared" si="628"/>
        <v>13.428571428571429</v>
      </c>
      <c r="GV134" s="21" t="str">
        <f t="shared" si="629"/>
        <v>II TRIM</v>
      </c>
      <c r="GW134" s="28"/>
      <c r="GX134" s="30"/>
      <c r="GY134" s="21"/>
      <c r="GZ134" s="21"/>
      <c r="HA134" s="21"/>
      <c r="HB134" s="21"/>
      <c r="HC134" s="21"/>
      <c r="HD134" s="21"/>
      <c r="HE134" s="21"/>
      <c r="HF134" s="22"/>
      <c r="HG134" s="22" t="str">
        <f>IF(OR(O134&gt;0,R134&gt;0),CONCATENATE(IF(Tabla1[[#This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34" s="22" t="e">
        <f t="shared" si="630"/>
        <v>#REF!</v>
      </c>
      <c r="HI134" s="22" t="e">
        <f t="shared" ca="1" si="631"/>
        <v>#REF!</v>
      </c>
      <c r="HJ134" s="21" t="str">
        <f t="shared" ca="1" si="632"/>
        <v>***************************************</v>
      </c>
      <c r="HK134" s="21" t="str">
        <f t="shared" si="633"/>
        <v>SIN ANTECEDENTES DE RIESGO</v>
      </c>
      <c r="HL134" s="24" t="str">
        <f t="shared" si="634"/>
        <v>PRE HTA,RIESGO ALTO PREECLAMPSIA</v>
      </c>
      <c r="HM134" s="21" t="e">
        <f t="shared" ca="1" si="635"/>
        <v>#REF!</v>
      </c>
      <c r="HN134" s="30" t="str">
        <f t="shared" si="446"/>
        <v>ACTIVA INGRESO A CPN</v>
      </c>
      <c r="HO134" s="21"/>
      <c r="HP134" s="21"/>
      <c r="HQ134" s="349">
        <v>45001</v>
      </c>
      <c r="HR134" s="21" t="str">
        <f>IF(R134="","",IF(Tabla1[[#This Row],[ALARMA FACTORES DE RIESGO COMPLICACIONES HIPERTENSIVAS3]]="SIN ANTECEDENTES DE RIESGO","No Aplica para suministro de ASA",IF(AND(Tabla1[[#This Row],[FECHA INICIO DE SUMINISTRO DE ASA]]&gt;0,RV134&lt;12),"Inicia ASA ANTES de Sem 12",IF(AND(RV134&gt;11,RV134&lt;17,OR(HK134="RIESGO ALTO DE COMPLICACIONES HIPERTENSIVAS VER MANEJO GUIA SUMINISTRO ASA Y CALCIO",HK134="RIESGO MODERADO (2 O MAS CRITERIOS) VER MANEJO GUIA SUMINISTRO ASA Y CALCIO")),"Inicio oportuno de ASA",IF(AND(RV134&gt;12,OR(HK134="RIESGO ALTO DE COMPLICACIONES HIPERTENSIVAS VER MANEJO GUIA SUMINISTRO ASA Y CALCIO",HK134="RIESGO MODERADO (2 O MAS CRITERIOS) VER MANEJO GUIA SUMINISTRO ASA Y CALCIO")),"Inicio no oportuno mayor a 16 semanas",IF(AND(BU134&lt;12,OR(HK134="RIESGO ALTO DE COMPLICACIONES HIPERTENSIVAS VER MANEJO GUIA SUMINISTRO ASA Y CALCIO",HK134="RIESGO MODERADO (2 O MAS CRITERIOS) VER MANEJO GUIA SUMINISTRO ASA Y CALCIO")),"Pendiente Inicio de ASA a la semana 12",IF(AND(BU134&gt;11,BU134&lt;17,OR(HK134="RIESGO ALTO DE COMPLICACIONES HIPERTENSIVAS VER MANEJO GUIA SUMINISTRO ASA Y CALCIO",HK134="RIESGO MODERADO (2 O MAS CRITERIOS) VER MANEJO GUIA SUMINISTRO ASA Y CALCIO")),"Iniciar de inmediato ASA",IF(AND(BU134&gt;16,OR(HK134="RIESGO ALTO DE COMPLICACIONES HIPERTENSIVAS VER MANEJO GUIA SUMINISTRO ASA Y CALCIO",HK134="RIESGO MODERADO (2 O MAS CRITERIOS) VER MANEJO GUIA SUMINISTRO ASA Y CALCIO")),"Pierde Oportunidad, Inicio tardío de ASA","XXXXX"))))))))</f>
        <v>No Aplica para suministro de ASA</v>
      </c>
      <c r="HS134" s="22">
        <v>45001</v>
      </c>
      <c r="HT134" s="22" t="s">
        <v>870</v>
      </c>
      <c r="HU134" s="22">
        <v>45001</v>
      </c>
      <c r="HV134" s="22" t="s">
        <v>870</v>
      </c>
      <c r="HW134" s="22">
        <v>45001</v>
      </c>
      <c r="HX134" s="22" t="s">
        <v>870</v>
      </c>
      <c r="HY134" s="22">
        <v>45001</v>
      </c>
      <c r="HZ134" s="28">
        <f t="shared" si="636"/>
        <v>11.285714285714286</v>
      </c>
      <c r="IA134" s="26" t="s">
        <v>864</v>
      </c>
      <c r="IB134" s="26"/>
      <c r="IC134" s="111"/>
      <c r="ID134" s="22"/>
      <c r="IE134" s="22" t="str">
        <f t="shared" ca="1" si="637"/>
        <v/>
      </c>
      <c r="IF134" s="22"/>
      <c r="IG134" s="22">
        <f t="shared" si="638"/>
        <v>45202</v>
      </c>
      <c r="IH134" s="29">
        <f t="shared" ca="1" si="639"/>
        <v>-30</v>
      </c>
      <c r="II134" s="22" t="str">
        <f t="shared" ca="1" si="640"/>
        <v>POSIBLEMENTE NACIO</v>
      </c>
      <c r="IJ134" s="22"/>
      <c r="IK134" s="21"/>
      <c r="IL134" s="21"/>
      <c r="IM134" s="34"/>
      <c r="IN134" s="22"/>
      <c r="IO134" s="21"/>
      <c r="IP134" s="29" t="str">
        <f t="shared" si="490"/>
        <v/>
      </c>
      <c r="IQ134" s="35"/>
      <c r="IR134" s="21"/>
      <c r="IS134" s="21"/>
      <c r="IT134" s="21"/>
      <c r="IU134" s="21"/>
      <c r="IV134" s="21"/>
      <c r="IW134" s="21"/>
      <c r="IX134" s="21"/>
      <c r="IY134" s="21"/>
      <c r="IZ134" s="21"/>
      <c r="JA134" s="21"/>
      <c r="JB134" s="30"/>
      <c r="JC134" s="21"/>
      <c r="JD134" s="36"/>
      <c r="JE134" s="21" t="str">
        <f t="shared" si="492"/>
        <v/>
      </c>
      <c r="JF134" s="30"/>
      <c r="JG134" s="21"/>
      <c r="JH134" s="21"/>
      <c r="JI134" s="21"/>
      <c r="JJ134" s="30"/>
      <c r="JK134" s="22"/>
      <c r="JL134" s="22"/>
      <c r="JM134" s="21"/>
      <c r="JN134" s="36"/>
      <c r="JO134" s="21" t="str">
        <f t="shared" si="493"/>
        <v/>
      </c>
      <c r="JP134" s="22"/>
      <c r="JQ134" s="21"/>
      <c r="JR134" s="21"/>
      <c r="JS134" s="21"/>
      <c r="JT134" s="30"/>
      <c r="JU134" s="22"/>
      <c r="JV134" s="22"/>
      <c r="JW134" s="33"/>
      <c r="JX134" s="28" t="str">
        <f t="shared" si="494"/>
        <v/>
      </c>
      <c r="JY134" s="33"/>
      <c r="JZ134" s="28" t="str">
        <f t="shared" si="495"/>
        <v/>
      </c>
      <c r="KA134" s="21"/>
      <c r="KB134" s="21"/>
      <c r="KC134" s="21"/>
      <c r="KD134" s="37"/>
      <c r="KE134" s="28"/>
      <c r="KF134" s="28"/>
      <c r="KG134" s="28"/>
      <c r="KH134" s="39"/>
      <c r="KI134" s="39"/>
      <c r="KJ134" s="66"/>
      <c r="KK134" s="39"/>
      <c r="KL134" s="39"/>
      <c r="KM134" s="66"/>
      <c r="KN134" s="39"/>
      <c r="KO134" s="39"/>
      <c r="KP134" s="39"/>
      <c r="KQ134" s="39"/>
      <c r="KR134" s="39"/>
      <c r="KS134" s="39"/>
      <c r="KT134" s="39"/>
      <c r="KU134" s="38"/>
      <c r="KV134" s="38"/>
      <c r="KW134" s="38"/>
      <c r="KX134" s="38"/>
      <c r="KY134" s="38"/>
      <c r="KZ134" s="38"/>
      <c r="LA134" s="38"/>
      <c r="LB134" s="38"/>
      <c r="LC134" s="38"/>
      <c r="LD134" s="38"/>
      <c r="LE134" s="38"/>
      <c r="LF134" s="38"/>
      <c r="LG134" s="38"/>
      <c r="LH134" s="38"/>
      <c r="LI134" s="38"/>
      <c r="LJ134" s="38"/>
      <c r="LK134" s="38"/>
      <c r="LL134" s="38"/>
      <c r="LM134" s="38"/>
      <c r="LN134" s="38"/>
      <c r="LO134" s="38"/>
      <c r="LP134" s="38"/>
      <c r="LQ134" s="38"/>
      <c r="LR134" s="38"/>
      <c r="LS134" s="38"/>
      <c r="LT134" s="38"/>
      <c r="LU134" s="38"/>
      <c r="LV134" s="38"/>
      <c r="LW134" s="38"/>
      <c r="LX134" s="38"/>
      <c r="LY134" s="38"/>
      <c r="LZ134" s="38"/>
      <c r="MA134" s="38"/>
      <c r="MB134" s="38"/>
      <c r="MC134" s="38"/>
      <c r="MD134" s="38"/>
      <c r="ME134" s="38"/>
      <c r="MF134" s="38"/>
      <c r="MG134" s="38"/>
      <c r="MH134" s="43">
        <f t="shared" si="641"/>
        <v>0</v>
      </c>
      <c r="MI134" s="43" t="str">
        <f t="shared" si="642"/>
        <v/>
      </c>
      <c r="MJ134" s="43" t="str">
        <f t="shared" si="643"/>
        <v/>
      </c>
      <c r="MK134" s="43">
        <f t="shared" si="644"/>
        <v>0</v>
      </c>
      <c r="ML13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34" s="43">
        <f t="shared" si="645"/>
        <v>11.285714285714286</v>
      </c>
      <c r="MN134" s="43">
        <f t="shared" si="646"/>
        <v>3</v>
      </c>
      <c r="MO134" s="43">
        <f t="shared" si="647"/>
        <v>2023</v>
      </c>
      <c r="MP134" s="43" t="str">
        <f t="shared" si="648"/>
        <v>I TRIMESTRE AÑO</v>
      </c>
      <c r="MQ134" s="43">
        <f t="shared" si="649"/>
        <v>24.370346035917649</v>
      </c>
      <c r="MR134" s="43">
        <f t="shared" si="650"/>
        <v>0</v>
      </c>
      <c r="MS134" s="43" t="str">
        <f t="shared" si="651"/>
        <v xml:space="preserve"> DE 20 A 24 AÑOS</v>
      </c>
      <c r="MT134" s="43">
        <f t="shared" si="652"/>
        <v>0</v>
      </c>
      <c r="MU134" s="43">
        <f t="shared" si="653"/>
        <v>0</v>
      </c>
      <c r="MV134" s="43">
        <f t="shared" si="654"/>
        <v>0</v>
      </c>
      <c r="MW134" s="43">
        <f t="shared" si="655"/>
        <v>0</v>
      </c>
      <c r="MX134" s="43" t="str">
        <f t="shared" si="656"/>
        <v/>
      </c>
      <c r="MY134" s="43" t="str">
        <f t="shared" ca="1" si="496"/>
        <v/>
      </c>
      <c r="MZ134" s="43" t="str">
        <f t="shared" si="657"/>
        <v/>
      </c>
      <c r="NA134" s="43" t="str">
        <f t="shared" si="658"/>
        <v/>
      </c>
      <c r="NB134" s="43" t="str">
        <f t="shared" si="659"/>
        <v/>
      </c>
      <c r="NC134" s="43" t="str">
        <f t="shared" si="660"/>
        <v/>
      </c>
      <c r="ND134" s="43">
        <f t="shared" ca="1" si="661"/>
        <v>0</v>
      </c>
      <c r="NE134" s="43">
        <f>IF(OR(O134&gt;0,R134&gt;0),SUM(COUNTIF(Tabla1[[#This Row],[AÑOS AL INICIO5 CPN]],"&gt;=40"),COUNTIF(AS134,"0"),COUNTIF(AR134,"SI"),COUNTIF(CC134,"SI"),COUNTIF(BQ134,"&gt;119"),COUNTIF(CI134,"&gt;=35")),"")</f>
        <v>0</v>
      </c>
      <c r="NF134" s="43" t="str">
        <f t="shared" si="662"/>
        <v/>
      </c>
      <c r="NG134" s="43">
        <f t="shared" si="663"/>
        <v>0</v>
      </c>
      <c r="NH134" s="43">
        <f t="shared" si="664"/>
        <v>93.100000000000009</v>
      </c>
      <c r="NI13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CPN",P134="NO"),"Z",IF(AND(Tabla1[[#This Row],[CITA PROXIMO CONTROL]]="CITA MANUAL",Tabla1[[#This Row],[GESTANTES ACTUALES]]="ACTIVA INGRESO A CPN"),"W",IF(AND(Tabla1[[#This Row],[GESTANTES ACTUALES]]="SALIO PROGRAMA",IN134=""),"S",IF(AND(Tabla1[[#This Row],[CITA PROXIMO CONTROL]]&gt;0,IN134=""),(Tabla1[[#This Row],[CITA PROXIMO CONTROL]]-TODAY()),"SD"))))))))</f>
        <v>#REF!</v>
      </c>
      <c r="NJ134" s="43">
        <f>MONTH(Tabla1[[#This Row],[FECHA DE SALIDA  DEL PROGRAMA]])</f>
        <v>1</v>
      </c>
      <c r="NK134" s="43">
        <f>YEAR(Tabla1[[#This Row],[FECHA DE SALIDA  DEL PROGRAMA]])</f>
        <v>1900</v>
      </c>
      <c r="NL134" s="43" t="str">
        <f t="shared" si="665"/>
        <v>X</v>
      </c>
      <c r="NM134" s="43" t="str">
        <f t="shared" si="501"/>
        <v>NO</v>
      </c>
      <c r="NN134" s="43" t="str">
        <f ca="1">IF(AND(O134&gt;0,R134=""),"NO CPN",IF(AND(O134="",R134=""),"",IF(AND(R134&gt;0,Tabla1[[#This Row],[SEMANAS DE GESTACION ACTUALIZADAS]]&lt;=12),"NO APLICA",IF(AND(FH134&lt;&gt;"",FN134&lt;&gt;""),"SI","NO"))))</f>
        <v>NO</v>
      </c>
      <c r="NO134" s="43" t="str">
        <f ca="1">IF(AND(O134&gt;0,R134=""),"NO CPN",IF(AND(O134="",R134=""),"",IF(AND(R134&gt;0,Tabla1[[#This Row],[SEMANAS DE GESTACION ACTUALIZADAS]]&lt;=27),"NO APLICA",IF(AND(ES134&lt;&gt;"",FQ134&lt;&gt;"",GF134&lt;&gt;""),"SI","NO"))))</f>
        <v>NO</v>
      </c>
      <c r="NP134" s="204" t="str">
        <f t="shared" si="666"/>
        <v>I TRIM</v>
      </c>
      <c r="NQ134" s="21" t="str">
        <f t="shared" si="500"/>
        <v/>
      </c>
      <c r="NR134" s="21" t="str">
        <f t="shared" ca="1" si="497"/>
        <v>REVISAR FUM O FECHA SALIDA PROGRAMA</v>
      </c>
      <c r="NS134" s="205">
        <f t="shared" ca="1" si="667"/>
        <v>1</v>
      </c>
      <c r="NT134" s="21">
        <f t="shared" ca="1" si="668"/>
        <v>2</v>
      </c>
      <c r="NU134" s="21" t="str">
        <f t="shared" ca="1" si="669"/>
        <v>POR DEFINIR</v>
      </c>
      <c r="NV134" s="21" t="str">
        <f t="shared" ca="1" si="670"/>
        <v>POR DEFINIR</v>
      </c>
      <c r="NW134" s="206" t="str">
        <f>IF(AND(O134="",R134=""),"",IF(OR(AND(Tabla1[[#This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34" s="207" t="str">
        <f t="shared" ca="1" si="671"/>
        <v>SIN VACUNAR</v>
      </c>
      <c r="NY134" s="43">
        <f>ROW(Tabla1[[#This Row],['# DE TAMIZAJES SIFILIS TOMADOS ]])</f>
        <v>134</v>
      </c>
      <c r="NZ134" s="43">
        <f t="shared" si="502"/>
        <v>11</v>
      </c>
      <c r="OA134" s="43" t="str">
        <f t="shared" si="503"/>
        <v/>
      </c>
      <c r="OB134" s="43" t="str">
        <f t="shared" si="504"/>
        <v/>
      </c>
      <c r="OC134" s="43" t="str">
        <f t="shared" si="505"/>
        <v>OBESIDAD</v>
      </c>
      <c r="OD134" s="43" t="str">
        <f t="shared" si="506"/>
        <v/>
      </c>
      <c r="OE134" s="43" t="str">
        <f t="shared" si="507"/>
        <v/>
      </c>
      <c r="OF134" s="43" t="str">
        <f t="shared" si="508"/>
        <v/>
      </c>
      <c r="OG134" s="43" t="str">
        <f t="shared" si="509"/>
        <v/>
      </c>
      <c r="OH134" s="43" t="str">
        <f t="shared" si="510"/>
        <v/>
      </c>
      <c r="OI134" s="43" t="str">
        <f t="shared" si="511"/>
        <v/>
      </c>
      <c r="OJ134" s="43" t="str">
        <f t="shared" si="512"/>
        <v/>
      </c>
      <c r="OK134" s="43" t="str">
        <f t="shared" si="513"/>
        <v/>
      </c>
      <c r="OL134" s="43" t="str">
        <f t="shared" si="514"/>
        <v/>
      </c>
      <c r="OM134" s="43" t="str">
        <f t="shared" si="515"/>
        <v/>
      </c>
      <c r="ON134" s="43" t="str">
        <f t="shared" si="516"/>
        <v/>
      </c>
      <c r="OO134" s="43" t="str">
        <f t="shared" si="517"/>
        <v/>
      </c>
      <c r="OP134" s="43" t="str">
        <f t="shared" si="518"/>
        <v/>
      </c>
      <c r="OQ134" s="43" t="str">
        <f t="shared" si="519"/>
        <v/>
      </c>
      <c r="OR134" s="43" t="str">
        <f t="shared" si="520"/>
        <v/>
      </c>
      <c r="OS134" s="43" t="str">
        <f t="shared" si="521"/>
        <v/>
      </c>
      <c r="OT134" s="43" t="str">
        <f t="shared" si="522"/>
        <v/>
      </c>
      <c r="OU134" s="43" t="str">
        <f t="shared" si="523"/>
        <v/>
      </c>
      <c r="OV134" s="110" t="str">
        <f t="shared" si="524"/>
        <v/>
      </c>
      <c r="OW134" s="43" t="str">
        <f t="shared" si="525"/>
        <v/>
      </c>
      <c r="OX134" s="43" t="str">
        <f t="shared" si="526"/>
        <v/>
      </c>
      <c r="OY134" s="43" t="str">
        <f t="shared" si="527"/>
        <v/>
      </c>
      <c r="OZ134" s="43" t="str">
        <f t="shared" si="528"/>
        <v/>
      </c>
      <c r="PA134" s="43" t="str">
        <f t="shared" si="529"/>
        <v/>
      </c>
      <c r="PB134" s="43" t="str">
        <f t="shared" si="530"/>
        <v/>
      </c>
      <c r="PC134" s="43" t="str">
        <f t="shared" si="531"/>
        <v/>
      </c>
      <c r="PD134" s="43" t="str">
        <f t="shared" si="532"/>
        <v/>
      </c>
      <c r="PE134" s="43" t="str">
        <f t="shared" si="533"/>
        <v/>
      </c>
      <c r="PF134" s="43" t="str">
        <f t="shared" si="534"/>
        <v/>
      </c>
      <c r="PG134" s="43" t="str">
        <f t="shared" si="535"/>
        <v/>
      </c>
      <c r="PH134" s="43" t="str">
        <f t="shared" si="536"/>
        <v/>
      </c>
      <c r="PI134" s="43">
        <f t="shared" si="537"/>
        <v>30</v>
      </c>
      <c r="PJ134" s="43" t="str">
        <f t="shared" si="538"/>
        <v/>
      </c>
      <c r="PK134" s="43" t="str">
        <f t="shared" si="539"/>
        <v/>
      </c>
      <c r="PL134" s="43" t="str">
        <f t="shared" si="540"/>
        <v/>
      </c>
      <c r="PM134" s="43" t="str">
        <f t="shared" si="541"/>
        <v/>
      </c>
      <c r="PN134" s="43" t="str">
        <f t="shared" si="542"/>
        <v/>
      </c>
      <c r="PO134" s="43" t="str">
        <f t="shared" si="543"/>
        <v/>
      </c>
      <c r="PP134" s="43" t="str">
        <f t="shared" si="544"/>
        <v/>
      </c>
      <c r="PQ134" s="43" t="str">
        <f t="shared" si="545"/>
        <v/>
      </c>
      <c r="PR134" s="43" t="str">
        <f t="shared" si="546"/>
        <v/>
      </c>
      <c r="PS134" s="43" t="str">
        <f t="shared" si="547"/>
        <v/>
      </c>
      <c r="PT134" s="43" t="str">
        <f t="shared" si="548"/>
        <v/>
      </c>
      <c r="PU134" s="43" t="str">
        <f t="shared" si="549"/>
        <v/>
      </c>
      <c r="PV134" s="43" t="str">
        <f t="shared" si="550"/>
        <v/>
      </c>
      <c r="PW134" s="43" t="str">
        <f t="shared" si="551"/>
        <v/>
      </c>
      <c r="PX134" s="43" t="str">
        <f t="shared" si="552"/>
        <v/>
      </c>
      <c r="PY134" s="43" t="str">
        <f t="shared" si="553"/>
        <v/>
      </c>
      <c r="PZ134" s="43" t="str">
        <f t="shared" si="554"/>
        <v/>
      </c>
      <c r="QA134" s="43" t="str">
        <f t="shared" si="555"/>
        <v/>
      </c>
      <c r="QB134" s="43" t="str">
        <f t="shared" si="556"/>
        <v/>
      </c>
      <c r="QC134" s="43" t="str">
        <f t="shared" si="557"/>
        <v/>
      </c>
      <c r="QD134" s="43" t="str">
        <f t="shared" si="558"/>
        <v/>
      </c>
      <c r="QE134" s="43" t="str">
        <f t="shared" si="559"/>
        <v>OBESIDAD</v>
      </c>
      <c r="QF134" s="43" t="str">
        <f t="shared" si="560"/>
        <v/>
      </c>
      <c r="QG134" s="43" t="str">
        <f t="shared" si="561"/>
        <v/>
      </c>
      <c r="QH134" s="43" t="str">
        <f t="shared" si="562"/>
        <v/>
      </c>
      <c r="QI134" s="43" t="str">
        <f t="shared" si="563"/>
        <v/>
      </c>
      <c r="QJ134" s="43" t="str">
        <f t="shared" si="564"/>
        <v/>
      </c>
      <c r="QK134" s="43" t="str">
        <f t="shared" si="565"/>
        <v/>
      </c>
      <c r="QL134" s="43" t="str">
        <f t="shared" si="566"/>
        <v/>
      </c>
      <c r="QM134" s="43" t="str">
        <f t="shared" si="567"/>
        <v/>
      </c>
      <c r="QN134" s="43" t="str">
        <f t="shared" si="568"/>
        <v/>
      </c>
      <c r="QO134" s="43" t="str">
        <f t="shared" si="569"/>
        <v/>
      </c>
      <c r="QP134" s="43" t="str">
        <f t="shared" si="570"/>
        <v/>
      </c>
      <c r="QQ134" s="43" t="str">
        <f t="shared" si="571"/>
        <v/>
      </c>
      <c r="QR134" s="43">
        <f t="shared" si="672"/>
        <v>30</v>
      </c>
      <c r="QS134" s="43"/>
      <c r="QT134" s="21" t="str">
        <f t="shared" si="572"/>
        <v/>
      </c>
      <c r="QU134" s="21" t="str">
        <f t="shared" si="573"/>
        <v/>
      </c>
      <c r="QV134" s="21" t="str">
        <f t="shared" si="574"/>
        <v/>
      </c>
      <c r="QW134" s="21" t="str">
        <f t="shared" si="575"/>
        <v/>
      </c>
      <c r="QX134" s="21" t="str">
        <f t="shared" si="576"/>
        <v/>
      </c>
      <c r="QY134" s="21" t="str">
        <f t="shared" si="577"/>
        <v/>
      </c>
      <c r="QZ134" s="21" t="str">
        <f t="shared" si="578"/>
        <v/>
      </c>
      <c r="RA134" s="21" t="str">
        <f t="shared" si="579"/>
        <v/>
      </c>
      <c r="RB134" s="21" t="str">
        <f t="shared" si="580"/>
        <v/>
      </c>
      <c r="RC134" s="21" t="str">
        <f t="shared" si="581"/>
        <v/>
      </c>
      <c r="RD134" s="21" t="str">
        <f t="shared" si="582"/>
        <v/>
      </c>
      <c r="RE134" s="21" t="str">
        <f t="shared" si="583"/>
        <v/>
      </c>
      <c r="RF134" s="21" t="str">
        <f t="shared" si="584"/>
        <v/>
      </c>
      <c r="RG134" s="21" t="str">
        <f t="shared" si="585"/>
        <v/>
      </c>
      <c r="RH134" s="21" t="str">
        <f t="shared" si="586"/>
        <v/>
      </c>
      <c r="RI134" s="21" t="str">
        <f t="shared" si="587"/>
        <v/>
      </c>
      <c r="RJ134" s="21" t="str">
        <f t="shared" si="588"/>
        <v/>
      </c>
      <c r="RK134" s="21" t="str">
        <f t="shared" si="589"/>
        <v>ALTO PARA EDAD GESTACIONAL</v>
      </c>
      <c r="RL134" s="21" t="str">
        <f t="shared" si="590"/>
        <v/>
      </c>
      <c r="RM134" s="21" t="str">
        <f t="shared" si="591"/>
        <v/>
      </c>
      <c r="RN134" s="21" t="str">
        <f t="shared" si="592"/>
        <v/>
      </c>
      <c r="RO134" s="21" t="str">
        <f t="shared" si="593"/>
        <v/>
      </c>
      <c r="RP134" s="21" t="str">
        <f t="shared" si="594"/>
        <v/>
      </c>
      <c r="RQ134" s="21" t="str">
        <f t="shared" si="595"/>
        <v/>
      </c>
      <c r="RR134" s="21" t="str">
        <f t="shared" si="596"/>
        <v/>
      </c>
      <c r="RS134" s="21" t="str">
        <f t="shared" si="597"/>
        <v/>
      </c>
      <c r="RT134" s="21" t="str">
        <f t="shared" si="598"/>
        <v/>
      </c>
      <c r="RU134" s="21" t="str">
        <f t="shared" si="599"/>
        <v/>
      </c>
      <c r="RV134" s="21">
        <f t="shared" si="600"/>
        <v>11.285714285714286</v>
      </c>
      <c r="RW134" s="284">
        <f>IF(OR(Tabla1[[#This Row],[FUM FORMULA CONFIABLE]]="",Tabla1[[#This Row],[FUM FORMULA CONFIABLE]]="SD"),"",IF(Tabla1[[#This Row],[FUM FORMULA CONFIABLE]]="CORREGIDA",Tabla1[[#This Row],[FUM X ECO 1]],Tabla1[[#This Row],[FUM x AMENORREA]]))</f>
        <v>44922</v>
      </c>
      <c r="RX134" s="21">
        <f>IF(AND(Tabla1[[#This Row],[FUM X ECO 1]]="",Tabla1[[#This Row],[FUM x AMENORREA]]=""),"",IF(AND(Tabla1[[#This Row],[FUM X ECO 1]]="",Tabla1[[#This Row],[FUM x AMENORREA]]&lt;&gt;""),"X",SUM(Tabla1[[#This Row],[FUM X ECO 1]]-Tabla1[[#This Row],[FUM x AMENORREA]])))</f>
        <v>0.90000000000145519</v>
      </c>
      <c r="RY134" s="21">
        <f t="shared" si="673"/>
        <v>0</v>
      </c>
    </row>
    <row r="135" spans="1:493" ht="45" customHeight="1" x14ac:dyDescent="0.25">
      <c r="A135" s="109"/>
      <c r="B135" s="43" t="s">
        <v>1057</v>
      </c>
      <c r="C135" s="43" t="s">
        <v>845</v>
      </c>
      <c r="D135" s="124"/>
      <c r="E135" s="43" t="s">
        <v>873</v>
      </c>
      <c r="F135" s="43" t="s">
        <v>944</v>
      </c>
      <c r="G135" s="43" t="s">
        <v>1399</v>
      </c>
      <c r="H135" s="43" t="s">
        <v>1400</v>
      </c>
      <c r="I135" s="109" t="s">
        <v>851</v>
      </c>
      <c r="J135" s="110">
        <v>1002848796</v>
      </c>
      <c r="K135" s="43" t="s">
        <v>852</v>
      </c>
      <c r="L135" s="175" t="s">
        <v>1401</v>
      </c>
      <c r="M135" s="22">
        <v>36562</v>
      </c>
      <c r="N135" s="213">
        <f t="shared" ca="1" si="601"/>
        <v>23.753424657534246</v>
      </c>
      <c r="O135" s="22">
        <v>45012</v>
      </c>
      <c r="P135" s="214" t="str">
        <f t="shared" si="438"/>
        <v>SI</v>
      </c>
      <c r="Q135" s="26" t="s">
        <v>855</v>
      </c>
      <c r="R135" s="22">
        <v>45012</v>
      </c>
      <c r="S135" s="21" t="s">
        <v>856</v>
      </c>
      <c r="T135" s="24" t="s">
        <v>690</v>
      </c>
      <c r="U135" s="21" t="s">
        <v>857</v>
      </c>
      <c r="V135" s="21" t="s">
        <v>858</v>
      </c>
      <c r="W135" s="21"/>
      <c r="X135" s="21"/>
      <c r="Y135" s="21"/>
      <c r="Z135" s="21">
        <v>3114036572</v>
      </c>
      <c r="AA135" s="21" t="s">
        <v>860</v>
      </c>
      <c r="AB135" s="27" t="s">
        <v>861</v>
      </c>
      <c r="AC135" s="26" t="s">
        <v>862</v>
      </c>
      <c r="AD135" s="38" t="s">
        <v>1546</v>
      </c>
      <c r="AE135" s="26" t="s">
        <v>854</v>
      </c>
      <c r="AF135" s="26" t="s">
        <v>854</v>
      </c>
      <c r="AG135" s="23" t="s">
        <v>864</v>
      </c>
      <c r="AH135" s="23" t="s">
        <v>864</v>
      </c>
      <c r="AI135" s="24" t="s">
        <v>863</v>
      </c>
      <c r="AJ135" s="23" t="s">
        <v>864</v>
      </c>
      <c r="AK135" s="220" t="str">
        <f>IF(AND(AD135="",AE135="",AF135="",AG135="",AH135="",AI135="",AJ135=""),"",IF(OR(Tabla1[[#This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EVALUACIÓN",IF(AND(O135="",R135=""),"",IF(AND(OR(O135&gt;0,R135&gt;0),NG135&gt;=0,NG135&lt;2),"SIN RIESGO",IF(AND(OR(O135&gt;0,R135&gt;0),NG135&gt;=2),"CON RIESGO","ASD")))))</f>
        <v>SIN RIESGO</v>
      </c>
      <c r="AL135" s="23" t="s">
        <v>864</v>
      </c>
      <c r="AM135" s="26" t="s">
        <v>864</v>
      </c>
      <c r="AN135" s="26" t="s">
        <v>864</v>
      </c>
      <c r="AO135" s="26" t="s">
        <v>864</v>
      </c>
      <c r="AP135" s="26" t="s">
        <v>864</v>
      </c>
      <c r="AQ135" s="26" t="s">
        <v>864</v>
      </c>
      <c r="AR135" s="26" t="s">
        <v>864</v>
      </c>
      <c r="AS135" s="21">
        <v>2</v>
      </c>
      <c r="AT135" s="21">
        <v>2</v>
      </c>
      <c r="AU135" s="21">
        <v>0</v>
      </c>
      <c r="AV135" s="26" t="s">
        <v>864</v>
      </c>
      <c r="AW135" s="21">
        <v>0</v>
      </c>
      <c r="AX135" s="26" t="s">
        <v>864</v>
      </c>
      <c r="AY135" s="26" t="s">
        <v>864</v>
      </c>
      <c r="AZ135" s="26" t="s">
        <v>864</v>
      </c>
      <c r="BA135" s="26" t="s">
        <v>864</v>
      </c>
      <c r="BB135" s="26" t="s">
        <v>864</v>
      </c>
      <c r="BC135" s="26" t="s">
        <v>864</v>
      </c>
      <c r="BD135" s="26" t="s">
        <v>864</v>
      </c>
      <c r="BE135" s="26" t="s">
        <v>864</v>
      </c>
      <c r="BF135" s="26" t="s">
        <v>864</v>
      </c>
      <c r="BG135" s="26" t="s">
        <v>864</v>
      </c>
      <c r="BH135" s="26" t="s">
        <v>864</v>
      </c>
      <c r="BI135" s="26" t="s">
        <v>864</v>
      </c>
      <c r="BJ135" s="26" t="s">
        <v>864</v>
      </c>
      <c r="BK135" s="26" t="s">
        <v>864</v>
      </c>
      <c r="BL135" s="26" t="s">
        <v>864</v>
      </c>
      <c r="BM135" s="26" t="s">
        <v>864</v>
      </c>
      <c r="BN135" s="22">
        <v>44565</v>
      </c>
      <c r="BO135" s="22">
        <v>44909</v>
      </c>
      <c r="BP135" s="21" t="s">
        <v>854</v>
      </c>
      <c r="BQ135" s="222">
        <f t="shared" si="602"/>
        <v>11.466666666666667</v>
      </c>
      <c r="BR135" s="223">
        <f t="shared" si="603"/>
        <v>44911</v>
      </c>
      <c r="BS135" s="224">
        <f t="shared" si="604"/>
        <v>14.714285714285714</v>
      </c>
      <c r="BT135" s="216" t="str">
        <f t="shared" si="605"/>
        <v>II TRIM</v>
      </c>
      <c r="BU135" s="214" t="str">
        <f t="shared" ca="1" si="606"/>
        <v/>
      </c>
      <c r="BV135" s="25" t="s">
        <v>988</v>
      </c>
      <c r="BW135" s="22">
        <v>45016</v>
      </c>
      <c r="BX135" s="28">
        <v>15</v>
      </c>
      <c r="BY135" s="28" t="s">
        <v>988</v>
      </c>
      <c r="BZ135" s="22">
        <v>45121</v>
      </c>
      <c r="CA135" s="21">
        <v>30</v>
      </c>
      <c r="CB135" s="26" t="s">
        <v>854</v>
      </c>
      <c r="CC135" s="26" t="s">
        <v>864</v>
      </c>
      <c r="CD135" s="26" t="s">
        <v>878</v>
      </c>
      <c r="CE135" s="26" t="s">
        <v>864</v>
      </c>
      <c r="CF135" s="22" t="s">
        <v>1517</v>
      </c>
      <c r="CG135" s="21">
        <v>1.42</v>
      </c>
      <c r="CH135" s="21">
        <v>49</v>
      </c>
      <c r="CI135" s="214">
        <f t="shared" si="607"/>
        <v>24.300733981352906</v>
      </c>
      <c r="CJ135" s="225" t="e">
        <f>IF(AND(CI135&lt;10,CH135="SD"),"SIN DATO PESO PREGESTACION O I TRIM",IF(AND(OR(R135&gt;0,O135&gt;0),CI135="X"),"INGRESAR DATO DE PESO",IF(CI135="SD","INGRESAR DATO DE TALLA Y PESO",IF(AND(OR(Tabla1[[#This Row],[MOMENTO EN QUE SE REALIZA EL PESO AL INGRESO A CPN]]="PREGESTACIÓN",NZ135="Menor"),CI135&lt;18.5),"BAJO PESO",IF(AND(OR(Tabla1[[#This Row],[MOMENTO EN QUE SE REALIZA EL PESO AL INGRESO A CPN]]="PREGESTACIÓN",NZ135="Menor"),CI135&lt;25),"NORMAL",IF(AND(OR(Tabla1[[#This Row],[MOMENTO EN QUE SE REALIZA EL PESO AL INGRESO A CPN]]="PREGESTACIÓN",NZ135="Menor"),CI135&lt;30),"SOBREPESO",IF(AND(OR(Tabla1[[#This Row],[MOMENTO EN QUE SE REALIZA EL PESO AL INGRESO A CPN]]="PREGESTACIÓN",NZ135="Menor"),CI135&gt;=30,CI135&lt;50),"OBESIDAD",IF(AND(BS135&gt;0,Tabla1[[#This Row],[MOMENTO EN QUE SE REALIZA EL PESO AL INGRESO A CPN]]="GESTACIÓN"),HLOOKUP(NZ135,$OA$2:PH135,NY135),""))))))))</f>
        <v>#REF!</v>
      </c>
      <c r="CK135" s="212">
        <f t="shared" si="608"/>
        <v>45121</v>
      </c>
      <c r="CL135" s="21">
        <v>50.1</v>
      </c>
      <c r="CM135" s="214">
        <f t="shared" si="609"/>
        <v>24.846260662566952</v>
      </c>
      <c r="CN135" s="216">
        <f t="shared" si="610"/>
        <v>30</v>
      </c>
      <c r="CO135" s="216" t="e">
        <f>IF(PI135="","",IF(PI135&gt;0,HLOOKUP(PI135,$PJ$2:QQ135,NY135),""))</f>
        <v>#REF!</v>
      </c>
      <c r="CP135" s="21">
        <v>21</v>
      </c>
      <c r="CQ135" s="216" t="e">
        <f>IF(QR135="Menor","NO APLICA-MENOR 13 SEM",IF(AND(CC135="SI",CN135&gt;23),"NO APLICA- GEMELAR",IF(QR135="","",IF(QR135&gt;0,HLOOKUP(QR135,$QS$2:RU135,NY135),""))))</f>
        <v>#REF!</v>
      </c>
      <c r="CR135" s="21"/>
      <c r="CS135" s="21"/>
      <c r="CT135" s="217" t="str">
        <f>IF(R135="","",IF(AND(BS135&gt;1,BS135&lt;12,Tabla1[[#This Row],[T.A. SISTOLICA - ANTES DE SEMANA 12]]="",Tabla1[[#This Row],[T.A. DIASTOLICA - ANTES DE SEMANA 12]]=""),"REGISTRE DATO TA ANTES SEMANA 12",IF(AND(BS135&gt;11,BS135&lt;43,Tabla1[[#This Row],[T.A. SISTOLICA - ANTES DE SEMANA 12]]="",Tabla1[[#This Row],[T.A. DIASTOLICA - ANTES DE SEMANA 12]]=""),"NO APLICA REGISTRO TA-INGRESO TARDIO",IF(AND(OR(O135&gt;0,R135&gt;0),OR(CR135&gt;=140,CS135&gt;=90)),"DEFINIR ESTADIO HTA",IF(AND(OR(O135&gt;0,R135&gt;0),AND(CR135&gt;120,CR135&lt;=139)),"PRE HTA SEGUIMIENTO",IF(AND(OR(O135&gt;0,R135&gt;0),AND(CS135&gt;80,CS135&lt;=89)),"PRE HTA SEGUIMIENTO",IF(AND(OR(O135&gt;0,R135&gt;0),AND(CR135&gt;=80,CR135&lt;=120)),"APARENTEMENTE NORMAL",IF(AND(OR(O135&gt;0,R135&gt;0),AND(CS135&gt;=50,CS135&lt;=80)),"APARENTEMENTE NORMAL",IF(AND(OR(O135&gt;0,R135&gt;0),AND(CR135&gt;1,CR135&lt;=70),AND(CS135&gt;1,CS135&lt;=40)),"HIPOTENSIÓN","")))))))))</f>
        <v>NO APLICA REGISTRO TA-INGRESO TARDIO</v>
      </c>
      <c r="CU135" s="21">
        <v>100</v>
      </c>
      <c r="CV135" s="21">
        <v>60</v>
      </c>
      <c r="CW135" s="217" t="str">
        <f ca="1">IF(R135="","",IF(AND(CN135&gt;19,CN135&lt;27,Tabla1[[#This Row],[T.A. SISTOLICA (Entre semana 20 y 26)]]="",Tabla1[[#This Row],[T.A. DIATOLICA (Entre semana 20 y 26)]]=""),"ACUDE A CONTROL SEM 20 A 26 REGISTRE TA AHORA",IF(AND(BS135&gt;1,BS135&lt;27,BU135&gt;19,Tabla1[[#This Row],[T.A. SISTOLICA (Entre semana 20 y 26)]]="",Tabla1[[#This Row],[T.A. DIATOLICA (Entre semana 20 y 26)]]=""),"COMPLETE REGISTRO TA CONTROL SEM 20 A26 ",IF(AND(BS135&gt;26,BS135&lt;43,Tabla1[[#This Row],[T.A. SISTOLICA (Entre semana 20 y 26)]]="",Tabla1[[#This Row],[T.A. DIATOLICA (Entre semana 20 y 26)]]=""),"NO APLICA REGISTRO TA-INGRESO TARDIO",IF(AND(OR(O135&gt;0,R135&gt;0),OR(CU135&gt;=140,CV135&gt;=90)),"ALTO RIESGO PREECLAMPSIA,DEFINIR ESTADIO HTA",IF(AND(OR(O135&gt;0,R135&gt;0),AND(CU135&gt;120,CU135&lt;=139)),"PRE HTA SEGUIMIENTO,RIESGO HIPERTENSION INDUCIDA POR EL EMBARAZO",IF(AND(OR(O135&gt;0,R135&gt;0),AND(CV135&gt;80,CV135&lt;=89)),"PRE HTA SEGUIMIENTO, RIESGO HIPERTENSION INDUCIDA POR EL EMBARAZO",IF(AND(OR(O135&lt;&gt;"",R135&lt;&gt;""),CS135&lt;&gt;"",CV135&lt;&gt;"",CS135&lt;=CV135),"VIGILAR CIFRAS PRESION ARTERIAL",IF(AND(OR(O135&gt;0,R135&gt;0),AND(CU135&gt;120,CU135&lt;=139)),"PRE HTA SEGUIMIENTO",IF(AND(OR(O135&gt;0,R135&gt;0),AND(CU135&gt;1,CU135&lt;=70),AND(CV135&gt;1,CV135&lt;=40)),"HIPOTENSIÓN",IF(AND(OR(O135&lt;&gt;"",R135&lt;&gt;""),CS135&lt;&gt;"",CV135&lt;&gt;"",CS135&gt;CV135),"APARENTEMENTE NORMAL",IF(AND(OR(O135&gt;0,R135&gt;0),AND(CU135&gt;=80,CU135&lt;=120)),"APARENTEMENTE NORMAL",IF(AND(OR(O135&gt;0,R135&gt;0),AND(CV135&gt;=50,CV135&lt;=80)),"APARENTEMENTE NORMAL","")))))))))))))</f>
        <v>APARENTEMENTE NORMAL</v>
      </c>
      <c r="CX135" s="21"/>
      <c r="CY135" s="21"/>
      <c r="CZ135" s="216" t="str">
        <f t="shared" si="499"/>
        <v/>
      </c>
      <c r="DA135" s="21">
        <v>110</v>
      </c>
      <c r="DB135" s="21">
        <v>70</v>
      </c>
      <c r="DC135" s="217" t="str">
        <f t="shared" si="611"/>
        <v>APARENTEMENTE NORMAL</v>
      </c>
      <c r="DD135" s="22">
        <v>45012</v>
      </c>
      <c r="DE135" s="22">
        <v>45012</v>
      </c>
      <c r="DF135" s="22">
        <v>45070</v>
      </c>
      <c r="DG135" s="22">
        <v>45121</v>
      </c>
      <c r="DH135" s="22"/>
      <c r="DI135" s="22"/>
      <c r="DJ135" s="22"/>
      <c r="DK135" s="22"/>
      <c r="DL135" s="22"/>
      <c r="DM135" s="22"/>
      <c r="DN135" s="22"/>
      <c r="DO135" s="22"/>
      <c r="DP135" s="22"/>
      <c r="DQ135" s="22"/>
      <c r="DR135" s="28">
        <v>2</v>
      </c>
      <c r="DS135" s="22"/>
      <c r="DT135" s="22"/>
      <c r="DU135" s="216" t="str">
        <f t="shared" ca="1" si="439"/>
        <v>CONCERTAR PLAN DE PARTO INMEDIATO</v>
      </c>
      <c r="DV135" s="226" t="str">
        <f t="shared" si="440"/>
        <v>ACTIVA INGRESO A CPN</v>
      </c>
      <c r="DW13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35" s="216" t="e">
        <f t="shared" ca="1" si="612"/>
        <v>#REF!</v>
      </c>
      <c r="DY135" s="212">
        <f>IF(R135="","",IF(R135&gt;0,MAX(Tabla1[[#This Row],[FECHA C2]:[FECHA C13]],Tabla1[[#This Row],[FECHA CONSULTA PRIMERA VEZ PROGRAMA CPN ]])))</f>
        <v>45121</v>
      </c>
      <c r="DZ135" s="216">
        <f t="shared" si="613"/>
        <v>30</v>
      </c>
      <c r="EA135" s="222">
        <f>IF(R135&gt;0,SUM(COUNTA(DF135:DQ135)+COUNTA(Tabla1[[#This Row],[FECHA CONSULTA PRIMERA VEZ PROGRAMA CPN ]])),"")</f>
        <v>3</v>
      </c>
      <c r="EB135" s="222" t="str">
        <f t="shared" si="614"/>
        <v>NO</v>
      </c>
      <c r="EC135" s="214">
        <f t="shared" si="615"/>
        <v>8</v>
      </c>
      <c r="ED135" s="227">
        <f t="shared" si="616"/>
        <v>0.375</v>
      </c>
      <c r="EE135" s="22">
        <v>45012</v>
      </c>
      <c r="EF135" s="22">
        <v>45012</v>
      </c>
      <c r="EG135" s="22">
        <v>45012</v>
      </c>
      <c r="EH135" s="22"/>
      <c r="EI135" s="22">
        <v>45012</v>
      </c>
      <c r="EJ135" s="22"/>
      <c r="EK135" s="22"/>
      <c r="EL135" s="21"/>
      <c r="EM135" s="21">
        <v>12.2</v>
      </c>
      <c r="EN135" s="22">
        <v>45087</v>
      </c>
      <c r="EO135" s="222">
        <f t="shared" si="617"/>
        <v>25.428571428571427</v>
      </c>
      <c r="EP135" s="214" t="str">
        <f t="shared" si="618"/>
        <v>NORMAL- SUMINISTRAR SULFATO FERROSO</v>
      </c>
      <c r="EQ135" s="216" t="str">
        <f t="shared" si="619"/>
        <v>II TRIM</v>
      </c>
      <c r="ER135" s="24">
        <v>12.2</v>
      </c>
      <c r="ES135" s="22">
        <v>45087</v>
      </c>
      <c r="ET135" s="29">
        <f t="shared" ca="1" si="441"/>
        <v>25.428571428571427</v>
      </c>
      <c r="EU135" s="25" t="str">
        <f t="shared" si="620"/>
        <v>NORMAL- SUMINISTRAR SULFATO FERROSO</v>
      </c>
      <c r="EV135" s="24" t="s">
        <v>1510</v>
      </c>
      <c r="EW135" s="22">
        <v>45087</v>
      </c>
      <c r="EX135" s="22"/>
      <c r="EY135" s="29">
        <f t="shared" si="454"/>
        <v>25.428571428571427</v>
      </c>
      <c r="EZ135" s="25" t="str">
        <f t="shared" si="455"/>
        <v>SIN RIESGO DE ISOINMUNIZACIÓN</v>
      </c>
      <c r="FA135" s="21">
        <v>66</v>
      </c>
      <c r="FB135" s="22">
        <v>45087</v>
      </c>
      <c r="FC135" s="29" t="str">
        <f t="shared" si="621"/>
        <v>NO APLICA &gt; 23 SEM -TOMAR PTOG</v>
      </c>
      <c r="FD135" s="29"/>
      <c r="FE135" s="29"/>
      <c r="FF135" s="29"/>
      <c r="FG135" s="21" t="str">
        <f t="shared" ca="1" si="622"/>
        <v/>
      </c>
      <c r="FH135" s="31"/>
      <c r="FI135" s="29" t="str">
        <f t="shared" si="623"/>
        <v>TOMAR EXAMEN</v>
      </c>
      <c r="FJ135" s="22"/>
      <c r="FK135" s="22"/>
      <c r="FL135" s="29" t="str">
        <f t="shared" ca="1" si="624"/>
        <v>NO APLICA-INGRESO TARDIO</v>
      </c>
      <c r="FM135" s="22" t="s">
        <v>867</v>
      </c>
      <c r="FN135" s="32">
        <v>45087</v>
      </c>
      <c r="FO135" s="29">
        <f t="shared" ca="1" si="442"/>
        <v>25.428571428571427</v>
      </c>
      <c r="FP135" s="22"/>
      <c r="FQ135" s="32"/>
      <c r="FR135" s="29" t="str">
        <f t="shared" ca="1" si="443"/>
        <v>TOMA INMEDIATA DE TAMIZAJE</v>
      </c>
      <c r="FS135" s="22"/>
      <c r="FT135" s="32"/>
      <c r="FU135" s="29" t="str">
        <f>IF(AND(FJ135="",FM135="",FP135="",FS135=""),"",IF(OR(OR(Tabla1[[#This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35" s="28"/>
      <c r="FW135" s="22"/>
      <c r="FX135" s="29" t="str">
        <f t="shared" si="625"/>
        <v>TOMAR EXAMEN</v>
      </c>
      <c r="FY135" s="22"/>
      <c r="FZ135" s="22"/>
      <c r="GA135" s="29" t="str">
        <f t="shared" ca="1" si="498"/>
        <v>NO APLICA-INGRESO TARDIO</v>
      </c>
      <c r="GB135" s="22" t="s">
        <v>868</v>
      </c>
      <c r="GC135" s="22">
        <v>45087</v>
      </c>
      <c r="GD135" s="29">
        <f t="shared" ca="1" si="491"/>
        <v>25.428571428571427</v>
      </c>
      <c r="GE135" s="22"/>
      <c r="GF135" s="22"/>
      <c r="GG135" s="29" t="str">
        <f t="shared" ca="1" si="445"/>
        <v>TOMA INMEDIATA DE TAMIZAJE</v>
      </c>
      <c r="GH135" s="22"/>
      <c r="GI135" s="29"/>
      <c r="GJ135" s="22"/>
      <c r="GK135" s="22"/>
      <c r="GL135" s="22"/>
      <c r="GM135" s="22"/>
      <c r="GN135" s="28" t="s">
        <v>869</v>
      </c>
      <c r="GO135" s="22">
        <v>45087</v>
      </c>
      <c r="GP135" s="29">
        <f t="shared" si="626"/>
        <v>25.428571428571427</v>
      </c>
      <c r="GQ135" s="28"/>
      <c r="GR135" s="28"/>
      <c r="GS135" s="22" t="str">
        <f t="shared" si="627"/>
        <v/>
      </c>
      <c r="GT135" s="22"/>
      <c r="GU135" s="29" t="str">
        <f t="shared" si="628"/>
        <v>TOMAR EXAMEN</v>
      </c>
      <c r="GV135" s="21" t="str">
        <f t="shared" si="629"/>
        <v>POR DEFINIR</v>
      </c>
      <c r="GW135" s="28"/>
      <c r="GX135" s="30"/>
      <c r="GY135" s="21"/>
      <c r="GZ135" s="21"/>
      <c r="HA135" s="21"/>
      <c r="HB135" s="21"/>
      <c r="HC135" s="21"/>
      <c r="HD135" s="21"/>
      <c r="HE135" s="21"/>
      <c r="HF135" s="22"/>
      <c r="HG135" s="22" t="str">
        <f>IF(OR(O135&gt;0,R135&gt;0),CONCATENATE(IF(Tabla1[[#This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35" s="22" t="e">
        <f t="shared" si="630"/>
        <v>#REF!</v>
      </c>
      <c r="HI135" s="22" t="e">
        <f t="shared" ca="1" si="631"/>
        <v>#REF!</v>
      </c>
      <c r="HJ135" s="21" t="str">
        <f t="shared" ca="1" si="632"/>
        <v>*************RCIU**************************</v>
      </c>
      <c r="HK135" s="21" t="str">
        <f t="shared" si="633"/>
        <v>SIN ANTECEDENTES DE RIESGO</v>
      </c>
      <c r="HL135" s="24" t="str">
        <f t="shared" si="634"/>
        <v>APARENTEMENTE NORMAL</v>
      </c>
      <c r="HM135" s="21" t="e">
        <f t="shared" ca="1" si="635"/>
        <v>#REF!</v>
      </c>
      <c r="HN135" s="30" t="str">
        <f t="shared" si="446"/>
        <v>ACTIVA INGRESO A CPN</v>
      </c>
      <c r="HO135" s="21"/>
      <c r="HP135" s="21"/>
      <c r="HQ135" s="349"/>
      <c r="HR135" s="21" t="str">
        <f>IF(R135="","",IF(Tabla1[[#This Row],[ALARMA FACTORES DE RIESGO COMPLICACIONES HIPERTENSIVAS3]]="SIN ANTECEDENTES DE RIESGO","No Aplica para suministro de ASA",IF(AND(Tabla1[[#This Row],[FECHA INICIO DE SUMINISTRO DE ASA]]&gt;0,RV135&lt;12),"Inicia ASA ANTES de Sem 12",IF(AND(RV135&gt;11,RV135&lt;17,OR(HK135="RIESGO ALTO DE COMPLICACIONES HIPERTENSIVAS VER MANEJO GUIA SUMINISTRO ASA Y CALCIO",HK135="RIESGO MODERADO (2 O MAS CRITERIOS) VER MANEJO GUIA SUMINISTRO ASA Y CALCIO")),"Inicio oportuno de ASA",IF(AND(RV135&gt;12,OR(HK135="RIESGO ALTO DE COMPLICACIONES HIPERTENSIVAS VER MANEJO GUIA SUMINISTRO ASA Y CALCIO",HK135="RIESGO MODERADO (2 O MAS CRITERIOS) VER MANEJO GUIA SUMINISTRO ASA Y CALCIO")),"Inicio no oportuno mayor a 16 semanas",IF(AND(BU135&lt;12,OR(HK135="RIESGO ALTO DE COMPLICACIONES HIPERTENSIVAS VER MANEJO GUIA SUMINISTRO ASA Y CALCIO",HK135="RIESGO MODERADO (2 O MAS CRITERIOS) VER MANEJO GUIA SUMINISTRO ASA Y CALCIO")),"Pendiente Inicio de ASA a la semana 12",IF(AND(BU135&gt;11,BU135&lt;17,OR(HK135="RIESGO ALTO DE COMPLICACIONES HIPERTENSIVAS VER MANEJO GUIA SUMINISTRO ASA Y CALCIO",HK135="RIESGO MODERADO (2 O MAS CRITERIOS) VER MANEJO GUIA SUMINISTRO ASA Y CALCIO")),"Iniciar de inmediato ASA",IF(AND(BU135&gt;16,OR(HK135="RIESGO ALTO DE COMPLICACIONES HIPERTENSIVAS VER MANEJO GUIA SUMINISTRO ASA Y CALCIO",HK135="RIESGO MODERADO (2 O MAS CRITERIOS) VER MANEJO GUIA SUMINISTRO ASA Y CALCIO")),"Pierde Oportunidad, Inicio tardío de ASA","XXXXX"))))))))</f>
        <v>No Aplica para suministro de ASA</v>
      </c>
      <c r="HS135" s="22"/>
      <c r="HT135" s="22">
        <v>45012</v>
      </c>
      <c r="HU135" s="22"/>
      <c r="HV135" s="22">
        <v>45012</v>
      </c>
      <c r="HW135" s="22">
        <v>45012</v>
      </c>
      <c r="HX135" s="22" t="s">
        <v>1572</v>
      </c>
      <c r="HY135" s="22"/>
      <c r="HZ135" s="28" t="str">
        <f t="shared" si="636"/>
        <v>PENDIENTE CONSULTA</v>
      </c>
      <c r="IA135" s="26"/>
      <c r="IB135" s="26"/>
      <c r="IC135" s="111">
        <v>45121</v>
      </c>
      <c r="ID135" s="111">
        <v>45121</v>
      </c>
      <c r="IE135" s="22" t="str">
        <f t="shared" ca="1" si="637"/>
        <v>VACUNA APLICADA ENTRE SEMANA 27 Y EL PARTO</v>
      </c>
      <c r="IF135" s="22">
        <v>45016</v>
      </c>
      <c r="IG135" s="22">
        <f t="shared" si="638"/>
        <v>45189</v>
      </c>
      <c r="IH135" s="29">
        <f t="shared" ca="1" si="639"/>
        <v>-43</v>
      </c>
      <c r="II135" s="22" t="str">
        <f t="shared" ca="1" si="640"/>
        <v>POSIBLEMENTE NACIO</v>
      </c>
      <c r="IJ135" s="22"/>
      <c r="IK135" s="21"/>
      <c r="IL135" s="21"/>
      <c r="IM135" s="34"/>
      <c r="IN135" s="22"/>
      <c r="IO135" s="21"/>
      <c r="IP135" s="29" t="str">
        <f t="shared" si="490"/>
        <v/>
      </c>
      <c r="IQ135" s="35"/>
      <c r="IR135" s="21"/>
      <c r="IS135" s="21"/>
      <c r="IT135" s="21"/>
      <c r="IU135" s="21"/>
      <c r="IV135" s="21"/>
      <c r="IW135" s="21"/>
      <c r="IX135" s="21"/>
      <c r="IY135" s="21"/>
      <c r="IZ135" s="21"/>
      <c r="JA135" s="21"/>
      <c r="JB135" s="30"/>
      <c r="JC135" s="21"/>
      <c r="JD135" s="36"/>
      <c r="JE135" s="21" t="str">
        <f t="shared" si="492"/>
        <v/>
      </c>
      <c r="JF135" s="30"/>
      <c r="JG135" s="21"/>
      <c r="JH135" s="21"/>
      <c r="JI135" s="21"/>
      <c r="JJ135" s="30"/>
      <c r="JK135" s="22"/>
      <c r="JL135" s="22"/>
      <c r="JM135" s="21"/>
      <c r="JN135" s="36"/>
      <c r="JO135" s="21" t="str">
        <f t="shared" si="493"/>
        <v/>
      </c>
      <c r="JP135" s="22"/>
      <c r="JQ135" s="21"/>
      <c r="JR135" s="21"/>
      <c r="JS135" s="21"/>
      <c r="JT135" s="30"/>
      <c r="JU135" s="22"/>
      <c r="JV135" s="22"/>
      <c r="JW135" s="33"/>
      <c r="JX135" s="28" t="str">
        <f t="shared" si="494"/>
        <v/>
      </c>
      <c r="JY135" s="33"/>
      <c r="JZ135" s="28" t="str">
        <f t="shared" si="495"/>
        <v/>
      </c>
      <c r="KA135" s="21"/>
      <c r="KB135" s="21"/>
      <c r="KC135" s="21"/>
      <c r="KD135" s="37"/>
      <c r="KE135" s="28"/>
      <c r="KF135" s="28"/>
      <c r="KG135" s="28"/>
      <c r="KH135" s="39"/>
      <c r="KI135" s="39"/>
      <c r="KJ135" s="66"/>
      <c r="KK135" s="39"/>
      <c r="KL135" s="39"/>
      <c r="KM135" s="66"/>
      <c r="KN135" s="39"/>
      <c r="KO135" s="39"/>
      <c r="KP135" s="39"/>
      <c r="KQ135" s="39"/>
      <c r="KR135" s="39"/>
      <c r="KS135" s="39"/>
      <c r="KT135" s="39"/>
      <c r="KU135" s="38"/>
      <c r="KV135" s="38"/>
      <c r="KW135" s="38"/>
      <c r="KX135" s="38"/>
      <c r="KY135" s="38"/>
      <c r="KZ135" s="38"/>
      <c r="LA135" s="38"/>
      <c r="LB135" s="38"/>
      <c r="LC135" s="38"/>
      <c r="LD135" s="38"/>
      <c r="LE135" s="38"/>
      <c r="LF135" s="38"/>
      <c r="LG135" s="38"/>
      <c r="LH135" s="38"/>
      <c r="LI135" s="38"/>
      <c r="LJ135" s="38"/>
      <c r="LK135" s="38"/>
      <c r="LL135" s="38"/>
      <c r="LM135" s="38"/>
      <c r="LN135" s="38"/>
      <c r="LO135" s="38"/>
      <c r="LP135" s="38"/>
      <c r="LQ135" s="38"/>
      <c r="LR135" s="38"/>
      <c r="LS135" s="38"/>
      <c r="LT135" s="38"/>
      <c r="LU135" s="38"/>
      <c r="LV135" s="38"/>
      <c r="LW135" s="38"/>
      <c r="LX135" s="38"/>
      <c r="LY135" s="38"/>
      <c r="LZ135" s="38"/>
      <c r="MA135" s="38"/>
      <c r="MB135" s="38"/>
      <c r="MC135" s="38"/>
      <c r="MD135" s="38"/>
      <c r="ME135" s="38"/>
      <c r="MF135" s="38"/>
      <c r="MG135" s="38"/>
      <c r="MH135" s="43">
        <f t="shared" si="641"/>
        <v>0</v>
      </c>
      <c r="MI135" s="43" t="str">
        <f t="shared" si="642"/>
        <v/>
      </c>
      <c r="MJ135" s="43" t="str">
        <f t="shared" si="643"/>
        <v/>
      </c>
      <c r="MK135" s="43">
        <f t="shared" si="644"/>
        <v>0</v>
      </c>
      <c r="ML13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35" s="43">
        <f t="shared" si="645"/>
        <v>14.714285714285714</v>
      </c>
      <c r="MN135" s="43">
        <f t="shared" si="646"/>
        <v>3</v>
      </c>
      <c r="MO135" s="43">
        <f t="shared" si="647"/>
        <v>2023</v>
      </c>
      <c r="MP135" s="43" t="str">
        <f t="shared" si="648"/>
        <v>I TRIMESTRE AÑO</v>
      </c>
      <c r="MQ135" s="43">
        <f t="shared" si="649"/>
        <v>22.807161629434955</v>
      </c>
      <c r="MR135" s="43">
        <f t="shared" si="650"/>
        <v>0</v>
      </c>
      <c r="MS135" s="43" t="str">
        <f t="shared" si="651"/>
        <v xml:space="preserve"> DE 20 A 24 AÑOS</v>
      </c>
      <c r="MT135" s="43">
        <f t="shared" si="652"/>
        <v>0</v>
      </c>
      <c r="MU135" s="43">
        <f t="shared" si="653"/>
        <v>0</v>
      </c>
      <c r="MV135" s="43">
        <f t="shared" si="654"/>
        <v>0</v>
      </c>
      <c r="MW135" s="43">
        <f t="shared" si="655"/>
        <v>0</v>
      </c>
      <c r="MX135" s="43" t="str">
        <f t="shared" si="656"/>
        <v/>
      </c>
      <c r="MY135" s="43" t="str">
        <f t="shared" ca="1" si="496"/>
        <v/>
      </c>
      <c r="MZ135" s="43" t="str">
        <f t="shared" si="657"/>
        <v/>
      </c>
      <c r="NA135" s="43">
        <f t="shared" si="658"/>
        <v>0</v>
      </c>
      <c r="NB135" s="43" t="str">
        <f t="shared" si="659"/>
        <v/>
      </c>
      <c r="NC135" s="43" t="str">
        <f t="shared" si="660"/>
        <v/>
      </c>
      <c r="ND135" s="43">
        <f t="shared" ca="1" si="661"/>
        <v>3</v>
      </c>
      <c r="NE135" s="43">
        <f>IF(OR(O135&gt;0,R135&gt;0),SUM(COUNTIF(Tabla1[[#This Row],[AÑOS AL INICIO5 CPN]],"&gt;=40"),COUNTIF(AS135,"0"),COUNTIF(AR135,"SI"),COUNTIF(CC135,"SI"),COUNTIF(BQ135,"&gt;119"),COUNTIF(CI135,"&gt;=35")),"")</f>
        <v>0</v>
      </c>
      <c r="NF135" s="43">
        <f t="shared" si="662"/>
        <v>30.285714285714285</v>
      </c>
      <c r="NG135" s="43">
        <f t="shared" si="663"/>
        <v>0</v>
      </c>
      <c r="NH135" s="43">
        <f t="shared" si="664"/>
        <v>105</v>
      </c>
      <c r="NI13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CPN",P135="NO"),"Z",IF(AND(Tabla1[[#This Row],[CITA PROXIMO CONTROL]]="CITA MANUAL",Tabla1[[#This Row],[GESTANTES ACTUALES]]="ACTIVA INGRESO A CPN"),"W",IF(AND(Tabla1[[#This Row],[GESTANTES ACTUALES]]="SALIO PROGRAMA",IN135=""),"S",IF(AND(Tabla1[[#This Row],[CITA PROXIMO CONTROL]]&gt;0,IN135=""),(Tabla1[[#This Row],[CITA PROXIMO CONTROL]]-TODAY()),"SD"))))))))</f>
        <v>#REF!</v>
      </c>
      <c r="NJ135" s="43">
        <f>MONTH(Tabla1[[#This Row],[FECHA DE SALIDA  DEL PROGRAMA]])</f>
        <v>1</v>
      </c>
      <c r="NK135" s="43">
        <f>YEAR(Tabla1[[#This Row],[FECHA DE SALIDA  DEL PROGRAMA]])</f>
        <v>1900</v>
      </c>
      <c r="NL135" s="43" t="str">
        <f t="shared" si="665"/>
        <v>X</v>
      </c>
      <c r="NM135" s="43" t="str">
        <f t="shared" si="501"/>
        <v>NO</v>
      </c>
      <c r="NN135" s="43" t="str">
        <f ca="1">IF(AND(O135&gt;0,R135=""),"NO CPN",IF(AND(O135="",R135=""),"",IF(AND(R135&gt;0,Tabla1[[#This Row],[SEMANAS DE GESTACION ACTUALIZADAS]]&lt;=12),"NO APLICA",IF(AND(FH135&lt;&gt;"",FN135&lt;&gt;""),"SI","NO"))))</f>
        <v>NO</v>
      </c>
      <c r="NO135" s="43" t="str">
        <f ca="1">IF(AND(O135&gt;0,R135=""),"NO CPN",IF(AND(O135="",R135=""),"",IF(AND(R135&gt;0,Tabla1[[#This Row],[SEMANAS DE GESTACION ACTUALIZADAS]]&lt;=27),"NO APLICA",IF(AND(ES135&lt;&gt;"",FQ135&lt;&gt;"",GF135&lt;&gt;""),"SI","NO"))))</f>
        <v>NO</v>
      </c>
      <c r="NP135" s="204" t="str">
        <f t="shared" si="666"/>
        <v>II TRIM</v>
      </c>
      <c r="NQ135" s="21" t="str">
        <f t="shared" si="500"/>
        <v/>
      </c>
      <c r="NR135" s="21" t="str">
        <f t="shared" ca="1" si="497"/>
        <v>REVISAR FUM O FECHA SALIDA PROGRAMA</v>
      </c>
      <c r="NS135" s="205">
        <f t="shared" ca="1" si="667"/>
        <v>1</v>
      </c>
      <c r="NT135" s="21">
        <f t="shared" ca="1" si="668"/>
        <v>1</v>
      </c>
      <c r="NU135" s="21" t="str">
        <f t="shared" ca="1" si="669"/>
        <v>POR DEFINIR</v>
      </c>
      <c r="NV135" s="21" t="str">
        <f t="shared" ca="1" si="670"/>
        <v>POR DEFINIR</v>
      </c>
      <c r="NW135" s="206" t="str">
        <f>IF(AND(O135="",R135=""),"",IF(OR(AND(Tabla1[[#This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35" s="207" t="str">
        <f t="shared" ca="1" si="671"/>
        <v>VACUNADA</v>
      </c>
      <c r="NY135" s="43">
        <f>ROW(Tabla1[[#This Row],['# DE TAMIZAJES SIFILIS TOMADOS ]])</f>
        <v>135</v>
      </c>
      <c r="NZ135" s="43">
        <f t="shared" si="502"/>
        <v>14</v>
      </c>
      <c r="OA135" s="43" t="str">
        <f t="shared" si="503"/>
        <v/>
      </c>
      <c r="OB135" s="43" t="str">
        <f t="shared" si="504"/>
        <v/>
      </c>
      <c r="OC135" s="43" t="str">
        <f t="shared" si="505"/>
        <v/>
      </c>
      <c r="OD135" s="43" t="str">
        <f t="shared" si="506"/>
        <v/>
      </c>
      <c r="OE135" s="43" t="str">
        <f t="shared" si="507"/>
        <v/>
      </c>
      <c r="OF135" s="43" t="str">
        <f t="shared" si="508"/>
        <v>NORMAL</v>
      </c>
      <c r="OG135" s="43" t="str">
        <f t="shared" si="509"/>
        <v/>
      </c>
      <c r="OH135" s="43" t="str">
        <f t="shared" si="510"/>
        <v/>
      </c>
      <c r="OI135" s="43" t="str">
        <f t="shared" si="511"/>
        <v/>
      </c>
      <c r="OJ135" s="43" t="str">
        <f t="shared" si="512"/>
        <v/>
      </c>
      <c r="OK135" s="43" t="str">
        <f t="shared" si="513"/>
        <v/>
      </c>
      <c r="OL135" s="43" t="str">
        <f t="shared" si="514"/>
        <v/>
      </c>
      <c r="OM135" s="43" t="str">
        <f t="shared" si="515"/>
        <v/>
      </c>
      <c r="ON135" s="43" t="str">
        <f t="shared" si="516"/>
        <v/>
      </c>
      <c r="OO135" s="43" t="str">
        <f t="shared" si="517"/>
        <v/>
      </c>
      <c r="OP135" s="43" t="str">
        <f t="shared" si="518"/>
        <v/>
      </c>
      <c r="OQ135" s="43" t="str">
        <f t="shared" si="519"/>
        <v/>
      </c>
      <c r="OR135" s="43" t="str">
        <f t="shared" si="520"/>
        <v/>
      </c>
      <c r="OS135" s="43" t="str">
        <f t="shared" si="521"/>
        <v/>
      </c>
      <c r="OT135" s="43" t="str">
        <f t="shared" si="522"/>
        <v/>
      </c>
      <c r="OU135" s="43" t="str">
        <f t="shared" si="523"/>
        <v/>
      </c>
      <c r="OV135" s="110" t="str">
        <f t="shared" si="524"/>
        <v/>
      </c>
      <c r="OW135" s="43" t="str">
        <f t="shared" si="525"/>
        <v/>
      </c>
      <c r="OX135" s="43" t="str">
        <f t="shared" si="526"/>
        <v/>
      </c>
      <c r="OY135" s="43" t="str">
        <f t="shared" si="527"/>
        <v/>
      </c>
      <c r="OZ135" s="43" t="str">
        <f t="shared" si="528"/>
        <v/>
      </c>
      <c r="PA135" s="43" t="str">
        <f t="shared" si="529"/>
        <v/>
      </c>
      <c r="PB135" s="43" t="str">
        <f t="shared" si="530"/>
        <v/>
      </c>
      <c r="PC135" s="43" t="str">
        <f t="shared" si="531"/>
        <v/>
      </c>
      <c r="PD135" s="43" t="str">
        <f t="shared" si="532"/>
        <v/>
      </c>
      <c r="PE135" s="43" t="str">
        <f t="shared" si="533"/>
        <v/>
      </c>
      <c r="PF135" s="43" t="str">
        <f t="shared" si="534"/>
        <v/>
      </c>
      <c r="PG135" s="43" t="str">
        <f t="shared" si="535"/>
        <v/>
      </c>
      <c r="PH135" s="43" t="str">
        <f t="shared" si="536"/>
        <v/>
      </c>
      <c r="PI135" s="43">
        <f t="shared" si="537"/>
        <v>30</v>
      </c>
      <c r="PJ135" s="43" t="str">
        <f t="shared" si="538"/>
        <v/>
      </c>
      <c r="PK135" s="43" t="str">
        <f t="shared" si="539"/>
        <v/>
      </c>
      <c r="PL135" s="43" t="str">
        <f t="shared" si="540"/>
        <v/>
      </c>
      <c r="PM135" s="43" t="str">
        <f t="shared" si="541"/>
        <v/>
      </c>
      <c r="PN135" s="43" t="str">
        <f t="shared" si="542"/>
        <v/>
      </c>
      <c r="PO135" s="43" t="str">
        <f t="shared" si="543"/>
        <v/>
      </c>
      <c r="PP135" s="43" t="str">
        <f t="shared" si="544"/>
        <v/>
      </c>
      <c r="PQ135" s="43" t="str">
        <f t="shared" si="545"/>
        <v/>
      </c>
      <c r="PR135" s="43" t="str">
        <f t="shared" si="546"/>
        <v/>
      </c>
      <c r="PS135" s="43" t="str">
        <f t="shared" si="547"/>
        <v/>
      </c>
      <c r="PT135" s="43" t="str">
        <f t="shared" si="548"/>
        <v/>
      </c>
      <c r="PU135" s="43" t="str">
        <f t="shared" si="549"/>
        <v/>
      </c>
      <c r="PV135" s="43" t="str">
        <f t="shared" si="550"/>
        <v/>
      </c>
      <c r="PW135" s="43" t="str">
        <f t="shared" si="551"/>
        <v/>
      </c>
      <c r="PX135" s="43" t="str">
        <f t="shared" si="552"/>
        <v/>
      </c>
      <c r="PY135" s="43" t="str">
        <f t="shared" si="553"/>
        <v/>
      </c>
      <c r="PZ135" s="43" t="str">
        <f t="shared" si="554"/>
        <v/>
      </c>
      <c r="QA135" s="43" t="str">
        <f t="shared" si="555"/>
        <v/>
      </c>
      <c r="QB135" s="43" t="str">
        <f t="shared" si="556"/>
        <v/>
      </c>
      <c r="QC135" s="43" t="str">
        <f t="shared" si="557"/>
        <v/>
      </c>
      <c r="QD135" s="43" t="str">
        <f t="shared" si="558"/>
        <v/>
      </c>
      <c r="QE135" s="43" t="str">
        <f t="shared" si="559"/>
        <v>NORMAL</v>
      </c>
      <c r="QF135" s="43" t="str">
        <f t="shared" si="560"/>
        <v/>
      </c>
      <c r="QG135" s="43" t="str">
        <f t="shared" si="561"/>
        <v/>
      </c>
      <c r="QH135" s="43" t="str">
        <f t="shared" si="562"/>
        <v/>
      </c>
      <c r="QI135" s="43" t="str">
        <f t="shared" si="563"/>
        <v/>
      </c>
      <c r="QJ135" s="43" t="str">
        <f t="shared" si="564"/>
        <v/>
      </c>
      <c r="QK135" s="43" t="str">
        <f t="shared" si="565"/>
        <v/>
      </c>
      <c r="QL135" s="43" t="str">
        <f t="shared" si="566"/>
        <v/>
      </c>
      <c r="QM135" s="43" t="str">
        <f t="shared" si="567"/>
        <v/>
      </c>
      <c r="QN135" s="43" t="str">
        <f t="shared" si="568"/>
        <v/>
      </c>
      <c r="QO135" s="43" t="str">
        <f t="shared" si="569"/>
        <v/>
      </c>
      <c r="QP135" s="43" t="str">
        <f t="shared" si="570"/>
        <v/>
      </c>
      <c r="QQ135" s="43" t="str">
        <f t="shared" si="571"/>
        <v/>
      </c>
      <c r="QR135" s="43">
        <f t="shared" si="672"/>
        <v>30</v>
      </c>
      <c r="QS135" s="43"/>
      <c r="QT135" s="21" t="str">
        <f t="shared" si="572"/>
        <v/>
      </c>
      <c r="QU135" s="21" t="str">
        <f t="shared" si="573"/>
        <v/>
      </c>
      <c r="QV135" s="21" t="str">
        <f t="shared" si="574"/>
        <v/>
      </c>
      <c r="QW135" s="21" t="str">
        <f t="shared" si="575"/>
        <v/>
      </c>
      <c r="QX135" s="21" t="str">
        <f t="shared" si="576"/>
        <v/>
      </c>
      <c r="QY135" s="21" t="str">
        <f t="shared" si="577"/>
        <v/>
      </c>
      <c r="QZ135" s="21" t="str">
        <f t="shared" si="578"/>
        <v/>
      </c>
      <c r="RA135" s="21" t="str">
        <f t="shared" si="579"/>
        <v/>
      </c>
      <c r="RB135" s="21" t="str">
        <f t="shared" si="580"/>
        <v/>
      </c>
      <c r="RC135" s="21" t="str">
        <f t="shared" si="581"/>
        <v/>
      </c>
      <c r="RD135" s="21" t="str">
        <f t="shared" si="582"/>
        <v/>
      </c>
      <c r="RE135" s="21" t="str">
        <f t="shared" si="583"/>
        <v/>
      </c>
      <c r="RF135" s="21" t="str">
        <f t="shared" si="584"/>
        <v/>
      </c>
      <c r="RG135" s="21" t="str">
        <f t="shared" si="585"/>
        <v/>
      </c>
      <c r="RH135" s="21" t="str">
        <f t="shared" si="586"/>
        <v/>
      </c>
      <c r="RI135" s="21" t="str">
        <f t="shared" si="587"/>
        <v/>
      </c>
      <c r="RJ135" s="21" t="str">
        <f t="shared" si="588"/>
        <v/>
      </c>
      <c r="RK135" s="21" t="str">
        <f t="shared" si="589"/>
        <v>BAJO PARA EDAD GESTACIONAL</v>
      </c>
      <c r="RL135" s="21" t="str">
        <f t="shared" si="590"/>
        <v/>
      </c>
      <c r="RM135" s="21" t="str">
        <f t="shared" si="591"/>
        <v/>
      </c>
      <c r="RN135" s="21" t="str">
        <f t="shared" si="592"/>
        <v/>
      </c>
      <c r="RO135" s="21" t="str">
        <f t="shared" si="593"/>
        <v/>
      </c>
      <c r="RP135" s="21" t="str">
        <f t="shared" si="594"/>
        <v/>
      </c>
      <c r="RQ135" s="21" t="str">
        <f t="shared" si="595"/>
        <v/>
      </c>
      <c r="RR135" s="21" t="str">
        <f t="shared" si="596"/>
        <v/>
      </c>
      <c r="RS135" s="21" t="str">
        <f t="shared" si="597"/>
        <v/>
      </c>
      <c r="RT135" s="21" t="str">
        <f t="shared" si="598"/>
        <v/>
      </c>
      <c r="RU135" s="21" t="str">
        <f t="shared" si="599"/>
        <v/>
      </c>
      <c r="RV135" s="21">
        <f t="shared" si="600"/>
        <v>-1</v>
      </c>
      <c r="RW135" s="284">
        <f>IF(OR(Tabla1[[#This Row],[FUM FORMULA CONFIABLE]]="",Tabla1[[#This Row],[FUM FORMULA CONFIABLE]]="SD"),"",IF(Tabla1[[#This Row],[FUM FORMULA CONFIABLE]]="CORREGIDA",Tabla1[[#This Row],[FUM X ECO 1]],Tabla1[[#This Row],[FUM x AMENORREA]]))</f>
        <v>44909</v>
      </c>
      <c r="RX135" s="21">
        <f>IF(AND(Tabla1[[#This Row],[FUM X ECO 1]]="",Tabla1[[#This Row],[FUM x AMENORREA]]=""),"",IF(AND(Tabla1[[#This Row],[FUM X ECO 1]]="",Tabla1[[#This Row],[FUM x AMENORREA]]&lt;&gt;""),"X",SUM(Tabla1[[#This Row],[FUM X ECO 1]]-Tabla1[[#This Row],[FUM x AMENORREA]])))</f>
        <v>2</v>
      </c>
      <c r="RY135" s="21">
        <f t="shared" si="673"/>
        <v>0</v>
      </c>
    </row>
    <row r="136" spans="1:493" s="338" customFormat="1" ht="45" customHeight="1" x14ac:dyDescent="0.25">
      <c r="A136" s="300"/>
      <c r="B136" s="301"/>
      <c r="C136" s="301" t="s">
        <v>845</v>
      </c>
      <c r="D136" s="302"/>
      <c r="E136" s="301" t="s">
        <v>953</v>
      </c>
      <c r="F136" s="301" t="s">
        <v>1402</v>
      </c>
      <c r="G136" s="301" t="s">
        <v>1403</v>
      </c>
      <c r="H136" s="301" t="s">
        <v>982</v>
      </c>
      <c r="I136" s="300" t="s">
        <v>851</v>
      </c>
      <c r="J136" s="303">
        <v>1002922124</v>
      </c>
      <c r="K136" s="301" t="s">
        <v>852</v>
      </c>
      <c r="L136" s="175" t="s">
        <v>1509</v>
      </c>
      <c r="M136" s="305">
        <v>37178</v>
      </c>
      <c r="N136" s="306">
        <f t="shared" ca="1" si="601"/>
        <v>22.065753424657533</v>
      </c>
      <c r="O136" s="305">
        <v>44998</v>
      </c>
      <c r="P136" s="307" t="str">
        <f t="shared" si="438"/>
        <v>SI</v>
      </c>
      <c r="Q136" s="308" t="s">
        <v>855</v>
      </c>
      <c r="R136" s="305">
        <v>44998</v>
      </c>
      <c r="S136" s="309" t="s">
        <v>856</v>
      </c>
      <c r="T136" s="310" t="s">
        <v>690</v>
      </c>
      <c r="U136" s="309" t="s">
        <v>857</v>
      </c>
      <c r="V136" s="309" t="s">
        <v>858</v>
      </c>
      <c r="W136" s="309" t="s">
        <v>1404</v>
      </c>
      <c r="X136" s="309"/>
      <c r="Y136" s="309" t="s">
        <v>859</v>
      </c>
      <c r="Z136" s="309">
        <v>3163226393</v>
      </c>
      <c r="AA136" s="309" t="s">
        <v>860</v>
      </c>
      <c r="AB136" s="311" t="s">
        <v>861</v>
      </c>
      <c r="AC136" s="308" t="s">
        <v>862</v>
      </c>
      <c r="AD136" s="312" t="s">
        <v>1251</v>
      </c>
      <c r="AE136" s="308" t="s">
        <v>854</v>
      </c>
      <c r="AF136" s="308" t="s">
        <v>854</v>
      </c>
      <c r="AG136" s="313" t="s">
        <v>864</v>
      </c>
      <c r="AH136" s="313" t="s">
        <v>864</v>
      </c>
      <c r="AI136" s="310" t="s">
        <v>863</v>
      </c>
      <c r="AJ136" s="313" t="s">
        <v>864</v>
      </c>
      <c r="AK136" s="314" t="str">
        <f>IF(AND(AD136="",AE136="",AF136="",AG136="",AH136="",AI136="",AJ136=""),"",IF(OR(Tabla1[[#This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EVALUACIÓN",IF(AND(O136="",R136=""),"",IF(AND(OR(O136&gt;0,R136&gt;0),NG136&gt;=0,NG136&lt;2),"SIN RIESGO",IF(AND(OR(O136&gt;0,R136&gt;0),NG136&gt;=2),"CON RIESGO","ASD")))))</f>
        <v>SIN RIESGO</v>
      </c>
      <c r="AL136" s="313" t="s">
        <v>864</v>
      </c>
      <c r="AM136" s="308" t="s">
        <v>864</v>
      </c>
      <c r="AN136" s="308" t="s">
        <v>864</v>
      </c>
      <c r="AO136" s="308" t="s">
        <v>864</v>
      </c>
      <c r="AP136" s="308" t="s">
        <v>864</v>
      </c>
      <c r="AQ136" s="308" t="s">
        <v>864</v>
      </c>
      <c r="AR136" s="308" t="s">
        <v>864</v>
      </c>
      <c r="AS136" s="309">
        <v>1</v>
      </c>
      <c r="AT136" s="309">
        <v>1</v>
      </c>
      <c r="AU136" s="309">
        <v>0</v>
      </c>
      <c r="AV136" s="308" t="s">
        <v>864</v>
      </c>
      <c r="AW136" s="309">
        <v>0</v>
      </c>
      <c r="AX136" s="308" t="s">
        <v>864</v>
      </c>
      <c r="AY136" s="308" t="s">
        <v>864</v>
      </c>
      <c r="AZ136" s="308" t="s">
        <v>864</v>
      </c>
      <c r="BA136" s="308" t="s">
        <v>864</v>
      </c>
      <c r="BB136" s="308" t="s">
        <v>864</v>
      </c>
      <c r="BC136" s="308" t="s">
        <v>864</v>
      </c>
      <c r="BD136" s="308" t="s">
        <v>864</v>
      </c>
      <c r="BE136" s="308" t="s">
        <v>864</v>
      </c>
      <c r="BF136" s="308" t="s">
        <v>864</v>
      </c>
      <c r="BG136" s="308" t="s">
        <v>864</v>
      </c>
      <c r="BH136" s="308" t="s">
        <v>864</v>
      </c>
      <c r="BI136" s="308" t="s">
        <v>864</v>
      </c>
      <c r="BJ136" s="308"/>
      <c r="BK136" s="308"/>
      <c r="BL136" s="308" t="s">
        <v>864</v>
      </c>
      <c r="BM136" s="308" t="s">
        <v>864</v>
      </c>
      <c r="BN136" s="305">
        <v>44533</v>
      </c>
      <c r="BO136" s="305">
        <v>44854</v>
      </c>
      <c r="BP136" s="309" t="s">
        <v>854</v>
      </c>
      <c r="BQ136" s="315">
        <f t="shared" si="602"/>
        <v>10.7</v>
      </c>
      <c r="BR136" s="316">
        <f t="shared" si="603"/>
        <v>44852.2</v>
      </c>
      <c r="BS136" s="317">
        <f t="shared" si="604"/>
        <v>20.571428571428573</v>
      </c>
      <c r="BT136" s="318" t="str">
        <f t="shared" si="605"/>
        <v>II TRIM</v>
      </c>
      <c r="BU136" s="307" t="str">
        <f t="shared" ca="1" si="606"/>
        <v/>
      </c>
      <c r="BV136" s="319"/>
      <c r="BW136" s="305">
        <v>45016</v>
      </c>
      <c r="BX136" s="320">
        <v>23.4</v>
      </c>
      <c r="BY136" s="320"/>
      <c r="BZ136" s="305"/>
      <c r="CA136" s="309"/>
      <c r="CB136" s="308" t="s">
        <v>864</v>
      </c>
      <c r="CC136" s="308" t="s">
        <v>864</v>
      </c>
      <c r="CD136" s="308" t="s">
        <v>865</v>
      </c>
      <c r="CE136" s="308" t="s">
        <v>864</v>
      </c>
      <c r="CF136" s="22" t="s">
        <v>1517</v>
      </c>
      <c r="CG136" s="309"/>
      <c r="CH136" s="309"/>
      <c r="CI136" s="307" t="str">
        <f t="shared" si="607"/>
        <v>SD</v>
      </c>
      <c r="CJ136" s="321" t="str">
        <f>IF(AND(CI136&lt;10,CH136="SD"),"SIN DATO PESO PREGESTACION O I TRIM",IF(AND(OR(R136&gt;0,O136&gt;0),CI136="X"),"INGRESAR DATO DE PESO",IF(CI136="SD","INGRESAR DATO DE TALLA Y PESO",IF(AND(OR(Tabla1[[#This Row],[MOMENTO EN QUE SE REALIZA EL PESO AL INGRESO A CPN]]="PREGESTACIÓN",NZ136="Menor"),CI136&lt;18.5),"BAJO PESO",IF(AND(OR(Tabla1[[#This Row],[MOMENTO EN QUE SE REALIZA EL PESO AL INGRESO A CPN]]="PREGESTACIÓN",NZ136="Menor"),CI136&lt;25),"NORMAL",IF(AND(OR(Tabla1[[#This Row],[MOMENTO EN QUE SE REALIZA EL PESO AL INGRESO A CPN]]="PREGESTACIÓN",NZ136="Menor"),CI136&lt;30),"SOBREPESO",IF(AND(OR(Tabla1[[#This Row],[MOMENTO EN QUE SE REALIZA EL PESO AL INGRESO A CPN]]="PREGESTACIÓN",NZ136="Menor"),CI136&gt;=30,CI136&lt;50),"OBESIDAD",IF(AND(BS136&gt;0,Tabla1[[#This Row],[MOMENTO EN QUE SE REALIZA EL PESO AL INGRESO A CPN]]="GESTACIÓN"),HLOOKUP(NZ136,$OA$2:PH136,NY136),""))))))))</f>
        <v>INGRESAR DATO DE TALLA Y PESO</v>
      </c>
      <c r="CK136" s="322">
        <f t="shared" si="608"/>
        <v>45072</v>
      </c>
      <c r="CL136" s="309">
        <v>57.2</v>
      </c>
      <c r="CM136" s="307" t="str">
        <f t="shared" si="609"/>
        <v>SD</v>
      </c>
      <c r="CN136" s="318">
        <f t="shared" si="610"/>
        <v>31</v>
      </c>
      <c r="CO136" s="318" t="e">
        <f>IF(PI136="","",IF(PI136&gt;0,HLOOKUP(PI136,$PJ$2:QQ136,NY136),""))</f>
        <v>#REF!</v>
      </c>
      <c r="CP136" s="309">
        <v>28</v>
      </c>
      <c r="CQ136" s="318" t="e">
        <f>IF(QR136="Menor","NO APLICA-MENOR 13 SEM",IF(AND(CC136="SI",CN136&gt;23),"NO APLICA- GEMELAR",IF(QR136="","",IF(QR136&gt;0,HLOOKUP(QR136,$QS$2:RU136,NY136),""))))</f>
        <v>#REF!</v>
      </c>
      <c r="CR136" s="309"/>
      <c r="CS136" s="309"/>
      <c r="CT136" s="323" t="str">
        <f>IF(R136="","",IF(AND(BS136&gt;1,BS136&lt;12,Tabla1[[#This Row],[T.A. SISTOLICA - ANTES DE SEMANA 12]]="",Tabla1[[#This Row],[T.A. DIASTOLICA - ANTES DE SEMANA 12]]=""),"REGISTRE DATO TA ANTES SEMANA 12",IF(AND(BS136&gt;11,BS136&lt;43,Tabla1[[#This Row],[T.A. SISTOLICA - ANTES DE SEMANA 12]]="",Tabla1[[#This Row],[T.A. DIASTOLICA - ANTES DE SEMANA 12]]=""),"NO APLICA REGISTRO TA-INGRESO TARDIO",IF(AND(OR(O136&gt;0,R136&gt;0),OR(CR136&gt;=140,CS136&gt;=90)),"DEFINIR ESTADIO HTA",IF(AND(OR(O136&gt;0,R136&gt;0),AND(CR136&gt;120,CR136&lt;=139)),"PRE HTA SEGUIMIENTO",IF(AND(OR(O136&gt;0,R136&gt;0),AND(CS136&gt;80,CS136&lt;=89)),"PRE HTA SEGUIMIENTO",IF(AND(OR(O136&gt;0,R136&gt;0),AND(CR136&gt;=80,CR136&lt;=120)),"APARENTEMENTE NORMAL",IF(AND(OR(O136&gt;0,R136&gt;0),AND(CS136&gt;=50,CS136&lt;=80)),"APARENTEMENTE NORMAL",IF(AND(OR(O136&gt;0,R136&gt;0),AND(CR136&gt;1,CR136&lt;=70),AND(CS136&gt;1,CS136&lt;=40)),"HIPOTENSIÓN","")))))))))</f>
        <v>NO APLICA REGISTRO TA-INGRESO TARDIO</v>
      </c>
      <c r="CU136" s="309">
        <v>90</v>
      </c>
      <c r="CV136" s="309">
        <v>60</v>
      </c>
      <c r="CW136" s="323" t="str">
        <f ca="1">IF(R136="","",IF(AND(CN136&gt;19,CN136&lt;27,Tabla1[[#This Row],[T.A. SISTOLICA (Entre semana 20 y 26)]]="",Tabla1[[#This Row],[T.A. DIATOLICA (Entre semana 20 y 26)]]=""),"ACUDE A CONTROL SEM 20 A 26 REGISTRE TA AHORA",IF(AND(BS136&gt;1,BS136&lt;27,BU136&gt;19,Tabla1[[#This Row],[T.A. SISTOLICA (Entre semana 20 y 26)]]="",Tabla1[[#This Row],[T.A. DIATOLICA (Entre semana 20 y 26)]]=""),"COMPLETE REGISTRO TA CONTROL SEM 20 A26 ",IF(AND(BS136&gt;26,BS136&lt;43,Tabla1[[#This Row],[T.A. SISTOLICA (Entre semana 20 y 26)]]="",Tabla1[[#This Row],[T.A. DIATOLICA (Entre semana 20 y 26)]]=""),"NO APLICA REGISTRO TA-INGRESO TARDIO",IF(AND(OR(O136&gt;0,R136&gt;0),OR(CU136&gt;=140,CV136&gt;=90)),"ALTO RIESGO PREECLAMPSIA,DEFINIR ESTADIO HTA",IF(AND(OR(O136&gt;0,R136&gt;0),AND(CU136&gt;120,CU136&lt;=139)),"PRE HTA SEGUIMIENTO,RIESGO HIPERTENSION INDUCIDA POR EL EMBARAZO",IF(AND(OR(O136&gt;0,R136&gt;0),AND(CV136&gt;80,CV136&lt;=89)),"PRE HTA SEGUIMIENTO, RIESGO HIPERTENSION INDUCIDA POR EL EMBARAZO",IF(AND(OR(O136&lt;&gt;"",R136&lt;&gt;""),CS136&lt;&gt;"",CV136&lt;&gt;"",CS136&lt;=CV136),"VIGILAR CIFRAS PRESION ARTERIAL",IF(AND(OR(O136&gt;0,R136&gt;0),AND(CU136&gt;120,CU136&lt;=139)),"PRE HTA SEGUIMIENTO",IF(AND(OR(O136&gt;0,R136&gt;0),AND(CU136&gt;1,CU136&lt;=70),AND(CV136&gt;1,CV136&lt;=40)),"HIPOTENSIÓN",IF(AND(OR(O136&lt;&gt;"",R136&lt;&gt;""),CS136&lt;&gt;"",CV136&lt;&gt;"",CS136&gt;CV136),"APARENTEMENTE NORMAL",IF(AND(OR(O136&gt;0,R136&gt;0),AND(CU136&gt;=80,CU136&lt;=120)),"APARENTEMENTE NORMAL",IF(AND(OR(O136&gt;0,R136&gt;0),AND(CV136&gt;=50,CV136&lt;=80)),"APARENTEMENTE NORMAL","")))))))))))))</f>
        <v>APARENTEMENTE NORMAL</v>
      </c>
      <c r="CX136" s="309">
        <v>90</v>
      </c>
      <c r="CY136" s="309">
        <v>60</v>
      </c>
      <c r="CZ136" s="318" t="str">
        <f t="shared" si="499"/>
        <v>APARENTEMENTE NORMAL</v>
      </c>
      <c r="DA136" s="309">
        <v>90</v>
      </c>
      <c r="DB136" s="309">
        <v>60</v>
      </c>
      <c r="DC136" s="323" t="str">
        <f t="shared" si="611"/>
        <v>APARENTEMENTE NORMAL</v>
      </c>
      <c r="DD136" s="305">
        <v>44998</v>
      </c>
      <c r="DE136" s="305">
        <v>44998</v>
      </c>
      <c r="DF136" s="305">
        <v>45072</v>
      </c>
      <c r="DG136" s="305"/>
      <c r="DH136" s="305"/>
      <c r="DI136" s="305"/>
      <c r="DJ136" s="305"/>
      <c r="DK136" s="305"/>
      <c r="DL136" s="305"/>
      <c r="DM136" s="305"/>
      <c r="DN136" s="305"/>
      <c r="DO136" s="305"/>
      <c r="DP136" s="305"/>
      <c r="DQ136" s="305"/>
      <c r="DR136" s="320">
        <v>1</v>
      </c>
      <c r="DS136" s="305"/>
      <c r="DT136" s="305"/>
      <c r="DU136" s="318" t="str">
        <f t="shared" ca="1" si="439"/>
        <v>CONCERTAR PLAN DE PARTO INMEDIATO</v>
      </c>
      <c r="DV136" s="324" t="str">
        <f t="shared" si="440"/>
        <v>ACTIVA INGRESO A CPN</v>
      </c>
      <c r="DW136" s="32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36" s="318" t="e">
        <f t="shared" ca="1" si="612"/>
        <v>#REF!</v>
      </c>
      <c r="DY136" s="322">
        <f>IF(R136="","",IF(R136&gt;0,MAX(Tabla1[[#This Row],[FECHA C2]:[FECHA C13]],Tabla1[[#This Row],[FECHA CONSULTA PRIMERA VEZ PROGRAMA CPN ]])))</f>
        <v>45072</v>
      </c>
      <c r="DZ136" s="318">
        <f t="shared" si="613"/>
        <v>31</v>
      </c>
      <c r="EA136" s="315">
        <f>IF(R136&gt;0,SUM(COUNTA(DF136:DQ136)+COUNTA(Tabla1[[#This Row],[FECHA CONSULTA PRIMERA VEZ PROGRAMA CPN ]])),"")</f>
        <v>2</v>
      </c>
      <c r="EB136" s="315" t="str">
        <f t="shared" si="614"/>
        <v>NO</v>
      </c>
      <c r="EC136" s="307">
        <f t="shared" si="615"/>
        <v>6</v>
      </c>
      <c r="ED136" s="325">
        <f t="shared" si="616"/>
        <v>0.33333333333333331</v>
      </c>
      <c r="EE136" s="305">
        <v>44998</v>
      </c>
      <c r="EF136" s="305">
        <v>44998</v>
      </c>
      <c r="EG136" s="305">
        <v>44998</v>
      </c>
      <c r="EH136" s="305"/>
      <c r="EI136" s="305">
        <v>44998</v>
      </c>
      <c r="EJ136" s="305"/>
      <c r="EK136" s="305"/>
      <c r="EL136" s="309"/>
      <c r="EM136" s="309">
        <v>13</v>
      </c>
      <c r="EN136" s="305">
        <v>45016</v>
      </c>
      <c r="EO136" s="315">
        <f t="shared" si="617"/>
        <v>23.142857142857142</v>
      </c>
      <c r="EP136" s="307" t="str">
        <f t="shared" si="618"/>
        <v>NORMAL- SUMINISTRAR SULFATO FERROSO</v>
      </c>
      <c r="EQ136" s="318" t="str">
        <f t="shared" si="619"/>
        <v>II TRIM</v>
      </c>
      <c r="ER136" s="310"/>
      <c r="ES136" s="305"/>
      <c r="ET136" s="326" t="str">
        <f t="shared" ca="1" si="441"/>
        <v>TOMA DE HEMOGLOBINA TARDÍA</v>
      </c>
      <c r="EU136" s="319" t="str">
        <f t="shared" si="620"/>
        <v/>
      </c>
      <c r="EV136" s="310" t="s">
        <v>1510</v>
      </c>
      <c r="EW136" s="310">
        <v>45016</v>
      </c>
      <c r="EX136" s="305"/>
      <c r="EY136" s="326">
        <f t="shared" si="454"/>
        <v>23.142857142857142</v>
      </c>
      <c r="EZ136" s="319" t="str">
        <f t="shared" si="455"/>
        <v>SIN RIESGO DE ISOINMUNIZACIÓN</v>
      </c>
      <c r="FA136" s="309">
        <v>93</v>
      </c>
      <c r="FB136" s="305">
        <v>45016</v>
      </c>
      <c r="FC136" s="326">
        <f t="shared" si="621"/>
        <v>23.142857142857142</v>
      </c>
      <c r="FD136" s="326"/>
      <c r="FE136" s="326"/>
      <c r="FF136" s="326"/>
      <c r="FG136" s="309" t="str">
        <f t="shared" ca="1" si="622"/>
        <v/>
      </c>
      <c r="FH136" s="327"/>
      <c r="FI136" s="326" t="str">
        <f t="shared" si="623"/>
        <v>TOMAR EXAMEN</v>
      </c>
      <c r="FJ136" s="305"/>
      <c r="FK136" s="305"/>
      <c r="FL136" s="326" t="str">
        <f t="shared" ca="1" si="624"/>
        <v>NO APLICA-INGRESO TARDIO</v>
      </c>
      <c r="FM136" s="305" t="s">
        <v>867</v>
      </c>
      <c r="FN136" s="328">
        <v>45016</v>
      </c>
      <c r="FO136" s="326">
        <f t="shared" ca="1" si="442"/>
        <v>23.142857142857142</v>
      </c>
      <c r="FP136" s="305"/>
      <c r="FQ136" s="328"/>
      <c r="FR136" s="326" t="str">
        <f t="shared" ca="1" si="443"/>
        <v>TOMA INMEDIATA DE TAMIZAJE</v>
      </c>
      <c r="FS136" s="305"/>
      <c r="FT136" s="328"/>
      <c r="FU136" s="326" t="str">
        <f>IF(AND(FJ136="",FM136="",FP136="",FS136=""),"",IF(OR(OR(Tabla1[[#This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36" s="320"/>
      <c r="FW136" s="305"/>
      <c r="FX136" s="326" t="str">
        <f t="shared" si="625"/>
        <v>TOMAR EXAMEN</v>
      </c>
      <c r="FY136" s="305">
        <v>44999</v>
      </c>
      <c r="FZ136" s="305">
        <v>44999</v>
      </c>
      <c r="GA136" s="326" t="str">
        <f t="shared" si="498"/>
        <v>REGISTRAR EN II TRIMESTRE</v>
      </c>
      <c r="GB136" s="305" t="s">
        <v>868</v>
      </c>
      <c r="GC136" s="305">
        <v>45016</v>
      </c>
      <c r="GD136" s="326">
        <f t="shared" ca="1" si="491"/>
        <v>23.142857142857142</v>
      </c>
      <c r="GE136" s="305"/>
      <c r="GF136" s="305"/>
      <c r="GG136" s="326" t="str">
        <f t="shared" ca="1" si="445"/>
        <v>TOMA INMEDIATA DE TAMIZAJE</v>
      </c>
      <c r="GH136" s="305"/>
      <c r="GI136" s="326"/>
      <c r="GJ136" s="305"/>
      <c r="GK136" s="305"/>
      <c r="GL136" s="305"/>
      <c r="GM136" s="305"/>
      <c r="GN136" s="320"/>
      <c r="GO136" s="305"/>
      <c r="GP136" s="326" t="str">
        <f t="shared" si="626"/>
        <v>TOMAR EXAMEN</v>
      </c>
      <c r="GQ136" s="320"/>
      <c r="GR136" s="320"/>
      <c r="GS136" s="305" t="str">
        <f t="shared" si="627"/>
        <v/>
      </c>
      <c r="GT136" s="305"/>
      <c r="GU136" s="326" t="str">
        <f t="shared" si="628"/>
        <v>TOMAR EXAMEN</v>
      </c>
      <c r="GV136" s="309" t="str">
        <f t="shared" si="629"/>
        <v>POR DEFINIR</v>
      </c>
      <c r="GW136" s="320"/>
      <c r="GX136" s="329"/>
      <c r="GY136" s="309"/>
      <c r="GZ136" s="309"/>
      <c r="HA136" s="309"/>
      <c r="HB136" s="309"/>
      <c r="HC136" s="309"/>
      <c r="HD136" s="309"/>
      <c r="HE136" s="309"/>
      <c r="HF136" s="305"/>
      <c r="HG136" s="305" t="str">
        <f>IF(OR(O136&gt;0,R136&gt;0),CONCATENATE(IF(Tabla1[[#This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36" s="305" t="e">
        <f t="shared" si="630"/>
        <v>#REF!</v>
      </c>
      <c r="HI136" s="305" t="e">
        <f t="shared" ca="1" si="631"/>
        <v>#REF!</v>
      </c>
      <c r="HJ136" s="309" t="str">
        <f t="shared" ca="1" si="632"/>
        <v>***************************************</v>
      </c>
      <c r="HK136" s="309" t="str">
        <f t="shared" si="633"/>
        <v>SIN ANTECEDENTES DE RIESGO</v>
      </c>
      <c r="HL136" s="310" t="str">
        <f t="shared" si="634"/>
        <v>APARENTEMENTE NORMAL</v>
      </c>
      <c r="HM136" s="309" t="e">
        <f t="shared" ca="1" si="635"/>
        <v>#REF!</v>
      </c>
      <c r="HN136" s="329" t="str">
        <f t="shared" si="446"/>
        <v>ACTIVA INGRESO A CPN</v>
      </c>
      <c r="HO136" s="309"/>
      <c r="HP136" s="309"/>
      <c r="HQ136" s="309">
        <v>44999</v>
      </c>
      <c r="HR136" s="309" t="str">
        <f>IF(R136="","",IF(Tabla1[[#This Row],[ALARMA FACTORES DE RIESGO COMPLICACIONES HIPERTENSIVAS3]]="SIN ANTECEDENTES DE RIESGO","No Aplica para suministro de ASA",IF(AND(Tabla1[[#This Row],[FECHA INICIO DE SUMINISTRO DE ASA]]&gt;0,RV136&lt;12),"Inicia ASA ANTES de Sem 12",IF(AND(RV136&gt;11,RV136&lt;17,OR(HK136="RIESGO ALTO DE COMPLICACIONES HIPERTENSIVAS VER MANEJO GUIA SUMINISTRO ASA Y CALCIO",HK136="RIESGO MODERADO (2 O MAS CRITERIOS) VER MANEJO GUIA SUMINISTRO ASA Y CALCIO")),"Inicio oportuno de ASA",IF(AND(RV136&gt;12,OR(HK136="RIESGO ALTO DE COMPLICACIONES HIPERTENSIVAS VER MANEJO GUIA SUMINISTRO ASA Y CALCIO",HK136="RIESGO MODERADO (2 O MAS CRITERIOS) VER MANEJO GUIA SUMINISTRO ASA Y CALCIO")),"Inicio no oportuno mayor a 16 semanas",IF(AND(BU136&lt;12,OR(HK136="RIESGO ALTO DE COMPLICACIONES HIPERTENSIVAS VER MANEJO GUIA SUMINISTRO ASA Y CALCIO",HK136="RIESGO MODERADO (2 O MAS CRITERIOS) VER MANEJO GUIA SUMINISTRO ASA Y CALCIO")),"Pendiente Inicio de ASA a la semana 12",IF(AND(BU136&gt;11,BU136&lt;17,OR(HK136="RIESGO ALTO DE COMPLICACIONES HIPERTENSIVAS VER MANEJO GUIA SUMINISTRO ASA Y CALCIO",HK136="RIESGO MODERADO (2 O MAS CRITERIOS) VER MANEJO GUIA SUMINISTRO ASA Y CALCIO")),"Iniciar de inmediato ASA",IF(AND(BU136&gt;16,OR(HK136="RIESGO ALTO DE COMPLICACIONES HIPERTENSIVAS VER MANEJO GUIA SUMINISTRO ASA Y CALCIO",HK136="RIESGO MODERADO (2 O MAS CRITERIOS) VER MANEJO GUIA SUMINISTRO ASA Y CALCIO")),"Pierde Oportunidad, Inicio tardío de ASA","XXXXX"))))))))</f>
        <v>No Aplica para suministro de ASA</v>
      </c>
      <c r="HS136" s="305">
        <v>44999</v>
      </c>
      <c r="HT136" s="305" t="s">
        <v>870</v>
      </c>
      <c r="HU136" s="305">
        <v>44999</v>
      </c>
      <c r="HV136" s="305" t="s">
        <v>870</v>
      </c>
      <c r="HW136" s="305">
        <v>44999</v>
      </c>
      <c r="HX136" s="305" t="s">
        <v>870</v>
      </c>
      <c r="HY136" s="305">
        <v>44998</v>
      </c>
      <c r="HZ136" s="320">
        <f t="shared" si="636"/>
        <v>20.571428571428573</v>
      </c>
      <c r="IA136" s="308" t="s">
        <v>864</v>
      </c>
      <c r="IB136" s="308"/>
      <c r="IC136" s="330"/>
      <c r="ID136" s="305"/>
      <c r="IE136" s="305" t="str">
        <f t="shared" ca="1" si="637"/>
        <v/>
      </c>
      <c r="IF136" s="305"/>
      <c r="IG136" s="305">
        <f t="shared" si="638"/>
        <v>45134</v>
      </c>
      <c r="IH136" s="326">
        <f t="shared" ca="1" si="639"/>
        <v>-98</v>
      </c>
      <c r="II136" s="305" t="str">
        <f t="shared" ca="1" si="640"/>
        <v>POSIBLEMENTE NACIO</v>
      </c>
      <c r="IJ136" s="305"/>
      <c r="IK136" s="309"/>
      <c r="IL136" s="309"/>
      <c r="IM136" s="331"/>
      <c r="IN136" s="350"/>
      <c r="IO136" s="309"/>
      <c r="IP136" s="326" t="str">
        <f t="shared" si="490"/>
        <v/>
      </c>
      <c r="IQ136" s="332"/>
      <c r="IR136" s="309"/>
      <c r="IS136" s="309"/>
      <c r="IT136" s="309"/>
      <c r="IU136" s="309"/>
      <c r="IV136" s="309"/>
      <c r="IW136" s="309"/>
      <c r="IX136" s="309"/>
      <c r="IY136" s="309"/>
      <c r="IZ136" s="309"/>
      <c r="JA136" s="309"/>
      <c r="JB136" s="329">
        <v>1</v>
      </c>
      <c r="JC136" s="309" t="s">
        <v>1643</v>
      </c>
      <c r="JD136" s="333">
        <v>2970</v>
      </c>
      <c r="JE136" s="309" t="str">
        <f t="shared" si="492"/>
        <v>PESO ADECUADO EDAD GESTACIONAL</v>
      </c>
      <c r="JF136" s="329"/>
      <c r="JG136" s="309"/>
      <c r="JH136" s="309"/>
      <c r="JI136" s="309" t="s">
        <v>854</v>
      </c>
      <c r="JJ136" s="329" t="s">
        <v>866</v>
      </c>
      <c r="JK136" s="305"/>
      <c r="JL136" s="305"/>
      <c r="JM136" s="309"/>
      <c r="JN136" s="333"/>
      <c r="JO136" s="309" t="str">
        <f t="shared" si="493"/>
        <v/>
      </c>
      <c r="JP136" s="305"/>
      <c r="JQ136" s="309"/>
      <c r="JR136" s="309"/>
      <c r="JS136" s="309"/>
      <c r="JT136" s="329"/>
      <c r="JU136" s="305"/>
      <c r="JV136" s="305"/>
      <c r="JW136" s="334"/>
      <c r="JX136" s="320" t="str">
        <f t="shared" si="494"/>
        <v/>
      </c>
      <c r="JY136" s="334"/>
      <c r="JZ136" s="320" t="str">
        <f t="shared" si="495"/>
        <v/>
      </c>
      <c r="KA136" s="309"/>
      <c r="KB136" s="309"/>
      <c r="KC136" s="309"/>
      <c r="KD136" s="335"/>
      <c r="KE136" s="320"/>
      <c r="KF136" s="320"/>
      <c r="KG136" s="320"/>
      <c r="KH136" s="336"/>
      <c r="KI136" s="336"/>
      <c r="KJ136" s="337"/>
      <c r="KK136" s="336"/>
      <c r="KL136" s="336"/>
      <c r="KM136" s="337"/>
      <c r="KN136" s="336"/>
      <c r="KO136" s="336"/>
      <c r="KP136" s="336"/>
      <c r="KQ136" s="336"/>
      <c r="KR136" s="336"/>
      <c r="KS136" s="336"/>
      <c r="KT136" s="336"/>
      <c r="KU136" s="312"/>
      <c r="KV136" s="312"/>
      <c r="KW136" s="312"/>
      <c r="KX136" s="312"/>
      <c r="KY136" s="312"/>
      <c r="KZ136" s="312"/>
      <c r="LA136" s="312"/>
      <c r="LB136" s="312"/>
      <c r="LC136" s="312"/>
      <c r="LD136" s="312"/>
      <c r="LE136" s="312"/>
      <c r="LF136" s="312"/>
      <c r="LG136" s="312"/>
      <c r="LH136" s="312"/>
      <c r="LI136" s="312"/>
      <c r="LJ136" s="312"/>
      <c r="LK136" s="312"/>
      <c r="LL136" s="312"/>
      <c r="LM136" s="312"/>
      <c r="LN136" s="312"/>
      <c r="LO136" s="312"/>
      <c r="LP136" s="312"/>
      <c r="LQ136" s="312"/>
      <c r="LR136" s="312"/>
      <c r="LS136" s="312"/>
      <c r="LT136" s="312"/>
      <c r="LU136" s="312"/>
      <c r="LV136" s="312"/>
      <c r="LW136" s="312"/>
      <c r="LX136" s="312"/>
      <c r="LY136" s="312"/>
      <c r="LZ136" s="312"/>
      <c r="MA136" s="312"/>
      <c r="MB136" s="312"/>
      <c r="MC136" s="312"/>
      <c r="MD136" s="312"/>
      <c r="ME136" s="312"/>
      <c r="MF136" s="312"/>
      <c r="MG136" s="312"/>
      <c r="MH136" s="43">
        <f t="shared" si="641"/>
        <v>0</v>
      </c>
      <c r="MI136" s="43" t="str">
        <f t="shared" si="642"/>
        <v/>
      </c>
      <c r="MJ136" s="43" t="str">
        <f t="shared" si="643"/>
        <v/>
      </c>
      <c r="MK136" s="43">
        <f t="shared" si="644"/>
        <v>0</v>
      </c>
      <c r="ML13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36" s="43">
        <f t="shared" si="645"/>
        <v>20.571428571428573</v>
      </c>
      <c r="MN136" s="43">
        <f t="shared" si="646"/>
        <v>3</v>
      </c>
      <c r="MO136" s="43">
        <f t="shared" si="647"/>
        <v>2023</v>
      </c>
      <c r="MP136" s="43" t="str">
        <f t="shared" si="648"/>
        <v>I TRIMESTRE AÑO</v>
      </c>
      <c r="MQ136" s="43">
        <f t="shared" si="649"/>
        <v>21.10435830048182</v>
      </c>
      <c r="MR136" s="43">
        <f t="shared" si="650"/>
        <v>0</v>
      </c>
      <c r="MS136" s="43" t="str">
        <f t="shared" si="651"/>
        <v xml:space="preserve"> DE 20 A 24 AÑOS</v>
      </c>
      <c r="MT136" s="43">
        <f t="shared" si="652"/>
        <v>0</v>
      </c>
      <c r="MU136" s="43">
        <f t="shared" si="653"/>
        <v>0</v>
      </c>
      <c r="MV136" s="43">
        <f t="shared" si="654"/>
        <v>0</v>
      </c>
      <c r="MW136" s="43">
        <f t="shared" si="655"/>
        <v>0</v>
      </c>
      <c r="MX136" s="43" t="str">
        <f t="shared" si="656"/>
        <v/>
      </c>
      <c r="MY136" s="43" t="str">
        <f t="shared" ca="1" si="496"/>
        <v/>
      </c>
      <c r="MZ136" s="43" t="str">
        <f t="shared" si="657"/>
        <v/>
      </c>
      <c r="NA136" s="43">
        <f t="shared" si="658"/>
        <v>0</v>
      </c>
      <c r="NB136" s="43" t="str">
        <f t="shared" si="659"/>
        <v/>
      </c>
      <c r="NC136" s="43" t="str">
        <f t="shared" si="660"/>
        <v/>
      </c>
      <c r="ND136" s="43">
        <f t="shared" ca="1" si="661"/>
        <v>0</v>
      </c>
      <c r="NE136" s="43">
        <f>IF(OR(O136&gt;0,R136&gt;0),SUM(COUNTIF(Tabla1[[#This Row],[AÑOS AL INICIO5 CPN]],"&gt;=40"),COUNTIF(AS136,"0"),COUNTIF(AR136,"SI"),COUNTIF(CC136,"SI"),COUNTIF(BQ136,"&gt;119"),COUNTIF(CI136,"&gt;=35")),"")</f>
        <v>0</v>
      </c>
      <c r="NF136" s="43" t="str">
        <f t="shared" si="662"/>
        <v/>
      </c>
      <c r="NG136" s="43">
        <f t="shared" si="663"/>
        <v>0</v>
      </c>
      <c r="NH136" s="43">
        <f t="shared" si="664"/>
        <v>163.79999999999998</v>
      </c>
      <c r="NI13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CPN",P136="NO"),"Z",IF(AND(Tabla1[[#This Row],[CITA PROXIMO CONTROL]]="CITA MANUAL",Tabla1[[#This Row],[GESTANTES ACTUALES]]="ACTIVA INGRESO A CPN"),"W",IF(AND(Tabla1[[#This Row],[GESTANTES ACTUALES]]="SALIO PROGRAMA",IN136=""),"S",IF(AND(Tabla1[[#This Row],[CITA PROXIMO CONTROL]]&gt;0,IN136=""),(Tabla1[[#This Row],[CITA PROXIMO CONTROL]]-TODAY()),"SD"))))))))</f>
        <v>#REF!</v>
      </c>
      <c r="NJ136" s="43">
        <f>MONTH(Tabla1[[#This Row],[FECHA DE SALIDA  DEL PROGRAMA]])</f>
        <v>1</v>
      </c>
      <c r="NK136" s="43">
        <f>YEAR(Tabla1[[#This Row],[FECHA DE SALIDA  DEL PROGRAMA]])</f>
        <v>1900</v>
      </c>
      <c r="NL136" s="43" t="str">
        <f t="shared" si="665"/>
        <v>X</v>
      </c>
      <c r="NM136" s="43" t="str">
        <f t="shared" si="501"/>
        <v>NO</v>
      </c>
      <c r="NN136" s="43" t="str">
        <f ca="1">IF(AND(O136&gt;0,R136=""),"NO CPN",IF(AND(O136="",R136=""),"",IF(AND(R136&gt;0,Tabla1[[#This Row],[SEMANAS DE GESTACION ACTUALIZADAS]]&lt;=12),"NO APLICA",IF(AND(FH136&lt;&gt;"",FN136&lt;&gt;""),"SI","NO"))))</f>
        <v>NO</v>
      </c>
      <c r="NO136" s="43" t="str">
        <f ca="1">IF(AND(O136&gt;0,R136=""),"NO CPN",IF(AND(O136="",R136=""),"",IF(AND(R136&gt;0,Tabla1[[#This Row],[SEMANAS DE GESTACION ACTUALIZADAS]]&lt;=27),"NO APLICA",IF(AND(ES136&lt;&gt;"",FQ136&lt;&gt;"",GF136&lt;&gt;""),"SI","NO"))))</f>
        <v>NO</v>
      </c>
      <c r="NP136" s="204" t="str">
        <f t="shared" si="666"/>
        <v>II TRIM</v>
      </c>
      <c r="NQ136" s="21" t="str">
        <f t="shared" si="500"/>
        <v/>
      </c>
      <c r="NR136" s="21" t="str">
        <f t="shared" ca="1" si="497"/>
        <v>REVISAR FUM O FECHA SALIDA PROGRAMA</v>
      </c>
      <c r="NS136" s="205">
        <f t="shared" ca="1" si="667"/>
        <v>1</v>
      </c>
      <c r="NT136" s="21">
        <f t="shared" ca="1" si="668"/>
        <v>1</v>
      </c>
      <c r="NU136" s="21" t="str">
        <f t="shared" ca="1" si="669"/>
        <v>POR DEFINIR</v>
      </c>
      <c r="NV136" s="21" t="str">
        <f t="shared" ca="1" si="670"/>
        <v>POR DEFINIR</v>
      </c>
      <c r="NW136" s="206" t="str">
        <f>IF(AND(O136="",R136=""),"",IF(OR(AND(Tabla1[[#This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36" s="207" t="str">
        <f t="shared" ca="1" si="671"/>
        <v>SIN VACUNAR</v>
      </c>
      <c r="NY136" s="43">
        <f>ROW(Tabla1[[#This Row],['# DE TAMIZAJES SIFILIS TOMADOS ]])</f>
        <v>136</v>
      </c>
      <c r="NZ136" s="43">
        <f t="shared" si="502"/>
        <v>20</v>
      </c>
      <c r="OA136" s="43" t="str">
        <f t="shared" si="503"/>
        <v/>
      </c>
      <c r="OB136" s="43" t="str">
        <f t="shared" si="504"/>
        <v/>
      </c>
      <c r="OC136" s="43" t="str">
        <f t="shared" si="505"/>
        <v/>
      </c>
      <c r="OD136" s="43" t="str">
        <f t="shared" si="506"/>
        <v/>
      </c>
      <c r="OE136" s="43" t="str">
        <f t="shared" si="507"/>
        <v/>
      </c>
      <c r="OF136" s="43" t="str">
        <f t="shared" si="508"/>
        <v/>
      </c>
      <c r="OG136" s="43" t="str">
        <f t="shared" si="509"/>
        <v/>
      </c>
      <c r="OH136" s="43" t="str">
        <f t="shared" si="510"/>
        <v/>
      </c>
      <c r="OI136" s="43" t="str">
        <f t="shared" si="511"/>
        <v/>
      </c>
      <c r="OJ136" s="43" t="str">
        <f t="shared" si="512"/>
        <v/>
      </c>
      <c r="OK136" s="43" t="str">
        <f t="shared" si="513"/>
        <v/>
      </c>
      <c r="OL136" s="43" t="str">
        <f t="shared" si="514"/>
        <v/>
      </c>
      <c r="OM136" s="43" t="str">
        <f t="shared" si="515"/>
        <v/>
      </c>
      <c r="ON136" s="43" t="str">
        <f t="shared" si="516"/>
        <v/>
      </c>
      <c r="OO136" s="43" t="str">
        <f t="shared" si="517"/>
        <v/>
      </c>
      <c r="OP136" s="43" t="str">
        <f t="shared" si="518"/>
        <v/>
      </c>
      <c r="OQ136" s="43" t="str">
        <f t="shared" si="519"/>
        <v/>
      </c>
      <c r="OR136" s="43" t="str">
        <f t="shared" si="520"/>
        <v/>
      </c>
      <c r="OS136" s="43" t="str">
        <f t="shared" si="521"/>
        <v/>
      </c>
      <c r="OT136" s="43" t="str">
        <f t="shared" si="522"/>
        <v/>
      </c>
      <c r="OU136" s="43" t="str">
        <f t="shared" si="523"/>
        <v/>
      </c>
      <c r="OV136" s="110" t="str">
        <f t="shared" si="524"/>
        <v/>
      </c>
      <c r="OW136" s="43" t="str">
        <f t="shared" si="525"/>
        <v/>
      </c>
      <c r="OX136" s="43" t="str">
        <f t="shared" si="526"/>
        <v/>
      </c>
      <c r="OY136" s="43" t="str">
        <f t="shared" si="527"/>
        <v/>
      </c>
      <c r="OZ136" s="43" t="str">
        <f t="shared" si="528"/>
        <v/>
      </c>
      <c r="PA136" s="43" t="str">
        <f t="shared" si="529"/>
        <v/>
      </c>
      <c r="PB136" s="43" t="str">
        <f t="shared" si="530"/>
        <v/>
      </c>
      <c r="PC136" s="43" t="str">
        <f t="shared" si="531"/>
        <v/>
      </c>
      <c r="PD136" s="43" t="str">
        <f t="shared" si="532"/>
        <v/>
      </c>
      <c r="PE136" s="43" t="str">
        <f t="shared" si="533"/>
        <v/>
      </c>
      <c r="PF136" s="43" t="str">
        <f t="shared" si="534"/>
        <v/>
      </c>
      <c r="PG136" s="43" t="str">
        <f t="shared" si="535"/>
        <v/>
      </c>
      <c r="PH136" s="43" t="str">
        <f t="shared" si="536"/>
        <v/>
      </c>
      <c r="PI136" s="43">
        <f t="shared" si="537"/>
        <v>31</v>
      </c>
      <c r="PJ136" s="43" t="str">
        <f t="shared" si="538"/>
        <v/>
      </c>
      <c r="PK136" s="43" t="str">
        <f t="shared" si="539"/>
        <v/>
      </c>
      <c r="PL136" s="43" t="str">
        <f t="shared" si="540"/>
        <v/>
      </c>
      <c r="PM136" s="43" t="str">
        <f t="shared" si="541"/>
        <v/>
      </c>
      <c r="PN136" s="43" t="str">
        <f t="shared" si="542"/>
        <v/>
      </c>
      <c r="PO136" s="43" t="str">
        <f t="shared" si="543"/>
        <v/>
      </c>
      <c r="PP136" s="43" t="str">
        <f t="shared" si="544"/>
        <v/>
      </c>
      <c r="PQ136" s="43" t="str">
        <f t="shared" si="545"/>
        <v/>
      </c>
      <c r="PR136" s="43" t="str">
        <f t="shared" si="546"/>
        <v/>
      </c>
      <c r="PS136" s="43" t="str">
        <f t="shared" si="547"/>
        <v/>
      </c>
      <c r="PT136" s="43" t="str">
        <f t="shared" si="548"/>
        <v/>
      </c>
      <c r="PU136" s="43" t="str">
        <f t="shared" si="549"/>
        <v/>
      </c>
      <c r="PV136" s="43" t="str">
        <f t="shared" si="550"/>
        <v/>
      </c>
      <c r="PW136" s="43" t="str">
        <f t="shared" si="551"/>
        <v/>
      </c>
      <c r="PX136" s="43" t="str">
        <f t="shared" si="552"/>
        <v/>
      </c>
      <c r="PY136" s="43" t="str">
        <f t="shared" si="553"/>
        <v/>
      </c>
      <c r="PZ136" s="43" t="str">
        <f t="shared" si="554"/>
        <v/>
      </c>
      <c r="QA136" s="43" t="str">
        <f t="shared" si="555"/>
        <v/>
      </c>
      <c r="QB136" s="43" t="str">
        <f t="shared" si="556"/>
        <v/>
      </c>
      <c r="QC136" s="43" t="str">
        <f t="shared" si="557"/>
        <v/>
      </c>
      <c r="QD136" s="43" t="str">
        <f t="shared" si="558"/>
        <v/>
      </c>
      <c r="QE136" s="43" t="str">
        <f t="shared" si="559"/>
        <v/>
      </c>
      <c r="QF136" s="43" t="str">
        <f t="shared" si="560"/>
        <v/>
      </c>
      <c r="QG136" s="43" t="str">
        <f t="shared" si="561"/>
        <v/>
      </c>
      <c r="QH136" s="43" t="str">
        <f t="shared" si="562"/>
        <v/>
      </c>
      <c r="QI136" s="43" t="str">
        <f t="shared" si="563"/>
        <v/>
      </c>
      <c r="QJ136" s="43" t="str">
        <f t="shared" si="564"/>
        <v/>
      </c>
      <c r="QK136" s="43" t="str">
        <f t="shared" si="565"/>
        <v/>
      </c>
      <c r="QL136" s="43" t="str">
        <f t="shared" si="566"/>
        <v/>
      </c>
      <c r="QM136" s="43" t="str">
        <f t="shared" si="567"/>
        <v/>
      </c>
      <c r="QN136" s="43" t="str">
        <f t="shared" si="568"/>
        <v/>
      </c>
      <c r="QO136" s="43" t="str">
        <f t="shared" si="569"/>
        <v/>
      </c>
      <c r="QP136" s="43" t="str">
        <f t="shared" si="570"/>
        <v/>
      </c>
      <c r="QQ136" s="43" t="str">
        <f t="shared" si="571"/>
        <v/>
      </c>
      <c r="QR136" s="43">
        <f t="shared" si="672"/>
        <v>31</v>
      </c>
      <c r="QS136" s="43"/>
      <c r="QT136" s="21" t="str">
        <f t="shared" si="572"/>
        <v/>
      </c>
      <c r="QU136" s="21" t="str">
        <f t="shared" si="573"/>
        <v/>
      </c>
      <c r="QV136" s="21" t="str">
        <f t="shared" si="574"/>
        <v/>
      </c>
      <c r="QW136" s="21" t="str">
        <f t="shared" si="575"/>
        <v/>
      </c>
      <c r="QX136" s="21" t="str">
        <f t="shared" si="576"/>
        <v/>
      </c>
      <c r="QY136" s="21" t="str">
        <f t="shared" si="577"/>
        <v/>
      </c>
      <c r="QZ136" s="21" t="str">
        <f t="shared" si="578"/>
        <v/>
      </c>
      <c r="RA136" s="21" t="str">
        <f t="shared" si="579"/>
        <v/>
      </c>
      <c r="RB136" s="21" t="str">
        <f t="shared" si="580"/>
        <v/>
      </c>
      <c r="RC136" s="21" t="str">
        <f t="shared" si="581"/>
        <v/>
      </c>
      <c r="RD136" s="21" t="str">
        <f t="shared" si="582"/>
        <v/>
      </c>
      <c r="RE136" s="21" t="str">
        <f t="shared" si="583"/>
        <v/>
      </c>
      <c r="RF136" s="21" t="str">
        <f t="shared" si="584"/>
        <v/>
      </c>
      <c r="RG136" s="21" t="str">
        <f t="shared" si="585"/>
        <v/>
      </c>
      <c r="RH136" s="21" t="str">
        <f t="shared" si="586"/>
        <v/>
      </c>
      <c r="RI136" s="21" t="str">
        <f t="shared" si="587"/>
        <v/>
      </c>
      <c r="RJ136" s="21" t="str">
        <f t="shared" si="588"/>
        <v/>
      </c>
      <c r="RK136" s="21" t="str">
        <f t="shared" si="589"/>
        <v/>
      </c>
      <c r="RL136" s="21" t="str">
        <f t="shared" si="590"/>
        <v>ADECUADO PARA EDAD GESTACIONAL</v>
      </c>
      <c r="RM136" s="21" t="str">
        <f t="shared" si="591"/>
        <v/>
      </c>
      <c r="RN136" s="21" t="str">
        <f t="shared" si="592"/>
        <v/>
      </c>
      <c r="RO136" s="21" t="str">
        <f t="shared" si="593"/>
        <v/>
      </c>
      <c r="RP136" s="21" t="str">
        <f t="shared" si="594"/>
        <v/>
      </c>
      <c r="RQ136" s="21" t="str">
        <f t="shared" si="595"/>
        <v/>
      </c>
      <c r="RR136" s="21" t="str">
        <f t="shared" si="596"/>
        <v/>
      </c>
      <c r="RS136" s="21" t="str">
        <f t="shared" si="597"/>
        <v/>
      </c>
      <c r="RT136" s="21" t="str">
        <f t="shared" si="598"/>
        <v/>
      </c>
      <c r="RU136" s="21" t="str">
        <f t="shared" si="599"/>
        <v/>
      </c>
      <c r="RV136" s="21">
        <f t="shared" si="600"/>
        <v>20.714285714285715</v>
      </c>
      <c r="RW136" s="284">
        <f>IF(OR(Tabla1[[#This Row],[FUM FORMULA CONFIABLE]]="",Tabla1[[#This Row],[FUM FORMULA CONFIABLE]]="SD"),"",IF(Tabla1[[#This Row],[FUM FORMULA CONFIABLE]]="CORREGIDA",Tabla1[[#This Row],[FUM X ECO 1]],Tabla1[[#This Row],[FUM x AMENORREA]]))</f>
        <v>44854</v>
      </c>
      <c r="RX136" s="21">
        <f>IF(AND(Tabla1[[#This Row],[FUM X ECO 1]]="",Tabla1[[#This Row],[FUM x AMENORREA]]=""),"",IF(AND(Tabla1[[#This Row],[FUM X ECO 1]]="",Tabla1[[#This Row],[FUM x AMENORREA]]&lt;&gt;""),"X",SUM(Tabla1[[#This Row],[FUM X ECO 1]]-Tabla1[[#This Row],[FUM x AMENORREA]])))</f>
        <v>-1.8000000000029104</v>
      </c>
      <c r="RY136" s="21">
        <f t="shared" si="673"/>
        <v>0</v>
      </c>
    </row>
    <row r="137" spans="1:493" ht="45" customHeight="1" x14ac:dyDescent="0.25">
      <c r="A137" s="109"/>
      <c r="B137" s="43"/>
      <c r="C137" s="43" t="s">
        <v>845</v>
      </c>
      <c r="D137" s="124"/>
      <c r="E137" s="43" t="s">
        <v>1405</v>
      </c>
      <c r="F137" s="43" t="s">
        <v>884</v>
      </c>
      <c r="G137" s="43" t="s">
        <v>1406</v>
      </c>
      <c r="H137" s="43" t="s">
        <v>1407</v>
      </c>
      <c r="I137" s="109" t="s">
        <v>851</v>
      </c>
      <c r="J137" s="110">
        <v>1059601552</v>
      </c>
      <c r="K137" s="43" t="s">
        <v>932</v>
      </c>
      <c r="L137" s="175" t="s">
        <v>1509</v>
      </c>
      <c r="M137" s="22">
        <v>34151</v>
      </c>
      <c r="N137" s="213">
        <f t="shared" ca="1" si="601"/>
        <v>30.358904109589041</v>
      </c>
      <c r="O137" s="22">
        <v>45015</v>
      </c>
      <c r="P137" s="214" t="str">
        <f t="shared" si="438"/>
        <v>SI</v>
      </c>
      <c r="Q137" s="26" t="s">
        <v>855</v>
      </c>
      <c r="R137" s="22">
        <v>45015</v>
      </c>
      <c r="S137" s="21" t="s">
        <v>856</v>
      </c>
      <c r="T137" s="24" t="s">
        <v>690</v>
      </c>
      <c r="U137" s="21" t="s">
        <v>857</v>
      </c>
      <c r="V137" s="21" t="s">
        <v>858</v>
      </c>
      <c r="W137" s="21" t="s">
        <v>1191</v>
      </c>
      <c r="X137" s="21"/>
      <c r="Y137" s="21"/>
      <c r="Z137" s="21">
        <v>3153566843</v>
      </c>
      <c r="AA137" s="21" t="s">
        <v>860</v>
      </c>
      <c r="AB137" s="27" t="s">
        <v>861</v>
      </c>
      <c r="AC137" s="26" t="s">
        <v>897</v>
      </c>
      <c r="AD137" s="38" t="s">
        <v>1546</v>
      </c>
      <c r="AE137" s="26" t="s">
        <v>854</v>
      </c>
      <c r="AF137" s="26" t="s">
        <v>854</v>
      </c>
      <c r="AG137" s="23" t="s">
        <v>864</v>
      </c>
      <c r="AH137" s="23" t="s">
        <v>864</v>
      </c>
      <c r="AI137" s="24" t="s">
        <v>863</v>
      </c>
      <c r="AJ137" s="23" t="s">
        <v>864</v>
      </c>
      <c r="AK137" s="220" t="str">
        <f>IF(AND(AD137="",AE137="",AF137="",AG137="",AH137="",AI137="",AJ137=""),"",IF(OR(Tabla1[[#This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EVALUACIÓN",IF(AND(O137="",R137=""),"",IF(AND(OR(O137&gt;0,R137&gt;0),NG137&gt;=0,NG137&lt;2),"SIN RIESGO",IF(AND(OR(O137&gt;0,R137&gt;0),NG137&gt;=2),"CON RIESGO","ASD")))))</f>
        <v>SIN RIESGO</v>
      </c>
      <c r="AL137" s="23" t="s">
        <v>864</v>
      </c>
      <c r="AM137" s="26" t="s">
        <v>864</v>
      </c>
      <c r="AN137" s="26" t="s">
        <v>864</v>
      </c>
      <c r="AO137" s="26" t="s">
        <v>864</v>
      </c>
      <c r="AP137" s="26" t="s">
        <v>864</v>
      </c>
      <c r="AQ137" s="26" t="s">
        <v>864</v>
      </c>
      <c r="AR137" s="26" t="s">
        <v>864</v>
      </c>
      <c r="AS137" s="21">
        <v>2</v>
      </c>
      <c r="AT137" s="21">
        <v>2</v>
      </c>
      <c r="AU137" s="21">
        <v>0</v>
      </c>
      <c r="AV137" s="26" t="s">
        <v>864</v>
      </c>
      <c r="AW137" s="21">
        <v>0</v>
      </c>
      <c r="AX137" s="26" t="s">
        <v>864</v>
      </c>
      <c r="AY137" s="26" t="s">
        <v>864</v>
      </c>
      <c r="AZ137" s="26" t="s">
        <v>864</v>
      </c>
      <c r="BA137" s="26" t="s">
        <v>864</v>
      </c>
      <c r="BB137" s="26" t="s">
        <v>864</v>
      </c>
      <c r="BC137" s="26" t="s">
        <v>864</v>
      </c>
      <c r="BD137" s="26" t="s">
        <v>864</v>
      </c>
      <c r="BE137" s="26" t="s">
        <v>864</v>
      </c>
      <c r="BF137" s="26" t="s">
        <v>864</v>
      </c>
      <c r="BG137" s="26" t="s">
        <v>864</v>
      </c>
      <c r="BH137" s="26" t="s">
        <v>864</v>
      </c>
      <c r="BI137" s="26" t="s">
        <v>864</v>
      </c>
      <c r="BJ137" s="26" t="s">
        <v>864</v>
      </c>
      <c r="BK137" s="26" t="s">
        <v>864</v>
      </c>
      <c r="BL137" s="26" t="s">
        <v>864</v>
      </c>
      <c r="BM137" s="26" t="s">
        <v>864</v>
      </c>
      <c r="BN137" s="22">
        <v>42811</v>
      </c>
      <c r="BO137" s="22">
        <v>44981</v>
      </c>
      <c r="BP137" s="21" t="s">
        <v>854</v>
      </c>
      <c r="BQ137" s="222">
        <f t="shared" si="602"/>
        <v>72.333333333333329</v>
      </c>
      <c r="BR137" s="223">
        <f t="shared" si="603"/>
        <v>44981</v>
      </c>
      <c r="BS137" s="224">
        <f t="shared" si="604"/>
        <v>4.8571428571428568</v>
      </c>
      <c r="BT137" s="216" t="str">
        <f t="shared" si="605"/>
        <v>I TRIM</v>
      </c>
      <c r="BU137" s="214">
        <f t="shared" ca="1" si="606"/>
        <v>35.857142857142854</v>
      </c>
      <c r="BV137" s="25" t="s">
        <v>988</v>
      </c>
      <c r="BW137" s="22">
        <v>45016</v>
      </c>
      <c r="BX137" s="28">
        <v>5</v>
      </c>
      <c r="BY137" s="28" t="s">
        <v>988</v>
      </c>
      <c r="BZ137" s="22">
        <v>45051</v>
      </c>
      <c r="CA137" s="21">
        <v>11</v>
      </c>
      <c r="CB137" s="26" t="s">
        <v>864</v>
      </c>
      <c r="CC137" s="26" t="s">
        <v>864</v>
      </c>
      <c r="CD137" s="26"/>
      <c r="CE137" s="26" t="s">
        <v>864</v>
      </c>
      <c r="CF137" s="22" t="s">
        <v>1517</v>
      </c>
      <c r="CG137" s="21">
        <v>1.6</v>
      </c>
      <c r="CH137" s="21">
        <v>66.599999999999994</v>
      </c>
      <c r="CI137" s="214">
        <f t="shared" si="607"/>
        <v>26.015624999999993</v>
      </c>
      <c r="CJ137" s="225" t="str">
        <f>IF(AND(CI137&lt;10,CH137="SD"),"SIN DATO PESO PREGESTACION O I TRIM",IF(AND(OR(R137&gt;0,O137&gt;0),CI137="X"),"INGRESAR DATO DE PESO",IF(CI137="SD","INGRESAR DATO DE TALLA Y PESO",IF(AND(OR(Tabla1[[#This Row],[MOMENTO EN QUE SE REALIZA EL PESO AL INGRESO A CPN]]="PREGESTACIÓN",NZ137="Menor"),CI137&lt;18.5),"BAJO PESO",IF(AND(OR(Tabla1[[#This Row],[MOMENTO EN QUE SE REALIZA EL PESO AL INGRESO A CPN]]="PREGESTACIÓN",NZ137="Menor"),CI137&lt;25),"NORMAL",IF(AND(OR(Tabla1[[#This Row],[MOMENTO EN QUE SE REALIZA EL PESO AL INGRESO A CPN]]="PREGESTACIÓN",NZ137="Menor"),CI137&lt;30),"SOBREPESO",IF(AND(OR(Tabla1[[#This Row],[MOMENTO EN QUE SE REALIZA EL PESO AL INGRESO A CPN]]="PREGESTACIÓN",NZ137="Menor"),CI137&gt;=30,CI137&lt;50),"OBESIDAD",IF(AND(BS137&gt;0,Tabla1[[#This Row],[MOMENTO EN QUE SE REALIZA EL PESO AL INGRESO A CPN]]="GESTACIÓN"),HLOOKUP(NZ137,$OA$2:PH137,NY137),""))))))))</f>
        <v>SOBREPESO</v>
      </c>
      <c r="CK137" s="212">
        <f t="shared" si="608"/>
        <v>45142</v>
      </c>
      <c r="CL137" s="21">
        <v>72.5</v>
      </c>
      <c r="CM137" s="214">
        <f t="shared" si="609"/>
        <v>28.320312499999993</v>
      </c>
      <c r="CN137" s="216">
        <f t="shared" si="610"/>
        <v>23</v>
      </c>
      <c r="CO137" s="216" t="e">
        <f>IF(PI137="","",IF(PI137&gt;0,HLOOKUP(PI137,$PJ$2:QQ137,NY137),""))</f>
        <v>#REF!</v>
      </c>
      <c r="CP137" s="21">
        <v>22</v>
      </c>
      <c r="CQ137" s="216" t="e">
        <f>IF(QR137="Menor","NO APLICA-MENOR 13 SEM",IF(AND(CC137="SI",CN137&gt;23),"NO APLICA- GEMELAR",IF(QR137="","",IF(QR137&gt;0,HLOOKUP(QR137,$QS$2:RU137,NY137),""))))</f>
        <v>#REF!</v>
      </c>
      <c r="CR137" s="21">
        <v>90</v>
      </c>
      <c r="CS137" s="21">
        <v>60</v>
      </c>
      <c r="CT137" s="217" t="str">
        <f>IF(R137="","",IF(AND(BS137&gt;1,BS137&lt;12,Tabla1[[#This Row],[T.A. SISTOLICA - ANTES DE SEMANA 12]]="",Tabla1[[#This Row],[T.A. DIASTOLICA - ANTES DE SEMANA 12]]=""),"REGISTRE DATO TA ANTES SEMANA 12",IF(AND(BS137&gt;11,BS137&lt;43,Tabla1[[#This Row],[T.A. SISTOLICA - ANTES DE SEMANA 12]]="",Tabla1[[#This Row],[T.A. DIASTOLICA - ANTES DE SEMANA 12]]=""),"NO APLICA REGISTRO TA-INGRESO TARDIO",IF(AND(OR(O137&gt;0,R137&gt;0),OR(CR137&gt;=140,CS137&gt;=90)),"DEFINIR ESTADIO HTA",IF(AND(OR(O137&gt;0,R137&gt;0),AND(CR137&gt;120,CR137&lt;=139)),"PRE HTA SEGUIMIENTO",IF(AND(OR(O137&gt;0,R137&gt;0),AND(CS137&gt;80,CS137&lt;=89)),"PRE HTA SEGUIMIENTO",IF(AND(OR(O137&gt;0,R137&gt;0),AND(CR137&gt;=80,CR137&lt;=120)),"APARENTEMENTE NORMAL",IF(AND(OR(O137&gt;0,R137&gt;0),AND(CS137&gt;=50,CS137&lt;=80)),"APARENTEMENTE NORMAL",IF(AND(OR(O137&gt;0,R137&gt;0),AND(CR137&gt;1,CR137&lt;=70),AND(CS137&gt;1,CS137&lt;=40)),"HIPOTENSIÓN","")))))))))</f>
        <v>APARENTEMENTE NORMAL</v>
      </c>
      <c r="CU137" s="21">
        <v>120</v>
      </c>
      <c r="CV137" s="21">
        <v>70</v>
      </c>
      <c r="CW137" s="217" t="str">
        <f ca="1">IF(R137="","",IF(AND(CN137&gt;19,CN137&lt;27,Tabla1[[#This Row],[T.A. SISTOLICA (Entre semana 20 y 26)]]="",Tabla1[[#This Row],[T.A. DIATOLICA (Entre semana 20 y 26)]]=""),"ACUDE A CONTROL SEM 20 A 26 REGISTRE TA AHORA",IF(AND(BS137&gt;1,BS137&lt;27,BU137&gt;19,Tabla1[[#This Row],[T.A. SISTOLICA (Entre semana 20 y 26)]]="",Tabla1[[#This Row],[T.A. DIATOLICA (Entre semana 20 y 26)]]=""),"COMPLETE REGISTRO TA CONTROL SEM 20 A26 ",IF(AND(BS137&gt;26,BS137&lt;43,Tabla1[[#This Row],[T.A. SISTOLICA (Entre semana 20 y 26)]]="",Tabla1[[#This Row],[T.A. DIATOLICA (Entre semana 20 y 26)]]=""),"NO APLICA REGISTRO TA-INGRESO TARDIO",IF(AND(OR(O137&gt;0,R137&gt;0),OR(CU137&gt;=140,CV137&gt;=90)),"ALTO RIESGO PREECLAMPSIA,DEFINIR ESTADIO HTA",IF(AND(OR(O137&gt;0,R137&gt;0),AND(CU137&gt;120,CU137&lt;=139)),"PRE HTA SEGUIMIENTO,RIESGO HIPERTENSION INDUCIDA POR EL EMBARAZO",IF(AND(OR(O137&gt;0,R137&gt;0),AND(CV137&gt;80,CV137&lt;=89)),"PRE HTA SEGUIMIENTO, RIESGO HIPERTENSION INDUCIDA POR EL EMBARAZO",IF(AND(OR(O137&lt;&gt;"",R137&lt;&gt;""),CS137&lt;&gt;"",CV137&lt;&gt;"",CS137&lt;=CV137),"VIGILAR CIFRAS PRESION ARTERIAL",IF(AND(OR(O137&gt;0,R137&gt;0),AND(CU137&gt;120,CU137&lt;=139)),"PRE HTA SEGUIMIENTO",IF(AND(OR(O137&gt;0,R137&gt;0),AND(CU137&gt;1,CU137&lt;=70),AND(CV137&gt;1,CV137&lt;=40)),"HIPOTENSIÓN",IF(AND(OR(O137&lt;&gt;"",R137&lt;&gt;""),CS137&lt;&gt;"",CV137&lt;&gt;"",CS137&gt;CV137),"APARENTEMENTE NORMAL",IF(AND(OR(O137&gt;0,R137&gt;0),AND(CU137&gt;=80,CU137&lt;=120)),"APARENTEMENTE NORMAL",IF(AND(OR(O137&gt;0,R137&gt;0),AND(CV137&gt;=50,CV137&lt;=80)),"APARENTEMENTE NORMAL","")))))))))))))</f>
        <v>VIGILAR CIFRAS PRESION ARTERIAL</v>
      </c>
      <c r="CX137" s="21"/>
      <c r="CY137" s="21"/>
      <c r="CZ137" s="216" t="str">
        <f t="shared" si="499"/>
        <v/>
      </c>
      <c r="DA137" s="21">
        <v>110</v>
      </c>
      <c r="DB137" s="21">
        <v>70</v>
      </c>
      <c r="DC137" s="217" t="str">
        <f t="shared" si="611"/>
        <v>APARENTEMENTE NORMAL</v>
      </c>
      <c r="DD137" s="22">
        <v>45015</v>
      </c>
      <c r="DE137" s="22">
        <v>45015</v>
      </c>
      <c r="DF137" s="22">
        <v>45051</v>
      </c>
      <c r="DG137" s="22">
        <v>45092</v>
      </c>
      <c r="DH137" s="22">
        <v>45115</v>
      </c>
      <c r="DI137" s="22">
        <v>45142</v>
      </c>
      <c r="DJ137" s="22"/>
      <c r="DK137" s="22"/>
      <c r="DL137" s="22"/>
      <c r="DM137" s="22"/>
      <c r="DN137" s="22"/>
      <c r="DO137" s="22"/>
      <c r="DP137" s="22"/>
      <c r="DQ137" s="22"/>
      <c r="DR137" s="28">
        <v>1</v>
      </c>
      <c r="DS137" s="22"/>
      <c r="DT137" s="22"/>
      <c r="DU137" s="216" t="str">
        <f t="shared" ca="1" si="439"/>
        <v>CONCERTAR PLAN DE PARTO INMEDIATO</v>
      </c>
      <c r="DV137" s="226" t="str">
        <f t="shared" si="440"/>
        <v>ACTIVA INGRESO A CPN</v>
      </c>
      <c r="DW13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37" s="216" t="e">
        <f t="shared" ca="1" si="612"/>
        <v>#REF!</v>
      </c>
      <c r="DY137" s="212">
        <f>IF(R137="","",IF(R137&gt;0,MAX(Tabla1[[#This Row],[FECHA C2]:[FECHA C13]],Tabla1[[#This Row],[FECHA CONSULTA PRIMERA VEZ PROGRAMA CPN ]])))</f>
        <v>45142</v>
      </c>
      <c r="DZ137" s="216">
        <f t="shared" si="613"/>
        <v>23</v>
      </c>
      <c r="EA137" s="222">
        <f>IF(R137&gt;0,SUM(COUNTA(DF137:DQ137)+COUNTA(Tabla1[[#This Row],[FECHA CONSULTA PRIMERA VEZ PROGRAMA CPN ]])),"")</f>
        <v>5</v>
      </c>
      <c r="EB137" s="222" t="str">
        <f t="shared" si="614"/>
        <v>SI</v>
      </c>
      <c r="EC137" s="214">
        <f t="shared" si="615"/>
        <v>10</v>
      </c>
      <c r="ED137" s="227">
        <f t="shared" si="616"/>
        <v>0.5</v>
      </c>
      <c r="EE137" s="22">
        <v>45015</v>
      </c>
      <c r="EF137" s="22">
        <v>45015</v>
      </c>
      <c r="EG137" s="22">
        <v>45015</v>
      </c>
      <c r="EH137" s="22">
        <v>45035</v>
      </c>
      <c r="EI137" s="22">
        <v>45015</v>
      </c>
      <c r="EJ137" s="22">
        <v>45035</v>
      </c>
      <c r="EK137" s="344">
        <v>45035</v>
      </c>
      <c r="EL137" s="21"/>
      <c r="EM137" s="21">
        <v>13</v>
      </c>
      <c r="EN137" s="22">
        <v>45015</v>
      </c>
      <c r="EO137" s="222">
        <f t="shared" si="617"/>
        <v>4.8571428571428568</v>
      </c>
      <c r="EP137" s="214" t="str">
        <f t="shared" si="618"/>
        <v>NORMAL- SUMINISTRAR SULFATO FERROSO</v>
      </c>
      <c r="EQ137" s="216" t="str">
        <f t="shared" si="619"/>
        <v>I TRIM</v>
      </c>
      <c r="ER137" s="24"/>
      <c r="ES137" s="22"/>
      <c r="ET137" s="29" t="str">
        <f t="shared" ca="1" si="441"/>
        <v>TOMA DE HEMOGLOBINA TARDÍA</v>
      </c>
      <c r="EU137" s="25" t="str">
        <f t="shared" si="620"/>
        <v/>
      </c>
      <c r="EV137" s="24" t="s">
        <v>1510</v>
      </c>
      <c r="EW137" s="32">
        <v>45015</v>
      </c>
      <c r="EX137" s="22"/>
      <c r="EY137" s="29">
        <f t="shared" si="454"/>
        <v>4.8571428571428568</v>
      </c>
      <c r="EZ137" s="25" t="str">
        <f t="shared" si="455"/>
        <v>SIN RIESGO DE ISOINMUNIZACIÓN</v>
      </c>
      <c r="FA137" s="21">
        <v>66</v>
      </c>
      <c r="FB137" s="22">
        <v>45016</v>
      </c>
      <c r="FC137" s="29">
        <f t="shared" si="621"/>
        <v>5</v>
      </c>
      <c r="FD137" s="29"/>
      <c r="FE137" s="29"/>
      <c r="FF137" s="29"/>
      <c r="FG137" s="21" t="str">
        <f t="shared" ca="1" si="622"/>
        <v>TOMAR PTOG</v>
      </c>
      <c r="FH137" s="31"/>
      <c r="FI137" s="29" t="str">
        <f t="shared" si="623"/>
        <v>TOMAR EXAMEN</v>
      </c>
      <c r="FJ137" s="22" t="s">
        <v>867</v>
      </c>
      <c r="FK137" s="22">
        <v>45015</v>
      </c>
      <c r="FL137" s="29">
        <f t="shared" ca="1" si="624"/>
        <v>4.8571428571428568</v>
      </c>
      <c r="FM137" s="22"/>
      <c r="FN137" s="32"/>
      <c r="FO137" s="29" t="str">
        <f t="shared" ca="1" si="442"/>
        <v>PIERDE TOMA DE TAMIZAJE</v>
      </c>
      <c r="FP137" s="22"/>
      <c r="FQ137" s="32"/>
      <c r="FR137" s="29" t="str">
        <f t="shared" ca="1" si="443"/>
        <v>TOMA INMEDIATA DE TAMIZAJE</v>
      </c>
      <c r="FS137" s="22"/>
      <c r="FT137" s="32"/>
      <c r="FU137" s="29" t="str">
        <f>IF(AND(FJ137="",FM137="",FP137="",FS137=""),"",IF(OR(OR(Tabla1[[#This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37" s="28"/>
      <c r="FW137" s="22"/>
      <c r="FX137" s="29" t="str">
        <f t="shared" si="625"/>
        <v>TOMAR EXAMEN</v>
      </c>
      <c r="FY137" s="22">
        <v>45015</v>
      </c>
      <c r="FZ137" s="22">
        <v>45015</v>
      </c>
      <c r="GA137" s="29">
        <f t="shared" ca="1" si="498"/>
        <v>4.8571428571428568</v>
      </c>
      <c r="GB137" s="22"/>
      <c r="GC137" s="22"/>
      <c r="GD137" s="29" t="str">
        <f t="shared" ca="1" si="491"/>
        <v>PIERDE TOMA DE TAMIZAJE</v>
      </c>
      <c r="GE137" s="22"/>
      <c r="GF137" s="22"/>
      <c r="GG137" s="29" t="str">
        <f t="shared" ca="1" si="445"/>
        <v>TOMA INMEDIATA DE TAMIZAJE</v>
      </c>
      <c r="GH137" s="22"/>
      <c r="GI137" s="29"/>
      <c r="GJ137" s="22"/>
      <c r="GK137" s="22"/>
      <c r="GL137" s="22"/>
      <c r="GM137" s="22"/>
      <c r="GN137" s="28" t="s">
        <v>869</v>
      </c>
      <c r="GO137" s="22">
        <v>45019</v>
      </c>
      <c r="GP137" s="29">
        <f t="shared" si="626"/>
        <v>5.4285714285714288</v>
      </c>
      <c r="GQ137" s="28" t="s">
        <v>869</v>
      </c>
      <c r="GR137" s="28" t="s">
        <v>869</v>
      </c>
      <c r="GS137" s="22" t="str">
        <f t="shared" si="627"/>
        <v>CONTROL Igm</v>
      </c>
      <c r="GT137" s="22">
        <v>45015</v>
      </c>
      <c r="GU137" s="29">
        <f t="shared" si="628"/>
        <v>4.8571428571428568</v>
      </c>
      <c r="GV137" s="21" t="str">
        <f t="shared" si="629"/>
        <v>I TRIM</v>
      </c>
      <c r="GW137" s="28" t="s">
        <v>869</v>
      </c>
      <c r="GX137" s="30"/>
      <c r="GY137" s="21"/>
      <c r="GZ137" s="21"/>
      <c r="HA137" s="21"/>
      <c r="HB137" s="21"/>
      <c r="HC137" s="21"/>
      <c r="HD137" s="21"/>
      <c r="HE137" s="21"/>
      <c r="HF137" s="22"/>
      <c r="HG137" s="22" t="str">
        <f>IF(OR(O137&gt;0,R137&gt;0),CONCATENATE(IF(Tabla1[[#This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37" s="22" t="e">
        <f t="shared" si="630"/>
        <v>#REF!</v>
      </c>
      <c r="HI137" s="22" t="e">
        <f t="shared" ca="1" si="631"/>
        <v>#REF!</v>
      </c>
      <c r="HJ137" s="21" t="str">
        <f t="shared" ca="1" si="632"/>
        <v>***************************************</v>
      </c>
      <c r="HK137" s="21" t="str">
        <f t="shared" si="633"/>
        <v>SIN ANTECEDENTES DE RIESGO</v>
      </c>
      <c r="HL137" s="24" t="str">
        <f t="shared" si="634"/>
        <v>APARENTEMENTE NORMAL</v>
      </c>
      <c r="HM137" s="21" t="e">
        <f t="shared" ca="1" si="635"/>
        <v>#REF!</v>
      </c>
      <c r="HN137" s="30" t="str">
        <f t="shared" si="446"/>
        <v>ACTIVA INGRESO A CPN</v>
      </c>
      <c r="HO137" s="21"/>
      <c r="HP137" s="21"/>
      <c r="HQ137" s="349"/>
      <c r="HR137" s="21" t="str">
        <f>IF(R137="","",IF(Tabla1[[#This Row],[ALARMA FACTORES DE RIESGO COMPLICACIONES HIPERTENSIVAS3]]="SIN ANTECEDENTES DE RIESGO","No Aplica para suministro de ASA",IF(AND(Tabla1[[#This Row],[FECHA INICIO DE SUMINISTRO DE ASA]]&gt;0,RV137&lt;12),"Inicia ASA ANTES de Sem 12",IF(AND(RV137&gt;11,RV137&lt;17,OR(HK137="RIESGO ALTO DE COMPLICACIONES HIPERTENSIVAS VER MANEJO GUIA SUMINISTRO ASA Y CALCIO",HK137="RIESGO MODERADO (2 O MAS CRITERIOS) VER MANEJO GUIA SUMINISTRO ASA Y CALCIO")),"Inicio oportuno de ASA",IF(AND(RV137&gt;12,OR(HK137="RIESGO ALTO DE COMPLICACIONES HIPERTENSIVAS VER MANEJO GUIA SUMINISTRO ASA Y CALCIO",HK137="RIESGO MODERADO (2 O MAS CRITERIOS) VER MANEJO GUIA SUMINISTRO ASA Y CALCIO")),"Inicio no oportuno mayor a 16 semanas",IF(AND(BU137&lt;12,OR(HK137="RIESGO ALTO DE COMPLICACIONES HIPERTENSIVAS VER MANEJO GUIA SUMINISTRO ASA Y CALCIO",HK137="RIESGO MODERADO (2 O MAS CRITERIOS) VER MANEJO GUIA SUMINISTRO ASA Y CALCIO")),"Pendiente Inicio de ASA a la semana 12",IF(AND(BU137&gt;11,BU137&lt;17,OR(HK137="RIESGO ALTO DE COMPLICACIONES HIPERTENSIVAS VER MANEJO GUIA SUMINISTRO ASA Y CALCIO",HK137="RIESGO MODERADO (2 O MAS CRITERIOS) VER MANEJO GUIA SUMINISTRO ASA Y CALCIO")),"Iniciar de inmediato ASA",IF(AND(BU137&gt;16,OR(HK137="RIESGO ALTO DE COMPLICACIONES HIPERTENSIVAS VER MANEJO GUIA SUMINISTRO ASA Y CALCIO",HK137="RIESGO MODERADO (2 O MAS CRITERIOS) VER MANEJO GUIA SUMINISTRO ASA Y CALCIO")),"Pierde Oportunidad, Inicio tardío de ASA","XXXXX"))))))))</f>
        <v>No Aplica para suministro de ASA</v>
      </c>
      <c r="HS137" s="22">
        <v>45015</v>
      </c>
      <c r="HT137" s="22" t="s">
        <v>870</v>
      </c>
      <c r="HU137" s="22">
        <v>45015</v>
      </c>
      <c r="HV137" s="22" t="s">
        <v>870</v>
      </c>
      <c r="HW137" s="22"/>
      <c r="HX137" s="22"/>
      <c r="HY137" s="22">
        <v>45015</v>
      </c>
      <c r="HZ137" s="28">
        <f t="shared" si="636"/>
        <v>4.8571428571428568</v>
      </c>
      <c r="IA137" s="26" t="s">
        <v>864</v>
      </c>
      <c r="IB137" s="26"/>
      <c r="IC137" s="111"/>
      <c r="ID137" s="22"/>
      <c r="IE137" s="22" t="str">
        <f t="shared" ca="1" si="637"/>
        <v>INASISTENTE</v>
      </c>
      <c r="IF137" s="22"/>
      <c r="IG137" s="22">
        <f t="shared" si="638"/>
        <v>45261</v>
      </c>
      <c r="IH137" s="29">
        <f t="shared" ca="1" si="639"/>
        <v>29</v>
      </c>
      <c r="II137" s="22" t="str">
        <f t="shared" ca="1" si="640"/>
        <v>PENDIENTE</v>
      </c>
      <c r="IJ137" s="22"/>
      <c r="IK137" s="21"/>
      <c r="IL137" s="21"/>
      <c r="IM137" s="34"/>
      <c r="IN137" s="22"/>
      <c r="IO137" s="21"/>
      <c r="IP137" s="29" t="str">
        <f t="shared" si="490"/>
        <v/>
      </c>
      <c r="IQ137" s="35"/>
      <c r="IR137" s="21"/>
      <c r="IS137" s="21"/>
      <c r="IT137" s="21"/>
      <c r="IU137" s="21"/>
      <c r="IV137" s="21"/>
      <c r="IW137" s="21"/>
      <c r="IX137" s="21"/>
      <c r="IY137" s="21"/>
      <c r="IZ137" s="21"/>
      <c r="JA137" s="21"/>
      <c r="JB137" s="30"/>
      <c r="JC137" s="21"/>
      <c r="JD137" s="36"/>
      <c r="JE137" s="21" t="str">
        <f t="shared" si="492"/>
        <v/>
      </c>
      <c r="JF137" s="30"/>
      <c r="JG137" s="21"/>
      <c r="JH137" s="21"/>
      <c r="JI137" s="21"/>
      <c r="JJ137" s="30"/>
      <c r="JK137" s="22"/>
      <c r="JL137" s="22"/>
      <c r="JM137" s="21"/>
      <c r="JN137" s="36"/>
      <c r="JO137" s="21" t="str">
        <f t="shared" si="493"/>
        <v/>
      </c>
      <c r="JP137" s="22"/>
      <c r="JQ137" s="21"/>
      <c r="JR137" s="21"/>
      <c r="JS137" s="21"/>
      <c r="JT137" s="30"/>
      <c r="JU137" s="22"/>
      <c r="JV137" s="22"/>
      <c r="JW137" s="33"/>
      <c r="JX137" s="28" t="str">
        <f t="shared" si="494"/>
        <v/>
      </c>
      <c r="JY137" s="33"/>
      <c r="JZ137" s="28" t="str">
        <f t="shared" si="495"/>
        <v/>
      </c>
      <c r="KA137" s="21"/>
      <c r="KB137" s="21"/>
      <c r="KC137" s="21"/>
      <c r="KD137" s="37"/>
      <c r="KE137" s="28"/>
      <c r="KF137" s="28"/>
      <c r="KG137" s="28"/>
      <c r="KH137" s="39"/>
      <c r="KI137" s="39"/>
      <c r="KJ137" s="66"/>
      <c r="KK137" s="39"/>
      <c r="KL137" s="39"/>
      <c r="KM137" s="66"/>
      <c r="KN137" s="39"/>
      <c r="KO137" s="39"/>
      <c r="KP137" s="39"/>
      <c r="KQ137" s="39"/>
      <c r="KR137" s="39"/>
      <c r="KS137" s="39"/>
      <c r="KT137" s="39"/>
      <c r="KU137" s="38"/>
      <c r="KV137" s="38"/>
      <c r="KW137" s="38"/>
      <c r="KX137" s="38"/>
      <c r="KY137" s="38"/>
      <c r="KZ137" s="38"/>
      <c r="LA137" s="38"/>
      <c r="LB137" s="38"/>
      <c r="LC137" s="38"/>
      <c r="LD137" s="38"/>
      <c r="LE137" s="38"/>
      <c r="LF137" s="38"/>
      <c r="LG137" s="38"/>
      <c r="LH137" s="38"/>
      <c r="LI137" s="38"/>
      <c r="LJ137" s="38"/>
      <c r="LK137" s="38"/>
      <c r="LL137" s="38"/>
      <c r="LM137" s="38"/>
      <c r="LN137" s="38"/>
      <c r="LO137" s="38"/>
      <c r="LP137" s="38"/>
      <c r="LQ137" s="38"/>
      <c r="LR137" s="38"/>
      <c r="LS137" s="38"/>
      <c r="LT137" s="38"/>
      <c r="LU137" s="38"/>
      <c r="LV137" s="38"/>
      <c r="LW137" s="38"/>
      <c r="LX137" s="38"/>
      <c r="LY137" s="38"/>
      <c r="LZ137" s="38"/>
      <c r="MA137" s="38"/>
      <c r="MB137" s="38"/>
      <c r="MC137" s="38"/>
      <c r="MD137" s="38"/>
      <c r="ME137" s="38"/>
      <c r="MF137" s="38"/>
      <c r="MG137" s="38"/>
      <c r="MH137" s="43">
        <f t="shared" si="641"/>
        <v>0</v>
      </c>
      <c r="MI137" s="43" t="str">
        <f t="shared" si="642"/>
        <v/>
      </c>
      <c r="MJ137" s="43" t="str">
        <f t="shared" si="643"/>
        <v/>
      </c>
      <c r="MK137" s="43">
        <f t="shared" si="644"/>
        <v>0</v>
      </c>
      <c r="ML13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37" s="43">
        <f t="shared" si="645"/>
        <v>4.8571428571428568</v>
      </c>
      <c r="MN137" s="43">
        <f t="shared" si="646"/>
        <v>3</v>
      </c>
      <c r="MO137" s="43">
        <f t="shared" si="647"/>
        <v>2023</v>
      </c>
      <c r="MP137" s="43" t="str">
        <f t="shared" si="648"/>
        <v>I TRIMESTRE AÑO</v>
      </c>
      <c r="MQ137" s="43">
        <f t="shared" si="649"/>
        <v>29.31723609286027</v>
      </c>
      <c r="MR137" s="43">
        <f t="shared" si="650"/>
        <v>0</v>
      </c>
      <c r="MS137" s="43" t="str">
        <f t="shared" si="651"/>
        <v xml:space="preserve"> DE 25 A 29 AÑOS</v>
      </c>
      <c r="MT137" s="43">
        <f t="shared" si="652"/>
        <v>0</v>
      </c>
      <c r="MU137" s="43">
        <f t="shared" si="653"/>
        <v>0</v>
      </c>
      <c r="MV137" s="43">
        <f t="shared" si="654"/>
        <v>0</v>
      </c>
      <c r="MW137" s="43">
        <f t="shared" si="655"/>
        <v>0</v>
      </c>
      <c r="MX137" s="43" t="str">
        <f t="shared" si="656"/>
        <v/>
      </c>
      <c r="MY137" s="43" t="str">
        <f t="shared" ca="1" si="496"/>
        <v/>
      </c>
      <c r="MZ137" s="43" t="str">
        <f t="shared" si="657"/>
        <v/>
      </c>
      <c r="NA137" s="43" t="str">
        <f t="shared" si="658"/>
        <v/>
      </c>
      <c r="NB137" s="43" t="str">
        <f t="shared" si="659"/>
        <v/>
      </c>
      <c r="NC137" s="43" t="str">
        <f t="shared" si="660"/>
        <v/>
      </c>
      <c r="ND137" s="43">
        <f t="shared" ca="1" si="661"/>
        <v>0</v>
      </c>
      <c r="NE137" s="43">
        <f>IF(OR(O137&gt;0,R137&gt;0),SUM(COUNTIF(Tabla1[[#This Row],[AÑOS AL INICIO5 CPN]],"&gt;=40"),COUNTIF(AS137,"0"),COUNTIF(AR137,"SI"),COUNTIF(CC137,"SI"),COUNTIF(BQ137,"&gt;119"),COUNTIF(CI137,"&gt;=35")),"")</f>
        <v>0</v>
      </c>
      <c r="NF137" s="43" t="str">
        <f t="shared" si="662"/>
        <v/>
      </c>
      <c r="NG137" s="43">
        <f t="shared" si="663"/>
        <v>0</v>
      </c>
      <c r="NH137" s="43">
        <f t="shared" si="664"/>
        <v>35</v>
      </c>
      <c r="NI13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CPN",P137="NO"),"Z",IF(AND(Tabla1[[#This Row],[CITA PROXIMO CONTROL]]="CITA MANUAL",Tabla1[[#This Row],[GESTANTES ACTUALES]]="ACTIVA INGRESO A CPN"),"W",IF(AND(Tabla1[[#This Row],[GESTANTES ACTUALES]]="SALIO PROGRAMA",IN137=""),"S",IF(AND(Tabla1[[#This Row],[CITA PROXIMO CONTROL]]&gt;0,IN137=""),(Tabla1[[#This Row],[CITA PROXIMO CONTROL]]-TODAY()),"SD"))))))))</f>
        <v>#REF!</v>
      </c>
      <c r="NJ137" s="43">
        <f>MONTH(Tabla1[[#This Row],[FECHA DE SALIDA  DEL PROGRAMA]])</f>
        <v>1</v>
      </c>
      <c r="NK137" s="43">
        <f>YEAR(Tabla1[[#This Row],[FECHA DE SALIDA  DEL PROGRAMA]])</f>
        <v>1900</v>
      </c>
      <c r="NL137" s="43">
        <f t="shared" si="665"/>
        <v>20</v>
      </c>
      <c r="NM137" s="43" t="str">
        <f t="shared" si="501"/>
        <v>NO</v>
      </c>
      <c r="NN137" s="43" t="str">
        <f ca="1">IF(AND(O137&gt;0,R137=""),"NO CPN",IF(AND(O137="",R137=""),"",IF(AND(R137&gt;0,Tabla1[[#This Row],[SEMANAS DE GESTACION ACTUALIZADAS]]&lt;=12),"NO APLICA",IF(AND(FH137&lt;&gt;"",FN137&lt;&gt;""),"SI","NO"))))</f>
        <v>NO</v>
      </c>
      <c r="NO137" s="43" t="str">
        <f ca="1">IF(AND(O137&gt;0,R137=""),"NO CPN",IF(AND(O137="",R137=""),"",IF(AND(R137&gt;0,Tabla1[[#This Row],[SEMANAS DE GESTACION ACTUALIZADAS]]&lt;=27),"NO APLICA",IF(AND(ES137&lt;&gt;"",FQ137&lt;&gt;"",GF137&lt;&gt;""),"SI","NO"))))</f>
        <v>NO</v>
      </c>
      <c r="NP137" s="204" t="str">
        <f t="shared" si="666"/>
        <v>I TRIM</v>
      </c>
      <c r="NQ137" s="21" t="str">
        <f t="shared" si="500"/>
        <v/>
      </c>
      <c r="NR137" s="21">
        <f t="shared" ca="1" si="497"/>
        <v>3</v>
      </c>
      <c r="NS137" s="205">
        <f t="shared" ca="1" si="667"/>
        <v>1</v>
      </c>
      <c r="NT137" s="21">
        <f t="shared" ca="1" si="668"/>
        <v>1</v>
      </c>
      <c r="NU137" s="21" t="str">
        <f t="shared" ca="1" si="669"/>
        <v>INCOMPLETO</v>
      </c>
      <c r="NV137" s="21" t="str">
        <f t="shared" ca="1" si="670"/>
        <v>INCOMPLETO</v>
      </c>
      <c r="NW137" s="206" t="str">
        <f>IF(AND(O137="",R137=""),"",IF(OR(AND(Tabla1[[#This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37" s="207" t="str">
        <f t="shared" ca="1" si="671"/>
        <v>SIN VACUNAR</v>
      </c>
      <c r="NY137" s="43">
        <f>ROW(Tabla1[[#This Row],['# DE TAMIZAJES SIFILIS TOMADOS ]])</f>
        <v>137</v>
      </c>
      <c r="NZ137" s="43" t="str">
        <f t="shared" si="502"/>
        <v>Menor</v>
      </c>
      <c r="OA137" s="43" t="str">
        <f t="shared" si="503"/>
        <v>SOBREPESO</v>
      </c>
      <c r="OB137" s="43" t="str">
        <f t="shared" si="504"/>
        <v/>
      </c>
      <c r="OC137" s="43" t="str">
        <f t="shared" si="505"/>
        <v/>
      </c>
      <c r="OD137" s="43" t="str">
        <f t="shared" si="506"/>
        <v/>
      </c>
      <c r="OE137" s="43" t="str">
        <f t="shared" si="507"/>
        <v/>
      </c>
      <c r="OF137" s="43" t="str">
        <f t="shared" si="508"/>
        <v/>
      </c>
      <c r="OG137" s="43" t="str">
        <f t="shared" si="509"/>
        <v/>
      </c>
      <c r="OH137" s="43" t="str">
        <f t="shared" si="510"/>
        <v/>
      </c>
      <c r="OI137" s="43" t="str">
        <f t="shared" si="511"/>
        <v/>
      </c>
      <c r="OJ137" s="43" t="str">
        <f t="shared" si="512"/>
        <v/>
      </c>
      <c r="OK137" s="43" t="str">
        <f t="shared" si="513"/>
        <v/>
      </c>
      <c r="OL137" s="43" t="str">
        <f t="shared" si="514"/>
        <v/>
      </c>
      <c r="OM137" s="43" t="str">
        <f t="shared" si="515"/>
        <v/>
      </c>
      <c r="ON137" s="43" t="str">
        <f t="shared" si="516"/>
        <v/>
      </c>
      <c r="OO137" s="43" t="str">
        <f t="shared" si="517"/>
        <v/>
      </c>
      <c r="OP137" s="43" t="str">
        <f t="shared" si="518"/>
        <v/>
      </c>
      <c r="OQ137" s="43" t="str">
        <f t="shared" si="519"/>
        <v/>
      </c>
      <c r="OR137" s="43" t="str">
        <f t="shared" si="520"/>
        <v/>
      </c>
      <c r="OS137" s="43" t="str">
        <f t="shared" si="521"/>
        <v/>
      </c>
      <c r="OT137" s="43" t="str">
        <f t="shared" si="522"/>
        <v/>
      </c>
      <c r="OU137" s="43" t="str">
        <f t="shared" si="523"/>
        <v/>
      </c>
      <c r="OV137" s="110" t="str">
        <f t="shared" si="524"/>
        <v/>
      </c>
      <c r="OW137" s="43" t="str">
        <f t="shared" si="525"/>
        <v/>
      </c>
      <c r="OX137" s="43" t="str">
        <f t="shared" si="526"/>
        <v/>
      </c>
      <c r="OY137" s="43" t="str">
        <f t="shared" si="527"/>
        <v/>
      </c>
      <c r="OZ137" s="43" t="str">
        <f t="shared" si="528"/>
        <v/>
      </c>
      <c r="PA137" s="43" t="str">
        <f t="shared" si="529"/>
        <v/>
      </c>
      <c r="PB137" s="43" t="str">
        <f t="shared" si="530"/>
        <v/>
      </c>
      <c r="PC137" s="43" t="str">
        <f t="shared" si="531"/>
        <v/>
      </c>
      <c r="PD137" s="43" t="str">
        <f t="shared" si="532"/>
        <v/>
      </c>
      <c r="PE137" s="43" t="str">
        <f t="shared" si="533"/>
        <v/>
      </c>
      <c r="PF137" s="43" t="str">
        <f t="shared" si="534"/>
        <v/>
      </c>
      <c r="PG137" s="43" t="str">
        <f t="shared" si="535"/>
        <v/>
      </c>
      <c r="PH137" s="43" t="str">
        <f t="shared" si="536"/>
        <v/>
      </c>
      <c r="PI137" s="43">
        <f t="shared" si="537"/>
        <v>23</v>
      </c>
      <c r="PJ137" s="43" t="str">
        <f t="shared" si="538"/>
        <v/>
      </c>
      <c r="PK137" s="43" t="str">
        <f t="shared" si="539"/>
        <v/>
      </c>
      <c r="PL137" s="43" t="str">
        <f t="shared" si="540"/>
        <v/>
      </c>
      <c r="PM137" s="43" t="str">
        <f t="shared" si="541"/>
        <v/>
      </c>
      <c r="PN137" s="43" t="str">
        <f t="shared" si="542"/>
        <v/>
      </c>
      <c r="PO137" s="43" t="str">
        <f t="shared" si="543"/>
        <v/>
      </c>
      <c r="PP137" s="43" t="str">
        <f t="shared" si="544"/>
        <v/>
      </c>
      <c r="PQ137" s="43" t="str">
        <f t="shared" si="545"/>
        <v/>
      </c>
      <c r="PR137" s="43" t="str">
        <f t="shared" si="546"/>
        <v/>
      </c>
      <c r="PS137" s="43" t="str">
        <f t="shared" si="547"/>
        <v/>
      </c>
      <c r="PT137" s="43" t="str">
        <f t="shared" si="548"/>
        <v/>
      </c>
      <c r="PU137" s="43" t="str">
        <f t="shared" si="549"/>
        <v/>
      </c>
      <c r="PV137" s="43" t="str">
        <f t="shared" si="550"/>
        <v/>
      </c>
      <c r="PW137" s="43" t="str">
        <f t="shared" si="551"/>
        <v/>
      </c>
      <c r="PX137" s="43" t="str">
        <f t="shared" si="552"/>
        <v>SOBREPESO</v>
      </c>
      <c r="PY137" s="43" t="str">
        <f t="shared" si="553"/>
        <v/>
      </c>
      <c r="PZ137" s="43" t="str">
        <f t="shared" si="554"/>
        <v/>
      </c>
      <c r="QA137" s="43" t="str">
        <f t="shared" si="555"/>
        <v/>
      </c>
      <c r="QB137" s="43" t="str">
        <f t="shared" si="556"/>
        <v/>
      </c>
      <c r="QC137" s="43" t="str">
        <f t="shared" si="557"/>
        <v/>
      </c>
      <c r="QD137" s="43" t="str">
        <f t="shared" si="558"/>
        <v/>
      </c>
      <c r="QE137" s="43" t="str">
        <f t="shared" si="559"/>
        <v/>
      </c>
      <c r="QF137" s="43" t="str">
        <f t="shared" si="560"/>
        <v/>
      </c>
      <c r="QG137" s="43" t="str">
        <f t="shared" si="561"/>
        <v/>
      </c>
      <c r="QH137" s="43" t="str">
        <f t="shared" si="562"/>
        <v/>
      </c>
      <c r="QI137" s="43" t="str">
        <f t="shared" si="563"/>
        <v/>
      </c>
      <c r="QJ137" s="43" t="str">
        <f t="shared" si="564"/>
        <v/>
      </c>
      <c r="QK137" s="43" t="str">
        <f t="shared" si="565"/>
        <v/>
      </c>
      <c r="QL137" s="43" t="str">
        <f t="shared" si="566"/>
        <v/>
      </c>
      <c r="QM137" s="43" t="str">
        <f t="shared" si="567"/>
        <v/>
      </c>
      <c r="QN137" s="43" t="str">
        <f t="shared" si="568"/>
        <v/>
      </c>
      <c r="QO137" s="43" t="str">
        <f t="shared" si="569"/>
        <v/>
      </c>
      <c r="QP137" s="43" t="str">
        <f t="shared" si="570"/>
        <v/>
      </c>
      <c r="QQ137" s="43" t="str">
        <f t="shared" si="571"/>
        <v/>
      </c>
      <c r="QR137" s="43">
        <f t="shared" si="672"/>
        <v>23</v>
      </c>
      <c r="QS137" s="43"/>
      <c r="QT137" s="21" t="str">
        <f t="shared" si="572"/>
        <v/>
      </c>
      <c r="QU137" s="21" t="str">
        <f t="shared" si="573"/>
        <v/>
      </c>
      <c r="QV137" s="21" t="str">
        <f t="shared" si="574"/>
        <v/>
      </c>
      <c r="QW137" s="21" t="str">
        <f t="shared" si="575"/>
        <v/>
      </c>
      <c r="QX137" s="21" t="str">
        <f t="shared" si="576"/>
        <v/>
      </c>
      <c r="QY137" s="21" t="str">
        <f t="shared" si="577"/>
        <v/>
      </c>
      <c r="QZ137" s="21" t="str">
        <f t="shared" si="578"/>
        <v/>
      </c>
      <c r="RA137" s="21" t="str">
        <f t="shared" si="579"/>
        <v/>
      </c>
      <c r="RB137" s="21" t="str">
        <f t="shared" si="580"/>
        <v/>
      </c>
      <c r="RC137" s="21" t="str">
        <f t="shared" si="581"/>
        <v/>
      </c>
      <c r="RD137" s="21" t="str">
        <f t="shared" si="582"/>
        <v>ADECUADO PARA EDAD GESTACIONAL</v>
      </c>
      <c r="RE137" s="21" t="str">
        <f t="shared" si="583"/>
        <v/>
      </c>
      <c r="RF137" s="21" t="str">
        <f t="shared" si="584"/>
        <v/>
      </c>
      <c r="RG137" s="21" t="str">
        <f t="shared" si="585"/>
        <v/>
      </c>
      <c r="RH137" s="21" t="str">
        <f t="shared" si="586"/>
        <v/>
      </c>
      <c r="RI137" s="21" t="str">
        <f t="shared" si="587"/>
        <v/>
      </c>
      <c r="RJ137" s="21" t="str">
        <f t="shared" si="588"/>
        <v/>
      </c>
      <c r="RK137" s="21" t="str">
        <f t="shared" si="589"/>
        <v/>
      </c>
      <c r="RL137" s="21" t="str">
        <f t="shared" si="590"/>
        <v/>
      </c>
      <c r="RM137" s="21" t="str">
        <f t="shared" si="591"/>
        <v/>
      </c>
      <c r="RN137" s="21" t="str">
        <f t="shared" si="592"/>
        <v/>
      </c>
      <c r="RO137" s="21" t="str">
        <f t="shared" si="593"/>
        <v/>
      </c>
      <c r="RP137" s="21" t="str">
        <f t="shared" si="594"/>
        <v/>
      </c>
      <c r="RQ137" s="21" t="str">
        <f t="shared" si="595"/>
        <v/>
      </c>
      <c r="RR137" s="21" t="str">
        <f t="shared" si="596"/>
        <v/>
      </c>
      <c r="RS137" s="21" t="str">
        <f t="shared" si="597"/>
        <v/>
      </c>
      <c r="RT137" s="21" t="str">
        <f t="shared" si="598"/>
        <v/>
      </c>
      <c r="RU137" s="21" t="str">
        <f t="shared" si="599"/>
        <v/>
      </c>
      <c r="RV137" s="21">
        <f t="shared" si="600"/>
        <v>-1</v>
      </c>
      <c r="RW137" s="284">
        <f>IF(OR(Tabla1[[#This Row],[FUM FORMULA CONFIABLE]]="",Tabla1[[#This Row],[FUM FORMULA CONFIABLE]]="SD"),"",IF(Tabla1[[#This Row],[FUM FORMULA CONFIABLE]]="CORREGIDA",Tabla1[[#This Row],[FUM X ECO 1]],Tabla1[[#This Row],[FUM x AMENORREA]]))</f>
        <v>44981</v>
      </c>
      <c r="RX137" s="21">
        <f>IF(AND(Tabla1[[#This Row],[FUM X ECO 1]]="",Tabla1[[#This Row],[FUM x AMENORREA]]=""),"",IF(AND(Tabla1[[#This Row],[FUM X ECO 1]]="",Tabla1[[#This Row],[FUM x AMENORREA]]&lt;&gt;""),"X",SUM(Tabla1[[#This Row],[FUM X ECO 1]]-Tabla1[[#This Row],[FUM x AMENORREA]])))</f>
        <v>0</v>
      </c>
      <c r="RY137" s="21">
        <f t="shared" si="673"/>
        <v>0</v>
      </c>
    </row>
    <row r="138" spans="1:493" ht="45" customHeight="1" x14ac:dyDescent="0.25">
      <c r="A138" s="109"/>
      <c r="B138" s="43"/>
      <c r="C138" s="43" t="s">
        <v>845</v>
      </c>
      <c r="D138" s="124"/>
      <c r="E138" s="43" t="s">
        <v>1034</v>
      </c>
      <c r="F138" s="43" t="s">
        <v>1166</v>
      </c>
      <c r="G138" s="43" t="s">
        <v>1408</v>
      </c>
      <c r="H138" s="43" t="s">
        <v>1409</v>
      </c>
      <c r="I138" s="109" t="s">
        <v>851</v>
      </c>
      <c r="J138" s="110">
        <v>1005860830</v>
      </c>
      <c r="K138" s="43" t="s">
        <v>852</v>
      </c>
      <c r="L138" s="175" t="s">
        <v>853</v>
      </c>
      <c r="M138" s="22">
        <v>37021</v>
      </c>
      <c r="N138" s="213">
        <f t="shared" ca="1" si="601"/>
        <v>22.495890410958904</v>
      </c>
      <c r="O138" s="22">
        <v>45016</v>
      </c>
      <c r="P138" s="214" t="str">
        <f t="shared" si="438"/>
        <v>SI</v>
      </c>
      <c r="Q138" s="26" t="s">
        <v>855</v>
      </c>
      <c r="R138" s="22">
        <v>45016</v>
      </c>
      <c r="S138" s="21" t="s">
        <v>856</v>
      </c>
      <c r="T138" s="24" t="s">
        <v>690</v>
      </c>
      <c r="U138" s="21" t="s">
        <v>857</v>
      </c>
      <c r="V138" s="21" t="s">
        <v>858</v>
      </c>
      <c r="W138" s="21" t="s">
        <v>1338</v>
      </c>
      <c r="X138" s="21"/>
      <c r="Y138" s="21" t="s">
        <v>859</v>
      </c>
      <c r="Z138" s="21">
        <v>3235010408</v>
      </c>
      <c r="AA138" s="21" t="s">
        <v>860</v>
      </c>
      <c r="AB138" s="27" t="s">
        <v>861</v>
      </c>
      <c r="AC138" s="26" t="s">
        <v>897</v>
      </c>
      <c r="AD138" s="38" t="s">
        <v>1546</v>
      </c>
      <c r="AE138" s="26" t="s">
        <v>854</v>
      </c>
      <c r="AF138" s="26" t="s">
        <v>854</v>
      </c>
      <c r="AG138" s="23" t="s">
        <v>864</v>
      </c>
      <c r="AH138" s="23" t="s">
        <v>864</v>
      </c>
      <c r="AI138" s="24" t="s">
        <v>863</v>
      </c>
      <c r="AJ138" s="23" t="s">
        <v>864</v>
      </c>
      <c r="AK138" s="220" t="str">
        <f>IF(AND(AD138="",AE138="",AF138="",AG138="",AH138="",AI138="",AJ138=""),"",IF(OR(Tabla1[[#This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EVALUACIÓN",IF(AND(O138="",R138=""),"",IF(AND(OR(O138&gt;0,R138&gt;0),NG138&gt;=0,NG138&lt;2),"SIN RIESGO",IF(AND(OR(O138&gt;0,R138&gt;0),NG138&gt;=2),"CON RIESGO","ASD")))))</f>
        <v>SIN RIESGO</v>
      </c>
      <c r="AL138" s="23" t="s">
        <v>864</v>
      </c>
      <c r="AM138" s="26" t="s">
        <v>864</v>
      </c>
      <c r="AN138" s="26" t="s">
        <v>864</v>
      </c>
      <c r="AO138" s="26" t="s">
        <v>864</v>
      </c>
      <c r="AP138" s="26" t="s">
        <v>864</v>
      </c>
      <c r="AQ138" s="26" t="s">
        <v>864</v>
      </c>
      <c r="AR138" s="26" t="s">
        <v>864</v>
      </c>
      <c r="AS138" s="21">
        <v>0</v>
      </c>
      <c r="AT138" s="21">
        <v>0</v>
      </c>
      <c r="AU138" s="21">
        <v>0</v>
      </c>
      <c r="AV138" s="26" t="s">
        <v>864</v>
      </c>
      <c r="AW138" s="21">
        <v>0</v>
      </c>
      <c r="AX138" s="26" t="s">
        <v>864</v>
      </c>
      <c r="AY138" s="26" t="s">
        <v>864</v>
      </c>
      <c r="AZ138" s="26" t="s">
        <v>864</v>
      </c>
      <c r="BA138" s="26" t="s">
        <v>864</v>
      </c>
      <c r="BB138" s="26" t="s">
        <v>864</v>
      </c>
      <c r="BC138" s="26" t="s">
        <v>864</v>
      </c>
      <c r="BD138" s="26" t="s">
        <v>864</v>
      </c>
      <c r="BE138" s="26" t="s">
        <v>864</v>
      </c>
      <c r="BF138" s="26" t="s">
        <v>864</v>
      </c>
      <c r="BG138" s="26" t="s">
        <v>864</v>
      </c>
      <c r="BH138" s="26" t="s">
        <v>864</v>
      </c>
      <c r="BI138" s="26" t="s">
        <v>864</v>
      </c>
      <c r="BJ138" s="26" t="s">
        <v>864</v>
      </c>
      <c r="BK138" s="26" t="s">
        <v>864</v>
      </c>
      <c r="BL138" s="26" t="s">
        <v>864</v>
      </c>
      <c r="BM138" s="26" t="s">
        <v>864</v>
      </c>
      <c r="BN138" s="22"/>
      <c r="BO138" s="22">
        <v>44935</v>
      </c>
      <c r="BP138" s="21" t="s">
        <v>854</v>
      </c>
      <c r="BQ138" s="222">
        <f t="shared" si="602"/>
        <v>0</v>
      </c>
      <c r="BR138" s="223">
        <f t="shared" si="603"/>
        <v>44936.2</v>
      </c>
      <c r="BS138" s="224">
        <f t="shared" si="604"/>
        <v>11.571428571428571</v>
      </c>
      <c r="BT138" s="216" t="str">
        <f t="shared" si="605"/>
        <v>II TRIM</v>
      </c>
      <c r="BU138" s="214">
        <f t="shared" ca="1" si="606"/>
        <v>42.428571428571431</v>
      </c>
      <c r="BV138" s="341"/>
      <c r="BW138" s="22">
        <v>45016</v>
      </c>
      <c r="BX138" s="28">
        <v>11.4</v>
      </c>
      <c r="BY138" s="28"/>
      <c r="BZ138" s="22"/>
      <c r="CA138" s="21"/>
      <c r="CB138" s="26" t="s">
        <v>864</v>
      </c>
      <c r="CC138" s="26" t="s">
        <v>864</v>
      </c>
      <c r="CD138" s="26"/>
      <c r="CE138" s="26" t="s">
        <v>864</v>
      </c>
      <c r="CF138" s="22" t="s">
        <v>1517</v>
      </c>
      <c r="CG138" s="21">
        <v>1.53</v>
      </c>
      <c r="CH138" s="21">
        <v>53</v>
      </c>
      <c r="CI138" s="214">
        <f t="shared" si="607"/>
        <v>22.64086462471699</v>
      </c>
      <c r="CJ138" s="225" t="e">
        <f>IF(AND(CI138&lt;10,CH138="SD"),"SIN DATO PESO PREGESTACION O I TRIM",IF(AND(OR(R138&gt;0,O138&gt;0),CI138="X"),"INGRESAR DATO DE PESO",IF(CI138="SD","INGRESAR DATO DE TALLA Y PESO",IF(AND(OR(Tabla1[[#This Row],[MOMENTO EN QUE SE REALIZA EL PESO AL INGRESO A CPN]]="PREGESTACIÓN",NZ138="Menor"),CI138&lt;18.5),"BAJO PESO",IF(AND(OR(Tabla1[[#This Row],[MOMENTO EN QUE SE REALIZA EL PESO AL INGRESO A CPN]]="PREGESTACIÓN",NZ138="Menor"),CI138&lt;25),"NORMAL",IF(AND(OR(Tabla1[[#This Row],[MOMENTO EN QUE SE REALIZA EL PESO AL INGRESO A CPN]]="PREGESTACIÓN",NZ138="Menor"),CI138&lt;30),"SOBREPESO",IF(AND(OR(Tabla1[[#This Row],[MOMENTO EN QUE SE REALIZA EL PESO AL INGRESO A CPN]]="PREGESTACIÓN",NZ138="Menor"),CI138&gt;=30,CI138&lt;50),"OBESIDAD",IF(AND(BS138&gt;0,Tabla1[[#This Row],[MOMENTO EN QUE SE REALIZA EL PESO AL INGRESO A CPN]]="GESTACIÓN"),HLOOKUP(NZ138,$OA$2:PH138,NY138),""))))))))</f>
        <v>#REF!</v>
      </c>
      <c r="CK138" s="212">
        <f t="shared" si="608"/>
        <v>45149</v>
      </c>
      <c r="CL138" s="21">
        <v>64.8</v>
      </c>
      <c r="CM138" s="214">
        <f t="shared" si="609"/>
        <v>27.681660899653977</v>
      </c>
      <c r="CN138" s="216">
        <f t="shared" si="610"/>
        <v>30</v>
      </c>
      <c r="CO138" s="216" t="e">
        <f>IF(PI138="","",IF(PI138&gt;0,HLOOKUP(PI138,$PJ$2:QQ138,NY138),""))</f>
        <v>#REF!</v>
      </c>
      <c r="CP138" s="21">
        <v>30</v>
      </c>
      <c r="CQ138" s="216" t="e">
        <f>IF(QR138="Menor","NO APLICA-MENOR 13 SEM",IF(AND(CC138="SI",CN138&gt;23),"NO APLICA- GEMELAR",IF(QR138="","",IF(QR138&gt;0,HLOOKUP(QR138,$QS$2:RU138,NY138),""))))</f>
        <v>#REF!</v>
      </c>
      <c r="CR138" s="21">
        <v>90</v>
      </c>
      <c r="CS138" s="21">
        <v>60</v>
      </c>
      <c r="CT138" s="217" t="str">
        <f>IF(R138="","",IF(AND(BS138&gt;1,BS138&lt;12,Tabla1[[#This Row],[T.A. SISTOLICA - ANTES DE SEMANA 12]]="",Tabla1[[#This Row],[T.A. DIASTOLICA - ANTES DE SEMANA 12]]=""),"REGISTRE DATO TA ANTES SEMANA 12",IF(AND(BS138&gt;11,BS138&lt;43,Tabla1[[#This Row],[T.A. SISTOLICA - ANTES DE SEMANA 12]]="",Tabla1[[#This Row],[T.A. DIASTOLICA - ANTES DE SEMANA 12]]=""),"NO APLICA REGISTRO TA-INGRESO TARDIO",IF(AND(OR(O138&gt;0,R138&gt;0),OR(CR138&gt;=140,CS138&gt;=90)),"DEFINIR ESTADIO HTA",IF(AND(OR(O138&gt;0,R138&gt;0),AND(CR138&gt;120,CR138&lt;=139)),"PRE HTA SEGUIMIENTO",IF(AND(OR(O138&gt;0,R138&gt;0),AND(CS138&gt;80,CS138&lt;=89)),"PRE HTA SEGUIMIENTO",IF(AND(OR(O138&gt;0,R138&gt;0),AND(CR138&gt;=80,CR138&lt;=120)),"APARENTEMENTE NORMAL",IF(AND(OR(O138&gt;0,R138&gt;0),AND(CS138&gt;=50,CS138&lt;=80)),"APARENTEMENTE NORMAL",IF(AND(OR(O138&gt;0,R138&gt;0),AND(CR138&gt;1,CR138&lt;=70),AND(CS138&gt;1,CS138&lt;=40)),"HIPOTENSIÓN","")))))))))</f>
        <v>APARENTEMENTE NORMAL</v>
      </c>
      <c r="CU138" s="21">
        <v>90</v>
      </c>
      <c r="CV138" s="21">
        <v>60</v>
      </c>
      <c r="CW138" s="217" t="str">
        <f ca="1">IF(R138="","",IF(AND(CN138&gt;19,CN138&lt;27,Tabla1[[#This Row],[T.A. SISTOLICA (Entre semana 20 y 26)]]="",Tabla1[[#This Row],[T.A. DIATOLICA (Entre semana 20 y 26)]]=""),"ACUDE A CONTROL SEM 20 A 26 REGISTRE TA AHORA",IF(AND(BS138&gt;1,BS138&lt;27,BU138&gt;19,Tabla1[[#This Row],[T.A. SISTOLICA (Entre semana 20 y 26)]]="",Tabla1[[#This Row],[T.A. DIATOLICA (Entre semana 20 y 26)]]=""),"COMPLETE REGISTRO TA CONTROL SEM 20 A26 ",IF(AND(BS138&gt;26,BS138&lt;43,Tabla1[[#This Row],[T.A. SISTOLICA (Entre semana 20 y 26)]]="",Tabla1[[#This Row],[T.A. DIATOLICA (Entre semana 20 y 26)]]=""),"NO APLICA REGISTRO TA-INGRESO TARDIO",IF(AND(OR(O138&gt;0,R138&gt;0),OR(CU138&gt;=140,CV138&gt;=90)),"ALTO RIESGO PREECLAMPSIA,DEFINIR ESTADIO HTA",IF(AND(OR(O138&gt;0,R138&gt;0),AND(CU138&gt;120,CU138&lt;=139)),"PRE HTA SEGUIMIENTO,RIESGO HIPERTENSION INDUCIDA POR EL EMBARAZO",IF(AND(OR(O138&gt;0,R138&gt;0),AND(CV138&gt;80,CV138&lt;=89)),"PRE HTA SEGUIMIENTO, RIESGO HIPERTENSION INDUCIDA POR EL EMBARAZO",IF(AND(OR(O138&lt;&gt;"",R138&lt;&gt;""),CS138&lt;&gt;"",CV138&lt;&gt;"",CS138&lt;=CV138),"VIGILAR CIFRAS PRESION ARTERIAL",IF(AND(OR(O138&gt;0,R138&gt;0),AND(CU138&gt;120,CU138&lt;=139)),"PRE HTA SEGUIMIENTO",IF(AND(OR(O138&gt;0,R138&gt;0),AND(CU138&gt;1,CU138&lt;=70),AND(CV138&gt;1,CV138&lt;=40)),"HIPOTENSIÓN",IF(AND(OR(O138&lt;&gt;"",R138&lt;&gt;""),CS138&lt;&gt;"",CV138&lt;&gt;"",CS138&gt;CV138),"APARENTEMENTE NORMAL",IF(AND(OR(O138&gt;0,R138&gt;0),AND(CU138&gt;=80,CU138&lt;=120)),"APARENTEMENTE NORMAL",IF(AND(OR(O138&gt;0,R138&gt;0),AND(CV138&gt;=50,CV138&lt;=80)),"APARENTEMENTE NORMAL","")))))))))))))</f>
        <v>VIGILAR CIFRAS PRESION ARTERIAL</v>
      </c>
      <c r="CX138" s="21">
        <v>100</v>
      </c>
      <c r="CY138" s="21">
        <v>60</v>
      </c>
      <c r="CZ138" s="216" t="str">
        <f t="shared" si="499"/>
        <v>APARENTEMENTE NORMAL</v>
      </c>
      <c r="DA138" s="21">
        <v>100</v>
      </c>
      <c r="DB138" s="21">
        <v>60</v>
      </c>
      <c r="DC138" s="217" t="str">
        <f t="shared" si="611"/>
        <v>APARENTEMENTE NORMAL</v>
      </c>
      <c r="DD138" s="22">
        <v>45016</v>
      </c>
      <c r="DE138" s="22">
        <v>45016</v>
      </c>
      <c r="DF138" s="22">
        <v>45054</v>
      </c>
      <c r="DG138" s="22">
        <v>45114</v>
      </c>
      <c r="DH138" s="22">
        <v>45149</v>
      </c>
      <c r="DI138" s="22"/>
      <c r="DJ138" s="22"/>
      <c r="DK138" s="22"/>
      <c r="DL138" s="22"/>
      <c r="DM138" s="22"/>
      <c r="DN138" s="22"/>
      <c r="DO138" s="22"/>
      <c r="DP138" s="22"/>
      <c r="DQ138" s="22"/>
      <c r="DR138" s="28">
        <v>1</v>
      </c>
      <c r="DS138" s="22"/>
      <c r="DT138" s="22"/>
      <c r="DU138" s="216" t="str">
        <f t="shared" ca="1" si="439"/>
        <v>CONCERTAR PLAN DE PARTO INMEDIATO</v>
      </c>
      <c r="DV138" s="226" t="str">
        <f t="shared" si="440"/>
        <v>ACTIVA INGRESO A CPN</v>
      </c>
      <c r="DW13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38" s="216" t="e">
        <f t="shared" ca="1" si="612"/>
        <v>#REF!</v>
      </c>
      <c r="DY138" s="212">
        <f>IF(R138="","",IF(R138&gt;0,MAX(Tabla1[[#This Row],[FECHA C2]:[FECHA C13]],Tabla1[[#This Row],[FECHA CONSULTA PRIMERA VEZ PROGRAMA CPN ]])))</f>
        <v>45149</v>
      </c>
      <c r="DZ138" s="216">
        <f t="shared" si="613"/>
        <v>30</v>
      </c>
      <c r="EA138" s="222">
        <f>IF(R138&gt;0,SUM(COUNTA(DF138:DQ138)+COUNTA(Tabla1[[#This Row],[FECHA CONSULTA PRIMERA VEZ PROGRAMA CPN ]])),"")</f>
        <v>4</v>
      </c>
      <c r="EB138" s="222" t="str">
        <f t="shared" si="614"/>
        <v>SI</v>
      </c>
      <c r="EC138" s="214">
        <f t="shared" si="615"/>
        <v>9</v>
      </c>
      <c r="ED138" s="227">
        <f t="shared" si="616"/>
        <v>0.44444444444444442</v>
      </c>
      <c r="EE138" s="22">
        <v>45016</v>
      </c>
      <c r="EF138" s="22">
        <v>45016</v>
      </c>
      <c r="EG138" s="22">
        <v>45016</v>
      </c>
      <c r="EH138" s="22"/>
      <c r="EI138" s="22">
        <v>45016</v>
      </c>
      <c r="EJ138" s="22"/>
      <c r="EK138" s="22"/>
      <c r="EL138" s="21"/>
      <c r="EM138" s="21">
        <v>13</v>
      </c>
      <c r="EN138" s="22">
        <v>45016</v>
      </c>
      <c r="EO138" s="222">
        <f t="shared" si="617"/>
        <v>11.571428571428571</v>
      </c>
      <c r="EP138" s="214" t="str">
        <f t="shared" si="618"/>
        <v>NORMAL- SUMINISTRAR SULFATO FERROSO</v>
      </c>
      <c r="EQ138" s="216" t="str">
        <f t="shared" si="619"/>
        <v>I TRIM</v>
      </c>
      <c r="ER138" s="24">
        <v>13.8</v>
      </c>
      <c r="ES138" s="22">
        <v>45114</v>
      </c>
      <c r="ET138" s="29">
        <f t="shared" ca="1" si="441"/>
        <v>25.571428571428573</v>
      </c>
      <c r="EU138" s="25" t="str">
        <f t="shared" si="620"/>
        <v>NORMAL- SUMINISTRAR SULFATO FERROSO</v>
      </c>
      <c r="EV138" s="24" t="s">
        <v>1510</v>
      </c>
      <c r="EW138" s="32">
        <v>45016</v>
      </c>
      <c r="EX138" s="22"/>
      <c r="EY138" s="29">
        <f t="shared" si="454"/>
        <v>11.571428571428571</v>
      </c>
      <c r="EZ138" s="25" t="str">
        <f t="shared" si="455"/>
        <v>SIN RIESGO DE ISOINMUNIZACIÓN</v>
      </c>
      <c r="FA138" s="21">
        <v>81</v>
      </c>
      <c r="FB138" s="22">
        <v>45016</v>
      </c>
      <c r="FC138" s="29">
        <f t="shared" si="621"/>
        <v>11.571428571428571</v>
      </c>
      <c r="FD138" s="29">
        <v>75</v>
      </c>
      <c r="FE138" s="29">
        <v>100</v>
      </c>
      <c r="FF138" s="29">
        <v>125</v>
      </c>
      <c r="FG138" s="21" t="str">
        <f t="shared" ca="1" si="622"/>
        <v>NORMAL</v>
      </c>
      <c r="FH138" s="31">
        <v>45115</v>
      </c>
      <c r="FI138" s="29">
        <f t="shared" si="623"/>
        <v>25.714285714285715</v>
      </c>
      <c r="FJ138" s="22" t="s">
        <v>867</v>
      </c>
      <c r="FK138" s="22">
        <v>45016</v>
      </c>
      <c r="FL138" s="29">
        <f t="shared" ca="1" si="624"/>
        <v>11.571428571428571</v>
      </c>
      <c r="FM138" s="22" t="s">
        <v>867</v>
      </c>
      <c r="FN138" s="32">
        <v>45115</v>
      </c>
      <c r="FO138" s="29">
        <f t="shared" ca="1" si="442"/>
        <v>25.714285714285715</v>
      </c>
      <c r="FP138" s="22"/>
      <c r="FQ138" s="32"/>
      <c r="FR138" s="29" t="str">
        <f t="shared" ca="1" si="443"/>
        <v>TOMA INMEDIATA DE TAMIZAJE</v>
      </c>
      <c r="FS138" s="22"/>
      <c r="FT138" s="32"/>
      <c r="FU138" s="29" t="str">
        <f>IF(AND(FJ138="",FM138="",FP138="",FS138=""),"",IF(OR(OR(Tabla1[[#This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38" s="28"/>
      <c r="FW138" s="22"/>
      <c r="FX138" s="29" t="str">
        <f t="shared" si="625"/>
        <v>TOMAR EXAMEN</v>
      </c>
      <c r="FY138" s="22">
        <v>45016</v>
      </c>
      <c r="FZ138" s="22">
        <v>45016</v>
      </c>
      <c r="GA138" s="29">
        <f t="shared" ca="1" si="498"/>
        <v>11.571428571428571</v>
      </c>
      <c r="GB138" s="22" t="s">
        <v>868</v>
      </c>
      <c r="GC138" s="22">
        <v>45115</v>
      </c>
      <c r="GD138" s="29">
        <f t="shared" ca="1" si="491"/>
        <v>25.714285714285715</v>
      </c>
      <c r="GE138" s="22"/>
      <c r="GF138" s="22"/>
      <c r="GG138" s="29" t="str">
        <f t="shared" ca="1" si="445"/>
        <v>TOMA INMEDIATA DE TAMIZAJE</v>
      </c>
      <c r="GH138" s="22"/>
      <c r="GI138" s="29"/>
      <c r="GJ138" s="22"/>
      <c r="GK138" s="22"/>
      <c r="GL138" s="22"/>
      <c r="GM138" s="22"/>
      <c r="GN138" s="28" t="s">
        <v>869</v>
      </c>
      <c r="GO138" s="22">
        <v>45016</v>
      </c>
      <c r="GP138" s="29">
        <f t="shared" si="626"/>
        <v>11.571428571428571</v>
      </c>
      <c r="GQ138" s="28" t="s">
        <v>869</v>
      </c>
      <c r="GR138" s="28"/>
      <c r="GS138" s="22" t="str">
        <f t="shared" si="627"/>
        <v>CONTROL Igm</v>
      </c>
      <c r="GT138" s="22">
        <v>45016</v>
      </c>
      <c r="GU138" s="29">
        <f t="shared" si="628"/>
        <v>11.571428571428571</v>
      </c>
      <c r="GV138" s="21" t="str">
        <f t="shared" si="629"/>
        <v>I TRIM</v>
      </c>
      <c r="GW138" s="28"/>
      <c r="GX138" s="30"/>
      <c r="GY138" s="21"/>
      <c r="GZ138" s="21"/>
      <c r="HA138" s="21"/>
      <c r="HB138" s="21"/>
      <c r="HC138" s="21"/>
      <c r="HD138" s="21"/>
      <c r="HE138" s="21"/>
      <c r="HF138" s="22"/>
      <c r="HG138" s="22" t="str">
        <f>IF(OR(O138&gt;0,R138&gt;0),CONCATENATE(IF(Tabla1[[#This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38" s="22" t="e">
        <f t="shared" si="630"/>
        <v>#REF!</v>
      </c>
      <c r="HI138" s="22" t="e">
        <f t="shared" ca="1" si="631"/>
        <v>#REF!</v>
      </c>
      <c r="HJ138" s="21" t="str">
        <f t="shared" ca="1" si="632"/>
        <v>**********************MULTIPARIDAD*****EMBARAZO PROLONGADO************</v>
      </c>
      <c r="HK138" s="21" t="str">
        <f t="shared" si="633"/>
        <v>SIN ANTECEDENTES DE RIESGO</v>
      </c>
      <c r="HL138" s="24" t="str">
        <f t="shared" si="634"/>
        <v>APARENTEMENTE NORMAL</v>
      </c>
      <c r="HM138" s="21" t="e">
        <f t="shared" ca="1" si="635"/>
        <v>#REF!</v>
      </c>
      <c r="HN138" s="30" t="str">
        <f t="shared" si="446"/>
        <v>ACTIVA INGRESO A CPN</v>
      </c>
      <c r="HO138" s="21"/>
      <c r="HP138" s="21"/>
      <c r="HQ138" s="349">
        <v>45016</v>
      </c>
      <c r="HR138" s="21" t="str">
        <f>IF(R138="","",IF(Tabla1[[#This Row],[ALARMA FACTORES DE RIESGO COMPLICACIONES HIPERTENSIVAS3]]="SIN ANTECEDENTES DE RIESGO","No Aplica para suministro de ASA",IF(AND(Tabla1[[#This Row],[FECHA INICIO DE SUMINISTRO DE ASA]]&gt;0,RV138&lt;12),"Inicia ASA ANTES de Sem 12",IF(AND(RV138&gt;11,RV138&lt;17,OR(HK138="RIESGO ALTO DE COMPLICACIONES HIPERTENSIVAS VER MANEJO GUIA SUMINISTRO ASA Y CALCIO",HK138="RIESGO MODERADO (2 O MAS CRITERIOS) VER MANEJO GUIA SUMINISTRO ASA Y CALCIO")),"Inicio oportuno de ASA",IF(AND(RV138&gt;12,OR(HK138="RIESGO ALTO DE COMPLICACIONES HIPERTENSIVAS VER MANEJO GUIA SUMINISTRO ASA Y CALCIO",HK138="RIESGO MODERADO (2 O MAS CRITERIOS) VER MANEJO GUIA SUMINISTRO ASA Y CALCIO")),"Inicio no oportuno mayor a 16 semanas",IF(AND(BU138&lt;12,OR(HK138="RIESGO ALTO DE COMPLICACIONES HIPERTENSIVAS VER MANEJO GUIA SUMINISTRO ASA Y CALCIO",HK138="RIESGO MODERADO (2 O MAS CRITERIOS) VER MANEJO GUIA SUMINISTRO ASA Y CALCIO")),"Pendiente Inicio de ASA a la semana 12",IF(AND(BU138&gt;11,BU138&lt;17,OR(HK138="RIESGO ALTO DE COMPLICACIONES HIPERTENSIVAS VER MANEJO GUIA SUMINISTRO ASA Y CALCIO",HK138="RIESGO MODERADO (2 O MAS CRITERIOS) VER MANEJO GUIA SUMINISTRO ASA Y CALCIO")),"Iniciar de inmediato ASA",IF(AND(BU138&gt;16,OR(HK138="RIESGO ALTO DE COMPLICACIONES HIPERTENSIVAS VER MANEJO GUIA SUMINISTRO ASA Y CALCIO",HK138="RIESGO MODERADO (2 O MAS CRITERIOS) VER MANEJO GUIA SUMINISTRO ASA Y CALCIO")),"Pierde Oportunidad, Inicio tardío de ASA","XXXXX"))))))))</f>
        <v>No Aplica para suministro de ASA</v>
      </c>
      <c r="HS138" s="22">
        <v>45016</v>
      </c>
      <c r="HT138" s="22" t="s">
        <v>870</v>
      </c>
      <c r="HU138" s="22">
        <v>45016</v>
      </c>
      <c r="HV138" s="22" t="s">
        <v>870</v>
      </c>
      <c r="HW138" s="22"/>
      <c r="HX138" s="22"/>
      <c r="HY138" s="22">
        <v>45016</v>
      </c>
      <c r="HZ138" s="28">
        <f t="shared" si="636"/>
        <v>11.571428571428571</v>
      </c>
      <c r="IA138" s="26" t="s">
        <v>864</v>
      </c>
      <c r="IB138" s="26"/>
      <c r="IC138" s="111"/>
      <c r="ID138" s="22"/>
      <c r="IE138" s="22" t="str">
        <f t="shared" ca="1" si="637"/>
        <v>INASISTENTE</v>
      </c>
      <c r="IF138" s="22"/>
      <c r="IG138" s="22">
        <f t="shared" si="638"/>
        <v>45215</v>
      </c>
      <c r="IH138" s="29">
        <f t="shared" ca="1" si="639"/>
        <v>-17</v>
      </c>
      <c r="II138" s="22" t="str">
        <f t="shared" ca="1" si="640"/>
        <v>POSIBLEMENTE NACIO</v>
      </c>
      <c r="IJ138" s="22"/>
      <c r="IK138" s="21"/>
      <c r="IL138" s="21"/>
      <c r="IM138" s="34"/>
      <c r="IN138" s="22"/>
      <c r="IO138" s="21"/>
      <c r="IP138" s="29" t="str">
        <f t="shared" si="490"/>
        <v/>
      </c>
      <c r="IQ138" s="35"/>
      <c r="IR138" s="21"/>
      <c r="IS138" s="21"/>
      <c r="IT138" s="21"/>
      <c r="IU138" s="21"/>
      <c r="IV138" s="21"/>
      <c r="IW138" s="21"/>
      <c r="IX138" s="21"/>
      <c r="IY138" s="21"/>
      <c r="IZ138" s="21"/>
      <c r="JA138" s="21"/>
      <c r="JB138" s="30"/>
      <c r="JC138" s="21"/>
      <c r="JD138" s="36"/>
      <c r="JE138" s="21" t="str">
        <f t="shared" si="492"/>
        <v/>
      </c>
      <c r="JF138" s="30"/>
      <c r="JG138" s="21"/>
      <c r="JH138" s="21"/>
      <c r="JI138" s="21"/>
      <c r="JJ138" s="30"/>
      <c r="JK138" s="22"/>
      <c r="JL138" s="22"/>
      <c r="JM138" s="21"/>
      <c r="JN138" s="36"/>
      <c r="JO138" s="21" t="str">
        <f t="shared" si="493"/>
        <v/>
      </c>
      <c r="JP138" s="22"/>
      <c r="JQ138" s="21"/>
      <c r="JR138" s="21"/>
      <c r="JS138" s="21"/>
      <c r="JT138" s="30"/>
      <c r="JU138" s="22"/>
      <c r="JV138" s="22"/>
      <c r="JW138" s="33"/>
      <c r="JX138" s="28" t="str">
        <f t="shared" si="494"/>
        <v/>
      </c>
      <c r="JY138" s="33"/>
      <c r="JZ138" s="28" t="str">
        <f t="shared" si="495"/>
        <v/>
      </c>
      <c r="KA138" s="21"/>
      <c r="KB138" s="21"/>
      <c r="KC138" s="21"/>
      <c r="KD138" s="37"/>
      <c r="KE138" s="28"/>
      <c r="KF138" s="28"/>
      <c r="KG138" s="28"/>
      <c r="KH138" s="39"/>
      <c r="KI138" s="39"/>
      <c r="KJ138" s="66"/>
      <c r="KK138" s="39"/>
      <c r="KL138" s="39"/>
      <c r="KM138" s="66"/>
      <c r="KN138" s="39"/>
      <c r="KO138" s="39"/>
      <c r="KP138" s="39"/>
      <c r="KQ138" s="39"/>
      <c r="KR138" s="39"/>
      <c r="KS138" s="39"/>
      <c r="KT138" s="39"/>
      <c r="KU138" s="38"/>
      <c r="KV138" s="38"/>
      <c r="KW138" s="38"/>
      <c r="KX138" s="38"/>
      <c r="KY138" s="38"/>
      <c r="KZ138" s="38"/>
      <c r="LA138" s="38"/>
      <c r="LB138" s="38"/>
      <c r="LC138" s="38"/>
      <c r="LD138" s="38"/>
      <c r="LE138" s="38"/>
      <c r="LF138" s="38"/>
      <c r="LG138" s="38"/>
      <c r="LH138" s="38"/>
      <c r="LI138" s="38"/>
      <c r="LJ138" s="38"/>
      <c r="LK138" s="38"/>
      <c r="LL138" s="38"/>
      <c r="LM138" s="38"/>
      <c r="LN138" s="38"/>
      <c r="LO138" s="38"/>
      <c r="LP138" s="38"/>
      <c r="LQ138" s="38"/>
      <c r="LR138" s="38"/>
      <c r="LS138" s="38"/>
      <c r="LT138" s="38"/>
      <c r="LU138" s="38"/>
      <c r="LV138" s="38"/>
      <c r="LW138" s="38"/>
      <c r="LX138" s="38"/>
      <c r="LY138" s="38"/>
      <c r="LZ138" s="38"/>
      <c r="MA138" s="38"/>
      <c r="MB138" s="38"/>
      <c r="MC138" s="38"/>
      <c r="MD138" s="38"/>
      <c r="ME138" s="38"/>
      <c r="MF138" s="38"/>
      <c r="MG138" s="38"/>
      <c r="MH138" s="43">
        <f t="shared" si="641"/>
        <v>0</v>
      </c>
      <c r="MI138" s="43" t="str">
        <f t="shared" si="642"/>
        <v/>
      </c>
      <c r="MJ138" s="43" t="str">
        <f t="shared" si="643"/>
        <v/>
      </c>
      <c r="MK138" s="43">
        <f t="shared" si="644"/>
        <v>0</v>
      </c>
      <c r="ML13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38" s="43">
        <f t="shared" si="645"/>
        <v>11.571428571428571</v>
      </c>
      <c r="MN138" s="43">
        <f t="shared" si="646"/>
        <v>3</v>
      </c>
      <c r="MO138" s="43">
        <f t="shared" si="647"/>
        <v>2023</v>
      </c>
      <c r="MP138" s="43" t="str">
        <f t="shared" si="648"/>
        <v>I TRIMESTRE AÑO</v>
      </c>
      <c r="MQ138" s="43">
        <f t="shared" si="649"/>
        <v>21.575229960578184</v>
      </c>
      <c r="MR138" s="43">
        <f t="shared" si="650"/>
        <v>0</v>
      </c>
      <c r="MS138" s="43" t="str">
        <f t="shared" si="651"/>
        <v xml:space="preserve"> DE 20 A 24 AÑOS</v>
      </c>
      <c r="MT138" s="43">
        <f t="shared" si="652"/>
        <v>0</v>
      </c>
      <c r="MU138" s="43">
        <f t="shared" si="653"/>
        <v>1</v>
      </c>
      <c r="MV138" s="43">
        <f t="shared" si="654"/>
        <v>0</v>
      </c>
      <c r="MW138" s="43">
        <f t="shared" si="655"/>
        <v>0</v>
      </c>
      <c r="MX138" s="43" t="str">
        <f t="shared" si="656"/>
        <v/>
      </c>
      <c r="MY138" s="43">
        <f t="shared" ca="1" si="496"/>
        <v>1</v>
      </c>
      <c r="MZ138" s="43" t="str">
        <f t="shared" si="657"/>
        <v/>
      </c>
      <c r="NA138" s="43" t="str">
        <f t="shared" si="658"/>
        <v/>
      </c>
      <c r="NB138" s="43" t="str">
        <f t="shared" si="659"/>
        <v/>
      </c>
      <c r="NC138" s="43" t="str">
        <f t="shared" si="660"/>
        <v/>
      </c>
      <c r="ND138" s="43">
        <f t="shared" ca="1" si="661"/>
        <v>2</v>
      </c>
      <c r="NE138" s="43">
        <f>IF(OR(O138&gt;0,R138&gt;0),SUM(COUNTIF(Tabla1[[#This Row],[AÑOS AL INICIO5 CPN]],"&gt;=40"),COUNTIF(AS138,"0"),COUNTIF(AR138,"SI"),COUNTIF(CC138,"SI"),COUNTIF(BQ138,"&gt;119"),COUNTIF(CI138,"&gt;=35")),"")</f>
        <v>1</v>
      </c>
      <c r="NF138" s="43" t="str">
        <f t="shared" si="662"/>
        <v/>
      </c>
      <c r="NG138" s="43">
        <f t="shared" si="663"/>
        <v>0</v>
      </c>
      <c r="NH138" s="43">
        <f t="shared" si="664"/>
        <v>79.8</v>
      </c>
      <c r="NI13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CPN",P138="NO"),"Z",IF(AND(Tabla1[[#This Row],[CITA PROXIMO CONTROL]]="CITA MANUAL",Tabla1[[#This Row],[GESTANTES ACTUALES]]="ACTIVA INGRESO A CPN"),"W",IF(AND(Tabla1[[#This Row],[GESTANTES ACTUALES]]="SALIO PROGRAMA",IN138=""),"S",IF(AND(Tabla1[[#This Row],[CITA PROXIMO CONTROL]]&gt;0,IN138=""),(Tabla1[[#This Row],[CITA PROXIMO CONTROL]]-TODAY()),"SD"))))))))</f>
        <v>#REF!</v>
      </c>
      <c r="NJ138" s="43">
        <f>MONTH(Tabla1[[#This Row],[FECHA DE SALIDA  DEL PROGRAMA]])</f>
        <v>1</v>
      </c>
      <c r="NK138" s="43">
        <f>YEAR(Tabla1[[#This Row],[FECHA DE SALIDA  DEL PROGRAMA]])</f>
        <v>1900</v>
      </c>
      <c r="NL138" s="43" t="str">
        <f t="shared" si="665"/>
        <v>X</v>
      </c>
      <c r="NM138" s="43" t="str">
        <f t="shared" si="501"/>
        <v>NO</v>
      </c>
      <c r="NN138" s="43" t="str">
        <f ca="1">IF(AND(O138&gt;0,R138=""),"NO CPN",IF(AND(O138="",R138=""),"",IF(AND(R138&gt;0,Tabla1[[#This Row],[SEMANAS DE GESTACION ACTUALIZADAS]]&lt;=12),"NO APLICA",IF(AND(FH138&lt;&gt;"",FN138&lt;&gt;""),"SI","NO"))))</f>
        <v>SI</v>
      </c>
      <c r="NO138" s="43" t="str">
        <f ca="1">IF(AND(O138&gt;0,R138=""),"NO CPN",IF(AND(O138="",R138=""),"",IF(AND(R138&gt;0,Tabla1[[#This Row],[SEMANAS DE GESTACION ACTUALIZADAS]]&lt;=27),"NO APLICA",IF(AND(ES138&lt;&gt;"",FQ138&lt;&gt;"",GF138&lt;&gt;""),"SI","NO"))))</f>
        <v>NO</v>
      </c>
      <c r="NP138" s="204" t="str">
        <f t="shared" si="666"/>
        <v>I TRIM</v>
      </c>
      <c r="NQ138" s="21" t="str">
        <f t="shared" si="500"/>
        <v/>
      </c>
      <c r="NR138" s="21">
        <f t="shared" ca="1" si="497"/>
        <v>3</v>
      </c>
      <c r="NS138" s="205">
        <f t="shared" ca="1" si="667"/>
        <v>2</v>
      </c>
      <c r="NT138" s="21">
        <f t="shared" ca="1" si="668"/>
        <v>2</v>
      </c>
      <c r="NU138" s="21" t="str">
        <f t="shared" ca="1" si="669"/>
        <v>INCOMPLETO</v>
      </c>
      <c r="NV138" s="21" t="str">
        <f t="shared" ca="1" si="670"/>
        <v>INCOMPLETO</v>
      </c>
      <c r="NW138" s="206" t="str">
        <f>IF(AND(O138="",R138=""),"",IF(OR(AND(Tabla1[[#This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38" s="207" t="str">
        <f t="shared" ca="1" si="671"/>
        <v>SIN VACUNAR</v>
      </c>
      <c r="NY138" s="43">
        <f>ROW(Tabla1[[#This Row],['# DE TAMIZAJES SIFILIS TOMADOS ]])</f>
        <v>138</v>
      </c>
      <c r="NZ138" s="43">
        <f t="shared" si="502"/>
        <v>11</v>
      </c>
      <c r="OA138" s="43" t="str">
        <f t="shared" si="503"/>
        <v/>
      </c>
      <c r="OB138" s="43" t="str">
        <f t="shared" si="504"/>
        <v/>
      </c>
      <c r="OC138" s="43" t="str">
        <f t="shared" si="505"/>
        <v>NORMAL</v>
      </c>
      <c r="OD138" s="43" t="str">
        <f t="shared" si="506"/>
        <v/>
      </c>
      <c r="OE138" s="43" t="str">
        <f t="shared" si="507"/>
        <v/>
      </c>
      <c r="OF138" s="43" t="str">
        <f t="shared" si="508"/>
        <v/>
      </c>
      <c r="OG138" s="43" t="str">
        <f t="shared" si="509"/>
        <v/>
      </c>
      <c r="OH138" s="43" t="str">
        <f t="shared" si="510"/>
        <v/>
      </c>
      <c r="OI138" s="43" t="str">
        <f t="shared" si="511"/>
        <v/>
      </c>
      <c r="OJ138" s="43" t="str">
        <f t="shared" si="512"/>
        <v/>
      </c>
      <c r="OK138" s="43" t="str">
        <f t="shared" si="513"/>
        <v/>
      </c>
      <c r="OL138" s="43" t="str">
        <f t="shared" si="514"/>
        <v/>
      </c>
      <c r="OM138" s="43" t="str">
        <f t="shared" si="515"/>
        <v/>
      </c>
      <c r="ON138" s="43" t="str">
        <f t="shared" si="516"/>
        <v/>
      </c>
      <c r="OO138" s="43" t="str">
        <f t="shared" si="517"/>
        <v/>
      </c>
      <c r="OP138" s="43" t="str">
        <f t="shared" si="518"/>
        <v/>
      </c>
      <c r="OQ138" s="43" t="str">
        <f t="shared" si="519"/>
        <v/>
      </c>
      <c r="OR138" s="43" t="str">
        <f t="shared" si="520"/>
        <v/>
      </c>
      <c r="OS138" s="43" t="str">
        <f t="shared" si="521"/>
        <v/>
      </c>
      <c r="OT138" s="43" t="str">
        <f t="shared" si="522"/>
        <v/>
      </c>
      <c r="OU138" s="43" t="str">
        <f t="shared" si="523"/>
        <v/>
      </c>
      <c r="OV138" s="110" t="str">
        <f t="shared" si="524"/>
        <v/>
      </c>
      <c r="OW138" s="43" t="str">
        <f t="shared" si="525"/>
        <v/>
      </c>
      <c r="OX138" s="43" t="str">
        <f t="shared" si="526"/>
        <v/>
      </c>
      <c r="OY138" s="43" t="str">
        <f t="shared" si="527"/>
        <v/>
      </c>
      <c r="OZ138" s="43" t="str">
        <f t="shared" si="528"/>
        <v/>
      </c>
      <c r="PA138" s="43" t="str">
        <f t="shared" si="529"/>
        <v/>
      </c>
      <c r="PB138" s="43" t="str">
        <f t="shared" si="530"/>
        <v/>
      </c>
      <c r="PC138" s="43" t="str">
        <f t="shared" si="531"/>
        <v/>
      </c>
      <c r="PD138" s="43" t="str">
        <f t="shared" si="532"/>
        <v/>
      </c>
      <c r="PE138" s="43" t="str">
        <f t="shared" si="533"/>
        <v/>
      </c>
      <c r="PF138" s="43" t="str">
        <f t="shared" si="534"/>
        <v/>
      </c>
      <c r="PG138" s="43" t="str">
        <f t="shared" si="535"/>
        <v/>
      </c>
      <c r="PH138" s="43" t="str">
        <f t="shared" si="536"/>
        <v/>
      </c>
      <c r="PI138" s="43">
        <f t="shared" si="537"/>
        <v>30</v>
      </c>
      <c r="PJ138" s="43" t="str">
        <f t="shared" si="538"/>
        <v/>
      </c>
      <c r="PK138" s="43" t="str">
        <f t="shared" si="539"/>
        <v/>
      </c>
      <c r="PL138" s="43" t="str">
        <f t="shared" si="540"/>
        <v/>
      </c>
      <c r="PM138" s="43" t="str">
        <f t="shared" si="541"/>
        <v/>
      </c>
      <c r="PN138" s="43" t="str">
        <f t="shared" si="542"/>
        <v/>
      </c>
      <c r="PO138" s="43" t="str">
        <f t="shared" si="543"/>
        <v/>
      </c>
      <c r="PP138" s="43" t="str">
        <f t="shared" si="544"/>
        <v/>
      </c>
      <c r="PQ138" s="43" t="str">
        <f t="shared" si="545"/>
        <v/>
      </c>
      <c r="PR138" s="43" t="str">
        <f t="shared" si="546"/>
        <v/>
      </c>
      <c r="PS138" s="43" t="str">
        <f t="shared" si="547"/>
        <v/>
      </c>
      <c r="PT138" s="43" t="str">
        <f t="shared" si="548"/>
        <v/>
      </c>
      <c r="PU138" s="43" t="str">
        <f t="shared" si="549"/>
        <v/>
      </c>
      <c r="PV138" s="43" t="str">
        <f t="shared" si="550"/>
        <v/>
      </c>
      <c r="PW138" s="43" t="str">
        <f t="shared" si="551"/>
        <v/>
      </c>
      <c r="PX138" s="43" t="str">
        <f t="shared" si="552"/>
        <v/>
      </c>
      <c r="PY138" s="43" t="str">
        <f t="shared" si="553"/>
        <v/>
      </c>
      <c r="PZ138" s="43" t="str">
        <f t="shared" si="554"/>
        <v/>
      </c>
      <c r="QA138" s="43" t="str">
        <f t="shared" si="555"/>
        <v/>
      </c>
      <c r="QB138" s="43" t="str">
        <f t="shared" si="556"/>
        <v/>
      </c>
      <c r="QC138" s="43" t="str">
        <f t="shared" si="557"/>
        <v/>
      </c>
      <c r="QD138" s="43" t="str">
        <f t="shared" si="558"/>
        <v/>
      </c>
      <c r="QE138" s="43" t="str">
        <f t="shared" si="559"/>
        <v>NORMAL</v>
      </c>
      <c r="QF138" s="43" t="str">
        <f t="shared" si="560"/>
        <v/>
      </c>
      <c r="QG138" s="43" t="str">
        <f t="shared" si="561"/>
        <v/>
      </c>
      <c r="QH138" s="43" t="str">
        <f t="shared" si="562"/>
        <v/>
      </c>
      <c r="QI138" s="43" t="str">
        <f t="shared" si="563"/>
        <v/>
      </c>
      <c r="QJ138" s="43" t="str">
        <f t="shared" si="564"/>
        <v/>
      </c>
      <c r="QK138" s="43" t="str">
        <f t="shared" si="565"/>
        <v/>
      </c>
      <c r="QL138" s="43" t="str">
        <f t="shared" si="566"/>
        <v/>
      </c>
      <c r="QM138" s="43" t="str">
        <f t="shared" si="567"/>
        <v/>
      </c>
      <c r="QN138" s="43" t="str">
        <f t="shared" si="568"/>
        <v/>
      </c>
      <c r="QO138" s="43" t="str">
        <f t="shared" si="569"/>
        <v/>
      </c>
      <c r="QP138" s="43" t="str">
        <f t="shared" si="570"/>
        <v/>
      </c>
      <c r="QQ138" s="43" t="str">
        <f t="shared" si="571"/>
        <v/>
      </c>
      <c r="QR138" s="43">
        <f t="shared" si="672"/>
        <v>30</v>
      </c>
      <c r="QS138" s="43"/>
      <c r="QT138" s="21" t="str">
        <f t="shared" si="572"/>
        <v/>
      </c>
      <c r="QU138" s="21" t="str">
        <f t="shared" si="573"/>
        <v/>
      </c>
      <c r="QV138" s="21" t="str">
        <f t="shared" si="574"/>
        <v/>
      </c>
      <c r="QW138" s="21" t="str">
        <f t="shared" si="575"/>
        <v/>
      </c>
      <c r="QX138" s="21" t="str">
        <f t="shared" si="576"/>
        <v/>
      </c>
      <c r="QY138" s="21" t="str">
        <f t="shared" si="577"/>
        <v/>
      </c>
      <c r="QZ138" s="21" t="str">
        <f t="shared" si="578"/>
        <v/>
      </c>
      <c r="RA138" s="21" t="str">
        <f t="shared" si="579"/>
        <v/>
      </c>
      <c r="RB138" s="21" t="str">
        <f t="shared" si="580"/>
        <v/>
      </c>
      <c r="RC138" s="21" t="str">
        <f t="shared" si="581"/>
        <v/>
      </c>
      <c r="RD138" s="21" t="str">
        <f t="shared" si="582"/>
        <v/>
      </c>
      <c r="RE138" s="21" t="str">
        <f t="shared" si="583"/>
        <v/>
      </c>
      <c r="RF138" s="21" t="str">
        <f t="shared" si="584"/>
        <v/>
      </c>
      <c r="RG138" s="21" t="str">
        <f t="shared" si="585"/>
        <v/>
      </c>
      <c r="RH138" s="21" t="str">
        <f t="shared" si="586"/>
        <v/>
      </c>
      <c r="RI138" s="21" t="str">
        <f t="shared" si="587"/>
        <v/>
      </c>
      <c r="RJ138" s="21" t="str">
        <f t="shared" si="588"/>
        <v/>
      </c>
      <c r="RK138" s="21" t="str">
        <f t="shared" si="589"/>
        <v>ALTO PARA EDAD GESTACIONAL</v>
      </c>
      <c r="RL138" s="21" t="str">
        <f t="shared" si="590"/>
        <v/>
      </c>
      <c r="RM138" s="21" t="str">
        <f t="shared" si="591"/>
        <v/>
      </c>
      <c r="RN138" s="21" t="str">
        <f t="shared" si="592"/>
        <v/>
      </c>
      <c r="RO138" s="21" t="str">
        <f t="shared" si="593"/>
        <v/>
      </c>
      <c r="RP138" s="21" t="str">
        <f t="shared" si="594"/>
        <v/>
      </c>
      <c r="RQ138" s="21" t="str">
        <f t="shared" si="595"/>
        <v/>
      </c>
      <c r="RR138" s="21" t="str">
        <f t="shared" si="596"/>
        <v/>
      </c>
      <c r="RS138" s="21" t="str">
        <f t="shared" si="597"/>
        <v/>
      </c>
      <c r="RT138" s="21" t="str">
        <f t="shared" si="598"/>
        <v/>
      </c>
      <c r="RU138" s="21" t="str">
        <f t="shared" si="599"/>
        <v/>
      </c>
      <c r="RV138" s="21">
        <f t="shared" si="600"/>
        <v>11.571428571428571</v>
      </c>
      <c r="RW138" s="284">
        <f>IF(OR(Tabla1[[#This Row],[FUM FORMULA CONFIABLE]]="",Tabla1[[#This Row],[FUM FORMULA CONFIABLE]]="SD"),"",IF(Tabla1[[#This Row],[FUM FORMULA CONFIABLE]]="CORREGIDA",Tabla1[[#This Row],[FUM X ECO 1]],Tabla1[[#This Row],[FUM x AMENORREA]]))</f>
        <v>44935</v>
      </c>
      <c r="RX138" s="21">
        <f>IF(AND(Tabla1[[#This Row],[FUM X ECO 1]]="",Tabla1[[#This Row],[FUM x AMENORREA]]=""),"",IF(AND(Tabla1[[#This Row],[FUM X ECO 1]]="",Tabla1[[#This Row],[FUM x AMENORREA]]&lt;&gt;""),"X",SUM(Tabla1[[#This Row],[FUM X ECO 1]]-Tabla1[[#This Row],[FUM x AMENORREA]])))</f>
        <v>1.1999999999970896</v>
      </c>
      <c r="RY138" s="21">
        <f t="shared" si="673"/>
        <v>0</v>
      </c>
    </row>
    <row r="139" spans="1:493" ht="45" customHeight="1" x14ac:dyDescent="0.25">
      <c r="A139" s="109"/>
      <c r="B139" s="43"/>
      <c r="C139" s="43" t="s">
        <v>845</v>
      </c>
      <c r="D139" s="124"/>
      <c r="E139" s="43" t="s">
        <v>1410</v>
      </c>
      <c r="F139" s="43" t="s">
        <v>1411</v>
      </c>
      <c r="G139" s="43" t="s">
        <v>1412</v>
      </c>
      <c r="H139" s="43" t="s">
        <v>1028</v>
      </c>
      <c r="I139" s="109" t="s">
        <v>851</v>
      </c>
      <c r="J139" s="110">
        <v>1059595537</v>
      </c>
      <c r="K139" s="43" t="s">
        <v>852</v>
      </c>
      <c r="L139" s="175" t="s">
        <v>853</v>
      </c>
      <c r="M139" s="22">
        <v>38520</v>
      </c>
      <c r="N139" s="213">
        <f t="shared" ca="1" si="601"/>
        <v>18.389041095890413</v>
      </c>
      <c r="O139" s="22">
        <v>44995</v>
      </c>
      <c r="P139" s="214" t="str">
        <f t="shared" si="438"/>
        <v>SI</v>
      </c>
      <c r="Q139" s="26" t="s">
        <v>855</v>
      </c>
      <c r="R139" s="22">
        <v>44995</v>
      </c>
      <c r="S139" s="21" t="s">
        <v>856</v>
      </c>
      <c r="T139" s="24" t="s">
        <v>690</v>
      </c>
      <c r="U139" s="21" t="s">
        <v>857</v>
      </c>
      <c r="V139" s="21" t="s">
        <v>858</v>
      </c>
      <c r="W139" s="21" t="s">
        <v>911</v>
      </c>
      <c r="X139" s="21"/>
      <c r="Y139" s="21"/>
      <c r="Z139" s="21">
        <v>3216212210</v>
      </c>
      <c r="AA139" s="21" t="s">
        <v>860</v>
      </c>
      <c r="AB139" s="27" t="s">
        <v>861</v>
      </c>
      <c r="AC139" s="26" t="s">
        <v>888</v>
      </c>
      <c r="AD139" s="38" t="s">
        <v>1546</v>
      </c>
      <c r="AE139" s="26" t="s">
        <v>854</v>
      </c>
      <c r="AF139" s="26" t="s">
        <v>854</v>
      </c>
      <c r="AG139" s="23" t="s">
        <v>864</v>
      </c>
      <c r="AH139" s="23" t="s">
        <v>864</v>
      </c>
      <c r="AI139" s="24" t="s">
        <v>863</v>
      </c>
      <c r="AJ139" s="23" t="s">
        <v>864</v>
      </c>
      <c r="AK139" s="220" t="str">
        <f>IF(AND(AD139="",AE139="",AF139="",AG139="",AH139="",AI139="",AJ139=""),"",IF(OR(Tabla1[[#This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EVALUACIÓN",IF(AND(O139="",R139=""),"",IF(AND(OR(O139&gt;0,R139&gt;0),NG139&gt;=0,NG139&lt;2),"SIN RIESGO",IF(AND(OR(O139&gt;0,R139&gt;0),NG139&gt;=2),"CON RIESGO","ASD")))))</f>
        <v>SIN RIESGO</v>
      </c>
      <c r="AL139" s="23" t="s">
        <v>864</v>
      </c>
      <c r="AM139" s="26" t="s">
        <v>864</v>
      </c>
      <c r="AN139" s="26" t="s">
        <v>864</v>
      </c>
      <c r="AO139" s="26" t="s">
        <v>864</v>
      </c>
      <c r="AP139" s="26" t="s">
        <v>864</v>
      </c>
      <c r="AQ139" s="26" t="s">
        <v>864</v>
      </c>
      <c r="AR139" s="26" t="s">
        <v>864</v>
      </c>
      <c r="AS139" s="21">
        <v>0</v>
      </c>
      <c r="AT139" s="21">
        <v>0</v>
      </c>
      <c r="AU139" s="21">
        <v>0</v>
      </c>
      <c r="AV139" s="26" t="s">
        <v>864</v>
      </c>
      <c r="AW139" s="21">
        <v>0</v>
      </c>
      <c r="AX139" s="26" t="s">
        <v>864</v>
      </c>
      <c r="AY139" s="26" t="s">
        <v>864</v>
      </c>
      <c r="AZ139" s="26" t="s">
        <v>864</v>
      </c>
      <c r="BA139" s="26" t="s">
        <v>864</v>
      </c>
      <c r="BB139" s="26" t="s">
        <v>864</v>
      </c>
      <c r="BC139" s="26" t="s">
        <v>864</v>
      </c>
      <c r="BD139" s="26" t="s">
        <v>864</v>
      </c>
      <c r="BE139" s="26" t="s">
        <v>864</v>
      </c>
      <c r="BF139" s="26" t="s">
        <v>864</v>
      </c>
      <c r="BG139" s="26" t="s">
        <v>864</v>
      </c>
      <c r="BH139" s="26" t="s">
        <v>864</v>
      </c>
      <c r="BI139" s="26" t="s">
        <v>864</v>
      </c>
      <c r="BJ139" s="26" t="s">
        <v>864</v>
      </c>
      <c r="BK139" s="26" t="s">
        <v>865</v>
      </c>
      <c r="BL139" s="26" t="s">
        <v>864</v>
      </c>
      <c r="BM139" s="26" t="s">
        <v>864</v>
      </c>
      <c r="BN139" s="22"/>
      <c r="BO139" s="22">
        <v>44884</v>
      </c>
      <c r="BP139" s="21" t="s">
        <v>1380</v>
      </c>
      <c r="BQ139" s="222">
        <f t="shared" si="602"/>
        <v>0</v>
      </c>
      <c r="BR139" s="223">
        <f t="shared" si="603"/>
        <v>44908.9</v>
      </c>
      <c r="BS139" s="224">
        <f t="shared" si="604"/>
        <v>12.299999999999793</v>
      </c>
      <c r="BT139" s="216" t="str">
        <f t="shared" si="605"/>
        <v>II TRIM</v>
      </c>
      <c r="BU139" s="214" t="str">
        <f t="shared" ca="1" si="606"/>
        <v/>
      </c>
      <c r="BV139" s="25"/>
      <c r="BW139" s="22">
        <v>45016</v>
      </c>
      <c r="BX139" s="28">
        <v>15.3</v>
      </c>
      <c r="BY139" s="28"/>
      <c r="BZ139" s="22">
        <v>45016</v>
      </c>
      <c r="CA139" s="21">
        <v>18.600000000000001</v>
      </c>
      <c r="CB139" s="26" t="s">
        <v>864</v>
      </c>
      <c r="CC139" s="26" t="s">
        <v>864</v>
      </c>
      <c r="CD139" s="26"/>
      <c r="CE139" s="26" t="s">
        <v>864</v>
      </c>
      <c r="CF139" s="22" t="s">
        <v>1517</v>
      </c>
      <c r="CG139" s="21">
        <v>1.59</v>
      </c>
      <c r="CH139" s="21">
        <v>48.5</v>
      </c>
      <c r="CI139" s="214">
        <f t="shared" si="607"/>
        <v>19.184367706973614</v>
      </c>
      <c r="CJ139" s="225" t="e">
        <f>IF(AND(CI139&lt;10,CH139="SD"),"SIN DATO PESO PREGESTACION O I TRIM",IF(AND(OR(R139&gt;0,O139&gt;0),CI139="X"),"INGRESAR DATO DE PESO",IF(CI139="SD","INGRESAR DATO DE TALLA Y PESO",IF(AND(OR(Tabla1[[#This Row],[MOMENTO EN QUE SE REALIZA EL PESO AL INGRESO A CPN]]="PREGESTACIÓN",NZ139="Menor"),CI139&lt;18.5),"BAJO PESO",IF(AND(OR(Tabla1[[#This Row],[MOMENTO EN QUE SE REALIZA EL PESO AL INGRESO A CPN]]="PREGESTACIÓN",NZ139="Menor"),CI139&lt;25),"NORMAL",IF(AND(OR(Tabla1[[#This Row],[MOMENTO EN QUE SE REALIZA EL PESO AL INGRESO A CPN]]="PREGESTACIÓN",NZ139="Menor"),CI139&lt;30),"SOBREPESO",IF(AND(OR(Tabla1[[#This Row],[MOMENTO EN QUE SE REALIZA EL PESO AL INGRESO A CPN]]="PREGESTACIÓN",NZ139="Menor"),CI139&gt;=30,CI139&lt;50),"OBESIDAD",IF(AND(BS139&gt;0,Tabla1[[#This Row],[MOMENTO EN QUE SE REALIZA EL PESO AL INGRESO A CPN]]="GESTACIÓN"),HLOOKUP(NZ139,$OA$2:PH139,NY139),""))))))))</f>
        <v>#REF!</v>
      </c>
      <c r="CK139" s="212">
        <f t="shared" si="608"/>
        <v>45164</v>
      </c>
      <c r="CL139" s="21">
        <v>61.7</v>
      </c>
      <c r="CM139" s="214">
        <f t="shared" si="609"/>
        <v>24.405680155057155</v>
      </c>
      <c r="CN139" s="216">
        <f t="shared" si="610"/>
        <v>36</v>
      </c>
      <c r="CO139" s="216" t="e">
        <f>IF(PI139="","",IF(PI139&gt;0,HLOOKUP(PI139,$PJ$2:QQ139,NY139),""))</f>
        <v>#REF!</v>
      </c>
      <c r="CP139" s="21">
        <v>35</v>
      </c>
      <c r="CQ139" s="216" t="e">
        <f>IF(QR139="Menor","NO APLICA-MENOR 13 SEM",IF(AND(CC139="SI",CN139&gt;23),"NO APLICA- GEMELAR",IF(QR139="","",IF(QR139&gt;0,HLOOKUP(QR139,$QS$2:RU139,NY139),""))))</f>
        <v>#REF!</v>
      </c>
      <c r="CR139" s="21"/>
      <c r="CS139" s="21"/>
      <c r="CT139" s="217" t="str">
        <f>IF(R139="","",IF(AND(BS139&gt;1,BS139&lt;12,Tabla1[[#This Row],[T.A. SISTOLICA - ANTES DE SEMANA 12]]="",Tabla1[[#This Row],[T.A. DIASTOLICA - ANTES DE SEMANA 12]]=""),"REGISTRE DATO TA ANTES SEMANA 12",IF(AND(BS139&gt;11,BS139&lt;43,Tabla1[[#This Row],[T.A. SISTOLICA - ANTES DE SEMANA 12]]="",Tabla1[[#This Row],[T.A. DIASTOLICA - ANTES DE SEMANA 12]]=""),"NO APLICA REGISTRO TA-INGRESO TARDIO",IF(AND(OR(O139&gt;0,R139&gt;0),OR(CR139&gt;=140,CS139&gt;=90)),"DEFINIR ESTADIO HTA",IF(AND(OR(O139&gt;0,R139&gt;0),AND(CR139&gt;120,CR139&lt;=139)),"PRE HTA SEGUIMIENTO",IF(AND(OR(O139&gt;0,R139&gt;0),AND(CS139&gt;80,CS139&lt;=89)),"PRE HTA SEGUIMIENTO",IF(AND(OR(O139&gt;0,R139&gt;0),AND(CR139&gt;=80,CR139&lt;=120)),"APARENTEMENTE NORMAL",IF(AND(OR(O139&gt;0,R139&gt;0),AND(CS139&gt;=50,CS139&lt;=80)),"APARENTEMENTE NORMAL",IF(AND(OR(O139&gt;0,R139&gt;0),AND(CR139&gt;1,CR139&lt;=70),AND(CS139&gt;1,CS139&lt;=40)),"HIPOTENSIÓN","")))))))))</f>
        <v>NO APLICA REGISTRO TA-INGRESO TARDIO</v>
      </c>
      <c r="CU139" s="21">
        <v>100</v>
      </c>
      <c r="CV139" s="21">
        <v>60</v>
      </c>
      <c r="CW139" s="217" t="str">
        <f ca="1">IF(R139="","",IF(AND(CN139&gt;19,CN139&lt;27,Tabla1[[#This Row],[T.A. SISTOLICA (Entre semana 20 y 26)]]="",Tabla1[[#This Row],[T.A. DIATOLICA (Entre semana 20 y 26)]]=""),"ACUDE A CONTROL SEM 20 A 26 REGISTRE TA AHORA",IF(AND(BS139&gt;1,BS139&lt;27,BU139&gt;19,Tabla1[[#This Row],[T.A. SISTOLICA (Entre semana 20 y 26)]]="",Tabla1[[#This Row],[T.A. DIATOLICA (Entre semana 20 y 26)]]=""),"COMPLETE REGISTRO TA CONTROL SEM 20 A26 ",IF(AND(BS139&gt;26,BS139&lt;43,Tabla1[[#This Row],[T.A. SISTOLICA (Entre semana 20 y 26)]]="",Tabla1[[#This Row],[T.A. DIATOLICA (Entre semana 20 y 26)]]=""),"NO APLICA REGISTRO TA-INGRESO TARDIO",IF(AND(OR(O139&gt;0,R139&gt;0),OR(CU139&gt;=140,CV139&gt;=90)),"ALTO RIESGO PREECLAMPSIA,DEFINIR ESTADIO HTA",IF(AND(OR(O139&gt;0,R139&gt;0),AND(CU139&gt;120,CU139&lt;=139)),"PRE HTA SEGUIMIENTO,RIESGO HIPERTENSION INDUCIDA POR EL EMBARAZO",IF(AND(OR(O139&gt;0,R139&gt;0),AND(CV139&gt;80,CV139&lt;=89)),"PRE HTA SEGUIMIENTO, RIESGO HIPERTENSION INDUCIDA POR EL EMBARAZO",IF(AND(OR(O139&lt;&gt;"",R139&lt;&gt;""),CS139&lt;&gt;"",CV139&lt;&gt;"",CS139&lt;=CV139),"VIGILAR CIFRAS PRESION ARTERIAL",IF(AND(OR(O139&gt;0,R139&gt;0),AND(CU139&gt;120,CU139&lt;=139)),"PRE HTA SEGUIMIENTO",IF(AND(OR(O139&gt;0,R139&gt;0),AND(CU139&gt;1,CU139&lt;=70),AND(CV139&gt;1,CV139&lt;=40)),"HIPOTENSIÓN",IF(AND(OR(O139&lt;&gt;"",R139&lt;&gt;""),CS139&lt;&gt;"",CV139&lt;&gt;"",CS139&gt;CV139),"APARENTEMENTE NORMAL",IF(AND(OR(O139&gt;0,R139&gt;0),AND(CU139&gt;=80,CU139&lt;=120)),"APARENTEMENTE NORMAL",IF(AND(OR(O139&gt;0,R139&gt;0),AND(CV139&gt;=50,CV139&lt;=80)),"APARENTEMENTE NORMAL","")))))))))))))</f>
        <v>APARENTEMENTE NORMAL</v>
      </c>
      <c r="CX139" s="21"/>
      <c r="CY139" s="21"/>
      <c r="CZ139" s="216" t="str">
        <f t="shared" si="499"/>
        <v/>
      </c>
      <c r="DA139" s="21">
        <v>90</v>
      </c>
      <c r="DB139" s="21">
        <v>60</v>
      </c>
      <c r="DC139" s="217" t="str">
        <f t="shared" si="611"/>
        <v>VIGILAR CIFRAS PRESION ARTERIAL</v>
      </c>
      <c r="DD139" s="22">
        <v>44995</v>
      </c>
      <c r="DE139" s="22">
        <v>44995</v>
      </c>
      <c r="DF139" s="22">
        <v>45027</v>
      </c>
      <c r="DG139" s="22">
        <v>45061</v>
      </c>
      <c r="DH139" s="22"/>
      <c r="DI139" s="22">
        <v>45141</v>
      </c>
      <c r="DJ139" s="22">
        <v>45164</v>
      </c>
      <c r="DK139" s="22"/>
      <c r="DL139" s="22"/>
      <c r="DM139" s="22"/>
      <c r="DN139" s="22"/>
      <c r="DO139" s="22"/>
      <c r="DP139" s="22"/>
      <c r="DQ139" s="22"/>
      <c r="DR139" s="28">
        <v>1</v>
      </c>
      <c r="DS139" s="22"/>
      <c r="DT139" s="22"/>
      <c r="DU139" s="216" t="str">
        <f t="shared" ca="1" si="439"/>
        <v>CONCERTAR PLAN DE PARTO INMEDIATO</v>
      </c>
      <c r="DV139" s="226" t="str">
        <f t="shared" si="440"/>
        <v>ACTIVA INGRESO A CPN</v>
      </c>
      <c r="DW139"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39" s="216" t="e">
        <f t="shared" ca="1" si="612"/>
        <v>#REF!</v>
      </c>
      <c r="DY139" s="212">
        <f>IF(R139="","",IF(R139&gt;0,MAX(Tabla1[[#This Row],[FECHA C2]:[FECHA C13]],Tabla1[[#This Row],[FECHA CONSULTA PRIMERA VEZ PROGRAMA CPN ]])))</f>
        <v>45164</v>
      </c>
      <c r="DZ139" s="216">
        <f t="shared" si="613"/>
        <v>36</v>
      </c>
      <c r="EA139" s="222">
        <f>IF(R139&gt;0,SUM(COUNTA(DF139:DQ139)+COUNTA(Tabla1[[#This Row],[FECHA CONSULTA PRIMERA VEZ PROGRAMA CPN ]])),"")</f>
        <v>5</v>
      </c>
      <c r="EB139" s="222" t="str">
        <f t="shared" si="614"/>
        <v>SI</v>
      </c>
      <c r="EC139" s="214">
        <f t="shared" si="615"/>
        <v>8</v>
      </c>
      <c r="ED139" s="227">
        <f t="shared" si="616"/>
        <v>0.625</v>
      </c>
      <c r="EE139" s="22">
        <v>44995</v>
      </c>
      <c r="EF139" s="22">
        <v>44995</v>
      </c>
      <c r="EG139" s="22">
        <v>44995</v>
      </c>
      <c r="EH139" s="22"/>
      <c r="EI139" s="22">
        <v>44995</v>
      </c>
      <c r="EJ139" s="22">
        <v>45140</v>
      </c>
      <c r="EK139" s="22"/>
      <c r="EL139" s="21"/>
      <c r="EM139" s="21">
        <v>13.1</v>
      </c>
      <c r="EN139" s="22">
        <v>44995</v>
      </c>
      <c r="EO139" s="222">
        <f t="shared" si="617"/>
        <v>12.299999999999793</v>
      </c>
      <c r="EP139" s="214" t="str">
        <f t="shared" si="618"/>
        <v>NORMAL- SUMINISTRAR SULFATO FERROSO</v>
      </c>
      <c r="EQ139" s="216" t="str">
        <f t="shared" si="619"/>
        <v>I TRIM</v>
      </c>
      <c r="ER139" s="24"/>
      <c r="ES139" s="22"/>
      <c r="ET139" s="29" t="str">
        <f t="shared" ca="1" si="441"/>
        <v>TOMA DE HEMOGLOBINA TARDÍA</v>
      </c>
      <c r="EU139" s="25" t="str">
        <f t="shared" si="620"/>
        <v/>
      </c>
      <c r="EV139" s="24" t="s">
        <v>1510</v>
      </c>
      <c r="EW139" s="32">
        <v>44995</v>
      </c>
      <c r="EX139" s="22"/>
      <c r="EY139" s="29">
        <f t="shared" si="454"/>
        <v>12.299999999999793</v>
      </c>
      <c r="EZ139" s="25" t="str">
        <f t="shared" si="455"/>
        <v>SIN RIESGO DE ISOINMUNIZACIÓN</v>
      </c>
      <c r="FA139" s="21">
        <v>85</v>
      </c>
      <c r="FB139" s="22">
        <v>44995</v>
      </c>
      <c r="FC139" s="29">
        <f t="shared" si="621"/>
        <v>12.299999999999793</v>
      </c>
      <c r="FD139" s="29"/>
      <c r="FE139" s="29"/>
      <c r="FF139" s="29"/>
      <c r="FG139" s="21" t="str">
        <f t="shared" ca="1" si="622"/>
        <v/>
      </c>
      <c r="FH139" s="31"/>
      <c r="FI139" s="29" t="str">
        <f t="shared" si="623"/>
        <v>TOMAR EXAMEN</v>
      </c>
      <c r="FJ139" s="22"/>
      <c r="FK139" s="22"/>
      <c r="FL139" s="29" t="str">
        <f t="shared" ca="1" si="624"/>
        <v>PIERDE TOMA DE TAMIZAJE</v>
      </c>
      <c r="FM139" s="22" t="s">
        <v>867</v>
      </c>
      <c r="FN139" s="32">
        <v>44995</v>
      </c>
      <c r="FO139" s="29" t="str">
        <f t="shared" ca="1" si="442"/>
        <v>REGISTRAR EN I TRIMESTRE</v>
      </c>
      <c r="FP139" s="22"/>
      <c r="FQ139" s="32"/>
      <c r="FR139" s="29" t="str">
        <f t="shared" ca="1" si="443"/>
        <v>TOMA INMEDIATA DE TAMIZAJE</v>
      </c>
      <c r="FS139" s="22"/>
      <c r="FT139" s="32"/>
      <c r="FU139" s="29" t="str">
        <f>IF(AND(FJ139="",FM139="",FP139="",FS139=""),"",IF(OR(OR(Tabla1[[#This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39" s="28"/>
      <c r="FW139" s="22"/>
      <c r="FX139" s="29" t="str">
        <f t="shared" si="625"/>
        <v>TOMAR EXAMEN</v>
      </c>
      <c r="FY139" s="22">
        <v>44995</v>
      </c>
      <c r="FZ139" s="22">
        <v>44995</v>
      </c>
      <c r="GA139" s="29">
        <f t="shared" ca="1" si="498"/>
        <v>12.299999999999793</v>
      </c>
      <c r="GB139" s="22" t="s">
        <v>868</v>
      </c>
      <c r="GC139" s="22">
        <v>44995</v>
      </c>
      <c r="GD139" s="29" t="str">
        <f t="shared" ca="1" si="491"/>
        <v>REGISTRAR EN I TRIMESTRE</v>
      </c>
      <c r="GE139" s="22"/>
      <c r="GF139" s="22"/>
      <c r="GG139" s="29" t="str">
        <f t="shared" ca="1" si="445"/>
        <v>TOMA INMEDIATA DE TAMIZAJE</v>
      </c>
      <c r="GH139" s="22"/>
      <c r="GI139" s="29"/>
      <c r="GJ139" s="22"/>
      <c r="GK139" s="22"/>
      <c r="GL139" s="22"/>
      <c r="GM139" s="22"/>
      <c r="GN139" s="28"/>
      <c r="GO139" s="22"/>
      <c r="GP139" s="29" t="str">
        <f t="shared" si="626"/>
        <v>TOMAR EXAMEN</v>
      </c>
      <c r="GQ139" s="28" t="s">
        <v>880</v>
      </c>
      <c r="GR139" s="28" t="s">
        <v>869</v>
      </c>
      <c r="GS139" s="22" t="str">
        <f t="shared" si="627"/>
        <v>SE EXCLUYE INFECCION</v>
      </c>
      <c r="GT139" s="22">
        <v>44995</v>
      </c>
      <c r="GU139" s="29">
        <f t="shared" si="628"/>
        <v>15.857142857142858</v>
      </c>
      <c r="GV139" s="21" t="str">
        <f t="shared" si="629"/>
        <v>II TRIM</v>
      </c>
      <c r="GW139" s="28" t="s">
        <v>869</v>
      </c>
      <c r="GX139" s="30"/>
      <c r="GY139" s="21"/>
      <c r="GZ139" s="21"/>
      <c r="HA139" s="21"/>
      <c r="HB139" s="21"/>
      <c r="HC139" s="21"/>
      <c r="HD139" s="21"/>
      <c r="HE139" s="21"/>
      <c r="HF139" s="22"/>
      <c r="HG139" s="22" t="str">
        <f>IF(OR(O139&gt;0,R139&gt;0),CONCATENATE(IF(Tabla1[[#This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39" s="22" t="e">
        <f t="shared" si="630"/>
        <v>#REF!</v>
      </c>
      <c r="HI139" s="22" t="e">
        <f t="shared" ca="1" si="631"/>
        <v>#REF!</v>
      </c>
      <c r="HJ139" s="21" t="str">
        <f t="shared" ca="1" si="632"/>
        <v>**********************MULTIPARIDAD*****************</v>
      </c>
      <c r="HK139" s="21" t="str">
        <f t="shared" si="633"/>
        <v>SIN ANTECEDENTES DE RIESGO</v>
      </c>
      <c r="HL139" s="24" t="str">
        <f t="shared" si="634"/>
        <v>VIGILAR CIFRAS PRESION ARTERIAL</v>
      </c>
      <c r="HM139" s="21" t="e">
        <f t="shared" ca="1" si="635"/>
        <v>#REF!</v>
      </c>
      <c r="HN139" s="30" t="str">
        <f t="shared" si="446"/>
        <v>ACTIVA INGRESO A CPN</v>
      </c>
      <c r="HO139" s="21"/>
      <c r="HP139" s="21"/>
      <c r="HQ139" s="21">
        <v>44995</v>
      </c>
      <c r="HR139" s="21" t="str">
        <f>IF(R139="","",IF(Tabla1[[#This Row],[ALARMA FACTORES DE RIESGO COMPLICACIONES HIPERTENSIVAS3]]="SIN ANTECEDENTES DE RIESGO","No Aplica para suministro de ASA",IF(AND(Tabla1[[#This Row],[FECHA INICIO DE SUMINISTRO DE ASA]]&gt;0,RV139&lt;12),"Inicia ASA ANTES de Sem 12",IF(AND(RV139&gt;11,RV139&lt;17,OR(HK139="RIESGO ALTO DE COMPLICACIONES HIPERTENSIVAS VER MANEJO GUIA SUMINISTRO ASA Y CALCIO",HK139="RIESGO MODERADO (2 O MAS CRITERIOS) VER MANEJO GUIA SUMINISTRO ASA Y CALCIO")),"Inicio oportuno de ASA",IF(AND(RV139&gt;12,OR(HK139="RIESGO ALTO DE COMPLICACIONES HIPERTENSIVAS VER MANEJO GUIA SUMINISTRO ASA Y CALCIO",HK139="RIESGO MODERADO (2 O MAS CRITERIOS) VER MANEJO GUIA SUMINISTRO ASA Y CALCIO")),"Inicio no oportuno mayor a 16 semanas",IF(AND(BU139&lt;12,OR(HK139="RIESGO ALTO DE COMPLICACIONES HIPERTENSIVAS VER MANEJO GUIA SUMINISTRO ASA Y CALCIO",HK139="RIESGO MODERADO (2 O MAS CRITERIOS) VER MANEJO GUIA SUMINISTRO ASA Y CALCIO")),"Pendiente Inicio de ASA a la semana 12",IF(AND(BU139&gt;11,BU139&lt;17,OR(HK139="RIESGO ALTO DE COMPLICACIONES HIPERTENSIVAS VER MANEJO GUIA SUMINISTRO ASA Y CALCIO",HK139="RIESGO MODERADO (2 O MAS CRITERIOS) VER MANEJO GUIA SUMINISTRO ASA Y CALCIO")),"Iniciar de inmediato ASA",IF(AND(BU139&gt;16,OR(HK139="RIESGO ALTO DE COMPLICACIONES HIPERTENSIVAS VER MANEJO GUIA SUMINISTRO ASA Y CALCIO",HK139="RIESGO MODERADO (2 O MAS CRITERIOS) VER MANEJO GUIA SUMINISTRO ASA Y CALCIO")),"Pierde Oportunidad, Inicio tardío de ASA","XXXXX"))))))))</f>
        <v>No Aplica para suministro de ASA</v>
      </c>
      <c r="HS139" s="22">
        <v>44995</v>
      </c>
      <c r="HT139" s="22" t="s">
        <v>870</v>
      </c>
      <c r="HU139" s="22">
        <v>44995</v>
      </c>
      <c r="HV139" s="22" t="s">
        <v>870</v>
      </c>
      <c r="HW139" s="22">
        <v>44995</v>
      </c>
      <c r="HX139" s="22" t="s">
        <v>870</v>
      </c>
      <c r="HY139" s="22">
        <v>44995</v>
      </c>
      <c r="HZ139" s="28">
        <f t="shared" si="636"/>
        <v>12.299999999999793</v>
      </c>
      <c r="IA139" s="26" t="s">
        <v>864</v>
      </c>
      <c r="IB139" s="26"/>
      <c r="IC139" s="111"/>
      <c r="ID139" s="22"/>
      <c r="IE139" s="22" t="str">
        <f t="shared" ca="1" si="637"/>
        <v/>
      </c>
      <c r="IF139" s="22"/>
      <c r="IG139" s="22">
        <f t="shared" si="638"/>
        <v>45188.9</v>
      </c>
      <c r="IH139" s="29">
        <f t="shared" ca="1" si="639"/>
        <v>-43.099999999998545</v>
      </c>
      <c r="II139" s="22" t="str">
        <f t="shared" ca="1" si="640"/>
        <v>POSIBLEMENTE NACIO</v>
      </c>
      <c r="IJ139" s="22"/>
      <c r="IK139" s="21"/>
      <c r="IL139" s="21"/>
      <c r="IM139" s="34"/>
      <c r="IN139" s="349"/>
      <c r="IO139" s="21"/>
      <c r="IP139" s="29" t="str">
        <f t="shared" ref="IP139:IP170" si="674">IF(AND(IN139&gt;0,IK139&lt;&gt;""),SUM(IN139-RW139)/7,"")</f>
        <v/>
      </c>
      <c r="IQ139" s="35"/>
      <c r="IR139" s="21"/>
      <c r="IS139" s="21"/>
      <c r="IT139" s="21"/>
      <c r="IU139" s="21"/>
      <c r="IV139" s="21"/>
      <c r="IW139" s="21"/>
      <c r="IX139" s="21"/>
      <c r="IY139" s="21"/>
      <c r="IZ139" s="21"/>
      <c r="JA139" s="21"/>
      <c r="JB139" s="30"/>
      <c r="JC139" s="21"/>
      <c r="JD139" s="36"/>
      <c r="JE139" s="21" t="str">
        <f t="shared" si="492"/>
        <v/>
      </c>
      <c r="JF139" s="30"/>
      <c r="JG139" s="21"/>
      <c r="JH139" s="21"/>
      <c r="JI139" s="21"/>
      <c r="JJ139" s="30"/>
      <c r="JK139" s="22"/>
      <c r="JL139" s="22"/>
      <c r="JM139" s="21"/>
      <c r="JN139" s="36"/>
      <c r="JO139" s="21" t="str">
        <f t="shared" si="493"/>
        <v/>
      </c>
      <c r="JP139" s="22"/>
      <c r="JQ139" s="21"/>
      <c r="JR139" s="21"/>
      <c r="JS139" s="21"/>
      <c r="JT139" s="30"/>
      <c r="JU139" s="22"/>
      <c r="JV139" s="22"/>
      <c r="JW139" s="33"/>
      <c r="JX139" s="28" t="str">
        <f t="shared" si="494"/>
        <v/>
      </c>
      <c r="JY139" s="33"/>
      <c r="JZ139" s="28" t="str">
        <f t="shared" si="495"/>
        <v/>
      </c>
      <c r="KA139" s="21"/>
      <c r="KB139" s="21"/>
      <c r="KC139" s="21"/>
      <c r="KD139" s="37"/>
      <c r="KE139" s="28"/>
      <c r="KF139" s="28"/>
      <c r="KG139" s="28"/>
      <c r="KH139" s="39"/>
      <c r="KI139" s="39"/>
      <c r="KJ139" s="66"/>
      <c r="KK139" s="39"/>
      <c r="KL139" s="39"/>
      <c r="KM139" s="66"/>
      <c r="KN139" s="39"/>
      <c r="KO139" s="39"/>
      <c r="KP139" s="39"/>
      <c r="KQ139" s="39"/>
      <c r="KR139" s="39"/>
      <c r="KS139" s="39"/>
      <c r="KT139" s="39"/>
      <c r="KU139" s="38"/>
      <c r="KV139" s="38"/>
      <c r="KW139" s="38"/>
      <c r="KX139" s="38"/>
      <c r="KY139" s="38"/>
      <c r="KZ139" s="38"/>
      <c r="LA139" s="38"/>
      <c r="LB139" s="38"/>
      <c r="LC139" s="38"/>
      <c r="LD139" s="38"/>
      <c r="LE139" s="38"/>
      <c r="LF139" s="38"/>
      <c r="LG139" s="38"/>
      <c r="LH139" s="38"/>
      <c r="LI139" s="38"/>
      <c r="LJ139" s="38"/>
      <c r="LK139" s="38"/>
      <c r="LL139" s="38"/>
      <c r="LM139" s="38"/>
      <c r="LN139" s="38"/>
      <c r="LO139" s="38"/>
      <c r="LP139" s="38"/>
      <c r="LQ139" s="38"/>
      <c r="LR139" s="38"/>
      <c r="LS139" s="38"/>
      <c r="LT139" s="38"/>
      <c r="LU139" s="38"/>
      <c r="LV139" s="38"/>
      <c r="LW139" s="38"/>
      <c r="LX139" s="38"/>
      <c r="LY139" s="38"/>
      <c r="LZ139" s="38"/>
      <c r="MA139" s="38"/>
      <c r="MB139" s="38"/>
      <c r="MC139" s="38"/>
      <c r="MD139" s="38"/>
      <c r="ME139" s="38"/>
      <c r="MF139" s="38"/>
      <c r="MG139" s="38"/>
      <c r="MH139" s="43">
        <f t="shared" si="641"/>
        <v>0</v>
      </c>
      <c r="MI139" s="43" t="str">
        <f t="shared" si="642"/>
        <v/>
      </c>
      <c r="MJ139" s="43" t="str">
        <f t="shared" si="643"/>
        <v/>
      </c>
      <c r="MK139" s="43">
        <f t="shared" si="644"/>
        <v>0</v>
      </c>
      <c r="ML13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39" s="43">
        <f t="shared" si="645"/>
        <v>12.299999999999793</v>
      </c>
      <c r="MN139" s="43">
        <f t="shared" si="646"/>
        <v>3</v>
      </c>
      <c r="MO139" s="43">
        <f t="shared" si="647"/>
        <v>2023</v>
      </c>
      <c r="MP139" s="43" t="str">
        <f t="shared" si="648"/>
        <v>I TRIMESTRE AÑO</v>
      </c>
      <c r="MQ139" s="43">
        <f t="shared" si="649"/>
        <v>17.474266316250546</v>
      </c>
      <c r="MR139" s="43">
        <f t="shared" si="650"/>
        <v>0</v>
      </c>
      <c r="MS139" s="43" t="str">
        <f t="shared" si="651"/>
        <v>DE 14 A 19AÑOS</v>
      </c>
      <c r="MT139" s="43">
        <f t="shared" si="652"/>
        <v>0</v>
      </c>
      <c r="MU139" s="43">
        <f t="shared" si="653"/>
        <v>1</v>
      </c>
      <c r="MV139" s="43">
        <f t="shared" si="654"/>
        <v>0</v>
      </c>
      <c r="MW139" s="43">
        <f t="shared" si="655"/>
        <v>0</v>
      </c>
      <c r="MX139" s="43" t="str">
        <f t="shared" si="656"/>
        <v/>
      </c>
      <c r="MY139" s="43" t="str">
        <f t="shared" ca="1" si="496"/>
        <v/>
      </c>
      <c r="MZ139" s="43" t="str">
        <f t="shared" si="657"/>
        <v/>
      </c>
      <c r="NA139" s="43" t="str">
        <f t="shared" si="658"/>
        <v/>
      </c>
      <c r="NB139" s="43" t="str">
        <f t="shared" si="659"/>
        <v/>
      </c>
      <c r="NC139" s="43" t="str">
        <f t="shared" si="660"/>
        <v/>
      </c>
      <c r="ND139" s="43">
        <f t="shared" ca="1" si="661"/>
        <v>1</v>
      </c>
      <c r="NE139" s="43">
        <f>IF(OR(O139&gt;0,R139&gt;0),SUM(COUNTIF(Tabla1[[#This Row],[AÑOS AL INICIO5 CPN]],"&gt;=40"),COUNTIF(AS139,"0"),COUNTIF(AR139,"SI"),COUNTIF(CC139,"SI"),COUNTIF(BQ139,"&gt;119"),COUNTIF(CI139,"&gt;=35")),"")</f>
        <v>1</v>
      </c>
      <c r="NF139" s="43" t="str">
        <f t="shared" si="662"/>
        <v/>
      </c>
      <c r="NG139" s="43">
        <f t="shared" si="663"/>
        <v>0</v>
      </c>
      <c r="NH139" s="43">
        <f t="shared" si="664"/>
        <v>107.10000000000001</v>
      </c>
      <c r="NI139"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CPN",P139="NO"),"Z",IF(AND(Tabla1[[#This Row],[CITA PROXIMO CONTROL]]="CITA MANUAL",Tabla1[[#This Row],[GESTANTES ACTUALES]]="ACTIVA INGRESO A CPN"),"W",IF(AND(Tabla1[[#This Row],[GESTANTES ACTUALES]]="SALIO PROGRAMA",IN139=""),"S",IF(AND(Tabla1[[#This Row],[CITA PROXIMO CONTROL]]&gt;0,IN139=""),(Tabla1[[#This Row],[CITA PROXIMO CONTROL]]-TODAY()),"SD"))))))))</f>
        <v>#REF!</v>
      </c>
      <c r="NJ139" s="43">
        <f>MONTH(Tabla1[[#This Row],[FECHA DE SALIDA  DEL PROGRAMA]])</f>
        <v>1</v>
      </c>
      <c r="NK139" s="43">
        <f>YEAR(Tabla1[[#This Row],[FECHA DE SALIDA  DEL PROGRAMA]])</f>
        <v>1900</v>
      </c>
      <c r="NL139" s="43">
        <f t="shared" si="665"/>
        <v>145</v>
      </c>
      <c r="NM139" s="43" t="str">
        <f t="shared" si="501"/>
        <v>NO</v>
      </c>
      <c r="NN139" s="43" t="str">
        <f ca="1">IF(AND(O139&gt;0,R139=""),"NO CPN",IF(AND(O139="",R139=""),"",IF(AND(R139&gt;0,Tabla1[[#This Row],[SEMANAS DE GESTACION ACTUALIZADAS]]&lt;=12),"NO APLICA",IF(AND(FH139&lt;&gt;"",FN139&lt;&gt;""),"SI","NO"))))</f>
        <v>NO</v>
      </c>
      <c r="NO139" s="43" t="str">
        <f ca="1">IF(AND(O139&gt;0,R139=""),"NO CPN",IF(AND(O139="",R139=""),"",IF(AND(R139&gt;0,Tabla1[[#This Row],[SEMANAS DE GESTACION ACTUALIZADAS]]&lt;=27),"NO APLICA",IF(AND(ES139&lt;&gt;"",FQ139&lt;&gt;"",GF139&lt;&gt;""),"SI","NO"))))</f>
        <v>NO</v>
      </c>
      <c r="NP139" s="204" t="str">
        <f t="shared" si="666"/>
        <v>II TRIM</v>
      </c>
      <c r="NQ139" s="21">
        <f t="shared" si="500"/>
        <v>1</v>
      </c>
      <c r="NR139" s="21" t="str">
        <f t="shared" ca="1" si="497"/>
        <v>REVISAR FUM O FECHA SALIDA PROGRAMA</v>
      </c>
      <c r="NS139" s="205">
        <f t="shared" ca="1" si="667"/>
        <v>0</v>
      </c>
      <c r="NT139" s="21">
        <f t="shared" ca="1" si="668"/>
        <v>1</v>
      </c>
      <c r="NU139" s="21" t="str">
        <f t="shared" ca="1" si="669"/>
        <v>POR DEFINIR</v>
      </c>
      <c r="NV139" s="21" t="str">
        <f t="shared" ca="1" si="670"/>
        <v>POR DEFINIR</v>
      </c>
      <c r="NW139" s="206" t="str">
        <f>IF(AND(O139="",R139=""),"",IF(OR(AND(Tabla1[[#This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39" s="207" t="str">
        <f t="shared" ca="1" si="671"/>
        <v>SIN VACUNAR</v>
      </c>
      <c r="NY139" s="43">
        <f>ROW(Tabla1[[#This Row],['# DE TAMIZAJES SIFILIS TOMADOS ]])</f>
        <v>139</v>
      </c>
      <c r="NZ139" s="43">
        <f t="shared" si="502"/>
        <v>12</v>
      </c>
      <c r="OA139" s="43" t="str">
        <f t="shared" si="503"/>
        <v/>
      </c>
      <c r="OB139" s="43" t="str">
        <f t="shared" si="504"/>
        <v/>
      </c>
      <c r="OC139" s="43" t="str">
        <f t="shared" si="505"/>
        <v/>
      </c>
      <c r="OD139" s="43" t="str">
        <f t="shared" si="506"/>
        <v>BAJO PESO</v>
      </c>
      <c r="OE139" s="43" t="str">
        <f t="shared" si="507"/>
        <v/>
      </c>
      <c r="OF139" s="43" t="str">
        <f t="shared" si="508"/>
        <v/>
      </c>
      <c r="OG139" s="43" t="str">
        <f t="shared" si="509"/>
        <v/>
      </c>
      <c r="OH139" s="43" t="str">
        <f t="shared" si="510"/>
        <v/>
      </c>
      <c r="OI139" s="43" t="str">
        <f t="shared" si="511"/>
        <v/>
      </c>
      <c r="OJ139" s="43" t="str">
        <f t="shared" si="512"/>
        <v/>
      </c>
      <c r="OK139" s="43" t="str">
        <f t="shared" si="513"/>
        <v/>
      </c>
      <c r="OL139" s="43" t="str">
        <f t="shared" si="514"/>
        <v/>
      </c>
      <c r="OM139" s="43" t="str">
        <f t="shared" si="515"/>
        <v/>
      </c>
      <c r="ON139" s="43" t="str">
        <f t="shared" si="516"/>
        <v/>
      </c>
      <c r="OO139" s="43" t="str">
        <f t="shared" si="517"/>
        <v/>
      </c>
      <c r="OP139" s="43" t="str">
        <f t="shared" si="518"/>
        <v/>
      </c>
      <c r="OQ139" s="43" t="str">
        <f t="shared" si="519"/>
        <v/>
      </c>
      <c r="OR139" s="43" t="str">
        <f t="shared" si="520"/>
        <v/>
      </c>
      <c r="OS139" s="43" t="str">
        <f t="shared" si="521"/>
        <v/>
      </c>
      <c r="OT139" s="43" t="str">
        <f t="shared" si="522"/>
        <v/>
      </c>
      <c r="OU139" s="43" t="str">
        <f t="shared" si="523"/>
        <v/>
      </c>
      <c r="OV139" s="110" t="str">
        <f t="shared" si="524"/>
        <v/>
      </c>
      <c r="OW139" s="43" t="str">
        <f t="shared" si="525"/>
        <v/>
      </c>
      <c r="OX139" s="43" t="str">
        <f t="shared" si="526"/>
        <v/>
      </c>
      <c r="OY139" s="43" t="str">
        <f t="shared" si="527"/>
        <v/>
      </c>
      <c r="OZ139" s="43" t="str">
        <f t="shared" si="528"/>
        <v/>
      </c>
      <c r="PA139" s="43" t="str">
        <f t="shared" si="529"/>
        <v/>
      </c>
      <c r="PB139" s="43" t="str">
        <f t="shared" si="530"/>
        <v/>
      </c>
      <c r="PC139" s="43" t="str">
        <f t="shared" si="531"/>
        <v/>
      </c>
      <c r="PD139" s="43" t="str">
        <f t="shared" si="532"/>
        <v/>
      </c>
      <c r="PE139" s="43" t="str">
        <f t="shared" si="533"/>
        <v/>
      </c>
      <c r="PF139" s="43" t="str">
        <f t="shared" si="534"/>
        <v/>
      </c>
      <c r="PG139" s="43" t="str">
        <f t="shared" si="535"/>
        <v/>
      </c>
      <c r="PH139" s="43" t="str">
        <f t="shared" si="536"/>
        <v/>
      </c>
      <c r="PI139" s="43">
        <f t="shared" si="537"/>
        <v>36</v>
      </c>
      <c r="PJ139" s="43" t="str">
        <f t="shared" si="538"/>
        <v/>
      </c>
      <c r="PK139" s="43" t="str">
        <f t="shared" si="539"/>
        <v/>
      </c>
      <c r="PL139" s="43" t="str">
        <f t="shared" si="540"/>
        <v/>
      </c>
      <c r="PM139" s="43" t="str">
        <f t="shared" si="541"/>
        <v/>
      </c>
      <c r="PN139" s="43" t="str">
        <f t="shared" si="542"/>
        <v/>
      </c>
      <c r="PO139" s="43" t="str">
        <f t="shared" si="543"/>
        <v/>
      </c>
      <c r="PP139" s="43" t="str">
        <f t="shared" si="544"/>
        <v/>
      </c>
      <c r="PQ139" s="43" t="str">
        <f t="shared" si="545"/>
        <v/>
      </c>
      <c r="PR139" s="43" t="str">
        <f t="shared" si="546"/>
        <v/>
      </c>
      <c r="PS139" s="43" t="str">
        <f t="shared" si="547"/>
        <v/>
      </c>
      <c r="PT139" s="43" t="str">
        <f t="shared" si="548"/>
        <v/>
      </c>
      <c r="PU139" s="43" t="str">
        <f t="shared" si="549"/>
        <v/>
      </c>
      <c r="PV139" s="43" t="str">
        <f t="shared" si="550"/>
        <v/>
      </c>
      <c r="PW139" s="43" t="str">
        <f t="shared" si="551"/>
        <v/>
      </c>
      <c r="PX139" s="43" t="str">
        <f t="shared" si="552"/>
        <v/>
      </c>
      <c r="PY139" s="43" t="str">
        <f t="shared" si="553"/>
        <v/>
      </c>
      <c r="PZ139" s="43" t="str">
        <f t="shared" si="554"/>
        <v/>
      </c>
      <c r="QA139" s="43" t="str">
        <f t="shared" si="555"/>
        <v/>
      </c>
      <c r="QB139" s="43" t="str">
        <f t="shared" si="556"/>
        <v/>
      </c>
      <c r="QC139" s="43" t="str">
        <f t="shared" si="557"/>
        <v/>
      </c>
      <c r="QD139" s="43" t="str">
        <f t="shared" si="558"/>
        <v/>
      </c>
      <c r="QE139" s="43" t="str">
        <f t="shared" si="559"/>
        <v/>
      </c>
      <c r="QF139" s="43" t="str">
        <f t="shared" si="560"/>
        <v/>
      </c>
      <c r="QG139" s="43" t="str">
        <f t="shared" si="561"/>
        <v/>
      </c>
      <c r="QH139" s="43" t="str">
        <f t="shared" si="562"/>
        <v/>
      </c>
      <c r="QI139" s="43" t="str">
        <f t="shared" si="563"/>
        <v/>
      </c>
      <c r="QJ139" s="43" t="str">
        <f t="shared" si="564"/>
        <v/>
      </c>
      <c r="QK139" s="43" t="str">
        <f t="shared" si="565"/>
        <v>NORMAL</v>
      </c>
      <c r="QL139" s="43" t="str">
        <f t="shared" si="566"/>
        <v/>
      </c>
      <c r="QM139" s="43" t="str">
        <f t="shared" si="567"/>
        <v/>
      </c>
      <c r="QN139" s="43" t="str">
        <f t="shared" si="568"/>
        <v/>
      </c>
      <c r="QO139" s="43" t="str">
        <f t="shared" si="569"/>
        <v/>
      </c>
      <c r="QP139" s="43" t="str">
        <f t="shared" si="570"/>
        <v/>
      </c>
      <c r="QQ139" s="43" t="str">
        <f t="shared" si="571"/>
        <v/>
      </c>
      <c r="QR139" s="43">
        <f t="shared" si="672"/>
        <v>36</v>
      </c>
      <c r="QS139" s="43"/>
      <c r="QT139" s="21" t="str">
        <f t="shared" si="572"/>
        <v/>
      </c>
      <c r="QU139" s="21" t="str">
        <f t="shared" si="573"/>
        <v/>
      </c>
      <c r="QV139" s="21" t="str">
        <f t="shared" si="574"/>
        <v/>
      </c>
      <c r="QW139" s="21" t="str">
        <f t="shared" si="575"/>
        <v/>
      </c>
      <c r="QX139" s="21" t="str">
        <f t="shared" si="576"/>
        <v/>
      </c>
      <c r="QY139" s="21" t="str">
        <f t="shared" si="577"/>
        <v/>
      </c>
      <c r="QZ139" s="21" t="str">
        <f t="shared" si="578"/>
        <v/>
      </c>
      <c r="RA139" s="21" t="str">
        <f t="shared" si="579"/>
        <v/>
      </c>
      <c r="RB139" s="21" t="str">
        <f t="shared" si="580"/>
        <v/>
      </c>
      <c r="RC139" s="21" t="str">
        <f t="shared" si="581"/>
        <v/>
      </c>
      <c r="RD139" s="21" t="str">
        <f t="shared" si="582"/>
        <v/>
      </c>
      <c r="RE139" s="21" t="str">
        <f t="shared" si="583"/>
        <v/>
      </c>
      <c r="RF139" s="21" t="str">
        <f t="shared" si="584"/>
        <v/>
      </c>
      <c r="RG139" s="21" t="str">
        <f t="shared" si="585"/>
        <v/>
      </c>
      <c r="RH139" s="21" t="str">
        <f t="shared" si="586"/>
        <v/>
      </c>
      <c r="RI139" s="21" t="str">
        <f t="shared" si="587"/>
        <v/>
      </c>
      <c r="RJ139" s="21" t="str">
        <f t="shared" si="588"/>
        <v/>
      </c>
      <c r="RK139" s="21" t="str">
        <f t="shared" si="589"/>
        <v/>
      </c>
      <c r="RL139" s="21" t="str">
        <f t="shared" si="590"/>
        <v/>
      </c>
      <c r="RM139" s="21" t="str">
        <f t="shared" si="591"/>
        <v/>
      </c>
      <c r="RN139" s="21" t="str">
        <f t="shared" si="592"/>
        <v/>
      </c>
      <c r="RO139" s="21" t="str">
        <f t="shared" si="593"/>
        <v/>
      </c>
      <c r="RP139" s="21" t="str">
        <f t="shared" si="594"/>
        <v/>
      </c>
      <c r="RQ139" s="21" t="str">
        <f t="shared" si="595"/>
        <v>ALTO PARA EDAD GESTACIONAL</v>
      </c>
      <c r="RR139" s="21" t="str">
        <f t="shared" si="596"/>
        <v/>
      </c>
      <c r="RS139" s="21" t="str">
        <f t="shared" si="597"/>
        <v/>
      </c>
      <c r="RT139" s="21" t="str">
        <f t="shared" si="598"/>
        <v/>
      </c>
      <c r="RU139" s="21" t="str">
        <f t="shared" si="599"/>
        <v/>
      </c>
      <c r="RV139" s="21">
        <f t="shared" si="600"/>
        <v>12.299999999999793</v>
      </c>
      <c r="RW139" s="284">
        <f>IF(OR(Tabla1[[#This Row],[FUM FORMULA CONFIABLE]]="",Tabla1[[#This Row],[FUM FORMULA CONFIABLE]]="SD"),"",IF(Tabla1[[#This Row],[FUM FORMULA CONFIABLE]]="CORREGIDA",Tabla1[[#This Row],[FUM X ECO 1]],Tabla1[[#This Row],[FUM x AMENORREA]]))</f>
        <v>44908.9</v>
      </c>
      <c r="RX139" s="21">
        <f>IF(AND(Tabla1[[#This Row],[FUM X ECO 1]]="",Tabla1[[#This Row],[FUM x AMENORREA]]=""),"",IF(AND(Tabla1[[#This Row],[FUM X ECO 1]]="",Tabla1[[#This Row],[FUM x AMENORREA]]&lt;&gt;""),"X",SUM(Tabla1[[#This Row],[FUM X ECO 1]]-Tabla1[[#This Row],[FUM x AMENORREA]])))</f>
        <v>24.900000000001455</v>
      </c>
      <c r="RY139" s="21">
        <f t="shared" si="673"/>
        <v>1</v>
      </c>
    </row>
    <row r="140" spans="1:493" ht="45" customHeight="1" x14ac:dyDescent="0.25">
      <c r="A140" s="109"/>
      <c r="B140" s="43"/>
      <c r="C140" s="43" t="s">
        <v>845</v>
      </c>
      <c r="D140" s="124"/>
      <c r="E140" s="43" t="s">
        <v>1147</v>
      </c>
      <c r="F140" s="43" t="s">
        <v>1091</v>
      </c>
      <c r="G140" s="43" t="s">
        <v>1413</v>
      </c>
      <c r="H140" s="43" t="s">
        <v>1414</v>
      </c>
      <c r="I140" s="109" t="s">
        <v>851</v>
      </c>
      <c r="J140" s="110">
        <v>1059594835</v>
      </c>
      <c r="K140" s="43" t="s">
        <v>852</v>
      </c>
      <c r="L140" s="175" t="s">
        <v>1509</v>
      </c>
      <c r="M140" s="22">
        <v>38404</v>
      </c>
      <c r="N140" s="213">
        <f t="shared" ca="1" si="601"/>
        <v>18.706849315068492</v>
      </c>
      <c r="O140" s="22">
        <v>45016</v>
      </c>
      <c r="P140" s="214" t="str">
        <f t="shared" si="438"/>
        <v>SI</v>
      </c>
      <c r="Q140" s="26" t="s">
        <v>855</v>
      </c>
      <c r="R140" s="22">
        <v>45016</v>
      </c>
      <c r="S140" s="21" t="s">
        <v>856</v>
      </c>
      <c r="T140" s="24" t="s">
        <v>690</v>
      </c>
      <c r="U140" s="21" t="s">
        <v>857</v>
      </c>
      <c r="V140" s="21" t="s">
        <v>858</v>
      </c>
      <c r="W140" s="21" t="s">
        <v>999</v>
      </c>
      <c r="X140" s="21"/>
      <c r="Y140" s="21"/>
      <c r="Z140" s="21">
        <v>3103401583</v>
      </c>
      <c r="AA140" s="21" t="s">
        <v>860</v>
      </c>
      <c r="AB140" s="27" t="s">
        <v>861</v>
      </c>
      <c r="AC140" s="26" t="s">
        <v>888</v>
      </c>
      <c r="AD140" s="38"/>
      <c r="AE140" s="26" t="s">
        <v>854</v>
      </c>
      <c r="AF140" s="26" t="s">
        <v>854</v>
      </c>
      <c r="AG140" s="23" t="s">
        <v>864</v>
      </c>
      <c r="AH140" s="23" t="s">
        <v>864</v>
      </c>
      <c r="AI140" s="24" t="s">
        <v>863</v>
      </c>
      <c r="AJ140" s="23" t="s">
        <v>864</v>
      </c>
      <c r="AK140" s="220" t="str">
        <f>IF(AND(AD140="",AE140="",AF140="",AG140="",AH140="",AI140="",AJ140=""),"",IF(OR(Tabla1[[#This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EVALUACIÓN",IF(AND(O140="",R140=""),"",IF(AND(OR(O140&gt;0,R140&gt;0),NG140&gt;=0,NG140&lt;2),"SIN RIESGO",IF(AND(OR(O140&gt;0,R140&gt;0),NG140&gt;=2),"CON RIESGO","ASD")))))</f>
        <v>SIN RIESGO</v>
      </c>
      <c r="AL140" s="23" t="s">
        <v>864</v>
      </c>
      <c r="AM140" s="26" t="s">
        <v>864</v>
      </c>
      <c r="AN140" s="26" t="s">
        <v>864</v>
      </c>
      <c r="AO140" s="26" t="s">
        <v>864</v>
      </c>
      <c r="AP140" s="26" t="s">
        <v>864</v>
      </c>
      <c r="AQ140" s="26" t="s">
        <v>864</v>
      </c>
      <c r="AR140" s="26" t="s">
        <v>864</v>
      </c>
      <c r="AS140" s="21">
        <v>0</v>
      </c>
      <c r="AT140" s="21">
        <v>0</v>
      </c>
      <c r="AU140" s="21">
        <v>0</v>
      </c>
      <c r="AV140" s="26" t="s">
        <v>864</v>
      </c>
      <c r="AW140" s="21">
        <v>0</v>
      </c>
      <c r="AX140" s="26" t="s">
        <v>864</v>
      </c>
      <c r="AY140" s="26" t="s">
        <v>864</v>
      </c>
      <c r="AZ140" s="26" t="s">
        <v>864</v>
      </c>
      <c r="BA140" s="26" t="s">
        <v>864</v>
      </c>
      <c r="BB140" s="26" t="s">
        <v>864</v>
      </c>
      <c r="BC140" s="26" t="s">
        <v>864</v>
      </c>
      <c r="BD140" s="26" t="s">
        <v>864</v>
      </c>
      <c r="BE140" s="26" t="s">
        <v>864</v>
      </c>
      <c r="BF140" s="26" t="s">
        <v>864</v>
      </c>
      <c r="BG140" s="26" t="s">
        <v>864</v>
      </c>
      <c r="BH140" s="26" t="s">
        <v>864</v>
      </c>
      <c r="BI140" s="26" t="s">
        <v>864</v>
      </c>
      <c r="BJ140" s="26"/>
      <c r="BK140" s="26"/>
      <c r="BL140" s="26" t="s">
        <v>864</v>
      </c>
      <c r="BM140" s="26" t="s">
        <v>864</v>
      </c>
      <c r="BN140" s="22"/>
      <c r="BO140" s="22">
        <v>44788</v>
      </c>
      <c r="BP140" s="21" t="s">
        <v>854</v>
      </c>
      <c r="BQ140" s="222">
        <f t="shared" si="602"/>
        <v>0</v>
      </c>
      <c r="BR140" s="223">
        <f t="shared" si="603"/>
        <v>44862</v>
      </c>
      <c r="BS140" s="224">
        <f t="shared" si="604"/>
        <v>32.571428571428569</v>
      </c>
      <c r="BT140" s="216" t="str">
        <f t="shared" si="605"/>
        <v>III TRIM</v>
      </c>
      <c r="BU140" s="214" t="str">
        <f t="shared" ca="1" si="606"/>
        <v/>
      </c>
      <c r="BV140" s="25"/>
      <c r="BW140" s="22">
        <v>45016</v>
      </c>
      <c r="BX140" s="28">
        <v>22</v>
      </c>
      <c r="BY140" s="28"/>
      <c r="BZ140" s="22"/>
      <c r="CA140" s="21"/>
      <c r="CB140" s="26" t="s">
        <v>864</v>
      </c>
      <c r="CC140" s="26" t="s">
        <v>864</v>
      </c>
      <c r="CD140" s="26" t="s">
        <v>878</v>
      </c>
      <c r="CE140" s="26" t="s">
        <v>864</v>
      </c>
      <c r="CF140" s="22" t="s">
        <v>1517</v>
      </c>
      <c r="CG140" s="21"/>
      <c r="CH140" s="21"/>
      <c r="CI140" s="214" t="str">
        <f t="shared" si="607"/>
        <v>SD</v>
      </c>
      <c r="CJ140" s="225" t="str">
        <f>IF(AND(CI140&lt;10,CH140="SD"),"SIN DATO PESO PREGESTACION O I TRIM",IF(AND(OR(R140&gt;0,O140&gt;0),CI140="X"),"INGRESAR DATO DE PESO",IF(CI140="SD","INGRESAR DATO DE TALLA Y PESO",IF(AND(OR(Tabla1[[#This Row],[MOMENTO EN QUE SE REALIZA EL PESO AL INGRESO A CPN]]="PREGESTACIÓN",NZ140="Menor"),CI140&lt;18.5),"BAJO PESO",IF(AND(OR(Tabla1[[#This Row],[MOMENTO EN QUE SE REALIZA EL PESO AL INGRESO A CPN]]="PREGESTACIÓN",NZ140="Menor"),CI140&lt;25),"NORMAL",IF(AND(OR(Tabla1[[#This Row],[MOMENTO EN QUE SE REALIZA EL PESO AL INGRESO A CPN]]="PREGESTACIÓN",NZ140="Menor"),CI140&lt;30),"SOBREPESO",IF(AND(OR(Tabla1[[#This Row],[MOMENTO EN QUE SE REALIZA EL PESO AL INGRESO A CPN]]="PREGESTACIÓN",NZ140="Menor"),CI140&gt;=30,CI140&lt;50),"OBESIDAD",IF(AND(BS140&gt;0,Tabla1[[#This Row],[MOMENTO EN QUE SE REALIZA EL PESO AL INGRESO A CPN]]="GESTACIÓN"),HLOOKUP(NZ140,$OA$2:PH140,NY140),""))))))))</f>
        <v>INGRESAR DATO DE TALLA Y PESO</v>
      </c>
      <c r="CK140" s="212">
        <f t="shared" si="608"/>
        <v>45062</v>
      </c>
      <c r="CL140" s="21">
        <v>53.7</v>
      </c>
      <c r="CM140" s="214" t="str">
        <f t="shared" si="609"/>
        <v>SD</v>
      </c>
      <c r="CN140" s="216">
        <f t="shared" si="610"/>
        <v>39</v>
      </c>
      <c r="CO140" s="216" t="e">
        <f>IF(PI140="","",IF(PI140&gt;0,HLOOKUP(PI140,$PJ$2:QQ140,NY140),""))</f>
        <v>#REF!</v>
      </c>
      <c r="CP140" s="21"/>
      <c r="CQ140" s="216" t="e">
        <f>IF(QR140="Menor","NO APLICA-MENOR 13 SEM",IF(AND(CC140="SI",CN140&gt;23),"NO APLICA- GEMELAR",IF(QR140="","",IF(QR140&gt;0,HLOOKUP(QR140,$QS$2:RU140,NY140),""))))</f>
        <v>#REF!</v>
      </c>
      <c r="CR140" s="21"/>
      <c r="CS140" s="21"/>
      <c r="CT140" s="217" t="str">
        <f>IF(R140="","",IF(AND(BS140&gt;1,BS140&lt;12,Tabla1[[#This Row],[T.A. SISTOLICA - ANTES DE SEMANA 12]]="",Tabla1[[#This Row],[T.A. DIASTOLICA - ANTES DE SEMANA 12]]=""),"REGISTRE DATO TA ANTES SEMANA 12",IF(AND(BS140&gt;11,BS140&lt;43,Tabla1[[#This Row],[T.A. SISTOLICA - ANTES DE SEMANA 12]]="",Tabla1[[#This Row],[T.A. DIASTOLICA - ANTES DE SEMANA 12]]=""),"NO APLICA REGISTRO TA-INGRESO TARDIO",IF(AND(OR(O140&gt;0,R140&gt;0),OR(CR140&gt;=140,CS140&gt;=90)),"DEFINIR ESTADIO HTA",IF(AND(OR(O140&gt;0,R140&gt;0),AND(CR140&gt;120,CR140&lt;=139)),"PRE HTA SEGUIMIENTO",IF(AND(OR(O140&gt;0,R140&gt;0),AND(CS140&gt;80,CS140&lt;=89)),"PRE HTA SEGUIMIENTO",IF(AND(OR(O140&gt;0,R140&gt;0),AND(CR140&gt;=80,CR140&lt;=120)),"APARENTEMENTE NORMAL",IF(AND(OR(O140&gt;0,R140&gt;0),AND(CS140&gt;=50,CS140&lt;=80)),"APARENTEMENTE NORMAL",IF(AND(OR(O140&gt;0,R140&gt;0),AND(CR140&gt;1,CR140&lt;=70),AND(CS140&gt;1,CS140&lt;=40)),"HIPOTENSIÓN","")))))))))</f>
        <v>NO APLICA REGISTRO TA-INGRESO TARDIO</v>
      </c>
      <c r="CU140" s="21">
        <v>100</v>
      </c>
      <c r="CV140" s="21">
        <v>60</v>
      </c>
      <c r="CW140" s="217" t="str">
        <f ca="1">IF(R140="","",IF(AND(CN140&gt;19,CN140&lt;27,Tabla1[[#This Row],[T.A. SISTOLICA (Entre semana 20 y 26)]]="",Tabla1[[#This Row],[T.A. DIATOLICA (Entre semana 20 y 26)]]=""),"ACUDE A CONTROL SEM 20 A 26 REGISTRE TA AHORA",IF(AND(BS140&gt;1,BS140&lt;27,BU140&gt;19,Tabla1[[#This Row],[T.A. SISTOLICA (Entre semana 20 y 26)]]="",Tabla1[[#This Row],[T.A. DIATOLICA (Entre semana 20 y 26)]]=""),"COMPLETE REGISTRO TA CONTROL SEM 20 A26 ",IF(AND(BS140&gt;26,BS140&lt;43,Tabla1[[#This Row],[T.A. SISTOLICA (Entre semana 20 y 26)]]="",Tabla1[[#This Row],[T.A. DIATOLICA (Entre semana 20 y 26)]]=""),"NO APLICA REGISTRO TA-INGRESO TARDIO",IF(AND(OR(O140&gt;0,R140&gt;0),OR(CU140&gt;=140,CV140&gt;=90)),"ALTO RIESGO PREECLAMPSIA,DEFINIR ESTADIO HTA",IF(AND(OR(O140&gt;0,R140&gt;0),AND(CU140&gt;120,CU140&lt;=139)),"PRE HTA SEGUIMIENTO,RIESGO HIPERTENSION INDUCIDA POR EL EMBARAZO",IF(AND(OR(O140&gt;0,R140&gt;0),AND(CV140&gt;80,CV140&lt;=89)),"PRE HTA SEGUIMIENTO, RIESGO HIPERTENSION INDUCIDA POR EL EMBARAZO",IF(AND(OR(O140&lt;&gt;"",R140&lt;&gt;""),CS140&lt;&gt;"",CV140&lt;&gt;"",CS140&lt;=CV140),"VIGILAR CIFRAS PRESION ARTERIAL",IF(AND(OR(O140&gt;0,R140&gt;0),AND(CU140&gt;120,CU140&lt;=139)),"PRE HTA SEGUIMIENTO",IF(AND(OR(O140&gt;0,R140&gt;0),AND(CU140&gt;1,CU140&lt;=70),AND(CV140&gt;1,CV140&lt;=40)),"HIPOTENSIÓN",IF(AND(OR(O140&lt;&gt;"",R140&lt;&gt;""),CS140&lt;&gt;"",CV140&lt;&gt;"",CS140&gt;CV140),"APARENTEMENTE NORMAL",IF(AND(OR(O140&gt;0,R140&gt;0),AND(CU140&gt;=80,CU140&lt;=120)),"APARENTEMENTE NORMAL",IF(AND(OR(O140&gt;0,R140&gt;0),AND(CV140&gt;=50,CV140&lt;=80)),"APARENTEMENTE NORMAL","")))))))))))))</f>
        <v>APARENTEMENTE NORMAL</v>
      </c>
      <c r="CX140" s="21">
        <v>90</v>
      </c>
      <c r="CY140" s="21">
        <v>60</v>
      </c>
      <c r="CZ140" s="216" t="str">
        <f t="shared" si="499"/>
        <v>APARENTEMENTE NORMAL</v>
      </c>
      <c r="DA140" s="21">
        <v>90</v>
      </c>
      <c r="DB140" s="21">
        <v>70</v>
      </c>
      <c r="DC140" s="217" t="str">
        <f t="shared" si="611"/>
        <v>VIGILAR CIFRAS PRESION ARTERIAL</v>
      </c>
      <c r="DD140" s="22">
        <v>45016</v>
      </c>
      <c r="DE140" s="22">
        <v>45016</v>
      </c>
      <c r="DF140" s="22">
        <v>45062</v>
      </c>
      <c r="DG140" s="22"/>
      <c r="DH140" s="22"/>
      <c r="DI140" s="22"/>
      <c r="DJ140" s="22"/>
      <c r="DK140" s="22"/>
      <c r="DL140" s="22"/>
      <c r="DM140" s="22"/>
      <c r="DN140" s="22"/>
      <c r="DO140" s="22"/>
      <c r="DP140" s="22"/>
      <c r="DQ140" s="22"/>
      <c r="DR140" s="28">
        <v>1</v>
      </c>
      <c r="DS140" s="22"/>
      <c r="DT140" s="22"/>
      <c r="DU140" s="216" t="str">
        <f t="shared" ca="1" si="439"/>
        <v>SALE SIN PLAN DE PARTO</v>
      </c>
      <c r="DV140" s="226" t="str">
        <f t="shared" si="440"/>
        <v>SALIO PROGRAMA</v>
      </c>
      <c r="DW140"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40" s="216" t="str">
        <f t="shared" ca="1" si="612"/>
        <v/>
      </c>
      <c r="DY140" s="212">
        <f>IF(R140="","",IF(R140&gt;0,MAX(Tabla1[[#This Row],[FECHA C2]:[FECHA C13]],Tabla1[[#This Row],[FECHA CONSULTA PRIMERA VEZ PROGRAMA CPN ]])))</f>
        <v>45062</v>
      </c>
      <c r="DZ140" s="216">
        <f t="shared" si="613"/>
        <v>39</v>
      </c>
      <c r="EA140" s="222">
        <f>IF(R140&gt;0,SUM(COUNTA(DF140:DQ140)+COUNTA(Tabla1[[#This Row],[FECHA CONSULTA PRIMERA VEZ PROGRAMA CPN ]])),"")</f>
        <v>2</v>
      </c>
      <c r="EB140" s="222" t="str">
        <f t="shared" si="614"/>
        <v>NO</v>
      </c>
      <c r="EC140" s="214">
        <f t="shared" si="615"/>
        <v>3</v>
      </c>
      <c r="ED140" s="227">
        <f t="shared" si="616"/>
        <v>0.66666666666666663</v>
      </c>
      <c r="EE140" s="22">
        <v>45016</v>
      </c>
      <c r="EF140" s="22">
        <v>45016</v>
      </c>
      <c r="EG140" s="22">
        <v>45016</v>
      </c>
      <c r="EH140" s="22"/>
      <c r="EI140" s="22">
        <v>45016</v>
      </c>
      <c r="EJ140" s="22"/>
      <c r="EK140" s="22"/>
      <c r="EL140" s="21"/>
      <c r="EM140" s="21">
        <v>12.7</v>
      </c>
      <c r="EN140" s="22">
        <v>45016</v>
      </c>
      <c r="EO140" s="222">
        <f t="shared" si="617"/>
        <v>32.571428571428569</v>
      </c>
      <c r="EP140" s="214" t="str">
        <f t="shared" si="618"/>
        <v>NORMAL- SUMINISTRAR SULFATO FERROSO</v>
      </c>
      <c r="EQ140" s="216" t="str">
        <f t="shared" si="619"/>
        <v>III TRIM</v>
      </c>
      <c r="ER140" s="24"/>
      <c r="ES140" s="22"/>
      <c r="ET140" s="29" t="str">
        <f t="shared" ca="1" si="441"/>
        <v>SALE SIN TAMIZAJE HEMOGLOBINA SEM 28</v>
      </c>
      <c r="EU140" s="25" t="str">
        <f t="shared" si="620"/>
        <v/>
      </c>
      <c r="EV140" s="24" t="s">
        <v>866</v>
      </c>
      <c r="EW140" s="24">
        <v>45016</v>
      </c>
      <c r="EX140" s="22"/>
      <c r="EY140" s="29">
        <f t="shared" si="454"/>
        <v>32.571428571428569</v>
      </c>
      <c r="EZ140" s="25" t="str">
        <f t="shared" ca="1" si="455"/>
        <v/>
      </c>
      <c r="FA140" s="21">
        <v>83</v>
      </c>
      <c r="FB140" s="22">
        <v>45016</v>
      </c>
      <c r="FC140" s="29" t="str">
        <f t="shared" si="621"/>
        <v>NO APLICA &gt; 23 SEM -TOMAR PTOG</v>
      </c>
      <c r="FD140" s="29"/>
      <c r="FE140" s="29"/>
      <c r="FF140" s="29"/>
      <c r="FG140" s="21" t="str">
        <f t="shared" ca="1" si="622"/>
        <v/>
      </c>
      <c r="FH140" s="31"/>
      <c r="FI140" s="29" t="str">
        <f t="shared" si="623"/>
        <v>TOMAR EXAMEN</v>
      </c>
      <c r="FJ140" s="22"/>
      <c r="FK140" s="22"/>
      <c r="FL140" s="29" t="str">
        <f t="shared" ca="1" si="624"/>
        <v>NO APLICA-INGRESO TARDIO</v>
      </c>
      <c r="FM140" s="22"/>
      <c r="FN140" s="32"/>
      <c r="FO140" s="29" t="str">
        <f t="shared" ca="1" si="442"/>
        <v>NO APLICA-INGRESO TARDIO</v>
      </c>
      <c r="FP140" s="22" t="s">
        <v>867</v>
      </c>
      <c r="FQ140" s="32">
        <v>45016</v>
      </c>
      <c r="FR140" s="29">
        <f t="shared" ca="1" si="443"/>
        <v>32.571428571428569</v>
      </c>
      <c r="FS140" s="22"/>
      <c r="FT140" s="32"/>
      <c r="FU140" s="29" t="str">
        <f>IF(AND(FJ140="",FM140="",FP140="",FS140=""),"",IF(OR(OR(Tabla1[[#This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40" s="28"/>
      <c r="FW140" s="22"/>
      <c r="FX140" s="29" t="str">
        <f t="shared" si="625"/>
        <v>TOMAR EXAMEN</v>
      </c>
      <c r="FY140" s="22">
        <v>45016</v>
      </c>
      <c r="FZ140" s="22">
        <v>45016</v>
      </c>
      <c r="GA140" s="29" t="str">
        <f t="shared" si="498"/>
        <v>REGISTRAR EN III TRIMESTRE</v>
      </c>
      <c r="GB140" s="22"/>
      <c r="GC140" s="22"/>
      <c r="GD140" s="29" t="str">
        <f t="shared" ca="1" si="491"/>
        <v>NO APLICA-INGRESO TARDIO</v>
      </c>
      <c r="GE140" s="22" t="s">
        <v>868</v>
      </c>
      <c r="GF140" s="22">
        <v>45016</v>
      </c>
      <c r="GG140" s="29">
        <f t="shared" ca="1" si="445"/>
        <v>32.571428571428569</v>
      </c>
      <c r="GH140" s="22"/>
      <c r="GI140" s="29"/>
      <c r="GJ140" s="22"/>
      <c r="GK140" s="22"/>
      <c r="GL140" s="22"/>
      <c r="GM140" s="22"/>
      <c r="GN140" s="28"/>
      <c r="GO140" s="22"/>
      <c r="GP140" s="29" t="str">
        <f t="shared" si="626"/>
        <v>TOMAR EXAMEN</v>
      </c>
      <c r="GQ140" s="28"/>
      <c r="GR140" s="28"/>
      <c r="GS140" s="22" t="str">
        <f t="shared" si="627"/>
        <v/>
      </c>
      <c r="GT140" s="22"/>
      <c r="GU140" s="29" t="str">
        <f t="shared" si="628"/>
        <v>TOMAR EXAMEN</v>
      </c>
      <c r="GV140" s="21" t="str">
        <f t="shared" si="629"/>
        <v>POR DEFINIR</v>
      </c>
      <c r="GW140" s="28"/>
      <c r="GX140" s="30"/>
      <c r="GY140" s="21"/>
      <c r="GZ140" s="21"/>
      <c r="HA140" s="21"/>
      <c r="HB140" s="21"/>
      <c r="HC140" s="21"/>
      <c r="HD140" s="21"/>
      <c r="HE140" s="21"/>
      <c r="HF140" s="22"/>
      <c r="HG140" s="22" t="str">
        <f>IF(OR(O140&gt;0,R140&gt;0),CONCATENATE(IF(Tabla1[[#This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40" s="22" t="e">
        <f t="shared" si="630"/>
        <v>#REF!</v>
      </c>
      <c r="HI140" s="22" t="e">
        <f t="shared" ca="1" si="631"/>
        <v>#REF!</v>
      </c>
      <c r="HJ140" s="21" t="str">
        <f t="shared" ca="1" si="632"/>
        <v>**********************MULTIPARIDAD*****************</v>
      </c>
      <c r="HK140" s="21" t="str">
        <f t="shared" si="633"/>
        <v>SIN ANTECEDENTES DE RIESGO</v>
      </c>
      <c r="HL140" s="24" t="str">
        <f t="shared" si="634"/>
        <v>VIGILAR CIFRAS PRESION ARTERIAL</v>
      </c>
      <c r="HM140" s="21" t="str">
        <f t="shared" ca="1" si="635"/>
        <v/>
      </c>
      <c r="HN140" s="30" t="str">
        <f t="shared" si="446"/>
        <v>SALIO PROGRAMA</v>
      </c>
      <c r="HO140" s="21"/>
      <c r="HP140" s="21"/>
      <c r="HQ140" s="21">
        <v>45016</v>
      </c>
      <c r="HR140" s="21" t="str">
        <f>IF(R140="","",IF(Tabla1[[#This Row],[ALARMA FACTORES DE RIESGO COMPLICACIONES HIPERTENSIVAS3]]="SIN ANTECEDENTES DE RIESGO","No Aplica para suministro de ASA",IF(AND(Tabla1[[#This Row],[FECHA INICIO DE SUMINISTRO DE ASA]]&gt;0,RV140&lt;12),"Inicia ASA ANTES de Sem 12",IF(AND(RV140&gt;11,RV140&lt;17,OR(HK140="RIESGO ALTO DE COMPLICACIONES HIPERTENSIVAS VER MANEJO GUIA SUMINISTRO ASA Y CALCIO",HK140="RIESGO MODERADO (2 O MAS CRITERIOS) VER MANEJO GUIA SUMINISTRO ASA Y CALCIO")),"Inicio oportuno de ASA",IF(AND(RV140&gt;12,OR(HK140="RIESGO ALTO DE COMPLICACIONES HIPERTENSIVAS VER MANEJO GUIA SUMINISTRO ASA Y CALCIO",HK140="RIESGO MODERADO (2 O MAS CRITERIOS) VER MANEJO GUIA SUMINISTRO ASA Y CALCIO")),"Inicio no oportuno mayor a 16 semanas",IF(AND(BU140&lt;12,OR(HK140="RIESGO ALTO DE COMPLICACIONES HIPERTENSIVAS VER MANEJO GUIA SUMINISTRO ASA Y CALCIO",HK140="RIESGO MODERADO (2 O MAS CRITERIOS) VER MANEJO GUIA SUMINISTRO ASA Y CALCIO")),"Pendiente Inicio de ASA a la semana 12",IF(AND(BU140&gt;11,BU140&lt;17,OR(HK140="RIESGO ALTO DE COMPLICACIONES HIPERTENSIVAS VER MANEJO GUIA SUMINISTRO ASA Y CALCIO",HK140="RIESGO MODERADO (2 O MAS CRITERIOS) VER MANEJO GUIA SUMINISTRO ASA Y CALCIO")),"Iniciar de inmediato ASA",IF(AND(BU140&gt;16,OR(HK140="RIESGO ALTO DE COMPLICACIONES HIPERTENSIVAS VER MANEJO GUIA SUMINISTRO ASA Y CALCIO",HK140="RIESGO MODERADO (2 O MAS CRITERIOS) VER MANEJO GUIA SUMINISTRO ASA Y CALCIO")),"Pierde Oportunidad, Inicio tardío de ASA","XXXXX"))))))))</f>
        <v>No Aplica para suministro de ASA</v>
      </c>
      <c r="HS140" s="22">
        <v>45016</v>
      </c>
      <c r="HT140" s="22" t="s">
        <v>870</v>
      </c>
      <c r="HU140" s="22">
        <v>45016</v>
      </c>
      <c r="HV140" s="22" t="s">
        <v>870</v>
      </c>
      <c r="HW140" s="22">
        <v>45016</v>
      </c>
      <c r="HX140" s="22" t="s">
        <v>870</v>
      </c>
      <c r="HY140" s="22">
        <v>45016</v>
      </c>
      <c r="HZ140" s="28">
        <f t="shared" si="636"/>
        <v>32.571428571428569</v>
      </c>
      <c r="IA140" s="26" t="s">
        <v>864</v>
      </c>
      <c r="IB140" s="26"/>
      <c r="IC140" s="111"/>
      <c r="ID140" s="22"/>
      <c r="IE140" s="22" t="str">
        <f t="shared" ca="1" si="637"/>
        <v>SALE SIN VACUNA</v>
      </c>
      <c r="IF140" s="22"/>
      <c r="IG140" s="22">
        <f t="shared" si="638"/>
        <v>45068</v>
      </c>
      <c r="IH140" s="29">
        <f t="shared" ca="1" si="639"/>
        <v>-164</v>
      </c>
      <c r="II140" s="22" t="str">
        <f t="shared" ca="1" si="640"/>
        <v>POSIBLEMENTE NACIO</v>
      </c>
      <c r="IJ140" s="22"/>
      <c r="IK140" s="21" t="s">
        <v>898</v>
      </c>
      <c r="IL140" s="21"/>
      <c r="IM140" s="34"/>
      <c r="IN140" s="349">
        <v>45073</v>
      </c>
      <c r="IO140" s="21" t="s">
        <v>1640</v>
      </c>
      <c r="IP140" s="29">
        <f t="shared" si="674"/>
        <v>40.714285714285715</v>
      </c>
      <c r="IQ140" s="35"/>
      <c r="IR140" s="21" t="s">
        <v>879</v>
      </c>
      <c r="IS140" s="21" t="s">
        <v>1641</v>
      </c>
      <c r="IT140" s="21" t="s">
        <v>1642</v>
      </c>
      <c r="IU140" s="21"/>
      <c r="IV140" s="21"/>
      <c r="IW140" s="21"/>
      <c r="IX140" s="21"/>
      <c r="IY140" s="21"/>
      <c r="IZ140" s="21"/>
      <c r="JA140" s="21"/>
      <c r="JB140" s="30">
        <v>1</v>
      </c>
      <c r="JC140" s="21" t="s">
        <v>1647</v>
      </c>
      <c r="JD140" s="36">
        <v>3625</v>
      </c>
      <c r="JE140" s="21" t="str">
        <f t="shared" si="492"/>
        <v>PESO ADECUADO EDAD GESTACIONAL</v>
      </c>
      <c r="JF140" s="30"/>
      <c r="JG140" s="21"/>
      <c r="JH140" s="21"/>
      <c r="JI140" s="21"/>
      <c r="JJ140" s="30"/>
      <c r="JK140" s="22"/>
      <c r="JL140" s="22"/>
      <c r="JM140" s="21"/>
      <c r="JN140" s="36"/>
      <c r="JO140" s="21" t="str">
        <f t="shared" si="493"/>
        <v/>
      </c>
      <c r="JP140" s="22"/>
      <c r="JQ140" s="21"/>
      <c r="JR140" s="21"/>
      <c r="JS140" s="21"/>
      <c r="JT140" s="30"/>
      <c r="JU140" s="22"/>
      <c r="JV140" s="22"/>
      <c r="JW140" s="33"/>
      <c r="JX140" s="28" t="str">
        <f t="shared" si="494"/>
        <v>INASISTENTE</v>
      </c>
      <c r="JY140" s="33"/>
      <c r="JZ140" s="28" t="str">
        <f t="shared" si="495"/>
        <v>INASISTENTE</v>
      </c>
      <c r="KA140" s="21"/>
      <c r="KB140" s="21"/>
      <c r="KC140" s="21"/>
      <c r="KD140" s="37"/>
      <c r="KE140" s="28"/>
      <c r="KF140" s="28"/>
      <c r="KG140" s="28"/>
      <c r="KH140" s="39"/>
      <c r="KI140" s="39"/>
      <c r="KJ140" s="66"/>
      <c r="KK140" s="39"/>
      <c r="KL140" s="39"/>
      <c r="KM140" s="66"/>
      <c r="KN140" s="39"/>
      <c r="KO140" s="39"/>
      <c r="KP140" s="39"/>
      <c r="KQ140" s="39"/>
      <c r="KR140" s="39"/>
      <c r="KS140" s="39"/>
      <c r="KT140" s="39"/>
      <c r="KU140" s="38"/>
      <c r="KV140" s="38"/>
      <c r="KW140" s="38"/>
      <c r="KX140" s="38"/>
      <c r="KY140" s="38"/>
      <c r="KZ140" s="38"/>
      <c r="LA140" s="38"/>
      <c r="LB140" s="38"/>
      <c r="LC140" s="38"/>
      <c r="LD140" s="38"/>
      <c r="LE140" s="38"/>
      <c r="LF140" s="38"/>
      <c r="LG140" s="38"/>
      <c r="LH140" s="38"/>
      <c r="LI140" s="38"/>
      <c r="LJ140" s="38"/>
      <c r="LK140" s="38"/>
      <c r="LL140" s="38"/>
      <c r="LM140" s="38"/>
      <c r="LN140" s="38"/>
      <c r="LO140" s="38"/>
      <c r="LP140" s="38"/>
      <c r="LQ140" s="38"/>
      <c r="LR140" s="38"/>
      <c r="LS140" s="38"/>
      <c r="LT140" s="38"/>
      <c r="LU140" s="38"/>
      <c r="LV140" s="38"/>
      <c r="LW140" s="38"/>
      <c r="LX140" s="38"/>
      <c r="LY140" s="38"/>
      <c r="LZ140" s="38"/>
      <c r="MA140" s="38"/>
      <c r="MB140" s="38"/>
      <c r="MC140" s="38"/>
      <c r="MD140" s="38"/>
      <c r="ME140" s="38"/>
      <c r="MF140" s="38"/>
      <c r="MG140" s="38"/>
      <c r="MH140" s="43">
        <f t="shared" si="641"/>
        <v>0</v>
      </c>
      <c r="MI140" s="43" t="str">
        <f t="shared" si="642"/>
        <v/>
      </c>
      <c r="MJ140" s="43" t="str">
        <f t="shared" si="643"/>
        <v/>
      </c>
      <c r="MK140" s="43">
        <f t="shared" si="644"/>
        <v>0</v>
      </c>
      <c r="ML14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40" s="43">
        <f t="shared" si="645"/>
        <v>32.571428571428569</v>
      </c>
      <c r="MN140" s="43">
        <f t="shared" si="646"/>
        <v>3</v>
      </c>
      <c r="MO140" s="43">
        <f t="shared" si="647"/>
        <v>2023</v>
      </c>
      <c r="MP140" s="43" t="str">
        <f t="shared" si="648"/>
        <v>I TRIMESTRE AÑO</v>
      </c>
      <c r="MQ140" s="43">
        <f t="shared" si="649"/>
        <v>17.849321068769161</v>
      </c>
      <c r="MR140" s="43">
        <f t="shared" si="650"/>
        <v>0</v>
      </c>
      <c r="MS140" s="43" t="str">
        <f t="shared" si="651"/>
        <v>DE 14 A 19AÑOS</v>
      </c>
      <c r="MT140" s="43">
        <f t="shared" si="652"/>
        <v>0</v>
      </c>
      <c r="MU140" s="43">
        <f t="shared" si="653"/>
        <v>1</v>
      </c>
      <c r="MV140" s="43">
        <f t="shared" si="654"/>
        <v>0</v>
      </c>
      <c r="MW140" s="43">
        <f t="shared" si="655"/>
        <v>0</v>
      </c>
      <c r="MX140" s="43" t="str">
        <f t="shared" si="656"/>
        <v/>
      </c>
      <c r="MY140" s="43" t="str">
        <f t="shared" ca="1" si="496"/>
        <v/>
      </c>
      <c r="MZ140" s="43" t="str">
        <f t="shared" si="657"/>
        <v/>
      </c>
      <c r="NA140" s="43">
        <f t="shared" si="658"/>
        <v>0</v>
      </c>
      <c r="NB140" s="43" t="str">
        <f t="shared" si="659"/>
        <v/>
      </c>
      <c r="NC140" s="43" t="str">
        <f t="shared" si="660"/>
        <v/>
      </c>
      <c r="ND140" s="43">
        <f t="shared" ca="1" si="661"/>
        <v>1</v>
      </c>
      <c r="NE140" s="43">
        <f>IF(OR(O140&gt;0,R140&gt;0),SUM(COUNTIF(Tabla1[[#This Row],[AÑOS AL INICIO5 CPN]],"&gt;=40"),COUNTIF(AS140,"0"),COUNTIF(AR140,"SI"),COUNTIF(CC140,"SI"),COUNTIF(BQ140,"&gt;119"),COUNTIF(CI140,"&gt;=35")),"")</f>
        <v>1</v>
      </c>
      <c r="NF140" s="43" t="str">
        <f t="shared" si="662"/>
        <v/>
      </c>
      <c r="NG140" s="43">
        <f t="shared" si="663"/>
        <v>0</v>
      </c>
      <c r="NH140" s="43">
        <f t="shared" si="664"/>
        <v>154</v>
      </c>
      <c r="NI140"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CPN",P140="NO"),"Z",IF(AND(Tabla1[[#This Row],[CITA PROXIMO CONTROL]]="CITA MANUAL",Tabla1[[#This Row],[GESTANTES ACTUALES]]="ACTIVA INGRESO A CPN"),"W",IF(AND(Tabla1[[#This Row],[GESTANTES ACTUALES]]="SALIO PROGRAMA",IN140=""),"S",IF(AND(Tabla1[[#This Row],[CITA PROXIMO CONTROL]]&gt;0,IN140=""),(Tabla1[[#This Row],[CITA PROXIMO CONTROL]]-TODAY()),"SD"))))))))</f>
        <v>SD</v>
      </c>
      <c r="NJ140" s="43">
        <f>MONTH(Tabla1[[#This Row],[FECHA DE SALIDA  DEL PROGRAMA]])</f>
        <v>5</v>
      </c>
      <c r="NK140" s="43">
        <f>YEAR(Tabla1[[#This Row],[FECHA DE SALIDA  DEL PROGRAMA]])</f>
        <v>2023</v>
      </c>
      <c r="NL140" s="43" t="str">
        <f t="shared" si="665"/>
        <v>X</v>
      </c>
      <c r="NM140" s="43" t="str">
        <f t="shared" si="501"/>
        <v>NO</v>
      </c>
      <c r="NN140" s="43" t="str">
        <f ca="1">IF(AND(O140&gt;0,R140=""),"NO CPN",IF(AND(O140="",R140=""),"",IF(AND(R140&gt;0,Tabla1[[#This Row],[SEMANAS DE GESTACION ACTUALIZADAS]]&lt;=12),"NO APLICA",IF(AND(FH140&lt;&gt;"",FN140&lt;&gt;""),"SI","NO"))))</f>
        <v>NO</v>
      </c>
      <c r="NO140" s="43" t="str">
        <f ca="1">IF(AND(O140&gt;0,R140=""),"NO CPN",IF(AND(O140="",R140=""),"",IF(AND(R140&gt;0,Tabla1[[#This Row],[SEMANAS DE GESTACION ACTUALIZADAS]]&lt;=27),"NO APLICA",IF(AND(ES140&lt;&gt;"",FQ140&lt;&gt;"",GF140&lt;&gt;""),"SI","NO"))))</f>
        <v>NO</v>
      </c>
      <c r="NP140" s="204" t="str">
        <f t="shared" si="666"/>
        <v>III TRIM</v>
      </c>
      <c r="NQ140" s="21" t="e">
        <f t="shared" si="500"/>
        <v>#VALUE!</v>
      </c>
      <c r="NR140" s="21">
        <f t="shared" si="497"/>
        <v>1</v>
      </c>
      <c r="NS140" s="205">
        <f t="shared" ca="1" si="667"/>
        <v>1</v>
      </c>
      <c r="NT140" s="21">
        <f t="shared" ca="1" si="668"/>
        <v>1</v>
      </c>
      <c r="NU140" s="21" t="str">
        <f t="shared" ca="1" si="669"/>
        <v>COMPLETO</v>
      </c>
      <c r="NV140" s="21" t="str">
        <f t="shared" ca="1" si="670"/>
        <v>COMPLETO</v>
      </c>
      <c r="NW140" s="206" t="str">
        <f>IF(AND(O140="",R140=""),"",IF(OR(AND(Tabla1[[#This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40" s="207" t="str">
        <f t="shared" ca="1" si="671"/>
        <v>SIN VACUNAR</v>
      </c>
      <c r="NY140" s="43">
        <f>ROW(Tabla1[[#This Row],['# DE TAMIZAJES SIFILIS TOMADOS ]])</f>
        <v>140</v>
      </c>
      <c r="NZ140" s="43">
        <f t="shared" si="502"/>
        <v>32</v>
      </c>
      <c r="OA140" s="43" t="str">
        <f t="shared" si="503"/>
        <v/>
      </c>
      <c r="OB140" s="43" t="str">
        <f t="shared" si="504"/>
        <v/>
      </c>
      <c r="OC140" s="43" t="str">
        <f t="shared" si="505"/>
        <v/>
      </c>
      <c r="OD140" s="43" t="str">
        <f t="shared" si="506"/>
        <v/>
      </c>
      <c r="OE140" s="43" t="str">
        <f t="shared" si="507"/>
        <v/>
      </c>
      <c r="OF140" s="43" t="str">
        <f t="shared" si="508"/>
        <v/>
      </c>
      <c r="OG140" s="43" t="str">
        <f t="shared" si="509"/>
        <v/>
      </c>
      <c r="OH140" s="43" t="str">
        <f t="shared" si="510"/>
        <v/>
      </c>
      <c r="OI140" s="43" t="str">
        <f t="shared" si="511"/>
        <v/>
      </c>
      <c r="OJ140" s="43" t="str">
        <f t="shared" si="512"/>
        <v/>
      </c>
      <c r="OK140" s="43" t="str">
        <f t="shared" si="513"/>
        <v/>
      </c>
      <c r="OL140" s="43" t="str">
        <f t="shared" si="514"/>
        <v/>
      </c>
      <c r="OM140" s="43" t="str">
        <f t="shared" si="515"/>
        <v/>
      </c>
      <c r="ON140" s="43" t="str">
        <f t="shared" si="516"/>
        <v/>
      </c>
      <c r="OO140" s="43" t="str">
        <f t="shared" si="517"/>
        <v/>
      </c>
      <c r="OP140" s="43" t="str">
        <f t="shared" si="518"/>
        <v/>
      </c>
      <c r="OQ140" s="43" t="str">
        <f t="shared" si="519"/>
        <v/>
      </c>
      <c r="OR140" s="43" t="str">
        <f t="shared" si="520"/>
        <v/>
      </c>
      <c r="OS140" s="43" t="str">
        <f t="shared" si="521"/>
        <v/>
      </c>
      <c r="OT140" s="43" t="str">
        <f t="shared" si="522"/>
        <v/>
      </c>
      <c r="OU140" s="43" t="str">
        <f t="shared" si="523"/>
        <v/>
      </c>
      <c r="OV140" s="110" t="str">
        <f t="shared" si="524"/>
        <v/>
      </c>
      <c r="OW140" s="43" t="str">
        <f t="shared" si="525"/>
        <v/>
      </c>
      <c r="OX140" s="43" t="str">
        <f t="shared" si="526"/>
        <v/>
      </c>
      <c r="OY140" s="43" t="str">
        <f t="shared" si="527"/>
        <v/>
      </c>
      <c r="OZ140" s="43" t="str">
        <f t="shared" si="528"/>
        <v/>
      </c>
      <c r="PA140" s="43" t="str">
        <f t="shared" si="529"/>
        <v/>
      </c>
      <c r="PB140" s="43" t="str">
        <f t="shared" si="530"/>
        <v/>
      </c>
      <c r="PC140" s="43" t="str">
        <f t="shared" si="531"/>
        <v/>
      </c>
      <c r="PD140" s="43" t="str">
        <f t="shared" si="532"/>
        <v/>
      </c>
      <c r="PE140" s="43" t="str">
        <f t="shared" si="533"/>
        <v/>
      </c>
      <c r="PF140" s="43" t="str">
        <f t="shared" si="534"/>
        <v/>
      </c>
      <c r="PG140" s="43" t="str">
        <f t="shared" si="535"/>
        <v/>
      </c>
      <c r="PH140" s="43" t="str">
        <f t="shared" si="536"/>
        <v/>
      </c>
      <c r="PI140" s="43">
        <f t="shared" si="537"/>
        <v>39</v>
      </c>
      <c r="PJ140" s="43" t="str">
        <f t="shared" si="538"/>
        <v/>
      </c>
      <c r="PK140" s="43" t="str">
        <f t="shared" si="539"/>
        <v/>
      </c>
      <c r="PL140" s="43" t="str">
        <f t="shared" si="540"/>
        <v/>
      </c>
      <c r="PM140" s="43" t="str">
        <f t="shared" si="541"/>
        <v/>
      </c>
      <c r="PN140" s="43" t="str">
        <f t="shared" si="542"/>
        <v/>
      </c>
      <c r="PO140" s="43" t="str">
        <f t="shared" si="543"/>
        <v/>
      </c>
      <c r="PP140" s="43" t="str">
        <f t="shared" si="544"/>
        <v/>
      </c>
      <c r="PQ140" s="43" t="str">
        <f t="shared" si="545"/>
        <v/>
      </c>
      <c r="PR140" s="43" t="str">
        <f t="shared" si="546"/>
        <v/>
      </c>
      <c r="PS140" s="43" t="str">
        <f t="shared" si="547"/>
        <v/>
      </c>
      <c r="PT140" s="43" t="str">
        <f t="shared" si="548"/>
        <v/>
      </c>
      <c r="PU140" s="43" t="str">
        <f t="shared" si="549"/>
        <v/>
      </c>
      <c r="PV140" s="43" t="str">
        <f t="shared" si="550"/>
        <v/>
      </c>
      <c r="PW140" s="43" t="str">
        <f t="shared" si="551"/>
        <v/>
      </c>
      <c r="PX140" s="43" t="str">
        <f t="shared" si="552"/>
        <v/>
      </c>
      <c r="PY140" s="43" t="str">
        <f t="shared" si="553"/>
        <v/>
      </c>
      <c r="PZ140" s="43" t="str">
        <f t="shared" si="554"/>
        <v/>
      </c>
      <c r="QA140" s="43" t="str">
        <f t="shared" si="555"/>
        <v/>
      </c>
      <c r="QB140" s="43" t="str">
        <f t="shared" si="556"/>
        <v/>
      </c>
      <c r="QC140" s="43" t="str">
        <f t="shared" si="557"/>
        <v/>
      </c>
      <c r="QD140" s="43" t="str">
        <f t="shared" si="558"/>
        <v/>
      </c>
      <c r="QE140" s="43" t="str">
        <f t="shared" si="559"/>
        <v/>
      </c>
      <c r="QF140" s="43" t="str">
        <f t="shared" si="560"/>
        <v/>
      </c>
      <c r="QG140" s="43" t="str">
        <f t="shared" si="561"/>
        <v/>
      </c>
      <c r="QH140" s="43" t="str">
        <f t="shared" si="562"/>
        <v/>
      </c>
      <c r="QI140" s="43" t="str">
        <f t="shared" si="563"/>
        <v/>
      </c>
      <c r="QJ140" s="43" t="str">
        <f t="shared" si="564"/>
        <v/>
      </c>
      <c r="QK140" s="43" t="str">
        <f t="shared" si="565"/>
        <v/>
      </c>
      <c r="QL140" s="43" t="str">
        <f t="shared" si="566"/>
        <v/>
      </c>
      <c r="QM140" s="43" t="str">
        <f t="shared" si="567"/>
        <v/>
      </c>
      <c r="QN140" s="43" t="str">
        <f t="shared" si="568"/>
        <v/>
      </c>
      <c r="QO140" s="43" t="str">
        <f t="shared" si="569"/>
        <v/>
      </c>
      <c r="QP140" s="43" t="str">
        <f t="shared" si="570"/>
        <v/>
      </c>
      <c r="QQ140" s="43" t="str">
        <f t="shared" si="571"/>
        <v/>
      </c>
      <c r="QR140" s="43">
        <f t="shared" si="672"/>
        <v>39</v>
      </c>
      <c r="QS140" s="43"/>
      <c r="QT140" s="21" t="str">
        <f t="shared" si="572"/>
        <v/>
      </c>
      <c r="QU140" s="21" t="str">
        <f t="shared" si="573"/>
        <v/>
      </c>
      <c r="QV140" s="21" t="str">
        <f t="shared" si="574"/>
        <v/>
      </c>
      <c r="QW140" s="21" t="str">
        <f t="shared" si="575"/>
        <v/>
      </c>
      <c r="QX140" s="21" t="str">
        <f t="shared" si="576"/>
        <v/>
      </c>
      <c r="QY140" s="21" t="str">
        <f t="shared" si="577"/>
        <v/>
      </c>
      <c r="QZ140" s="21" t="str">
        <f t="shared" si="578"/>
        <v/>
      </c>
      <c r="RA140" s="21" t="str">
        <f t="shared" si="579"/>
        <v/>
      </c>
      <c r="RB140" s="21" t="str">
        <f t="shared" si="580"/>
        <v/>
      </c>
      <c r="RC140" s="21" t="str">
        <f t="shared" si="581"/>
        <v/>
      </c>
      <c r="RD140" s="21" t="str">
        <f t="shared" si="582"/>
        <v/>
      </c>
      <c r="RE140" s="21" t="str">
        <f t="shared" si="583"/>
        <v/>
      </c>
      <c r="RF140" s="21" t="str">
        <f t="shared" si="584"/>
        <v/>
      </c>
      <c r="RG140" s="21" t="str">
        <f t="shared" si="585"/>
        <v/>
      </c>
      <c r="RH140" s="21" t="str">
        <f t="shared" si="586"/>
        <v/>
      </c>
      <c r="RI140" s="21" t="str">
        <f t="shared" si="587"/>
        <v/>
      </c>
      <c r="RJ140" s="21" t="str">
        <f t="shared" si="588"/>
        <v/>
      </c>
      <c r="RK140" s="21" t="str">
        <f t="shared" si="589"/>
        <v/>
      </c>
      <c r="RL140" s="21" t="str">
        <f t="shared" si="590"/>
        <v/>
      </c>
      <c r="RM140" s="21" t="str">
        <f t="shared" si="591"/>
        <v/>
      </c>
      <c r="RN140" s="21" t="str">
        <f t="shared" si="592"/>
        <v/>
      </c>
      <c r="RO140" s="21" t="str">
        <f t="shared" si="593"/>
        <v/>
      </c>
      <c r="RP140" s="21" t="str">
        <f t="shared" si="594"/>
        <v/>
      </c>
      <c r="RQ140" s="21" t="str">
        <f t="shared" si="595"/>
        <v/>
      </c>
      <c r="RR140" s="21" t="str">
        <f t="shared" si="596"/>
        <v/>
      </c>
      <c r="RS140" s="21" t="str">
        <f t="shared" si="597"/>
        <v/>
      </c>
      <c r="RT140" s="21" t="str">
        <f t="shared" si="598"/>
        <v/>
      </c>
      <c r="RU140" s="21" t="str">
        <f t="shared" si="599"/>
        <v/>
      </c>
      <c r="RV140" s="21">
        <f t="shared" si="600"/>
        <v>32.571428571428569</v>
      </c>
      <c r="RW140" s="284">
        <f>IF(OR(Tabla1[[#This Row],[FUM FORMULA CONFIABLE]]="",Tabla1[[#This Row],[FUM FORMULA CONFIABLE]]="SD"),"",IF(Tabla1[[#This Row],[FUM FORMULA CONFIABLE]]="CORREGIDA",Tabla1[[#This Row],[FUM X ECO 1]],Tabla1[[#This Row],[FUM x AMENORREA]]))</f>
        <v>44788</v>
      </c>
      <c r="RX140" s="21">
        <f>IF(AND(Tabla1[[#This Row],[FUM X ECO 1]]="",Tabla1[[#This Row],[FUM x AMENORREA]]=""),"",IF(AND(Tabla1[[#This Row],[FUM X ECO 1]]="",Tabla1[[#This Row],[FUM x AMENORREA]]&lt;&gt;""),"X",SUM(Tabla1[[#This Row],[FUM X ECO 1]]-Tabla1[[#This Row],[FUM x AMENORREA]])))</f>
        <v>74</v>
      </c>
      <c r="RY140" s="21">
        <f t="shared" si="673"/>
        <v>1</v>
      </c>
    </row>
    <row r="141" spans="1:493" ht="45" customHeight="1" x14ac:dyDescent="0.25">
      <c r="A141" s="109"/>
      <c r="B141" s="43"/>
      <c r="C141" s="43" t="s">
        <v>845</v>
      </c>
      <c r="D141" s="124"/>
      <c r="E141" s="43" t="s">
        <v>1415</v>
      </c>
      <c r="F141" s="43" t="s">
        <v>1416</v>
      </c>
      <c r="G141" s="43" t="s">
        <v>1417</v>
      </c>
      <c r="H141" s="43" t="s">
        <v>1418</v>
      </c>
      <c r="I141" s="109" t="s">
        <v>851</v>
      </c>
      <c r="J141" s="110">
        <v>1002847434</v>
      </c>
      <c r="K141" s="43" t="s">
        <v>852</v>
      </c>
      <c r="L141" s="175" t="s">
        <v>853</v>
      </c>
      <c r="M141" s="22">
        <v>37384</v>
      </c>
      <c r="N141" s="213">
        <f t="shared" ca="1" si="601"/>
        <v>21.5013698630137</v>
      </c>
      <c r="O141" s="22">
        <v>45012</v>
      </c>
      <c r="P141" s="214" t="str">
        <f t="shared" si="438"/>
        <v>SI</v>
      </c>
      <c r="Q141" s="26" t="s">
        <v>855</v>
      </c>
      <c r="R141" s="22">
        <v>45012</v>
      </c>
      <c r="S141" s="21" t="s">
        <v>856</v>
      </c>
      <c r="T141" s="24" t="s">
        <v>690</v>
      </c>
      <c r="U141" s="21" t="s">
        <v>857</v>
      </c>
      <c r="V141" s="21" t="s">
        <v>858</v>
      </c>
      <c r="W141" s="21" t="s">
        <v>846</v>
      </c>
      <c r="X141" s="21"/>
      <c r="Y141" s="21"/>
      <c r="Z141" s="21" t="s">
        <v>846</v>
      </c>
      <c r="AA141" s="21" t="s">
        <v>860</v>
      </c>
      <c r="AB141" s="27" t="s">
        <v>861</v>
      </c>
      <c r="AC141" s="26" t="s">
        <v>846</v>
      </c>
      <c r="AD141" s="38" t="s">
        <v>846</v>
      </c>
      <c r="AE141" s="26" t="s">
        <v>854</v>
      </c>
      <c r="AF141" s="26" t="s">
        <v>854</v>
      </c>
      <c r="AG141" s="23" t="s">
        <v>864</v>
      </c>
      <c r="AH141" s="23" t="s">
        <v>864</v>
      </c>
      <c r="AI141" s="24" t="s">
        <v>864</v>
      </c>
      <c r="AJ141" s="23" t="s">
        <v>864</v>
      </c>
      <c r="AK141" s="220" t="str">
        <f>IF(AND(AD141="",AE141="",AF141="",AG141="",AH141="",AI141="",AJ141=""),"",IF(OR(Tabla1[[#This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EVALUACIÓN",IF(AND(O141="",R141=""),"",IF(AND(OR(O141&gt;0,R141&gt;0),NG141&gt;=0,NG141&lt;2),"SIN RIESGO",IF(AND(OR(O141&gt;0,R141&gt;0),NG141&gt;=2),"CON RIESGO","ASD")))))</f>
        <v>SIN RIESGO</v>
      </c>
      <c r="AL141" s="23" t="s">
        <v>864</v>
      </c>
      <c r="AM141" s="26" t="s">
        <v>864</v>
      </c>
      <c r="AN141" s="26" t="s">
        <v>864</v>
      </c>
      <c r="AO141" s="26" t="s">
        <v>864</v>
      </c>
      <c r="AP141" s="26" t="s">
        <v>864</v>
      </c>
      <c r="AQ141" s="26" t="s">
        <v>864</v>
      </c>
      <c r="AR141" s="26" t="s">
        <v>864</v>
      </c>
      <c r="AS141" s="21">
        <v>2</v>
      </c>
      <c r="AT141" s="21">
        <v>2</v>
      </c>
      <c r="AU141" s="21">
        <v>0</v>
      </c>
      <c r="AV141" s="26" t="s">
        <v>864</v>
      </c>
      <c r="AW141" s="21">
        <v>0</v>
      </c>
      <c r="AX141" s="26" t="s">
        <v>864</v>
      </c>
      <c r="AY141" s="26" t="s">
        <v>864</v>
      </c>
      <c r="AZ141" s="26" t="s">
        <v>864</v>
      </c>
      <c r="BA141" s="26" t="s">
        <v>864</v>
      </c>
      <c r="BB141" s="26" t="s">
        <v>864</v>
      </c>
      <c r="BC141" s="26" t="s">
        <v>864</v>
      </c>
      <c r="BD141" s="26" t="s">
        <v>864</v>
      </c>
      <c r="BE141" s="26" t="s">
        <v>864</v>
      </c>
      <c r="BF141" s="26" t="s">
        <v>864</v>
      </c>
      <c r="BG141" s="26" t="s">
        <v>864</v>
      </c>
      <c r="BH141" s="26" t="s">
        <v>864</v>
      </c>
      <c r="BI141" s="26" t="s">
        <v>864</v>
      </c>
      <c r="BJ141" s="26"/>
      <c r="BK141" s="26"/>
      <c r="BL141" s="26" t="s">
        <v>864</v>
      </c>
      <c r="BM141" s="26" t="s">
        <v>864</v>
      </c>
      <c r="BN141" s="22">
        <v>43730</v>
      </c>
      <c r="BO141" s="22"/>
      <c r="BP141" s="21"/>
      <c r="BQ141" s="222" t="str">
        <f t="shared" si="602"/>
        <v/>
      </c>
      <c r="BR141" s="223" t="str">
        <f t="shared" si="603"/>
        <v/>
      </c>
      <c r="BS141" s="224" t="str">
        <f t="shared" si="604"/>
        <v/>
      </c>
      <c r="BT141" s="216" t="str">
        <f t="shared" si="605"/>
        <v/>
      </c>
      <c r="BU141" s="214" t="str">
        <f t="shared" ca="1" si="606"/>
        <v/>
      </c>
      <c r="BV141" s="25"/>
      <c r="BW141" s="22"/>
      <c r="BX141" s="28"/>
      <c r="BY141" s="28"/>
      <c r="BZ141" s="22"/>
      <c r="CA141" s="21"/>
      <c r="CB141" s="26"/>
      <c r="CC141" s="26"/>
      <c r="CD141" s="26"/>
      <c r="CE141" s="26"/>
      <c r="CF141" s="22" t="s">
        <v>1517</v>
      </c>
      <c r="CG141" s="21">
        <v>1.58</v>
      </c>
      <c r="CH141" s="21">
        <v>80</v>
      </c>
      <c r="CI141" s="214">
        <f t="shared" si="607"/>
        <v>32.046146450889275</v>
      </c>
      <c r="CJ141" s="225" t="e">
        <f>IF(AND(CI141&lt;10,CH141="SD"),"SIN DATO PESO PREGESTACION O I TRIM",IF(AND(OR(R141&gt;0,O141&gt;0),CI141="X"),"INGRESAR DATO DE PESO",IF(CI141="SD","INGRESAR DATO DE TALLA Y PESO",IF(AND(OR(Tabla1[[#This Row],[MOMENTO EN QUE SE REALIZA EL PESO AL INGRESO A CPN]]="PREGESTACIÓN",NZ141="Menor"),CI141&lt;18.5),"BAJO PESO",IF(AND(OR(Tabla1[[#This Row],[MOMENTO EN QUE SE REALIZA EL PESO AL INGRESO A CPN]]="PREGESTACIÓN",NZ141="Menor"),CI141&lt;25),"NORMAL",IF(AND(OR(Tabla1[[#This Row],[MOMENTO EN QUE SE REALIZA EL PESO AL INGRESO A CPN]]="PREGESTACIÓN",NZ141="Menor"),CI141&lt;30),"SOBREPESO",IF(AND(OR(Tabla1[[#This Row],[MOMENTO EN QUE SE REALIZA EL PESO AL INGRESO A CPN]]="PREGESTACIÓN",NZ141="Menor"),CI141&gt;=30,CI141&lt;50),"OBESIDAD",IF(AND(BS141&gt;0,Tabla1[[#This Row],[MOMENTO EN QUE SE REALIZA EL PESO AL INGRESO A CPN]]="GESTACIÓN"),HLOOKUP(NZ141,$OA$2:PH141,NY141),""))))))))</f>
        <v>#N/A</v>
      </c>
      <c r="CK141" s="212">
        <f t="shared" si="608"/>
        <v>45012</v>
      </c>
      <c r="CL141" s="21"/>
      <c r="CM141" s="214">
        <f t="shared" si="609"/>
        <v>0</v>
      </c>
      <c r="CN141" s="216" t="str">
        <f t="shared" si="610"/>
        <v>REVISAR FUM O FECHA CPN</v>
      </c>
      <c r="CO141" s="216" t="e">
        <f>IF(PI141="","",IF(PI141&gt;0,HLOOKUP(PI141,$PJ$2:QQ141,NY141),""))</f>
        <v>#REF!</v>
      </c>
      <c r="CP141" s="21"/>
      <c r="CQ141" s="216" t="e">
        <f>IF(QR141="Menor","NO APLICA-MENOR 13 SEM",IF(AND(CC141="SI",CN141&gt;23),"NO APLICA- GEMELAR",IF(QR141="","",IF(QR141&gt;0,HLOOKUP(QR141,$QS$2:RU141,NY141),""))))</f>
        <v>#REF!</v>
      </c>
      <c r="CR141" s="21"/>
      <c r="CS141" s="21"/>
      <c r="CT141" s="217" t="str">
        <f>IF(R141="","",IF(AND(BS141&gt;1,BS141&lt;12,Tabla1[[#This Row],[T.A. SISTOLICA - ANTES DE SEMANA 12]]="",Tabla1[[#This Row],[T.A. DIASTOLICA - ANTES DE SEMANA 12]]=""),"REGISTRE DATO TA ANTES SEMANA 12",IF(AND(BS141&gt;11,BS141&lt;43,Tabla1[[#This Row],[T.A. SISTOLICA - ANTES DE SEMANA 12]]="",Tabla1[[#This Row],[T.A. DIASTOLICA - ANTES DE SEMANA 12]]=""),"NO APLICA REGISTRO TA-INGRESO TARDIO",IF(AND(OR(O141&gt;0,R141&gt;0),OR(CR141&gt;=140,CS141&gt;=90)),"DEFINIR ESTADIO HTA",IF(AND(OR(O141&gt;0,R141&gt;0),AND(CR141&gt;120,CR141&lt;=139)),"PRE HTA SEGUIMIENTO",IF(AND(OR(O141&gt;0,R141&gt;0),AND(CS141&gt;80,CS141&lt;=89)),"PRE HTA SEGUIMIENTO",IF(AND(OR(O141&gt;0,R141&gt;0),AND(CR141&gt;=80,CR141&lt;=120)),"APARENTEMENTE NORMAL",IF(AND(OR(O141&gt;0,R141&gt;0),AND(CS141&gt;=50,CS141&lt;=80)),"APARENTEMENTE NORMAL",IF(AND(OR(O141&gt;0,R141&gt;0),AND(CR141&gt;1,CR141&lt;=70),AND(CS141&gt;1,CS141&lt;=40)),"HIPOTENSIÓN","")))))))))</f>
        <v/>
      </c>
      <c r="CU141" s="21"/>
      <c r="CV141" s="21"/>
      <c r="CW141" s="217" t="str">
        <f ca="1">IF(R141="","",IF(AND(CN141&gt;19,CN141&lt;27,Tabla1[[#This Row],[T.A. SISTOLICA (Entre semana 20 y 26)]]="",Tabla1[[#This Row],[T.A. DIATOLICA (Entre semana 20 y 26)]]=""),"ACUDE A CONTROL SEM 20 A 26 REGISTRE TA AHORA",IF(AND(BS141&gt;1,BS141&lt;27,BU141&gt;19,Tabla1[[#This Row],[T.A. SISTOLICA (Entre semana 20 y 26)]]="",Tabla1[[#This Row],[T.A. DIATOLICA (Entre semana 20 y 26)]]=""),"COMPLETE REGISTRO TA CONTROL SEM 20 A26 ",IF(AND(BS141&gt;26,BS141&lt;43,Tabla1[[#This Row],[T.A. SISTOLICA (Entre semana 20 y 26)]]="",Tabla1[[#This Row],[T.A. DIATOLICA (Entre semana 20 y 26)]]=""),"NO APLICA REGISTRO TA-INGRESO TARDIO",IF(AND(OR(O141&gt;0,R141&gt;0),OR(CU141&gt;=140,CV141&gt;=90)),"ALTO RIESGO PREECLAMPSIA,DEFINIR ESTADIO HTA",IF(AND(OR(O141&gt;0,R141&gt;0),AND(CU141&gt;120,CU141&lt;=139)),"PRE HTA SEGUIMIENTO,RIESGO HIPERTENSION INDUCIDA POR EL EMBARAZO",IF(AND(OR(O141&gt;0,R141&gt;0),AND(CV141&gt;80,CV141&lt;=89)),"PRE HTA SEGUIMIENTO, RIESGO HIPERTENSION INDUCIDA POR EL EMBARAZO",IF(AND(OR(O141&lt;&gt;"",R141&lt;&gt;""),CS141&lt;&gt;"",CV141&lt;&gt;"",CS141&lt;=CV141),"VIGILAR CIFRAS PRESION ARTERIAL",IF(AND(OR(O141&gt;0,R141&gt;0),AND(CU141&gt;120,CU141&lt;=139)),"PRE HTA SEGUIMIENTO",IF(AND(OR(O141&gt;0,R141&gt;0),AND(CU141&gt;1,CU141&lt;=70),AND(CV141&gt;1,CV141&lt;=40)),"HIPOTENSIÓN",IF(AND(OR(O141&lt;&gt;"",R141&lt;&gt;""),CS141&lt;&gt;"",CV141&lt;&gt;"",CS141&gt;CV141),"APARENTEMENTE NORMAL",IF(AND(OR(O141&gt;0,R141&gt;0),AND(CU141&gt;=80,CU141&lt;=120)),"APARENTEMENTE NORMAL",IF(AND(OR(O141&gt;0,R141&gt;0),AND(CV141&gt;=50,CV141&lt;=80)),"APARENTEMENTE NORMAL","")))))))))))))</f>
        <v/>
      </c>
      <c r="CX141" s="21"/>
      <c r="CY141" s="21"/>
      <c r="CZ141" s="216" t="str">
        <f t="shared" si="499"/>
        <v/>
      </c>
      <c r="DA141" s="21"/>
      <c r="DB141" s="21"/>
      <c r="DC141" s="217" t="str">
        <f t="shared" si="611"/>
        <v>REGISTRE DATO PRESIÓN ARTERIAL MENSUAL</v>
      </c>
      <c r="DD141" s="22">
        <v>45012</v>
      </c>
      <c r="DE141" s="22">
        <v>45012</v>
      </c>
      <c r="DF141" s="22"/>
      <c r="DG141" s="22"/>
      <c r="DH141" s="22"/>
      <c r="DI141" s="22"/>
      <c r="DJ141" s="22"/>
      <c r="DK141" s="22"/>
      <c r="DL141" s="22"/>
      <c r="DM141" s="22"/>
      <c r="DN141" s="22"/>
      <c r="DO141" s="22"/>
      <c r="DP141" s="22"/>
      <c r="DQ141" s="22"/>
      <c r="DR141" s="28">
        <v>1</v>
      </c>
      <c r="DS141" s="22"/>
      <c r="DT141" s="22"/>
      <c r="DU141" s="216" t="e">
        <f t="shared" si="439"/>
        <v>#VALUE!</v>
      </c>
      <c r="DV141" s="226" t="str">
        <f t="shared" si="440"/>
        <v>SALIO PROGRAMA</v>
      </c>
      <c r="DW141"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41" s="216" t="str">
        <f t="shared" ca="1" si="612"/>
        <v/>
      </c>
      <c r="DY141" s="212">
        <f>IF(R141="","",IF(R141&gt;0,MAX(Tabla1[[#This Row],[FECHA C2]:[FECHA C13]],Tabla1[[#This Row],[FECHA CONSULTA PRIMERA VEZ PROGRAMA CPN ]])))</f>
        <v>45012</v>
      </c>
      <c r="DZ141" s="216" t="str">
        <f t="shared" si="613"/>
        <v>REVISAR FUM O FECHA CPN</v>
      </c>
      <c r="EA141" s="222">
        <f>IF(R141&gt;0,SUM(COUNTA(DF141:DQ141)+COUNTA(Tabla1[[#This Row],[FECHA CONSULTA PRIMERA VEZ PROGRAMA CPN ]])),"")</f>
        <v>1</v>
      </c>
      <c r="EB141" s="222" t="str">
        <f t="shared" si="614"/>
        <v>NO</v>
      </c>
      <c r="EC141" s="214" t="str">
        <f t="shared" si="615"/>
        <v/>
      </c>
      <c r="ED141" s="227" t="str">
        <f t="shared" si="616"/>
        <v/>
      </c>
      <c r="EE141" s="22">
        <v>45012</v>
      </c>
      <c r="EF141" s="22"/>
      <c r="EG141" s="22">
        <v>45012</v>
      </c>
      <c r="EH141" s="22"/>
      <c r="EI141" s="22">
        <v>45012</v>
      </c>
      <c r="EJ141" s="22"/>
      <c r="EK141" s="22"/>
      <c r="EL141" s="21"/>
      <c r="EM141" s="21"/>
      <c r="EN141" s="22"/>
      <c r="EO141" s="222" t="e">
        <f t="shared" si="617"/>
        <v>#VALUE!</v>
      </c>
      <c r="EP141" s="214" t="str">
        <f t="shared" si="618"/>
        <v/>
      </c>
      <c r="EQ141" s="216" t="e">
        <f t="shared" si="619"/>
        <v>#VALUE!</v>
      </c>
      <c r="ER141" s="24"/>
      <c r="ES141" s="22"/>
      <c r="ET141" s="29" t="e">
        <f t="shared" si="441"/>
        <v>#VALUE!</v>
      </c>
      <c r="EU141" s="25" t="str">
        <f t="shared" si="620"/>
        <v/>
      </c>
      <c r="EV141" s="24"/>
      <c r="EW141" s="24"/>
      <c r="EX141" s="22"/>
      <c r="EY141" s="29" t="e">
        <f t="shared" si="454"/>
        <v>#VALUE!</v>
      </c>
      <c r="EZ141" s="25" t="str">
        <f t="shared" ca="1" si="455"/>
        <v/>
      </c>
      <c r="FA141" s="21"/>
      <c r="FB141" s="22"/>
      <c r="FC141" s="29" t="e">
        <f t="shared" si="621"/>
        <v>#VALUE!</v>
      </c>
      <c r="FD141" s="29"/>
      <c r="FE141" s="29"/>
      <c r="FF141" s="29"/>
      <c r="FG141" s="21" t="e">
        <f t="shared" si="622"/>
        <v>#VALUE!</v>
      </c>
      <c r="FH141" s="31"/>
      <c r="FI141" s="29" t="e">
        <f t="shared" si="623"/>
        <v>#VALUE!</v>
      </c>
      <c r="FJ141" s="22"/>
      <c r="FK141" s="22"/>
      <c r="FL141" s="29" t="e">
        <f t="shared" si="624"/>
        <v>#VALUE!</v>
      </c>
      <c r="FM141" s="22"/>
      <c r="FN141" s="32"/>
      <c r="FO141" s="29" t="e">
        <f t="shared" ca="1" si="442"/>
        <v>#VALUE!</v>
      </c>
      <c r="FP141" s="22"/>
      <c r="FQ141" s="32"/>
      <c r="FR141" s="29" t="e">
        <f t="shared" ca="1" si="443"/>
        <v>#VALUE!</v>
      </c>
      <c r="FS141" s="22"/>
      <c r="FT141" s="32"/>
      <c r="FU141" s="29" t="str">
        <f>IF(AND(FJ141="",FM141="",FP141="",FS141=""),"",IF(OR(OR(Tabla1[[#This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41" s="28"/>
      <c r="FW141" s="22"/>
      <c r="FX141" s="29" t="e">
        <f t="shared" si="625"/>
        <v>#VALUE!</v>
      </c>
      <c r="FY141" s="22"/>
      <c r="FZ141" s="22"/>
      <c r="GA141" s="29" t="e">
        <f t="shared" si="498"/>
        <v>#VALUE!</v>
      </c>
      <c r="GB141" s="22"/>
      <c r="GC141" s="22"/>
      <c r="GD141" s="29" t="e">
        <f t="shared" ca="1" si="491"/>
        <v>#VALUE!</v>
      </c>
      <c r="GE141" s="22"/>
      <c r="GF141" s="22"/>
      <c r="GG141" s="29" t="e">
        <f t="shared" ca="1" si="445"/>
        <v>#VALUE!</v>
      </c>
      <c r="GH141" s="22"/>
      <c r="GI141" s="29"/>
      <c r="GJ141" s="22"/>
      <c r="GK141" s="22"/>
      <c r="GL141" s="22"/>
      <c r="GM141" s="22"/>
      <c r="GN141" s="28"/>
      <c r="GO141" s="22"/>
      <c r="GP141" s="29" t="e">
        <f t="shared" si="626"/>
        <v>#VALUE!</v>
      </c>
      <c r="GQ141" s="28"/>
      <c r="GR141" s="28"/>
      <c r="GS141" s="22" t="str">
        <f t="shared" si="627"/>
        <v/>
      </c>
      <c r="GT141" s="22"/>
      <c r="GU141" s="29" t="str">
        <f t="shared" si="628"/>
        <v>TOMAR EXAMEN</v>
      </c>
      <c r="GV141" s="21" t="str">
        <f t="shared" si="629"/>
        <v>POR DEFINIR</v>
      </c>
      <c r="GW141" s="28"/>
      <c r="GX141" s="30"/>
      <c r="GY141" s="21"/>
      <c r="GZ141" s="21"/>
      <c r="HA141" s="21"/>
      <c r="HB141" s="21"/>
      <c r="HC141" s="21"/>
      <c r="HD141" s="21"/>
      <c r="HE141" s="21"/>
      <c r="HF141" s="22"/>
      <c r="HG141" s="22" t="str">
        <f>IF(OR(O141&gt;0,R141&gt;0),CONCATENATE(IF(Tabla1[[#This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41" s="22" t="e">
        <f t="shared" si="630"/>
        <v>#REF!</v>
      </c>
      <c r="HI141" s="22" t="e">
        <f t="shared" ca="1" si="631"/>
        <v>#REF!</v>
      </c>
      <c r="HJ141" s="21" t="e">
        <f t="shared" ca="1" si="632"/>
        <v>#VALUE!</v>
      </c>
      <c r="HK141" s="21" t="str">
        <f t="shared" si="633"/>
        <v>SIN ANTECEDENTES DE RIESGO</v>
      </c>
      <c r="HL141" s="24" t="str">
        <f t="shared" si="634"/>
        <v>REGISTRE DATO PRESIÓN ARTERIAL MENSUAL</v>
      </c>
      <c r="HM141" s="21" t="str">
        <f t="shared" ca="1" si="635"/>
        <v/>
      </c>
      <c r="HN141" s="30" t="str">
        <f t="shared" si="446"/>
        <v>SALIO PROGRAMA</v>
      </c>
      <c r="HO141" s="21"/>
      <c r="HP141" s="21"/>
      <c r="HQ141" s="21"/>
      <c r="HR141" s="21" t="str">
        <f>IF(R141="","",IF(Tabla1[[#This Row],[ALARMA FACTORES DE RIESGO COMPLICACIONES HIPERTENSIVAS3]]="SIN ANTECEDENTES DE RIESGO","No Aplica para suministro de ASA",IF(AND(Tabla1[[#This Row],[FECHA INICIO DE SUMINISTRO DE ASA]]&gt;0,RV141&lt;12),"Inicia ASA ANTES de Sem 12",IF(AND(RV141&gt;11,RV141&lt;17,OR(HK141="RIESGO ALTO DE COMPLICACIONES HIPERTENSIVAS VER MANEJO GUIA SUMINISTRO ASA Y CALCIO",HK141="RIESGO MODERADO (2 O MAS CRITERIOS) VER MANEJO GUIA SUMINISTRO ASA Y CALCIO")),"Inicio oportuno de ASA",IF(AND(RV141&gt;12,OR(HK141="RIESGO ALTO DE COMPLICACIONES HIPERTENSIVAS VER MANEJO GUIA SUMINISTRO ASA Y CALCIO",HK141="RIESGO MODERADO (2 O MAS CRITERIOS) VER MANEJO GUIA SUMINISTRO ASA Y CALCIO")),"Inicio no oportuno mayor a 16 semanas",IF(AND(BU141&lt;12,OR(HK141="RIESGO ALTO DE COMPLICACIONES HIPERTENSIVAS VER MANEJO GUIA SUMINISTRO ASA Y CALCIO",HK141="RIESGO MODERADO (2 O MAS CRITERIOS) VER MANEJO GUIA SUMINISTRO ASA Y CALCIO")),"Pendiente Inicio de ASA a la semana 12",IF(AND(BU141&gt;11,BU141&lt;17,OR(HK141="RIESGO ALTO DE COMPLICACIONES HIPERTENSIVAS VER MANEJO GUIA SUMINISTRO ASA Y CALCIO",HK141="RIESGO MODERADO (2 O MAS CRITERIOS) VER MANEJO GUIA SUMINISTRO ASA Y CALCIO")),"Iniciar de inmediato ASA",IF(AND(BU141&gt;16,OR(HK141="RIESGO ALTO DE COMPLICACIONES HIPERTENSIVAS VER MANEJO GUIA SUMINISTRO ASA Y CALCIO",HK141="RIESGO MODERADO (2 O MAS CRITERIOS) VER MANEJO GUIA SUMINISTRO ASA Y CALCIO")),"Pierde Oportunidad, Inicio tardío de ASA","XXXXX"))))))))</f>
        <v>No Aplica para suministro de ASA</v>
      </c>
      <c r="HS141" s="22"/>
      <c r="HT141" s="22"/>
      <c r="HU141" s="22"/>
      <c r="HV141" s="22"/>
      <c r="HW141" s="22"/>
      <c r="HX141" s="22"/>
      <c r="HY141" s="22"/>
      <c r="HZ141" s="28" t="e">
        <f t="shared" si="636"/>
        <v>#VALUE!</v>
      </c>
      <c r="IA141" s="26"/>
      <c r="IB141" s="26"/>
      <c r="IC141" s="111"/>
      <c r="ID141" s="22"/>
      <c r="IE141" s="22" t="str">
        <f t="shared" si="637"/>
        <v>SIN DATO EDAD GESTACIONAL</v>
      </c>
      <c r="IF141" s="22"/>
      <c r="IG141" s="22" t="str">
        <f t="shared" si="638"/>
        <v/>
      </c>
      <c r="IH141" s="29" t="str">
        <f t="shared" ca="1" si="639"/>
        <v/>
      </c>
      <c r="II141" s="22" t="str">
        <f t="shared" ca="1" si="640"/>
        <v/>
      </c>
      <c r="IJ141" s="22"/>
      <c r="IK141" s="21" t="s">
        <v>898</v>
      </c>
      <c r="IL141" s="21"/>
      <c r="IM141" s="34"/>
      <c r="IN141" s="22">
        <v>45058</v>
      </c>
      <c r="IO141" s="21" t="s">
        <v>1640</v>
      </c>
      <c r="IP141" s="29" t="e">
        <f t="shared" si="674"/>
        <v>#VALUE!</v>
      </c>
      <c r="IQ141" s="35"/>
      <c r="IR141" s="21" t="s">
        <v>846</v>
      </c>
      <c r="IS141" s="21" t="s">
        <v>1641</v>
      </c>
      <c r="IT141" s="21" t="s">
        <v>1642</v>
      </c>
      <c r="IU141" s="21"/>
      <c r="IV141" s="21"/>
      <c r="IW141" s="21"/>
      <c r="IX141" s="21"/>
      <c r="IY141" s="21"/>
      <c r="IZ141" s="21"/>
      <c r="JA141" s="21"/>
      <c r="JB141" s="30">
        <v>1</v>
      </c>
      <c r="JC141" s="21" t="s">
        <v>1647</v>
      </c>
      <c r="JD141" s="36">
        <v>3700</v>
      </c>
      <c r="JE141" s="21" t="e">
        <f t="shared" si="492"/>
        <v>#VALUE!</v>
      </c>
      <c r="JF141" s="30"/>
      <c r="JG141" s="21"/>
      <c r="JH141" s="21"/>
      <c r="JI141" s="21"/>
      <c r="JJ141" s="30"/>
      <c r="JK141" s="22"/>
      <c r="JL141" s="22"/>
      <c r="JM141" s="21"/>
      <c r="JN141" s="36"/>
      <c r="JO141" s="21" t="e">
        <f t="shared" si="493"/>
        <v>#VALUE!</v>
      </c>
      <c r="JP141" s="22"/>
      <c r="JQ141" s="21"/>
      <c r="JR141" s="21"/>
      <c r="JS141" s="21"/>
      <c r="JT141" s="30"/>
      <c r="JU141" s="22"/>
      <c r="JV141" s="22"/>
      <c r="JW141" s="33"/>
      <c r="JX141" s="28" t="str">
        <f t="shared" si="494"/>
        <v>INASISTENTE</v>
      </c>
      <c r="JY141" s="33"/>
      <c r="JZ141" s="28" t="str">
        <f t="shared" si="495"/>
        <v>INASISTENTE</v>
      </c>
      <c r="KA141" s="21"/>
      <c r="KB141" s="21"/>
      <c r="KC141" s="21"/>
      <c r="KD141" s="37"/>
      <c r="KE141" s="28"/>
      <c r="KF141" s="28"/>
      <c r="KG141" s="28"/>
      <c r="KH141" s="39"/>
      <c r="KI141" s="39"/>
      <c r="KJ141" s="66"/>
      <c r="KK141" s="39"/>
      <c r="KL141" s="39"/>
      <c r="KM141" s="66"/>
      <c r="KN141" s="39"/>
      <c r="KO141" s="39"/>
      <c r="KP141" s="39"/>
      <c r="KQ141" s="39"/>
      <c r="KR141" s="39"/>
      <c r="KS141" s="39"/>
      <c r="KT141" s="39"/>
      <c r="KU141" s="38"/>
      <c r="KV141" s="38"/>
      <c r="KW141" s="38"/>
      <c r="KX141" s="38"/>
      <c r="KY141" s="38"/>
      <c r="KZ141" s="38"/>
      <c r="LA141" s="38"/>
      <c r="LB141" s="38"/>
      <c r="LC141" s="38"/>
      <c r="LD141" s="38"/>
      <c r="LE141" s="38"/>
      <c r="LF141" s="38"/>
      <c r="LG141" s="38"/>
      <c r="LH141" s="38"/>
      <c r="LI141" s="38"/>
      <c r="LJ141" s="38"/>
      <c r="LK141" s="38"/>
      <c r="LL141" s="38"/>
      <c r="LM141" s="38"/>
      <c r="LN141" s="38"/>
      <c r="LO141" s="38"/>
      <c r="LP141" s="38"/>
      <c r="LQ141" s="38"/>
      <c r="LR141" s="38"/>
      <c r="LS141" s="38"/>
      <c r="LT141" s="38"/>
      <c r="LU141" s="38"/>
      <c r="LV141" s="38"/>
      <c r="LW141" s="38"/>
      <c r="LX141" s="38"/>
      <c r="LY141" s="38"/>
      <c r="LZ141" s="38"/>
      <c r="MA141" s="38"/>
      <c r="MB141" s="38"/>
      <c r="MC141" s="38"/>
      <c r="MD141" s="38"/>
      <c r="ME141" s="38"/>
      <c r="MF141" s="38"/>
      <c r="MG141" s="38"/>
      <c r="MH141" s="43">
        <f t="shared" si="641"/>
        <v>0</v>
      </c>
      <c r="MI141" s="43" t="str">
        <f t="shared" si="642"/>
        <v/>
      </c>
      <c r="MJ141" s="43" t="str">
        <f t="shared" si="643"/>
        <v/>
      </c>
      <c r="MK141" s="43">
        <f t="shared" si="644"/>
        <v>0</v>
      </c>
      <c r="ML14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41" s="43" t="e">
        <f t="shared" si="645"/>
        <v>#VALUE!</v>
      </c>
      <c r="MN141" s="43">
        <f t="shared" si="646"/>
        <v>3</v>
      </c>
      <c r="MO141" s="43">
        <f t="shared" si="647"/>
        <v>2023</v>
      </c>
      <c r="MP141" s="43" t="str">
        <f t="shared" si="648"/>
        <v>I TRIMESTRE AÑO</v>
      </c>
      <c r="MQ141" s="43">
        <f t="shared" si="649"/>
        <v>20.584209373631186</v>
      </c>
      <c r="MR141" s="43">
        <f t="shared" si="650"/>
        <v>0</v>
      </c>
      <c r="MS141" s="43" t="str">
        <f t="shared" si="651"/>
        <v xml:space="preserve"> DE 20 A 24 AÑOS</v>
      </c>
      <c r="MT141" s="43">
        <f t="shared" si="652"/>
        <v>0</v>
      </c>
      <c r="MU141" s="43">
        <f t="shared" si="653"/>
        <v>0</v>
      </c>
      <c r="MV141" s="43">
        <f t="shared" si="654"/>
        <v>0</v>
      </c>
      <c r="MW141" s="43">
        <f t="shared" si="655"/>
        <v>0</v>
      </c>
      <c r="MX141" s="43" t="str">
        <f t="shared" si="656"/>
        <v/>
      </c>
      <c r="MY141" s="43" t="str">
        <f t="shared" ca="1" si="496"/>
        <v/>
      </c>
      <c r="MZ141" s="43" t="str">
        <f t="shared" si="657"/>
        <v/>
      </c>
      <c r="NA141" s="43" t="str">
        <f t="shared" si="658"/>
        <v/>
      </c>
      <c r="NB141" s="43" t="str">
        <f t="shared" si="659"/>
        <v/>
      </c>
      <c r="NC141" s="43" t="str">
        <f t="shared" si="660"/>
        <v/>
      </c>
      <c r="ND141" s="43">
        <f t="shared" ca="1" si="661"/>
        <v>0</v>
      </c>
      <c r="NE141" s="43">
        <f>IF(OR(O141&gt;0,R141&gt;0),SUM(COUNTIF(Tabla1[[#This Row],[AÑOS AL INICIO5 CPN]],"&gt;=40"),COUNTIF(AS141,"0"),COUNTIF(AR141,"SI"),COUNTIF(CC141,"SI"),COUNTIF(BQ141,"&gt;119"),COUNTIF(CI141,"&gt;=35")),"")</f>
        <v>0</v>
      </c>
      <c r="NF141" s="43" t="str">
        <f t="shared" si="662"/>
        <v>SD</v>
      </c>
      <c r="NG141" s="43">
        <f t="shared" si="663"/>
        <v>0</v>
      </c>
      <c r="NH141" s="43" t="str">
        <f t="shared" si="664"/>
        <v/>
      </c>
      <c r="NI141"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CPN",P141="NO"),"Z",IF(AND(Tabla1[[#This Row],[CITA PROXIMO CONTROL]]="CITA MANUAL",Tabla1[[#This Row],[GESTANTES ACTUALES]]="ACTIVA INGRESO A CPN"),"W",IF(AND(Tabla1[[#This Row],[GESTANTES ACTUALES]]="SALIO PROGRAMA",IN141=""),"S",IF(AND(Tabla1[[#This Row],[CITA PROXIMO CONTROL]]&gt;0,IN141=""),(Tabla1[[#This Row],[CITA PROXIMO CONTROL]]-TODAY()),"SD"))))))))</f>
        <v>SD</v>
      </c>
      <c r="NJ141" s="43">
        <f>MONTH(Tabla1[[#This Row],[FECHA DE SALIDA  DEL PROGRAMA]])</f>
        <v>5</v>
      </c>
      <c r="NK141" s="43">
        <f>YEAR(Tabla1[[#This Row],[FECHA DE SALIDA  DEL PROGRAMA]])</f>
        <v>2023</v>
      </c>
      <c r="NL141" s="43" t="str">
        <f t="shared" si="665"/>
        <v>X</v>
      </c>
      <c r="NM141" s="43" t="str">
        <f t="shared" si="501"/>
        <v>NO</v>
      </c>
      <c r="NN141" s="43" t="str">
        <f ca="1">IF(AND(O141&gt;0,R141=""),"NO CPN",IF(AND(O141="",R141=""),"",IF(AND(R141&gt;0,Tabla1[[#This Row],[SEMANAS DE GESTACION ACTUALIZADAS]]&lt;=12),"NO APLICA",IF(AND(FH141&lt;&gt;"",FN141&lt;&gt;""),"SI","NO"))))</f>
        <v>NO</v>
      </c>
      <c r="NO141" s="43" t="str">
        <f ca="1">IF(AND(O141&gt;0,R141=""),"NO CPN",IF(AND(O141="",R141=""),"",IF(AND(R141&gt;0,Tabla1[[#This Row],[SEMANAS DE GESTACION ACTUALIZADAS]]&lt;=27),"NO APLICA",IF(AND(ES141&lt;&gt;"",FQ141&lt;&gt;"",GF141&lt;&gt;""),"SI","NO"))))</f>
        <v>NO</v>
      </c>
      <c r="NP141" s="204" t="str">
        <f t="shared" si="666"/>
        <v/>
      </c>
      <c r="NQ141" s="21" t="str">
        <f t="shared" si="500"/>
        <v/>
      </c>
      <c r="NR141" s="21" t="e">
        <f t="shared" si="497"/>
        <v>#VALUE!</v>
      </c>
      <c r="NS141" s="205">
        <f t="shared" ca="1" si="667"/>
        <v>0</v>
      </c>
      <c r="NT141" s="21">
        <f t="shared" ca="1" si="668"/>
        <v>0</v>
      </c>
      <c r="NU141" s="21" t="e">
        <f t="shared" si="669"/>
        <v>#VALUE!</v>
      </c>
      <c r="NV141" s="21" t="e">
        <f t="shared" si="670"/>
        <v>#VALUE!</v>
      </c>
      <c r="NW141" s="206" t="str">
        <f>IF(AND(O141="",R141=""),"",IF(OR(AND(Tabla1[[#This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41" s="207" t="str">
        <f t="shared" si="671"/>
        <v>SIN VACUNAR</v>
      </c>
      <c r="NY141" s="43">
        <f>ROW(Tabla1[[#This Row],['# DE TAMIZAJES SIFILIS TOMADOS ]])</f>
        <v>141</v>
      </c>
      <c r="NZ141" s="43" t="str">
        <f t="shared" si="502"/>
        <v/>
      </c>
      <c r="OA141" s="43" t="str">
        <f t="shared" si="503"/>
        <v/>
      </c>
      <c r="OB141" s="43" t="str">
        <f t="shared" si="504"/>
        <v/>
      </c>
      <c r="OC141" s="43" t="str">
        <f t="shared" si="505"/>
        <v/>
      </c>
      <c r="OD141" s="43" t="str">
        <f t="shared" si="506"/>
        <v/>
      </c>
      <c r="OE141" s="43" t="str">
        <f t="shared" si="507"/>
        <v/>
      </c>
      <c r="OF141" s="43" t="str">
        <f t="shared" si="508"/>
        <v/>
      </c>
      <c r="OG141" s="43" t="str">
        <f t="shared" si="509"/>
        <v/>
      </c>
      <c r="OH141" s="43" t="str">
        <f t="shared" si="510"/>
        <v/>
      </c>
      <c r="OI141" s="43" t="str">
        <f t="shared" si="511"/>
        <v/>
      </c>
      <c r="OJ141" s="43" t="str">
        <f t="shared" si="512"/>
        <v/>
      </c>
      <c r="OK141" s="43" t="str">
        <f t="shared" si="513"/>
        <v/>
      </c>
      <c r="OL141" s="43" t="str">
        <f t="shared" si="514"/>
        <v/>
      </c>
      <c r="OM141" s="43" t="str">
        <f t="shared" si="515"/>
        <v/>
      </c>
      <c r="ON141" s="43" t="str">
        <f t="shared" si="516"/>
        <v/>
      </c>
      <c r="OO141" s="43" t="str">
        <f t="shared" si="517"/>
        <v/>
      </c>
      <c r="OP141" s="43" t="str">
        <f t="shared" si="518"/>
        <v/>
      </c>
      <c r="OQ141" s="43" t="str">
        <f t="shared" si="519"/>
        <v/>
      </c>
      <c r="OR141" s="43" t="str">
        <f t="shared" si="520"/>
        <v/>
      </c>
      <c r="OS141" s="43" t="str">
        <f t="shared" si="521"/>
        <v/>
      </c>
      <c r="OT141" s="43" t="str">
        <f t="shared" si="522"/>
        <v/>
      </c>
      <c r="OU141" s="43" t="str">
        <f t="shared" si="523"/>
        <v/>
      </c>
      <c r="OV141" s="110" t="str">
        <f t="shared" si="524"/>
        <v/>
      </c>
      <c r="OW141" s="43" t="str">
        <f t="shared" si="525"/>
        <v/>
      </c>
      <c r="OX141" s="43" t="str">
        <f t="shared" si="526"/>
        <v/>
      </c>
      <c r="OY141" s="43" t="str">
        <f t="shared" si="527"/>
        <v/>
      </c>
      <c r="OZ141" s="43" t="str">
        <f t="shared" si="528"/>
        <v/>
      </c>
      <c r="PA141" s="43" t="str">
        <f t="shared" si="529"/>
        <v/>
      </c>
      <c r="PB141" s="43" t="str">
        <f t="shared" si="530"/>
        <v/>
      </c>
      <c r="PC141" s="43" t="str">
        <f t="shared" si="531"/>
        <v/>
      </c>
      <c r="PD141" s="43" t="str">
        <f t="shared" si="532"/>
        <v/>
      </c>
      <c r="PE141" s="43" t="str">
        <f t="shared" si="533"/>
        <v/>
      </c>
      <c r="PF141" s="43" t="str">
        <f t="shared" si="534"/>
        <v/>
      </c>
      <c r="PG141" s="43" t="str">
        <f t="shared" si="535"/>
        <v/>
      </c>
      <c r="PH141" s="43" t="str">
        <f t="shared" si="536"/>
        <v/>
      </c>
      <c r="PI141" s="43" t="str">
        <f t="shared" si="537"/>
        <v>REVISAR FUM O FECHA CPN</v>
      </c>
      <c r="PJ141" s="43" t="str">
        <f t="shared" si="538"/>
        <v/>
      </c>
      <c r="PK141" s="43" t="str">
        <f t="shared" si="539"/>
        <v/>
      </c>
      <c r="PL141" s="43" t="str">
        <f t="shared" si="540"/>
        <v/>
      </c>
      <c r="PM141" s="43" t="str">
        <f t="shared" si="541"/>
        <v/>
      </c>
      <c r="PN141" s="43" t="str">
        <f t="shared" si="542"/>
        <v/>
      </c>
      <c r="PO141" s="43" t="str">
        <f t="shared" si="543"/>
        <v/>
      </c>
      <c r="PP141" s="43" t="str">
        <f t="shared" si="544"/>
        <v/>
      </c>
      <c r="PQ141" s="43" t="str">
        <f t="shared" si="545"/>
        <v/>
      </c>
      <c r="PR141" s="43" t="str">
        <f t="shared" si="546"/>
        <v/>
      </c>
      <c r="PS141" s="43" t="str">
        <f t="shared" si="547"/>
        <v/>
      </c>
      <c r="PT141" s="43" t="str">
        <f t="shared" si="548"/>
        <v/>
      </c>
      <c r="PU141" s="43" t="str">
        <f t="shared" si="549"/>
        <v/>
      </c>
      <c r="PV141" s="43" t="str">
        <f t="shared" si="550"/>
        <v/>
      </c>
      <c r="PW141" s="43" t="str">
        <f t="shared" si="551"/>
        <v/>
      </c>
      <c r="PX141" s="43" t="str">
        <f t="shared" si="552"/>
        <v/>
      </c>
      <c r="PY141" s="43" t="str">
        <f t="shared" si="553"/>
        <v/>
      </c>
      <c r="PZ141" s="43" t="str">
        <f t="shared" si="554"/>
        <v/>
      </c>
      <c r="QA141" s="43" t="str">
        <f t="shared" si="555"/>
        <v/>
      </c>
      <c r="QB141" s="43" t="str">
        <f t="shared" si="556"/>
        <v/>
      </c>
      <c r="QC141" s="43" t="str">
        <f t="shared" si="557"/>
        <v/>
      </c>
      <c r="QD141" s="43" t="str">
        <f t="shared" si="558"/>
        <v/>
      </c>
      <c r="QE141" s="43" t="str">
        <f t="shared" si="559"/>
        <v/>
      </c>
      <c r="QF141" s="43" t="str">
        <f t="shared" si="560"/>
        <v/>
      </c>
      <c r="QG141" s="43" t="str">
        <f t="shared" si="561"/>
        <v/>
      </c>
      <c r="QH141" s="43" t="str">
        <f t="shared" si="562"/>
        <v/>
      </c>
      <c r="QI141" s="43" t="str">
        <f t="shared" si="563"/>
        <v/>
      </c>
      <c r="QJ141" s="43" t="str">
        <f t="shared" si="564"/>
        <v/>
      </c>
      <c r="QK141" s="43" t="str">
        <f t="shared" si="565"/>
        <v/>
      </c>
      <c r="QL141" s="43" t="str">
        <f t="shared" si="566"/>
        <v/>
      </c>
      <c r="QM141" s="43" t="str">
        <f t="shared" si="567"/>
        <v/>
      </c>
      <c r="QN141" s="43" t="str">
        <f t="shared" si="568"/>
        <v/>
      </c>
      <c r="QO141" s="43" t="str">
        <f t="shared" si="569"/>
        <v/>
      </c>
      <c r="QP141" s="43" t="str">
        <f t="shared" si="570"/>
        <v/>
      </c>
      <c r="QQ141" s="43" t="str">
        <f t="shared" si="571"/>
        <v/>
      </c>
      <c r="QR141" s="43" t="str">
        <f t="shared" si="672"/>
        <v>Mayor</v>
      </c>
      <c r="QS141" s="43"/>
      <c r="QT141" s="21" t="str">
        <f t="shared" si="572"/>
        <v/>
      </c>
      <c r="QU141" s="21" t="str">
        <f t="shared" si="573"/>
        <v/>
      </c>
      <c r="QV141" s="21" t="str">
        <f t="shared" si="574"/>
        <v/>
      </c>
      <c r="QW141" s="21" t="str">
        <f t="shared" si="575"/>
        <v/>
      </c>
      <c r="QX141" s="21" t="str">
        <f t="shared" si="576"/>
        <v/>
      </c>
      <c r="QY141" s="21" t="str">
        <f t="shared" si="577"/>
        <v/>
      </c>
      <c r="QZ141" s="21" t="str">
        <f t="shared" si="578"/>
        <v/>
      </c>
      <c r="RA141" s="21" t="str">
        <f t="shared" si="579"/>
        <v/>
      </c>
      <c r="RB141" s="21" t="str">
        <f t="shared" si="580"/>
        <v/>
      </c>
      <c r="RC141" s="21" t="str">
        <f t="shared" si="581"/>
        <v/>
      </c>
      <c r="RD141" s="21" t="str">
        <f t="shared" si="582"/>
        <v/>
      </c>
      <c r="RE141" s="21" t="str">
        <f t="shared" si="583"/>
        <v/>
      </c>
      <c r="RF141" s="21" t="str">
        <f t="shared" si="584"/>
        <v/>
      </c>
      <c r="RG141" s="21" t="str">
        <f t="shared" si="585"/>
        <v/>
      </c>
      <c r="RH141" s="21" t="str">
        <f t="shared" si="586"/>
        <v/>
      </c>
      <c r="RI141" s="21" t="str">
        <f t="shared" si="587"/>
        <v/>
      </c>
      <c r="RJ141" s="21" t="str">
        <f t="shared" si="588"/>
        <v/>
      </c>
      <c r="RK141" s="21" t="str">
        <f t="shared" si="589"/>
        <v/>
      </c>
      <c r="RL141" s="21" t="str">
        <f t="shared" si="590"/>
        <v/>
      </c>
      <c r="RM141" s="21" t="str">
        <f t="shared" si="591"/>
        <v/>
      </c>
      <c r="RN141" s="21" t="str">
        <f t="shared" si="592"/>
        <v/>
      </c>
      <c r="RO141" s="21" t="str">
        <f t="shared" si="593"/>
        <v/>
      </c>
      <c r="RP141" s="21" t="str">
        <f t="shared" si="594"/>
        <v/>
      </c>
      <c r="RQ141" s="21" t="str">
        <f t="shared" si="595"/>
        <v/>
      </c>
      <c r="RR141" s="21" t="str">
        <f t="shared" si="596"/>
        <v/>
      </c>
      <c r="RS141" s="21" t="str">
        <f t="shared" si="597"/>
        <v/>
      </c>
      <c r="RT141" s="21" t="str">
        <f t="shared" si="598"/>
        <v/>
      </c>
      <c r="RU141" s="21" t="str">
        <f t="shared" si="599"/>
        <v/>
      </c>
      <c r="RV141" s="21" t="e">
        <f t="shared" si="600"/>
        <v>#VALUE!</v>
      </c>
      <c r="RW141" s="284" t="str">
        <f>IF(OR(Tabla1[[#This Row],[FUM FORMULA CONFIABLE]]="",Tabla1[[#This Row],[FUM FORMULA CONFIABLE]]="SD"),"",IF(Tabla1[[#This Row],[FUM FORMULA CONFIABLE]]="CORREGIDA",Tabla1[[#This Row],[FUM X ECO 1]],Tabla1[[#This Row],[FUM x AMENORREA]]))</f>
        <v/>
      </c>
      <c r="RX141" s="21" t="str">
        <f>IF(AND(Tabla1[[#This Row],[FUM X ECO 1]]="",Tabla1[[#This Row],[FUM x AMENORREA]]=""),"",IF(AND(Tabla1[[#This Row],[FUM X ECO 1]]="",Tabla1[[#This Row],[FUM x AMENORREA]]&lt;&gt;""),"X",SUM(Tabla1[[#This Row],[FUM X ECO 1]]-Tabla1[[#This Row],[FUM x AMENORREA]])))</f>
        <v/>
      </c>
      <c r="RY141" s="21" t="str">
        <f t="shared" si="673"/>
        <v/>
      </c>
    </row>
    <row r="142" spans="1:493" s="338" customFormat="1" ht="45" customHeight="1" x14ac:dyDescent="0.25">
      <c r="A142" s="300"/>
      <c r="B142" s="301"/>
      <c r="C142" s="301" t="s">
        <v>845</v>
      </c>
      <c r="D142" s="302"/>
      <c r="E142" s="301" t="s">
        <v>974</v>
      </c>
      <c r="F142" s="301" t="s">
        <v>1144</v>
      </c>
      <c r="G142" s="301" t="s">
        <v>1419</v>
      </c>
      <c r="H142" s="301"/>
      <c r="I142" s="300" t="s">
        <v>851</v>
      </c>
      <c r="J142" s="303">
        <v>1059598995</v>
      </c>
      <c r="K142" s="301" t="s">
        <v>852</v>
      </c>
      <c r="L142" s="175" t="s">
        <v>1509</v>
      </c>
      <c r="M142" s="305">
        <v>33067</v>
      </c>
      <c r="N142" s="306">
        <f t="shared" ca="1" si="601"/>
        <v>33.328767123287669</v>
      </c>
      <c r="O142" s="305">
        <v>45014</v>
      </c>
      <c r="P142" s="307" t="str">
        <f t="shared" ref="P142:P203" si="675">IF(AND(O142="",R142&gt;0),"ACUDE ESPONTANEAMENTE",IF(AND(AND(O142&gt;0,R142=""),OR(IN142&gt;0,IK142&lt;&gt;"")),"NA",IF(AND(O142&gt;0,IN142="",R142=""),"NO",IF(AND(O142&gt;0,R142&gt;0),"SI",""))))</f>
        <v>SI</v>
      </c>
      <c r="Q142" s="308" t="s">
        <v>855</v>
      </c>
      <c r="R142" s="305">
        <v>45014</v>
      </c>
      <c r="S142" s="309" t="s">
        <v>856</v>
      </c>
      <c r="T142" s="310" t="s">
        <v>690</v>
      </c>
      <c r="U142" s="309" t="s">
        <v>857</v>
      </c>
      <c r="V142" s="309" t="s">
        <v>858</v>
      </c>
      <c r="W142" s="309" t="s">
        <v>1338</v>
      </c>
      <c r="X142" s="309"/>
      <c r="Y142" s="309"/>
      <c r="Z142" s="309" t="s">
        <v>846</v>
      </c>
      <c r="AA142" s="309" t="s">
        <v>860</v>
      </c>
      <c r="AB142" s="311" t="s">
        <v>861</v>
      </c>
      <c r="AC142" s="308" t="s">
        <v>846</v>
      </c>
      <c r="AD142" s="312" t="s">
        <v>846</v>
      </c>
      <c r="AE142" s="308" t="s">
        <v>854</v>
      </c>
      <c r="AF142" s="308" t="s">
        <v>854</v>
      </c>
      <c r="AG142" s="313" t="s">
        <v>864</v>
      </c>
      <c r="AH142" s="313" t="s">
        <v>864</v>
      </c>
      <c r="AI142" s="310" t="s">
        <v>864</v>
      </c>
      <c r="AJ142" s="313" t="s">
        <v>864</v>
      </c>
      <c r="AK142" s="314" t="str">
        <f>IF(AND(AD142="",AE142="",AF142="",AG142="",AH142="",AI142="",AJ142=""),"",IF(OR(Tabla1[[#This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EVALUACIÓN",IF(AND(O142="",R142=""),"",IF(AND(OR(O142&gt;0,R142&gt;0),NG142&gt;=0,NG142&lt;2),"SIN RIESGO",IF(AND(OR(O142&gt;0,R142&gt;0),NG142&gt;=2),"CON RIESGO","ASD")))))</f>
        <v>SIN RIESGO</v>
      </c>
      <c r="AL142" s="313" t="s">
        <v>864</v>
      </c>
      <c r="AM142" s="308" t="s">
        <v>864</v>
      </c>
      <c r="AN142" s="308" t="s">
        <v>864</v>
      </c>
      <c r="AO142" s="308" t="s">
        <v>864</v>
      </c>
      <c r="AP142" s="308" t="s">
        <v>864</v>
      </c>
      <c r="AQ142" s="308" t="s">
        <v>864</v>
      </c>
      <c r="AR142" s="308" t="s">
        <v>864</v>
      </c>
      <c r="AS142" s="309">
        <v>3</v>
      </c>
      <c r="AT142" s="309">
        <v>3</v>
      </c>
      <c r="AU142" s="309">
        <v>0</v>
      </c>
      <c r="AV142" s="308" t="s">
        <v>864</v>
      </c>
      <c r="AW142" s="309">
        <v>0</v>
      </c>
      <c r="AX142" s="308" t="s">
        <v>864</v>
      </c>
      <c r="AY142" s="308" t="s">
        <v>864</v>
      </c>
      <c r="AZ142" s="308" t="s">
        <v>864</v>
      </c>
      <c r="BA142" s="308" t="s">
        <v>864</v>
      </c>
      <c r="BB142" s="308" t="s">
        <v>864</v>
      </c>
      <c r="BC142" s="308" t="s">
        <v>864</v>
      </c>
      <c r="BD142" s="308" t="s">
        <v>864</v>
      </c>
      <c r="BE142" s="308" t="s">
        <v>864</v>
      </c>
      <c r="BF142" s="308" t="s">
        <v>864</v>
      </c>
      <c r="BG142" s="308" t="s">
        <v>864</v>
      </c>
      <c r="BH142" s="308" t="s">
        <v>864</v>
      </c>
      <c r="BI142" s="308" t="s">
        <v>864</v>
      </c>
      <c r="BJ142" s="308"/>
      <c r="BK142" s="308" t="s">
        <v>864</v>
      </c>
      <c r="BL142" s="308" t="s">
        <v>864</v>
      </c>
      <c r="BM142" s="308" t="s">
        <v>864</v>
      </c>
      <c r="BN142" s="305"/>
      <c r="BO142" s="305">
        <v>44857</v>
      </c>
      <c r="BP142" s="309" t="s">
        <v>854</v>
      </c>
      <c r="BQ142" s="315">
        <f t="shared" si="602"/>
        <v>0</v>
      </c>
      <c r="BR142" s="316">
        <f t="shared" si="603"/>
        <v>44861.3</v>
      </c>
      <c r="BS142" s="317">
        <f t="shared" si="604"/>
        <v>22.428571428571427</v>
      </c>
      <c r="BT142" s="318" t="str">
        <f t="shared" si="605"/>
        <v>II TRIM</v>
      </c>
      <c r="BU142" s="307" t="str">
        <f t="shared" ca="1" si="606"/>
        <v/>
      </c>
      <c r="BV142" s="319" t="s">
        <v>988</v>
      </c>
      <c r="BW142" s="305">
        <v>45072</v>
      </c>
      <c r="BX142" s="320">
        <v>30.1</v>
      </c>
      <c r="BY142" s="320"/>
      <c r="BZ142" s="305"/>
      <c r="CA142" s="309"/>
      <c r="CB142" s="308" t="s">
        <v>864</v>
      </c>
      <c r="CC142" s="308" t="s">
        <v>864</v>
      </c>
      <c r="CD142" s="308"/>
      <c r="CE142" s="308" t="s">
        <v>864</v>
      </c>
      <c r="CF142" s="22" t="s">
        <v>1517</v>
      </c>
      <c r="CG142" s="309">
        <v>1.49</v>
      </c>
      <c r="CH142" s="309">
        <v>56</v>
      </c>
      <c r="CI142" s="307">
        <f t="shared" si="607"/>
        <v>25.224089004999776</v>
      </c>
      <c r="CJ142" s="321" t="e">
        <f>IF(AND(CI142&lt;10,CH142="SD"),"SIN DATO PESO PREGESTACION O I TRIM",IF(AND(OR(R142&gt;0,O142&gt;0),CI142="X"),"INGRESAR DATO DE PESO",IF(CI142="SD","INGRESAR DATO DE TALLA Y PESO",IF(AND(OR(Tabla1[[#This Row],[MOMENTO EN QUE SE REALIZA EL PESO AL INGRESO A CPN]]="PREGESTACIÓN",NZ142="Menor"),CI142&lt;18.5),"BAJO PESO",IF(AND(OR(Tabla1[[#This Row],[MOMENTO EN QUE SE REALIZA EL PESO AL INGRESO A CPN]]="PREGESTACIÓN",NZ142="Menor"),CI142&lt;25),"NORMAL",IF(AND(OR(Tabla1[[#This Row],[MOMENTO EN QUE SE REALIZA EL PESO AL INGRESO A CPN]]="PREGESTACIÓN",NZ142="Menor"),CI142&lt;30),"SOBREPESO",IF(AND(OR(Tabla1[[#This Row],[MOMENTO EN QUE SE REALIZA EL PESO AL INGRESO A CPN]]="PREGESTACIÓN",NZ142="Menor"),CI142&gt;=30,CI142&lt;50),"OBESIDAD",IF(AND(BS142&gt;0,Tabla1[[#This Row],[MOMENTO EN QUE SE REALIZA EL PESO AL INGRESO A CPN]]="GESTACIÓN"),HLOOKUP(NZ142,$OA$2:PH142,NY142),""))))))))</f>
        <v>#REF!</v>
      </c>
      <c r="CK142" s="322">
        <f t="shared" si="608"/>
        <v>45085</v>
      </c>
      <c r="CL142" s="309">
        <v>58</v>
      </c>
      <c r="CM142" s="307">
        <f t="shared" si="609"/>
        <v>26.124949326606909</v>
      </c>
      <c r="CN142" s="318">
        <f t="shared" si="610"/>
        <v>32</v>
      </c>
      <c r="CO142" s="318" t="e">
        <f>IF(PI142="","",IF(PI142&gt;0,HLOOKUP(PI142,$PJ$2:QQ142,NY142),""))</f>
        <v>#REF!</v>
      </c>
      <c r="CP142" s="309">
        <v>32</v>
      </c>
      <c r="CQ142" s="318" t="e">
        <f>IF(QR142="Menor","NO APLICA-MENOR 13 SEM",IF(AND(CC142="SI",CN142&gt;23),"NO APLICA- GEMELAR",IF(QR142="","",IF(QR142&gt;0,HLOOKUP(QR142,$QS$2:RU142,NY142),""))))</f>
        <v>#REF!</v>
      </c>
      <c r="CR142" s="309"/>
      <c r="CS142" s="309"/>
      <c r="CT142" s="323" t="str">
        <f>IF(R142="","",IF(AND(BS142&gt;1,BS142&lt;12,Tabla1[[#This Row],[T.A. SISTOLICA - ANTES DE SEMANA 12]]="",Tabla1[[#This Row],[T.A. DIASTOLICA - ANTES DE SEMANA 12]]=""),"REGISTRE DATO TA ANTES SEMANA 12",IF(AND(BS142&gt;11,BS142&lt;43,Tabla1[[#This Row],[T.A. SISTOLICA - ANTES DE SEMANA 12]]="",Tabla1[[#This Row],[T.A. DIASTOLICA - ANTES DE SEMANA 12]]=""),"NO APLICA REGISTRO TA-INGRESO TARDIO",IF(AND(OR(O142&gt;0,R142&gt;0),OR(CR142&gt;=140,CS142&gt;=90)),"DEFINIR ESTADIO HTA",IF(AND(OR(O142&gt;0,R142&gt;0),AND(CR142&gt;120,CR142&lt;=139)),"PRE HTA SEGUIMIENTO",IF(AND(OR(O142&gt;0,R142&gt;0),AND(CS142&gt;80,CS142&lt;=89)),"PRE HTA SEGUIMIENTO",IF(AND(OR(O142&gt;0,R142&gt;0),AND(CR142&gt;=80,CR142&lt;=120)),"APARENTEMENTE NORMAL",IF(AND(OR(O142&gt;0,R142&gt;0),AND(CS142&gt;=50,CS142&lt;=80)),"APARENTEMENTE NORMAL",IF(AND(OR(O142&gt;0,R142&gt;0),AND(CR142&gt;1,CR142&lt;=70),AND(CS142&gt;1,CS142&lt;=40)),"HIPOTENSIÓN","")))))))))</f>
        <v>NO APLICA REGISTRO TA-INGRESO TARDIO</v>
      </c>
      <c r="CU142" s="309">
        <v>100</v>
      </c>
      <c r="CV142" s="309">
        <v>60</v>
      </c>
      <c r="CW142" s="323" t="str">
        <f ca="1">IF(R142="","",IF(AND(CN142&gt;19,CN142&lt;27,Tabla1[[#This Row],[T.A. SISTOLICA (Entre semana 20 y 26)]]="",Tabla1[[#This Row],[T.A. DIATOLICA (Entre semana 20 y 26)]]=""),"ACUDE A CONTROL SEM 20 A 26 REGISTRE TA AHORA",IF(AND(BS142&gt;1,BS142&lt;27,BU142&gt;19,Tabla1[[#This Row],[T.A. SISTOLICA (Entre semana 20 y 26)]]="",Tabla1[[#This Row],[T.A. DIATOLICA (Entre semana 20 y 26)]]=""),"COMPLETE REGISTRO TA CONTROL SEM 20 A26 ",IF(AND(BS142&gt;26,BS142&lt;43,Tabla1[[#This Row],[T.A. SISTOLICA (Entre semana 20 y 26)]]="",Tabla1[[#This Row],[T.A. DIATOLICA (Entre semana 20 y 26)]]=""),"NO APLICA REGISTRO TA-INGRESO TARDIO",IF(AND(OR(O142&gt;0,R142&gt;0),OR(CU142&gt;=140,CV142&gt;=90)),"ALTO RIESGO PREECLAMPSIA,DEFINIR ESTADIO HTA",IF(AND(OR(O142&gt;0,R142&gt;0),AND(CU142&gt;120,CU142&lt;=139)),"PRE HTA SEGUIMIENTO,RIESGO HIPERTENSION INDUCIDA POR EL EMBARAZO",IF(AND(OR(O142&gt;0,R142&gt;0),AND(CV142&gt;80,CV142&lt;=89)),"PRE HTA SEGUIMIENTO, RIESGO HIPERTENSION INDUCIDA POR EL EMBARAZO",IF(AND(OR(O142&lt;&gt;"",R142&lt;&gt;""),CS142&lt;&gt;"",CV142&lt;&gt;"",CS142&lt;=CV142),"VIGILAR CIFRAS PRESION ARTERIAL",IF(AND(OR(O142&gt;0,R142&gt;0),AND(CU142&gt;120,CU142&lt;=139)),"PRE HTA SEGUIMIENTO",IF(AND(OR(O142&gt;0,R142&gt;0),AND(CU142&gt;1,CU142&lt;=70),AND(CV142&gt;1,CV142&lt;=40)),"HIPOTENSIÓN",IF(AND(OR(O142&lt;&gt;"",R142&lt;&gt;""),CS142&lt;&gt;"",CV142&lt;&gt;"",CS142&gt;CV142),"APARENTEMENTE NORMAL",IF(AND(OR(O142&gt;0,R142&gt;0),AND(CU142&gt;=80,CU142&lt;=120)),"APARENTEMENTE NORMAL",IF(AND(OR(O142&gt;0,R142&gt;0),AND(CV142&gt;=50,CV142&lt;=80)),"APARENTEMENTE NORMAL","")))))))))))))</f>
        <v>APARENTEMENTE NORMAL</v>
      </c>
      <c r="CX142" s="309"/>
      <c r="CY142" s="309"/>
      <c r="CZ142" s="318" t="str">
        <f>IF(R142="","",IF(AND(CN142&gt;31,CN142&lt;35,CX142="",CY142=""),"ACUDE A CONTROL SEM 30 A 34- REGISTRE AHORA",IF(AND(BS142&gt;34,BS142&lt;43,#REF!="",#REF!=""),"NO APLICA-INGRESO TARDIO",IF(AND(OR(O142&gt;0,R142&gt;0),OR(CX142&gt;=140,CY142&gt;=90)),"ESTUDIO INMEDIATO HTA PARA DESCARTAR PREECLAMSIA",IF(AND(OR(O142&gt;0,R142&gt;0),AND(CX142&gt;=130,CX142&lt;=139)),"PRE HTA,RIESGO ALTO PREECLAMPSIA",IF(AND(OR(O142&gt;0,R142&gt;0),AND(CY142&gt;80,CY142&lt;=89)),"PRE HTA,RIESGO ALTO PREECLAMPSIA",IF(AND(OR(O142&gt;0,R142&gt;0),AND(CX142&gt;120,CX142&lt;=129)),"RANGO PREHIPERTENSIVO SEGUIMIENTO HTA",IF(AND(OR(O142&lt;&gt;"",R142&lt;&gt;""),CS142&lt;&gt;"",CY142&lt;&gt;"",CS142&lt;CY142),"VIGILAR CIFRAS PRESION ARTERIAL",IF(AND(OR(O142&lt;&gt;"",R142&lt;&gt;""),CS142&lt;&gt;"",CY142&lt;&gt;"",CS142=CY142),"APARENTEMENTE NORMAL",IF(AND(OR(O142&gt;0,R142&gt;0),CX142&gt;=80,CX142&lt;=120),"APARENTEMENTE NORMAL",IF(AND(OR(O142&gt;0,R142&gt;0),CY142&gt;=50,CY142&lt;=80),"APARENTEMENTE NORMAL","")))))))))))</f>
        <v>ACUDE A CONTROL SEM 30 A 34- REGISTRE AHORA</v>
      </c>
      <c r="DA142" s="309">
        <v>90</v>
      </c>
      <c r="DB142" s="309">
        <v>70</v>
      </c>
      <c r="DC142" s="323" t="str">
        <f t="shared" si="611"/>
        <v>APARENTEMENTE NORMAL</v>
      </c>
      <c r="DD142" s="305">
        <v>45014</v>
      </c>
      <c r="DE142" s="305">
        <v>45014</v>
      </c>
      <c r="DF142" s="305">
        <v>45056</v>
      </c>
      <c r="DG142" s="305">
        <v>45085</v>
      </c>
      <c r="DH142" s="305"/>
      <c r="DI142" s="305"/>
      <c r="DJ142" s="305"/>
      <c r="DK142" s="305"/>
      <c r="DL142" s="305"/>
      <c r="DM142" s="305"/>
      <c r="DN142" s="305"/>
      <c r="DO142" s="305"/>
      <c r="DP142" s="305"/>
      <c r="DQ142" s="305"/>
      <c r="DR142" s="320">
        <v>1</v>
      </c>
      <c r="DS142" s="305"/>
      <c r="DT142" s="305"/>
      <c r="DU142" s="318" t="str">
        <f t="shared" ref="DU142:DU203" ca="1" si="676">IF(AND(BT142="ERROR FUM O INGRESO",DS142&gt;0),"ERROR FUM O INGRESO",IF(AND(DS142="",R142="",O142=""),"",IF(OR(AND(DS142&lt;&gt;"",DS142&lt;RW142),AND(DS142&lt;&gt;"",AND(SUM((DS142-RW142)/7)&gt;0,SUM((DS142-RW142)/7)&lt;28))),"PLAN REALIZADO ANTES III TRIM", IF(AND(DS142="",OR(O142&gt;0,R142&gt;0),AND(BU142&gt;=28, BU142&lt;35,DV142="ACTIVA INGRESO A CPN")),"PLANEAR PLAN DE PARTO", IF(AND(DS142="",OR(O142&gt;0,R142&gt;0),BU142&gt;=35,DV142="ACTIVA INGRESO A CPN"),"CONCERTAR PLAN DE PARTO INMEDIATO", IF(AND(DS142="",OR(O142&gt;0,R142&gt;0),AND(BU142&gt;0, BU142&lt;28),OR(DV142="ACTIVA INGRESO A CPN", DV142=" ACTIVA SIN INGRESO CPN")),"EN ESPERA", IF(AND(DS142="",OR(O142&gt;0,R142&gt;0),AND(IP142&gt;0, IP142&lt;28)),"NO APLICA SALE PROGRAMA ANTES III TRIM", IF(AND(DS142="",OR(O142&gt;0,R142&gt;0),AND(IP142&gt;=28, IP142&lt;35)),"SALE PROGRAMA ANTES SEMANA 35", IF(AND(DS142="",OR(O142&gt;0,R142&gt;0),IP142&gt;35),"SALE SIN PLAN DE PARTO",IF(DS142&gt;0,SUM(DS142-BO142)/7,""))))))))))</f>
        <v>CONCERTAR PLAN DE PARTO INMEDIATO</v>
      </c>
      <c r="DV142" s="324" t="str">
        <f t="shared" ref="DV142:DV203" si="677">IF(AND(R142&lt;&gt;"",IK142="CAMBIO DE RESIDENCIA",IK142="CAMBIO DE IPS",IK142="CAMBIO DE EPS"),"SEGUIMIENTO REPORTE EPS",IF(IK142="IVE","IVE",IF(AND(R142&lt;&gt;"",OR(IK142&lt;&gt;"",IN142&lt;&gt;"")),"SALIO PROGRAMA",IF(AND(AND(R142="",O142&gt;0),OR(IK142&lt;&gt;"",IN142&lt;&gt;"")),"SALE SIN INGRESO CPN",IF(AND(R142="",O142&gt;0,IK142="",IN142=""),"ACTIVA SIN INGRESO CPN",IF(AND(R142&lt;&gt;"",OR(IK142="",IN142="")),"ACTIVA INGRESO A CPN",""))))))</f>
        <v>ACTIVA INGRESO A CPN</v>
      </c>
      <c r="DW142" s="32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42" s="318" t="e">
        <f t="shared" ca="1" si="612"/>
        <v>#REF!</v>
      </c>
      <c r="DY142" s="322">
        <f>IF(R142="","",IF(R142&gt;0,MAX(Tabla1[[#This Row],[FECHA C2]:[FECHA C13]],Tabla1[[#This Row],[FECHA CONSULTA PRIMERA VEZ PROGRAMA CPN ]])))</f>
        <v>45085</v>
      </c>
      <c r="DZ142" s="318">
        <f t="shared" si="613"/>
        <v>32</v>
      </c>
      <c r="EA142" s="315">
        <f>IF(R142&gt;0,SUM(COUNTA(DF142:DQ142)+COUNTA(Tabla1[[#This Row],[FECHA CONSULTA PRIMERA VEZ PROGRAMA CPN ]])),"")</f>
        <v>3</v>
      </c>
      <c r="EB142" s="315" t="str">
        <f t="shared" si="614"/>
        <v>NO</v>
      </c>
      <c r="EC142" s="307">
        <f t="shared" si="615"/>
        <v>6</v>
      </c>
      <c r="ED142" s="325">
        <f t="shared" si="616"/>
        <v>0.5</v>
      </c>
      <c r="EE142" s="305">
        <v>45014</v>
      </c>
      <c r="EF142" s="305"/>
      <c r="EG142" s="305">
        <v>45014</v>
      </c>
      <c r="EH142" s="305"/>
      <c r="EI142" s="305">
        <v>45014</v>
      </c>
      <c r="EJ142" s="305"/>
      <c r="EK142" s="305"/>
      <c r="EL142" s="309"/>
      <c r="EM142" s="309">
        <v>12</v>
      </c>
      <c r="EN142" s="305">
        <v>45062</v>
      </c>
      <c r="EO142" s="315">
        <f t="shared" si="617"/>
        <v>29.285714285714285</v>
      </c>
      <c r="EP142" s="307" t="str">
        <f t="shared" si="618"/>
        <v>NORMAL- SUMINISTRAR SULFATO FERROSO</v>
      </c>
      <c r="EQ142" s="318" t="str">
        <f t="shared" si="619"/>
        <v>III TRIM</v>
      </c>
      <c r="ER142" s="310"/>
      <c r="ES142" s="305"/>
      <c r="ET142" s="326" t="str">
        <f t="shared" ref="ET142:ET203" ca="1" si="678">IF(AND(BT142="ERROR FUM O INGRESO",ES142&gt;0),"ERROR FUM O INGRESO",IF(AND(ES142="",R142="",O142=""),"",IF(OR(AND(ES142&lt;&gt;"",ES142&lt;RW142),AND(ES142&lt;&gt;"",SUM((ES142-RW142)/7)&gt;40)),"CORREGIR FECHA RESULTADO",IF(AND(BU142&gt;1,BU142&lt;23,ER142="",ES142=""),"EN ESPERA PARA TOMA EXAMEN",IF(AND(BU142&gt;22,BU142&lt;26,ER142="",ES142=""),"PROGRAMAR TOMA HEMOGLOBINA A SEM 28",IF(AND(BU142&gt;25,BU142&lt;28,ER142="",ES142=""),"TOMA HEMOGLOBINA A SEM 28 EN 1 SEMANA",IF(AND(BU142&gt;27,BU142&lt;31,ES142="",OR(O142&gt;0,R142&gt;0)),"EN SEMANA 28 TOMA INMEDIATA DE EXAMEN",IF(AND(IP142&gt;0,IP142&lt;28,ES142="",OR(O142&gt;0,R142&gt;0)),"NO APLICA-SALE ANTES SEM 28",IF(AND(IP142&gt;28,IP142&lt;43,ES142="",OR(O142&gt;0,R142&gt;0)),"SALE SIN TAMIZAJE HEMOGLOBINA SEM 28",IF(AND(BS142&gt;0,ES142="",OR(O142&gt;0,R142&gt;0)),"TOMA DE HEMOGLOBINA TARDÍA",IF(ES142&gt;0,SUM(ES142-RW142)/7,"")))))))))))</f>
        <v>TOMA DE HEMOGLOBINA TARDÍA</v>
      </c>
      <c r="EU142" s="319" t="str">
        <f t="shared" si="620"/>
        <v/>
      </c>
      <c r="EV142" s="310" t="s">
        <v>1510</v>
      </c>
      <c r="EW142" s="305">
        <v>44975</v>
      </c>
      <c r="EX142" s="305"/>
      <c r="EY142" s="326">
        <f t="shared" si="454"/>
        <v>16.857142857142858</v>
      </c>
      <c r="EZ142" s="319" t="str">
        <f t="shared" si="455"/>
        <v>SIN RIESGO DE ISOINMUNIZACIÓN</v>
      </c>
      <c r="FA142" s="309">
        <v>83</v>
      </c>
      <c r="FB142" s="305">
        <v>44975</v>
      </c>
      <c r="FC142" s="326">
        <f t="shared" si="621"/>
        <v>16.857142857142858</v>
      </c>
      <c r="FD142" s="326">
        <v>81</v>
      </c>
      <c r="FE142" s="326">
        <v>100</v>
      </c>
      <c r="FF142" s="326">
        <v>101</v>
      </c>
      <c r="FG142" s="309" t="str">
        <f t="shared" ca="1" si="622"/>
        <v>NORMAL</v>
      </c>
      <c r="FH142" s="327">
        <v>45062</v>
      </c>
      <c r="FI142" s="326">
        <f t="shared" si="623"/>
        <v>29.285714285714285</v>
      </c>
      <c r="FJ142" s="305"/>
      <c r="FK142" s="327"/>
      <c r="FL142" s="326" t="str">
        <f t="shared" ca="1" si="624"/>
        <v>NO APLICA-INGRESO TARDIO</v>
      </c>
      <c r="FM142" s="305" t="s">
        <v>867</v>
      </c>
      <c r="FN142" s="328">
        <v>44975</v>
      </c>
      <c r="FO142" s="326">
        <f t="shared" ref="FO142:FO203" ca="1" si="679">IF(AND(BT142="ERROR FUM O INGRESO",FN142&gt;0),"ERROR FUM O INGRESO",IF(AND(FN142="",R142="",O142=""),"",IF(AND(FN142&lt;&gt;"",FN142&lt;RW142), "INCOHERENCIA FUM Y FECHA TAMIZAJE",IF(AND(FN142="",DV142="ACTIVA INGRESO A CPN",AND(BU142&gt;0,BU142&lt;13)),"EN ESPERA-ESTÁ I TRIM", IF(AND(FN142="",AND(BS142&gt;0, BS142&lt;13),OR(O142&gt;0,R142&gt;0),AND(IP142&gt;0,IP142&lt;13)),"NO APLICA-SALIO DEL PROGRAMA I TRIM",IF(AND(FN142&lt;&gt;"",AND(SUM((FN142-RW142)/7)&gt;0,SUM((FN142-RW142)/7)&lt;13)),"REGISTRAR EN I TRIMESTRE",IF(AND(FN142&lt;&gt;"",AND(SUM((FN142-RW142)/7)&gt;=27,SUM((FN142-RW142)/7)&lt;44)),"REGISTRAR EN III TRIMESTRE",IF(AND(FN142="",OR(O142&gt;0,R142&gt;0),AND(BU142&gt;=13,BU142&lt;24),DV142="ACTIVA INGRESO A CPN"),"EN RANGO PARA TOMAR EXAMEN",IF(AND(FN142="",OR(O142&gt;0,R142&gt;0),AND(BU142&gt;=25,BU142&lt;27),DV142="ACTIVA INGRESO A CPN"),"TOMA INMEDIATA DE TAMIZAJE",IF(AND(FN142="",OR(O142&gt;0,R142&gt;0),AND(BS142&gt;=27,BS142&lt;44)),"NO APLICA-INGRESO TARDIO",IF(AND(FN142="",BS142&lt;27,OR(AND(IP142&gt;12,IP142&lt;44),BU142&gt;12)),"PIERDE TOMA DE TAMIZAJE",IF(FN142&gt;0,SUM(FN142-RW142)/7,""))))))))))))</f>
        <v>16.857142857142858</v>
      </c>
      <c r="FP142" s="305"/>
      <c r="FQ142" s="328"/>
      <c r="FR142" s="326" t="str">
        <f t="shared" ref="FR142:FR203" ca="1" si="680">IF(AND(BT142="ERROR FUM O INGRESO",FQ142&gt;0),"ERROR FUM O INGRESO",IF(AND(FQ142="",R142="",O142=""),"",IF(AND(FQ142&lt;&gt;"",FQ142&lt;RW142), "INCOHERENCIA FUM Y FECHA TAMIZAJE",IF(AND(FQ142="",DV142="ACTIVA INGRESO A CPN",AND(BU142&gt;0,BU142&lt;27)),"EN ESPERA-ESTÁ I TRIM O II TRIM", IF(AND(FQ142="",AND(BS142&gt;0, BS142&lt;27),OR(O142&gt;0,R142&gt;0),AND(IP142&gt;0,IP142&lt;27)),"NO APLICA-SALIO DEL PROGRAMA I O II TRIM",IF(AND(FQ142&lt;&gt;"",AND(SUM((FQ142-RW142)/7)&gt;0,SUM((FQ142-RW142)/7)&lt;13)),"REGISTAR EN I TRIMESTRE",IF(AND(FQ142&lt;&gt;"",AND(SUM((FQ142-RW142)/7)&gt;=13,SUM((FQ142-RW142)/7)&lt;27)),"REGISTRAR EN II TRIMESTRE",IF(AND(FQ142="",OR(O142&gt;0,R142&gt;0),AND(BU142&gt;=28,BU142&lt;35),DV142="ACTIVA INGRESO A CPN"),"EN RANGO PARA TOMAR EXAMEN",IF(AND(FQ142="",OR(O142&gt;0,R142&gt;0),BU142&gt;=35, DV142="ACTIVA INGRESO A CPN"),"TOMA INMEDIATA DE TAMIZAJE",IF(AND(FQ142="",DV142= "SALE SIN INGRESO CPN"),"NO APLICA-SIN CPN",IF(AND(FQ142="",AND(IP142&gt;26,IP142&lt;43)),"PIERDE TOMA DE TAMIZAJE",IF(FQ142&gt;0,SUM(FQ142-RW142)/7,""))))))))))))</f>
        <v>TOMA INMEDIATA DE TAMIZAJE</v>
      </c>
      <c r="FS142" s="305"/>
      <c r="FT142" s="328"/>
      <c r="FU142" s="326" t="str">
        <f>IF(AND(FJ142="",FM142="",FP142="",FS142=""),"",IF(OR(OR(Tabla1[[#This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42" s="320"/>
      <c r="FW142" s="305"/>
      <c r="FX142" s="326" t="str">
        <f t="shared" si="625"/>
        <v>TOMAR EXAMEN</v>
      </c>
      <c r="FY142" s="305"/>
      <c r="FZ142" s="305"/>
      <c r="GA142" s="326" t="str">
        <f t="shared" ca="1" si="498"/>
        <v>NO APLICA-INGRESO TARDIO</v>
      </c>
      <c r="GB142" s="305" t="s">
        <v>868</v>
      </c>
      <c r="GC142" s="305">
        <v>44975</v>
      </c>
      <c r="GD142" s="326">
        <f t="shared" ref="GD142:GD173" ca="1" si="681">IF(AND(BT142="ERROR FUM O INGRESO",GC142&gt;0),"ERROR FUM O INGRESO",IF(AND(GC142="",R142="",O142=""),"",IF(AND(GC142&lt;&gt;"",GC142&lt;RW142), "INCOHERENCIA FUM Y FECHA TAMIZAJE",IF(AND(GC142="",DV142="ACTIVA INGRESO A CPN",AND(BU142&gt;0,BU142&lt;13)),"EN ESPERA-ESTÁ I TRIM", IF(AND(GC142="",AND(BS142&gt;0, BS142&lt;12),OR(O142&gt;0,R142&gt;0),AND(IP142&gt;0,IP142&lt;13)),"NO APLICA-SALIO DEL PROGRAMA I TRIM",IF(AND(GC142&lt;&gt;"",AND(SUM((GC142-RW142)/7)&gt;0,SUM((GC142-RW142)/7)&lt;13)),"REGISTRAR EN I TRIMESTRE",IF(AND(GC142&lt;&gt;"",AND(SUM((GC142-RW142)/7)&gt;=27,SUM((GC142-RW142)/7)&lt;44)),"REGISTRAR EN III TRIMESTRE",IF(AND(GC142="",OR(O142&gt;0,R142&gt;0),AND(BU142&gt;=12,BU142&lt;25),DV142="ACTIVA INGRESO A CPN"),"EN RANGO PARA TOMAR EXAMEN",IF(AND(GC142="",OR(O142&gt;0,R142&gt;0),AND(BU142&gt;=25,BU142&lt;27),DV142="ACTIVA INGRESO A CPN"),"TOMA INMEDIATA DE TAMIZAJE",IF(AND(GC142="",OR(O142&gt;0,R142&gt;0),AND(BS142&gt;=27,BS142&lt;43)),"NO APLICA-INGRESO TARDIO",IF(AND(GC142="",BS142&lt;27),"PIERDE TOMA DE TAMIZAJE",IF(GC142&gt;0,SUM(GC142-RW142)/7,""))))))))))))</f>
        <v>16.857142857142858</v>
      </c>
      <c r="GE142" s="305"/>
      <c r="GF142" s="305"/>
      <c r="GG142" s="326" t="str">
        <f t="shared" ref="GG142:GG203" ca="1" si="682">IF(AND(BT142="ERROR FUM O INGRESO",GF142&gt;0),"ERROR FUM O INGRESO",IF(AND(GF142="",R142="",O142=""),"",IF(AND(GF142&lt;&gt;"",GF142&lt;RW142), "INCOHERENCIA FUM Y FECHA TAMIZAJE",IF(AND(GF142="",DV142="ACTIVA INGRESO A CPN",AND(BU142&gt;0,BU142&lt;27)),"EN ESPERA-ESTÁ I TRIM O II TRIM", IF(AND(GF142="",AND(BS142&gt;0, BS142&lt;28),OR(O142&gt;0,R142&gt;0),AND(IP142&gt;0,IP142&lt;28)),"NO APLICA-SALIO DEL PROGRAMA I O II TRIM",IF(AND(GF142&lt;&gt;"",AND(SUM((GF142-RW142)/7)&gt;0,SUM((GF142-RW142)/7)&lt;13)),"REGISTAR EN I TRIMESTRE",IF(AND(GF142&lt;&gt;"",AND(SUM((GF142-RW142)/7)&gt;=13,SUM((GF142-RW142)/7)&lt;27)),"REGISTRAR EN II TRIMESTRE",IF(AND(GF142="",OR(O142&gt;0,R142&gt;0),AND(BU142&gt;=28,BU142&lt;35),DV142="ACTIVA INGRESO A CPN"),"EN RANGO PARA TOMAR EXAMEN",IF(AND(GF142="",OR(O142&gt;0,R142&gt;0),BU142&gt;=35, DV142="ACTIVA INGRESO A CPN"),"TOMA INMEDIATA DE TAMIZAJE",IF(AND(GF142="",DV142= "SALE SIN INGRESO CPN"),"NO APLICA-SIN CPN",IF(AND(GF142="",BS142&lt;44),"PIERDE TOMA DE TAMIZAJE",IF(GF142&gt;0,SUM(GF142-RW142)/7,""))))))))))))</f>
        <v>TOMA INMEDIATA DE TAMIZAJE</v>
      </c>
      <c r="GH142" s="305"/>
      <c r="GI142" s="326"/>
      <c r="GJ142" s="305"/>
      <c r="GK142" s="305"/>
      <c r="GL142" s="305"/>
      <c r="GM142" s="305"/>
      <c r="GN142" s="320" t="s">
        <v>869</v>
      </c>
      <c r="GO142" s="305">
        <v>44975</v>
      </c>
      <c r="GP142" s="326">
        <f t="shared" si="626"/>
        <v>16.857142857142858</v>
      </c>
      <c r="GQ142" s="320" t="s">
        <v>869</v>
      </c>
      <c r="GR142" s="320" t="s">
        <v>869</v>
      </c>
      <c r="GS142" s="305" t="str">
        <f t="shared" si="627"/>
        <v>CONTROL Igm</v>
      </c>
      <c r="GT142" s="305">
        <v>45072</v>
      </c>
      <c r="GU142" s="326">
        <f t="shared" si="628"/>
        <v>30.714285714285715</v>
      </c>
      <c r="GV142" s="309" t="str">
        <f t="shared" si="629"/>
        <v>III TRIM</v>
      </c>
      <c r="GW142" s="320"/>
      <c r="GX142" s="329"/>
      <c r="GY142" s="309"/>
      <c r="GZ142" s="309"/>
      <c r="HA142" s="309"/>
      <c r="HB142" s="309"/>
      <c r="HC142" s="309"/>
      <c r="HD142" s="309"/>
      <c r="HE142" s="309"/>
      <c r="HF142" s="305"/>
      <c r="HG142" s="305" t="str">
        <f>IF(OR(O142&gt;0,R142&gt;0),CONCATENATE(IF(Tabla1[[#This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42" s="305" t="e">
        <f t="shared" si="630"/>
        <v>#REF!</v>
      </c>
      <c r="HI142" s="305" t="e">
        <f t="shared" ca="1" si="631"/>
        <v>#REF!</v>
      </c>
      <c r="HJ142" s="309" t="str">
        <f t="shared" ca="1" si="632"/>
        <v>***************************************</v>
      </c>
      <c r="HK142" s="309" t="str">
        <f t="shared" si="633"/>
        <v>SIN ANTECEDENTES DE RIESGO</v>
      </c>
      <c r="HL142" s="310" t="str">
        <f t="shared" si="634"/>
        <v>APARENTEMENTE NORMAL</v>
      </c>
      <c r="HM142" s="309" t="e">
        <f t="shared" ca="1" si="635"/>
        <v>#REF!</v>
      </c>
      <c r="HN142" s="329" t="str">
        <f t="shared" ref="HN142:HN203" si="683">IF(AND(R142&lt;&gt;"",IK142="CAMBIO DE RESIDENCIA"),"SEGUIMIENTO REPORTE EPS",IF(AND(R142&lt;&gt;"",OR(IK142&lt;&gt;"",IN142&lt;&gt;"")),"SALIO PROGRAMA",IF(AND(AND(R142="",O142&gt;0),OR(IK142&lt;&gt;"",IN142&lt;&gt;"")),"SALE SIN INGRESO CPN",IF(AND(R142="",O142&gt;0,IK142="",IN142=""),"ACTIVA SIN INGRESO CPN",IF(AND(R142&lt;&gt;"",OR(IK142="",IN142="")),"ACTIVA INGRESO A CPN","")))))</f>
        <v>ACTIVA INGRESO A CPN</v>
      </c>
      <c r="HO142" s="309"/>
      <c r="HP142" s="309"/>
      <c r="HQ142" s="309"/>
      <c r="HR142" s="309" t="str">
        <f>IF(R142="","",IF(Tabla1[[#This Row],[ALARMA FACTORES DE RIESGO COMPLICACIONES HIPERTENSIVAS3]]="SIN ANTECEDENTES DE RIESGO","No Aplica para suministro de ASA",IF(AND(Tabla1[[#This Row],[FECHA INICIO DE SUMINISTRO DE ASA]]&gt;0,RV142&lt;12),"Inicia ASA ANTES de Sem 12",IF(AND(RV142&gt;11,RV142&lt;17,OR(HK142="RIESGO ALTO DE COMPLICACIONES HIPERTENSIVAS VER MANEJO GUIA SUMINISTRO ASA Y CALCIO",HK142="RIESGO MODERADO (2 O MAS CRITERIOS) VER MANEJO GUIA SUMINISTRO ASA Y CALCIO")),"Inicio oportuno de ASA",IF(AND(RV142&gt;12,OR(HK142="RIESGO ALTO DE COMPLICACIONES HIPERTENSIVAS VER MANEJO GUIA SUMINISTRO ASA Y CALCIO",HK142="RIESGO MODERADO (2 O MAS CRITERIOS) VER MANEJO GUIA SUMINISTRO ASA Y CALCIO")),"Inicio no oportuno mayor a 16 semanas",IF(AND(BU142&lt;12,OR(HK142="RIESGO ALTO DE COMPLICACIONES HIPERTENSIVAS VER MANEJO GUIA SUMINISTRO ASA Y CALCIO",HK142="RIESGO MODERADO (2 O MAS CRITERIOS) VER MANEJO GUIA SUMINISTRO ASA Y CALCIO")),"Pendiente Inicio de ASA a la semana 12",IF(AND(BU142&gt;11,BU142&lt;17,OR(HK142="RIESGO ALTO DE COMPLICACIONES HIPERTENSIVAS VER MANEJO GUIA SUMINISTRO ASA Y CALCIO",HK142="RIESGO MODERADO (2 O MAS CRITERIOS) VER MANEJO GUIA SUMINISTRO ASA Y CALCIO")),"Iniciar de inmediato ASA",IF(AND(BU142&gt;16,OR(HK142="RIESGO ALTO DE COMPLICACIONES HIPERTENSIVAS VER MANEJO GUIA SUMINISTRO ASA Y CALCIO",HK142="RIESGO MODERADO (2 O MAS CRITERIOS) VER MANEJO GUIA SUMINISTRO ASA Y CALCIO")),"Pierde Oportunidad, Inicio tardío de ASA","XXXXX"))))))))</f>
        <v>No Aplica para suministro de ASA</v>
      </c>
      <c r="HS142" s="305">
        <v>45014</v>
      </c>
      <c r="HT142" s="305" t="s">
        <v>1532</v>
      </c>
      <c r="HU142" s="305"/>
      <c r="HV142" s="305"/>
      <c r="HW142" s="305">
        <v>45014</v>
      </c>
      <c r="HX142" s="305" t="s">
        <v>1511</v>
      </c>
      <c r="HY142" s="305"/>
      <c r="HZ142" s="320" t="str">
        <f t="shared" si="636"/>
        <v>PENDIENTE CONSULTA</v>
      </c>
      <c r="IA142" s="308"/>
      <c r="IB142" s="308"/>
      <c r="IC142" s="330"/>
      <c r="ID142" s="305"/>
      <c r="IE142" s="305" t="str">
        <f t="shared" ca="1" si="637"/>
        <v/>
      </c>
      <c r="IF142" s="305"/>
      <c r="IG142" s="305">
        <f t="shared" si="638"/>
        <v>45137</v>
      </c>
      <c r="IH142" s="326">
        <f t="shared" ca="1" si="639"/>
        <v>-95</v>
      </c>
      <c r="II142" s="305" t="str">
        <f t="shared" ca="1" si="640"/>
        <v>POSIBLEMENTE NACIO</v>
      </c>
      <c r="IJ142" s="305"/>
      <c r="IK142" s="309"/>
      <c r="IL142" s="309"/>
      <c r="IM142" s="331"/>
      <c r="IN142" s="350"/>
      <c r="IO142" s="309"/>
      <c r="IP142" s="326" t="str">
        <f t="shared" si="674"/>
        <v/>
      </c>
      <c r="IQ142" s="332"/>
      <c r="IR142" s="309"/>
      <c r="IS142" s="309"/>
      <c r="IT142" s="309"/>
      <c r="IU142" s="309"/>
      <c r="IV142" s="309"/>
      <c r="IW142" s="309"/>
      <c r="IX142" s="309"/>
      <c r="IY142" s="309"/>
      <c r="IZ142" s="309"/>
      <c r="JA142" s="309"/>
      <c r="JB142" s="329"/>
      <c r="JC142" s="309"/>
      <c r="JD142" s="333"/>
      <c r="JE142" s="309" t="str">
        <f t="shared" ref="JE142:JE173" si="684">IF(AND(JD142&gt;700,JD142&lt;2500,IP142&gt;36),"BAJO PESO AL NACER",IF(AND(JD142&gt;500,JD142&lt;2500,IP142&lt;37),"PREMATURO",IF(AND(JD142&gt;2499,JD142&lt;5000,IP142&lt;37),"ERROR VERIFICAR DATO EDAD GESTACIONAL VS PESO",IF(AND(JD142&gt;2499,JD142&lt;4000,IP142&gt;36),"PESO ADECUADO EDAD GESTACIONAL",IF(AND(JD142&gt;3999,JD142&lt;6000,IP142&gt;36),"PESO GRANDE EDAD GESTACIONAL","")))))</f>
        <v/>
      </c>
      <c r="JF142" s="329"/>
      <c r="JG142" s="309"/>
      <c r="JH142" s="309"/>
      <c r="JI142" s="309"/>
      <c r="JJ142" s="329"/>
      <c r="JK142" s="305"/>
      <c r="JL142" s="305"/>
      <c r="JM142" s="309"/>
      <c r="JN142" s="333"/>
      <c r="JO142" s="309" t="str">
        <f t="shared" ref="JO142:JO173" si="685">IF(AND(JN142&gt;700,JN142&lt;2500,IP142&gt;36,IP142&lt;43),"BAJO PESO AL NACER",IF(AND(JN142&gt;700,JN142&lt;2500,IP142&lt;37),"PREMATURO",IF(AND(JN142&gt;2499,JN142&lt;5000,IP142&lt;37),"ERROR VERIFICAR DATO EDAD GESTACIONAL VS PESO",IF(AND(JN142&gt;2499,JN142&lt;4000,IP142&gt;36,IP142&lt;43),"PESO ADECUADO EDAD GESTACIONAL",IF(AND(JN142&gt;3999,JN142&lt;6000,IP142&gt;36,IP142&lt;43),"PESO GRANDE EDAD GESTACIONAL","")))))</f>
        <v/>
      </c>
      <c r="JP142" s="305"/>
      <c r="JQ142" s="309"/>
      <c r="JR142" s="309"/>
      <c r="JS142" s="309"/>
      <c r="JT142" s="329"/>
      <c r="JU142" s="305"/>
      <c r="JV142" s="305"/>
      <c r="JW142" s="334"/>
      <c r="JX142" s="320" t="str">
        <f t="shared" ref="JX142:JX173" si="686">IF(AND(JW142&lt;&gt;"",JW142&lt;IN142),"INCONSISTENCIA FECHA CONTROL",IF(AND(OR(IK142="Parto",IK142="Cesarea"),JW142&gt;0,IN142&gt;0),SUM(JW142-IN142),IF(AND(OR(IK142="Parto",IK142="Cesarea"),JW142="",IN142&gt;0),"INASISTENTE","")))</f>
        <v/>
      </c>
      <c r="JY142" s="334"/>
      <c r="JZ142" s="320" t="str">
        <f t="shared" ref="JZ142:JZ173" si="687">IF(AND(JY142&lt;&gt;"",JY142&lt;IN142),"INCONSISTENCIA FECHA CONTROL",IF(AND(OR(IK142="Parto",IK142="Cesarea",IK142="Aborto Espontaneo",IK142="Aborto Inducido",IK142="IVE"),JY142&gt;0,IN142&gt;0),SUM(JY142-IN142),IF(AND(JY142&lt;&gt;"",JY142&lt;IN142),"INCONSISTENCIA FECHA CONTROL",IF(AND(OR(IK142="Parto",IK142="Cesarea",IK142="Aborto Espontaneo",IK142="Aborto Inducido",IK142="IVE"),JY142="",IN142&gt;0),"INASISTENTE",""))))</f>
        <v/>
      </c>
      <c r="KA142" s="309"/>
      <c r="KB142" s="309"/>
      <c r="KC142" s="309"/>
      <c r="KD142" s="335"/>
      <c r="KE142" s="320"/>
      <c r="KF142" s="320"/>
      <c r="KG142" s="320"/>
      <c r="KH142" s="336"/>
      <c r="KI142" s="336"/>
      <c r="KJ142" s="337"/>
      <c r="KK142" s="336"/>
      <c r="KL142" s="336"/>
      <c r="KM142" s="337"/>
      <c r="KN142" s="336"/>
      <c r="KO142" s="336"/>
      <c r="KP142" s="336"/>
      <c r="KQ142" s="336"/>
      <c r="KR142" s="336"/>
      <c r="KS142" s="336"/>
      <c r="KT142" s="336"/>
      <c r="KU142" s="312"/>
      <c r="KV142" s="312"/>
      <c r="KW142" s="312"/>
      <c r="KX142" s="312"/>
      <c r="KY142" s="312"/>
      <c r="KZ142" s="312"/>
      <c r="LA142" s="312"/>
      <c r="LB142" s="312"/>
      <c r="LC142" s="312"/>
      <c r="LD142" s="312"/>
      <c r="LE142" s="312"/>
      <c r="LF142" s="312"/>
      <c r="LG142" s="312"/>
      <c r="LH142" s="312"/>
      <c r="LI142" s="312"/>
      <c r="LJ142" s="312"/>
      <c r="LK142" s="312"/>
      <c r="LL142" s="312"/>
      <c r="LM142" s="312"/>
      <c r="LN142" s="312"/>
      <c r="LO142" s="312"/>
      <c r="LP142" s="312"/>
      <c r="LQ142" s="312"/>
      <c r="LR142" s="312"/>
      <c r="LS142" s="312"/>
      <c r="LT142" s="312"/>
      <c r="LU142" s="312"/>
      <c r="LV142" s="312"/>
      <c r="LW142" s="312"/>
      <c r="LX142" s="312"/>
      <c r="LY142" s="312"/>
      <c r="LZ142" s="312"/>
      <c r="MA142" s="312"/>
      <c r="MB142" s="312"/>
      <c r="MC142" s="312"/>
      <c r="MD142" s="312"/>
      <c r="ME142" s="312"/>
      <c r="MF142" s="312"/>
      <c r="MG142" s="312"/>
      <c r="MH142" s="43">
        <f t="shared" si="641"/>
        <v>0</v>
      </c>
      <c r="MI142" s="43" t="str">
        <f t="shared" si="642"/>
        <v/>
      </c>
      <c r="MJ142" s="43" t="str">
        <f t="shared" si="643"/>
        <v/>
      </c>
      <c r="MK142" s="43">
        <f t="shared" si="644"/>
        <v>0</v>
      </c>
      <c r="ML14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42" s="43">
        <f t="shared" si="645"/>
        <v>22.428571428571427</v>
      </c>
      <c r="MN142" s="43">
        <f t="shared" si="646"/>
        <v>3</v>
      </c>
      <c r="MO142" s="43">
        <f t="shared" si="647"/>
        <v>2023</v>
      </c>
      <c r="MP142" s="43" t="str">
        <f t="shared" si="648"/>
        <v>I TRIMESTRE AÑO</v>
      </c>
      <c r="MQ142" s="43">
        <f t="shared" si="649"/>
        <v>32.238282961016203</v>
      </c>
      <c r="MR142" s="43">
        <f t="shared" si="650"/>
        <v>0</v>
      </c>
      <c r="MS142" s="43" t="str">
        <f t="shared" si="651"/>
        <v xml:space="preserve"> DE 30 A 34 AÑOS</v>
      </c>
      <c r="MT142" s="43">
        <f t="shared" si="652"/>
        <v>0</v>
      </c>
      <c r="MU142" s="43">
        <f t="shared" si="653"/>
        <v>0</v>
      </c>
      <c r="MV142" s="43">
        <f t="shared" si="654"/>
        <v>0</v>
      </c>
      <c r="MW142" s="43">
        <f t="shared" si="655"/>
        <v>0</v>
      </c>
      <c r="MX142" s="43" t="str">
        <f t="shared" si="656"/>
        <v/>
      </c>
      <c r="MY142" s="43" t="str">
        <f t="shared" ref="MY142:MY173" ca="1" si="688">IF(AND(AND(BU142&gt;40.9,BU142&lt;43),IN142=""),1,"")</f>
        <v/>
      </c>
      <c r="MZ142" s="43" t="str">
        <f t="shared" si="657"/>
        <v/>
      </c>
      <c r="NA142" s="43" t="str">
        <f t="shared" si="658"/>
        <v/>
      </c>
      <c r="NB142" s="43" t="str">
        <f t="shared" si="659"/>
        <v/>
      </c>
      <c r="NC142" s="43" t="str">
        <f t="shared" si="660"/>
        <v/>
      </c>
      <c r="ND142" s="43">
        <f t="shared" ca="1" si="661"/>
        <v>0</v>
      </c>
      <c r="NE142" s="43">
        <f>IF(OR(O142&gt;0,R142&gt;0),SUM(COUNTIF(Tabla1[[#This Row],[AÑOS AL INICIO5 CPN]],"&gt;=40"),COUNTIF(AS142,"0"),COUNTIF(AR142,"SI"),COUNTIF(CC142,"SI"),COUNTIF(BQ142,"&gt;119"),COUNTIF(CI142,"&gt;=35")),"")</f>
        <v>0</v>
      </c>
      <c r="NF142" s="43" t="str">
        <f t="shared" si="662"/>
        <v/>
      </c>
      <c r="NG142" s="43">
        <f t="shared" si="663"/>
        <v>0</v>
      </c>
      <c r="NH142" s="43">
        <f t="shared" si="664"/>
        <v>210.70000000000002</v>
      </c>
      <c r="NI14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CPN",P142="NO"),"Z",IF(AND(Tabla1[[#This Row],[CITA PROXIMO CONTROL]]="CITA MANUAL",Tabla1[[#This Row],[GESTANTES ACTUALES]]="ACTIVA INGRESO A CPN"),"W",IF(AND(Tabla1[[#This Row],[GESTANTES ACTUALES]]="SALIO PROGRAMA",IN142=""),"S",IF(AND(Tabla1[[#This Row],[CITA PROXIMO CONTROL]]&gt;0,IN142=""),(Tabla1[[#This Row],[CITA PROXIMO CONTROL]]-TODAY()),"SD"))))))))</f>
        <v>#REF!</v>
      </c>
      <c r="NJ142" s="43">
        <f>MONTH(Tabla1[[#This Row],[FECHA DE SALIDA  DEL PROGRAMA]])</f>
        <v>1</v>
      </c>
      <c r="NK142" s="43">
        <f>YEAR(Tabla1[[#This Row],[FECHA DE SALIDA  DEL PROGRAMA]])</f>
        <v>1900</v>
      </c>
      <c r="NL142" s="43" t="str">
        <f t="shared" si="665"/>
        <v>X</v>
      </c>
      <c r="NM142" s="43" t="str">
        <f t="shared" si="501"/>
        <v>NO</v>
      </c>
      <c r="NN142" s="43" t="str">
        <f ca="1">IF(AND(O142&gt;0,R142=""),"NO CPN",IF(AND(O142="",R142=""),"",IF(AND(R142&gt;0,Tabla1[[#This Row],[SEMANAS DE GESTACION ACTUALIZADAS]]&lt;=12),"NO APLICA",IF(AND(FH142&lt;&gt;"",FN142&lt;&gt;""),"SI","NO"))))</f>
        <v>SI</v>
      </c>
      <c r="NO142" s="43" t="str">
        <f ca="1">IF(AND(O142&gt;0,R142=""),"NO CPN",IF(AND(O142="",R142=""),"",IF(AND(R142&gt;0,Tabla1[[#This Row],[SEMANAS DE GESTACION ACTUALIZADAS]]&lt;=27),"NO APLICA",IF(AND(ES142&lt;&gt;"",FQ142&lt;&gt;"",GF142&lt;&gt;""),"SI","NO"))))</f>
        <v>NO</v>
      </c>
      <c r="NP142" s="204" t="str">
        <f t="shared" si="666"/>
        <v>II TRIM</v>
      </c>
      <c r="NQ142"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142" s="21" t="str">
        <f t="shared" ref="NR142:NR173" ca="1" si="689">IF(AND(O142="",R142=""),"",IF(AND(BS142&gt;0,BS142&lt;12,IP142&gt;28,IP142&lt;44),3, IF(OR(AND(BS142&gt;=12,BS142&lt;28,IP142&gt;=28,IP142&lt;44),AND(BS142&gt;0,BS142&lt;12,IP142&gt;=12,IP142&lt;29)),2,IF(OR(AND(BS142&gt;=28,BS142&lt;44),AND(BS142&gt;0,BS142&lt;12,IP142&gt;0,IP142&lt;12),AND(BS142&gt;=12,BS142&lt;28,IP142&gt;=12,IP142&lt;28)),1,IF(AND(BS142&gt;0,BS142&lt;12,BU142&gt;=28,BU142&lt;44,DV142="ACTIVA INGRESO A CPN"),3,IF(OR(AND(BS142&gt;0,BS142&lt;12,BU142&gt;=12,BU142&lt;28,DV142="ACTIVA INGRESO A CPN"),AND(BS142&gt;=12,BS142&lt;28,BU142&gt;=28,BU142&lt;44,DV142="ACTIVA INGRESO A CPN")),2,IF(OR(AND(BS142&gt;0,BS142&lt;12,BU142&gt;0,BU142&lt;12,DV142="ACTIVA INGRESO A CPN"),AND(BS142&gt;=12,BS142&lt;28,BU142&gt;=12,BU142&lt;28,DV142="ACTIVA INGRESO A CPN")),1,"REVISAR FUM O FECHA SALIDA PROGRAMA")))))))</f>
        <v>REVISAR FUM O FECHA SALIDA PROGRAMA</v>
      </c>
      <c r="NS142" s="205">
        <f t="shared" ca="1" si="667"/>
        <v>1</v>
      </c>
      <c r="NT142" s="21">
        <f t="shared" ca="1" si="668"/>
        <v>1</v>
      </c>
      <c r="NU142" s="21" t="str">
        <f t="shared" ca="1" si="669"/>
        <v>POR DEFINIR</v>
      </c>
      <c r="NV142" s="21" t="str">
        <f t="shared" ca="1" si="670"/>
        <v>POR DEFINIR</v>
      </c>
      <c r="NW142" s="206" t="str">
        <f>IF(AND(O142="",R142=""),"",IF(OR(AND(Tabla1[[#This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42" s="207" t="str">
        <f t="shared" ca="1" si="671"/>
        <v>SIN VACUNAR</v>
      </c>
      <c r="NY142" s="43">
        <f>ROW(Tabla1[[#This Row],['# DE TAMIZAJES SIFILIS TOMADOS ]])</f>
        <v>142</v>
      </c>
      <c r="NZ142" s="43">
        <f t="shared" si="502"/>
        <v>22</v>
      </c>
      <c r="OA142" s="43" t="str">
        <f t="shared" si="503"/>
        <v/>
      </c>
      <c r="OB142" s="43" t="str">
        <f t="shared" si="504"/>
        <v/>
      </c>
      <c r="OC142" s="43" t="str">
        <f t="shared" si="505"/>
        <v/>
      </c>
      <c r="OD142" s="43" t="str">
        <f t="shared" si="506"/>
        <v/>
      </c>
      <c r="OE142" s="43" t="str">
        <f t="shared" si="507"/>
        <v/>
      </c>
      <c r="OF142" s="43" t="str">
        <f t="shared" si="508"/>
        <v/>
      </c>
      <c r="OG142" s="43" t="str">
        <f t="shared" si="509"/>
        <v/>
      </c>
      <c r="OH142" s="43" t="str">
        <f t="shared" si="510"/>
        <v/>
      </c>
      <c r="OI142" s="43" t="str">
        <f t="shared" si="511"/>
        <v/>
      </c>
      <c r="OJ142" s="43" t="str">
        <f t="shared" si="512"/>
        <v/>
      </c>
      <c r="OK142" s="43" t="str">
        <f t="shared" si="513"/>
        <v/>
      </c>
      <c r="OL142" s="43" t="str">
        <f t="shared" si="514"/>
        <v/>
      </c>
      <c r="OM142" s="43" t="str">
        <f t="shared" si="515"/>
        <v/>
      </c>
      <c r="ON142" s="43" t="str">
        <f t="shared" si="516"/>
        <v>NORMAL</v>
      </c>
      <c r="OO142" s="43" t="str">
        <f t="shared" si="517"/>
        <v/>
      </c>
      <c r="OP142" s="43" t="str">
        <f t="shared" si="518"/>
        <v/>
      </c>
      <c r="OQ142" s="43" t="str">
        <f t="shared" si="519"/>
        <v/>
      </c>
      <c r="OR142" s="43" t="str">
        <f t="shared" si="520"/>
        <v/>
      </c>
      <c r="OS142" s="43" t="str">
        <f t="shared" si="521"/>
        <v/>
      </c>
      <c r="OT142" s="43" t="str">
        <f t="shared" si="522"/>
        <v/>
      </c>
      <c r="OU142" s="43" t="str">
        <f t="shared" si="523"/>
        <v/>
      </c>
      <c r="OV142" s="110" t="str">
        <f t="shared" si="524"/>
        <v/>
      </c>
      <c r="OW142" s="43" t="str">
        <f t="shared" si="525"/>
        <v/>
      </c>
      <c r="OX142" s="43" t="str">
        <f t="shared" si="526"/>
        <v/>
      </c>
      <c r="OY142" s="43" t="str">
        <f t="shared" si="527"/>
        <v/>
      </c>
      <c r="OZ142" s="43" t="str">
        <f t="shared" si="528"/>
        <v/>
      </c>
      <c r="PA142" s="43" t="str">
        <f t="shared" si="529"/>
        <v/>
      </c>
      <c r="PB142" s="43" t="str">
        <f t="shared" si="530"/>
        <v/>
      </c>
      <c r="PC142" s="43" t="str">
        <f t="shared" si="531"/>
        <v/>
      </c>
      <c r="PD142" s="43" t="str">
        <f t="shared" si="532"/>
        <v/>
      </c>
      <c r="PE142" s="43" t="str">
        <f t="shared" si="533"/>
        <v/>
      </c>
      <c r="PF142" s="43" t="str">
        <f t="shared" si="534"/>
        <v/>
      </c>
      <c r="PG142" s="43" t="str">
        <f t="shared" si="535"/>
        <v/>
      </c>
      <c r="PH142" s="43" t="str">
        <f t="shared" si="536"/>
        <v/>
      </c>
      <c r="PI142" s="43">
        <f t="shared" si="537"/>
        <v>32</v>
      </c>
      <c r="PJ142" s="43" t="str">
        <f t="shared" si="538"/>
        <v/>
      </c>
      <c r="PK142" s="43" t="str">
        <f t="shared" si="539"/>
        <v/>
      </c>
      <c r="PL142" s="43" t="str">
        <f t="shared" si="540"/>
        <v/>
      </c>
      <c r="PM142" s="43" t="str">
        <f t="shared" si="541"/>
        <v/>
      </c>
      <c r="PN142" s="43" t="str">
        <f t="shared" si="542"/>
        <v/>
      </c>
      <c r="PO142" s="43" t="str">
        <f t="shared" si="543"/>
        <v/>
      </c>
      <c r="PP142" s="43" t="str">
        <f t="shared" si="544"/>
        <v/>
      </c>
      <c r="PQ142" s="43" t="str">
        <f t="shared" si="545"/>
        <v/>
      </c>
      <c r="PR142" s="43" t="str">
        <f t="shared" si="546"/>
        <v/>
      </c>
      <c r="PS142" s="43" t="str">
        <f t="shared" si="547"/>
        <v/>
      </c>
      <c r="PT142" s="43" t="str">
        <f t="shared" si="548"/>
        <v/>
      </c>
      <c r="PU142" s="43" t="str">
        <f t="shared" si="549"/>
        <v/>
      </c>
      <c r="PV142" s="43" t="str">
        <f t="shared" si="550"/>
        <v/>
      </c>
      <c r="PW142" s="43" t="str">
        <f t="shared" si="551"/>
        <v/>
      </c>
      <c r="PX142" s="43" t="str">
        <f t="shared" si="552"/>
        <v/>
      </c>
      <c r="PY142" s="43" t="str">
        <f t="shared" si="553"/>
        <v/>
      </c>
      <c r="PZ142" s="43" t="str">
        <f t="shared" si="554"/>
        <v/>
      </c>
      <c r="QA142" s="43" t="str">
        <f t="shared" si="555"/>
        <v/>
      </c>
      <c r="QB142" s="43" t="str">
        <f t="shared" si="556"/>
        <v/>
      </c>
      <c r="QC142" s="43" t="str">
        <f t="shared" si="557"/>
        <v/>
      </c>
      <c r="QD142" s="43" t="str">
        <f t="shared" si="558"/>
        <v/>
      </c>
      <c r="QE142" s="43" t="str">
        <f t="shared" si="559"/>
        <v/>
      </c>
      <c r="QF142" s="43" t="str">
        <f t="shared" si="560"/>
        <v/>
      </c>
      <c r="QG142" s="43" t="str">
        <f t="shared" si="561"/>
        <v>NORMAL</v>
      </c>
      <c r="QH142" s="43" t="str">
        <f t="shared" si="562"/>
        <v/>
      </c>
      <c r="QI142" s="43" t="str">
        <f t="shared" si="563"/>
        <v/>
      </c>
      <c r="QJ142" s="43" t="str">
        <f t="shared" si="564"/>
        <v/>
      </c>
      <c r="QK142" s="43" t="str">
        <f t="shared" si="565"/>
        <v/>
      </c>
      <c r="QL142" s="43" t="str">
        <f t="shared" si="566"/>
        <v/>
      </c>
      <c r="QM142" s="43" t="str">
        <f t="shared" si="567"/>
        <v/>
      </c>
      <c r="QN142" s="43" t="str">
        <f t="shared" si="568"/>
        <v/>
      </c>
      <c r="QO142" s="43" t="str">
        <f t="shared" si="569"/>
        <v/>
      </c>
      <c r="QP142" s="43" t="str">
        <f t="shared" si="570"/>
        <v/>
      </c>
      <c r="QQ142" s="43" t="str">
        <f t="shared" si="571"/>
        <v/>
      </c>
      <c r="QR142" s="43">
        <f t="shared" si="672"/>
        <v>32</v>
      </c>
      <c r="QS142" s="43"/>
      <c r="QT142" s="21" t="str">
        <f t="shared" si="572"/>
        <v/>
      </c>
      <c r="QU142" s="21" t="str">
        <f t="shared" si="573"/>
        <v/>
      </c>
      <c r="QV142" s="21" t="str">
        <f t="shared" si="574"/>
        <v/>
      </c>
      <c r="QW142" s="21" t="str">
        <f t="shared" si="575"/>
        <v/>
      </c>
      <c r="QX142" s="21" t="str">
        <f t="shared" si="576"/>
        <v/>
      </c>
      <c r="QY142" s="21" t="str">
        <f t="shared" si="577"/>
        <v/>
      </c>
      <c r="QZ142" s="21" t="str">
        <f t="shared" si="578"/>
        <v/>
      </c>
      <c r="RA142" s="21" t="str">
        <f t="shared" si="579"/>
        <v/>
      </c>
      <c r="RB142" s="21" t="str">
        <f t="shared" si="580"/>
        <v/>
      </c>
      <c r="RC142" s="21" t="str">
        <f t="shared" si="581"/>
        <v/>
      </c>
      <c r="RD142" s="21" t="str">
        <f t="shared" si="582"/>
        <v/>
      </c>
      <c r="RE142" s="21" t="str">
        <f t="shared" si="583"/>
        <v/>
      </c>
      <c r="RF142" s="21" t="str">
        <f t="shared" si="584"/>
        <v/>
      </c>
      <c r="RG142" s="21" t="str">
        <f t="shared" si="585"/>
        <v/>
      </c>
      <c r="RH142" s="21" t="str">
        <f t="shared" si="586"/>
        <v/>
      </c>
      <c r="RI142" s="21" t="str">
        <f t="shared" si="587"/>
        <v/>
      </c>
      <c r="RJ142" s="21" t="str">
        <f t="shared" si="588"/>
        <v/>
      </c>
      <c r="RK142" s="21" t="str">
        <f t="shared" si="589"/>
        <v/>
      </c>
      <c r="RL142" s="21" t="str">
        <f t="shared" si="590"/>
        <v/>
      </c>
      <c r="RM142" s="21" t="str">
        <f t="shared" si="591"/>
        <v>ALTO PARA EDAD GESTACIONAL</v>
      </c>
      <c r="RN142" s="21" t="str">
        <f t="shared" si="592"/>
        <v/>
      </c>
      <c r="RO142" s="21" t="str">
        <f t="shared" si="593"/>
        <v/>
      </c>
      <c r="RP142" s="21" t="str">
        <f t="shared" si="594"/>
        <v/>
      </c>
      <c r="RQ142" s="21" t="str">
        <f t="shared" si="595"/>
        <v/>
      </c>
      <c r="RR142" s="21" t="str">
        <f t="shared" si="596"/>
        <v/>
      </c>
      <c r="RS142" s="21" t="str">
        <f t="shared" si="597"/>
        <v/>
      </c>
      <c r="RT142" s="21" t="str">
        <f t="shared" si="598"/>
        <v/>
      </c>
      <c r="RU142" s="21" t="str">
        <f t="shared" si="599"/>
        <v/>
      </c>
      <c r="RV142" s="21">
        <f t="shared" si="600"/>
        <v>-1</v>
      </c>
      <c r="RW142" s="284">
        <f>IF(OR(Tabla1[[#This Row],[FUM FORMULA CONFIABLE]]="",Tabla1[[#This Row],[FUM FORMULA CONFIABLE]]="SD"),"",IF(Tabla1[[#This Row],[FUM FORMULA CONFIABLE]]="CORREGIDA",Tabla1[[#This Row],[FUM X ECO 1]],Tabla1[[#This Row],[FUM x AMENORREA]]))</f>
        <v>44857</v>
      </c>
      <c r="RX142" s="21">
        <f>IF(AND(Tabla1[[#This Row],[FUM X ECO 1]]="",Tabla1[[#This Row],[FUM x AMENORREA]]=""),"",IF(AND(Tabla1[[#This Row],[FUM X ECO 1]]="",Tabla1[[#This Row],[FUM x AMENORREA]]&lt;&gt;""),"X",SUM(Tabla1[[#This Row],[FUM X ECO 1]]-Tabla1[[#This Row],[FUM x AMENORREA]])))</f>
        <v>4.3000000000029104</v>
      </c>
      <c r="RY142" s="21">
        <f t="shared" si="673"/>
        <v>0</v>
      </c>
    </row>
    <row r="143" spans="1:493" ht="45" customHeight="1" x14ac:dyDescent="0.25">
      <c r="A143" s="109"/>
      <c r="B143" s="43"/>
      <c r="C143" s="43" t="s">
        <v>845</v>
      </c>
      <c r="D143" s="124"/>
      <c r="E143" s="43" t="s">
        <v>953</v>
      </c>
      <c r="F143" s="43" t="s">
        <v>848</v>
      </c>
      <c r="G143" s="43" t="s">
        <v>1420</v>
      </c>
      <c r="H143" s="43"/>
      <c r="I143" s="109" t="s">
        <v>851</v>
      </c>
      <c r="J143" s="110">
        <v>1002846728</v>
      </c>
      <c r="K143" s="43" t="s">
        <v>852</v>
      </c>
      <c r="L143" s="175" t="s">
        <v>853</v>
      </c>
      <c r="M143" s="22">
        <v>35893</v>
      </c>
      <c r="N143" s="213">
        <f t="shared" ca="1" si="601"/>
        <v>25.586301369863012</v>
      </c>
      <c r="O143" s="22">
        <v>45016</v>
      </c>
      <c r="P143" s="214" t="str">
        <f t="shared" si="675"/>
        <v>SI</v>
      </c>
      <c r="Q143" s="26" t="s">
        <v>855</v>
      </c>
      <c r="R143" s="22">
        <v>45016</v>
      </c>
      <c r="S143" s="21" t="s">
        <v>856</v>
      </c>
      <c r="T143" s="24" t="s">
        <v>690</v>
      </c>
      <c r="U143" s="21" t="s">
        <v>857</v>
      </c>
      <c r="V143" s="21" t="s">
        <v>858</v>
      </c>
      <c r="W143" s="21" t="s">
        <v>955</v>
      </c>
      <c r="X143" s="21"/>
      <c r="Y143" s="21"/>
      <c r="Z143" s="21">
        <v>3207551056</v>
      </c>
      <c r="AA143" s="21" t="s">
        <v>860</v>
      </c>
      <c r="AB143" s="27" t="s">
        <v>861</v>
      </c>
      <c r="AC143" s="26" t="s">
        <v>888</v>
      </c>
      <c r="AD143" s="38" t="s">
        <v>1546</v>
      </c>
      <c r="AE143" s="26" t="s">
        <v>854</v>
      </c>
      <c r="AF143" s="26" t="s">
        <v>854</v>
      </c>
      <c r="AG143" s="23" t="s">
        <v>864</v>
      </c>
      <c r="AH143" s="23" t="s">
        <v>864</v>
      </c>
      <c r="AI143" s="24" t="s">
        <v>863</v>
      </c>
      <c r="AJ143" s="23" t="s">
        <v>864</v>
      </c>
      <c r="AK143" s="220" t="str">
        <f>IF(AND(AD143="",AE143="",AF143="",AG143="",AH143="",AI143="",AJ143=""),"",IF(OR(Tabla1[[#This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EVALUACIÓN",IF(AND(O143="",R143=""),"",IF(AND(OR(O143&gt;0,R143&gt;0),NG143&gt;=0,NG143&lt;2),"SIN RIESGO",IF(AND(OR(O143&gt;0,R143&gt;0),NG143&gt;=2),"CON RIESGO","ASD")))))</f>
        <v>SIN RIESGO</v>
      </c>
      <c r="AL143" s="23" t="s">
        <v>864</v>
      </c>
      <c r="AM143" s="26" t="s">
        <v>864</v>
      </c>
      <c r="AN143" s="26" t="s">
        <v>864</v>
      </c>
      <c r="AO143" s="26" t="s">
        <v>864</v>
      </c>
      <c r="AP143" s="26" t="s">
        <v>864</v>
      </c>
      <c r="AQ143" s="26" t="s">
        <v>864</v>
      </c>
      <c r="AR143" s="26" t="s">
        <v>864</v>
      </c>
      <c r="AS143" s="21">
        <v>2</v>
      </c>
      <c r="AT143" s="21">
        <v>2</v>
      </c>
      <c r="AU143" s="21">
        <v>0</v>
      </c>
      <c r="AV143" s="26" t="s">
        <v>864</v>
      </c>
      <c r="AW143" s="21">
        <v>0</v>
      </c>
      <c r="AX143" s="26" t="s">
        <v>864</v>
      </c>
      <c r="AY143" s="26" t="s">
        <v>864</v>
      </c>
      <c r="AZ143" s="26" t="s">
        <v>864</v>
      </c>
      <c r="BA143" s="26" t="s">
        <v>864</v>
      </c>
      <c r="BB143" s="26" t="s">
        <v>864</v>
      </c>
      <c r="BC143" s="26" t="s">
        <v>864</v>
      </c>
      <c r="BD143" s="26" t="s">
        <v>864</v>
      </c>
      <c r="BE143" s="26" t="s">
        <v>864</v>
      </c>
      <c r="BF143" s="26" t="s">
        <v>864</v>
      </c>
      <c r="BG143" s="26" t="s">
        <v>864</v>
      </c>
      <c r="BH143" s="26" t="s">
        <v>864</v>
      </c>
      <c r="BI143" s="26" t="s">
        <v>864</v>
      </c>
      <c r="BJ143" s="26" t="s">
        <v>864</v>
      </c>
      <c r="BK143" s="26" t="s">
        <v>865</v>
      </c>
      <c r="BL143" s="26" t="s">
        <v>864</v>
      </c>
      <c r="BM143" s="26" t="s">
        <v>864</v>
      </c>
      <c r="BN143" s="22">
        <v>42955</v>
      </c>
      <c r="BO143" s="22">
        <v>44989</v>
      </c>
      <c r="BP143" s="21" t="s">
        <v>1380</v>
      </c>
      <c r="BQ143" s="222">
        <f t="shared" si="602"/>
        <v>65.130000000000052</v>
      </c>
      <c r="BR143" s="223">
        <f t="shared" si="603"/>
        <v>44908.9</v>
      </c>
      <c r="BS143" s="224">
        <f t="shared" si="604"/>
        <v>15.299999999999793</v>
      </c>
      <c r="BT143" s="216" t="str">
        <f t="shared" si="605"/>
        <v>II TRIM</v>
      </c>
      <c r="BU143" s="214" t="str">
        <f t="shared" ca="1" si="606"/>
        <v/>
      </c>
      <c r="BV143" s="25" t="s">
        <v>988</v>
      </c>
      <c r="BW143" s="22">
        <v>45051</v>
      </c>
      <c r="BX143" s="28">
        <v>20.3</v>
      </c>
      <c r="BY143" s="28"/>
      <c r="BZ143" s="22"/>
      <c r="CA143" s="21"/>
      <c r="CB143" s="26"/>
      <c r="CC143" s="26"/>
      <c r="CD143" s="26"/>
      <c r="CE143" s="26"/>
      <c r="CF143" s="22" t="s">
        <v>1517</v>
      </c>
      <c r="CG143" s="21">
        <v>1.49</v>
      </c>
      <c r="CH143" s="21">
        <v>65.5</v>
      </c>
      <c r="CI143" s="214">
        <f t="shared" si="607"/>
        <v>29.503175532633666</v>
      </c>
      <c r="CJ143" s="225" t="e">
        <f>IF(AND(CI143&lt;10,CH143="SD"),"SIN DATO PESO PREGESTACION O I TRIM",IF(AND(OR(R143&gt;0,O143&gt;0),CI143="X"),"INGRESAR DATO DE PESO",IF(CI143="SD","INGRESAR DATO DE TALLA Y PESO",IF(AND(OR(Tabla1[[#This Row],[MOMENTO EN QUE SE REALIZA EL PESO AL INGRESO A CPN]]="PREGESTACIÓN",NZ143="Menor"),CI143&lt;18.5),"BAJO PESO",IF(AND(OR(Tabla1[[#This Row],[MOMENTO EN QUE SE REALIZA EL PESO AL INGRESO A CPN]]="PREGESTACIÓN",NZ143="Menor"),CI143&lt;25),"NORMAL",IF(AND(OR(Tabla1[[#This Row],[MOMENTO EN QUE SE REALIZA EL PESO AL INGRESO A CPN]]="PREGESTACIÓN",NZ143="Menor"),CI143&lt;30),"SOBREPESO",IF(AND(OR(Tabla1[[#This Row],[MOMENTO EN QUE SE REALIZA EL PESO AL INGRESO A CPN]]="PREGESTACIÓN",NZ143="Menor"),CI143&gt;=30,CI143&lt;50),"OBESIDAD",IF(AND(BS143&gt;0,Tabla1[[#This Row],[MOMENTO EN QUE SE REALIZA EL PESO AL INGRESO A CPN]]="GESTACIÓN"),HLOOKUP(NZ143,$OA$2:PH143,NY143),""))))))))</f>
        <v>#REF!</v>
      </c>
      <c r="CK143" s="212">
        <f t="shared" si="608"/>
        <v>45051</v>
      </c>
      <c r="CL143" s="21">
        <v>65.5</v>
      </c>
      <c r="CM143" s="214">
        <f t="shared" si="609"/>
        <v>29.503175532633666</v>
      </c>
      <c r="CN143" s="216">
        <f t="shared" si="610"/>
        <v>20</v>
      </c>
      <c r="CO143" s="216" t="e">
        <f>IF(PI143="","",IF(PI143&gt;0,HLOOKUP(PI143,$PJ$2:QQ143,NY143),""))</f>
        <v>#REF!</v>
      </c>
      <c r="CP143" s="21">
        <v>18</v>
      </c>
      <c r="CQ143" s="216" t="e">
        <f>IF(QR143="Menor","NO APLICA-MENOR 13 SEM",IF(AND(CC143="SI",CN143&gt;23),"NO APLICA- GEMELAR",IF(QR143="","",IF(QR143&gt;0,HLOOKUP(QR143,$QS$2:RU143,NY143),""))))</f>
        <v>#REF!</v>
      </c>
      <c r="CR143" s="21">
        <v>90</v>
      </c>
      <c r="CS143" s="21">
        <v>60</v>
      </c>
      <c r="CT143" s="217" t="str">
        <f>IF(R143="","",IF(AND(BS143&gt;1,BS143&lt;12,Tabla1[[#This Row],[T.A. SISTOLICA - ANTES DE SEMANA 12]]="",Tabla1[[#This Row],[T.A. DIASTOLICA - ANTES DE SEMANA 12]]=""),"REGISTRE DATO TA ANTES SEMANA 12",IF(AND(BS143&gt;11,BS143&lt;43,Tabla1[[#This Row],[T.A. SISTOLICA - ANTES DE SEMANA 12]]="",Tabla1[[#This Row],[T.A. DIASTOLICA - ANTES DE SEMANA 12]]=""),"NO APLICA REGISTRO TA-INGRESO TARDIO",IF(AND(OR(O143&gt;0,R143&gt;0),OR(CR143&gt;=140,CS143&gt;=90)),"DEFINIR ESTADIO HTA",IF(AND(OR(O143&gt;0,R143&gt;0),AND(CR143&gt;120,CR143&lt;=139)),"PRE HTA SEGUIMIENTO",IF(AND(OR(O143&gt;0,R143&gt;0),AND(CS143&gt;80,CS143&lt;=89)),"PRE HTA SEGUIMIENTO",IF(AND(OR(O143&gt;0,R143&gt;0),AND(CR143&gt;=80,CR143&lt;=120)),"APARENTEMENTE NORMAL",IF(AND(OR(O143&gt;0,R143&gt;0),AND(CS143&gt;=50,CS143&lt;=80)),"APARENTEMENTE NORMAL",IF(AND(OR(O143&gt;0,R143&gt;0),AND(CR143&gt;1,CR143&lt;=70),AND(CS143&gt;1,CS143&lt;=40)),"HIPOTENSIÓN","")))))))))</f>
        <v>APARENTEMENTE NORMAL</v>
      </c>
      <c r="CU143" s="21">
        <v>90</v>
      </c>
      <c r="CV143" s="21">
        <v>60</v>
      </c>
      <c r="CW143" s="217" t="str">
        <f ca="1">IF(R143="","",IF(AND(CN143&gt;19,CN143&lt;27,Tabla1[[#This Row],[T.A. SISTOLICA (Entre semana 20 y 26)]]="",Tabla1[[#This Row],[T.A. DIATOLICA (Entre semana 20 y 26)]]=""),"ACUDE A CONTROL SEM 20 A 26 REGISTRE TA AHORA",IF(AND(BS143&gt;1,BS143&lt;27,BU143&gt;19,Tabla1[[#This Row],[T.A. SISTOLICA (Entre semana 20 y 26)]]="",Tabla1[[#This Row],[T.A. DIATOLICA (Entre semana 20 y 26)]]=""),"COMPLETE REGISTRO TA CONTROL SEM 20 A26 ",IF(AND(BS143&gt;26,BS143&lt;43,Tabla1[[#This Row],[T.A. SISTOLICA (Entre semana 20 y 26)]]="",Tabla1[[#This Row],[T.A. DIATOLICA (Entre semana 20 y 26)]]=""),"NO APLICA REGISTRO TA-INGRESO TARDIO",IF(AND(OR(O143&gt;0,R143&gt;0),OR(CU143&gt;=140,CV143&gt;=90)),"ALTO RIESGO PREECLAMPSIA,DEFINIR ESTADIO HTA",IF(AND(OR(O143&gt;0,R143&gt;0),AND(CU143&gt;120,CU143&lt;=139)),"PRE HTA SEGUIMIENTO,RIESGO HIPERTENSION INDUCIDA POR EL EMBARAZO",IF(AND(OR(O143&gt;0,R143&gt;0),AND(CV143&gt;80,CV143&lt;=89)),"PRE HTA SEGUIMIENTO, RIESGO HIPERTENSION INDUCIDA POR EL EMBARAZO",IF(AND(OR(O143&lt;&gt;"",R143&lt;&gt;""),CS143&lt;&gt;"",CV143&lt;&gt;"",CS143&lt;=CV143),"VIGILAR CIFRAS PRESION ARTERIAL",IF(AND(OR(O143&gt;0,R143&gt;0),AND(CU143&gt;120,CU143&lt;=139)),"PRE HTA SEGUIMIENTO",IF(AND(OR(O143&gt;0,R143&gt;0),AND(CU143&gt;1,CU143&lt;=70),AND(CV143&gt;1,CV143&lt;=40)),"HIPOTENSIÓN",IF(AND(OR(O143&lt;&gt;"",R143&lt;&gt;""),CS143&lt;&gt;"",CV143&lt;&gt;"",CS143&gt;CV143),"APARENTEMENTE NORMAL",IF(AND(OR(O143&gt;0,R143&gt;0),AND(CU143&gt;=80,CU143&lt;=120)),"APARENTEMENTE NORMAL",IF(AND(OR(O143&gt;0,R143&gt;0),AND(CV143&gt;=50,CV143&lt;=80)),"APARENTEMENTE NORMAL","")))))))))))))</f>
        <v>VIGILAR CIFRAS PRESION ARTERIAL</v>
      </c>
      <c r="CX143" s="21"/>
      <c r="CY143" s="21"/>
      <c r="CZ143" s="216" t="e">
        <f>IF(R143="","",IF(AND(CN143&gt;31,CN143&lt;35,CX143="",CY143=""),"ACUDE A CONTROL SEM 30 A 34- REGISTRE AHORA",IF(AND(BS143&gt;34,BS143&lt;43,#REF!="",#REF!=""),"NO APLICA-INGRESO TARDIO",IF(AND(OR(O143&gt;0,R143&gt;0),OR(CX143&gt;=140,CY143&gt;=90)),"ESTUDIO INMEDIATO HTA PARA DESCARTAR PREECLAMSIA",IF(AND(OR(O143&gt;0,R143&gt;0),AND(CX143&gt;=130,CX143&lt;=139)),"PRE HTA,RIESGO ALTO PREECLAMPSIA",IF(AND(OR(O143&gt;0,R143&gt;0),AND(CY143&gt;80,CY143&lt;=89)),"PRE HTA,RIESGO ALTO PREECLAMPSIA",IF(AND(OR(O143&gt;0,R143&gt;0),AND(CX143&gt;120,CX143&lt;=129)),"RANGO PREHIPERTENSIVO SEGUIMIENTO HTA",IF(AND(OR(O143&lt;&gt;"",R143&lt;&gt;""),CS143&lt;&gt;"",CY143&lt;&gt;"",CS143&lt;CY143),"VIGILAR CIFRAS PRESION ARTERIAL",IF(AND(OR(O143&lt;&gt;"",R143&lt;&gt;""),CS143&lt;&gt;"",CY143&lt;&gt;"",CS143=CY143),"APARENTEMENTE NORMAL",IF(AND(OR(O143&gt;0,R143&gt;0),CX143&gt;=80,CX143&lt;=120),"APARENTEMENTE NORMAL",IF(AND(OR(O143&gt;0,R143&gt;0),CY143&gt;=50,CY143&lt;=80),"APARENTEMENTE NORMAL","")))))))))))</f>
        <v>#REF!</v>
      </c>
      <c r="DA143" s="21">
        <v>90</v>
      </c>
      <c r="DB143" s="21">
        <v>60</v>
      </c>
      <c r="DC143" s="217" t="str">
        <f t="shared" si="611"/>
        <v>APARENTEMENTE NORMAL</v>
      </c>
      <c r="DD143" s="22">
        <v>45016</v>
      </c>
      <c r="DE143" s="22">
        <v>45016</v>
      </c>
      <c r="DF143" s="22">
        <v>45051</v>
      </c>
      <c r="DG143" s="22"/>
      <c r="DH143" s="22"/>
      <c r="DI143" s="22"/>
      <c r="DJ143" s="22"/>
      <c r="DK143" s="22"/>
      <c r="DL143" s="22"/>
      <c r="DM143" s="22"/>
      <c r="DN143" s="22"/>
      <c r="DO143" s="22"/>
      <c r="DP143" s="22"/>
      <c r="DQ143" s="22"/>
      <c r="DR143" s="28">
        <v>1</v>
      </c>
      <c r="DS143" s="22"/>
      <c r="DT143" s="22"/>
      <c r="DU143" s="216" t="str">
        <f t="shared" ca="1" si="676"/>
        <v>CONCERTAR PLAN DE PARTO INMEDIATO</v>
      </c>
      <c r="DV143" s="226" t="str">
        <f t="shared" si="677"/>
        <v>ACTIVA INGRESO A CPN</v>
      </c>
      <c r="DW143"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43" s="216" t="e">
        <f t="shared" ca="1" si="612"/>
        <v>#REF!</v>
      </c>
      <c r="DY143" s="212">
        <f>IF(R143="","",IF(R143&gt;0,MAX(Tabla1[[#This Row],[FECHA C2]:[FECHA C13]],Tabla1[[#This Row],[FECHA CONSULTA PRIMERA VEZ PROGRAMA CPN ]])))</f>
        <v>45051</v>
      </c>
      <c r="DZ143" s="216">
        <f t="shared" si="613"/>
        <v>20</v>
      </c>
      <c r="EA143" s="222">
        <f>IF(R143&gt;0,SUM(COUNTA(DF143:DQ143)+COUNTA(Tabla1[[#This Row],[FECHA CONSULTA PRIMERA VEZ PROGRAMA CPN ]])),"")</f>
        <v>2</v>
      </c>
      <c r="EB143" s="222" t="str">
        <f t="shared" si="614"/>
        <v>NO</v>
      </c>
      <c r="EC143" s="214">
        <f t="shared" si="615"/>
        <v>8</v>
      </c>
      <c r="ED143" s="227">
        <f t="shared" si="616"/>
        <v>0.25</v>
      </c>
      <c r="EE143" s="22">
        <v>45016</v>
      </c>
      <c r="EF143" s="22"/>
      <c r="EG143" s="22">
        <v>45016</v>
      </c>
      <c r="EH143" s="22"/>
      <c r="EI143" s="22">
        <v>45016</v>
      </c>
      <c r="EJ143" s="22"/>
      <c r="EK143" s="22"/>
      <c r="EL143" s="21"/>
      <c r="EM143" s="21">
        <v>12.3</v>
      </c>
      <c r="EN143" s="22">
        <v>45016</v>
      </c>
      <c r="EO143" s="222">
        <f t="shared" si="617"/>
        <v>15.299999999999793</v>
      </c>
      <c r="EP143" s="214" t="str">
        <f t="shared" si="618"/>
        <v>NORMAL- SUMINISTRAR SULFATO FERROSO</v>
      </c>
      <c r="EQ143" s="216" t="str">
        <f t="shared" si="619"/>
        <v>II TRIM</v>
      </c>
      <c r="ER143" s="24"/>
      <c r="ES143" s="22"/>
      <c r="ET143" s="29" t="str">
        <f t="shared" ca="1" si="678"/>
        <v>TOMA DE HEMOGLOBINA TARDÍA</v>
      </c>
      <c r="EU143" s="25" t="str">
        <f t="shared" si="620"/>
        <v/>
      </c>
      <c r="EV143" s="24" t="s">
        <v>866</v>
      </c>
      <c r="EW143" s="24">
        <v>45016</v>
      </c>
      <c r="EX143" s="22"/>
      <c r="EY143" s="29">
        <f t="shared" si="454"/>
        <v>15.299999999999793</v>
      </c>
      <c r="EZ143" s="25" t="str">
        <f t="shared" ca="1" si="455"/>
        <v/>
      </c>
      <c r="FA143" s="21">
        <v>12.3</v>
      </c>
      <c r="FB143" s="22">
        <v>45016</v>
      </c>
      <c r="FC143" s="29">
        <f t="shared" si="621"/>
        <v>15.299999999999793</v>
      </c>
      <c r="FD143" s="29"/>
      <c r="FE143" s="29"/>
      <c r="FF143" s="29"/>
      <c r="FG143" s="21" t="str">
        <f t="shared" ca="1" si="622"/>
        <v/>
      </c>
      <c r="FH143" s="31"/>
      <c r="FI143" s="29" t="str">
        <f t="shared" si="623"/>
        <v>TOMAR EXAMEN</v>
      </c>
      <c r="FJ143" s="22" t="s">
        <v>867</v>
      </c>
      <c r="FK143" s="22">
        <v>45016</v>
      </c>
      <c r="FL143" s="29" t="str">
        <f t="shared" si="624"/>
        <v>REGISTRAR EN II TRIMESTRE</v>
      </c>
      <c r="FM143" s="22"/>
      <c r="FN143" s="32"/>
      <c r="FO143" s="29" t="str">
        <f t="shared" ca="1" si="679"/>
        <v>PIERDE TOMA DE TAMIZAJE</v>
      </c>
      <c r="FP143" s="22"/>
      <c r="FQ143" s="32"/>
      <c r="FR143" s="29" t="str">
        <f t="shared" ca="1" si="680"/>
        <v>TOMA INMEDIATA DE TAMIZAJE</v>
      </c>
      <c r="FS143" s="22"/>
      <c r="FT143" s="32"/>
      <c r="FU143" s="29" t="str">
        <f>IF(AND(FJ143="",FM143="",FP143="",FS143=""),"",IF(OR(OR(Tabla1[[#This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43" s="28"/>
      <c r="FW143" s="22"/>
      <c r="FX143" s="29" t="str">
        <f t="shared" si="625"/>
        <v>TOMAR EXAMEN</v>
      </c>
      <c r="FY143" s="22">
        <v>45016</v>
      </c>
      <c r="FZ143" s="22">
        <v>45016</v>
      </c>
      <c r="GA143" s="29" t="str">
        <f t="shared" si="498"/>
        <v>REGISTRAR EN II TRIMESTRE</v>
      </c>
      <c r="GB143" s="22"/>
      <c r="GC143" s="22"/>
      <c r="GD143" s="29" t="str">
        <f t="shared" ca="1" si="681"/>
        <v>PIERDE TOMA DE TAMIZAJE</v>
      </c>
      <c r="GE143" s="22"/>
      <c r="GF143" s="22"/>
      <c r="GG143" s="29" t="str">
        <f t="shared" ca="1" si="682"/>
        <v>TOMA INMEDIATA DE TAMIZAJE</v>
      </c>
      <c r="GH143" s="22"/>
      <c r="GI143" s="29"/>
      <c r="GJ143" s="22"/>
      <c r="GK143" s="22"/>
      <c r="GL143" s="22"/>
      <c r="GM143" s="22"/>
      <c r="GN143" s="28" t="s">
        <v>869</v>
      </c>
      <c r="GO143" s="22">
        <v>45016</v>
      </c>
      <c r="GP143" s="29">
        <f t="shared" si="626"/>
        <v>15.299999999999793</v>
      </c>
      <c r="GQ143" s="28" t="s">
        <v>869</v>
      </c>
      <c r="GR143" s="28" t="s">
        <v>869</v>
      </c>
      <c r="GS143" s="22" t="str">
        <f t="shared" si="627"/>
        <v>CONTROL Igm</v>
      </c>
      <c r="GT143" s="22">
        <v>45016</v>
      </c>
      <c r="GU143" s="29">
        <f t="shared" si="628"/>
        <v>3.8571428571428572</v>
      </c>
      <c r="GV143" s="21" t="str">
        <f t="shared" si="629"/>
        <v>I TRIM</v>
      </c>
      <c r="GW143" s="28" t="s">
        <v>869</v>
      </c>
      <c r="GX143" s="30"/>
      <c r="GY143" s="21"/>
      <c r="GZ143" s="21"/>
      <c r="HA143" s="21"/>
      <c r="HB143" s="21"/>
      <c r="HC143" s="21"/>
      <c r="HD143" s="21"/>
      <c r="HE143" s="21"/>
      <c r="HF143" s="22"/>
      <c r="HG143" s="22" t="str">
        <f>IF(OR(O143&gt;0,R143&gt;0),CONCATENATE(IF(Tabla1[[#This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43" s="22" t="e">
        <f t="shared" si="630"/>
        <v>#REF!</v>
      </c>
      <c r="HI143" s="22" t="e">
        <f t="shared" ca="1" si="631"/>
        <v>#REF!</v>
      </c>
      <c r="HJ143" s="21" t="str">
        <f t="shared" ca="1" si="632"/>
        <v>***************************************</v>
      </c>
      <c r="HK143" s="21" t="str">
        <f t="shared" si="633"/>
        <v>SIN ANTECEDENTES DE RIESGO</v>
      </c>
      <c r="HL143" s="24" t="str">
        <f t="shared" si="634"/>
        <v>APARENTEMENTE NORMAL</v>
      </c>
      <c r="HM143" s="21" t="e">
        <f t="shared" ca="1" si="635"/>
        <v>#REF!</v>
      </c>
      <c r="HN143" s="30" t="str">
        <f t="shared" si="683"/>
        <v>ACTIVA INGRESO A CPN</v>
      </c>
      <c r="HO143" s="21"/>
      <c r="HP143" s="21"/>
      <c r="HQ143" s="21">
        <v>45051</v>
      </c>
      <c r="HR143" s="21" t="str">
        <f>IF(R143="","",IF(Tabla1[[#This Row],[ALARMA FACTORES DE RIESGO COMPLICACIONES HIPERTENSIVAS3]]="SIN ANTECEDENTES DE RIESGO","No Aplica para suministro de ASA",IF(AND(Tabla1[[#This Row],[FECHA INICIO DE SUMINISTRO DE ASA]]&gt;0,RV143&lt;12),"Inicia ASA ANTES de Sem 12",IF(AND(RV143&gt;11,RV143&lt;17,OR(HK143="RIESGO ALTO DE COMPLICACIONES HIPERTENSIVAS VER MANEJO GUIA SUMINISTRO ASA Y CALCIO",HK143="RIESGO MODERADO (2 O MAS CRITERIOS) VER MANEJO GUIA SUMINISTRO ASA Y CALCIO")),"Inicio oportuno de ASA",IF(AND(RV143&gt;12,OR(HK143="RIESGO ALTO DE COMPLICACIONES HIPERTENSIVAS VER MANEJO GUIA SUMINISTRO ASA Y CALCIO",HK143="RIESGO MODERADO (2 O MAS CRITERIOS) VER MANEJO GUIA SUMINISTRO ASA Y CALCIO")),"Inicio no oportuno mayor a 16 semanas",IF(AND(BU143&lt;12,OR(HK143="RIESGO ALTO DE COMPLICACIONES HIPERTENSIVAS VER MANEJO GUIA SUMINISTRO ASA Y CALCIO",HK143="RIESGO MODERADO (2 O MAS CRITERIOS) VER MANEJO GUIA SUMINISTRO ASA Y CALCIO")),"Pendiente Inicio de ASA a la semana 12",IF(AND(BU143&gt;11,BU143&lt;17,OR(HK143="RIESGO ALTO DE COMPLICACIONES HIPERTENSIVAS VER MANEJO GUIA SUMINISTRO ASA Y CALCIO",HK143="RIESGO MODERADO (2 O MAS CRITERIOS) VER MANEJO GUIA SUMINISTRO ASA Y CALCIO")),"Iniciar de inmediato ASA",IF(AND(BU143&gt;16,OR(HK143="RIESGO ALTO DE COMPLICACIONES HIPERTENSIVAS VER MANEJO GUIA SUMINISTRO ASA Y CALCIO",HK143="RIESGO MODERADO (2 O MAS CRITERIOS) VER MANEJO GUIA SUMINISTRO ASA Y CALCIO")),"Pierde Oportunidad, Inicio tardío de ASA","XXXXX"))))))))</f>
        <v>No Aplica para suministro de ASA</v>
      </c>
      <c r="HS143" s="22">
        <v>45051</v>
      </c>
      <c r="HT143" s="22" t="s">
        <v>870</v>
      </c>
      <c r="HU143" s="22"/>
      <c r="HV143" s="22">
        <v>45051</v>
      </c>
      <c r="HW143" s="22" t="s">
        <v>870</v>
      </c>
      <c r="HX143" s="22"/>
      <c r="HY143" s="22">
        <v>45016</v>
      </c>
      <c r="HZ143" s="28">
        <f t="shared" si="636"/>
        <v>15.299999999999793</v>
      </c>
      <c r="IA143" s="26"/>
      <c r="IB143" s="26"/>
      <c r="IC143" s="111"/>
      <c r="ID143" s="22"/>
      <c r="IE143" s="22" t="str">
        <f t="shared" ca="1" si="637"/>
        <v/>
      </c>
      <c r="IF143" s="22"/>
      <c r="IG143" s="22">
        <f t="shared" si="638"/>
        <v>45188.9</v>
      </c>
      <c r="IH143" s="29">
        <f t="shared" ca="1" si="639"/>
        <v>-43.099999999998545</v>
      </c>
      <c r="II143" s="22" t="str">
        <f t="shared" ca="1" si="640"/>
        <v>POSIBLEMENTE NACIO</v>
      </c>
      <c r="IJ143" s="22"/>
      <c r="IK143" s="21"/>
      <c r="IL143" s="21" t="s">
        <v>1639</v>
      </c>
      <c r="IM143" s="34"/>
      <c r="IN143" s="349"/>
      <c r="IO143" s="21"/>
      <c r="IP143" s="29" t="str">
        <f t="shared" si="674"/>
        <v/>
      </c>
      <c r="IQ143" s="35"/>
      <c r="IR143" s="21"/>
      <c r="IS143" s="21"/>
      <c r="IT143" s="21"/>
      <c r="IU143" s="21"/>
      <c r="IV143" s="21"/>
      <c r="IW143" s="21"/>
      <c r="IX143" s="21"/>
      <c r="IY143" s="21"/>
      <c r="IZ143" s="21"/>
      <c r="JA143" s="21"/>
      <c r="JB143" s="30"/>
      <c r="JC143" s="21"/>
      <c r="JD143" s="36"/>
      <c r="JE143" s="21" t="str">
        <f t="shared" si="684"/>
        <v/>
      </c>
      <c r="JF143" s="30"/>
      <c r="JG143" s="21"/>
      <c r="JH143" s="21"/>
      <c r="JI143" s="21"/>
      <c r="JJ143" s="30"/>
      <c r="JK143" s="22"/>
      <c r="JL143" s="22"/>
      <c r="JM143" s="21"/>
      <c r="JN143" s="36"/>
      <c r="JO143" s="21" t="str">
        <f t="shared" si="685"/>
        <v/>
      </c>
      <c r="JP143" s="22"/>
      <c r="JQ143" s="21"/>
      <c r="JR143" s="21"/>
      <c r="JS143" s="21"/>
      <c r="JT143" s="30"/>
      <c r="JU143" s="22"/>
      <c r="JV143" s="22"/>
      <c r="JW143" s="33"/>
      <c r="JX143" s="28" t="str">
        <f t="shared" si="686"/>
        <v/>
      </c>
      <c r="JY143" s="33"/>
      <c r="JZ143" s="28" t="str">
        <f t="shared" si="687"/>
        <v/>
      </c>
      <c r="KA143" s="21"/>
      <c r="KB143" s="21"/>
      <c r="KC143" s="21"/>
      <c r="KD143" s="37"/>
      <c r="KE143" s="28"/>
      <c r="KF143" s="28"/>
      <c r="KG143" s="28"/>
      <c r="KH143" s="39"/>
      <c r="KI143" s="39"/>
      <c r="KJ143" s="66"/>
      <c r="KK143" s="39"/>
      <c r="KL143" s="39"/>
      <c r="KM143" s="66"/>
      <c r="KN143" s="39"/>
      <c r="KO143" s="39"/>
      <c r="KP143" s="39"/>
      <c r="KQ143" s="39"/>
      <c r="KR143" s="39"/>
      <c r="KS143" s="39"/>
      <c r="KT143" s="39"/>
      <c r="KU143" s="38"/>
      <c r="KV143" s="38"/>
      <c r="KW143" s="38"/>
      <c r="KX143" s="38"/>
      <c r="KY143" s="38"/>
      <c r="KZ143" s="38"/>
      <c r="LA143" s="38"/>
      <c r="LB143" s="38"/>
      <c r="LC143" s="38"/>
      <c r="LD143" s="38"/>
      <c r="LE143" s="38"/>
      <c r="LF143" s="38"/>
      <c r="LG143" s="38"/>
      <c r="LH143" s="38"/>
      <c r="LI143" s="38"/>
      <c r="LJ143" s="38"/>
      <c r="LK143" s="38"/>
      <c r="LL143" s="38"/>
      <c r="LM143" s="38"/>
      <c r="LN143" s="38"/>
      <c r="LO143" s="38"/>
      <c r="LP143" s="38"/>
      <c r="LQ143" s="38"/>
      <c r="LR143" s="38"/>
      <c r="LS143" s="38"/>
      <c r="LT143" s="38"/>
      <c r="LU143" s="38"/>
      <c r="LV143" s="38"/>
      <c r="LW143" s="38"/>
      <c r="LX143" s="38"/>
      <c r="LY143" s="38"/>
      <c r="LZ143" s="38"/>
      <c r="MA143" s="38"/>
      <c r="MB143" s="38"/>
      <c r="MC143" s="38"/>
      <c r="MD143" s="38"/>
      <c r="ME143" s="38"/>
      <c r="MF143" s="38"/>
      <c r="MG143" s="38"/>
      <c r="MH143" s="43">
        <f t="shared" si="641"/>
        <v>0</v>
      </c>
      <c r="MI143" s="43" t="str">
        <f t="shared" si="642"/>
        <v/>
      </c>
      <c r="MJ143" s="43" t="str">
        <f t="shared" si="643"/>
        <v/>
      </c>
      <c r="MK143" s="43">
        <f t="shared" si="644"/>
        <v>0</v>
      </c>
      <c r="ML14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43" s="43">
        <f t="shared" si="645"/>
        <v>15.299999999999793</v>
      </c>
      <c r="MN143" s="43">
        <f t="shared" si="646"/>
        <v>3</v>
      </c>
      <c r="MO143" s="43">
        <f t="shared" si="647"/>
        <v>2023</v>
      </c>
      <c r="MP143" s="43" t="str">
        <f t="shared" si="648"/>
        <v>I TRIMESTRE AÑO</v>
      </c>
      <c r="MQ143" s="43">
        <f t="shared" si="649"/>
        <v>24.619469995619799</v>
      </c>
      <c r="MR143" s="43">
        <f t="shared" si="650"/>
        <v>0</v>
      </c>
      <c r="MS143" s="43" t="str">
        <f t="shared" si="651"/>
        <v xml:space="preserve"> DE 20 A 24 AÑOS</v>
      </c>
      <c r="MT143" s="43">
        <f t="shared" si="652"/>
        <v>0</v>
      </c>
      <c r="MU143" s="43">
        <f t="shared" si="653"/>
        <v>0</v>
      </c>
      <c r="MV143" s="43">
        <f t="shared" si="654"/>
        <v>0</v>
      </c>
      <c r="MW143" s="43">
        <f t="shared" si="655"/>
        <v>0</v>
      </c>
      <c r="MX143" s="43" t="str">
        <f t="shared" si="656"/>
        <v/>
      </c>
      <c r="MY143" s="43" t="str">
        <f t="shared" ca="1" si="688"/>
        <v/>
      </c>
      <c r="MZ143" s="43" t="str">
        <f t="shared" si="657"/>
        <v/>
      </c>
      <c r="NA143" s="43" t="str">
        <f t="shared" si="658"/>
        <v/>
      </c>
      <c r="NB143" s="43" t="str">
        <f t="shared" si="659"/>
        <v/>
      </c>
      <c r="NC143" s="43" t="str">
        <f t="shared" si="660"/>
        <v/>
      </c>
      <c r="ND143" s="43">
        <f t="shared" ca="1" si="661"/>
        <v>0</v>
      </c>
      <c r="NE143" s="43">
        <f>IF(OR(O143&gt;0,R143&gt;0),SUM(COUNTIF(Tabla1[[#This Row],[AÑOS AL INICIO5 CPN]],"&gt;=40"),COUNTIF(AS143,"0"),COUNTIF(AR143,"SI"),COUNTIF(CC143,"SI"),COUNTIF(BQ143,"&gt;119"),COUNTIF(CI143,"&gt;=35")),"")</f>
        <v>0</v>
      </c>
      <c r="NF143" s="43" t="str">
        <f t="shared" si="662"/>
        <v/>
      </c>
      <c r="NG143" s="43">
        <f t="shared" si="663"/>
        <v>0</v>
      </c>
      <c r="NH143" s="43">
        <f t="shared" si="664"/>
        <v>142.1</v>
      </c>
      <c r="NI14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CPN",P143="NO"),"Z",IF(AND(Tabla1[[#This Row],[CITA PROXIMO CONTROL]]="CITA MANUAL",Tabla1[[#This Row],[GESTANTES ACTUALES]]="ACTIVA INGRESO A CPN"),"W",IF(AND(Tabla1[[#This Row],[GESTANTES ACTUALES]]="SALIO PROGRAMA",IN143=""),"S",IF(AND(Tabla1[[#This Row],[CITA PROXIMO CONTROL]]&gt;0,IN143=""),(Tabla1[[#This Row],[CITA PROXIMO CONTROL]]-TODAY()),"SD"))))))))</f>
        <v>#REF!</v>
      </c>
      <c r="NJ143" s="43">
        <f>MONTH(Tabla1[[#This Row],[FECHA DE SALIDA  DEL PROGRAMA]])</f>
        <v>1</v>
      </c>
      <c r="NK143" s="43">
        <f>YEAR(Tabla1[[#This Row],[FECHA DE SALIDA  DEL PROGRAMA]])</f>
        <v>1900</v>
      </c>
      <c r="NL143" s="43" t="str">
        <f t="shared" si="665"/>
        <v>X</v>
      </c>
      <c r="NM143" s="43" t="str">
        <f t="shared" si="501"/>
        <v>NO</v>
      </c>
      <c r="NN143" s="43" t="str">
        <f ca="1">IF(AND(O143&gt;0,R143=""),"NO CPN",IF(AND(O143="",R143=""),"",IF(AND(R143&gt;0,Tabla1[[#This Row],[SEMANAS DE GESTACION ACTUALIZADAS]]&lt;=12),"NO APLICA",IF(AND(FH143&lt;&gt;"",FN143&lt;&gt;""),"SI","NO"))))</f>
        <v>NO</v>
      </c>
      <c r="NO143" s="43" t="str">
        <f ca="1">IF(AND(O143&gt;0,R143=""),"NO CPN",IF(AND(O143="",R143=""),"",IF(AND(R143&gt;0,Tabla1[[#This Row],[SEMANAS DE GESTACION ACTUALIZADAS]]&lt;=27),"NO APLICA",IF(AND(ES143&lt;&gt;"",FQ143&lt;&gt;"",GF143&lt;&gt;""),"SI","NO"))))</f>
        <v>NO</v>
      </c>
      <c r="NP143" s="204" t="str">
        <f t="shared" si="666"/>
        <v>II TRIM</v>
      </c>
      <c r="NQ143"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143" s="21" t="str">
        <f t="shared" ca="1" si="689"/>
        <v>REVISAR FUM O FECHA SALIDA PROGRAMA</v>
      </c>
      <c r="NS143" s="205">
        <f t="shared" ca="1" si="667"/>
        <v>0</v>
      </c>
      <c r="NT143" s="21">
        <f t="shared" ca="1" si="668"/>
        <v>0</v>
      </c>
      <c r="NU143" s="21" t="str">
        <f t="shared" ca="1" si="669"/>
        <v>POR DEFINIR</v>
      </c>
      <c r="NV143" s="21" t="str">
        <f t="shared" ca="1" si="670"/>
        <v>POR DEFINIR</v>
      </c>
      <c r="NW143" s="206" t="str">
        <f>IF(AND(O143="",R143=""),"",IF(OR(AND(Tabla1[[#This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43" s="207" t="str">
        <f t="shared" ca="1" si="671"/>
        <v>SIN VACUNAR</v>
      </c>
      <c r="NY143" s="43">
        <f>ROW(Tabla1[[#This Row],['# DE TAMIZAJES SIFILIS TOMADOS ]])</f>
        <v>143</v>
      </c>
      <c r="NZ143" s="43">
        <f t="shared" si="502"/>
        <v>15</v>
      </c>
      <c r="OA143" s="43" t="str">
        <f t="shared" si="503"/>
        <v/>
      </c>
      <c r="OB143" s="43" t="str">
        <f t="shared" si="504"/>
        <v/>
      </c>
      <c r="OC143" s="43" t="str">
        <f t="shared" si="505"/>
        <v/>
      </c>
      <c r="OD143" s="43" t="str">
        <f t="shared" si="506"/>
        <v/>
      </c>
      <c r="OE143" s="43" t="str">
        <f t="shared" si="507"/>
        <v/>
      </c>
      <c r="OF143" s="43" t="str">
        <f t="shared" si="508"/>
        <v/>
      </c>
      <c r="OG143" s="43" t="str">
        <f t="shared" si="509"/>
        <v>SOBREPESO</v>
      </c>
      <c r="OH143" s="43" t="str">
        <f t="shared" si="510"/>
        <v/>
      </c>
      <c r="OI143" s="43" t="str">
        <f t="shared" si="511"/>
        <v/>
      </c>
      <c r="OJ143" s="43" t="str">
        <f t="shared" si="512"/>
        <v/>
      </c>
      <c r="OK143" s="43" t="str">
        <f t="shared" si="513"/>
        <v/>
      </c>
      <c r="OL143" s="43" t="str">
        <f t="shared" si="514"/>
        <v/>
      </c>
      <c r="OM143" s="43" t="str">
        <f t="shared" si="515"/>
        <v/>
      </c>
      <c r="ON143" s="43" t="str">
        <f t="shared" si="516"/>
        <v/>
      </c>
      <c r="OO143" s="43" t="str">
        <f t="shared" si="517"/>
        <v/>
      </c>
      <c r="OP143" s="43" t="str">
        <f t="shared" si="518"/>
        <v/>
      </c>
      <c r="OQ143" s="43" t="str">
        <f t="shared" si="519"/>
        <v/>
      </c>
      <c r="OR143" s="43" t="str">
        <f t="shared" si="520"/>
        <v/>
      </c>
      <c r="OS143" s="43" t="str">
        <f t="shared" si="521"/>
        <v/>
      </c>
      <c r="OT143" s="43" t="str">
        <f t="shared" si="522"/>
        <v/>
      </c>
      <c r="OU143" s="43" t="str">
        <f t="shared" si="523"/>
        <v/>
      </c>
      <c r="OV143" s="110" t="str">
        <f t="shared" si="524"/>
        <v/>
      </c>
      <c r="OW143" s="43" t="str">
        <f t="shared" si="525"/>
        <v/>
      </c>
      <c r="OX143" s="43" t="str">
        <f t="shared" si="526"/>
        <v/>
      </c>
      <c r="OY143" s="43" t="str">
        <f t="shared" si="527"/>
        <v/>
      </c>
      <c r="OZ143" s="43" t="str">
        <f t="shared" si="528"/>
        <v/>
      </c>
      <c r="PA143" s="43" t="str">
        <f t="shared" si="529"/>
        <v/>
      </c>
      <c r="PB143" s="43" t="str">
        <f t="shared" si="530"/>
        <v/>
      </c>
      <c r="PC143" s="43" t="str">
        <f t="shared" si="531"/>
        <v/>
      </c>
      <c r="PD143" s="43" t="str">
        <f t="shared" si="532"/>
        <v/>
      </c>
      <c r="PE143" s="43" t="str">
        <f t="shared" si="533"/>
        <v/>
      </c>
      <c r="PF143" s="43" t="str">
        <f t="shared" si="534"/>
        <v/>
      </c>
      <c r="PG143" s="43" t="str">
        <f t="shared" si="535"/>
        <v/>
      </c>
      <c r="PH143" s="43" t="str">
        <f t="shared" si="536"/>
        <v/>
      </c>
      <c r="PI143" s="43">
        <f t="shared" si="537"/>
        <v>20</v>
      </c>
      <c r="PJ143" s="43" t="str">
        <f t="shared" si="538"/>
        <v/>
      </c>
      <c r="PK143" s="43" t="str">
        <f t="shared" si="539"/>
        <v/>
      </c>
      <c r="PL143" s="43" t="str">
        <f t="shared" si="540"/>
        <v/>
      </c>
      <c r="PM143" s="43" t="str">
        <f t="shared" si="541"/>
        <v/>
      </c>
      <c r="PN143" s="43" t="str">
        <f t="shared" si="542"/>
        <v/>
      </c>
      <c r="PO143" s="43" t="str">
        <f t="shared" si="543"/>
        <v/>
      </c>
      <c r="PP143" s="43" t="str">
        <f t="shared" si="544"/>
        <v/>
      </c>
      <c r="PQ143" s="43" t="str">
        <f t="shared" si="545"/>
        <v/>
      </c>
      <c r="PR143" s="43" t="str">
        <f t="shared" si="546"/>
        <v/>
      </c>
      <c r="PS143" s="43" t="str">
        <f t="shared" si="547"/>
        <v/>
      </c>
      <c r="PT143" s="43" t="str">
        <f t="shared" si="548"/>
        <v/>
      </c>
      <c r="PU143" s="43" t="str">
        <f t="shared" si="549"/>
        <v>SOBREPESO</v>
      </c>
      <c r="PV143" s="43" t="str">
        <f t="shared" si="550"/>
        <v/>
      </c>
      <c r="PW143" s="43" t="str">
        <f t="shared" si="551"/>
        <v/>
      </c>
      <c r="PX143" s="43" t="str">
        <f t="shared" si="552"/>
        <v/>
      </c>
      <c r="PY143" s="43" t="str">
        <f t="shared" si="553"/>
        <v/>
      </c>
      <c r="PZ143" s="43" t="str">
        <f t="shared" si="554"/>
        <v/>
      </c>
      <c r="QA143" s="43" t="str">
        <f t="shared" si="555"/>
        <v/>
      </c>
      <c r="QB143" s="43" t="str">
        <f t="shared" si="556"/>
        <v/>
      </c>
      <c r="QC143" s="43" t="str">
        <f t="shared" si="557"/>
        <v/>
      </c>
      <c r="QD143" s="43" t="str">
        <f t="shared" si="558"/>
        <v/>
      </c>
      <c r="QE143" s="43" t="str">
        <f t="shared" si="559"/>
        <v/>
      </c>
      <c r="QF143" s="43" t="str">
        <f t="shared" si="560"/>
        <v/>
      </c>
      <c r="QG143" s="43" t="str">
        <f t="shared" si="561"/>
        <v/>
      </c>
      <c r="QH143" s="43" t="str">
        <f t="shared" si="562"/>
        <v/>
      </c>
      <c r="QI143" s="43" t="str">
        <f t="shared" si="563"/>
        <v/>
      </c>
      <c r="QJ143" s="43" t="str">
        <f t="shared" si="564"/>
        <v/>
      </c>
      <c r="QK143" s="43" t="str">
        <f t="shared" si="565"/>
        <v/>
      </c>
      <c r="QL143" s="43" t="str">
        <f t="shared" si="566"/>
        <v/>
      </c>
      <c r="QM143" s="43" t="str">
        <f t="shared" si="567"/>
        <v/>
      </c>
      <c r="QN143" s="43" t="str">
        <f t="shared" si="568"/>
        <v/>
      </c>
      <c r="QO143" s="43" t="str">
        <f t="shared" si="569"/>
        <v/>
      </c>
      <c r="QP143" s="43" t="str">
        <f t="shared" si="570"/>
        <v/>
      </c>
      <c r="QQ143" s="43" t="str">
        <f t="shared" si="571"/>
        <v/>
      </c>
      <c r="QR143" s="43">
        <f t="shared" si="672"/>
        <v>20</v>
      </c>
      <c r="QS143" s="43"/>
      <c r="QT143" s="21" t="str">
        <f t="shared" si="572"/>
        <v/>
      </c>
      <c r="QU143" s="21" t="str">
        <f t="shared" si="573"/>
        <v/>
      </c>
      <c r="QV143" s="21" t="str">
        <f t="shared" si="574"/>
        <v/>
      </c>
      <c r="QW143" s="21" t="str">
        <f t="shared" si="575"/>
        <v/>
      </c>
      <c r="QX143" s="21" t="str">
        <f t="shared" si="576"/>
        <v/>
      </c>
      <c r="QY143" s="21" t="str">
        <f t="shared" si="577"/>
        <v/>
      </c>
      <c r="QZ143" s="21" t="str">
        <f t="shared" si="578"/>
        <v/>
      </c>
      <c r="RA143" s="21" t="str">
        <f t="shared" si="579"/>
        <v>ADECUADO PARA EDAD GESTACIONAL</v>
      </c>
      <c r="RB143" s="21" t="str">
        <f t="shared" si="580"/>
        <v/>
      </c>
      <c r="RC143" s="21" t="str">
        <f t="shared" si="581"/>
        <v/>
      </c>
      <c r="RD143" s="21" t="str">
        <f t="shared" si="582"/>
        <v/>
      </c>
      <c r="RE143" s="21" t="str">
        <f t="shared" si="583"/>
        <v/>
      </c>
      <c r="RF143" s="21" t="str">
        <f t="shared" si="584"/>
        <v/>
      </c>
      <c r="RG143" s="21" t="str">
        <f t="shared" si="585"/>
        <v/>
      </c>
      <c r="RH143" s="21" t="str">
        <f t="shared" si="586"/>
        <v/>
      </c>
      <c r="RI143" s="21" t="str">
        <f t="shared" si="587"/>
        <v/>
      </c>
      <c r="RJ143" s="21" t="str">
        <f t="shared" si="588"/>
        <v/>
      </c>
      <c r="RK143" s="21" t="str">
        <f t="shared" si="589"/>
        <v/>
      </c>
      <c r="RL143" s="21" t="str">
        <f t="shared" si="590"/>
        <v/>
      </c>
      <c r="RM143" s="21" t="str">
        <f t="shared" si="591"/>
        <v/>
      </c>
      <c r="RN143" s="21" t="str">
        <f t="shared" si="592"/>
        <v/>
      </c>
      <c r="RO143" s="21" t="str">
        <f t="shared" si="593"/>
        <v/>
      </c>
      <c r="RP143" s="21" t="str">
        <f t="shared" si="594"/>
        <v/>
      </c>
      <c r="RQ143" s="21" t="str">
        <f t="shared" si="595"/>
        <v/>
      </c>
      <c r="RR143" s="21" t="str">
        <f t="shared" si="596"/>
        <v/>
      </c>
      <c r="RS143" s="21" t="str">
        <f t="shared" si="597"/>
        <v/>
      </c>
      <c r="RT143" s="21" t="str">
        <f t="shared" si="598"/>
        <v/>
      </c>
      <c r="RU143" s="21" t="str">
        <f t="shared" si="599"/>
        <v/>
      </c>
      <c r="RV143" s="21">
        <f t="shared" si="600"/>
        <v>20.299999999999791</v>
      </c>
      <c r="RW143" s="284">
        <f>IF(OR(Tabla1[[#This Row],[FUM FORMULA CONFIABLE]]="",Tabla1[[#This Row],[FUM FORMULA CONFIABLE]]="SD"),"",IF(Tabla1[[#This Row],[FUM FORMULA CONFIABLE]]="CORREGIDA",Tabla1[[#This Row],[FUM X ECO 1]],Tabla1[[#This Row],[FUM x AMENORREA]]))</f>
        <v>44908.9</v>
      </c>
      <c r="RX143" s="21">
        <f>IF(AND(Tabla1[[#This Row],[FUM X ECO 1]]="",Tabla1[[#This Row],[FUM x AMENORREA]]=""),"",IF(AND(Tabla1[[#This Row],[FUM X ECO 1]]="",Tabla1[[#This Row],[FUM x AMENORREA]]&lt;&gt;""),"X",SUM(Tabla1[[#This Row],[FUM X ECO 1]]-Tabla1[[#This Row],[FUM x AMENORREA]])))</f>
        <v>-80.099999999998545</v>
      </c>
      <c r="RY143" s="21">
        <f t="shared" si="673"/>
        <v>1</v>
      </c>
    </row>
    <row r="144" spans="1:493" ht="45" customHeight="1" x14ac:dyDescent="0.25">
      <c r="A144" s="109"/>
      <c r="B144" s="43"/>
      <c r="C144" s="43" t="s">
        <v>845</v>
      </c>
      <c r="D144" s="124"/>
      <c r="E144" s="43" t="s">
        <v>944</v>
      </c>
      <c r="F144" s="43" t="s">
        <v>943</v>
      </c>
      <c r="G144" s="43" t="s">
        <v>1421</v>
      </c>
      <c r="H144" s="43"/>
      <c r="I144" s="109" t="s">
        <v>851</v>
      </c>
      <c r="J144" s="110">
        <v>1002846330</v>
      </c>
      <c r="K144" s="43" t="s">
        <v>852</v>
      </c>
      <c r="L144" s="175" t="s">
        <v>1509</v>
      </c>
      <c r="M144" s="22">
        <v>36201</v>
      </c>
      <c r="N144" s="213">
        <f t="shared" ca="1" si="601"/>
        <v>24.742465753424657</v>
      </c>
      <c r="O144" s="22">
        <v>45017</v>
      </c>
      <c r="P144" s="214" t="str">
        <f t="shared" si="675"/>
        <v>SI</v>
      </c>
      <c r="Q144" s="26" t="s">
        <v>855</v>
      </c>
      <c r="R144" s="22">
        <v>45017</v>
      </c>
      <c r="S144" s="21" t="s">
        <v>856</v>
      </c>
      <c r="T144" s="24" t="s">
        <v>690</v>
      </c>
      <c r="U144" s="21" t="s">
        <v>857</v>
      </c>
      <c r="V144" s="21" t="s">
        <v>858</v>
      </c>
      <c r="W144" s="21" t="s">
        <v>1044</v>
      </c>
      <c r="X144" s="21" t="s">
        <v>1044</v>
      </c>
      <c r="Y144" s="21"/>
      <c r="Z144" s="21">
        <v>3147418146</v>
      </c>
      <c r="AA144" s="21" t="s">
        <v>860</v>
      </c>
      <c r="AB144" s="27" t="s">
        <v>861</v>
      </c>
      <c r="AC144" s="26" t="s">
        <v>888</v>
      </c>
      <c r="AD144" s="38" t="s">
        <v>1546</v>
      </c>
      <c r="AE144" s="26" t="s">
        <v>854</v>
      </c>
      <c r="AF144" s="26" t="s">
        <v>854</v>
      </c>
      <c r="AG144" s="23" t="s">
        <v>864</v>
      </c>
      <c r="AH144" s="23" t="s">
        <v>864</v>
      </c>
      <c r="AI144" s="24" t="s">
        <v>863</v>
      </c>
      <c r="AJ144" s="23" t="s">
        <v>864</v>
      </c>
      <c r="AK144" s="220" t="str">
        <f>IF(AND(AD144="",AE144="",AF144="",AG144="",AH144="",AI144="",AJ144=""),"",IF(OR(Tabla1[[#This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EVALUACIÓN",IF(AND(O144="",R144=""),"",IF(AND(OR(O144&gt;0,R144&gt;0),NG144&gt;=0,NG144&lt;2),"SIN RIESGO",IF(AND(OR(O144&gt;0,R144&gt;0),NG144&gt;=2),"CON RIESGO","ASD")))))</f>
        <v>SIN RIESGO</v>
      </c>
      <c r="AL144" s="23" t="s">
        <v>864</v>
      </c>
      <c r="AM144" s="26" t="s">
        <v>864</v>
      </c>
      <c r="AN144" s="26" t="s">
        <v>864</v>
      </c>
      <c r="AO144" s="26" t="s">
        <v>864</v>
      </c>
      <c r="AP144" s="26" t="s">
        <v>864</v>
      </c>
      <c r="AQ144" s="26" t="s">
        <v>864</v>
      </c>
      <c r="AR144" s="26" t="s">
        <v>864</v>
      </c>
      <c r="AS144" s="21">
        <v>1</v>
      </c>
      <c r="AT144" s="21">
        <v>1</v>
      </c>
      <c r="AU144" s="21">
        <v>0</v>
      </c>
      <c r="AV144" s="26" t="s">
        <v>864</v>
      </c>
      <c r="AW144" s="21">
        <v>0</v>
      </c>
      <c r="AX144" s="26" t="s">
        <v>864</v>
      </c>
      <c r="AY144" s="26" t="s">
        <v>864</v>
      </c>
      <c r="AZ144" s="26" t="s">
        <v>864</v>
      </c>
      <c r="BA144" s="26" t="s">
        <v>864</v>
      </c>
      <c r="BB144" s="26" t="s">
        <v>864</v>
      </c>
      <c r="BC144" s="26" t="s">
        <v>864</v>
      </c>
      <c r="BD144" s="26" t="s">
        <v>864</v>
      </c>
      <c r="BE144" s="26" t="s">
        <v>864</v>
      </c>
      <c r="BF144" s="26" t="s">
        <v>864</v>
      </c>
      <c r="BG144" s="26" t="s">
        <v>864</v>
      </c>
      <c r="BH144" s="26" t="s">
        <v>864</v>
      </c>
      <c r="BI144" s="26" t="s">
        <v>864</v>
      </c>
      <c r="BJ144" s="26" t="s">
        <v>864</v>
      </c>
      <c r="BK144" s="26" t="s">
        <v>864</v>
      </c>
      <c r="BL144" s="26" t="s">
        <v>864</v>
      </c>
      <c r="BM144" s="26" t="s">
        <v>864</v>
      </c>
      <c r="BN144" s="22">
        <v>42792</v>
      </c>
      <c r="BO144" s="22">
        <v>44983</v>
      </c>
      <c r="BP144" s="21" t="s">
        <v>1380</v>
      </c>
      <c r="BQ144" s="222">
        <f t="shared" si="602"/>
        <v>72.639999999999901</v>
      </c>
      <c r="BR144" s="223">
        <f t="shared" si="603"/>
        <v>44971.199999999997</v>
      </c>
      <c r="BS144" s="224">
        <f t="shared" si="604"/>
        <v>6.5428571428575584</v>
      </c>
      <c r="BT144" s="216" t="str">
        <f t="shared" si="605"/>
        <v>I TRIM</v>
      </c>
      <c r="BU144" s="214">
        <f t="shared" ca="1" si="606"/>
        <v>37.257142857143272</v>
      </c>
      <c r="BV144" s="25"/>
      <c r="BW144" s="22">
        <v>45051</v>
      </c>
      <c r="BX144" s="28">
        <v>11.4</v>
      </c>
      <c r="BY144" s="28"/>
      <c r="BZ144" s="22"/>
      <c r="CA144" s="21"/>
      <c r="CB144" s="26" t="s">
        <v>864</v>
      </c>
      <c r="CC144" s="26" t="s">
        <v>864</v>
      </c>
      <c r="CD144" s="26"/>
      <c r="CE144" s="26" t="s">
        <v>864</v>
      </c>
      <c r="CF144" s="22" t="s">
        <v>1517</v>
      </c>
      <c r="CG144" s="21">
        <v>1.42</v>
      </c>
      <c r="CH144" s="21">
        <v>41.9</v>
      </c>
      <c r="CI144" s="214">
        <f t="shared" si="607"/>
        <v>20.779607220789526</v>
      </c>
      <c r="CJ144" s="225" t="str">
        <f>IF(AND(CI144&lt;10,CH144="SD"),"SIN DATO PESO PREGESTACION O I TRIM",IF(AND(OR(R144&gt;0,O144&gt;0),CI144="X"),"INGRESAR DATO DE PESO",IF(CI144="SD","INGRESAR DATO DE TALLA Y PESO",IF(AND(OR(Tabla1[[#This Row],[MOMENTO EN QUE SE REALIZA EL PESO AL INGRESO A CPN]]="PREGESTACIÓN",NZ144="Menor"),CI144&lt;18.5),"BAJO PESO",IF(AND(OR(Tabla1[[#This Row],[MOMENTO EN QUE SE REALIZA EL PESO AL INGRESO A CPN]]="PREGESTACIÓN",NZ144="Menor"),CI144&lt;25),"NORMAL",IF(AND(OR(Tabla1[[#This Row],[MOMENTO EN QUE SE REALIZA EL PESO AL INGRESO A CPN]]="PREGESTACIÓN",NZ144="Menor"),CI144&lt;30),"SOBREPESO",IF(AND(OR(Tabla1[[#This Row],[MOMENTO EN QUE SE REALIZA EL PESO AL INGRESO A CPN]]="PREGESTACIÓN",NZ144="Menor"),CI144&gt;=30,CI144&lt;50),"OBESIDAD",IF(AND(BS144&gt;0,Tabla1[[#This Row],[MOMENTO EN QUE SE REALIZA EL PESO AL INGRESO A CPN]]="GESTACIÓN"),HLOOKUP(NZ144,$OA$2:PH144,NY144),""))))))))</f>
        <v>NORMAL</v>
      </c>
      <c r="CK144" s="212">
        <f t="shared" si="608"/>
        <v>45164</v>
      </c>
      <c r="CL144" s="21">
        <v>45.8</v>
      </c>
      <c r="CM144" s="214">
        <f t="shared" si="609"/>
        <v>22.713747272366593</v>
      </c>
      <c r="CN144" s="216">
        <f t="shared" si="610"/>
        <v>27</v>
      </c>
      <c r="CO144" s="216" t="e">
        <f>IF(PI144="","",IF(PI144&gt;0,HLOOKUP(PI144,$PJ$2:QQ144,NY144),""))</f>
        <v>#REF!</v>
      </c>
      <c r="CP144" s="21">
        <v>21</v>
      </c>
      <c r="CQ144" s="216" t="e">
        <f>IF(QR144="Menor","NO APLICA-MENOR 13 SEM",IF(AND(CC144="SI",CN144&gt;23),"NO APLICA- GEMELAR",IF(QR144="","",IF(QR144&gt;0,HLOOKUP(QR144,$QS$2:RU144,NY144),""))))</f>
        <v>#REF!</v>
      </c>
      <c r="CR144" s="21">
        <v>100</v>
      </c>
      <c r="CS144" s="21">
        <v>60</v>
      </c>
      <c r="CT144" s="217" t="str">
        <f>IF(R144="","",IF(AND(BS144&gt;1,BS144&lt;12,Tabla1[[#This Row],[T.A. SISTOLICA - ANTES DE SEMANA 12]]="",Tabla1[[#This Row],[T.A. DIASTOLICA - ANTES DE SEMANA 12]]=""),"REGISTRE DATO TA ANTES SEMANA 12",IF(AND(BS144&gt;11,BS144&lt;43,Tabla1[[#This Row],[T.A. SISTOLICA - ANTES DE SEMANA 12]]="",Tabla1[[#This Row],[T.A. DIASTOLICA - ANTES DE SEMANA 12]]=""),"NO APLICA REGISTRO TA-INGRESO TARDIO",IF(AND(OR(O144&gt;0,R144&gt;0),OR(CR144&gt;=140,CS144&gt;=90)),"DEFINIR ESTADIO HTA",IF(AND(OR(O144&gt;0,R144&gt;0),AND(CR144&gt;120,CR144&lt;=139)),"PRE HTA SEGUIMIENTO",IF(AND(OR(O144&gt;0,R144&gt;0),AND(CS144&gt;80,CS144&lt;=89)),"PRE HTA SEGUIMIENTO",IF(AND(OR(O144&gt;0,R144&gt;0),AND(CR144&gt;=80,CR144&lt;=120)),"APARENTEMENTE NORMAL",IF(AND(OR(O144&gt;0,R144&gt;0),AND(CS144&gt;=50,CS144&lt;=80)),"APARENTEMENTE NORMAL",IF(AND(OR(O144&gt;0,R144&gt;0),AND(CR144&gt;1,CR144&lt;=70),AND(CS144&gt;1,CS144&lt;=40)),"HIPOTENSIÓN","")))))))))</f>
        <v>APARENTEMENTE NORMAL</v>
      </c>
      <c r="CU144" s="21"/>
      <c r="CV144" s="21"/>
      <c r="CW144" s="217" t="str">
        <f ca="1">IF(R144="","",IF(AND(CN144&gt;19,CN144&lt;27,Tabla1[[#This Row],[T.A. SISTOLICA (Entre semana 20 y 26)]]="",Tabla1[[#This Row],[T.A. DIATOLICA (Entre semana 20 y 26)]]=""),"ACUDE A CONTROL SEM 20 A 26 REGISTRE TA AHORA",IF(AND(BS144&gt;1,BS144&lt;27,BU144&gt;19,Tabla1[[#This Row],[T.A. SISTOLICA (Entre semana 20 y 26)]]="",Tabla1[[#This Row],[T.A. DIATOLICA (Entre semana 20 y 26)]]=""),"COMPLETE REGISTRO TA CONTROL SEM 20 A26 ",IF(AND(BS144&gt;26,BS144&lt;43,Tabla1[[#This Row],[T.A. SISTOLICA (Entre semana 20 y 26)]]="",Tabla1[[#This Row],[T.A. DIATOLICA (Entre semana 20 y 26)]]=""),"NO APLICA REGISTRO TA-INGRESO TARDIO",IF(AND(OR(O144&gt;0,R144&gt;0),OR(CU144&gt;=140,CV144&gt;=90)),"ALTO RIESGO PREECLAMPSIA,DEFINIR ESTADIO HTA",IF(AND(OR(O144&gt;0,R144&gt;0),AND(CU144&gt;120,CU144&lt;=139)),"PRE HTA SEGUIMIENTO,RIESGO HIPERTENSION INDUCIDA POR EL EMBARAZO",IF(AND(OR(O144&gt;0,R144&gt;0),AND(CV144&gt;80,CV144&lt;=89)),"PRE HTA SEGUIMIENTO, RIESGO HIPERTENSION INDUCIDA POR EL EMBARAZO",IF(AND(OR(O144&lt;&gt;"",R144&lt;&gt;""),CS144&lt;&gt;"",CV144&lt;&gt;"",CS144&lt;=CV144),"VIGILAR CIFRAS PRESION ARTERIAL",IF(AND(OR(O144&gt;0,R144&gt;0),AND(CU144&gt;120,CU144&lt;=139)),"PRE HTA SEGUIMIENTO",IF(AND(OR(O144&gt;0,R144&gt;0),AND(CU144&gt;1,CU144&lt;=70),AND(CV144&gt;1,CV144&lt;=40)),"HIPOTENSIÓN",IF(AND(OR(O144&lt;&gt;"",R144&lt;&gt;""),CS144&lt;&gt;"",CV144&lt;&gt;"",CS144&gt;CV144),"APARENTEMENTE NORMAL",IF(AND(OR(O144&gt;0,R144&gt;0),AND(CU144&gt;=80,CU144&lt;=120)),"APARENTEMENTE NORMAL",IF(AND(OR(O144&gt;0,R144&gt;0),AND(CV144&gt;=50,CV144&lt;=80)),"APARENTEMENTE NORMAL","")))))))))))))</f>
        <v xml:space="preserve">COMPLETE REGISTRO TA CONTROL SEM 20 A26 </v>
      </c>
      <c r="CX144" s="21"/>
      <c r="CY144" s="21"/>
      <c r="CZ144" s="216" t="str">
        <f t="shared" ref="CZ144:CZ169" si="690">IF(R144="","",IF(AND(CN144&gt;31,CN144&lt;35,CX144="",CY144=""),"ACUDE A CONTROL SEM 30 A 34- REGISTRE AHORA",IF(AND(BS144&gt;34,BS144&lt;43,CX145="",CY145=""),"NO APLICA-INGRESO TARDIO",IF(AND(OR(O144&gt;0,R144&gt;0),OR(CX144&gt;=140,CY144&gt;=90)),"ESTUDIO INMEDIATO HTA PARA DESCARTAR PREECLAMSIA",IF(AND(OR(O144&gt;0,R144&gt;0),AND(CX144&gt;=130,CX144&lt;=139)),"PRE HTA,RIESGO ALTO PREECLAMPSIA",IF(AND(OR(O144&gt;0,R144&gt;0),AND(CY144&gt;80,CY144&lt;=89)),"PRE HTA,RIESGO ALTO PREECLAMPSIA",IF(AND(OR(O144&gt;0,R144&gt;0),AND(CX144&gt;120,CX144&lt;=129)),"RANGO PREHIPERTENSIVO SEGUIMIENTO HTA",IF(AND(OR(O144&lt;&gt;"",R144&lt;&gt;""),CS144&lt;&gt;"",CY144&lt;&gt;"",CS144&lt;CY144),"VIGILAR CIFRAS PRESION ARTERIAL",IF(AND(OR(O144&lt;&gt;"",R144&lt;&gt;""),CS144&lt;&gt;"",CY144&lt;&gt;"",CS144=CY144),"APARENTEMENTE NORMAL",IF(AND(OR(O144&gt;0,R144&gt;0),CX144&gt;=80,CX144&lt;=120),"APARENTEMENTE NORMAL",IF(AND(OR(O144&gt;0,R144&gt;0),CY144&gt;=50,CY144&lt;=80),"APARENTEMENTE NORMAL","")))))))))))</f>
        <v/>
      </c>
      <c r="DA144" s="21">
        <v>90</v>
      </c>
      <c r="DB144" s="21">
        <v>60</v>
      </c>
      <c r="DC144" s="217" t="str">
        <f t="shared" si="611"/>
        <v>APARENTEMENTE NORMAL</v>
      </c>
      <c r="DD144" s="22">
        <v>45017</v>
      </c>
      <c r="DE144" s="22">
        <v>45017</v>
      </c>
      <c r="DF144" s="22">
        <v>45051</v>
      </c>
      <c r="DG144" s="22">
        <v>45092</v>
      </c>
      <c r="DH144" s="22">
        <v>45132</v>
      </c>
      <c r="DI144" s="22">
        <v>45164</v>
      </c>
      <c r="DJ144" s="22"/>
      <c r="DK144" s="22"/>
      <c r="DL144" s="22"/>
      <c r="DM144" s="22"/>
      <c r="DN144" s="22"/>
      <c r="DO144" s="22"/>
      <c r="DP144" s="22"/>
      <c r="DQ144" s="22"/>
      <c r="DR144" s="28">
        <v>1</v>
      </c>
      <c r="DS144" s="22"/>
      <c r="DT144" s="22"/>
      <c r="DU144" s="216" t="str">
        <f t="shared" ca="1" si="676"/>
        <v>CONCERTAR PLAN DE PARTO INMEDIATO</v>
      </c>
      <c r="DV144" s="226" t="str">
        <f t="shared" si="677"/>
        <v>ACTIVA INGRESO A CPN</v>
      </c>
      <c r="DW14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44" s="216" t="e">
        <f t="shared" ca="1" si="612"/>
        <v>#REF!</v>
      </c>
      <c r="DY144" s="212">
        <f>IF(R144="","",IF(R144&gt;0,MAX(Tabla1[[#This Row],[FECHA C2]:[FECHA C13]],Tabla1[[#This Row],[FECHA CONSULTA PRIMERA VEZ PROGRAMA CPN ]])))</f>
        <v>45164</v>
      </c>
      <c r="DZ144" s="216">
        <f t="shared" si="613"/>
        <v>27</v>
      </c>
      <c r="EA144" s="222">
        <f>IF(R144&gt;0,SUM(COUNTA(DF144:DQ144)+COUNTA(Tabla1[[#This Row],[FECHA CONSULTA PRIMERA VEZ PROGRAMA CPN ]])),"")</f>
        <v>5</v>
      </c>
      <c r="EB144" s="222" t="str">
        <f t="shared" si="614"/>
        <v>SI</v>
      </c>
      <c r="EC144" s="214">
        <f t="shared" si="615"/>
        <v>10</v>
      </c>
      <c r="ED144" s="227">
        <f t="shared" si="616"/>
        <v>0.5</v>
      </c>
      <c r="EE144" s="22">
        <v>45017</v>
      </c>
      <c r="EF144" s="22">
        <v>45017</v>
      </c>
      <c r="EG144" s="22">
        <v>45017</v>
      </c>
      <c r="EH144" s="22"/>
      <c r="EI144" s="22">
        <v>45017</v>
      </c>
      <c r="EJ144" s="22">
        <v>45090</v>
      </c>
      <c r="EK144" s="22">
        <v>45090</v>
      </c>
      <c r="EL144" s="21">
        <v>1</v>
      </c>
      <c r="EM144" s="21">
        <v>12.3</v>
      </c>
      <c r="EN144" s="22">
        <v>45019</v>
      </c>
      <c r="EO144" s="222">
        <f t="shared" si="617"/>
        <v>6.828571428571844</v>
      </c>
      <c r="EP144" s="214" t="str">
        <f t="shared" si="618"/>
        <v>NORMAL- SUMINISTRAR SULFATO FERROSO</v>
      </c>
      <c r="EQ144" s="216" t="str">
        <f t="shared" si="619"/>
        <v>I TRIM</v>
      </c>
      <c r="ER144" s="24"/>
      <c r="ES144" s="22"/>
      <c r="ET144" s="29" t="str">
        <f t="shared" ca="1" si="678"/>
        <v>TOMA DE HEMOGLOBINA TARDÍA</v>
      </c>
      <c r="EU144" s="25" t="str">
        <f t="shared" si="620"/>
        <v/>
      </c>
      <c r="EV144" s="24"/>
      <c r="EW144" s="24"/>
      <c r="EX144" s="22"/>
      <c r="EY144" s="29" t="str">
        <f t="shared" si="454"/>
        <v>TOMAR EXAMEN</v>
      </c>
      <c r="EZ144" s="25" t="str">
        <f t="shared" ca="1" si="455"/>
        <v/>
      </c>
      <c r="FA144" s="21">
        <v>75</v>
      </c>
      <c r="FB144" s="22">
        <v>45019</v>
      </c>
      <c r="FC144" s="29">
        <f t="shared" si="621"/>
        <v>6.828571428571844</v>
      </c>
      <c r="FD144" s="29"/>
      <c r="FE144" s="29"/>
      <c r="FF144" s="29"/>
      <c r="FG144" s="21" t="str">
        <f t="shared" ca="1" si="622"/>
        <v>TOMAR PTOG</v>
      </c>
      <c r="FH144" s="31"/>
      <c r="FI144" s="29" t="str">
        <f t="shared" si="623"/>
        <v>TOMAR EXAMEN</v>
      </c>
      <c r="FJ144" s="22" t="s">
        <v>867</v>
      </c>
      <c r="FK144" s="22">
        <v>45019</v>
      </c>
      <c r="FL144" s="29">
        <f t="shared" ca="1" si="624"/>
        <v>6.828571428571844</v>
      </c>
      <c r="FM144" s="22"/>
      <c r="FN144" s="32"/>
      <c r="FO144" s="29" t="str">
        <f t="shared" ca="1" si="679"/>
        <v>PIERDE TOMA DE TAMIZAJE</v>
      </c>
      <c r="FP144" s="22"/>
      <c r="FQ144" s="32"/>
      <c r="FR144" s="29" t="str">
        <f t="shared" ca="1" si="680"/>
        <v>TOMA INMEDIATA DE TAMIZAJE</v>
      </c>
      <c r="FS144" s="22"/>
      <c r="FT144" s="32"/>
      <c r="FU144" s="29" t="str">
        <f>IF(AND(FJ144="",FM144="",FP144="",FS144=""),"",IF(OR(OR(Tabla1[[#This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44" s="28"/>
      <c r="FW144" s="22"/>
      <c r="FX144" s="29" t="str">
        <f t="shared" si="625"/>
        <v>TOMAR EXAMEN</v>
      </c>
      <c r="FY144" s="22">
        <v>45019</v>
      </c>
      <c r="FZ144" s="22">
        <v>45019</v>
      </c>
      <c r="GA144" s="29">
        <f t="shared" ca="1" si="498"/>
        <v>6.828571428571844</v>
      </c>
      <c r="GB144" s="22"/>
      <c r="GC144" s="22"/>
      <c r="GD144" s="29" t="str">
        <f t="shared" ca="1" si="681"/>
        <v>PIERDE TOMA DE TAMIZAJE</v>
      </c>
      <c r="GE144" s="22"/>
      <c r="GF144" s="22"/>
      <c r="GG144" s="29" t="str">
        <f t="shared" ca="1" si="682"/>
        <v>TOMA INMEDIATA DE TAMIZAJE</v>
      </c>
      <c r="GH144" s="22"/>
      <c r="GI144" s="29"/>
      <c r="GJ144" s="22"/>
      <c r="GK144" s="22"/>
      <c r="GL144" s="22"/>
      <c r="GM144" s="22"/>
      <c r="GN144" s="28" t="s">
        <v>869</v>
      </c>
      <c r="GO144" s="22">
        <v>45019</v>
      </c>
      <c r="GP144" s="29">
        <f t="shared" si="626"/>
        <v>6.828571428571844</v>
      </c>
      <c r="GQ144" s="28" t="s">
        <v>869</v>
      </c>
      <c r="GR144" s="28"/>
      <c r="GS144" s="22" t="str">
        <f t="shared" si="627"/>
        <v>CONTROL Igm</v>
      </c>
      <c r="GT144" s="22">
        <v>45019</v>
      </c>
      <c r="GU144" s="29">
        <f t="shared" si="628"/>
        <v>5.1428571428571432</v>
      </c>
      <c r="GV144" s="21" t="str">
        <f t="shared" si="629"/>
        <v>I TRIM</v>
      </c>
      <c r="GW144" s="28" t="s">
        <v>846</v>
      </c>
      <c r="GX144" s="30"/>
      <c r="GY144" s="21"/>
      <c r="GZ144" s="21"/>
      <c r="HA144" s="21"/>
      <c r="HB144" s="21"/>
      <c r="HC144" s="21"/>
      <c r="HD144" s="21"/>
      <c r="HE144" s="21"/>
      <c r="HF144" s="22"/>
      <c r="HG144" s="22" t="str">
        <f>IF(OR(O144&gt;0,R144&gt;0),CONCATENATE(IF(Tabla1[[#This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44" s="22" t="e">
        <f t="shared" si="630"/>
        <v>#REF!</v>
      </c>
      <c r="HI144" s="22" t="e">
        <f t="shared" ca="1" si="631"/>
        <v>#REF!</v>
      </c>
      <c r="HJ144" s="21" t="str">
        <f t="shared" ca="1" si="632"/>
        <v>***************************************</v>
      </c>
      <c r="HK144" s="21" t="str">
        <f t="shared" si="633"/>
        <v>SIN ANTECEDENTES DE RIESGO</v>
      </c>
      <c r="HL144" s="24" t="str">
        <f t="shared" si="634"/>
        <v>APARENTEMENTE NORMAL</v>
      </c>
      <c r="HM144" s="21" t="e">
        <f t="shared" ca="1" si="635"/>
        <v>#REF!</v>
      </c>
      <c r="HN144" s="30" t="str">
        <f t="shared" si="683"/>
        <v>ACTIVA INGRESO A CPN</v>
      </c>
      <c r="HO144" s="21"/>
      <c r="HP144" s="21"/>
      <c r="HQ144" s="349">
        <v>45051</v>
      </c>
      <c r="HR144" s="21" t="str">
        <f>IF(R144="","",IF(Tabla1[[#This Row],[ALARMA FACTORES DE RIESGO COMPLICACIONES HIPERTENSIVAS3]]="SIN ANTECEDENTES DE RIESGO","No Aplica para suministro de ASA",IF(AND(Tabla1[[#This Row],[FECHA INICIO DE SUMINISTRO DE ASA]]&gt;0,RV144&lt;12),"Inicia ASA ANTES de Sem 12",IF(AND(RV144&gt;11,RV144&lt;17,OR(HK144="RIESGO ALTO DE COMPLICACIONES HIPERTENSIVAS VER MANEJO GUIA SUMINISTRO ASA Y CALCIO",HK144="RIESGO MODERADO (2 O MAS CRITERIOS) VER MANEJO GUIA SUMINISTRO ASA Y CALCIO")),"Inicio oportuno de ASA",IF(AND(RV144&gt;12,OR(HK144="RIESGO ALTO DE COMPLICACIONES HIPERTENSIVAS VER MANEJO GUIA SUMINISTRO ASA Y CALCIO",HK144="RIESGO MODERADO (2 O MAS CRITERIOS) VER MANEJO GUIA SUMINISTRO ASA Y CALCIO")),"Inicio no oportuno mayor a 16 semanas",IF(AND(BU144&lt;12,OR(HK144="RIESGO ALTO DE COMPLICACIONES HIPERTENSIVAS VER MANEJO GUIA SUMINISTRO ASA Y CALCIO",HK144="RIESGO MODERADO (2 O MAS CRITERIOS) VER MANEJO GUIA SUMINISTRO ASA Y CALCIO")),"Pendiente Inicio de ASA a la semana 12",IF(AND(BU144&gt;11,BU144&lt;17,OR(HK144="RIESGO ALTO DE COMPLICACIONES HIPERTENSIVAS VER MANEJO GUIA SUMINISTRO ASA Y CALCIO",HK144="RIESGO MODERADO (2 O MAS CRITERIOS) VER MANEJO GUIA SUMINISTRO ASA Y CALCIO")),"Iniciar de inmediato ASA",IF(AND(BU144&gt;16,OR(HK144="RIESGO ALTO DE COMPLICACIONES HIPERTENSIVAS VER MANEJO GUIA SUMINISTRO ASA Y CALCIO",HK144="RIESGO MODERADO (2 O MAS CRITERIOS) VER MANEJO GUIA SUMINISTRO ASA Y CALCIO")),"Pierde Oportunidad, Inicio tardío de ASA","XXXXX"))))))))</f>
        <v>No Aplica para suministro de ASA</v>
      </c>
      <c r="HS144" s="22">
        <v>45051</v>
      </c>
      <c r="HT144" s="22" t="s">
        <v>870</v>
      </c>
      <c r="HU144" s="22">
        <v>45051</v>
      </c>
      <c r="HV144" s="22" t="s">
        <v>870</v>
      </c>
      <c r="HW144" s="22">
        <v>45051</v>
      </c>
      <c r="HX144" s="22" t="s">
        <v>870</v>
      </c>
      <c r="HY144" s="22">
        <v>45017</v>
      </c>
      <c r="HZ144" s="28">
        <f t="shared" si="636"/>
        <v>6.5428571428575584</v>
      </c>
      <c r="IA144" s="26"/>
      <c r="IB144" s="26"/>
      <c r="IC144" s="111"/>
      <c r="ID144" s="22"/>
      <c r="IE144" s="22" t="str">
        <f t="shared" ca="1" si="637"/>
        <v>INASISTENTE</v>
      </c>
      <c r="IF144" s="22"/>
      <c r="IG144" s="22">
        <f t="shared" si="638"/>
        <v>45251.199999999997</v>
      </c>
      <c r="IH144" s="29">
        <f t="shared" ca="1" si="639"/>
        <v>19.19999999999709</v>
      </c>
      <c r="II144" s="22" t="str">
        <f t="shared" ca="1" si="640"/>
        <v>MENOS DE 4 SEMANAS</v>
      </c>
      <c r="IJ144" s="22"/>
      <c r="IK144" s="21"/>
      <c r="IL144" s="21"/>
      <c r="IM144" s="34"/>
      <c r="IN144" s="22"/>
      <c r="IO144" s="21"/>
      <c r="IP144" s="29" t="str">
        <f t="shared" si="674"/>
        <v/>
      </c>
      <c r="IQ144" s="35"/>
      <c r="IR144" s="21"/>
      <c r="IS144" s="21"/>
      <c r="IT144" s="21"/>
      <c r="IU144" s="21"/>
      <c r="IV144" s="21"/>
      <c r="IW144" s="21"/>
      <c r="IX144" s="21"/>
      <c r="IY144" s="21"/>
      <c r="IZ144" s="21"/>
      <c r="JA144" s="21"/>
      <c r="JB144" s="30"/>
      <c r="JC144" s="21"/>
      <c r="JD144" s="36"/>
      <c r="JE144" s="21" t="str">
        <f t="shared" si="684"/>
        <v/>
      </c>
      <c r="JF144" s="30"/>
      <c r="JG144" s="21"/>
      <c r="JH144" s="21"/>
      <c r="JI144" s="21"/>
      <c r="JJ144" s="30"/>
      <c r="JK144" s="22"/>
      <c r="JL144" s="22"/>
      <c r="JM144" s="21"/>
      <c r="JN144" s="36"/>
      <c r="JO144" s="21" t="str">
        <f t="shared" si="685"/>
        <v/>
      </c>
      <c r="JP144" s="22"/>
      <c r="JQ144" s="21"/>
      <c r="JR144" s="21"/>
      <c r="JS144" s="21"/>
      <c r="JT144" s="30"/>
      <c r="JU144" s="22"/>
      <c r="JV144" s="22"/>
      <c r="JW144" s="33"/>
      <c r="JX144" s="28" t="str">
        <f t="shared" si="686"/>
        <v/>
      </c>
      <c r="JY144" s="33"/>
      <c r="JZ144" s="28" t="str">
        <f t="shared" si="687"/>
        <v/>
      </c>
      <c r="KA144" s="21"/>
      <c r="KB144" s="21"/>
      <c r="KC144" s="21"/>
      <c r="KD144" s="37"/>
      <c r="KE144" s="28"/>
      <c r="KF144" s="28"/>
      <c r="KG144" s="28"/>
      <c r="KH144" s="39"/>
      <c r="KI144" s="39"/>
      <c r="KJ144" s="66"/>
      <c r="KK144" s="39"/>
      <c r="KL144" s="39"/>
      <c r="KM144" s="66"/>
      <c r="KN144" s="39"/>
      <c r="KO144" s="39"/>
      <c r="KP144" s="39"/>
      <c r="KQ144" s="39"/>
      <c r="KR144" s="39"/>
      <c r="KS144" s="39"/>
      <c r="KT144" s="39"/>
      <c r="KU144" s="38"/>
      <c r="KV144" s="38"/>
      <c r="KW144" s="38"/>
      <c r="KX144" s="38"/>
      <c r="KY144" s="38"/>
      <c r="KZ144" s="38"/>
      <c r="LA144" s="38"/>
      <c r="LB144" s="38"/>
      <c r="LC144" s="38"/>
      <c r="LD144" s="38"/>
      <c r="LE144" s="38"/>
      <c r="LF144" s="38"/>
      <c r="LG144" s="38"/>
      <c r="LH144" s="38"/>
      <c r="LI144" s="38"/>
      <c r="LJ144" s="38"/>
      <c r="LK144" s="38"/>
      <c r="LL144" s="38"/>
      <c r="LM144" s="38"/>
      <c r="LN144" s="38"/>
      <c r="LO144" s="38"/>
      <c r="LP144" s="38"/>
      <c r="LQ144" s="38"/>
      <c r="LR144" s="38"/>
      <c r="LS144" s="38"/>
      <c r="LT144" s="38"/>
      <c r="LU144" s="38"/>
      <c r="LV144" s="38"/>
      <c r="LW144" s="38"/>
      <c r="LX144" s="38"/>
      <c r="LY144" s="38"/>
      <c r="LZ144" s="38"/>
      <c r="MA144" s="38"/>
      <c r="MB144" s="38"/>
      <c r="MC144" s="38"/>
      <c r="MD144" s="38"/>
      <c r="ME144" s="38"/>
      <c r="MF144" s="38"/>
      <c r="MG144" s="38"/>
      <c r="MH144" s="43">
        <f t="shared" si="641"/>
        <v>0</v>
      </c>
      <c r="MI144" s="43" t="str">
        <f t="shared" si="642"/>
        <v/>
      </c>
      <c r="MJ144" s="43" t="str">
        <f t="shared" si="643"/>
        <v/>
      </c>
      <c r="MK144" s="43">
        <f t="shared" si="644"/>
        <v>0</v>
      </c>
      <c r="ML14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44" s="43">
        <f t="shared" si="645"/>
        <v>6.5428571428575584</v>
      </c>
      <c r="MN144" s="43">
        <f t="shared" si="646"/>
        <v>4</v>
      </c>
      <c r="MO144" s="43">
        <f t="shared" si="647"/>
        <v>2023</v>
      </c>
      <c r="MP144" s="43" t="str">
        <f t="shared" si="648"/>
        <v>II TRIMESTRE AÑO</v>
      </c>
      <c r="MQ144" s="43">
        <f t="shared" si="649"/>
        <v>23.792706964520367</v>
      </c>
      <c r="MR144" s="43">
        <f t="shared" si="650"/>
        <v>0</v>
      </c>
      <c r="MS144" s="43" t="str">
        <f t="shared" si="651"/>
        <v xml:space="preserve"> DE 20 A 24 AÑOS</v>
      </c>
      <c r="MT144" s="43">
        <f t="shared" si="652"/>
        <v>0</v>
      </c>
      <c r="MU144" s="43">
        <f t="shared" si="653"/>
        <v>0</v>
      </c>
      <c r="MV144" s="43">
        <f t="shared" si="654"/>
        <v>0</v>
      </c>
      <c r="MW144" s="43">
        <f t="shared" si="655"/>
        <v>0</v>
      </c>
      <c r="MX144" s="43" t="str">
        <f t="shared" si="656"/>
        <v/>
      </c>
      <c r="MY144" s="43" t="str">
        <f t="shared" ca="1" si="688"/>
        <v/>
      </c>
      <c r="MZ144" s="43" t="str">
        <f t="shared" si="657"/>
        <v/>
      </c>
      <c r="NA144" s="43" t="str">
        <f t="shared" si="658"/>
        <v/>
      </c>
      <c r="NB144" s="43" t="str">
        <f t="shared" si="659"/>
        <v/>
      </c>
      <c r="NC144" s="43" t="str">
        <f t="shared" si="660"/>
        <v/>
      </c>
      <c r="ND144" s="43">
        <f t="shared" ca="1" si="661"/>
        <v>0</v>
      </c>
      <c r="NE144" s="43">
        <f>IF(OR(O144&gt;0,R144&gt;0),SUM(COUNTIF(Tabla1[[#This Row],[AÑOS AL INICIO5 CPN]],"&gt;=40"),COUNTIF(AS144,"0"),COUNTIF(AR144,"SI"),COUNTIF(CC144,"SI"),COUNTIF(BQ144,"&gt;119"),COUNTIF(CI144,"&gt;=35")),"")</f>
        <v>0</v>
      </c>
      <c r="NF144" s="43" t="str">
        <f t="shared" si="662"/>
        <v/>
      </c>
      <c r="NG144" s="43">
        <f t="shared" si="663"/>
        <v>0</v>
      </c>
      <c r="NH144" s="43">
        <f t="shared" si="664"/>
        <v>79.8</v>
      </c>
      <c r="NI14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CPN",P144="NO"),"Z",IF(AND(Tabla1[[#This Row],[CITA PROXIMO CONTROL]]="CITA MANUAL",Tabla1[[#This Row],[GESTANTES ACTUALES]]="ACTIVA INGRESO A CPN"),"W",IF(AND(Tabla1[[#This Row],[GESTANTES ACTUALES]]="SALIO PROGRAMA",IN144=""),"S",IF(AND(Tabla1[[#This Row],[CITA PROXIMO CONTROL]]&gt;0,IN144=""),(Tabla1[[#This Row],[CITA PROXIMO CONTROL]]-TODAY()),"SD"))))))))</f>
        <v>#REF!</v>
      </c>
      <c r="NJ144" s="43">
        <f>MONTH(Tabla1[[#This Row],[FECHA DE SALIDA  DEL PROGRAMA]])</f>
        <v>1</v>
      </c>
      <c r="NK144" s="43">
        <f>YEAR(Tabla1[[#This Row],[FECHA DE SALIDA  DEL PROGRAMA]])</f>
        <v>1900</v>
      </c>
      <c r="NL144" s="43">
        <f t="shared" si="665"/>
        <v>73</v>
      </c>
      <c r="NM144" s="43" t="str">
        <f t="shared" si="501"/>
        <v>NO</v>
      </c>
      <c r="NN144" s="43" t="str">
        <f ca="1">IF(AND(O144&gt;0,R144=""),"NO CPN",IF(AND(O144="",R144=""),"",IF(AND(R144&gt;0,Tabla1[[#This Row],[SEMANAS DE GESTACION ACTUALIZADAS]]&lt;=12),"NO APLICA",IF(AND(FH144&lt;&gt;"",FN144&lt;&gt;""),"SI","NO"))))</f>
        <v>NO</v>
      </c>
      <c r="NO144" s="43" t="str">
        <f ca="1">IF(AND(O144&gt;0,R144=""),"NO CPN",IF(AND(O144="",R144=""),"",IF(AND(R144&gt;0,Tabla1[[#This Row],[SEMANAS DE GESTACION ACTUALIZADAS]]&lt;=27),"NO APLICA",IF(AND(ES144&lt;&gt;"",FQ144&lt;&gt;"",GF144&lt;&gt;""),"SI","NO"))))</f>
        <v>NO</v>
      </c>
      <c r="NP144" s="204" t="str">
        <f t="shared" si="666"/>
        <v>I TRIM</v>
      </c>
      <c r="NQ144" s="21" t="str">
        <f t="shared" ref="NQ144:NQ169" si="691">IF(AND(IP145&gt;0,IP145&lt;37),10,IF(OR(CD145="Transversa",CD145="Oblicua"),9,IF(CC145="SI",8,IF(AND(AT145=0,AW145=0,CC145="NO",CD145="Cefálica",IP145&gt;=37,IT145="INICIO ESPONTÁNEO"),1,IF(AND(AND(AT145=0,AW145=0,CC145="NO",CD145="Cefálica",IP145&gt;=37),OR(IT145="LE HACEN INDUCCIÓN",IT145="LE HACEN CESÁREA SIN INICIO TRABAJO DE PARTO")),2,IF(AND(AT145&gt;=1,AW145=0,CC145="NO",CD145="Cefálica",IP145&gt;=37,IT145="INICIO ESPONTÁNEO"),3,IF(AND(AND(AT145&gt;=1,AW145=0,CC145="NO",CD145="Cefálica",IP145&gt;=37),OR(IT145="LE HACEN INDUCCIÓN",IT145="LE HACEN CESÁREA SIN INICIO TRABAJO DE PARTO")),4,IF(AND(AND(AT145&gt;=1,AW145&gt;=1,CC145="NO",CD145="Cefálica",IP145&gt;=37),OR(IT145="LE HACEN INDUCCIÓN",IT145="LE HACEN CESÁREA SIN INICIO TRABAJO DE PARTO",IT145="INICIO ESPONTÁNEO")),5,IF(AND(AND(AT145=0,AW145=0,CC145="NO",CD145="Podálica",IP145&gt;=1),OR(IT145="LE HACEN INDUCCIÓN",IT145="LE HACEN CESÁREA SIN INICIO TRABAJO DE PARTO",IT145="INICIO ESPONTÁNEO")),6,IF(AND(AND(AT145&gt;=1,CC145="NO",CD145="Podálica",IP145&gt;=1),OR(IT145="LE HACEN INDUCCIÓN",IT145="LE HACEN CESÁREA SIN INICIO TRABAJO DE PARTO",IT145="INICIO ESPONTÁNEO"),OR(AW145=0,AW145&gt;=1)),7,""))))))))))</f>
        <v/>
      </c>
      <c r="NR144" s="21">
        <f t="shared" ca="1" si="689"/>
        <v>3</v>
      </c>
      <c r="NS144" s="205">
        <f t="shared" ca="1" si="667"/>
        <v>1</v>
      </c>
      <c r="NT144" s="21">
        <f t="shared" ca="1" si="668"/>
        <v>1</v>
      </c>
      <c r="NU144" s="21" t="str">
        <f t="shared" ca="1" si="669"/>
        <v>INCOMPLETO</v>
      </c>
      <c r="NV144" s="21" t="str">
        <f t="shared" ca="1" si="670"/>
        <v>INCOMPLETO</v>
      </c>
      <c r="NW144" s="206" t="str">
        <f>IF(AND(O144="",R144=""),"",IF(OR(AND(Tabla1[[#This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44" s="207" t="str">
        <f t="shared" ca="1" si="671"/>
        <v>SIN VACUNAR</v>
      </c>
      <c r="NY144" s="43">
        <f>ROW(Tabla1[[#This Row],['# DE TAMIZAJES SIFILIS TOMADOS ]])</f>
        <v>144</v>
      </c>
      <c r="NZ144" s="43" t="str">
        <f t="shared" si="502"/>
        <v>Menor</v>
      </c>
      <c r="OA144" s="43" t="str">
        <f t="shared" si="503"/>
        <v>NORMAL</v>
      </c>
      <c r="OB144" s="43" t="str">
        <f t="shared" si="504"/>
        <v/>
      </c>
      <c r="OC144" s="43" t="str">
        <f t="shared" si="505"/>
        <v/>
      </c>
      <c r="OD144" s="43" t="str">
        <f t="shared" si="506"/>
        <v/>
      </c>
      <c r="OE144" s="43" t="str">
        <f t="shared" si="507"/>
        <v/>
      </c>
      <c r="OF144" s="43" t="str">
        <f t="shared" si="508"/>
        <v/>
      </c>
      <c r="OG144" s="43" t="str">
        <f t="shared" si="509"/>
        <v/>
      </c>
      <c r="OH144" s="43" t="str">
        <f t="shared" si="510"/>
        <v/>
      </c>
      <c r="OI144" s="43" t="str">
        <f t="shared" si="511"/>
        <v/>
      </c>
      <c r="OJ144" s="43" t="str">
        <f t="shared" si="512"/>
        <v/>
      </c>
      <c r="OK144" s="43" t="str">
        <f t="shared" si="513"/>
        <v/>
      </c>
      <c r="OL144" s="43" t="str">
        <f t="shared" si="514"/>
        <v/>
      </c>
      <c r="OM144" s="43" t="str">
        <f t="shared" si="515"/>
        <v/>
      </c>
      <c r="ON144" s="43" t="str">
        <f t="shared" si="516"/>
        <v/>
      </c>
      <c r="OO144" s="43" t="str">
        <f t="shared" si="517"/>
        <v/>
      </c>
      <c r="OP144" s="43" t="str">
        <f t="shared" si="518"/>
        <v/>
      </c>
      <c r="OQ144" s="43" t="str">
        <f t="shared" si="519"/>
        <v/>
      </c>
      <c r="OR144" s="43" t="str">
        <f t="shared" si="520"/>
        <v/>
      </c>
      <c r="OS144" s="43" t="str">
        <f t="shared" si="521"/>
        <v/>
      </c>
      <c r="OT144" s="43" t="str">
        <f t="shared" si="522"/>
        <v/>
      </c>
      <c r="OU144" s="43" t="str">
        <f t="shared" si="523"/>
        <v/>
      </c>
      <c r="OV144" s="110" t="str">
        <f t="shared" si="524"/>
        <v/>
      </c>
      <c r="OW144" s="43" t="str">
        <f t="shared" si="525"/>
        <v/>
      </c>
      <c r="OX144" s="43" t="str">
        <f t="shared" si="526"/>
        <v/>
      </c>
      <c r="OY144" s="43" t="str">
        <f t="shared" si="527"/>
        <v/>
      </c>
      <c r="OZ144" s="43" t="str">
        <f t="shared" si="528"/>
        <v/>
      </c>
      <c r="PA144" s="43" t="str">
        <f t="shared" si="529"/>
        <v/>
      </c>
      <c r="PB144" s="43" t="str">
        <f t="shared" si="530"/>
        <v/>
      </c>
      <c r="PC144" s="43" t="str">
        <f t="shared" si="531"/>
        <v/>
      </c>
      <c r="PD144" s="43" t="str">
        <f t="shared" si="532"/>
        <v/>
      </c>
      <c r="PE144" s="43" t="str">
        <f t="shared" si="533"/>
        <v/>
      </c>
      <c r="PF144" s="43" t="str">
        <f t="shared" si="534"/>
        <v/>
      </c>
      <c r="PG144" s="43" t="str">
        <f t="shared" si="535"/>
        <v/>
      </c>
      <c r="PH144" s="43" t="str">
        <f t="shared" si="536"/>
        <v/>
      </c>
      <c r="PI144" s="43">
        <f t="shared" si="537"/>
        <v>27</v>
      </c>
      <c r="PJ144" s="43" t="str">
        <f t="shared" si="538"/>
        <v/>
      </c>
      <c r="PK144" s="43" t="str">
        <f t="shared" si="539"/>
        <v/>
      </c>
      <c r="PL144" s="43" t="str">
        <f t="shared" si="540"/>
        <v/>
      </c>
      <c r="PM144" s="43" t="str">
        <f t="shared" si="541"/>
        <v/>
      </c>
      <c r="PN144" s="43" t="str">
        <f t="shared" si="542"/>
        <v/>
      </c>
      <c r="PO144" s="43" t="str">
        <f t="shared" si="543"/>
        <v/>
      </c>
      <c r="PP144" s="43" t="str">
        <f t="shared" si="544"/>
        <v/>
      </c>
      <c r="PQ144" s="43" t="str">
        <f t="shared" si="545"/>
        <v/>
      </c>
      <c r="PR144" s="43" t="str">
        <f t="shared" si="546"/>
        <v/>
      </c>
      <c r="PS144" s="43" t="str">
        <f t="shared" si="547"/>
        <v/>
      </c>
      <c r="PT144" s="43" t="str">
        <f t="shared" si="548"/>
        <v/>
      </c>
      <c r="PU144" s="43" t="str">
        <f t="shared" si="549"/>
        <v/>
      </c>
      <c r="PV144" s="43" t="str">
        <f t="shared" si="550"/>
        <v/>
      </c>
      <c r="PW144" s="43" t="str">
        <f t="shared" si="551"/>
        <v/>
      </c>
      <c r="PX144" s="43" t="str">
        <f t="shared" si="552"/>
        <v/>
      </c>
      <c r="PY144" s="43" t="str">
        <f t="shared" si="553"/>
        <v/>
      </c>
      <c r="PZ144" s="43" t="str">
        <f t="shared" si="554"/>
        <v/>
      </c>
      <c r="QA144" s="43" t="str">
        <f t="shared" si="555"/>
        <v/>
      </c>
      <c r="QB144" s="43" t="str">
        <f t="shared" si="556"/>
        <v>BAJO PESO</v>
      </c>
      <c r="QC144" s="43" t="str">
        <f t="shared" si="557"/>
        <v/>
      </c>
      <c r="QD144" s="43" t="str">
        <f t="shared" si="558"/>
        <v/>
      </c>
      <c r="QE144" s="43" t="str">
        <f t="shared" si="559"/>
        <v/>
      </c>
      <c r="QF144" s="43" t="str">
        <f t="shared" si="560"/>
        <v/>
      </c>
      <c r="QG144" s="43" t="str">
        <f t="shared" si="561"/>
        <v/>
      </c>
      <c r="QH144" s="43" t="str">
        <f t="shared" si="562"/>
        <v/>
      </c>
      <c r="QI144" s="43" t="str">
        <f t="shared" si="563"/>
        <v/>
      </c>
      <c r="QJ144" s="43" t="str">
        <f t="shared" si="564"/>
        <v/>
      </c>
      <c r="QK144" s="43" t="str">
        <f t="shared" si="565"/>
        <v/>
      </c>
      <c r="QL144" s="43" t="str">
        <f t="shared" si="566"/>
        <v/>
      </c>
      <c r="QM144" s="43" t="str">
        <f t="shared" si="567"/>
        <v/>
      </c>
      <c r="QN144" s="43" t="str">
        <f t="shared" si="568"/>
        <v/>
      </c>
      <c r="QO144" s="43" t="str">
        <f t="shared" si="569"/>
        <v/>
      </c>
      <c r="QP144" s="43" t="str">
        <f t="shared" si="570"/>
        <v/>
      </c>
      <c r="QQ144" s="43" t="str">
        <f t="shared" si="571"/>
        <v/>
      </c>
      <c r="QR144" s="43">
        <f t="shared" si="672"/>
        <v>27</v>
      </c>
      <c r="QS144" s="43"/>
      <c r="QT144" s="21" t="str">
        <f t="shared" si="572"/>
        <v/>
      </c>
      <c r="QU144" s="21" t="str">
        <f t="shared" si="573"/>
        <v/>
      </c>
      <c r="QV144" s="21" t="str">
        <f t="shared" si="574"/>
        <v/>
      </c>
      <c r="QW144" s="21" t="str">
        <f t="shared" si="575"/>
        <v/>
      </c>
      <c r="QX144" s="21" t="str">
        <f t="shared" si="576"/>
        <v/>
      </c>
      <c r="QY144" s="21" t="str">
        <f t="shared" si="577"/>
        <v/>
      </c>
      <c r="QZ144" s="21" t="str">
        <f t="shared" si="578"/>
        <v/>
      </c>
      <c r="RA144" s="21" t="str">
        <f t="shared" si="579"/>
        <v/>
      </c>
      <c r="RB144" s="21" t="str">
        <f t="shared" si="580"/>
        <v/>
      </c>
      <c r="RC144" s="21" t="str">
        <f t="shared" si="581"/>
        <v/>
      </c>
      <c r="RD144" s="21" t="str">
        <f t="shared" si="582"/>
        <v/>
      </c>
      <c r="RE144" s="21" t="str">
        <f t="shared" si="583"/>
        <v/>
      </c>
      <c r="RF144" s="21" t="str">
        <f t="shared" si="584"/>
        <v/>
      </c>
      <c r="RG144" s="21" t="str">
        <f t="shared" si="585"/>
        <v/>
      </c>
      <c r="RH144" s="21" t="str">
        <f t="shared" si="586"/>
        <v>ADECUADO PARA EDAD GESTACIONAL</v>
      </c>
      <c r="RI144" s="21" t="str">
        <f t="shared" si="587"/>
        <v/>
      </c>
      <c r="RJ144" s="21" t="str">
        <f t="shared" si="588"/>
        <v/>
      </c>
      <c r="RK144" s="21" t="str">
        <f t="shared" si="589"/>
        <v/>
      </c>
      <c r="RL144" s="21" t="str">
        <f t="shared" si="590"/>
        <v/>
      </c>
      <c r="RM144" s="21" t="str">
        <f t="shared" si="591"/>
        <v/>
      </c>
      <c r="RN144" s="21" t="str">
        <f t="shared" si="592"/>
        <v/>
      </c>
      <c r="RO144" s="21" t="str">
        <f t="shared" si="593"/>
        <v/>
      </c>
      <c r="RP144" s="21" t="str">
        <f t="shared" si="594"/>
        <v/>
      </c>
      <c r="RQ144" s="21" t="str">
        <f t="shared" si="595"/>
        <v/>
      </c>
      <c r="RR144" s="21" t="str">
        <f t="shared" si="596"/>
        <v/>
      </c>
      <c r="RS144" s="21" t="str">
        <f t="shared" si="597"/>
        <v/>
      </c>
      <c r="RT144" s="21" t="str">
        <f t="shared" si="598"/>
        <v/>
      </c>
      <c r="RU144" s="21" t="str">
        <f t="shared" si="599"/>
        <v/>
      </c>
      <c r="RV144" s="21">
        <f t="shared" si="600"/>
        <v>11.400000000000416</v>
      </c>
      <c r="RW144" s="284">
        <f>IF(OR(Tabla1[[#This Row],[FUM FORMULA CONFIABLE]]="",Tabla1[[#This Row],[FUM FORMULA CONFIABLE]]="SD"),"",IF(Tabla1[[#This Row],[FUM FORMULA CONFIABLE]]="CORREGIDA",Tabla1[[#This Row],[FUM X ECO 1]],Tabla1[[#This Row],[FUM x AMENORREA]]))</f>
        <v>44971.199999999997</v>
      </c>
      <c r="RX144" s="21">
        <f>IF(AND(Tabla1[[#This Row],[FUM X ECO 1]]="",Tabla1[[#This Row],[FUM x AMENORREA]]=""),"",IF(AND(Tabla1[[#This Row],[FUM X ECO 1]]="",Tabla1[[#This Row],[FUM x AMENORREA]]&lt;&gt;""),"X",SUM(Tabla1[[#This Row],[FUM X ECO 1]]-Tabla1[[#This Row],[FUM x AMENORREA]])))</f>
        <v>-11.80000000000291</v>
      </c>
      <c r="RY144" s="21">
        <f t="shared" si="673"/>
        <v>1</v>
      </c>
    </row>
    <row r="145" spans="1:493" ht="45" customHeight="1" x14ac:dyDescent="0.25">
      <c r="A145" s="109" t="s">
        <v>1422</v>
      </c>
      <c r="B145" s="43"/>
      <c r="C145" s="43" t="s">
        <v>845</v>
      </c>
      <c r="D145" s="124"/>
      <c r="E145" s="43" t="s">
        <v>848</v>
      </c>
      <c r="F145" s="43" t="s">
        <v>943</v>
      </c>
      <c r="G145" s="43" t="s">
        <v>1423</v>
      </c>
      <c r="H145" s="43"/>
      <c r="I145" s="109" t="s">
        <v>851</v>
      </c>
      <c r="J145" s="110">
        <v>1193097625</v>
      </c>
      <c r="K145" s="43" t="s">
        <v>852</v>
      </c>
      <c r="L145" s="175" t="s">
        <v>1509</v>
      </c>
      <c r="M145" s="22">
        <v>37116</v>
      </c>
      <c r="N145" s="213">
        <f t="shared" ca="1" si="601"/>
        <v>22.235616438356164</v>
      </c>
      <c r="O145" s="22">
        <v>45028</v>
      </c>
      <c r="P145" s="214" t="str">
        <f t="shared" si="675"/>
        <v>SI</v>
      </c>
      <c r="Q145" s="26" t="s">
        <v>855</v>
      </c>
      <c r="R145" s="22">
        <v>45028</v>
      </c>
      <c r="S145" s="21" t="s">
        <v>856</v>
      </c>
      <c r="T145" s="24" t="s">
        <v>690</v>
      </c>
      <c r="U145" s="21" t="s">
        <v>857</v>
      </c>
      <c r="V145" s="21" t="s">
        <v>858</v>
      </c>
      <c r="W145" s="21" t="s">
        <v>1044</v>
      </c>
      <c r="X145" s="21"/>
      <c r="Y145" s="21"/>
      <c r="Z145" s="21">
        <v>3166455769</v>
      </c>
      <c r="AA145" s="21" t="s">
        <v>860</v>
      </c>
      <c r="AB145" s="27" t="s">
        <v>861</v>
      </c>
      <c r="AC145" s="26" t="s">
        <v>862</v>
      </c>
      <c r="AD145" s="38" t="s">
        <v>1546</v>
      </c>
      <c r="AE145" s="26" t="s">
        <v>854</v>
      </c>
      <c r="AF145" s="26" t="s">
        <v>854</v>
      </c>
      <c r="AG145" s="23" t="s">
        <v>864</v>
      </c>
      <c r="AH145" s="23" t="s">
        <v>864</v>
      </c>
      <c r="AI145" s="24" t="s">
        <v>863</v>
      </c>
      <c r="AJ145" s="23" t="s">
        <v>864</v>
      </c>
      <c r="AK145" s="220" t="str">
        <f>IF(AND(AD145="",AE145="",AF145="",AG145="",AH145="",AI145="",AJ145=""),"",IF(OR(Tabla1[[#This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EVALUACIÓN",IF(AND(O145="",R145=""),"",IF(AND(OR(O145&gt;0,R145&gt;0),NG145&gt;=0,NG145&lt;2),"SIN RIESGO",IF(AND(OR(O145&gt;0,R145&gt;0),NG145&gt;=2),"CON RIESGO","ASD")))))</f>
        <v>SIN RIESGO</v>
      </c>
      <c r="AL145" s="23" t="s">
        <v>864</v>
      </c>
      <c r="AM145" s="26" t="s">
        <v>864</v>
      </c>
      <c r="AN145" s="26" t="s">
        <v>864</v>
      </c>
      <c r="AO145" s="26" t="s">
        <v>864</v>
      </c>
      <c r="AP145" s="26" t="s">
        <v>864</v>
      </c>
      <c r="AQ145" s="26" t="s">
        <v>864</v>
      </c>
      <c r="AR145" s="26" t="s">
        <v>864</v>
      </c>
      <c r="AS145" s="21">
        <v>3</v>
      </c>
      <c r="AT145" s="21">
        <v>3</v>
      </c>
      <c r="AU145" s="21">
        <v>0</v>
      </c>
      <c r="AV145" s="26" t="s">
        <v>864</v>
      </c>
      <c r="AW145" s="21">
        <v>0</v>
      </c>
      <c r="AX145" s="26" t="s">
        <v>864</v>
      </c>
      <c r="AY145" s="26" t="s">
        <v>864</v>
      </c>
      <c r="AZ145" s="26" t="s">
        <v>864</v>
      </c>
      <c r="BA145" s="26" t="s">
        <v>864</v>
      </c>
      <c r="BB145" s="26" t="s">
        <v>864</v>
      </c>
      <c r="BC145" s="26" t="s">
        <v>864</v>
      </c>
      <c r="BD145" s="26" t="s">
        <v>864</v>
      </c>
      <c r="BE145" s="26" t="s">
        <v>864</v>
      </c>
      <c r="BF145" s="26" t="s">
        <v>864</v>
      </c>
      <c r="BG145" s="26" t="s">
        <v>864</v>
      </c>
      <c r="BH145" s="26" t="s">
        <v>864</v>
      </c>
      <c r="BI145" s="26" t="s">
        <v>864</v>
      </c>
      <c r="BJ145" s="26" t="s">
        <v>864</v>
      </c>
      <c r="BK145" s="26" t="s">
        <v>864</v>
      </c>
      <c r="BL145" s="26" t="s">
        <v>864</v>
      </c>
      <c r="BM145" s="26" t="s">
        <v>864</v>
      </c>
      <c r="BN145" s="22">
        <v>43926</v>
      </c>
      <c r="BO145" s="22">
        <v>44968</v>
      </c>
      <c r="BP145" s="21" t="s">
        <v>864</v>
      </c>
      <c r="BQ145" s="222">
        <f t="shared" si="602"/>
        <v>34.733333333333334</v>
      </c>
      <c r="BR145" s="223">
        <f t="shared" si="603"/>
        <v>44964.2</v>
      </c>
      <c r="BS145" s="224">
        <f t="shared" si="604"/>
        <v>8.5714285714285712</v>
      </c>
      <c r="BT145" s="216" t="str">
        <f t="shared" si="605"/>
        <v>DEFINIR CON ECO</v>
      </c>
      <c r="BU145" s="214">
        <f t="shared" ca="1" si="606"/>
        <v>37.714285714285715</v>
      </c>
      <c r="BV145" s="25"/>
      <c r="BW145" s="22">
        <v>45051</v>
      </c>
      <c r="BX145" s="28">
        <v>12.4</v>
      </c>
      <c r="BY145" s="28"/>
      <c r="BZ145" s="22"/>
      <c r="CA145" s="21"/>
      <c r="CB145" s="26"/>
      <c r="CC145" s="26"/>
      <c r="CD145" s="26"/>
      <c r="CE145" s="26"/>
      <c r="CF145" s="22" t="s">
        <v>1517</v>
      </c>
      <c r="CG145" s="21">
        <v>1.43</v>
      </c>
      <c r="CH145" s="21">
        <v>46.5</v>
      </c>
      <c r="CI145" s="214">
        <f t="shared" si="607"/>
        <v>22.739498263973793</v>
      </c>
      <c r="CJ145" s="225" t="str">
        <f>IF(AND(CI145&lt;10,CH145="SD"),"SIN DATO PESO PREGESTACION O I TRIM",IF(AND(OR(R145&gt;0,O145&gt;0),CI145="X"),"INGRESAR DATO DE PESO",IF(CI145="SD","INGRESAR DATO DE TALLA Y PESO",IF(AND(OR(Tabla1[[#This Row],[MOMENTO EN QUE SE REALIZA EL PESO AL INGRESO A CPN]]="PREGESTACIÓN",NZ145="Menor"),CI145&lt;18.5),"BAJO PESO",IF(AND(OR(Tabla1[[#This Row],[MOMENTO EN QUE SE REALIZA EL PESO AL INGRESO A CPN]]="PREGESTACIÓN",NZ145="Menor"),CI145&lt;25),"NORMAL",IF(AND(OR(Tabla1[[#This Row],[MOMENTO EN QUE SE REALIZA EL PESO AL INGRESO A CPN]]="PREGESTACIÓN",NZ145="Menor"),CI145&lt;30),"SOBREPESO",IF(AND(OR(Tabla1[[#This Row],[MOMENTO EN QUE SE REALIZA EL PESO AL INGRESO A CPN]]="PREGESTACIÓN",NZ145="Menor"),CI145&gt;=30,CI145&lt;50),"OBESIDAD",IF(AND(BS145&gt;0,Tabla1[[#This Row],[MOMENTO EN QUE SE REALIZA EL PESO AL INGRESO A CPN]]="GESTACIÓN"),HLOOKUP(NZ145,$OA$2:PH145,NY145),""))))))))</f>
        <v>NORMAL</v>
      </c>
      <c r="CK145" s="212">
        <f t="shared" si="608"/>
        <v>45150</v>
      </c>
      <c r="CL145" s="21">
        <v>52.8</v>
      </c>
      <c r="CM145" s="214">
        <f t="shared" si="609"/>
        <v>25.820333512641206</v>
      </c>
      <c r="CN145" s="216">
        <f t="shared" si="610"/>
        <v>26</v>
      </c>
      <c r="CO145" s="216" t="e">
        <f>IF(PI145="","",IF(PI145&gt;0,HLOOKUP(PI145,$PJ$2:QQ145,NY145),""))</f>
        <v>#REF!</v>
      </c>
      <c r="CP145" s="21">
        <v>24</v>
      </c>
      <c r="CQ145" s="216" t="e">
        <f>IF(QR145="Menor","NO APLICA-MENOR 13 SEM",IF(AND(CC145="SI",CN145&gt;23),"NO APLICA- GEMELAR",IF(QR145="","",IF(QR145&gt;0,HLOOKUP(QR145,$QS$2:RU145,NY145),""))))</f>
        <v>#REF!</v>
      </c>
      <c r="CR145" s="21">
        <v>110</v>
      </c>
      <c r="CS145" s="21">
        <v>60</v>
      </c>
      <c r="CT145" s="217" t="str">
        <f>IF(R145="","",IF(AND(BS145&gt;1,BS145&lt;12,Tabla1[[#This Row],[T.A. SISTOLICA - ANTES DE SEMANA 12]]="",Tabla1[[#This Row],[T.A. DIASTOLICA - ANTES DE SEMANA 12]]=""),"REGISTRE DATO TA ANTES SEMANA 12",IF(AND(BS145&gt;11,BS145&lt;43,Tabla1[[#This Row],[T.A. SISTOLICA - ANTES DE SEMANA 12]]="",Tabla1[[#This Row],[T.A. DIASTOLICA - ANTES DE SEMANA 12]]=""),"NO APLICA REGISTRO TA-INGRESO TARDIO",IF(AND(OR(O145&gt;0,R145&gt;0),OR(CR145&gt;=140,CS145&gt;=90)),"DEFINIR ESTADIO HTA",IF(AND(OR(O145&gt;0,R145&gt;0),AND(CR145&gt;120,CR145&lt;=139)),"PRE HTA SEGUIMIENTO",IF(AND(OR(O145&gt;0,R145&gt;0),AND(CS145&gt;80,CS145&lt;=89)),"PRE HTA SEGUIMIENTO",IF(AND(OR(O145&gt;0,R145&gt;0),AND(CR145&gt;=80,CR145&lt;=120)),"APARENTEMENTE NORMAL",IF(AND(OR(O145&gt;0,R145&gt;0),AND(CS145&gt;=50,CS145&lt;=80)),"APARENTEMENTE NORMAL",IF(AND(OR(O145&gt;0,R145&gt;0),AND(CR145&gt;1,CR145&lt;=70),AND(CS145&gt;1,CS145&lt;=40)),"HIPOTENSIÓN","")))))))))</f>
        <v>APARENTEMENTE NORMAL</v>
      </c>
      <c r="CU145" s="21">
        <v>90</v>
      </c>
      <c r="CV145" s="21">
        <v>60</v>
      </c>
      <c r="CW145" s="217" t="str">
        <f ca="1">IF(R145="","",IF(AND(CN145&gt;19,CN145&lt;27,Tabla1[[#This Row],[T.A. SISTOLICA (Entre semana 20 y 26)]]="",Tabla1[[#This Row],[T.A. DIATOLICA (Entre semana 20 y 26)]]=""),"ACUDE A CONTROL SEM 20 A 26 REGISTRE TA AHORA",IF(AND(BS145&gt;1,BS145&lt;27,BU145&gt;19,Tabla1[[#This Row],[T.A. SISTOLICA (Entre semana 20 y 26)]]="",Tabla1[[#This Row],[T.A. DIATOLICA (Entre semana 20 y 26)]]=""),"COMPLETE REGISTRO TA CONTROL SEM 20 A26 ",IF(AND(BS145&gt;26,BS145&lt;43,Tabla1[[#This Row],[T.A. SISTOLICA (Entre semana 20 y 26)]]="",Tabla1[[#This Row],[T.A. DIATOLICA (Entre semana 20 y 26)]]=""),"NO APLICA REGISTRO TA-INGRESO TARDIO",IF(AND(OR(O145&gt;0,R145&gt;0),OR(CU145&gt;=140,CV145&gt;=90)),"ALTO RIESGO PREECLAMPSIA,DEFINIR ESTADIO HTA",IF(AND(OR(O145&gt;0,R145&gt;0),AND(CU145&gt;120,CU145&lt;=139)),"PRE HTA SEGUIMIENTO,RIESGO HIPERTENSION INDUCIDA POR EL EMBARAZO",IF(AND(OR(O145&gt;0,R145&gt;0),AND(CV145&gt;80,CV145&lt;=89)),"PRE HTA SEGUIMIENTO, RIESGO HIPERTENSION INDUCIDA POR EL EMBARAZO",IF(AND(OR(O145&lt;&gt;"",R145&lt;&gt;""),CS145&lt;&gt;"",CV145&lt;&gt;"",CS145&lt;=CV145),"VIGILAR CIFRAS PRESION ARTERIAL",IF(AND(OR(O145&gt;0,R145&gt;0),AND(CU145&gt;120,CU145&lt;=139)),"PRE HTA SEGUIMIENTO",IF(AND(OR(O145&gt;0,R145&gt;0),AND(CU145&gt;1,CU145&lt;=70),AND(CV145&gt;1,CV145&lt;=40)),"HIPOTENSIÓN",IF(AND(OR(O145&lt;&gt;"",R145&lt;&gt;""),CS145&lt;&gt;"",CV145&lt;&gt;"",CS145&gt;CV145),"APARENTEMENTE NORMAL",IF(AND(OR(O145&gt;0,R145&gt;0),AND(CU145&gt;=80,CU145&lt;=120)),"APARENTEMENTE NORMAL",IF(AND(OR(O145&gt;0,R145&gt;0),AND(CV145&gt;=50,CV145&lt;=80)),"APARENTEMENTE NORMAL","")))))))))))))</f>
        <v>VIGILAR CIFRAS PRESION ARTERIAL</v>
      </c>
      <c r="CX145" s="21"/>
      <c r="CY145" s="21"/>
      <c r="CZ145" s="216" t="str">
        <f t="shared" si="690"/>
        <v/>
      </c>
      <c r="DA145" s="21">
        <v>90</v>
      </c>
      <c r="DB145" s="21">
        <v>60</v>
      </c>
      <c r="DC145" s="217" t="str">
        <f t="shared" si="611"/>
        <v>APARENTEMENTE NORMAL</v>
      </c>
      <c r="DD145" s="22">
        <v>45028</v>
      </c>
      <c r="DE145" s="22">
        <v>45028</v>
      </c>
      <c r="DF145" s="22">
        <v>45058</v>
      </c>
      <c r="DG145" s="22">
        <v>45091</v>
      </c>
      <c r="DH145" s="22">
        <v>45120</v>
      </c>
      <c r="DI145" s="22">
        <v>45150</v>
      </c>
      <c r="DJ145" s="22"/>
      <c r="DK145" s="22"/>
      <c r="DL145" s="22"/>
      <c r="DM145" s="22"/>
      <c r="DN145" s="22"/>
      <c r="DO145" s="22"/>
      <c r="DP145" s="22"/>
      <c r="DQ145" s="22"/>
      <c r="DR145" s="28">
        <v>0</v>
      </c>
      <c r="DS145" s="22"/>
      <c r="DT145" s="22"/>
      <c r="DU145" s="216" t="str">
        <f t="shared" ca="1" si="676"/>
        <v>CONCERTAR PLAN DE PARTO INMEDIATO</v>
      </c>
      <c r="DV145" s="226" t="str">
        <f t="shared" si="677"/>
        <v>ACTIVA INGRESO A CPN</v>
      </c>
      <c r="DW14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45" s="216" t="e">
        <f t="shared" ca="1" si="612"/>
        <v>#REF!</v>
      </c>
      <c r="DY145" s="212">
        <f>IF(R145="","",IF(R145&gt;0,MAX(Tabla1[[#This Row],[FECHA C2]:[FECHA C13]],Tabla1[[#This Row],[FECHA CONSULTA PRIMERA VEZ PROGRAMA CPN ]])))</f>
        <v>45150</v>
      </c>
      <c r="DZ145" s="216">
        <f t="shared" si="613"/>
        <v>26</v>
      </c>
      <c r="EA145" s="222">
        <f>IF(R145&gt;0,SUM(COUNTA(DF145:DQ145)+COUNTA(Tabla1[[#This Row],[FECHA CONSULTA PRIMERA VEZ PROGRAMA CPN ]])),"")</f>
        <v>5</v>
      </c>
      <c r="EB145" s="222" t="str">
        <f t="shared" si="614"/>
        <v>SI</v>
      </c>
      <c r="EC145" s="214">
        <f t="shared" si="615"/>
        <v>9</v>
      </c>
      <c r="ED145" s="227">
        <f t="shared" si="616"/>
        <v>0.55555555555555558</v>
      </c>
      <c r="EE145" s="22">
        <v>45028</v>
      </c>
      <c r="EF145" s="22">
        <v>45028</v>
      </c>
      <c r="EG145" s="22">
        <v>45028</v>
      </c>
      <c r="EH145" s="22"/>
      <c r="EI145" s="22">
        <v>45028</v>
      </c>
      <c r="EJ145" s="22"/>
      <c r="EK145" s="22"/>
      <c r="EL145" s="21"/>
      <c r="EM145" s="21">
        <v>11.4</v>
      </c>
      <c r="EN145" s="22">
        <v>45028</v>
      </c>
      <c r="EO145" s="222">
        <f t="shared" si="617"/>
        <v>8.5714285714285712</v>
      </c>
      <c r="EP145" s="214" t="str">
        <f t="shared" si="618"/>
        <v>NORMAL- SUMINISTRAR SULFATO FERROSO</v>
      </c>
      <c r="EQ145" s="216" t="str">
        <f t="shared" si="619"/>
        <v>I TRIM</v>
      </c>
      <c r="ER145" s="24">
        <v>10.7</v>
      </c>
      <c r="ES145" s="22">
        <v>45132</v>
      </c>
      <c r="ET145" s="29">
        <f t="shared" ca="1" si="678"/>
        <v>23.428571428571427</v>
      </c>
      <c r="EU145" s="25" t="str">
        <f t="shared" si="620"/>
        <v>NORMAL- SUMINISTRAR SULFATO FERROSO</v>
      </c>
      <c r="EV145" s="24"/>
      <c r="EW145" s="24"/>
      <c r="EX145" s="22"/>
      <c r="EY145" s="29" t="str">
        <f t="shared" si="454"/>
        <v>TOMAR EXAMEN</v>
      </c>
      <c r="EZ145" s="25" t="str">
        <f t="shared" ca="1" si="455"/>
        <v/>
      </c>
      <c r="FA145" s="21">
        <v>77</v>
      </c>
      <c r="FB145" s="22">
        <v>45028</v>
      </c>
      <c r="FC145" s="29">
        <f t="shared" si="621"/>
        <v>8.5714285714285712</v>
      </c>
      <c r="FD145" s="29">
        <v>82</v>
      </c>
      <c r="FE145" s="29">
        <v>95</v>
      </c>
      <c r="FF145" s="29">
        <v>85</v>
      </c>
      <c r="FG145" s="21" t="str">
        <f t="shared" ca="1" si="622"/>
        <v>NORMAL</v>
      </c>
      <c r="FH145" s="31">
        <v>45153</v>
      </c>
      <c r="FI145" s="29">
        <f t="shared" si="623"/>
        <v>26.428571428571427</v>
      </c>
      <c r="FJ145" s="22" t="s">
        <v>867</v>
      </c>
      <c r="FK145" s="22">
        <v>45028</v>
      </c>
      <c r="FL145" s="29">
        <f t="shared" ca="1" si="624"/>
        <v>8.5714285714285712</v>
      </c>
      <c r="FM145" s="22" t="s">
        <v>867</v>
      </c>
      <c r="FN145" s="32">
        <v>45132</v>
      </c>
      <c r="FO145" s="29">
        <f t="shared" ca="1" si="679"/>
        <v>23.428571428571427</v>
      </c>
      <c r="FP145" s="22"/>
      <c r="FQ145" s="32"/>
      <c r="FR145" s="29" t="str">
        <f t="shared" ca="1" si="680"/>
        <v>TOMA INMEDIATA DE TAMIZAJE</v>
      </c>
      <c r="FS145" s="22"/>
      <c r="FT145" s="32"/>
      <c r="FU145" s="29" t="str">
        <f>IF(AND(FJ145="",FM145="",FP145="",FS145=""),"",IF(OR(OR(Tabla1[[#This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45" s="28"/>
      <c r="FW145" s="22"/>
      <c r="FX145" s="29" t="str">
        <f t="shared" si="625"/>
        <v>TOMAR EXAMEN</v>
      </c>
      <c r="FY145" s="22">
        <v>45028</v>
      </c>
      <c r="FZ145" s="22">
        <v>45028</v>
      </c>
      <c r="GA145" s="29">
        <f t="shared" ca="1" si="498"/>
        <v>8.5714285714285712</v>
      </c>
      <c r="GB145" s="22" t="s">
        <v>868</v>
      </c>
      <c r="GC145" s="22">
        <v>45132</v>
      </c>
      <c r="GD145" s="29">
        <f t="shared" ca="1" si="681"/>
        <v>23.428571428571427</v>
      </c>
      <c r="GE145" s="22"/>
      <c r="GF145" s="22"/>
      <c r="GG145" s="29" t="str">
        <f t="shared" ca="1" si="682"/>
        <v>TOMA INMEDIATA DE TAMIZAJE</v>
      </c>
      <c r="GH145" s="22"/>
      <c r="GI145" s="29"/>
      <c r="GJ145" s="22"/>
      <c r="GK145" s="22"/>
      <c r="GL145" s="22"/>
      <c r="GM145" s="22"/>
      <c r="GN145" s="28" t="s">
        <v>869</v>
      </c>
      <c r="GO145" s="22">
        <v>45028</v>
      </c>
      <c r="GP145" s="29">
        <f t="shared" si="626"/>
        <v>8.5714285714285712</v>
      </c>
      <c r="GQ145" s="28" t="s">
        <v>880</v>
      </c>
      <c r="GR145" s="28" t="s">
        <v>869</v>
      </c>
      <c r="GS145" s="22" t="str">
        <f t="shared" si="627"/>
        <v>SE EXCLUYE INFECCION</v>
      </c>
      <c r="GT145" s="22">
        <v>45028</v>
      </c>
      <c r="GU145" s="29">
        <f t="shared" si="628"/>
        <v>8.5714285714285712</v>
      </c>
      <c r="GV145" s="21" t="str">
        <f t="shared" si="629"/>
        <v>I TRIM</v>
      </c>
      <c r="GW145" s="28" t="s">
        <v>869</v>
      </c>
      <c r="GX145" s="30"/>
      <c r="GY145" s="21"/>
      <c r="GZ145" s="21"/>
      <c r="HA145" s="21"/>
      <c r="HB145" s="21"/>
      <c r="HC145" s="21"/>
      <c r="HD145" s="21"/>
      <c r="HE145" s="21"/>
      <c r="HF145" s="22"/>
      <c r="HG145" s="22" t="str">
        <f>IF(OR(O145&gt;0,R145&gt;0),CONCATENATE(IF(Tabla1[[#This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45" s="22" t="e">
        <f t="shared" si="630"/>
        <v>#REF!</v>
      </c>
      <c r="HI145" s="22" t="e">
        <f t="shared" ca="1" si="631"/>
        <v>#REF!</v>
      </c>
      <c r="HJ145" s="21" t="str">
        <f t="shared" ca="1" si="632"/>
        <v>***************************************</v>
      </c>
      <c r="HK145" s="21" t="str">
        <f t="shared" si="633"/>
        <v>SIN ANTECEDENTES DE RIESGO</v>
      </c>
      <c r="HL145" s="24" t="str">
        <f t="shared" si="634"/>
        <v>APARENTEMENTE NORMAL</v>
      </c>
      <c r="HM145" s="21" t="e">
        <f t="shared" ca="1" si="635"/>
        <v>#REF!</v>
      </c>
      <c r="HN145" s="30" t="str">
        <f t="shared" si="683"/>
        <v>ACTIVA INGRESO A CPN</v>
      </c>
      <c r="HO145" s="21"/>
      <c r="HP145" s="21"/>
      <c r="HQ145" s="349">
        <v>45028</v>
      </c>
      <c r="HR145" s="21" t="str">
        <f>IF(R145="","",IF(Tabla1[[#This Row],[ALARMA FACTORES DE RIESGO COMPLICACIONES HIPERTENSIVAS3]]="SIN ANTECEDENTES DE RIESGO","No Aplica para suministro de ASA",IF(AND(Tabla1[[#This Row],[FECHA INICIO DE SUMINISTRO DE ASA]]&gt;0,RV145&lt;12),"Inicia ASA ANTES de Sem 12",IF(AND(RV145&gt;11,RV145&lt;17,OR(HK145="RIESGO ALTO DE COMPLICACIONES HIPERTENSIVAS VER MANEJO GUIA SUMINISTRO ASA Y CALCIO",HK145="RIESGO MODERADO (2 O MAS CRITERIOS) VER MANEJO GUIA SUMINISTRO ASA Y CALCIO")),"Inicio oportuno de ASA",IF(AND(RV145&gt;12,OR(HK145="RIESGO ALTO DE COMPLICACIONES HIPERTENSIVAS VER MANEJO GUIA SUMINISTRO ASA Y CALCIO",HK145="RIESGO MODERADO (2 O MAS CRITERIOS) VER MANEJO GUIA SUMINISTRO ASA Y CALCIO")),"Inicio no oportuno mayor a 16 semanas",IF(AND(BU145&lt;12,OR(HK145="RIESGO ALTO DE COMPLICACIONES HIPERTENSIVAS VER MANEJO GUIA SUMINISTRO ASA Y CALCIO",HK145="RIESGO MODERADO (2 O MAS CRITERIOS) VER MANEJO GUIA SUMINISTRO ASA Y CALCIO")),"Pendiente Inicio de ASA a la semana 12",IF(AND(BU145&gt;11,BU145&lt;17,OR(HK145="RIESGO ALTO DE COMPLICACIONES HIPERTENSIVAS VER MANEJO GUIA SUMINISTRO ASA Y CALCIO",HK145="RIESGO MODERADO (2 O MAS CRITERIOS) VER MANEJO GUIA SUMINISTRO ASA Y CALCIO")),"Iniciar de inmediato ASA",IF(AND(BU145&gt;16,OR(HK145="RIESGO ALTO DE COMPLICACIONES HIPERTENSIVAS VER MANEJO GUIA SUMINISTRO ASA Y CALCIO",HK145="RIESGO MODERADO (2 O MAS CRITERIOS) VER MANEJO GUIA SUMINISTRO ASA Y CALCIO")),"Pierde Oportunidad, Inicio tardío de ASA","XXXXX"))))))))</f>
        <v>No Aplica para suministro de ASA</v>
      </c>
      <c r="HS145" s="22">
        <v>45028</v>
      </c>
      <c r="HT145" s="22" t="s">
        <v>870</v>
      </c>
      <c r="HU145" s="22"/>
      <c r="HV145" s="22"/>
      <c r="HW145" s="22">
        <v>45028</v>
      </c>
      <c r="HX145" s="22" t="s">
        <v>870</v>
      </c>
      <c r="HY145" s="22">
        <v>45028</v>
      </c>
      <c r="HZ145" s="28">
        <f t="shared" si="636"/>
        <v>8.5714285714285712</v>
      </c>
      <c r="IA145" s="26"/>
      <c r="IB145" s="26"/>
      <c r="IC145" s="111"/>
      <c r="ID145" s="22"/>
      <c r="IE145" s="22" t="str">
        <f t="shared" ca="1" si="637"/>
        <v>INASISTENTE</v>
      </c>
      <c r="IF145" s="22"/>
      <c r="IG145" s="22">
        <f t="shared" si="638"/>
        <v>45248</v>
      </c>
      <c r="IH145" s="29">
        <f t="shared" ca="1" si="639"/>
        <v>16</v>
      </c>
      <c r="II145" s="22" t="str">
        <f t="shared" ca="1" si="640"/>
        <v>MENOS DE 4 SEMANAS</v>
      </c>
      <c r="IJ145" s="22"/>
      <c r="IK145" s="21"/>
      <c r="IL145" s="21"/>
      <c r="IM145" s="34"/>
      <c r="IN145" s="22"/>
      <c r="IO145" s="21"/>
      <c r="IP145" s="29" t="str">
        <f t="shared" si="674"/>
        <v/>
      </c>
      <c r="IQ145" s="35"/>
      <c r="IR145" s="21"/>
      <c r="IS145" s="21"/>
      <c r="IT145" s="21"/>
      <c r="IU145" s="21"/>
      <c r="IV145" s="21"/>
      <c r="IW145" s="21"/>
      <c r="IX145" s="21"/>
      <c r="IY145" s="21"/>
      <c r="IZ145" s="21"/>
      <c r="JA145" s="21"/>
      <c r="JB145" s="30"/>
      <c r="JC145" s="21"/>
      <c r="JD145" s="36"/>
      <c r="JE145" s="21" t="str">
        <f t="shared" si="684"/>
        <v/>
      </c>
      <c r="JF145" s="30"/>
      <c r="JG145" s="21"/>
      <c r="JH145" s="21"/>
      <c r="JI145" s="21"/>
      <c r="JJ145" s="30"/>
      <c r="JK145" s="22"/>
      <c r="JL145" s="22"/>
      <c r="JM145" s="21"/>
      <c r="JN145" s="36"/>
      <c r="JO145" s="21" t="str">
        <f t="shared" si="685"/>
        <v/>
      </c>
      <c r="JP145" s="22"/>
      <c r="JQ145" s="21"/>
      <c r="JR145" s="21"/>
      <c r="JS145" s="21"/>
      <c r="JT145" s="30"/>
      <c r="JU145" s="22"/>
      <c r="JV145" s="22"/>
      <c r="JW145" s="33"/>
      <c r="JX145" s="28" t="str">
        <f t="shared" si="686"/>
        <v/>
      </c>
      <c r="JY145" s="33"/>
      <c r="JZ145" s="28" t="str">
        <f t="shared" si="687"/>
        <v/>
      </c>
      <c r="KA145" s="21"/>
      <c r="KB145" s="21"/>
      <c r="KC145" s="21"/>
      <c r="KD145" s="37"/>
      <c r="KE145" s="28"/>
      <c r="KF145" s="28"/>
      <c r="KG145" s="28"/>
      <c r="KH145" s="39"/>
      <c r="KI145" s="39"/>
      <c r="KJ145" s="66"/>
      <c r="KK145" s="39"/>
      <c r="KL145" s="39"/>
      <c r="KM145" s="66"/>
      <c r="KN145" s="39"/>
      <c r="KO145" s="39"/>
      <c r="KP145" s="39"/>
      <c r="KQ145" s="39"/>
      <c r="KR145" s="39"/>
      <c r="KS145" s="39"/>
      <c r="KT145" s="39"/>
      <c r="KU145" s="38"/>
      <c r="KV145" s="38"/>
      <c r="KW145" s="38"/>
      <c r="KX145" s="38"/>
      <c r="KY145" s="38"/>
      <c r="KZ145" s="38"/>
      <c r="LA145" s="38"/>
      <c r="LB145" s="38"/>
      <c r="LC145" s="38"/>
      <c r="LD145" s="38"/>
      <c r="LE145" s="38"/>
      <c r="LF145" s="38"/>
      <c r="LG145" s="38"/>
      <c r="LH145" s="38"/>
      <c r="LI145" s="38"/>
      <c r="LJ145" s="38"/>
      <c r="LK145" s="38"/>
      <c r="LL145" s="38"/>
      <c r="LM145" s="38"/>
      <c r="LN145" s="38"/>
      <c r="LO145" s="38"/>
      <c r="LP145" s="38"/>
      <c r="LQ145" s="38"/>
      <c r="LR145" s="38"/>
      <c r="LS145" s="38"/>
      <c r="LT145" s="38"/>
      <c r="LU145" s="38"/>
      <c r="LV145" s="38"/>
      <c r="LW145" s="38"/>
      <c r="LX145" s="38"/>
      <c r="LY145" s="38"/>
      <c r="LZ145" s="38"/>
      <c r="MA145" s="38"/>
      <c r="MB145" s="38"/>
      <c r="MC145" s="38"/>
      <c r="MD145" s="38"/>
      <c r="ME145" s="38"/>
      <c r="MF145" s="38"/>
      <c r="MG145" s="38"/>
      <c r="MH145" s="43">
        <f t="shared" si="641"/>
        <v>0</v>
      </c>
      <c r="MI145" s="43" t="str">
        <f t="shared" si="642"/>
        <v/>
      </c>
      <c r="MJ145" s="43" t="str">
        <f t="shared" si="643"/>
        <v/>
      </c>
      <c r="MK145" s="43">
        <f t="shared" si="644"/>
        <v>0</v>
      </c>
      <c r="ML14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45" s="43">
        <f t="shared" si="645"/>
        <v>8.5714285714285712</v>
      </c>
      <c r="MN145" s="43">
        <f t="shared" si="646"/>
        <v>4</v>
      </c>
      <c r="MO145" s="43">
        <f t="shared" si="647"/>
        <v>2023</v>
      </c>
      <c r="MP145" s="43" t="str">
        <f t="shared" si="648"/>
        <v>II TRIMESTRE AÑO</v>
      </c>
      <c r="MQ145" s="43">
        <f t="shared" si="649"/>
        <v>21.350744634253175</v>
      </c>
      <c r="MR145" s="43">
        <f t="shared" si="650"/>
        <v>0</v>
      </c>
      <c r="MS145" s="43" t="str">
        <f t="shared" si="651"/>
        <v xml:space="preserve"> DE 20 A 24 AÑOS</v>
      </c>
      <c r="MT145" s="43">
        <f t="shared" si="652"/>
        <v>0</v>
      </c>
      <c r="MU145" s="43">
        <f t="shared" si="653"/>
        <v>0</v>
      </c>
      <c r="MV145" s="43">
        <f t="shared" si="654"/>
        <v>0</v>
      </c>
      <c r="MW145" s="43">
        <f t="shared" si="655"/>
        <v>0</v>
      </c>
      <c r="MX145" s="43" t="str">
        <f t="shared" si="656"/>
        <v/>
      </c>
      <c r="MY145" s="43" t="str">
        <f t="shared" ca="1" si="688"/>
        <v/>
      </c>
      <c r="MZ145" s="43" t="str">
        <f t="shared" si="657"/>
        <v/>
      </c>
      <c r="NA145" s="43" t="str">
        <f t="shared" si="658"/>
        <v/>
      </c>
      <c r="NB145" s="43" t="str">
        <f t="shared" si="659"/>
        <v/>
      </c>
      <c r="NC145" s="43" t="str">
        <f t="shared" si="660"/>
        <v/>
      </c>
      <c r="ND145" s="43">
        <f t="shared" ca="1" si="661"/>
        <v>0</v>
      </c>
      <c r="NE145" s="43">
        <f>IF(OR(O145&gt;0,R145&gt;0),SUM(COUNTIF(Tabla1[[#This Row],[AÑOS AL INICIO5 CPN]],"&gt;=40"),COUNTIF(AS145,"0"),COUNTIF(AR145,"SI"),COUNTIF(CC145,"SI"),COUNTIF(BQ145,"&gt;119"),COUNTIF(CI145,"&gt;=35")),"")</f>
        <v>0</v>
      </c>
      <c r="NF145" s="43" t="str">
        <f t="shared" si="662"/>
        <v/>
      </c>
      <c r="NG145" s="43">
        <f t="shared" si="663"/>
        <v>0</v>
      </c>
      <c r="NH145" s="43">
        <f t="shared" si="664"/>
        <v>86.8</v>
      </c>
      <c r="NI14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CPN",P145="NO"),"Z",IF(AND(Tabla1[[#This Row],[CITA PROXIMO CONTROL]]="CITA MANUAL",Tabla1[[#This Row],[GESTANTES ACTUALES]]="ACTIVA INGRESO A CPN"),"W",IF(AND(Tabla1[[#This Row],[GESTANTES ACTUALES]]="SALIO PROGRAMA",IN145=""),"S",IF(AND(Tabla1[[#This Row],[CITA PROXIMO CONTROL]]&gt;0,IN145=""),(Tabla1[[#This Row],[CITA PROXIMO CONTROL]]-TODAY()),"SD"))))))))</f>
        <v>#REF!</v>
      </c>
      <c r="NJ145" s="43">
        <f>MONTH(Tabla1[[#This Row],[FECHA DE SALIDA  DEL PROGRAMA]])</f>
        <v>1</v>
      </c>
      <c r="NK145" s="43">
        <f>YEAR(Tabla1[[#This Row],[FECHA DE SALIDA  DEL PROGRAMA]])</f>
        <v>1900</v>
      </c>
      <c r="NL145" s="43" t="str">
        <f t="shared" si="665"/>
        <v>X</v>
      </c>
      <c r="NM145" s="43" t="str">
        <f t="shared" si="501"/>
        <v>NO</v>
      </c>
      <c r="NN145" s="43" t="str">
        <f ca="1">IF(AND(O145&gt;0,R145=""),"NO CPN",IF(AND(O145="",R145=""),"",IF(AND(R145&gt;0,Tabla1[[#This Row],[SEMANAS DE GESTACION ACTUALIZADAS]]&lt;=12),"NO APLICA",IF(AND(FH145&lt;&gt;"",FN145&lt;&gt;""),"SI","NO"))))</f>
        <v>SI</v>
      </c>
      <c r="NO145" s="43" t="str">
        <f ca="1">IF(AND(O145&gt;0,R145=""),"NO CPN",IF(AND(O145="",R145=""),"",IF(AND(R145&gt;0,Tabla1[[#This Row],[SEMANAS DE GESTACION ACTUALIZADAS]]&lt;=27),"NO APLICA",IF(AND(ES145&lt;&gt;"",FQ145&lt;&gt;"",GF145&lt;&gt;""),"SI","NO"))))</f>
        <v>NO</v>
      </c>
      <c r="NP145" s="204" t="str">
        <f t="shared" si="666"/>
        <v>DEFINIR CON ECO</v>
      </c>
      <c r="NQ145" s="21" t="str">
        <f t="shared" si="691"/>
        <v/>
      </c>
      <c r="NR145" s="21">
        <f t="shared" ca="1" si="689"/>
        <v>3</v>
      </c>
      <c r="NS145" s="205">
        <f t="shared" ca="1" si="667"/>
        <v>2</v>
      </c>
      <c r="NT145" s="21">
        <f t="shared" ca="1" si="668"/>
        <v>2</v>
      </c>
      <c r="NU145" s="21" t="str">
        <f t="shared" ca="1" si="669"/>
        <v>INCOMPLETO</v>
      </c>
      <c r="NV145" s="21" t="str">
        <f t="shared" ca="1" si="670"/>
        <v>INCOMPLETO</v>
      </c>
      <c r="NW145" s="206" t="str">
        <f>IF(AND(O145="",R145=""),"",IF(OR(AND(Tabla1[[#This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45" s="207" t="str">
        <f t="shared" ca="1" si="671"/>
        <v>SIN VACUNAR</v>
      </c>
      <c r="NY145" s="43">
        <f>ROW(Tabla1[[#This Row],['# DE TAMIZAJES SIFILIS TOMADOS ]])</f>
        <v>145</v>
      </c>
      <c r="NZ145" s="43" t="str">
        <f t="shared" si="502"/>
        <v>Menor</v>
      </c>
      <c r="OA145" s="43" t="str">
        <f t="shared" si="503"/>
        <v>NORMAL</v>
      </c>
      <c r="OB145" s="43" t="str">
        <f t="shared" si="504"/>
        <v/>
      </c>
      <c r="OC145" s="43" t="str">
        <f t="shared" si="505"/>
        <v/>
      </c>
      <c r="OD145" s="43" t="str">
        <f t="shared" si="506"/>
        <v/>
      </c>
      <c r="OE145" s="43" t="str">
        <f t="shared" si="507"/>
        <v/>
      </c>
      <c r="OF145" s="43" t="str">
        <f t="shared" si="508"/>
        <v/>
      </c>
      <c r="OG145" s="43" t="str">
        <f t="shared" si="509"/>
        <v/>
      </c>
      <c r="OH145" s="43" t="str">
        <f t="shared" si="510"/>
        <v/>
      </c>
      <c r="OI145" s="43" t="str">
        <f t="shared" si="511"/>
        <v/>
      </c>
      <c r="OJ145" s="43" t="str">
        <f t="shared" si="512"/>
        <v/>
      </c>
      <c r="OK145" s="43" t="str">
        <f t="shared" si="513"/>
        <v/>
      </c>
      <c r="OL145" s="43" t="str">
        <f t="shared" si="514"/>
        <v/>
      </c>
      <c r="OM145" s="43" t="str">
        <f t="shared" si="515"/>
        <v/>
      </c>
      <c r="ON145" s="43" t="str">
        <f t="shared" si="516"/>
        <v/>
      </c>
      <c r="OO145" s="43" t="str">
        <f t="shared" si="517"/>
        <v/>
      </c>
      <c r="OP145" s="43" t="str">
        <f t="shared" si="518"/>
        <v/>
      </c>
      <c r="OQ145" s="43" t="str">
        <f t="shared" si="519"/>
        <v/>
      </c>
      <c r="OR145" s="43" t="str">
        <f t="shared" si="520"/>
        <v/>
      </c>
      <c r="OS145" s="43" t="str">
        <f t="shared" si="521"/>
        <v/>
      </c>
      <c r="OT145" s="43" t="str">
        <f t="shared" si="522"/>
        <v/>
      </c>
      <c r="OU145" s="43" t="str">
        <f t="shared" si="523"/>
        <v/>
      </c>
      <c r="OV145" s="110" t="str">
        <f t="shared" si="524"/>
        <v/>
      </c>
      <c r="OW145" s="43" t="str">
        <f t="shared" si="525"/>
        <v/>
      </c>
      <c r="OX145" s="43" t="str">
        <f t="shared" si="526"/>
        <v/>
      </c>
      <c r="OY145" s="43" t="str">
        <f t="shared" si="527"/>
        <v/>
      </c>
      <c r="OZ145" s="43" t="str">
        <f t="shared" si="528"/>
        <v/>
      </c>
      <c r="PA145" s="43" t="str">
        <f t="shared" si="529"/>
        <v/>
      </c>
      <c r="PB145" s="43" t="str">
        <f t="shared" si="530"/>
        <v/>
      </c>
      <c r="PC145" s="43" t="str">
        <f t="shared" si="531"/>
        <v/>
      </c>
      <c r="PD145" s="43" t="str">
        <f t="shared" si="532"/>
        <v/>
      </c>
      <c r="PE145" s="43" t="str">
        <f t="shared" si="533"/>
        <v/>
      </c>
      <c r="PF145" s="43" t="str">
        <f t="shared" si="534"/>
        <v/>
      </c>
      <c r="PG145" s="43" t="str">
        <f t="shared" si="535"/>
        <v/>
      </c>
      <c r="PH145" s="43" t="str">
        <f t="shared" si="536"/>
        <v/>
      </c>
      <c r="PI145" s="43">
        <f t="shared" si="537"/>
        <v>26</v>
      </c>
      <c r="PJ145" s="43" t="str">
        <f t="shared" si="538"/>
        <v/>
      </c>
      <c r="PK145" s="43" t="str">
        <f t="shared" si="539"/>
        <v/>
      </c>
      <c r="PL145" s="43" t="str">
        <f t="shared" si="540"/>
        <v/>
      </c>
      <c r="PM145" s="43" t="str">
        <f t="shared" si="541"/>
        <v/>
      </c>
      <c r="PN145" s="43" t="str">
        <f t="shared" si="542"/>
        <v/>
      </c>
      <c r="PO145" s="43" t="str">
        <f t="shared" si="543"/>
        <v/>
      </c>
      <c r="PP145" s="43" t="str">
        <f t="shared" si="544"/>
        <v/>
      </c>
      <c r="PQ145" s="43" t="str">
        <f t="shared" si="545"/>
        <v/>
      </c>
      <c r="PR145" s="43" t="str">
        <f t="shared" si="546"/>
        <v/>
      </c>
      <c r="PS145" s="43" t="str">
        <f t="shared" si="547"/>
        <v/>
      </c>
      <c r="PT145" s="43" t="str">
        <f t="shared" si="548"/>
        <v/>
      </c>
      <c r="PU145" s="43" t="str">
        <f t="shared" si="549"/>
        <v/>
      </c>
      <c r="PV145" s="43" t="str">
        <f t="shared" si="550"/>
        <v/>
      </c>
      <c r="PW145" s="43" t="str">
        <f t="shared" si="551"/>
        <v/>
      </c>
      <c r="PX145" s="43" t="str">
        <f t="shared" si="552"/>
        <v/>
      </c>
      <c r="PY145" s="43" t="str">
        <f t="shared" si="553"/>
        <v/>
      </c>
      <c r="PZ145" s="43" t="str">
        <f t="shared" si="554"/>
        <v/>
      </c>
      <c r="QA145" s="43" t="str">
        <f t="shared" si="555"/>
        <v>NORMAL</v>
      </c>
      <c r="QB145" s="43" t="str">
        <f t="shared" si="556"/>
        <v/>
      </c>
      <c r="QC145" s="43" t="str">
        <f t="shared" si="557"/>
        <v/>
      </c>
      <c r="QD145" s="43" t="str">
        <f t="shared" si="558"/>
        <v/>
      </c>
      <c r="QE145" s="43" t="str">
        <f t="shared" si="559"/>
        <v/>
      </c>
      <c r="QF145" s="43" t="str">
        <f t="shared" si="560"/>
        <v/>
      </c>
      <c r="QG145" s="43" t="str">
        <f t="shared" si="561"/>
        <v/>
      </c>
      <c r="QH145" s="43" t="str">
        <f t="shared" si="562"/>
        <v/>
      </c>
      <c r="QI145" s="43" t="str">
        <f t="shared" si="563"/>
        <v/>
      </c>
      <c r="QJ145" s="43" t="str">
        <f t="shared" si="564"/>
        <v/>
      </c>
      <c r="QK145" s="43" t="str">
        <f t="shared" si="565"/>
        <v/>
      </c>
      <c r="QL145" s="43" t="str">
        <f t="shared" si="566"/>
        <v/>
      </c>
      <c r="QM145" s="43" t="str">
        <f t="shared" si="567"/>
        <v/>
      </c>
      <c r="QN145" s="43" t="str">
        <f t="shared" si="568"/>
        <v/>
      </c>
      <c r="QO145" s="43" t="str">
        <f t="shared" si="569"/>
        <v/>
      </c>
      <c r="QP145" s="43" t="str">
        <f t="shared" si="570"/>
        <v/>
      </c>
      <c r="QQ145" s="43" t="str">
        <f t="shared" si="571"/>
        <v/>
      </c>
      <c r="QR145" s="43">
        <f t="shared" si="672"/>
        <v>26</v>
      </c>
      <c r="QS145" s="43"/>
      <c r="QT145" s="21" t="str">
        <f t="shared" si="572"/>
        <v/>
      </c>
      <c r="QU145" s="21" t="str">
        <f t="shared" si="573"/>
        <v/>
      </c>
      <c r="QV145" s="21" t="str">
        <f t="shared" si="574"/>
        <v/>
      </c>
      <c r="QW145" s="21" t="str">
        <f t="shared" si="575"/>
        <v/>
      </c>
      <c r="QX145" s="21" t="str">
        <f t="shared" si="576"/>
        <v/>
      </c>
      <c r="QY145" s="21" t="str">
        <f t="shared" si="577"/>
        <v/>
      </c>
      <c r="QZ145" s="21" t="str">
        <f t="shared" si="578"/>
        <v/>
      </c>
      <c r="RA145" s="21" t="str">
        <f t="shared" si="579"/>
        <v/>
      </c>
      <c r="RB145" s="21" t="str">
        <f t="shared" si="580"/>
        <v/>
      </c>
      <c r="RC145" s="21" t="str">
        <f t="shared" si="581"/>
        <v/>
      </c>
      <c r="RD145" s="21" t="str">
        <f t="shared" si="582"/>
        <v/>
      </c>
      <c r="RE145" s="21" t="str">
        <f t="shared" si="583"/>
        <v/>
      </c>
      <c r="RF145" s="21" t="str">
        <f t="shared" si="584"/>
        <v/>
      </c>
      <c r="RG145" s="21" t="str">
        <f t="shared" si="585"/>
        <v>ADECUADO PARA EDAD GESTACIONAL</v>
      </c>
      <c r="RH145" s="21" t="str">
        <f t="shared" si="586"/>
        <v/>
      </c>
      <c r="RI145" s="21" t="str">
        <f t="shared" si="587"/>
        <v/>
      </c>
      <c r="RJ145" s="21" t="str">
        <f t="shared" si="588"/>
        <v/>
      </c>
      <c r="RK145" s="21" t="str">
        <f t="shared" si="589"/>
        <v/>
      </c>
      <c r="RL145" s="21" t="str">
        <f t="shared" si="590"/>
        <v/>
      </c>
      <c r="RM145" s="21" t="str">
        <f t="shared" si="591"/>
        <v/>
      </c>
      <c r="RN145" s="21" t="str">
        <f t="shared" si="592"/>
        <v/>
      </c>
      <c r="RO145" s="21" t="str">
        <f t="shared" si="593"/>
        <v/>
      </c>
      <c r="RP145" s="21" t="str">
        <f t="shared" si="594"/>
        <v/>
      </c>
      <c r="RQ145" s="21" t="str">
        <f t="shared" si="595"/>
        <v/>
      </c>
      <c r="RR145" s="21" t="str">
        <f t="shared" si="596"/>
        <v/>
      </c>
      <c r="RS145" s="21" t="str">
        <f t="shared" si="597"/>
        <v/>
      </c>
      <c r="RT145" s="21" t="str">
        <f t="shared" si="598"/>
        <v/>
      </c>
      <c r="RU145" s="21" t="str">
        <f t="shared" si="599"/>
        <v/>
      </c>
      <c r="RV145" s="21">
        <f t="shared" si="600"/>
        <v>8.5714285714285712</v>
      </c>
      <c r="RW145" s="284">
        <f>IF(OR(Tabla1[[#This Row],[FUM FORMULA CONFIABLE]]="",Tabla1[[#This Row],[FUM FORMULA CONFIABLE]]="SD"),"",IF(Tabla1[[#This Row],[FUM FORMULA CONFIABLE]]="CORREGIDA",Tabla1[[#This Row],[FUM X ECO 1]],Tabla1[[#This Row],[FUM x AMENORREA]]))</f>
        <v>44968</v>
      </c>
      <c r="RX145" s="21">
        <f>IF(AND(Tabla1[[#This Row],[FUM X ECO 1]]="",Tabla1[[#This Row],[FUM x AMENORREA]]=""),"",IF(AND(Tabla1[[#This Row],[FUM X ECO 1]]="",Tabla1[[#This Row],[FUM x AMENORREA]]&lt;&gt;""),"X",SUM(Tabla1[[#This Row],[FUM X ECO 1]]-Tabla1[[#This Row],[FUM x AMENORREA]])))</f>
        <v>-3.8000000000029104</v>
      </c>
      <c r="RY145" s="21">
        <f t="shared" si="673"/>
        <v>0</v>
      </c>
    </row>
    <row r="146" spans="1:493" ht="45" customHeight="1" x14ac:dyDescent="0.25">
      <c r="A146" s="109"/>
      <c r="B146" s="43"/>
      <c r="C146" s="43" t="s">
        <v>845</v>
      </c>
      <c r="D146" s="124"/>
      <c r="E146" s="43" t="s">
        <v>1424</v>
      </c>
      <c r="F146" s="43" t="s">
        <v>1425</v>
      </c>
      <c r="G146" s="43" t="s">
        <v>1192</v>
      </c>
      <c r="H146" s="43" t="s">
        <v>1243</v>
      </c>
      <c r="I146" s="109" t="s">
        <v>851</v>
      </c>
      <c r="J146" s="110">
        <v>1059602162</v>
      </c>
      <c r="K146" s="43" t="s">
        <v>852</v>
      </c>
      <c r="L146" s="175" t="s">
        <v>1509</v>
      </c>
      <c r="M146" s="22">
        <v>33308</v>
      </c>
      <c r="N146" s="213">
        <f t="shared" ca="1" si="601"/>
        <v>32.668493150684931</v>
      </c>
      <c r="O146" s="22">
        <v>45028</v>
      </c>
      <c r="P146" s="214" t="str">
        <f t="shared" si="675"/>
        <v>SI</v>
      </c>
      <c r="Q146" s="26" t="s">
        <v>855</v>
      </c>
      <c r="R146" s="22">
        <v>45028</v>
      </c>
      <c r="S146" s="21" t="s">
        <v>856</v>
      </c>
      <c r="T146" s="24" t="s">
        <v>690</v>
      </c>
      <c r="U146" s="21" t="s">
        <v>857</v>
      </c>
      <c r="V146" s="21" t="s">
        <v>858</v>
      </c>
      <c r="W146" s="21" t="s">
        <v>1062</v>
      </c>
      <c r="X146" s="21" t="s">
        <v>1426</v>
      </c>
      <c r="Y146" s="21"/>
      <c r="Z146" s="21">
        <v>3147896489</v>
      </c>
      <c r="AA146" s="21" t="s">
        <v>860</v>
      </c>
      <c r="AB146" s="27" t="s">
        <v>861</v>
      </c>
      <c r="AC146" s="26" t="s">
        <v>846</v>
      </c>
      <c r="AD146" s="38" t="s">
        <v>846</v>
      </c>
      <c r="AE146" s="26" t="s">
        <v>854</v>
      </c>
      <c r="AF146" s="26" t="s">
        <v>854</v>
      </c>
      <c r="AG146" s="23" t="s">
        <v>864</v>
      </c>
      <c r="AH146" s="23" t="s">
        <v>864</v>
      </c>
      <c r="AI146" s="24" t="s">
        <v>864</v>
      </c>
      <c r="AJ146" s="23" t="s">
        <v>864</v>
      </c>
      <c r="AK146" s="220" t="str">
        <f>IF(AND(AD146="",AE146="",AF146="",AG146="",AH146="",AI146="",AJ146=""),"",IF(OR(Tabla1[[#This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EVALUACIÓN",IF(AND(O146="",R146=""),"",IF(AND(OR(O146&gt;0,R146&gt;0),NG146&gt;=0,NG146&lt;2),"SIN RIESGO",IF(AND(OR(O146&gt;0,R146&gt;0),NG146&gt;=2),"CON RIESGO","ASD")))))</f>
        <v>SIN RIESGO</v>
      </c>
      <c r="AL146" s="23" t="s">
        <v>864</v>
      </c>
      <c r="AM146" s="26" t="s">
        <v>864</v>
      </c>
      <c r="AN146" s="26" t="s">
        <v>864</v>
      </c>
      <c r="AO146" s="26" t="s">
        <v>864</v>
      </c>
      <c r="AP146" s="26" t="s">
        <v>864</v>
      </c>
      <c r="AQ146" s="26" t="s">
        <v>864</v>
      </c>
      <c r="AR146" s="26" t="s">
        <v>864</v>
      </c>
      <c r="AS146" s="21">
        <v>4</v>
      </c>
      <c r="AT146" s="21">
        <v>4</v>
      </c>
      <c r="AU146" s="21">
        <v>0</v>
      </c>
      <c r="AV146" s="26" t="s">
        <v>864</v>
      </c>
      <c r="AW146" s="21">
        <v>0</v>
      </c>
      <c r="AX146" s="26" t="s">
        <v>864</v>
      </c>
      <c r="AY146" s="26" t="s">
        <v>864</v>
      </c>
      <c r="AZ146" s="26" t="s">
        <v>864</v>
      </c>
      <c r="BA146" s="26" t="s">
        <v>864</v>
      </c>
      <c r="BB146" s="26" t="s">
        <v>864</v>
      </c>
      <c r="BC146" s="26" t="s">
        <v>864</v>
      </c>
      <c r="BD146" s="26" t="s">
        <v>864</v>
      </c>
      <c r="BE146" s="26" t="s">
        <v>864</v>
      </c>
      <c r="BF146" s="26" t="s">
        <v>864</v>
      </c>
      <c r="BG146" s="26" t="s">
        <v>864</v>
      </c>
      <c r="BH146" s="26" t="s">
        <v>864</v>
      </c>
      <c r="BI146" s="26" t="s">
        <v>864</v>
      </c>
      <c r="BJ146" s="26" t="s">
        <v>864</v>
      </c>
      <c r="BK146" s="26" t="s">
        <v>864</v>
      </c>
      <c r="BL146" s="26" t="s">
        <v>864</v>
      </c>
      <c r="BM146" s="26" t="s">
        <v>864</v>
      </c>
      <c r="BN146" s="22">
        <v>42354</v>
      </c>
      <c r="BO146" s="22">
        <v>44854</v>
      </c>
      <c r="BP146" s="21" t="s">
        <v>1380</v>
      </c>
      <c r="BQ146" s="222">
        <f t="shared" si="602"/>
        <v>83.063333333333375</v>
      </c>
      <c r="BR146" s="223">
        <f t="shared" si="603"/>
        <v>44845.9</v>
      </c>
      <c r="BS146" s="224">
        <f t="shared" si="604"/>
        <v>26.014285714285506</v>
      </c>
      <c r="BT146" s="216" t="str">
        <f t="shared" si="605"/>
        <v>II TRIM</v>
      </c>
      <c r="BU146" s="214" t="str">
        <f t="shared" ca="1" si="606"/>
        <v/>
      </c>
      <c r="BV146" s="25"/>
      <c r="BW146" s="22">
        <v>45051</v>
      </c>
      <c r="BX146" s="28">
        <v>29.3</v>
      </c>
      <c r="BY146" s="28"/>
      <c r="BZ146" s="22"/>
      <c r="CA146" s="21"/>
      <c r="CB146" s="26"/>
      <c r="CC146" s="26"/>
      <c r="CD146" s="26"/>
      <c r="CE146" s="26" t="s">
        <v>864</v>
      </c>
      <c r="CF146" s="22" t="s">
        <v>1517</v>
      </c>
      <c r="CG146" s="21">
        <v>1.48</v>
      </c>
      <c r="CH146" s="21">
        <v>76.5</v>
      </c>
      <c r="CI146" s="214">
        <f t="shared" si="607"/>
        <v>34.925127830533235</v>
      </c>
      <c r="CJ146" s="225" t="e">
        <f>IF(AND(CI146&lt;10,CH146="SD"),"SIN DATO PESO PREGESTACION O I TRIM",IF(AND(OR(R146&gt;0,O146&gt;0),CI146="X"),"INGRESAR DATO DE PESO",IF(CI146="SD","INGRESAR DATO DE TALLA Y PESO",IF(AND(OR(Tabla1[[#This Row],[MOMENTO EN QUE SE REALIZA EL PESO AL INGRESO A CPN]]="PREGESTACIÓN",NZ146="Menor"),CI146&lt;18.5),"BAJO PESO",IF(AND(OR(Tabla1[[#This Row],[MOMENTO EN QUE SE REALIZA EL PESO AL INGRESO A CPN]]="PREGESTACIÓN",NZ146="Menor"),CI146&lt;25),"NORMAL",IF(AND(OR(Tabla1[[#This Row],[MOMENTO EN QUE SE REALIZA EL PESO AL INGRESO A CPN]]="PREGESTACIÓN",NZ146="Menor"),CI146&lt;30),"SOBREPESO",IF(AND(OR(Tabla1[[#This Row],[MOMENTO EN QUE SE REALIZA EL PESO AL INGRESO A CPN]]="PREGESTACIÓN",NZ146="Menor"),CI146&gt;=30,CI146&lt;50),"OBESIDAD",IF(AND(BS146&gt;0,Tabla1[[#This Row],[MOMENTO EN QUE SE REALIZA EL PESO AL INGRESO A CPN]]="GESTACIÓN"),HLOOKUP(NZ146,$OA$2:PH146,NY146),""))))))))</f>
        <v>#REF!</v>
      </c>
      <c r="CK146" s="212">
        <f t="shared" si="608"/>
        <v>45112</v>
      </c>
      <c r="CL146" s="21">
        <v>81.8</v>
      </c>
      <c r="CM146" s="214">
        <f t="shared" si="609"/>
        <v>37.344777209642075</v>
      </c>
      <c r="CN146" s="216">
        <f t="shared" si="610"/>
        <v>38</v>
      </c>
      <c r="CO146" s="216" t="e">
        <f>IF(PI146="","",IF(PI146&gt;0,HLOOKUP(PI146,$PJ$2:QQ146,NY146),""))</f>
        <v>#REF!</v>
      </c>
      <c r="CP146" s="21">
        <v>35</v>
      </c>
      <c r="CQ146" s="216" t="e">
        <f>IF(QR146="Menor","NO APLICA-MENOR 13 SEM",IF(AND(CC146="SI",CN146&gt;23),"NO APLICA- GEMELAR",IF(QR146="","",IF(QR146&gt;0,HLOOKUP(QR146,$QS$2:RU146,NY146),""))))</f>
        <v>#REF!</v>
      </c>
      <c r="CR146" s="21">
        <v>110</v>
      </c>
      <c r="CS146" s="21">
        <v>60</v>
      </c>
      <c r="CT146" s="217" t="str">
        <f>IF(R146="","",IF(AND(BS146&gt;1,BS146&lt;12,Tabla1[[#This Row],[T.A. SISTOLICA - ANTES DE SEMANA 12]]="",Tabla1[[#This Row],[T.A. DIASTOLICA - ANTES DE SEMANA 12]]=""),"REGISTRE DATO TA ANTES SEMANA 12",IF(AND(BS146&gt;11,BS146&lt;43,Tabla1[[#This Row],[T.A. SISTOLICA - ANTES DE SEMANA 12]]="",Tabla1[[#This Row],[T.A. DIASTOLICA - ANTES DE SEMANA 12]]=""),"NO APLICA REGISTRO TA-INGRESO TARDIO",IF(AND(OR(O146&gt;0,R146&gt;0),OR(CR146&gt;=140,CS146&gt;=90)),"DEFINIR ESTADIO HTA",IF(AND(OR(O146&gt;0,R146&gt;0),AND(CR146&gt;120,CR146&lt;=139)),"PRE HTA SEGUIMIENTO",IF(AND(OR(O146&gt;0,R146&gt;0),AND(CS146&gt;80,CS146&lt;=89)),"PRE HTA SEGUIMIENTO",IF(AND(OR(O146&gt;0,R146&gt;0),AND(CR146&gt;=80,CR146&lt;=120)),"APARENTEMENTE NORMAL",IF(AND(OR(O146&gt;0,R146&gt;0),AND(CS146&gt;=50,CS146&lt;=80)),"APARENTEMENTE NORMAL",IF(AND(OR(O146&gt;0,R146&gt;0),AND(CR146&gt;1,CR146&lt;=70),AND(CS146&gt;1,CS146&lt;=40)),"HIPOTENSIÓN","")))))))))</f>
        <v>APARENTEMENTE NORMAL</v>
      </c>
      <c r="CU146" s="21"/>
      <c r="CV146" s="21"/>
      <c r="CW146" s="217" t="str">
        <f ca="1">IF(R146="","",IF(AND(CN146&gt;19,CN146&lt;27,Tabla1[[#This Row],[T.A. SISTOLICA (Entre semana 20 y 26)]]="",Tabla1[[#This Row],[T.A. DIATOLICA (Entre semana 20 y 26)]]=""),"ACUDE A CONTROL SEM 20 A 26 REGISTRE TA AHORA",IF(AND(BS146&gt;1,BS146&lt;27,BU146&gt;19,Tabla1[[#This Row],[T.A. SISTOLICA (Entre semana 20 y 26)]]="",Tabla1[[#This Row],[T.A. DIATOLICA (Entre semana 20 y 26)]]=""),"COMPLETE REGISTRO TA CONTROL SEM 20 A26 ",IF(AND(BS146&gt;26,BS146&lt;43,Tabla1[[#This Row],[T.A. SISTOLICA (Entre semana 20 y 26)]]="",Tabla1[[#This Row],[T.A. DIATOLICA (Entre semana 20 y 26)]]=""),"NO APLICA REGISTRO TA-INGRESO TARDIO",IF(AND(OR(O146&gt;0,R146&gt;0),OR(CU146&gt;=140,CV146&gt;=90)),"ALTO RIESGO PREECLAMPSIA,DEFINIR ESTADIO HTA",IF(AND(OR(O146&gt;0,R146&gt;0),AND(CU146&gt;120,CU146&lt;=139)),"PRE HTA SEGUIMIENTO,RIESGO HIPERTENSION INDUCIDA POR EL EMBARAZO",IF(AND(OR(O146&gt;0,R146&gt;0),AND(CV146&gt;80,CV146&lt;=89)),"PRE HTA SEGUIMIENTO, RIESGO HIPERTENSION INDUCIDA POR EL EMBARAZO",IF(AND(OR(O146&lt;&gt;"",R146&lt;&gt;""),CS146&lt;&gt;"",CV146&lt;&gt;"",CS146&lt;=CV146),"VIGILAR CIFRAS PRESION ARTERIAL",IF(AND(OR(O146&gt;0,R146&gt;0),AND(CU146&gt;120,CU146&lt;=139)),"PRE HTA SEGUIMIENTO",IF(AND(OR(O146&gt;0,R146&gt;0),AND(CU146&gt;1,CU146&lt;=70),AND(CV146&gt;1,CV146&lt;=40)),"HIPOTENSIÓN",IF(AND(OR(O146&lt;&gt;"",R146&lt;&gt;""),CS146&lt;&gt;"",CV146&lt;&gt;"",CS146&gt;CV146),"APARENTEMENTE NORMAL",IF(AND(OR(O146&gt;0,R146&gt;0),AND(CU146&gt;=80,CU146&lt;=120)),"APARENTEMENTE NORMAL",IF(AND(OR(O146&gt;0,R146&gt;0),AND(CV146&gt;=50,CV146&lt;=80)),"APARENTEMENTE NORMAL","")))))))))))))</f>
        <v xml:space="preserve">COMPLETE REGISTRO TA CONTROL SEM 20 A26 </v>
      </c>
      <c r="CX146" s="21"/>
      <c r="CY146" s="21"/>
      <c r="CZ146" s="216" t="str">
        <f t="shared" si="690"/>
        <v/>
      </c>
      <c r="DA146" s="21">
        <v>100</v>
      </c>
      <c r="DB146" s="21">
        <v>70</v>
      </c>
      <c r="DC146" s="217" t="str">
        <f t="shared" si="611"/>
        <v>APARENTEMENTE NORMAL</v>
      </c>
      <c r="DD146" s="22">
        <v>45028</v>
      </c>
      <c r="DE146" s="22">
        <v>45028</v>
      </c>
      <c r="DF146" s="22">
        <v>45078</v>
      </c>
      <c r="DG146" s="22">
        <v>45112</v>
      </c>
      <c r="DH146" s="22"/>
      <c r="DI146" s="22"/>
      <c r="DJ146" s="22"/>
      <c r="DK146" s="22"/>
      <c r="DL146" s="22"/>
      <c r="DM146" s="22"/>
      <c r="DN146" s="22"/>
      <c r="DO146" s="22"/>
      <c r="DP146" s="22"/>
      <c r="DQ146" s="22"/>
      <c r="DR146" s="28"/>
      <c r="DS146" s="22"/>
      <c r="DT146" s="22"/>
      <c r="DU146" s="216" t="str">
        <f t="shared" ca="1" si="676"/>
        <v>SALE SIN PLAN DE PARTO</v>
      </c>
      <c r="DV146" s="226" t="str">
        <f t="shared" si="677"/>
        <v>SALIO PROGRAMA</v>
      </c>
      <c r="DW146"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46" s="216" t="str">
        <f t="shared" ca="1" si="612"/>
        <v/>
      </c>
      <c r="DY146" s="212">
        <f>IF(R146="","",IF(R146&gt;0,MAX(Tabla1[[#This Row],[FECHA C2]:[FECHA C13]],Tabla1[[#This Row],[FECHA CONSULTA PRIMERA VEZ PROGRAMA CPN ]])))</f>
        <v>45112</v>
      </c>
      <c r="DZ146" s="216">
        <f t="shared" si="613"/>
        <v>38</v>
      </c>
      <c r="EA146" s="222">
        <f>IF(R146&gt;0,SUM(COUNTA(DF146:DQ146)+COUNTA(Tabla1[[#This Row],[FECHA CONSULTA PRIMERA VEZ PROGRAMA CPN ]])),"")</f>
        <v>3</v>
      </c>
      <c r="EB146" s="222" t="str">
        <f t="shared" si="614"/>
        <v>NO</v>
      </c>
      <c r="EC146" s="214">
        <f t="shared" si="615"/>
        <v>5</v>
      </c>
      <c r="ED146" s="227">
        <f t="shared" si="616"/>
        <v>0.6</v>
      </c>
      <c r="EE146" s="22">
        <v>45028</v>
      </c>
      <c r="EF146" s="22">
        <v>45051</v>
      </c>
      <c r="EG146" s="22">
        <v>45028</v>
      </c>
      <c r="EH146" s="22"/>
      <c r="EI146" s="22">
        <v>45028</v>
      </c>
      <c r="EJ146" s="22"/>
      <c r="EK146" s="22"/>
      <c r="EL146" s="21"/>
      <c r="EM146" s="21">
        <v>12.3</v>
      </c>
      <c r="EN146" s="22">
        <v>45051</v>
      </c>
      <c r="EO146" s="222">
        <f t="shared" si="617"/>
        <v>29.299999999999791</v>
      </c>
      <c r="EP146" s="214" t="str">
        <f t="shared" si="618"/>
        <v>NORMAL- SUMINISTRAR SULFATO FERROSO</v>
      </c>
      <c r="EQ146" s="216" t="str">
        <f t="shared" si="619"/>
        <v>III TRIM</v>
      </c>
      <c r="ER146" s="24">
        <v>12.1</v>
      </c>
      <c r="ES146" s="22">
        <v>45089</v>
      </c>
      <c r="ET146" s="29">
        <f t="shared" ca="1" si="678"/>
        <v>34.728571428571222</v>
      </c>
      <c r="EU146" s="25" t="str">
        <f t="shared" si="620"/>
        <v>NORMAL- SUMINISTRAR SULFATO FERROSO</v>
      </c>
      <c r="EV146" s="24" t="s">
        <v>1628</v>
      </c>
      <c r="EW146" s="32">
        <v>45051</v>
      </c>
      <c r="EX146" s="22"/>
      <c r="EY146" s="29">
        <f t="shared" si="454"/>
        <v>29.299999999999791</v>
      </c>
      <c r="EZ146" s="25" t="str">
        <f t="shared" ca="1" si="455"/>
        <v>TOMAR COOMBS INMEDIATO PARA DEFINIR MANEJO</v>
      </c>
      <c r="FA146" s="21">
        <v>64</v>
      </c>
      <c r="FB146" s="22">
        <v>45051</v>
      </c>
      <c r="FC146" s="29" t="str">
        <f t="shared" si="621"/>
        <v>NO APLICA &gt; 23 SEM -TOMAR PTOG</v>
      </c>
      <c r="FD146" s="29">
        <v>67</v>
      </c>
      <c r="FE146" s="29">
        <v>129</v>
      </c>
      <c r="FF146" s="29">
        <v>125</v>
      </c>
      <c r="FG146" s="21" t="str">
        <f t="shared" ca="1" si="622"/>
        <v>NORMAL</v>
      </c>
      <c r="FH146" s="31">
        <v>45089</v>
      </c>
      <c r="FI146" s="29">
        <f t="shared" si="623"/>
        <v>34.728571428571222</v>
      </c>
      <c r="FJ146" s="22"/>
      <c r="FK146" s="22"/>
      <c r="FL146" s="29" t="str">
        <f t="shared" ca="1" si="624"/>
        <v>NO APLICA-INGRESO TARDIO</v>
      </c>
      <c r="FM146" s="22"/>
      <c r="FN146" s="32"/>
      <c r="FO146" s="29" t="str">
        <f t="shared" ca="1" si="679"/>
        <v>PIERDE TOMA DE TAMIZAJE</v>
      </c>
      <c r="FP146" s="22" t="s">
        <v>867</v>
      </c>
      <c r="FQ146" s="32">
        <v>45051</v>
      </c>
      <c r="FR146" s="29">
        <f t="shared" ca="1" si="680"/>
        <v>29.299999999999791</v>
      </c>
      <c r="FS146" s="22"/>
      <c r="FT146" s="32"/>
      <c r="FU146" s="29" t="str">
        <f>IF(AND(FJ146="",FM146="",FP146="",FS146=""),"",IF(OR(OR(Tabla1[[#This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46" s="28"/>
      <c r="FW146" s="22"/>
      <c r="FX146" s="29" t="str">
        <f t="shared" si="625"/>
        <v>TOMAR EXAMEN</v>
      </c>
      <c r="FY146" s="22"/>
      <c r="FZ146" s="22"/>
      <c r="GA146" s="29" t="str">
        <f t="shared" ca="1" si="498"/>
        <v>NO APLICA-INGRESO TARDIO</v>
      </c>
      <c r="GB146" s="22"/>
      <c r="GC146" s="22"/>
      <c r="GD146" s="29" t="str">
        <f t="shared" ca="1" si="681"/>
        <v>PIERDE TOMA DE TAMIZAJE</v>
      </c>
      <c r="GE146" s="22" t="s">
        <v>868</v>
      </c>
      <c r="GF146" s="22">
        <v>45051</v>
      </c>
      <c r="GG146" s="29">
        <f t="shared" ca="1" si="682"/>
        <v>29.299999999999791</v>
      </c>
      <c r="GH146" s="22"/>
      <c r="GI146" s="29"/>
      <c r="GJ146" s="22"/>
      <c r="GK146" s="22"/>
      <c r="GL146" s="22"/>
      <c r="GM146" s="22"/>
      <c r="GN146" s="28" t="s">
        <v>869</v>
      </c>
      <c r="GO146" s="22">
        <v>45051</v>
      </c>
      <c r="GP146" s="29">
        <f t="shared" si="626"/>
        <v>29.299999999999791</v>
      </c>
      <c r="GQ146" s="28" t="s">
        <v>869</v>
      </c>
      <c r="GR146" s="28" t="s">
        <v>869</v>
      </c>
      <c r="GS146" s="22" t="str">
        <f t="shared" si="627"/>
        <v>CONTROL Igm</v>
      </c>
      <c r="GT146" s="22">
        <v>45051</v>
      </c>
      <c r="GU146" s="29">
        <f t="shared" si="628"/>
        <v>28.142857142857142</v>
      </c>
      <c r="GV146" s="21" t="str">
        <f t="shared" si="629"/>
        <v>III TRIM</v>
      </c>
      <c r="GW146" s="28"/>
      <c r="GX146" s="30"/>
      <c r="GY146" s="21"/>
      <c r="GZ146" s="21"/>
      <c r="HA146" s="21"/>
      <c r="HB146" s="21"/>
      <c r="HC146" s="21"/>
      <c r="HD146" s="21"/>
      <c r="HE146" s="21"/>
      <c r="HF146" s="22"/>
      <c r="HG146" s="22" t="str">
        <f>IF(OR(O146&gt;0,R146&gt;0),CONCATENATE(IF(Tabla1[[#This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46" s="22" t="e">
        <f t="shared" si="630"/>
        <v>#REF!</v>
      </c>
      <c r="HI146" s="22" t="e">
        <f t="shared" ca="1" si="631"/>
        <v>#REF!</v>
      </c>
      <c r="HJ146" s="21" t="str">
        <f t="shared" ca="1" si="632"/>
        <v>***************************************</v>
      </c>
      <c r="HK146" s="21" t="str">
        <f t="shared" si="633"/>
        <v>SIN ANTECEDENTES DE RIESGO</v>
      </c>
      <c r="HL146" s="24" t="str">
        <f t="shared" si="634"/>
        <v>APARENTEMENTE NORMAL</v>
      </c>
      <c r="HM146" s="21" t="str">
        <f t="shared" ca="1" si="635"/>
        <v/>
      </c>
      <c r="HN146" s="30" t="str">
        <f t="shared" si="683"/>
        <v>SALIO PROGRAMA</v>
      </c>
      <c r="HO146" s="21"/>
      <c r="HP146" s="21"/>
      <c r="HQ146" s="21"/>
      <c r="HR146" s="21" t="str">
        <f>IF(R146="","",IF(Tabla1[[#This Row],[ALARMA FACTORES DE RIESGO COMPLICACIONES HIPERTENSIVAS3]]="SIN ANTECEDENTES DE RIESGO","No Aplica para suministro de ASA",IF(AND(Tabla1[[#This Row],[FECHA INICIO DE SUMINISTRO DE ASA]]&gt;0,RV146&lt;12),"Inicia ASA ANTES de Sem 12",IF(AND(RV146&gt;11,RV146&lt;17,OR(HK146="RIESGO ALTO DE COMPLICACIONES HIPERTENSIVAS VER MANEJO GUIA SUMINISTRO ASA Y CALCIO",HK146="RIESGO MODERADO (2 O MAS CRITERIOS) VER MANEJO GUIA SUMINISTRO ASA Y CALCIO")),"Inicio oportuno de ASA",IF(AND(RV146&gt;12,OR(HK146="RIESGO ALTO DE COMPLICACIONES HIPERTENSIVAS VER MANEJO GUIA SUMINISTRO ASA Y CALCIO",HK146="RIESGO MODERADO (2 O MAS CRITERIOS) VER MANEJO GUIA SUMINISTRO ASA Y CALCIO")),"Inicio no oportuno mayor a 16 semanas",IF(AND(BU146&lt;12,OR(HK146="RIESGO ALTO DE COMPLICACIONES HIPERTENSIVAS VER MANEJO GUIA SUMINISTRO ASA Y CALCIO",HK146="RIESGO MODERADO (2 O MAS CRITERIOS) VER MANEJO GUIA SUMINISTRO ASA Y CALCIO")),"Pendiente Inicio de ASA a la semana 12",IF(AND(BU146&gt;11,BU146&lt;17,OR(HK146="RIESGO ALTO DE COMPLICACIONES HIPERTENSIVAS VER MANEJO GUIA SUMINISTRO ASA Y CALCIO",HK146="RIESGO MODERADO (2 O MAS CRITERIOS) VER MANEJO GUIA SUMINISTRO ASA Y CALCIO")),"Iniciar de inmediato ASA",IF(AND(BU146&gt;16,OR(HK146="RIESGO ALTO DE COMPLICACIONES HIPERTENSIVAS VER MANEJO GUIA SUMINISTRO ASA Y CALCIO",HK146="RIESGO MODERADO (2 O MAS CRITERIOS) VER MANEJO GUIA SUMINISTRO ASA Y CALCIO")),"Pierde Oportunidad, Inicio tardío de ASA","XXXXX"))))))))</f>
        <v>No Aplica para suministro de ASA</v>
      </c>
      <c r="HS146" s="22">
        <v>45028</v>
      </c>
      <c r="HT146" s="22" t="s">
        <v>1518</v>
      </c>
      <c r="HU146" s="22"/>
      <c r="HV146" s="22"/>
      <c r="HW146" s="22">
        <v>45028</v>
      </c>
      <c r="HX146" s="22" t="s">
        <v>1511</v>
      </c>
      <c r="HY146" s="22">
        <v>45028</v>
      </c>
      <c r="HZ146" s="28">
        <f t="shared" si="636"/>
        <v>26.014285714285506</v>
      </c>
      <c r="IA146" s="26"/>
      <c r="IB146" s="26"/>
      <c r="IC146" s="111"/>
      <c r="ID146" s="22"/>
      <c r="IE146" s="22" t="str">
        <f t="shared" ca="1" si="637"/>
        <v>SALE SIN VACUNA</v>
      </c>
      <c r="IF146" s="22"/>
      <c r="IG146" s="22">
        <f t="shared" si="638"/>
        <v>45125.9</v>
      </c>
      <c r="IH146" s="29">
        <f t="shared" ca="1" si="639"/>
        <v>-106.09999999999854</v>
      </c>
      <c r="II146" s="22" t="str">
        <f t="shared" ca="1" si="640"/>
        <v>POSIBLEMENTE NACIO</v>
      </c>
      <c r="IJ146" s="22"/>
      <c r="IK146" s="21" t="s">
        <v>898</v>
      </c>
      <c r="IL146" s="21"/>
      <c r="IM146" s="34"/>
      <c r="IN146" s="349">
        <v>45117</v>
      </c>
      <c r="IO146" s="21" t="s">
        <v>1186</v>
      </c>
      <c r="IP146" s="29">
        <f t="shared" si="674"/>
        <v>38.728571428571222</v>
      </c>
      <c r="IQ146" s="35" t="s">
        <v>1650</v>
      </c>
      <c r="IR146" s="21" t="s">
        <v>1651</v>
      </c>
      <c r="IS146" s="21" t="s">
        <v>1646</v>
      </c>
      <c r="IT146" s="21" t="s">
        <v>1642</v>
      </c>
      <c r="IU146" s="21"/>
      <c r="IV146" s="21"/>
      <c r="IW146" s="21"/>
      <c r="IX146" s="21"/>
      <c r="IY146" s="21"/>
      <c r="IZ146" s="21"/>
      <c r="JA146" s="21"/>
      <c r="JB146" s="30">
        <v>1</v>
      </c>
      <c r="JC146" s="21" t="s">
        <v>1647</v>
      </c>
      <c r="JD146" s="36">
        <v>3860</v>
      </c>
      <c r="JE146" s="21" t="str">
        <f t="shared" si="684"/>
        <v>PESO ADECUADO EDAD GESTACIONAL</v>
      </c>
      <c r="JF146" s="30"/>
      <c r="JG146" s="21"/>
      <c r="JH146" s="21"/>
      <c r="JI146" s="309" t="s">
        <v>854</v>
      </c>
      <c r="JJ146" s="329" t="s">
        <v>926</v>
      </c>
      <c r="JK146" s="22"/>
      <c r="JL146" s="22"/>
      <c r="JM146" s="21"/>
      <c r="JN146" s="36"/>
      <c r="JO146" s="21" t="str">
        <f t="shared" si="685"/>
        <v/>
      </c>
      <c r="JP146" s="22"/>
      <c r="JQ146" s="21"/>
      <c r="JR146" s="21"/>
      <c r="JS146" s="21"/>
      <c r="JT146" s="30"/>
      <c r="JU146" s="22"/>
      <c r="JV146" s="22"/>
      <c r="JW146" s="33"/>
      <c r="JX146" s="28" t="str">
        <f t="shared" si="686"/>
        <v>INASISTENTE</v>
      </c>
      <c r="JY146" s="33"/>
      <c r="JZ146" s="28" t="str">
        <f t="shared" si="687"/>
        <v>INASISTENTE</v>
      </c>
      <c r="KA146" s="21"/>
      <c r="KB146" s="21"/>
      <c r="KC146" s="21"/>
      <c r="KD146" s="37"/>
      <c r="KE146" s="28"/>
      <c r="KF146" s="28"/>
      <c r="KG146" s="28"/>
      <c r="KH146" s="39"/>
      <c r="KI146" s="39"/>
      <c r="KJ146" s="66"/>
      <c r="KK146" s="39"/>
      <c r="KL146" s="39"/>
      <c r="KM146" s="66"/>
      <c r="KN146" s="39"/>
      <c r="KO146" s="39"/>
      <c r="KP146" s="39"/>
      <c r="KQ146" s="39"/>
      <c r="KR146" s="39"/>
      <c r="KS146" s="39"/>
      <c r="KT146" s="39"/>
      <c r="KU146" s="38"/>
      <c r="KV146" s="38"/>
      <c r="KW146" s="38"/>
      <c r="KX146" s="38"/>
      <c r="KY146" s="38"/>
      <c r="KZ146" s="38"/>
      <c r="LA146" s="38"/>
      <c r="LB146" s="38"/>
      <c r="LC146" s="38"/>
      <c r="LD146" s="38"/>
      <c r="LE146" s="38"/>
      <c r="LF146" s="38"/>
      <c r="LG146" s="38"/>
      <c r="LH146" s="38"/>
      <c r="LI146" s="38"/>
      <c r="LJ146" s="38"/>
      <c r="LK146" s="38"/>
      <c r="LL146" s="38"/>
      <c r="LM146" s="38"/>
      <c r="LN146" s="38"/>
      <c r="LO146" s="38"/>
      <c r="LP146" s="38"/>
      <c r="LQ146" s="38"/>
      <c r="LR146" s="38"/>
      <c r="LS146" s="38"/>
      <c r="LT146" s="38"/>
      <c r="LU146" s="38"/>
      <c r="LV146" s="38"/>
      <c r="LW146" s="38"/>
      <c r="LX146" s="38"/>
      <c r="LY146" s="38"/>
      <c r="LZ146" s="38"/>
      <c r="MA146" s="38"/>
      <c r="MB146" s="38"/>
      <c r="MC146" s="38"/>
      <c r="MD146" s="38"/>
      <c r="ME146" s="38"/>
      <c r="MF146" s="38"/>
      <c r="MG146" s="38"/>
      <c r="MH146" s="43">
        <f t="shared" si="641"/>
        <v>0</v>
      </c>
      <c r="MI146" s="43" t="str">
        <f t="shared" si="642"/>
        <v/>
      </c>
      <c r="MJ146" s="43" t="str">
        <f t="shared" si="643"/>
        <v/>
      </c>
      <c r="MK146" s="43">
        <f t="shared" si="644"/>
        <v>0</v>
      </c>
      <c r="ML14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46" s="43">
        <f t="shared" si="645"/>
        <v>26.014285714285506</v>
      </c>
      <c r="MN146" s="43">
        <f t="shared" si="646"/>
        <v>4</v>
      </c>
      <c r="MO146" s="43">
        <f t="shared" si="647"/>
        <v>2023</v>
      </c>
      <c r="MP146" s="43" t="str">
        <f t="shared" si="648"/>
        <v>II TRIMESTRE AÑO</v>
      </c>
      <c r="MQ146" s="43">
        <f t="shared" si="649"/>
        <v>31.62231712658782</v>
      </c>
      <c r="MR146" s="43">
        <f t="shared" si="650"/>
        <v>0</v>
      </c>
      <c r="MS146" s="43" t="str">
        <f t="shared" si="651"/>
        <v xml:space="preserve"> DE 30 A 34 AÑOS</v>
      </c>
      <c r="MT146" s="43">
        <f t="shared" si="652"/>
        <v>0</v>
      </c>
      <c r="MU146" s="43">
        <f t="shared" si="653"/>
        <v>0</v>
      </c>
      <c r="MV146" s="43">
        <f t="shared" si="654"/>
        <v>0</v>
      </c>
      <c r="MW146" s="43">
        <f t="shared" si="655"/>
        <v>0</v>
      </c>
      <c r="MX146" s="43" t="str">
        <f t="shared" si="656"/>
        <v/>
      </c>
      <c r="MY146" s="43" t="str">
        <f t="shared" ca="1" si="688"/>
        <v/>
      </c>
      <c r="MZ146" s="43" t="str">
        <f t="shared" si="657"/>
        <v/>
      </c>
      <c r="NA146" s="43" t="str">
        <f t="shared" si="658"/>
        <v/>
      </c>
      <c r="NB146" s="43" t="str">
        <f t="shared" si="659"/>
        <v/>
      </c>
      <c r="NC146" s="43" t="str">
        <f t="shared" si="660"/>
        <v/>
      </c>
      <c r="ND146" s="43">
        <f t="shared" ca="1" si="661"/>
        <v>0</v>
      </c>
      <c r="NE146" s="43">
        <f>IF(OR(O146&gt;0,R146&gt;0),SUM(COUNTIF(Tabla1[[#This Row],[AÑOS AL INICIO5 CPN]],"&gt;=40"),COUNTIF(AS146,"0"),COUNTIF(AR146,"SI"),COUNTIF(CC146,"SI"),COUNTIF(BQ146,"&gt;119"),COUNTIF(CI146,"&gt;=35")),"")</f>
        <v>0</v>
      </c>
      <c r="NF146" s="43" t="str">
        <f t="shared" si="662"/>
        <v/>
      </c>
      <c r="NG146" s="43">
        <f t="shared" si="663"/>
        <v>0</v>
      </c>
      <c r="NH146" s="43">
        <f t="shared" si="664"/>
        <v>205.1</v>
      </c>
      <c r="NI146"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CPN",P146="NO"),"Z",IF(AND(Tabla1[[#This Row],[CITA PROXIMO CONTROL]]="CITA MANUAL",Tabla1[[#This Row],[GESTANTES ACTUALES]]="ACTIVA INGRESO A CPN"),"W",IF(AND(Tabla1[[#This Row],[GESTANTES ACTUALES]]="SALIO PROGRAMA",IN146=""),"S",IF(AND(Tabla1[[#This Row],[CITA PROXIMO CONTROL]]&gt;0,IN146=""),(Tabla1[[#This Row],[CITA PROXIMO CONTROL]]-TODAY()),"SD"))))))))</f>
        <v>SD</v>
      </c>
      <c r="NJ146" s="43">
        <f>MONTH(Tabla1[[#This Row],[FECHA DE SALIDA  DEL PROGRAMA]])</f>
        <v>7</v>
      </c>
      <c r="NK146" s="43">
        <f>YEAR(Tabla1[[#This Row],[FECHA DE SALIDA  DEL PROGRAMA]])</f>
        <v>2023</v>
      </c>
      <c r="NL146" s="43" t="str">
        <f t="shared" si="665"/>
        <v>X</v>
      </c>
      <c r="NM146" s="43" t="str">
        <f t="shared" si="501"/>
        <v>NO</v>
      </c>
      <c r="NN146" s="43" t="str">
        <f ca="1">IF(AND(O146&gt;0,R146=""),"NO CPN",IF(AND(O146="",R146=""),"",IF(AND(R146&gt;0,Tabla1[[#This Row],[SEMANAS DE GESTACION ACTUALIZADAS]]&lt;=12),"NO APLICA",IF(AND(FH146&lt;&gt;"",FN146&lt;&gt;""),"SI","NO"))))</f>
        <v>NO</v>
      </c>
      <c r="NO146" s="43" t="str">
        <f ca="1">IF(AND(O146&gt;0,R146=""),"NO CPN",IF(AND(O146="",R146=""),"",IF(AND(R146&gt;0,Tabla1[[#This Row],[SEMANAS DE GESTACION ACTUALIZADAS]]&lt;=27),"NO APLICA",IF(AND(ES146&lt;&gt;"",FQ146&lt;&gt;"",GF146&lt;&gt;""),"SI","NO"))))</f>
        <v>SI</v>
      </c>
      <c r="NP146" s="204" t="str">
        <f t="shared" si="666"/>
        <v>II TRIM</v>
      </c>
      <c r="NQ146" s="21" t="str">
        <f t="shared" si="691"/>
        <v/>
      </c>
      <c r="NR146" s="21">
        <f t="shared" si="689"/>
        <v>2</v>
      </c>
      <c r="NS146" s="205">
        <f t="shared" ca="1" si="667"/>
        <v>1</v>
      </c>
      <c r="NT146" s="21">
        <f t="shared" ca="1" si="668"/>
        <v>1</v>
      </c>
      <c r="NU146" s="21" t="str">
        <f t="shared" ca="1" si="669"/>
        <v>INCOMPLETO</v>
      </c>
      <c r="NV146" s="21" t="str">
        <f t="shared" ca="1" si="670"/>
        <v>INCOMPLETO</v>
      </c>
      <c r="NW146" s="206" t="str">
        <f>IF(AND(O146="",R146=""),"",IF(OR(AND(Tabla1[[#This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46" s="207" t="str">
        <f t="shared" ca="1" si="671"/>
        <v>SIN VACUNAR</v>
      </c>
      <c r="NY146" s="43">
        <f>ROW(Tabla1[[#This Row],['# DE TAMIZAJES SIFILIS TOMADOS ]])</f>
        <v>146</v>
      </c>
      <c r="NZ146" s="43">
        <f t="shared" si="502"/>
        <v>26</v>
      </c>
      <c r="OA146" s="43" t="str">
        <f t="shared" si="503"/>
        <v/>
      </c>
      <c r="OB146" s="43" t="str">
        <f t="shared" si="504"/>
        <v/>
      </c>
      <c r="OC146" s="43" t="str">
        <f t="shared" si="505"/>
        <v/>
      </c>
      <c r="OD146" s="43" t="str">
        <f t="shared" si="506"/>
        <v/>
      </c>
      <c r="OE146" s="43" t="str">
        <f t="shared" si="507"/>
        <v/>
      </c>
      <c r="OF146" s="43" t="str">
        <f t="shared" si="508"/>
        <v/>
      </c>
      <c r="OG146" s="43" t="str">
        <f t="shared" si="509"/>
        <v/>
      </c>
      <c r="OH146" s="43" t="str">
        <f t="shared" si="510"/>
        <v/>
      </c>
      <c r="OI146" s="43" t="str">
        <f t="shared" si="511"/>
        <v/>
      </c>
      <c r="OJ146" s="43" t="str">
        <f t="shared" si="512"/>
        <v/>
      </c>
      <c r="OK146" s="43" t="str">
        <f t="shared" si="513"/>
        <v/>
      </c>
      <c r="OL146" s="43" t="str">
        <f t="shared" si="514"/>
        <v/>
      </c>
      <c r="OM146" s="43" t="str">
        <f t="shared" si="515"/>
        <v/>
      </c>
      <c r="ON146" s="43" t="str">
        <f t="shared" si="516"/>
        <v/>
      </c>
      <c r="OO146" s="43" t="str">
        <f t="shared" si="517"/>
        <v/>
      </c>
      <c r="OP146" s="43" t="str">
        <f t="shared" si="518"/>
        <v/>
      </c>
      <c r="OQ146" s="43" t="str">
        <f t="shared" si="519"/>
        <v/>
      </c>
      <c r="OR146" s="43" t="str">
        <f t="shared" si="520"/>
        <v>OBESIDAD</v>
      </c>
      <c r="OS146" s="43" t="str">
        <f t="shared" si="521"/>
        <v/>
      </c>
      <c r="OT146" s="43" t="str">
        <f t="shared" si="522"/>
        <v/>
      </c>
      <c r="OU146" s="43" t="str">
        <f t="shared" si="523"/>
        <v/>
      </c>
      <c r="OV146" s="110" t="str">
        <f t="shared" si="524"/>
        <v/>
      </c>
      <c r="OW146" s="43" t="str">
        <f t="shared" si="525"/>
        <v/>
      </c>
      <c r="OX146" s="43" t="str">
        <f t="shared" si="526"/>
        <v/>
      </c>
      <c r="OY146" s="43" t="str">
        <f t="shared" si="527"/>
        <v/>
      </c>
      <c r="OZ146" s="43" t="str">
        <f t="shared" si="528"/>
        <v/>
      </c>
      <c r="PA146" s="43" t="str">
        <f t="shared" si="529"/>
        <v/>
      </c>
      <c r="PB146" s="43" t="str">
        <f t="shared" si="530"/>
        <v/>
      </c>
      <c r="PC146" s="43" t="str">
        <f t="shared" si="531"/>
        <v/>
      </c>
      <c r="PD146" s="43" t="str">
        <f t="shared" si="532"/>
        <v/>
      </c>
      <c r="PE146" s="43" t="str">
        <f t="shared" si="533"/>
        <v/>
      </c>
      <c r="PF146" s="43" t="str">
        <f t="shared" si="534"/>
        <v/>
      </c>
      <c r="PG146" s="43" t="str">
        <f t="shared" si="535"/>
        <v/>
      </c>
      <c r="PH146" s="43" t="str">
        <f t="shared" si="536"/>
        <v/>
      </c>
      <c r="PI146" s="43">
        <f t="shared" si="537"/>
        <v>38</v>
      </c>
      <c r="PJ146" s="43" t="str">
        <f t="shared" si="538"/>
        <v/>
      </c>
      <c r="PK146" s="43" t="str">
        <f t="shared" si="539"/>
        <v/>
      </c>
      <c r="PL146" s="43" t="str">
        <f t="shared" si="540"/>
        <v/>
      </c>
      <c r="PM146" s="43" t="str">
        <f t="shared" si="541"/>
        <v/>
      </c>
      <c r="PN146" s="43" t="str">
        <f t="shared" si="542"/>
        <v/>
      </c>
      <c r="PO146" s="43" t="str">
        <f t="shared" si="543"/>
        <v/>
      </c>
      <c r="PP146" s="43" t="str">
        <f t="shared" si="544"/>
        <v/>
      </c>
      <c r="PQ146" s="43" t="str">
        <f t="shared" si="545"/>
        <v/>
      </c>
      <c r="PR146" s="43" t="str">
        <f t="shared" si="546"/>
        <v/>
      </c>
      <c r="PS146" s="43" t="str">
        <f t="shared" si="547"/>
        <v/>
      </c>
      <c r="PT146" s="43" t="str">
        <f t="shared" si="548"/>
        <v/>
      </c>
      <c r="PU146" s="43" t="str">
        <f t="shared" si="549"/>
        <v/>
      </c>
      <c r="PV146" s="43" t="str">
        <f t="shared" si="550"/>
        <v/>
      </c>
      <c r="PW146" s="43" t="str">
        <f t="shared" si="551"/>
        <v/>
      </c>
      <c r="PX146" s="43" t="str">
        <f t="shared" si="552"/>
        <v/>
      </c>
      <c r="PY146" s="43" t="str">
        <f t="shared" si="553"/>
        <v/>
      </c>
      <c r="PZ146" s="43" t="str">
        <f t="shared" si="554"/>
        <v/>
      </c>
      <c r="QA146" s="43" t="str">
        <f t="shared" si="555"/>
        <v/>
      </c>
      <c r="QB146" s="43" t="str">
        <f t="shared" si="556"/>
        <v/>
      </c>
      <c r="QC146" s="43" t="str">
        <f t="shared" si="557"/>
        <v/>
      </c>
      <c r="QD146" s="43" t="str">
        <f t="shared" si="558"/>
        <v/>
      </c>
      <c r="QE146" s="43" t="str">
        <f t="shared" si="559"/>
        <v/>
      </c>
      <c r="QF146" s="43" t="str">
        <f t="shared" si="560"/>
        <v/>
      </c>
      <c r="QG146" s="43" t="str">
        <f t="shared" si="561"/>
        <v/>
      </c>
      <c r="QH146" s="43" t="str">
        <f t="shared" si="562"/>
        <v/>
      </c>
      <c r="QI146" s="43" t="str">
        <f t="shared" si="563"/>
        <v/>
      </c>
      <c r="QJ146" s="43" t="str">
        <f t="shared" si="564"/>
        <v/>
      </c>
      <c r="QK146" s="43" t="str">
        <f t="shared" si="565"/>
        <v/>
      </c>
      <c r="QL146" s="43" t="str">
        <f t="shared" si="566"/>
        <v/>
      </c>
      <c r="QM146" s="43" t="str">
        <f t="shared" si="567"/>
        <v>OBESIDAD</v>
      </c>
      <c r="QN146" s="43" t="str">
        <f t="shared" si="568"/>
        <v/>
      </c>
      <c r="QO146" s="43" t="str">
        <f t="shared" si="569"/>
        <v/>
      </c>
      <c r="QP146" s="43" t="str">
        <f t="shared" si="570"/>
        <v/>
      </c>
      <c r="QQ146" s="43" t="str">
        <f t="shared" si="571"/>
        <v/>
      </c>
      <c r="QR146" s="43">
        <f t="shared" si="672"/>
        <v>38</v>
      </c>
      <c r="QS146" s="43"/>
      <c r="QT146" s="21" t="str">
        <f t="shared" si="572"/>
        <v/>
      </c>
      <c r="QU146" s="21" t="str">
        <f t="shared" si="573"/>
        <v/>
      </c>
      <c r="QV146" s="21" t="str">
        <f t="shared" si="574"/>
        <v/>
      </c>
      <c r="QW146" s="21" t="str">
        <f t="shared" si="575"/>
        <v/>
      </c>
      <c r="QX146" s="21" t="str">
        <f t="shared" si="576"/>
        <v/>
      </c>
      <c r="QY146" s="21" t="str">
        <f t="shared" si="577"/>
        <v/>
      </c>
      <c r="QZ146" s="21" t="str">
        <f t="shared" si="578"/>
        <v/>
      </c>
      <c r="RA146" s="21" t="str">
        <f t="shared" si="579"/>
        <v/>
      </c>
      <c r="RB146" s="21" t="str">
        <f t="shared" si="580"/>
        <v/>
      </c>
      <c r="RC146" s="21" t="str">
        <f t="shared" si="581"/>
        <v/>
      </c>
      <c r="RD146" s="21" t="str">
        <f t="shared" si="582"/>
        <v/>
      </c>
      <c r="RE146" s="21" t="str">
        <f t="shared" si="583"/>
        <v/>
      </c>
      <c r="RF146" s="21" t="str">
        <f t="shared" si="584"/>
        <v/>
      </c>
      <c r="RG146" s="21" t="str">
        <f t="shared" si="585"/>
        <v/>
      </c>
      <c r="RH146" s="21" t="str">
        <f t="shared" si="586"/>
        <v/>
      </c>
      <c r="RI146" s="21" t="str">
        <f t="shared" si="587"/>
        <v/>
      </c>
      <c r="RJ146" s="21" t="str">
        <f t="shared" si="588"/>
        <v/>
      </c>
      <c r="RK146" s="21" t="str">
        <f t="shared" si="589"/>
        <v/>
      </c>
      <c r="RL146" s="21" t="str">
        <f t="shared" si="590"/>
        <v/>
      </c>
      <c r="RM146" s="21" t="str">
        <f t="shared" si="591"/>
        <v/>
      </c>
      <c r="RN146" s="21" t="str">
        <f t="shared" si="592"/>
        <v/>
      </c>
      <c r="RO146" s="21" t="str">
        <f t="shared" si="593"/>
        <v/>
      </c>
      <c r="RP146" s="21" t="str">
        <f t="shared" si="594"/>
        <v/>
      </c>
      <c r="RQ146" s="21" t="str">
        <f t="shared" si="595"/>
        <v/>
      </c>
      <c r="RR146" s="21" t="str">
        <f t="shared" si="596"/>
        <v/>
      </c>
      <c r="RS146" s="21" t="str">
        <f t="shared" si="597"/>
        <v>ALTO PARA EDAD GESTACIONAL</v>
      </c>
      <c r="RT146" s="21" t="str">
        <f t="shared" si="598"/>
        <v/>
      </c>
      <c r="RU146" s="21" t="str">
        <f t="shared" si="599"/>
        <v/>
      </c>
      <c r="RV146" s="21">
        <f t="shared" si="600"/>
        <v>-1</v>
      </c>
      <c r="RW146" s="284">
        <f>IF(OR(Tabla1[[#This Row],[FUM FORMULA CONFIABLE]]="",Tabla1[[#This Row],[FUM FORMULA CONFIABLE]]="SD"),"",IF(Tabla1[[#This Row],[FUM FORMULA CONFIABLE]]="CORREGIDA",Tabla1[[#This Row],[FUM X ECO 1]],Tabla1[[#This Row],[FUM x AMENORREA]]))</f>
        <v>44845.9</v>
      </c>
      <c r="RX146" s="21">
        <f>IF(AND(Tabla1[[#This Row],[FUM X ECO 1]]="",Tabla1[[#This Row],[FUM x AMENORREA]]=""),"",IF(AND(Tabla1[[#This Row],[FUM X ECO 1]]="",Tabla1[[#This Row],[FUM x AMENORREA]]&lt;&gt;""),"X",SUM(Tabla1[[#This Row],[FUM X ECO 1]]-Tabla1[[#This Row],[FUM x AMENORREA]])))</f>
        <v>-8.0999999999985448</v>
      </c>
      <c r="RY146" s="21">
        <f t="shared" si="673"/>
        <v>1</v>
      </c>
    </row>
    <row r="147" spans="1:493" ht="45" customHeight="1" x14ac:dyDescent="0.25">
      <c r="A147" s="109"/>
      <c r="B147" s="43"/>
      <c r="C147" s="43" t="s">
        <v>845</v>
      </c>
      <c r="D147" s="124"/>
      <c r="E147" s="43" t="s">
        <v>1427</v>
      </c>
      <c r="F147" s="43" t="s">
        <v>1428</v>
      </c>
      <c r="G147" s="43" t="s">
        <v>1429</v>
      </c>
      <c r="H147" s="43" t="s">
        <v>1430</v>
      </c>
      <c r="I147" s="109" t="s">
        <v>851</v>
      </c>
      <c r="J147" s="110">
        <v>1061528490</v>
      </c>
      <c r="K147" s="43" t="s">
        <v>852</v>
      </c>
      <c r="L147" s="175" t="s">
        <v>1509</v>
      </c>
      <c r="M147" s="22">
        <v>38096</v>
      </c>
      <c r="N147" s="213">
        <f t="shared" ca="1" si="601"/>
        <v>19.550684931506851</v>
      </c>
      <c r="O147" s="22">
        <v>45028</v>
      </c>
      <c r="P147" s="214" t="str">
        <f t="shared" si="675"/>
        <v>SI</v>
      </c>
      <c r="Q147" s="26" t="s">
        <v>855</v>
      </c>
      <c r="R147" s="22">
        <v>45028</v>
      </c>
      <c r="S147" s="21" t="s">
        <v>856</v>
      </c>
      <c r="T147" s="24" t="s">
        <v>690</v>
      </c>
      <c r="U147" s="21" t="s">
        <v>857</v>
      </c>
      <c r="V147" s="21" t="s">
        <v>858</v>
      </c>
      <c r="W147" s="21" t="s">
        <v>1431</v>
      </c>
      <c r="X147" s="21"/>
      <c r="Y147" s="21"/>
      <c r="Z147" s="21">
        <v>3205336525</v>
      </c>
      <c r="AA147" s="21" t="s">
        <v>860</v>
      </c>
      <c r="AB147" s="27" t="s">
        <v>861</v>
      </c>
      <c r="AC147" s="26" t="s">
        <v>897</v>
      </c>
      <c r="AD147" s="38" t="s">
        <v>1546</v>
      </c>
      <c r="AE147" s="26" t="s">
        <v>854</v>
      </c>
      <c r="AF147" s="26" t="s">
        <v>854</v>
      </c>
      <c r="AG147" s="23" t="s">
        <v>864</v>
      </c>
      <c r="AH147" s="23" t="s">
        <v>864</v>
      </c>
      <c r="AI147" s="24" t="s">
        <v>863</v>
      </c>
      <c r="AJ147" s="23" t="s">
        <v>864</v>
      </c>
      <c r="AK147" s="220" t="str">
        <f>IF(AND(AD147="",AE147="",AF147="",AG147="",AH147="",AI147="",AJ147=""),"",IF(OR(Tabla1[[#This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EVALUACIÓN",IF(AND(O147="",R147=""),"",IF(AND(OR(O147&gt;0,R147&gt;0),NG147&gt;=0,NG147&lt;2),"SIN RIESGO",IF(AND(OR(O147&gt;0,R147&gt;0),NG147&gt;=2),"CON RIESGO","ASD")))))</f>
        <v>SIN RIESGO</v>
      </c>
      <c r="AL147" s="23" t="s">
        <v>864</v>
      </c>
      <c r="AM147" s="26" t="s">
        <v>864</v>
      </c>
      <c r="AN147" s="26" t="s">
        <v>864</v>
      </c>
      <c r="AO147" s="26" t="s">
        <v>864</v>
      </c>
      <c r="AP147" s="26" t="s">
        <v>864</v>
      </c>
      <c r="AQ147" s="26" t="s">
        <v>864</v>
      </c>
      <c r="AR147" s="26" t="s">
        <v>864</v>
      </c>
      <c r="AS147" s="21">
        <v>0</v>
      </c>
      <c r="AT147" s="21">
        <v>0</v>
      </c>
      <c r="AU147" s="21">
        <v>0</v>
      </c>
      <c r="AV147" s="26" t="s">
        <v>864</v>
      </c>
      <c r="AW147" s="21">
        <v>0</v>
      </c>
      <c r="AX147" s="26" t="s">
        <v>864</v>
      </c>
      <c r="AY147" s="26" t="s">
        <v>864</v>
      </c>
      <c r="AZ147" s="26" t="s">
        <v>864</v>
      </c>
      <c r="BA147" s="26" t="s">
        <v>864</v>
      </c>
      <c r="BB147" s="26" t="s">
        <v>864</v>
      </c>
      <c r="BC147" s="26" t="s">
        <v>864</v>
      </c>
      <c r="BD147" s="26" t="s">
        <v>864</v>
      </c>
      <c r="BE147" s="26" t="s">
        <v>864</v>
      </c>
      <c r="BF147" s="26" t="s">
        <v>864</v>
      </c>
      <c r="BG147" s="26" t="s">
        <v>864</v>
      </c>
      <c r="BH147" s="26" t="s">
        <v>864</v>
      </c>
      <c r="BI147" s="26" t="s">
        <v>864</v>
      </c>
      <c r="BJ147" s="26" t="s">
        <v>864</v>
      </c>
      <c r="BK147" s="26" t="s">
        <v>864</v>
      </c>
      <c r="BL147" s="26" t="s">
        <v>864</v>
      </c>
      <c r="BM147" s="26" t="s">
        <v>864</v>
      </c>
      <c r="BN147" s="22"/>
      <c r="BO147" s="22">
        <v>44965</v>
      </c>
      <c r="BP147" s="21" t="s">
        <v>864</v>
      </c>
      <c r="BQ147" s="222">
        <f t="shared" si="602"/>
        <v>0</v>
      </c>
      <c r="BR147" s="223" t="str">
        <f t="shared" si="603"/>
        <v/>
      </c>
      <c r="BS147" s="224">
        <f t="shared" si="604"/>
        <v>9</v>
      </c>
      <c r="BT147" s="216" t="str">
        <f t="shared" si="605"/>
        <v>DEFINIR CON ECO</v>
      </c>
      <c r="BU147" s="214">
        <f t="shared" ca="1" si="606"/>
        <v>38.142857142857146</v>
      </c>
      <c r="BV147" s="25"/>
      <c r="BW147" s="22"/>
      <c r="BX147" s="28"/>
      <c r="BY147" s="28"/>
      <c r="BZ147" s="22"/>
      <c r="CA147" s="21"/>
      <c r="CB147" s="26"/>
      <c r="CC147" s="26"/>
      <c r="CD147" s="26"/>
      <c r="CE147" s="26"/>
      <c r="CF147" s="22" t="s">
        <v>1517</v>
      </c>
      <c r="CG147" s="21">
        <v>1.5</v>
      </c>
      <c r="CH147" s="21">
        <v>49</v>
      </c>
      <c r="CI147" s="214">
        <f t="shared" si="607"/>
        <v>21.777777777777779</v>
      </c>
      <c r="CJ147" s="225" t="str">
        <f>IF(AND(CI147&lt;10,CH147="SD"),"SIN DATO PESO PREGESTACION O I TRIM",IF(AND(OR(R147&gt;0,O147&gt;0),CI147="X"),"INGRESAR DATO DE PESO",IF(CI147="SD","INGRESAR DATO DE TALLA Y PESO",IF(AND(OR(Tabla1[[#This Row],[MOMENTO EN QUE SE REALIZA EL PESO AL INGRESO A CPN]]="PREGESTACIÓN",NZ147="Menor"),CI147&lt;18.5),"BAJO PESO",IF(AND(OR(Tabla1[[#This Row],[MOMENTO EN QUE SE REALIZA EL PESO AL INGRESO A CPN]]="PREGESTACIÓN",NZ147="Menor"),CI147&lt;25),"NORMAL",IF(AND(OR(Tabla1[[#This Row],[MOMENTO EN QUE SE REALIZA EL PESO AL INGRESO A CPN]]="PREGESTACIÓN",NZ147="Menor"),CI147&lt;30),"SOBREPESO",IF(AND(OR(Tabla1[[#This Row],[MOMENTO EN QUE SE REALIZA EL PESO AL INGRESO A CPN]]="PREGESTACIÓN",NZ147="Menor"),CI147&gt;=30,CI147&lt;50),"OBESIDAD",IF(AND(BS147&gt;0,Tabla1[[#This Row],[MOMENTO EN QUE SE REALIZA EL PESO AL INGRESO A CPN]]="GESTACIÓN"),HLOOKUP(NZ147,$OA$2:PH147,NY147),""))))))))</f>
        <v>NORMAL</v>
      </c>
      <c r="CK147" s="212">
        <f t="shared" si="608"/>
        <v>45136</v>
      </c>
      <c r="CL147" s="21">
        <v>51.2</v>
      </c>
      <c r="CM147" s="214">
        <f t="shared" si="609"/>
        <v>22.755555555555556</v>
      </c>
      <c r="CN147" s="216">
        <f t="shared" si="610"/>
        <v>24</v>
      </c>
      <c r="CO147" s="216" t="e">
        <f>IF(PI147="","",IF(PI147&gt;0,HLOOKUP(PI147,$PJ$2:QQ147,NY147),""))</f>
        <v>#REF!</v>
      </c>
      <c r="CP147" s="21">
        <v>22</v>
      </c>
      <c r="CQ147" s="216" t="e">
        <f>IF(QR147="Menor","NO APLICA-MENOR 13 SEM",IF(AND(CC147="SI",CN147&gt;23),"NO APLICA- GEMELAR",IF(QR147="","",IF(QR147&gt;0,HLOOKUP(QR147,$QS$2:RU147,NY147),""))))</f>
        <v>#REF!</v>
      </c>
      <c r="CR147" s="21">
        <v>110</v>
      </c>
      <c r="CS147" s="21">
        <v>80</v>
      </c>
      <c r="CT147" s="217" t="str">
        <f>IF(R147="","",IF(AND(BS147&gt;1,BS147&lt;12,Tabla1[[#This Row],[T.A. SISTOLICA - ANTES DE SEMANA 12]]="",Tabla1[[#This Row],[T.A. DIASTOLICA - ANTES DE SEMANA 12]]=""),"REGISTRE DATO TA ANTES SEMANA 12",IF(AND(BS147&gt;11,BS147&lt;43,Tabla1[[#This Row],[T.A. SISTOLICA - ANTES DE SEMANA 12]]="",Tabla1[[#This Row],[T.A. DIASTOLICA - ANTES DE SEMANA 12]]=""),"NO APLICA REGISTRO TA-INGRESO TARDIO",IF(AND(OR(O147&gt;0,R147&gt;0),OR(CR147&gt;=140,CS147&gt;=90)),"DEFINIR ESTADIO HTA",IF(AND(OR(O147&gt;0,R147&gt;0),AND(CR147&gt;120,CR147&lt;=139)),"PRE HTA SEGUIMIENTO",IF(AND(OR(O147&gt;0,R147&gt;0),AND(CS147&gt;80,CS147&lt;=89)),"PRE HTA SEGUIMIENTO",IF(AND(OR(O147&gt;0,R147&gt;0),AND(CR147&gt;=80,CR147&lt;=120)),"APARENTEMENTE NORMAL",IF(AND(OR(O147&gt;0,R147&gt;0),AND(CS147&gt;=50,CS147&lt;=80)),"APARENTEMENTE NORMAL",IF(AND(OR(O147&gt;0,R147&gt;0),AND(CR147&gt;1,CR147&lt;=70),AND(CS147&gt;1,CS147&lt;=40)),"HIPOTENSIÓN","")))))))))</f>
        <v>APARENTEMENTE NORMAL</v>
      </c>
      <c r="CU147" s="21">
        <v>90</v>
      </c>
      <c r="CV147" s="21">
        <v>60</v>
      </c>
      <c r="CW147" s="217" t="str">
        <f ca="1">IF(R147="","",IF(AND(CN147&gt;19,CN147&lt;27,Tabla1[[#This Row],[T.A. SISTOLICA (Entre semana 20 y 26)]]="",Tabla1[[#This Row],[T.A. DIATOLICA (Entre semana 20 y 26)]]=""),"ACUDE A CONTROL SEM 20 A 26 REGISTRE TA AHORA",IF(AND(BS147&gt;1,BS147&lt;27,BU147&gt;19,Tabla1[[#This Row],[T.A. SISTOLICA (Entre semana 20 y 26)]]="",Tabla1[[#This Row],[T.A. DIATOLICA (Entre semana 20 y 26)]]=""),"COMPLETE REGISTRO TA CONTROL SEM 20 A26 ",IF(AND(BS147&gt;26,BS147&lt;43,Tabla1[[#This Row],[T.A. SISTOLICA (Entre semana 20 y 26)]]="",Tabla1[[#This Row],[T.A. DIATOLICA (Entre semana 20 y 26)]]=""),"NO APLICA REGISTRO TA-INGRESO TARDIO",IF(AND(OR(O147&gt;0,R147&gt;0),OR(CU147&gt;=140,CV147&gt;=90)),"ALTO RIESGO PREECLAMPSIA,DEFINIR ESTADIO HTA",IF(AND(OR(O147&gt;0,R147&gt;0),AND(CU147&gt;120,CU147&lt;=139)),"PRE HTA SEGUIMIENTO,RIESGO HIPERTENSION INDUCIDA POR EL EMBARAZO",IF(AND(OR(O147&gt;0,R147&gt;0),AND(CV147&gt;80,CV147&lt;=89)),"PRE HTA SEGUIMIENTO, RIESGO HIPERTENSION INDUCIDA POR EL EMBARAZO",IF(AND(OR(O147&lt;&gt;"",R147&lt;&gt;""),CS147&lt;&gt;"",CV147&lt;&gt;"",CS147&lt;=CV147),"VIGILAR CIFRAS PRESION ARTERIAL",IF(AND(OR(O147&gt;0,R147&gt;0),AND(CU147&gt;120,CU147&lt;=139)),"PRE HTA SEGUIMIENTO",IF(AND(OR(O147&gt;0,R147&gt;0),AND(CU147&gt;1,CU147&lt;=70),AND(CV147&gt;1,CV147&lt;=40)),"HIPOTENSIÓN",IF(AND(OR(O147&lt;&gt;"",R147&lt;&gt;""),CS147&lt;&gt;"",CV147&lt;&gt;"",CS147&gt;CV147),"APARENTEMENTE NORMAL",IF(AND(OR(O147&gt;0,R147&gt;0),AND(CU147&gt;=80,CU147&lt;=120)),"APARENTEMENTE NORMAL",IF(AND(OR(O147&gt;0,R147&gt;0),AND(CV147&gt;=50,CV147&lt;=80)),"APARENTEMENTE NORMAL","")))))))))))))</f>
        <v>APARENTEMENTE NORMAL</v>
      </c>
      <c r="CX147" s="21"/>
      <c r="CY147" s="21"/>
      <c r="CZ147" s="216" t="str">
        <f t="shared" si="690"/>
        <v/>
      </c>
      <c r="DA147" s="21">
        <v>100</v>
      </c>
      <c r="DB147" s="21">
        <v>60</v>
      </c>
      <c r="DC147" s="217" t="str">
        <f t="shared" si="611"/>
        <v>APARENTEMENTE NORMAL</v>
      </c>
      <c r="DD147" s="22">
        <v>45028</v>
      </c>
      <c r="DE147" s="22">
        <v>45028</v>
      </c>
      <c r="DF147" s="22">
        <v>45101</v>
      </c>
      <c r="DG147" s="22">
        <v>45136</v>
      </c>
      <c r="DH147" s="22"/>
      <c r="DI147" s="22"/>
      <c r="DJ147" s="22"/>
      <c r="DK147" s="22"/>
      <c r="DL147" s="22"/>
      <c r="DM147" s="22"/>
      <c r="DN147" s="22"/>
      <c r="DO147" s="22"/>
      <c r="DP147" s="22"/>
      <c r="DQ147" s="22"/>
      <c r="DR147" s="28"/>
      <c r="DS147" s="22"/>
      <c r="DT147" s="22"/>
      <c r="DU147" s="216" t="str">
        <f t="shared" ca="1" si="676"/>
        <v>CONCERTAR PLAN DE PARTO INMEDIATO</v>
      </c>
      <c r="DV147" s="226" t="str">
        <f t="shared" si="677"/>
        <v>ACTIVA INGRESO A CPN</v>
      </c>
      <c r="DW14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47" s="216" t="e">
        <f t="shared" ca="1" si="612"/>
        <v>#REF!</v>
      </c>
      <c r="DY147" s="212">
        <f>IF(R147="","",IF(R147&gt;0,MAX(Tabla1[[#This Row],[FECHA C2]:[FECHA C13]],Tabla1[[#This Row],[FECHA CONSULTA PRIMERA VEZ PROGRAMA CPN ]])))</f>
        <v>45136</v>
      </c>
      <c r="DZ147" s="216">
        <f t="shared" si="613"/>
        <v>24</v>
      </c>
      <c r="EA147" s="222">
        <f>IF(R147&gt;0,SUM(COUNTA(DF147:DQ147)+COUNTA(Tabla1[[#This Row],[FECHA CONSULTA PRIMERA VEZ PROGRAMA CPN ]])),"")</f>
        <v>3</v>
      </c>
      <c r="EB147" s="222" t="str">
        <f t="shared" si="614"/>
        <v>NO</v>
      </c>
      <c r="EC147" s="214">
        <f t="shared" si="615"/>
        <v>9</v>
      </c>
      <c r="ED147" s="227">
        <f t="shared" si="616"/>
        <v>0.33333333333333331</v>
      </c>
      <c r="EE147" s="22">
        <v>45028</v>
      </c>
      <c r="EF147" s="22">
        <v>45028</v>
      </c>
      <c r="EG147" s="22">
        <v>45028</v>
      </c>
      <c r="EH147" s="22"/>
      <c r="EI147" s="22">
        <v>45028</v>
      </c>
      <c r="EJ147" s="22"/>
      <c r="EK147" s="22"/>
      <c r="EL147" s="21"/>
      <c r="EM147" s="21">
        <v>13.1</v>
      </c>
      <c r="EN147" s="22">
        <v>45028</v>
      </c>
      <c r="EO147" s="222">
        <f t="shared" si="617"/>
        <v>9</v>
      </c>
      <c r="EP147" s="214" t="str">
        <f t="shared" si="618"/>
        <v>NORMAL- SUMINISTRAR SULFATO FERROSO</v>
      </c>
      <c r="EQ147" s="216" t="str">
        <f t="shared" si="619"/>
        <v>I TRIM</v>
      </c>
      <c r="ER147" s="24"/>
      <c r="ES147" s="22"/>
      <c r="ET147" s="29" t="str">
        <f t="shared" ca="1" si="678"/>
        <v>TOMA DE HEMOGLOBINA TARDÍA</v>
      </c>
      <c r="EU147" s="25" t="str">
        <f t="shared" si="620"/>
        <v/>
      </c>
      <c r="EV147" s="24"/>
      <c r="EW147" s="32"/>
      <c r="EX147" s="22"/>
      <c r="EY147" s="29" t="str">
        <f t="shared" si="454"/>
        <v>TOMAR EXAMEN</v>
      </c>
      <c r="EZ147" s="25" t="str">
        <f t="shared" ca="1" si="455"/>
        <v/>
      </c>
      <c r="FA147" s="21">
        <v>80</v>
      </c>
      <c r="FB147" s="22">
        <v>45028</v>
      </c>
      <c r="FC147" s="29">
        <f t="shared" si="621"/>
        <v>9</v>
      </c>
      <c r="FD147" s="29"/>
      <c r="FE147" s="29"/>
      <c r="FF147" s="29"/>
      <c r="FG147" s="21" t="str">
        <f t="shared" ca="1" si="622"/>
        <v>TOMAR PTOG</v>
      </c>
      <c r="FH147" s="31"/>
      <c r="FI147" s="29" t="str">
        <f t="shared" si="623"/>
        <v>TOMAR EXAMEN</v>
      </c>
      <c r="FJ147" s="22" t="s">
        <v>867</v>
      </c>
      <c r="FK147" s="22">
        <v>45028</v>
      </c>
      <c r="FL147" s="29">
        <f t="shared" ca="1" si="624"/>
        <v>9</v>
      </c>
      <c r="FM147" s="22"/>
      <c r="FN147" s="32"/>
      <c r="FO147" s="29" t="str">
        <f t="shared" ca="1" si="679"/>
        <v>PIERDE TOMA DE TAMIZAJE</v>
      </c>
      <c r="FP147" s="22"/>
      <c r="FQ147" s="32"/>
      <c r="FR147" s="29" t="str">
        <f t="shared" ca="1" si="680"/>
        <v>TOMA INMEDIATA DE TAMIZAJE</v>
      </c>
      <c r="FS147" s="22"/>
      <c r="FT147" s="32"/>
      <c r="FU147" s="29" t="str">
        <f>IF(AND(FJ147="",FM147="",FP147="",FS147=""),"",IF(OR(OR(Tabla1[[#This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47" s="28"/>
      <c r="FW147" s="22"/>
      <c r="FX147" s="29" t="str">
        <f t="shared" si="625"/>
        <v>TOMAR EXAMEN</v>
      </c>
      <c r="FY147" s="22" t="s">
        <v>868</v>
      </c>
      <c r="FZ147" s="22">
        <v>45028</v>
      </c>
      <c r="GA147" s="29">
        <f t="shared" ca="1" si="498"/>
        <v>9</v>
      </c>
      <c r="GB147" s="22"/>
      <c r="GC147" s="22"/>
      <c r="GD147" s="29" t="str">
        <f t="shared" ca="1" si="681"/>
        <v>PIERDE TOMA DE TAMIZAJE</v>
      </c>
      <c r="GE147" s="22"/>
      <c r="GF147" s="22"/>
      <c r="GG147" s="29" t="str">
        <f t="shared" ca="1" si="682"/>
        <v>TOMA INMEDIATA DE TAMIZAJE</v>
      </c>
      <c r="GH147" s="22"/>
      <c r="GI147" s="29"/>
      <c r="GJ147" s="22"/>
      <c r="GK147" s="22"/>
      <c r="GL147" s="22"/>
      <c r="GM147" s="22"/>
      <c r="GN147" s="28" t="s">
        <v>869</v>
      </c>
      <c r="GO147" s="22">
        <v>45028</v>
      </c>
      <c r="GP147" s="29">
        <f t="shared" si="626"/>
        <v>9</v>
      </c>
      <c r="GQ147" s="28" t="s">
        <v>880</v>
      </c>
      <c r="GR147" s="28" t="s">
        <v>869</v>
      </c>
      <c r="GS147" s="22" t="str">
        <f t="shared" si="627"/>
        <v>SE EXCLUYE INFECCION</v>
      </c>
      <c r="GT147" s="22">
        <v>45028</v>
      </c>
      <c r="GU147" s="29">
        <f t="shared" si="628"/>
        <v>9</v>
      </c>
      <c r="GV147" s="21" t="str">
        <f t="shared" si="629"/>
        <v>I TRIM</v>
      </c>
      <c r="GW147" s="28" t="s">
        <v>869</v>
      </c>
      <c r="GX147" s="30"/>
      <c r="GY147" s="21"/>
      <c r="GZ147" s="21"/>
      <c r="HA147" s="21"/>
      <c r="HB147" s="21"/>
      <c r="HC147" s="21"/>
      <c r="HD147" s="21"/>
      <c r="HE147" s="21"/>
      <c r="HF147" s="22"/>
      <c r="HG147" s="22" t="str">
        <f>IF(OR(O147&gt;0,R147&gt;0),CONCATENATE(IF(Tabla1[[#This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47" s="22" t="e">
        <f t="shared" si="630"/>
        <v>#REF!</v>
      </c>
      <c r="HI147" s="22" t="e">
        <f t="shared" ca="1" si="631"/>
        <v>#REF!</v>
      </c>
      <c r="HJ147" s="21" t="str">
        <f t="shared" ca="1" si="632"/>
        <v>**********************MULTIPARIDAD*****************</v>
      </c>
      <c r="HK147" s="21" t="str">
        <f t="shared" si="633"/>
        <v>SIN ANTECEDENTES DE RIESGO</v>
      </c>
      <c r="HL147" s="24" t="str">
        <f t="shared" si="634"/>
        <v>APARENTEMENTE NORMAL</v>
      </c>
      <c r="HM147" s="21" t="e">
        <f t="shared" ca="1" si="635"/>
        <v>#REF!</v>
      </c>
      <c r="HN147" s="30" t="str">
        <f t="shared" si="683"/>
        <v>ACTIVA INGRESO A CPN</v>
      </c>
      <c r="HO147" s="21"/>
      <c r="HP147" s="21"/>
      <c r="HQ147" s="349"/>
      <c r="HR147" s="21" t="str">
        <f>IF(R147="","",IF(Tabla1[[#This Row],[ALARMA FACTORES DE RIESGO COMPLICACIONES HIPERTENSIVAS3]]="SIN ANTECEDENTES DE RIESGO","No Aplica para suministro de ASA",IF(AND(Tabla1[[#This Row],[FECHA INICIO DE SUMINISTRO DE ASA]]&gt;0,RV147&lt;12),"Inicia ASA ANTES de Sem 12",IF(AND(RV147&gt;11,RV147&lt;17,OR(HK147="RIESGO ALTO DE COMPLICACIONES HIPERTENSIVAS VER MANEJO GUIA SUMINISTRO ASA Y CALCIO",HK147="RIESGO MODERADO (2 O MAS CRITERIOS) VER MANEJO GUIA SUMINISTRO ASA Y CALCIO")),"Inicio oportuno de ASA",IF(AND(RV147&gt;12,OR(HK147="RIESGO ALTO DE COMPLICACIONES HIPERTENSIVAS VER MANEJO GUIA SUMINISTRO ASA Y CALCIO",HK147="RIESGO MODERADO (2 O MAS CRITERIOS) VER MANEJO GUIA SUMINISTRO ASA Y CALCIO")),"Inicio no oportuno mayor a 16 semanas",IF(AND(BU147&lt;12,OR(HK147="RIESGO ALTO DE COMPLICACIONES HIPERTENSIVAS VER MANEJO GUIA SUMINISTRO ASA Y CALCIO",HK147="RIESGO MODERADO (2 O MAS CRITERIOS) VER MANEJO GUIA SUMINISTRO ASA Y CALCIO")),"Pendiente Inicio de ASA a la semana 12",IF(AND(BU147&gt;11,BU147&lt;17,OR(HK147="RIESGO ALTO DE COMPLICACIONES HIPERTENSIVAS VER MANEJO GUIA SUMINISTRO ASA Y CALCIO",HK147="RIESGO MODERADO (2 O MAS CRITERIOS) VER MANEJO GUIA SUMINISTRO ASA Y CALCIO")),"Iniciar de inmediato ASA",IF(AND(BU147&gt;16,OR(HK147="RIESGO ALTO DE COMPLICACIONES HIPERTENSIVAS VER MANEJO GUIA SUMINISTRO ASA Y CALCIO",HK147="RIESGO MODERADO (2 O MAS CRITERIOS) VER MANEJO GUIA SUMINISTRO ASA Y CALCIO")),"Pierde Oportunidad, Inicio tardío de ASA","XXXXX"))))))))</f>
        <v>No Aplica para suministro de ASA</v>
      </c>
      <c r="HS147" s="22"/>
      <c r="HT147" s="22"/>
      <c r="HU147" s="22">
        <v>45028</v>
      </c>
      <c r="HV147" s="22" t="s">
        <v>870</v>
      </c>
      <c r="HW147" s="22">
        <v>45028</v>
      </c>
      <c r="HX147" s="22" t="s">
        <v>870</v>
      </c>
      <c r="HY147" s="22">
        <v>45029</v>
      </c>
      <c r="HZ147" s="28">
        <f t="shared" si="636"/>
        <v>9.1428571428571423</v>
      </c>
      <c r="IA147" s="26"/>
      <c r="IB147" s="26"/>
      <c r="IC147" s="111"/>
      <c r="ID147" s="22"/>
      <c r="IE147" s="22" t="str">
        <f t="shared" ca="1" si="637"/>
        <v>INASISTENTE</v>
      </c>
      <c r="IF147" s="22"/>
      <c r="IG147" s="22">
        <f t="shared" si="638"/>
        <v>45245</v>
      </c>
      <c r="IH147" s="29">
        <f t="shared" ca="1" si="639"/>
        <v>13</v>
      </c>
      <c r="II147" s="22" t="str">
        <f t="shared" ca="1" si="640"/>
        <v>MENOS DE 4 SEMANAS</v>
      </c>
      <c r="IJ147" s="22"/>
      <c r="IK147" s="21"/>
      <c r="IL147" s="21"/>
      <c r="IM147" s="34"/>
      <c r="IN147" s="22"/>
      <c r="IO147" s="21"/>
      <c r="IP147" s="29" t="str">
        <f t="shared" si="674"/>
        <v/>
      </c>
      <c r="IQ147" s="35"/>
      <c r="IR147" s="21"/>
      <c r="IS147" s="21"/>
      <c r="IT147" s="21"/>
      <c r="IU147" s="21"/>
      <c r="IV147" s="21"/>
      <c r="IW147" s="21"/>
      <c r="IX147" s="21"/>
      <c r="IY147" s="21"/>
      <c r="IZ147" s="21"/>
      <c r="JA147" s="21"/>
      <c r="JB147" s="30"/>
      <c r="JC147" s="21"/>
      <c r="JD147" s="36"/>
      <c r="JE147" s="21" t="str">
        <f t="shared" si="684"/>
        <v/>
      </c>
      <c r="JF147" s="30"/>
      <c r="JG147" s="21"/>
      <c r="JH147" s="21"/>
      <c r="JI147" s="21"/>
      <c r="JJ147" s="30"/>
      <c r="JK147" s="22"/>
      <c r="JL147" s="22"/>
      <c r="JM147" s="21"/>
      <c r="JN147" s="36"/>
      <c r="JO147" s="21" t="str">
        <f t="shared" si="685"/>
        <v/>
      </c>
      <c r="JP147" s="22"/>
      <c r="JQ147" s="21"/>
      <c r="JR147" s="21"/>
      <c r="JS147" s="21"/>
      <c r="JT147" s="30"/>
      <c r="JU147" s="22"/>
      <c r="JV147" s="22"/>
      <c r="JW147" s="33"/>
      <c r="JX147" s="28" t="str">
        <f t="shared" si="686"/>
        <v/>
      </c>
      <c r="JY147" s="33"/>
      <c r="JZ147" s="28" t="str">
        <f t="shared" si="687"/>
        <v/>
      </c>
      <c r="KA147" s="21"/>
      <c r="KB147" s="21"/>
      <c r="KC147" s="21"/>
      <c r="KD147" s="37"/>
      <c r="KE147" s="28"/>
      <c r="KF147" s="28"/>
      <c r="KG147" s="28"/>
      <c r="KH147" s="39"/>
      <c r="KI147" s="39"/>
      <c r="KJ147" s="66"/>
      <c r="KK147" s="39"/>
      <c r="KL147" s="39"/>
      <c r="KM147" s="66"/>
      <c r="KN147" s="39"/>
      <c r="KO147" s="39"/>
      <c r="KP147" s="39"/>
      <c r="KQ147" s="39"/>
      <c r="KR147" s="39"/>
      <c r="KS147" s="39"/>
      <c r="KT147" s="39"/>
      <c r="KU147" s="38"/>
      <c r="KV147" s="38"/>
      <c r="KW147" s="38"/>
      <c r="KX147" s="38"/>
      <c r="KY147" s="38"/>
      <c r="KZ147" s="38"/>
      <c r="LA147" s="38"/>
      <c r="LB147" s="38"/>
      <c r="LC147" s="38"/>
      <c r="LD147" s="38"/>
      <c r="LE147" s="38"/>
      <c r="LF147" s="38"/>
      <c r="LG147" s="38"/>
      <c r="LH147" s="38"/>
      <c r="LI147" s="38"/>
      <c r="LJ147" s="38"/>
      <c r="LK147" s="38"/>
      <c r="LL147" s="38"/>
      <c r="LM147" s="38"/>
      <c r="LN147" s="38"/>
      <c r="LO147" s="38"/>
      <c r="LP147" s="38"/>
      <c r="LQ147" s="38"/>
      <c r="LR147" s="38"/>
      <c r="LS147" s="38"/>
      <c r="LT147" s="38"/>
      <c r="LU147" s="38"/>
      <c r="LV147" s="38"/>
      <c r="LW147" s="38"/>
      <c r="LX147" s="38"/>
      <c r="LY147" s="38"/>
      <c r="LZ147" s="38"/>
      <c r="MA147" s="38"/>
      <c r="MB147" s="38"/>
      <c r="MC147" s="38"/>
      <c r="MD147" s="38"/>
      <c r="ME147" s="38"/>
      <c r="MF147" s="38"/>
      <c r="MG147" s="38"/>
      <c r="MH147" s="43">
        <f t="shared" si="641"/>
        <v>0</v>
      </c>
      <c r="MI147" s="43" t="str">
        <f t="shared" si="642"/>
        <v/>
      </c>
      <c r="MJ147" s="43" t="str">
        <f t="shared" si="643"/>
        <v/>
      </c>
      <c r="MK147" s="43">
        <f t="shared" si="644"/>
        <v>0</v>
      </c>
      <c r="ML14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47" s="43">
        <f t="shared" si="645"/>
        <v>9</v>
      </c>
      <c r="MN147" s="43">
        <f t="shared" si="646"/>
        <v>4</v>
      </c>
      <c r="MO147" s="43">
        <f t="shared" si="647"/>
        <v>2023</v>
      </c>
      <c r="MP147" s="43" t="str">
        <f t="shared" si="648"/>
        <v>II TRIMESTRE AÑO</v>
      </c>
      <c r="MQ147" s="43">
        <f t="shared" si="649"/>
        <v>18.706197985107313</v>
      </c>
      <c r="MR147" s="43">
        <f t="shared" si="650"/>
        <v>0</v>
      </c>
      <c r="MS147" s="43" t="str">
        <f t="shared" si="651"/>
        <v>DE 14 A 19AÑOS</v>
      </c>
      <c r="MT147" s="43">
        <f t="shared" si="652"/>
        <v>0</v>
      </c>
      <c r="MU147" s="43">
        <f t="shared" si="653"/>
        <v>1</v>
      </c>
      <c r="MV147" s="43">
        <f t="shared" si="654"/>
        <v>0</v>
      </c>
      <c r="MW147" s="43">
        <f t="shared" si="655"/>
        <v>0</v>
      </c>
      <c r="MX147" s="43" t="str">
        <f t="shared" si="656"/>
        <v/>
      </c>
      <c r="MY147" s="43" t="str">
        <f t="shared" ca="1" si="688"/>
        <v/>
      </c>
      <c r="MZ147" s="43" t="str">
        <f t="shared" si="657"/>
        <v/>
      </c>
      <c r="NA147" s="43" t="str">
        <f t="shared" si="658"/>
        <v/>
      </c>
      <c r="NB147" s="43" t="str">
        <f t="shared" si="659"/>
        <v/>
      </c>
      <c r="NC147" s="43" t="str">
        <f t="shared" si="660"/>
        <v/>
      </c>
      <c r="ND147" s="43">
        <f t="shared" ca="1" si="661"/>
        <v>1</v>
      </c>
      <c r="NE147" s="43">
        <f>IF(OR(O147&gt;0,R147&gt;0),SUM(COUNTIF(Tabla1[[#This Row],[AÑOS AL INICIO5 CPN]],"&gt;=40"),COUNTIF(AS147,"0"),COUNTIF(AR147,"SI"),COUNTIF(CC147,"SI"),COUNTIF(BQ147,"&gt;119"),COUNTIF(CI147,"&gt;=35")),"")</f>
        <v>1</v>
      </c>
      <c r="NF147" s="43" t="str">
        <f t="shared" si="662"/>
        <v/>
      </c>
      <c r="NG147" s="43">
        <f t="shared" si="663"/>
        <v>0</v>
      </c>
      <c r="NH147" s="43" t="str">
        <f t="shared" si="664"/>
        <v/>
      </c>
      <c r="NI14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CPN",P147="NO"),"Z",IF(AND(Tabla1[[#This Row],[CITA PROXIMO CONTROL]]="CITA MANUAL",Tabla1[[#This Row],[GESTANTES ACTUALES]]="ACTIVA INGRESO A CPN"),"W",IF(AND(Tabla1[[#This Row],[GESTANTES ACTUALES]]="SALIO PROGRAMA",IN147=""),"S",IF(AND(Tabla1[[#This Row],[CITA PROXIMO CONTROL]]&gt;0,IN147=""),(Tabla1[[#This Row],[CITA PROXIMO CONTROL]]-TODAY()),"SD"))))))))</f>
        <v>#REF!</v>
      </c>
      <c r="NJ147" s="43">
        <f>MONTH(Tabla1[[#This Row],[FECHA DE SALIDA  DEL PROGRAMA]])</f>
        <v>1</v>
      </c>
      <c r="NK147" s="43">
        <f>YEAR(Tabla1[[#This Row],[FECHA DE SALIDA  DEL PROGRAMA]])</f>
        <v>1900</v>
      </c>
      <c r="NL147" s="43" t="str">
        <f t="shared" si="665"/>
        <v>X</v>
      </c>
      <c r="NM147" s="43" t="str">
        <f t="shared" si="501"/>
        <v>NO</v>
      </c>
      <c r="NN147" s="43" t="str">
        <f ca="1">IF(AND(O147&gt;0,R147=""),"NO CPN",IF(AND(O147="",R147=""),"",IF(AND(R147&gt;0,Tabla1[[#This Row],[SEMANAS DE GESTACION ACTUALIZADAS]]&lt;=12),"NO APLICA",IF(AND(FH147&lt;&gt;"",FN147&lt;&gt;""),"SI","NO"))))</f>
        <v>NO</v>
      </c>
      <c r="NO147" s="43" t="str">
        <f ca="1">IF(AND(O147&gt;0,R147=""),"NO CPN",IF(AND(O147="",R147=""),"",IF(AND(R147&gt;0,Tabla1[[#This Row],[SEMANAS DE GESTACION ACTUALIZADAS]]&lt;=27),"NO APLICA",IF(AND(ES147&lt;&gt;"",FQ147&lt;&gt;"",GF147&lt;&gt;""),"SI","NO"))))</f>
        <v>NO</v>
      </c>
      <c r="NP147" s="204" t="str">
        <f t="shared" si="666"/>
        <v>DEFINIR CON ECO</v>
      </c>
      <c r="NQ147" s="21" t="str">
        <f t="shared" si="691"/>
        <v/>
      </c>
      <c r="NR147" s="21">
        <f t="shared" ca="1" si="689"/>
        <v>3</v>
      </c>
      <c r="NS147" s="205">
        <f t="shared" ca="1" si="667"/>
        <v>1</v>
      </c>
      <c r="NT147" s="21">
        <f t="shared" ca="1" si="668"/>
        <v>1</v>
      </c>
      <c r="NU147" s="21" t="str">
        <f t="shared" ca="1" si="669"/>
        <v>INCOMPLETO</v>
      </c>
      <c r="NV147" s="21" t="str">
        <f t="shared" ca="1" si="670"/>
        <v>INCOMPLETO</v>
      </c>
      <c r="NW147" s="206" t="str">
        <f>IF(AND(O147="",R147=""),"",IF(OR(AND(Tabla1[[#This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47" s="207" t="str">
        <f t="shared" ca="1" si="671"/>
        <v>SIN VACUNAR</v>
      </c>
      <c r="NY147" s="43">
        <f>ROW(Tabla1[[#This Row],['# DE TAMIZAJES SIFILIS TOMADOS ]])</f>
        <v>147</v>
      </c>
      <c r="NZ147" s="43" t="str">
        <f t="shared" si="502"/>
        <v>Menor</v>
      </c>
      <c r="OA147" s="43" t="str">
        <f t="shared" si="503"/>
        <v>NORMAL</v>
      </c>
      <c r="OB147" s="43" t="str">
        <f t="shared" si="504"/>
        <v/>
      </c>
      <c r="OC147" s="43" t="str">
        <f t="shared" si="505"/>
        <v/>
      </c>
      <c r="OD147" s="43" t="str">
        <f t="shared" si="506"/>
        <v/>
      </c>
      <c r="OE147" s="43" t="str">
        <f t="shared" si="507"/>
        <v/>
      </c>
      <c r="OF147" s="43" t="str">
        <f t="shared" si="508"/>
        <v/>
      </c>
      <c r="OG147" s="43" t="str">
        <f t="shared" si="509"/>
        <v/>
      </c>
      <c r="OH147" s="43" t="str">
        <f t="shared" si="510"/>
        <v/>
      </c>
      <c r="OI147" s="43" t="str">
        <f t="shared" si="511"/>
        <v/>
      </c>
      <c r="OJ147" s="43" t="str">
        <f t="shared" si="512"/>
        <v/>
      </c>
      <c r="OK147" s="43" t="str">
        <f t="shared" si="513"/>
        <v/>
      </c>
      <c r="OL147" s="43" t="str">
        <f t="shared" si="514"/>
        <v/>
      </c>
      <c r="OM147" s="43" t="str">
        <f t="shared" si="515"/>
        <v/>
      </c>
      <c r="ON147" s="43" t="str">
        <f t="shared" si="516"/>
        <v/>
      </c>
      <c r="OO147" s="43" t="str">
        <f t="shared" si="517"/>
        <v/>
      </c>
      <c r="OP147" s="43" t="str">
        <f t="shared" si="518"/>
        <v/>
      </c>
      <c r="OQ147" s="43" t="str">
        <f t="shared" si="519"/>
        <v/>
      </c>
      <c r="OR147" s="43" t="str">
        <f t="shared" si="520"/>
        <v/>
      </c>
      <c r="OS147" s="43" t="str">
        <f t="shared" si="521"/>
        <v/>
      </c>
      <c r="OT147" s="43" t="str">
        <f t="shared" si="522"/>
        <v/>
      </c>
      <c r="OU147" s="43" t="str">
        <f t="shared" si="523"/>
        <v/>
      </c>
      <c r="OV147" s="110" t="str">
        <f t="shared" si="524"/>
        <v/>
      </c>
      <c r="OW147" s="43" t="str">
        <f t="shared" si="525"/>
        <v/>
      </c>
      <c r="OX147" s="43" t="str">
        <f t="shared" si="526"/>
        <v/>
      </c>
      <c r="OY147" s="43" t="str">
        <f t="shared" si="527"/>
        <v/>
      </c>
      <c r="OZ147" s="43" t="str">
        <f t="shared" si="528"/>
        <v/>
      </c>
      <c r="PA147" s="43" t="str">
        <f t="shared" si="529"/>
        <v/>
      </c>
      <c r="PB147" s="43" t="str">
        <f t="shared" si="530"/>
        <v/>
      </c>
      <c r="PC147" s="43" t="str">
        <f t="shared" si="531"/>
        <v/>
      </c>
      <c r="PD147" s="43" t="str">
        <f t="shared" si="532"/>
        <v/>
      </c>
      <c r="PE147" s="43" t="str">
        <f t="shared" si="533"/>
        <v/>
      </c>
      <c r="PF147" s="43" t="str">
        <f t="shared" si="534"/>
        <v/>
      </c>
      <c r="PG147" s="43" t="str">
        <f t="shared" si="535"/>
        <v/>
      </c>
      <c r="PH147" s="43" t="str">
        <f t="shared" si="536"/>
        <v/>
      </c>
      <c r="PI147" s="43">
        <f t="shared" si="537"/>
        <v>24</v>
      </c>
      <c r="PJ147" s="43" t="str">
        <f t="shared" si="538"/>
        <v/>
      </c>
      <c r="PK147" s="43" t="str">
        <f t="shared" si="539"/>
        <v/>
      </c>
      <c r="PL147" s="43" t="str">
        <f t="shared" si="540"/>
        <v/>
      </c>
      <c r="PM147" s="43" t="str">
        <f t="shared" si="541"/>
        <v/>
      </c>
      <c r="PN147" s="43" t="str">
        <f t="shared" si="542"/>
        <v/>
      </c>
      <c r="PO147" s="43" t="str">
        <f t="shared" si="543"/>
        <v/>
      </c>
      <c r="PP147" s="43" t="str">
        <f t="shared" si="544"/>
        <v/>
      </c>
      <c r="PQ147" s="43" t="str">
        <f t="shared" si="545"/>
        <v/>
      </c>
      <c r="PR147" s="43" t="str">
        <f t="shared" si="546"/>
        <v/>
      </c>
      <c r="PS147" s="43" t="str">
        <f t="shared" si="547"/>
        <v/>
      </c>
      <c r="PT147" s="43" t="str">
        <f t="shared" si="548"/>
        <v/>
      </c>
      <c r="PU147" s="43" t="str">
        <f t="shared" si="549"/>
        <v/>
      </c>
      <c r="PV147" s="43" t="str">
        <f t="shared" si="550"/>
        <v/>
      </c>
      <c r="PW147" s="43" t="str">
        <f t="shared" si="551"/>
        <v/>
      </c>
      <c r="PX147" s="43" t="str">
        <f t="shared" si="552"/>
        <v/>
      </c>
      <c r="PY147" s="43" t="str">
        <f t="shared" si="553"/>
        <v>NORMAL</v>
      </c>
      <c r="PZ147" s="43" t="str">
        <f t="shared" si="554"/>
        <v/>
      </c>
      <c r="QA147" s="43" t="str">
        <f t="shared" si="555"/>
        <v/>
      </c>
      <c r="QB147" s="43" t="str">
        <f t="shared" si="556"/>
        <v/>
      </c>
      <c r="QC147" s="43" t="str">
        <f t="shared" si="557"/>
        <v/>
      </c>
      <c r="QD147" s="43" t="str">
        <f t="shared" si="558"/>
        <v/>
      </c>
      <c r="QE147" s="43" t="str">
        <f t="shared" si="559"/>
        <v/>
      </c>
      <c r="QF147" s="43" t="str">
        <f t="shared" si="560"/>
        <v/>
      </c>
      <c r="QG147" s="43" t="str">
        <f t="shared" si="561"/>
        <v/>
      </c>
      <c r="QH147" s="43" t="str">
        <f t="shared" si="562"/>
        <v/>
      </c>
      <c r="QI147" s="43" t="str">
        <f t="shared" si="563"/>
        <v/>
      </c>
      <c r="QJ147" s="43" t="str">
        <f t="shared" si="564"/>
        <v/>
      </c>
      <c r="QK147" s="43" t="str">
        <f t="shared" si="565"/>
        <v/>
      </c>
      <c r="QL147" s="43" t="str">
        <f t="shared" si="566"/>
        <v/>
      </c>
      <c r="QM147" s="43" t="str">
        <f t="shared" si="567"/>
        <v/>
      </c>
      <c r="QN147" s="43" t="str">
        <f t="shared" si="568"/>
        <v/>
      </c>
      <c r="QO147" s="43" t="str">
        <f t="shared" si="569"/>
        <v/>
      </c>
      <c r="QP147" s="43" t="str">
        <f t="shared" si="570"/>
        <v/>
      </c>
      <c r="QQ147" s="43" t="str">
        <f t="shared" si="571"/>
        <v/>
      </c>
      <c r="QR147" s="43">
        <f t="shared" si="672"/>
        <v>24</v>
      </c>
      <c r="QS147" s="43"/>
      <c r="QT147" s="21" t="str">
        <f t="shared" si="572"/>
        <v/>
      </c>
      <c r="QU147" s="21" t="str">
        <f t="shared" si="573"/>
        <v/>
      </c>
      <c r="QV147" s="21" t="str">
        <f t="shared" si="574"/>
        <v/>
      </c>
      <c r="QW147" s="21" t="str">
        <f t="shared" si="575"/>
        <v/>
      </c>
      <c r="QX147" s="21" t="str">
        <f t="shared" si="576"/>
        <v/>
      </c>
      <c r="QY147" s="21" t="str">
        <f t="shared" si="577"/>
        <v/>
      </c>
      <c r="QZ147" s="21" t="str">
        <f t="shared" si="578"/>
        <v/>
      </c>
      <c r="RA147" s="21" t="str">
        <f t="shared" si="579"/>
        <v/>
      </c>
      <c r="RB147" s="21" t="str">
        <f t="shared" si="580"/>
        <v/>
      </c>
      <c r="RC147" s="21" t="str">
        <f t="shared" si="581"/>
        <v/>
      </c>
      <c r="RD147" s="21" t="str">
        <f t="shared" si="582"/>
        <v/>
      </c>
      <c r="RE147" s="21" t="str">
        <f t="shared" si="583"/>
        <v>ADECUADO PARA EDAD GESTACIONAL</v>
      </c>
      <c r="RF147" s="21" t="str">
        <f t="shared" si="584"/>
        <v/>
      </c>
      <c r="RG147" s="21" t="str">
        <f t="shared" si="585"/>
        <v/>
      </c>
      <c r="RH147" s="21" t="str">
        <f t="shared" si="586"/>
        <v/>
      </c>
      <c r="RI147" s="21" t="str">
        <f t="shared" si="587"/>
        <v/>
      </c>
      <c r="RJ147" s="21" t="str">
        <f t="shared" si="588"/>
        <v/>
      </c>
      <c r="RK147" s="21" t="str">
        <f t="shared" si="589"/>
        <v/>
      </c>
      <c r="RL147" s="21" t="str">
        <f t="shared" si="590"/>
        <v/>
      </c>
      <c r="RM147" s="21" t="str">
        <f t="shared" si="591"/>
        <v/>
      </c>
      <c r="RN147" s="21" t="str">
        <f t="shared" si="592"/>
        <v/>
      </c>
      <c r="RO147" s="21" t="str">
        <f t="shared" si="593"/>
        <v/>
      </c>
      <c r="RP147" s="21" t="str">
        <f t="shared" si="594"/>
        <v/>
      </c>
      <c r="RQ147" s="21" t="str">
        <f t="shared" si="595"/>
        <v/>
      </c>
      <c r="RR147" s="21" t="str">
        <f t="shared" si="596"/>
        <v/>
      </c>
      <c r="RS147" s="21" t="str">
        <f t="shared" si="597"/>
        <v/>
      </c>
      <c r="RT147" s="21" t="str">
        <f t="shared" si="598"/>
        <v/>
      </c>
      <c r="RU147" s="21" t="str">
        <f t="shared" si="599"/>
        <v/>
      </c>
      <c r="RV147" s="21">
        <f t="shared" si="600"/>
        <v>-1</v>
      </c>
      <c r="RW147" s="284">
        <f>IF(OR(Tabla1[[#This Row],[FUM FORMULA CONFIABLE]]="",Tabla1[[#This Row],[FUM FORMULA CONFIABLE]]="SD"),"",IF(Tabla1[[#This Row],[FUM FORMULA CONFIABLE]]="CORREGIDA",Tabla1[[#This Row],[FUM X ECO 1]],Tabla1[[#This Row],[FUM x AMENORREA]]))</f>
        <v>44965</v>
      </c>
      <c r="RX147" s="21" t="str">
        <f>IF(AND(Tabla1[[#This Row],[FUM X ECO 1]]="",Tabla1[[#This Row],[FUM x AMENORREA]]=""),"",IF(AND(Tabla1[[#This Row],[FUM X ECO 1]]="",Tabla1[[#This Row],[FUM x AMENORREA]]&lt;&gt;""),"X",SUM(Tabla1[[#This Row],[FUM X ECO 1]]-Tabla1[[#This Row],[FUM x AMENORREA]])))</f>
        <v>X</v>
      </c>
      <c r="RY147" s="21" t="str">
        <f t="shared" si="673"/>
        <v>x</v>
      </c>
    </row>
    <row r="148" spans="1:493" ht="45" customHeight="1" x14ac:dyDescent="0.25">
      <c r="A148" s="109"/>
      <c r="B148" s="43"/>
      <c r="C148" s="43" t="s">
        <v>845</v>
      </c>
      <c r="D148" s="124"/>
      <c r="E148" s="43" t="s">
        <v>1144</v>
      </c>
      <c r="F148" s="43" t="s">
        <v>884</v>
      </c>
      <c r="G148" s="43" t="s">
        <v>1432</v>
      </c>
      <c r="H148" s="43" t="s">
        <v>1433</v>
      </c>
      <c r="I148" s="109" t="s">
        <v>1094</v>
      </c>
      <c r="J148" s="110">
        <v>1059596594</v>
      </c>
      <c r="K148" s="43" t="s">
        <v>852</v>
      </c>
      <c r="L148" s="175" t="s">
        <v>1509</v>
      </c>
      <c r="M148" s="22">
        <v>39610</v>
      </c>
      <c r="N148" s="213">
        <f t="shared" ca="1" si="601"/>
        <v>15.402739726027397</v>
      </c>
      <c r="O148" s="22">
        <v>45029</v>
      </c>
      <c r="P148" s="214" t="str">
        <f t="shared" si="675"/>
        <v>SI</v>
      </c>
      <c r="Q148" s="26" t="s">
        <v>855</v>
      </c>
      <c r="R148" s="22">
        <v>45029</v>
      </c>
      <c r="S148" s="21" t="s">
        <v>856</v>
      </c>
      <c r="T148" s="24" t="s">
        <v>690</v>
      </c>
      <c r="U148" s="21" t="s">
        <v>857</v>
      </c>
      <c r="V148" s="21" t="s">
        <v>858</v>
      </c>
      <c r="W148" s="21" t="s">
        <v>893</v>
      </c>
      <c r="X148" s="21"/>
      <c r="Y148" s="21" t="s">
        <v>859</v>
      </c>
      <c r="Z148" s="21" t="s">
        <v>1566</v>
      </c>
      <c r="AA148" s="21" t="s">
        <v>860</v>
      </c>
      <c r="AB148" s="27" t="s">
        <v>861</v>
      </c>
      <c r="AC148" s="26" t="s">
        <v>1434</v>
      </c>
      <c r="AD148" s="38" t="s">
        <v>1546</v>
      </c>
      <c r="AE148" s="26" t="s">
        <v>854</v>
      </c>
      <c r="AF148" s="26" t="s">
        <v>854</v>
      </c>
      <c r="AG148" s="23" t="s">
        <v>864</v>
      </c>
      <c r="AH148" s="23" t="s">
        <v>864</v>
      </c>
      <c r="AI148" s="24" t="s">
        <v>863</v>
      </c>
      <c r="AJ148" s="23" t="s">
        <v>864</v>
      </c>
      <c r="AK148" s="220" t="str">
        <f>IF(AND(AD148="",AE148="",AF148="",AG148="",AH148="",AI148="",AJ148=""),"",IF(OR(Tabla1[[#This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EVALUACIÓN",IF(AND(O148="",R148=""),"",IF(AND(OR(O148&gt;0,R148&gt;0),NG148&gt;=0,NG148&lt;2),"SIN RIESGO",IF(AND(OR(O148&gt;0,R148&gt;0),NG148&gt;=2),"CON RIESGO","ASD")))))</f>
        <v>SIN RIESGO</v>
      </c>
      <c r="AL148" s="23" t="s">
        <v>864</v>
      </c>
      <c r="AM148" s="26" t="s">
        <v>864</v>
      </c>
      <c r="AN148" s="26" t="s">
        <v>864</v>
      </c>
      <c r="AO148" s="26" t="s">
        <v>864</v>
      </c>
      <c r="AP148" s="26" t="s">
        <v>864</v>
      </c>
      <c r="AQ148" s="26" t="s">
        <v>864</v>
      </c>
      <c r="AR148" s="26" t="s">
        <v>864</v>
      </c>
      <c r="AS148" s="21">
        <v>0</v>
      </c>
      <c r="AT148" s="21">
        <v>0</v>
      </c>
      <c r="AU148" s="21">
        <v>0</v>
      </c>
      <c r="AV148" s="26" t="s">
        <v>864</v>
      </c>
      <c r="AW148" s="21">
        <v>0</v>
      </c>
      <c r="AX148" s="26" t="s">
        <v>864</v>
      </c>
      <c r="AY148" s="26" t="s">
        <v>864</v>
      </c>
      <c r="AZ148" s="26" t="s">
        <v>864</v>
      </c>
      <c r="BA148" s="26" t="s">
        <v>864</v>
      </c>
      <c r="BB148" s="26" t="s">
        <v>864</v>
      </c>
      <c r="BC148" s="26" t="s">
        <v>864</v>
      </c>
      <c r="BD148" s="26" t="s">
        <v>864</v>
      </c>
      <c r="BE148" s="26" t="s">
        <v>864</v>
      </c>
      <c r="BF148" s="26" t="s">
        <v>864</v>
      </c>
      <c r="BG148" s="26" t="s">
        <v>864</v>
      </c>
      <c r="BH148" s="26" t="s">
        <v>864</v>
      </c>
      <c r="BI148" s="26" t="s">
        <v>864</v>
      </c>
      <c r="BJ148" s="26" t="s">
        <v>864</v>
      </c>
      <c r="BK148" s="26" t="s">
        <v>864</v>
      </c>
      <c r="BL148" s="26" t="s">
        <v>864</v>
      </c>
      <c r="BM148" s="26" t="s">
        <v>864</v>
      </c>
      <c r="BN148" s="22"/>
      <c r="BO148" s="22">
        <v>44929</v>
      </c>
      <c r="BP148" s="21" t="s">
        <v>854</v>
      </c>
      <c r="BQ148" s="222">
        <f t="shared" si="602"/>
        <v>0</v>
      </c>
      <c r="BR148" s="223">
        <f t="shared" si="603"/>
        <v>44939</v>
      </c>
      <c r="BS148" s="224">
        <f t="shared" si="604"/>
        <v>14.285714285714286</v>
      </c>
      <c r="BT148" s="216" t="str">
        <f t="shared" si="605"/>
        <v>II TRIM</v>
      </c>
      <c r="BU148" s="214" t="str">
        <f t="shared" ca="1" si="606"/>
        <v/>
      </c>
      <c r="BV148" s="25" t="s">
        <v>988</v>
      </c>
      <c r="BW148" s="22">
        <v>45121</v>
      </c>
      <c r="BX148" s="28">
        <v>26</v>
      </c>
      <c r="BY148" s="28"/>
      <c r="BZ148" s="22"/>
      <c r="CA148" s="21"/>
      <c r="CB148" s="26" t="s">
        <v>864</v>
      </c>
      <c r="CC148" s="26" t="s">
        <v>864</v>
      </c>
      <c r="CD148" s="26"/>
      <c r="CE148" s="26" t="s">
        <v>864</v>
      </c>
      <c r="CF148" s="22" t="s">
        <v>1517</v>
      </c>
      <c r="CG148" s="21">
        <v>1.35</v>
      </c>
      <c r="CH148" s="21">
        <v>40</v>
      </c>
      <c r="CI148" s="214">
        <f t="shared" si="607"/>
        <v>21.947873799725649</v>
      </c>
      <c r="CJ148" s="225" t="e">
        <f>IF(AND(CI148&lt;10,CH148="SD"),"SIN DATO PESO PREGESTACION O I TRIM",IF(AND(OR(R148&gt;0,O148&gt;0),CI148="X"),"INGRESAR DATO DE PESO",IF(CI148="SD","INGRESAR DATO DE TALLA Y PESO",IF(AND(OR(Tabla1[[#This Row],[MOMENTO EN QUE SE REALIZA EL PESO AL INGRESO A CPN]]="PREGESTACIÓN",NZ148="Menor"),CI148&lt;18.5),"BAJO PESO",IF(AND(OR(Tabla1[[#This Row],[MOMENTO EN QUE SE REALIZA EL PESO AL INGRESO A CPN]]="PREGESTACIÓN",NZ148="Menor"),CI148&lt;25),"NORMAL",IF(AND(OR(Tabla1[[#This Row],[MOMENTO EN QUE SE REALIZA EL PESO AL INGRESO A CPN]]="PREGESTACIÓN",NZ148="Menor"),CI148&lt;30),"SOBREPESO",IF(AND(OR(Tabla1[[#This Row],[MOMENTO EN QUE SE REALIZA EL PESO AL INGRESO A CPN]]="PREGESTACIÓN",NZ148="Menor"),CI148&gt;=30,CI148&lt;50),"OBESIDAD",IF(AND(BS148&gt;0,Tabla1[[#This Row],[MOMENTO EN QUE SE REALIZA EL PESO AL INGRESO A CPN]]="GESTACIÓN"),HLOOKUP(NZ148,$OA$2:PH148,NY148),""))))))))</f>
        <v>#REF!</v>
      </c>
      <c r="CK148" s="212">
        <f t="shared" si="608"/>
        <v>45120</v>
      </c>
      <c r="CL148" s="21">
        <v>40</v>
      </c>
      <c r="CM148" s="214">
        <f t="shared" si="609"/>
        <v>21.947873799725649</v>
      </c>
      <c r="CN148" s="216">
        <f t="shared" si="610"/>
        <v>27</v>
      </c>
      <c r="CO148" s="216" t="e">
        <f>IF(PI148="","",IF(PI148&gt;0,HLOOKUP(PI148,$PJ$2:QQ148,NY148),""))</f>
        <v>#REF!</v>
      </c>
      <c r="CP148" s="21">
        <v>30</v>
      </c>
      <c r="CQ148" s="216" t="e">
        <f>IF(QR148="Menor","NO APLICA-MENOR 13 SEM",IF(AND(CC148="SI",CN148&gt;23),"NO APLICA- GEMELAR",IF(QR148="","",IF(QR148&gt;0,HLOOKUP(QR148,$QS$2:RU148,NY148),""))))</f>
        <v>#REF!</v>
      </c>
      <c r="CR148" s="21"/>
      <c r="CS148" s="21"/>
      <c r="CT148" s="217" t="str">
        <f>IF(R148="","",IF(AND(BS148&gt;1,BS148&lt;12,Tabla1[[#This Row],[T.A. SISTOLICA - ANTES DE SEMANA 12]]="",Tabla1[[#This Row],[T.A. DIASTOLICA - ANTES DE SEMANA 12]]=""),"REGISTRE DATO TA ANTES SEMANA 12",IF(AND(BS148&gt;11,BS148&lt;43,Tabla1[[#This Row],[T.A. SISTOLICA - ANTES DE SEMANA 12]]="",Tabla1[[#This Row],[T.A. DIASTOLICA - ANTES DE SEMANA 12]]=""),"NO APLICA REGISTRO TA-INGRESO TARDIO",IF(AND(OR(O148&gt;0,R148&gt;0),OR(CR148&gt;=140,CS148&gt;=90)),"DEFINIR ESTADIO HTA",IF(AND(OR(O148&gt;0,R148&gt;0),AND(CR148&gt;120,CR148&lt;=139)),"PRE HTA SEGUIMIENTO",IF(AND(OR(O148&gt;0,R148&gt;0),AND(CS148&gt;80,CS148&lt;=89)),"PRE HTA SEGUIMIENTO",IF(AND(OR(O148&gt;0,R148&gt;0),AND(CR148&gt;=80,CR148&lt;=120)),"APARENTEMENTE NORMAL",IF(AND(OR(O148&gt;0,R148&gt;0),AND(CS148&gt;=50,CS148&lt;=80)),"APARENTEMENTE NORMAL",IF(AND(OR(O148&gt;0,R148&gt;0),AND(CR148&gt;1,CR148&lt;=70),AND(CS148&gt;1,CS148&lt;=40)),"HIPOTENSIÓN","")))))))))</f>
        <v>NO APLICA REGISTRO TA-INGRESO TARDIO</v>
      </c>
      <c r="CU148" s="21"/>
      <c r="CV148" s="21"/>
      <c r="CW148" s="217" t="str">
        <f ca="1">IF(R148="","",IF(AND(CN148&gt;19,CN148&lt;27,Tabla1[[#This Row],[T.A. SISTOLICA (Entre semana 20 y 26)]]="",Tabla1[[#This Row],[T.A. DIATOLICA (Entre semana 20 y 26)]]=""),"ACUDE A CONTROL SEM 20 A 26 REGISTRE TA AHORA",IF(AND(BS148&gt;1,BS148&lt;27,BU148&gt;19,Tabla1[[#This Row],[T.A. SISTOLICA (Entre semana 20 y 26)]]="",Tabla1[[#This Row],[T.A. DIATOLICA (Entre semana 20 y 26)]]=""),"COMPLETE REGISTRO TA CONTROL SEM 20 A26 ",IF(AND(BS148&gt;26,BS148&lt;43,Tabla1[[#This Row],[T.A. SISTOLICA (Entre semana 20 y 26)]]="",Tabla1[[#This Row],[T.A. DIATOLICA (Entre semana 20 y 26)]]=""),"NO APLICA REGISTRO TA-INGRESO TARDIO",IF(AND(OR(O148&gt;0,R148&gt;0),OR(CU148&gt;=140,CV148&gt;=90)),"ALTO RIESGO PREECLAMPSIA,DEFINIR ESTADIO HTA",IF(AND(OR(O148&gt;0,R148&gt;0),AND(CU148&gt;120,CU148&lt;=139)),"PRE HTA SEGUIMIENTO,RIESGO HIPERTENSION INDUCIDA POR EL EMBARAZO",IF(AND(OR(O148&gt;0,R148&gt;0),AND(CV148&gt;80,CV148&lt;=89)),"PRE HTA SEGUIMIENTO, RIESGO HIPERTENSION INDUCIDA POR EL EMBARAZO",IF(AND(OR(O148&lt;&gt;"",R148&lt;&gt;""),CS148&lt;&gt;"",CV148&lt;&gt;"",CS148&lt;=CV148),"VIGILAR CIFRAS PRESION ARTERIAL",IF(AND(OR(O148&gt;0,R148&gt;0),AND(CU148&gt;120,CU148&lt;=139)),"PRE HTA SEGUIMIENTO",IF(AND(OR(O148&gt;0,R148&gt;0),AND(CU148&gt;1,CU148&lt;=70),AND(CV148&gt;1,CV148&lt;=40)),"HIPOTENSIÓN",IF(AND(OR(O148&lt;&gt;"",R148&lt;&gt;""),CS148&lt;&gt;"",CV148&lt;&gt;"",CS148&gt;CV148),"APARENTEMENTE NORMAL",IF(AND(OR(O148&gt;0,R148&gt;0),AND(CU148&gt;=80,CU148&lt;=120)),"APARENTEMENTE NORMAL",IF(AND(OR(O148&gt;0,R148&gt;0),AND(CV148&gt;=50,CV148&lt;=80)),"APARENTEMENTE NORMAL","")))))))))))))</f>
        <v xml:space="preserve">COMPLETE REGISTRO TA CONTROL SEM 20 A26 </v>
      </c>
      <c r="CX148" s="21"/>
      <c r="CY148" s="21"/>
      <c r="CZ148" s="216" t="str">
        <f t="shared" si="690"/>
        <v/>
      </c>
      <c r="DA148" s="21">
        <v>100</v>
      </c>
      <c r="DB148" s="21">
        <v>60</v>
      </c>
      <c r="DC148" s="217" t="str">
        <f t="shared" si="611"/>
        <v>APARENTEMENTE NORMAL</v>
      </c>
      <c r="DD148" s="22">
        <v>45029</v>
      </c>
      <c r="DE148" s="22">
        <v>45029</v>
      </c>
      <c r="DF148" s="22">
        <v>45120</v>
      </c>
      <c r="DG148" s="22"/>
      <c r="DH148" s="22"/>
      <c r="DI148" s="22"/>
      <c r="DJ148" s="22"/>
      <c r="DK148" s="22"/>
      <c r="DL148" s="22"/>
      <c r="DM148" s="22"/>
      <c r="DN148" s="22"/>
      <c r="DO148" s="22"/>
      <c r="DP148" s="22"/>
      <c r="DQ148" s="22"/>
      <c r="DR148" s="28"/>
      <c r="DS148" s="22"/>
      <c r="DT148" s="22"/>
      <c r="DU148" s="216" t="str">
        <f t="shared" ca="1" si="676"/>
        <v>CONCERTAR PLAN DE PARTO INMEDIATO</v>
      </c>
      <c r="DV148" s="226" t="str">
        <f t="shared" si="677"/>
        <v>ACTIVA INGRESO A CPN</v>
      </c>
      <c r="DW14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48" s="216" t="e">
        <f t="shared" ca="1" si="612"/>
        <v>#REF!</v>
      </c>
      <c r="DY148" s="212">
        <f>IF(R148="","",IF(R148&gt;0,MAX(Tabla1[[#This Row],[FECHA C2]:[FECHA C13]],Tabla1[[#This Row],[FECHA CONSULTA PRIMERA VEZ PROGRAMA CPN ]])))</f>
        <v>45120</v>
      </c>
      <c r="DZ148" s="216">
        <f t="shared" si="613"/>
        <v>27</v>
      </c>
      <c r="EA148" s="222">
        <f>IF(R148&gt;0,SUM(COUNTA(DF148:DQ148)+COUNTA(Tabla1[[#This Row],[FECHA CONSULTA PRIMERA VEZ PROGRAMA CPN ]])),"")</f>
        <v>2</v>
      </c>
      <c r="EB148" s="222" t="str">
        <f t="shared" si="614"/>
        <v>NO</v>
      </c>
      <c r="EC148" s="214">
        <f t="shared" si="615"/>
        <v>8</v>
      </c>
      <c r="ED148" s="227">
        <f t="shared" si="616"/>
        <v>0.25</v>
      </c>
      <c r="EE148" s="22">
        <v>45029</v>
      </c>
      <c r="EF148" s="22">
        <v>45121</v>
      </c>
      <c r="EG148" s="22">
        <v>45029</v>
      </c>
      <c r="EH148" s="22"/>
      <c r="EI148" s="22">
        <v>45029</v>
      </c>
      <c r="EJ148" s="22"/>
      <c r="EK148" s="22"/>
      <c r="EL148" s="21"/>
      <c r="EM148" s="21">
        <v>11.4</v>
      </c>
      <c r="EN148" s="22">
        <v>45029</v>
      </c>
      <c r="EO148" s="222">
        <f t="shared" si="617"/>
        <v>14.285714285714286</v>
      </c>
      <c r="EP148" s="214" t="str">
        <f t="shared" si="618"/>
        <v>NORMAL- SUMINISTRAR SULFATO FERROSO</v>
      </c>
      <c r="EQ148" s="216" t="str">
        <f t="shared" si="619"/>
        <v>II TRIM</v>
      </c>
      <c r="ER148" s="24">
        <v>12</v>
      </c>
      <c r="ES148" s="22">
        <v>45121</v>
      </c>
      <c r="ET148" s="29">
        <f t="shared" ca="1" si="678"/>
        <v>27.428571428571427</v>
      </c>
      <c r="EU148" s="25" t="str">
        <f t="shared" si="620"/>
        <v>NORMAL- SUMINISTRAR SULFATO FERROSO</v>
      </c>
      <c r="EV148" s="24"/>
      <c r="EW148" s="24"/>
      <c r="EX148" s="22"/>
      <c r="EY148" s="29" t="str">
        <f t="shared" si="454"/>
        <v>TOMAR EXAMEN</v>
      </c>
      <c r="EZ148" s="25" t="str">
        <f t="shared" ca="1" si="455"/>
        <v/>
      </c>
      <c r="FA148" s="21">
        <v>60</v>
      </c>
      <c r="FB148" s="22">
        <v>45029</v>
      </c>
      <c r="FC148" s="29">
        <f t="shared" si="621"/>
        <v>14.285714285714286</v>
      </c>
      <c r="FD148" s="29">
        <v>53</v>
      </c>
      <c r="FE148" s="29">
        <v>64</v>
      </c>
      <c r="FF148" s="29">
        <v>121</v>
      </c>
      <c r="FG148" s="21" t="str">
        <f t="shared" ca="1" si="622"/>
        <v>NORMAL</v>
      </c>
      <c r="FH148" s="31">
        <v>45121</v>
      </c>
      <c r="FI148" s="29">
        <f t="shared" si="623"/>
        <v>27.428571428571427</v>
      </c>
      <c r="FJ148" s="22"/>
      <c r="FK148" s="22"/>
      <c r="FL148" s="29" t="str">
        <f t="shared" ca="1" si="624"/>
        <v>NO APLICA-INGRESO TARDIO</v>
      </c>
      <c r="FM148" s="22" t="s">
        <v>867</v>
      </c>
      <c r="FN148" s="32">
        <v>45029</v>
      </c>
      <c r="FO148" s="29">
        <f t="shared" ca="1" si="679"/>
        <v>14.285714285714286</v>
      </c>
      <c r="FP148" s="22" t="s">
        <v>867</v>
      </c>
      <c r="FQ148" s="32">
        <v>45121</v>
      </c>
      <c r="FR148" s="29">
        <f t="shared" ca="1" si="680"/>
        <v>27.428571428571427</v>
      </c>
      <c r="FS148" s="22"/>
      <c r="FT148" s="32"/>
      <c r="FU148" s="29" t="str">
        <f>IF(AND(FJ148="",FM148="",FP148="",FS148=""),"",IF(OR(OR(Tabla1[[#This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48" s="28"/>
      <c r="FW148" s="22"/>
      <c r="FX148" s="29" t="str">
        <f t="shared" si="625"/>
        <v>TOMAR EXAMEN</v>
      </c>
      <c r="FY148" s="22"/>
      <c r="FZ148" s="22"/>
      <c r="GA148" s="29" t="str">
        <f t="shared" ca="1" si="498"/>
        <v>NO APLICA-INGRESO TARDIO</v>
      </c>
      <c r="GB148" s="22" t="s">
        <v>868</v>
      </c>
      <c r="GC148" s="22">
        <v>45029</v>
      </c>
      <c r="GD148" s="29">
        <f t="shared" ca="1" si="681"/>
        <v>14.285714285714286</v>
      </c>
      <c r="GE148" s="22"/>
      <c r="GF148" s="22"/>
      <c r="GG148" s="29" t="str">
        <f t="shared" ca="1" si="682"/>
        <v>TOMA INMEDIATA DE TAMIZAJE</v>
      </c>
      <c r="GH148" s="22"/>
      <c r="GI148" s="29"/>
      <c r="GJ148" s="22"/>
      <c r="GK148" s="22"/>
      <c r="GL148" s="22"/>
      <c r="GM148" s="22"/>
      <c r="GN148" s="28" t="s">
        <v>869</v>
      </c>
      <c r="GO148" s="22">
        <v>45029</v>
      </c>
      <c r="GP148" s="29">
        <f t="shared" si="626"/>
        <v>14.285714285714286</v>
      </c>
      <c r="GQ148" s="28" t="s">
        <v>869</v>
      </c>
      <c r="GR148" s="28" t="s">
        <v>869</v>
      </c>
      <c r="GS148" s="22" t="str">
        <f t="shared" si="627"/>
        <v>CONTROL Igm</v>
      </c>
      <c r="GT148" s="22">
        <v>45121</v>
      </c>
      <c r="GU148" s="29">
        <f t="shared" si="628"/>
        <v>27.428571428571427</v>
      </c>
      <c r="GV148" s="21" t="str">
        <f t="shared" si="629"/>
        <v>II TRIM</v>
      </c>
      <c r="GW148" s="28" t="s">
        <v>869</v>
      </c>
      <c r="GX148" s="30"/>
      <c r="GY148" s="21"/>
      <c r="GZ148" s="21"/>
      <c r="HA148" s="21"/>
      <c r="HB148" s="21"/>
      <c r="HC148" s="21"/>
      <c r="HD148" s="21"/>
      <c r="HE148" s="21"/>
      <c r="HF148" s="22"/>
      <c r="HG148" s="22" t="str">
        <f>IF(OR(O148&gt;0,R148&gt;0),CONCATENATE(IF(Tabla1[[#This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48" s="22" t="e">
        <f t="shared" si="630"/>
        <v>#REF!</v>
      </c>
      <c r="HI148" s="22" t="e">
        <f t="shared" ca="1" si="631"/>
        <v>#REF!</v>
      </c>
      <c r="HJ148" s="21" t="str">
        <f t="shared" ca="1" si="632"/>
        <v>**********************MULTIPARIDAD**RIESGO POR EDAD***************</v>
      </c>
      <c r="HK148" s="21" t="str">
        <f t="shared" si="633"/>
        <v>SIN ANTECEDENTES DE RIESGO</v>
      </c>
      <c r="HL148" s="24" t="str">
        <f t="shared" si="634"/>
        <v>APARENTEMENTE NORMAL</v>
      </c>
      <c r="HM148" s="21" t="e">
        <f t="shared" ca="1" si="635"/>
        <v>#REF!</v>
      </c>
      <c r="HN148" s="30" t="str">
        <f t="shared" si="683"/>
        <v>ACTIVA INGRESO A CPN</v>
      </c>
      <c r="HO148" s="21"/>
      <c r="HP148" s="21"/>
      <c r="HQ148" s="349">
        <v>45029</v>
      </c>
      <c r="HR148" s="21" t="str">
        <f>IF(R148="","",IF(Tabla1[[#This Row],[ALARMA FACTORES DE RIESGO COMPLICACIONES HIPERTENSIVAS3]]="SIN ANTECEDENTES DE RIESGO","No Aplica para suministro de ASA",IF(AND(Tabla1[[#This Row],[FECHA INICIO DE SUMINISTRO DE ASA]]&gt;0,RV148&lt;12),"Inicia ASA ANTES de Sem 12",IF(AND(RV148&gt;11,RV148&lt;17,OR(HK148="RIESGO ALTO DE COMPLICACIONES HIPERTENSIVAS VER MANEJO GUIA SUMINISTRO ASA Y CALCIO",HK148="RIESGO MODERADO (2 O MAS CRITERIOS) VER MANEJO GUIA SUMINISTRO ASA Y CALCIO")),"Inicio oportuno de ASA",IF(AND(RV148&gt;12,OR(HK148="RIESGO ALTO DE COMPLICACIONES HIPERTENSIVAS VER MANEJO GUIA SUMINISTRO ASA Y CALCIO",HK148="RIESGO MODERADO (2 O MAS CRITERIOS) VER MANEJO GUIA SUMINISTRO ASA Y CALCIO")),"Inicio no oportuno mayor a 16 semanas",IF(AND(BU148&lt;12,OR(HK148="RIESGO ALTO DE COMPLICACIONES HIPERTENSIVAS VER MANEJO GUIA SUMINISTRO ASA Y CALCIO",HK148="RIESGO MODERADO (2 O MAS CRITERIOS) VER MANEJO GUIA SUMINISTRO ASA Y CALCIO")),"Pendiente Inicio de ASA a la semana 12",IF(AND(BU148&gt;11,BU148&lt;17,OR(HK148="RIESGO ALTO DE COMPLICACIONES HIPERTENSIVAS VER MANEJO GUIA SUMINISTRO ASA Y CALCIO",HK148="RIESGO MODERADO (2 O MAS CRITERIOS) VER MANEJO GUIA SUMINISTRO ASA Y CALCIO")),"Iniciar de inmediato ASA",IF(AND(BU148&gt;16,OR(HK148="RIESGO ALTO DE COMPLICACIONES HIPERTENSIVAS VER MANEJO GUIA SUMINISTRO ASA Y CALCIO",HK148="RIESGO MODERADO (2 O MAS CRITERIOS) VER MANEJO GUIA SUMINISTRO ASA Y CALCIO")),"Pierde Oportunidad, Inicio tardío de ASA","XXXXX"))))))))</f>
        <v>No Aplica para suministro de ASA</v>
      </c>
      <c r="HS148" s="22">
        <v>45029</v>
      </c>
      <c r="HT148" s="22" t="s">
        <v>870</v>
      </c>
      <c r="HU148" s="22">
        <v>45029</v>
      </c>
      <c r="HV148" s="22" t="s">
        <v>870</v>
      </c>
      <c r="HW148" s="22">
        <v>45029</v>
      </c>
      <c r="HX148" s="22" t="s">
        <v>870</v>
      </c>
      <c r="HY148" s="22">
        <v>45029</v>
      </c>
      <c r="HZ148" s="28">
        <f t="shared" si="636"/>
        <v>14.285714285714286</v>
      </c>
      <c r="IA148" s="26"/>
      <c r="IB148" s="26"/>
      <c r="IC148" s="111">
        <v>45121</v>
      </c>
      <c r="ID148" s="111">
        <v>45121</v>
      </c>
      <c r="IE148" s="22" t="str">
        <f t="shared" ca="1" si="637"/>
        <v>VACUNA APLICADA ENTRE SEMANA 27 Y EL PARTO</v>
      </c>
      <c r="IF148" s="22"/>
      <c r="IG148" s="22">
        <f t="shared" si="638"/>
        <v>45209</v>
      </c>
      <c r="IH148" s="29">
        <f t="shared" ca="1" si="639"/>
        <v>-23</v>
      </c>
      <c r="II148" s="22" t="str">
        <f t="shared" ca="1" si="640"/>
        <v>POSIBLEMENTE NACIO</v>
      </c>
      <c r="IJ148" s="22"/>
      <c r="IK148" s="21"/>
      <c r="IL148" s="21"/>
      <c r="IM148" s="34"/>
      <c r="IN148" s="22"/>
      <c r="IO148" s="21"/>
      <c r="IP148" s="29" t="str">
        <f t="shared" si="674"/>
        <v/>
      </c>
      <c r="IQ148" s="35"/>
      <c r="IR148" s="21"/>
      <c r="IS148" s="21"/>
      <c r="IT148" s="21"/>
      <c r="IU148" s="21"/>
      <c r="IV148" s="21"/>
      <c r="IW148" s="21"/>
      <c r="IX148" s="21"/>
      <c r="IY148" s="21"/>
      <c r="IZ148" s="21"/>
      <c r="JA148" s="21"/>
      <c r="JB148" s="30"/>
      <c r="JC148" s="21"/>
      <c r="JD148" s="36"/>
      <c r="JE148" s="21" t="str">
        <f t="shared" si="684"/>
        <v/>
      </c>
      <c r="JF148" s="30"/>
      <c r="JG148" s="21"/>
      <c r="JH148" s="21"/>
      <c r="JI148" s="21"/>
      <c r="JJ148" s="30"/>
      <c r="JK148" s="22"/>
      <c r="JL148" s="22"/>
      <c r="JM148" s="21"/>
      <c r="JN148" s="36"/>
      <c r="JO148" s="21" t="str">
        <f t="shared" si="685"/>
        <v/>
      </c>
      <c r="JP148" s="22"/>
      <c r="JQ148" s="21"/>
      <c r="JR148" s="21"/>
      <c r="JS148" s="21"/>
      <c r="JT148" s="30"/>
      <c r="JU148" s="22"/>
      <c r="JV148" s="22"/>
      <c r="JW148" s="33"/>
      <c r="JX148" s="28" t="str">
        <f t="shared" si="686"/>
        <v/>
      </c>
      <c r="JY148" s="33"/>
      <c r="JZ148" s="28" t="str">
        <f t="shared" si="687"/>
        <v/>
      </c>
      <c r="KA148" s="21"/>
      <c r="KB148" s="21"/>
      <c r="KC148" s="21"/>
      <c r="KD148" s="37"/>
      <c r="KE148" s="28"/>
      <c r="KF148" s="28"/>
      <c r="KG148" s="28"/>
      <c r="KH148" s="39"/>
      <c r="KI148" s="39"/>
      <c r="KJ148" s="66"/>
      <c r="KK148" s="39"/>
      <c r="KL148" s="39"/>
      <c r="KM148" s="66"/>
      <c r="KN148" s="39"/>
      <c r="KO148" s="39"/>
      <c r="KP148" s="39"/>
      <c r="KQ148" s="39"/>
      <c r="KR148" s="39"/>
      <c r="KS148" s="39"/>
      <c r="KT148" s="39"/>
      <c r="KU148" s="38"/>
      <c r="KV148" s="38"/>
      <c r="KW148" s="38"/>
      <c r="KX148" s="38"/>
      <c r="KY148" s="38"/>
      <c r="KZ148" s="38"/>
      <c r="LA148" s="38"/>
      <c r="LB148" s="38"/>
      <c r="LC148" s="38"/>
      <c r="LD148" s="38"/>
      <c r="LE148" s="38"/>
      <c r="LF148" s="38"/>
      <c r="LG148" s="38"/>
      <c r="LH148" s="38"/>
      <c r="LI148" s="38"/>
      <c r="LJ148" s="38"/>
      <c r="LK148" s="38"/>
      <c r="LL148" s="38"/>
      <c r="LM148" s="38"/>
      <c r="LN148" s="38"/>
      <c r="LO148" s="38"/>
      <c r="LP148" s="38"/>
      <c r="LQ148" s="38"/>
      <c r="LR148" s="38"/>
      <c r="LS148" s="38"/>
      <c r="LT148" s="38"/>
      <c r="LU148" s="38"/>
      <c r="LV148" s="38"/>
      <c r="LW148" s="38"/>
      <c r="LX148" s="38"/>
      <c r="LY148" s="38"/>
      <c r="LZ148" s="38"/>
      <c r="MA148" s="38"/>
      <c r="MB148" s="38"/>
      <c r="MC148" s="38"/>
      <c r="MD148" s="38"/>
      <c r="ME148" s="38"/>
      <c r="MF148" s="38"/>
      <c r="MG148" s="38"/>
      <c r="MH148" s="43">
        <f t="shared" si="641"/>
        <v>0</v>
      </c>
      <c r="MI148" s="43" t="str">
        <f t="shared" si="642"/>
        <v/>
      </c>
      <c r="MJ148" s="43" t="str">
        <f t="shared" si="643"/>
        <v/>
      </c>
      <c r="MK148" s="43">
        <f t="shared" si="644"/>
        <v>0</v>
      </c>
      <c r="ML14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48" s="43">
        <f t="shared" si="645"/>
        <v>14.285714285714286</v>
      </c>
      <c r="MN148" s="43">
        <f t="shared" si="646"/>
        <v>4</v>
      </c>
      <c r="MO148" s="43">
        <f t="shared" si="647"/>
        <v>2023</v>
      </c>
      <c r="MP148" s="43" t="str">
        <f t="shared" si="648"/>
        <v>II TRIMESTRE AÑO</v>
      </c>
      <c r="MQ148" s="43">
        <f t="shared" si="649"/>
        <v>14.624397722295226</v>
      </c>
      <c r="MR148" s="43">
        <f t="shared" si="650"/>
        <v>1</v>
      </c>
      <c r="MS148" s="43" t="str">
        <f t="shared" si="651"/>
        <v>DE 14 A 19AÑOS</v>
      </c>
      <c r="MT148" s="43">
        <f t="shared" si="652"/>
        <v>0</v>
      </c>
      <c r="MU148" s="43">
        <f t="shared" si="653"/>
        <v>1</v>
      </c>
      <c r="MV148" s="43">
        <f t="shared" si="654"/>
        <v>0</v>
      </c>
      <c r="MW148" s="43">
        <f t="shared" si="655"/>
        <v>0</v>
      </c>
      <c r="MX148" s="43" t="str">
        <f t="shared" si="656"/>
        <v/>
      </c>
      <c r="MY148" s="43" t="str">
        <f t="shared" ca="1" si="688"/>
        <v/>
      </c>
      <c r="MZ148" s="43" t="str">
        <f t="shared" si="657"/>
        <v/>
      </c>
      <c r="NA148" s="43" t="str">
        <f t="shared" si="658"/>
        <v/>
      </c>
      <c r="NB148" s="43" t="str">
        <f t="shared" si="659"/>
        <v/>
      </c>
      <c r="NC148" s="43" t="str">
        <f t="shared" si="660"/>
        <v/>
      </c>
      <c r="ND148" s="43">
        <f t="shared" ca="1" si="661"/>
        <v>2</v>
      </c>
      <c r="NE148" s="43">
        <f>IF(OR(O148&gt;0,R148&gt;0),SUM(COUNTIF(Tabla1[[#This Row],[AÑOS AL INICIO5 CPN]],"&gt;=40"),COUNTIF(AS148,"0"),COUNTIF(AR148,"SI"),COUNTIF(CC148,"SI"),COUNTIF(BQ148,"&gt;119"),COUNTIF(CI148,"&gt;=35")),"")</f>
        <v>1</v>
      </c>
      <c r="NF148" s="43">
        <f t="shared" si="662"/>
        <v>27.428571428571427</v>
      </c>
      <c r="NG148" s="43">
        <f t="shared" si="663"/>
        <v>0</v>
      </c>
      <c r="NH148" s="43">
        <f t="shared" si="664"/>
        <v>182</v>
      </c>
      <c r="NI14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CPN",P148="NO"),"Z",IF(AND(Tabla1[[#This Row],[CITA PROXIMO CONTROL]]="CITA MANUAL",Tabla1[[#This Row],[GESTANTES ACTUALES]]="ACTIVA INGRESO A CPN"),"W",IF(AND(Tabla1[[#This Row],[GESTANTES ACTUALES]]="SALIO PROGRAMA",IN148=""),"S",IF(AND(Tabla1[[#This Row],[CITA PROXIMO CONTROL]]&gt;0,IN148=""),(Tabla1[[#This Row],[CITA PROXIMO CONTROL]]-TODAY()),"SD"))))))))</f>
        <v>#REF!</v>
      </c>
      <c r="NJ148" s="43">
        <f>MONTH(Tabla1[[#This Row],[FECHA DE SALIDA  DEL PROGRAMA]])</f>
        <v>1</v>
      </c>
      <c r="NK148" s="43">
        <f>YEAR(Tabla1[[#This Row],[FECHA DE SALIDA  DEL PROGRAMA]])</f>
        <v>1900</v>
      </c>
      <c r="NL148" s="43" t="str">
        <f t="shared" si="665"/>
        <v>X</v>
      </c>
      <c r="NM148" s="43" t="str">
        <f t="shared" si="501"/>
        <v>NO</v>
      </c>
      <c r="NN148" s="43" t="str">
        <f ca="1">IF(AND(O148&gt;0,R148=""),"NO CPN",IF(AND(O148="",R148=""),"",IF(AND(R148&gt;0,Tabla1[[#This Row],[SEMANAS DE GESTACION ACTUALIZADAS]]&lt;=12),"NO APLICA",IF(AND(FH148&lt;&gt;"",FN148&lt;&gt;""),"SI","NO"))))</f>
        <v>SI</v>
      </c>
      <c r="NO148" s="43" t="str">
        <f ca="1">IF(AND(O148&gt;0,R148=""),"NO CPN",IF(AND(O148="",R148=""),"",IF(AND(R148&gt;0,Tabla1[[#This Row],[SEMANAS DE GESTACION ACTUALIZADAS]]&lt;=27),"NO APLICA",IF(AND(ES148&lt;&gt;"",FQ148&lt;&gt;"",GF148&lt;&gt;""),"SI","NO"))))</f>
        <v>NO</v>
      </c>
      <c r="NP148" s="204" t="str">
        <f t="shared" si="666"/>
        <v>II TRIM</v>
      </c>
      <c r="NQ148" s="21" t="str">
        <f t="shared" si="691"/>
        <v/>
      </c>
      <c r="NR148" s="21" t="str">
        <f t="shared" ca="1" si="689"/>
        <v>REVISAR FUM O FECHA SALIDA PROGRAMA</v>
      </c>
      <c r="NS148" s="205">
        <f t="shared" ca="1" si="667"/>
        <v>2</v>
      </c>
      <c r="NT148" s="21">
        <f t="shared" ca="1" si="668"/>
        <v>1</v>
      </c>
      <c r="NU148" s="21" t="str">
        <f t="shared" ca="1" si="669"/>
        <v>POR DEFINIR</v>
      </c>
      <c r="NV148" s="21" t="str">
        <f t="shared" ca="1" si="670"/>
        <v>POR DEFINIR</v>
      </c>
      <c r="NW148" s="206" t="str">
        <f>IF(AND(O148="",R148=""),"",IF(OR(AND(Tabla1[[#This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48" s="207" t="str">
        <f t="shared" ca="1" si="671"/>
        <v>VACUNADA</v>
      </c>
      <c r="NY148" s="43">
        <f>ROW(Tabla1[[#This Row],['# DE TAMIZAJES SIFILIS TOMADOS ]])</f>
        <v>148</v>
      </c>
      <c r="NZ148" s="43">
        <f t="shared" si="502"/>
        <v>14</v>
      </c>
      <c r="OA148" s="43" t="str">
        <f t="shared" si="503"/>
        <v/>
      </c>
      <c r="OB148" s="43" t="str">
        <f t="shared" si="504"/>
        <v/>
      </c>
      <c r="OC148" s="43" t="str">
        <f t="shared" si="505"/>
        <v/>
      </c>
      <c r="OD148" s="43" t="str">
        <f t="shared" si="506"/>
        <v/>
      </c>
      <c r="OE148" s="43" t="str">
        <f t="shared" si="507"/>
        <v/>
      </c>
      <c r="OF148" s="43" t="str">
        <f t="shared" si="508"/>
        <v>NORMAL</v>
      </c>
      <c r="OG148" s="43" t="str">
        <f t="shared" si="509"/>
        <v/>
      </c>
      <c r="OH148" s="43" t="str">
        <f t="shared" si="510"/>
        <v/>
      </c>
      <c r="OI148" s="43" t="str">
        <f t="shared" si="511"/>
        <v/>
      </c>
      <c r="OJ148" s="43" t="str">
        <f t="shared" si="512"/>
        <v/>
      </c>
      <c r="OK148" s="43" t="str">
        <f t="shared" si="513"/>
        <v/>
      </c>
      <c r="OL148" s="43" t="str">
        <f t="shared" si="514"/>
        <v/>
      </c>
      <c r="OM148" s="43" t="str">
        <f t="shared" si="515"/>
        <v/>
      </c>
      <c r="ON148" s="43" t="str">
        <f t="shared" si="516"/>
        <v/>
      </c>
      <c r="OO148" s="43" t="str">
        <f t="shared" si="517"/>
        <v/>
      </c>
      <c r="OP148" s="43" t="str">
        <f t="shared" si="518"/>
        <v/>
      </c>
      <c r="OQ148" s="43" t="str">
        <f t="shared" si="519"/>
        <v/>
      </c>
      <c r="OR148" s="43" t="str">
        <f t="shared" si="520"/>
        <v/>
      </c>
      <c r="OS148" s="43" t="str">
        <f t="shared" si="521"/>
        <v/>
      </c>
      <c r="OT148" s="43" t="str">
        <f t="shared" si="522"/>
        <v/>
      </c>
      <c r="OU148" s="43" t="str">
        <f t="shared" si="523"/>
        <v/>
      </c>
      <c r="OV148" s="110" t="str">
        <f t="shared" si="524"/>
        <v/>
      </c>
      <c r="OW148" s="43" t="str">
        <f t="shared" si="525"/>
        <v/>
      </c>
      <c r="OX148" s="43" t="str">
        <f t="shared" si="526"/>
        <v/>
      </c>
      <c r="OY148" s="43" t="str">
        <f t="shared" si="527"/>
        <v/>
      </c>
      <c r="OZ148" s="43" t="str">
        <f t="shared" si="528"/>
        <v/>
      </c>
      <c r="PA148" s="43" t="str">
        <f t="shared" si="529"/>
        <v/>
      </c>
      <c r="PB148" s="43" t="str">
        <f t="shared" si="530"/>
        <v/>
      </c>
      <c r="PC148" s="43" t="str">
        <f t="shared" si="531"/>
        <v/>
      </c>
      <c r="PD148" s="43" t="str">
        <f t="shared" si="532"/>
        <v/>
      </c>
      <c r="PE148" s="43" t="str">
        <f t="shared" si="533"/>
        <v/>
      </c>
      <c r="PF148" s="43" t="str">
        <f t="shared" si="534"/>
        <v/>
      </c>
      <c r="PG148" s="43" t="str">
        <f t="shared" si="535"/>
        <v/>
      </c>
      <c r="PH148" s="43" t="str">
        <f t="shared" si="536"/>
        <v/>
      </c>
      <c r="PI148" s="43">
        <f t="shared" si="537"/>
        <v>27</v>
      </c>
      <c r="PJ148" s="43" t="str">
        <f t="shared" si="538"/>
        <v/>
      </c>
      <c r="PK148" s="43" t="str">
        <f t="shared" si="539"/>
        <v/>
      </c>
      <c r="PL148" s="43" t="str">
        <f t="shared" si="540"/>
        <v/>
      </c>
      <c r="PM148" s="43" t="str">
        <f t="shared" si="541"/>
        <v/>
      </c>
      <c r="PN148" s="43" t="str">
        <f t="shared" si="542"/>
        <v/>
      </c>
      <c r="PO148" s="43" t="str">
        <f t="shared" si="543"/>
        <v/>
      </c>
      <c r="PP148" s="43" t="str">
        <f t="shared" si="544"/>
        <v/>
      </c>
      <c r="PQ148" s="43" t="str">
        <f t="shared" si="545"/>
        <v/>
      </c>
      <c r="PR148" s="43" t="str">
        <f t="shared" si="546"/>
        <v/>
      </c>
      <c r="PS148" s="43" t="str">
        <f t="shared" si="547"/>
        <v/>
      </c>
      <c r="PT148" s="43" t="str">
        <f t="shared" si="548"/>
        <v/>
      </c>
      <c r="PU148" s="43" t="str">
        <f t="shared" si="549"/>
        <v/>
      </c>
      <c r="PV148" s="43" t="str">
        <f t="shared" si="550"/>
        <v/>
      </c>
      <c r="PW148" s="43" t="str">
        <f t="shared" si="551"/>
        <v/>
      </c>
      <c r="PX148" s="43" t="str">
        <f t="shared" si="552"/>
        <v/>
      </c>
      <c r="PY148" s="43" t="str">
        <f t="shared" si="553"/>
        <v/>
      </c>
      <c r="PZ148" s="43" t="str">
        <f t="shared" si="554"/>
        <v/>
      </c>
      <c r="QA148" s="43" t="str">
        <f t="shared" si="555"/>
        <v/>
      </c>
      <c r="QB148" s="43" t="str">
        <f t="shared" si="556"/>
        <v>BAJO PESO</v>
      </c>
      <c r="QC148" s="43" t="str">
        <f t="shared" si="557"/>
        <v/>
      </c>
      <c r="QD148" s="43" t="str">
        <f t="shared" si="558"/>
        <v/>
      </c>
      <c r="QE148" s="43" t="str">
        <f t="shared" si="559"/>
        <v/>
      </c>
      <c r="QF148" s="43" t="str">
        <f t="shared" si="560"/>
        <v/>
      </c>
      <c r="QG148" s="43" t="str">
        <f t="shared" si="561"/>
        <v/>
      </c>
      <c r="QH148" s="43" t="str">
        <f t="shared" si="562"/>
        <v/>
      </c>
      <c r="QI148" s="43" t="str">
        <f t="shared" si="563"/>
        <v/>
      </c>
      <c r="QJ148" s="43" t="str">
        <f t="shared" si="564"/>
        <v/>
      </c>
      <c r="QK148" s="43" t="str">
        <f t="shared" si="565"/>
        <v/>
      </c>
      <c r="QL148" s="43" t="str">
        <f t="shared" si="566"/>
        <v/>
      </c>
      <c r="QM148" s="43" t="str">
        <f t="shared" si="567"/>
        <v/>
      </c>
      <c r="QN148" s="43" t="str">
        <f t="shared" si="568"/>
        <v/>
      </c>
      <c r="QO148" s="43" t="str">
        <f t="shared" si="569"/>
        <v/>
      </c>
      <c r="QP148" s="43" t="str">
        <f t="shared" si="570"/>
        <v/>
      </c>
      <c r="QQ148" s="43" t="str">
        <f t="shared" si="571"/>
        <v/>
      </c>
      <c r="QR148" s="43">
        <f t="shared" si="672"/>
        <v>27</v>
      </c>
      <c r="QS148" s="43"/>
      <c r="QT148" s="21" t="str">
        <f t="shared" si="572"/>
        <v/>
      </c>
      <c r="QU148" s="21" t="str">
        <f t="shared" si="573"/>
        <v/>
      </c>
      <c r="QV148" s="21" t="str">
        <f t="shared" si="574"/>
        <v/>
      </c>
      <c r="QW148" s="21" t="str">
        <f t="shared" si="575"/>
        <v/>
      </c>
      <c r="QX148" s="21" t="str">
        <f t="shared" si="576"/>
        <v/>
      </c>
      <c r="QY148" s="21" t="str">
        <f t="shared" si="577"/>
        <v/>
      </c>
      <c r="QZ148" s="21" t="str">
        <f t="shared" si="578"/>
        <v/>
      </c>
      <c r="RA148" s="21" t="str">
        <f t="shared" si="579"/>
        <v/>
      </c>
      <c r="RB148" s="21" t="str">
        <f t="shared" si="580"/>
        <v/>
      </c>
      <c r="RC148" s="21" t="str">
        <f t="shared" si="581"/>
        <v/>
      </c>
      <c r="RD148" s="21" t="str">
        <f t="shared" si="582"/>
        <v/>
      </c>
      <c r="RE148" s="21" t="str">
        <f t="shared" si="583"/>
        <v/>
      </c>
      <c r="RF148" s="21" t="str">
        <f t="shared" si="584"/>
        <v/>
      </c>
      <c r="RG148" s="21" t="str">
        <f t="shared" si="585"/>
        <v/>
      </c>
      <c r="RH148" s="21" t="str">
        <f t="shared" si="586"/>
        <v>ALTO PARA EDAD GESTACIONAL</v>
      </c>
      <c r="RI148" s="21" t="str">
        <f t="shared" si="587"/>
        <v/>
      </c>
      <c r="RJ148" s="21" t="str">
        <f t="shared" si="588"/>
        <v/>
      </c>
      <c r="RK148" s="21" t="str">
        <f t="shared" si="589"/>
        <v/>
      </c>
      <c r="RL148" s="21" t="str">
        <f t="shared" si="590"/>
        <v/>
      </c>
      <c r="RM148" s="21" t="str">
        <f t="shared" si="591"/>
        <v/>
      </c>
      <c r="RN148" s="21" t="str">
        <f t="shared" si="592"/>
        <v/>
      </c>
      <c r="RO148" s="21" t="str">
        <f t="shared" si="593"/>
        <v/>
      </c>
      <c r="RP148" s="21" t="str">
        <f t="shared" si="594"/>
        <v/>
      </c>
      <c r="RQ148" s="21" t="str">
        <f t="shared" si="595"/>
        <v/>
      </c>
      <c r="RR148" s="21" t="str">
        <f t="shared" si="596"/>
        <v/>
      </c>
      <c r="RS148" s="21" t="str">
        <f t="shared" si="597"/>
        <v/>
      </c>
      <c r="RT148" s="21" t="str">
        <f t="shared" si="598"/>
        <v/>
      </c>
      <c r="RU148" s="21" t="str">
        <f t="shared" si="599"/>
        <v/>
      </c>
      <c r="RV148" s="21">
        <f t="shared" si="600"/>
        <v>14.285714285714286</v>
      </c>
      <c r="RW148" s="284">
        <f>IF(OR(Tabla1[[#This Row],[FUM FORMULA CONFIABLE]]="",Tabla1[[#This Row],[FUM FORMULA CONFIABLE]]="SD"),"",IF(Tabla1[[#This Row],[FUM FORMULA CONFIABLE]]="CORREGIDA",Tabla1[[#This Row],[FUM X ECO 1]],Tabla1[[#This Row],[FUM x AMENORREA]]))</f>
        <v>44929</v>
      </c>
      <c r="RX148" s="21">
        <f>IF(AND(Tabla1[[#This Row],[FUM X ECO 1]]="",Tabla1[[#This Row],[FUM x AMENORREA]]=""),"",IF(AND(Tabla1[[#This Row],[FUM X ECO 1]]="",Tabla1[[#This Row],[FUM x AMENORREA]]&lt;&gt;""),"X",SUM(Tabla1[[#This Row],[FUM X ECO 1]]-Tabla1[[#This Row],[FUM x AMENORREA]])))</f>
        <v>10</v>
      </c>
      <c r="RY148" s="21">
        <f t="shared" si="673"/>
        <v>1</v>
      </c>
    </row>
    <row r="149" spans="1:493" ht="45" customHeight="1" x14ac:dyDescent="0.25">
      <c r="A149" s="109"/>
      <c r="B149" s="43"/>
      <c r="C149" s="43" t="s">
        <v>845</v>
      </c>
      <c r="D149" s="124"/>
      <c r="E149" s="43" t="s">
        <v>873</v>
      </c>
      <c r="F149" s="43" t="s">
        <v>1435</v>
      </c>
      <c r="G149" s="43" t="s">
        <v>1436</v>
      </c>
      <c r="H149" s="43" t="s">
        <v>1437</v>
      </c>
      <c r="I149" s="109" t="s">
        <v>851</v>
      </c>
      <c r="J149" s="110">
        <v>1059601742</v>
      </c>
      <c r="K149" s="43" t="s">
        <v>852</v>
      </c>
      <c r="L149" s="175" t="s">
        <v>853</v>
      </c>
      <c r="M149" s="22">
        <v>34229</v>
      </c>
      <c r="N149" s="213">
        <f t="shared" ca="1" si="601"/>
        <v>30.145205479452056</v>
      </c>
      <c r="O149" s="22">
        <v>45031</v>
      </c>
      <c r="P149" s="214" t="str">
        <f t="shared" si="675"/>
        <v>SI</v>
      </c>
      <c r="Q149" s="26" t="s">
        <v>855</v>
      </c>
      <c r="R149" s="22">
        <v>45031</v>
      </c>
      <c r="S149" s="21" t="s">
        <v>856</v>
      </c>
      <c r="T149" s="24" t="s">
        <v>690</v>
      </c>
      <c r="U149" s="21" t="s">
        <v>857</v>
      </c>
      <c r="V149" s="21" t="s">
        <v>858</v>
      </c>
      <c r="W149" s="21" t="s">
        <v>1438</v>
      </c>
      <c r="X149" s="21"/>
      <c r="Y149" s="21"/>
      <c r="Z149" s="21">
        <v>3042682783</v>
      </c>
      <c r="AA149" s="21" t="s">
        <v>860</v>
      </c>
      <c r="AB149" s="27" t="s">
        <v>861</v>
      </c>
      <c r="AC149" s="26" t="s">
        <v>877</v>
      </c>
      <c r="AD149" s="38" t="s">
        <v>1546</v>
      </c>
      <c r="AE149" s="26" t="s">
        <v>854</v>
      </c>
      <c r="AF149" s="26" t="s">
        <v>854</v>
      </c>
      <c r="AG149" s="23" t="s">
        <v>864</v>
      </c>
      <c r="AH149" s="23" t="s">
        <v>864</v>
      </c>
      <c r="AI149" s="24" t="s">
        <v>863</v>
      </c>
      <c r="AJ149" s="23" t="s">
        <v>864</v>
      </c>
      <c r="AK149" s="220" t="str">
        <f>IF(AND(AD149="",AE149="",AF149="",AG149="",AH149="",AI149="",AJ149=""),"",IF(OR(Tabla1[[#This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EVALUACIÓN",IF(AND(O149="",R149=""),"",IF(AND(OR(O149&gt;0,R149&gt;0),NG149&gt;=0,NG149&lt;2),"SIN RIESGO",IF(AND(OR(O149&gt;0,R149&gt;0),NG149&gt;=2),"CON RIESGO","ASD")))))</f>
        <v>SIN RIESGO</v>
      </c>
      <c r="AL149" s="23" t="s">
        <v>864</v>
      </c>
      <c r="AM149" s="26" t="s">
        <v>864</v>
      </c>
      <c r="AN149" s="26" t="s">
        <v>864</v>
      </c>
      <c r="AO149" s="26" t="s">
        <v>864</v>
      </c>
      <c r="AP149" s="26" t="s">
        <v>864</v>
      </c>
      <c r="AQ149" s="26" t="s">
        <v>864</v>
      </c>
      <c r="AR149" s="26" t="s">
        <v>864</v>
      </c>
      <c r="AS149" s="21">
        <v>1</v>
      </c>
      <c r="AT149" s="21">
        <v>1</v>
      </c>
      <c r="AU149" s="21">
        <v>0</v>
      </c>
      <c r="AV149" s="26" t="s">
        <v>864</v>
      </c>
      <c r="AW149" s="21">
        <v>0</v>
      </c>
      <c r="AX149" s="26" t="s">
        <v>864</v>
      </c>
      <c r="AY149" s="26" t="s">
        <v>864</v>
      </c>
      <c r="AZ149" s="26" t="s">
        <v>864</v>
      </c>
      <c r="BA149" s="26" t="s">
        <v>864</v>
      </c>
      <c r="BB149" s="26" t="s">
        <v>864</v>
      </c>
      <c r="BC149" s="26" t="s">
        <v>864</v>
      </c>
      <c r="BD149" s="26" t="s">
        <v>864</v>
      </c>
      <c r="BE149" s="26" t="s">
        <v>864</v>
      </c>
      <c r="BF149" s="26" t="s">
        <v>864</v>
      </c>
      <c r="BG149" s="26" t="s">
        <v>864</v>
      </c>
      <c r="BH149" s="26" t="s">
        <v>864</v>
      </c>
      <c r="BI149" s="26" t="s">
        <v>864</v>
      </c>
      <c r="BJ149" s="26" t="s">
        <v>864</v>
      </c>
      <c r="BK149" s="26" t="s">
        <v>864</v>
      </c>
      <c r="BL149" s="26" t="s">
        <v>864</v>
      </c>
      <c r="BM149" s="26" t="s">
        <v>864</v>
      </c>
      <c r="BN149" s="22"/>
      <c r="BO149" s="22">
        <v>44948</v>
      </c>
      <c r="BP149" s="21" t="s">
        <v>1380</v>
      </c>
      <c r="BQ149" s="222">
        <f t="shared" si="602"/>
        <v>0</v>
      </c>
      <c r="BR149" s="223">
        <f t="shared" si="603"/>
        <v>44954.5</v>
      </c>
      <c r="BS149" s="224">
        <f t="shared" si="604"/>
        <v>10.928571428571429</v>
      </c>
      <c r="BT149" s="216" t="str">
        <f t="shared" si="605"/>
        <v>II TRIM</v>
      </c>
      <c r="BU149" s="214">
        <f t="shared" ca="1" si="606"/>
        <v>39.642857142857146</v>
      </c>
      <c r="BV149" s="25" t="s">
        <v>988</v>
      </c>
      <c r="BW149" s="22">
        <v>45021</v>
      </c>
      <c r="BX149" s="28">
        <v>9.5</v>
      </c>
      <c r="BY149" s="28" t="s">
        <v>988</v>
      </c>
      <c r="BZ149" s="22">
        <v>45035</v>
      </c>
      <c r="CA149" s="21">
        <v>12.2</v>
      </c>
      <c r="CB149" s="26" t="s">
        <v>864</v>
      </c>
      <c r="CC149" s="26" t="s">
        <v>864</v>
      </c>
      <c r="CD149" s="26"/>
      <c r="CE149" s="26" t="s">
        <v>864</v>
      </c>
      <c r="CF149" s="22" t="s">
        <v>1517</v>
      </c>
      <c r="CG149" s="21">
        <v>1.51</v>
      </c>
      <c r="CH149" s="21">
        <v>53.5</v>
      </c>
      <c r="CI149" s="214">
        <f t="shared" si="607"/>
        <v>23.463883163019165</v>
      </c>
      <c r="CJ149" s="225" t="e">
        <f>IF(AND(CI149&lt;10,CH149="SD"),"SIN DATO PESO PREGESTACION O I TRIM",IF(AND(OR(R149&gt;0,O149&gt;0),CI149="X"),"INGRESAR DATO DE PESO",IF(CI149="SD","INGRESAR DATO DE TALLA Y PESO",IF(AND(OR(Tabla1[[#This Row],[MOMENTO EN QUE SE REALIZA EL PESO AL INGRESO A CPN]]="PREGESTACIÓN",NZ149="Menor"),CI149&lt;18.5),"BAJO PESO",IF(AND(OR(Tabla1[[#This Row],[MOMENTO EN QUE SE REALIZA EL PESO AL INGRESO A CPN]]="PREGESTACIÓN",NZ149="Menor"),CI149&lt;25),"NORMAL",IF(AND(OR(Tabla1[[#This Row],[MOMENTO EN QUE SE REALIZA EL PESO AL INGRESO A CPN]]="PREGESTACIÓN",NZ149="Menor"),CI149&lt;30),"SOBREPESO",IF(AND(OR(Tabla1[[#This Row],[MOMENTO EN QUE SE REALIZA EL PESO AL INGRESO A CPN]]="PREGESTACIÓN",NZ149="Menor"),CI149&gt;=30,CI149&lt;50),"OBESIDAD",IF(AND(BS149&gt;0,Tabla1[[#This Row],[MOMENTO EN QUE SE REALIZA EL PESO AL INGRESO A CPN]]="GESTACIÓN"),HLOOKUP(NZ149,$OA$2:PH149,NY149),""))))))))</f>
        <v>#REF!</v>
      </c>
      <c r="CK149" s="212">
        <f t="shared" si="608"/>
        <v>45157</v>
      </c>
      <c r="CL149" s="21">
        <v>57.2</v>
      </c>
      <c r="CM149" s="214">
        <f t="shared" si="609"/>
        <v>25.08661900793825</v>
      </c>
      <c r="CN149" s="216">
        <f t="shared" si="610"/>
        <v>28</v>
      </c>
      <c r="CO149" s="216" t="e">
        <f>IF(PI149="","",IF(PI149&gt;0,HLOOKUP(PI149,$PJ$2:QQ149,NY149),""))</f>
        <v>#REF!</v>
      </c>
      <c r="CP149" s="21">
        <v>26</v>
      </c>
      <c r="CQ149" s="216" t="e">
        <f>IF(QR149="Menor","NO APLICA-MENOR 13 SEM",IF(AND(CC149="SI",CN149&gt;23),"NO APLICA- GEMELAR",IF(QR149="","",IF(QR149&gt;0,HLOOKUP(QR149,$QS$2:RU149,NY149),""))))</f>
        <v>#REF!</v>
      </c>
      <c r="CR149" s="21">
        <v>90</v>
      </c>
      <c r="CS149" s="21">
        <v>60</v>
      </c>
      <c r="CT149" s="217" t="str">
        <f>IF(R149="","",IF(AND(BS149&gt;1,BS149&lt;12,Tabla1[[#This Row],[T.A. SISTOLICA - ANTES DE SEMANA 12]]="",Tabla1[[#This Row],[T.A. DIASTOLICA - ANTES DE SEMANA 12]]=""),"REGISTRE DATO TA ANTES SEMANA 12",IF(AND(BS149&gt;11,BS149&lt;43,Tabla1[[#This Row],[T.A. SISTOLICA - ANTES DE SEMANA 12]]="",Tabla1[[#This Row],[T.A. DIASTOLICA - ANTES DE SEMANA 12]]=""),"NO APLICA REGISTRO TA-INGRESO TARDIO",IF(AND(OR(O149&gt;0,R149&gt;0),OR(CR149&gt;=140,CS149&gt;=90)),"DEFINIR ESTADIO HTA",IF(AND(OR(O149&gt;0,R149&gt;0),AND(CR149&gt;120,CR149&lt;=139)),"PRE HTA SEGUIMIENTO",IF(AND(OR(O149&gt;0,R149&gt;0),AND(CS149&gt;80,CS149&lt;=89)),"PRE HTA SEGUIMIENTO",IF(AND(OR(O149&gt;0,R149&gt;0),AND(CR149&gt;=80,CR149&lt;=120)),"APARENTEMENTE NORMAL",IF(AND(OR(O149&gt;0,R149&gt;0),AND(CS149&gt;=50,CS149&lt;=80)),"APARENTEMENTE NORMAL",IF(AND(OR(O149&gt;0,R149&gt;0),AND(CR149&gt;1,CR149&lt;=70),AND(CS149&gt;1,CS149&lt;=40)),"HIPOTENSIÓN","")))))))))</f>
        <v>APARENTEMENTE NORMAL</v>
      </c>
      <c r="CU149" s="21">
        <v>100</v>
      </c>
      <c r="CV149" s="21">
        <v>60</v>
      </c>
      <c r="CW149" s="217" t="str">
        <f ca="1">IF(R149="","",IF(AND(CN149&gt;19,CN149&lt;27,Tabla1[[#This Row],[T.A. SISTOLICA (Entre semana 20 y 26)]]="",Tabla1[[#This Row],[T.A. DIATOLICA (Entre semana 20 y 26)]]=""),"ACUDE A CONTROL SEM 20 A 26 REGISTRE TA AHORA",IF(AND(BS149&gt;1,BS149&lt;27,BU149&gt;19,Tabla1[[#This Row],[T.A. SISTOLICA (Entre semana 20 y 26)]]="",Tabla1[[#This Row],[T.A. DIATOLICA (Entre semana 20 y 26)]]=""),"COMPLETE REGISTRO TA CONTROL SEM 20 A26 ",IF(AND(BS149&gt;26,BS149&lt;43,Tabla1[[#This Row],[T.A. SISTOLICA (Entre semana 20 y 26)]]="",Tabla1[[#This Row],[T.A. DIATOLICA (Entre semana 20 y 26)]]=""),"NO APLICA REGISTRO TA-INGRESO TARDIO",IF(AND(OR(O149&gt;0,R149&gt;0),OR(CU149&gt;=140,CV149&gt;=90)),"ALTO RIESGO PREECLAMPSIA,DEFINIR ESTADIO HTA",IF(AND(OR(O149&gt;0,R149&gt;0),AND(CU149&gt;120,CU149&lt;=139)),"PRE HTA SEGUIMIENTO,RIESGO HIPERTENSION INDUCIDA POR EL EMBARAZO",IF(AND(OR(O149&gt;0,R149&gt;0),AND(CV149&gt;80,CV149&lt;=89)),"PRE HTA SEGUIMIENTO, RIESGO HIPERTENSION INDUCIDA POR EL EMBARAZO",IF(AND(OR(O149&lt;&gt;"",R149&lt;&gt;""),CS149&lt;&gt;"",CV149&lt;&gt;"",CS149&lt;=CV149),"VIGILAR CIFRAS PRESION ARTERIAL",IF(AND(OR(O149&gt;0,R149&gt;0),AND(CU149&gt;120,CU149&lt;=139)),"PRE HTA SEGUIMIENTO",IF(AND(OR(O149&gt;0,R149&gt;0),AND(CU149&gt;1,CU149&lt;=70),AND(CV149&gt;1,CV149&lt;=40)),"HIPOTENSIÓN",IF(AND(OR(O149&lt;&gt;"",R149&lt;&gt;""),CS149&lt;&gt;"",CV149&lt;&gt;"",CS149&gt;CV149),"APARENTEMENTE NORMAL",IF(AND(OR(O149&gt;0,R149&gt;0),AND(CU149&gt;=80,CU149&lt;=120)),"APARENTEMENTE NORMAL",IF(AND(OR(O149&gt;0,R149&gt;0),AND(CV149&gt;=50,CV149&lt;=80)),"APARENTEMENTE NORMAL","")))))))))))))</f>
        <v>VIGILAR CIFRAS PRESION ARTERIAL</v>
      </c>
      <c r="CX149" s="21"/>
      <c r="CY149" s="21"/>
      <c r="CZ149" s="216" t="str">
        <f t="shared" si="690"/>
        <v/>
      </c>
      <c r="DA149" s="21">
        <v>90</v>
      </c>
      <c r="DB149" s="21">
        <v>60</v>
      </c>
      <c r="DC149" s="217" t="str">
        <f t="shared" si="611"/>
        <v>APARENTEMENTE NORMAL</v>
      </c>
      <c r="DD149" s="22">
        <v>45031</v>
      </c>
      <c r="DE149" s="22">
        <v>45031</v>
      </c>
      <c r="DF149" s="22">
        <v>45057</v>
      </c>
      <c r="DG149" s="22">
        <v>45093</v>
      </c>
      <c r="DH149" s="22">
        <v>45129</v>
      </c>
      <c r="DI149" s="22">
        <v>45157</v>
      </c>
      <c r="DJ149" s="22"/>
      <c r="DK149" s="22"/>
      <c r="DL149" s="22"/>
      <c r="DM149" s="22"/>
      <c r="DN149" s="22"/>
      <c r="DO149" s="22"/>
      <c r="DP149" s="22"/>
      <c r="DQ149" s="22"/>
      <c r="DR149" s="28">
        <v>0</v>
      </c>
      <c r="DS149" s="22"/>
      <c r="DT149" s="22"/>
      <c r="DU149" s="216" t="str">
        <f t="shared" ca="1" si="676"/>
        <v>CONCERTAR PLAN DE PARTO INMEDIATO</v>
      </c>
      <c r="DV149" s="226" t="str">
        <f t="shared" si="677"/>
        <v>ACTIVA INGRESO A CPN</v>
      </c>
      <c r="DW149"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49" s="216" t="e">
        <f t="shared" ca="1" si="612"/>
        <v>#REF!</v>
      </c>
      <c r="DY149" s="212">
        <f>IF(R149="","",IF(R149&gt;0,MAX(Tabla1[[#This Row],[FECHA C2]:[FECHA C13]],Tabla1[[#This Row],[FECHA CONSULTA PRIMERA VEZ PROGRAMA CPN ]])))</f>
        <v>45157</v>
      </c>
      <c r="DZ149" s="216">
        <f t="shared" si="613"/>
        <v>28</v>
      </c>
      <c r="EA149" s="222">
        <f>IF(R149&gt;0,SUM(COUNTA(DF149:DQ149)+COUNTA(Tabla1[[#This Row],[FECHA CONSULTA PRIMERA VEZ PROGRAMA CPN ]])),"")</f>
        <v>5</v>
      </c>
      <c r="EB149" s="222" t="str">
        <f t="shared" si="614"/>
        <v>SI</v>
      </c>
      <c r="EC149" s="214">
        <f t="shared" si="615"/>
        <v>9</v>
      </c>
      <c r="ED149" s="227">
        <f t="shared" si="616"/>
        <v>0.55555555555555558</v>
      </c>
      <c r="EE149" s="22">
        <v>45031</v>
      </c>
      <c r="EF149" s="22">
        <v>45038</v>
      </c>
      <c r="EG149" s="22">
        <v>45031</v>
      </c>
      <c r="EH149" s="22">
        <v>45035</v>
      </c>
      <c r="EI149" s="22">
        <v>45031</v>
      </c>
      <c r="EJ149" s="22">
        <v>45080</v>
      </c>
      <c r="EK149" s="22">
        <v>45080</v>
      </c>
      <c r="EL149" s="21">
        <v>1</v>
      </c>
      <c r="EM149" s="21">
        <v>14</v>
      </c>
      <c r="EN149" s="22">
        <v>45038</v>
      </c>
      <c r="EO149" s="222">
        <f t="shared" si="617"/>
        <v>11.928571428571429</v>
      </c>
      <c r="EP149" s="214" t="str">
        <f t="shared" si="618"/>
        <v>NORMAL- SUMINISTRAR SULFATO FERROSO</v>
      </c>
      <c r="EQ149" s="216" t="str">
        <f t="shared" si="619"/>
        <v>I TRIM</v>
      </c>
      <c r="ER149" s="24"/>
      <c r="ES149" s="22"/>
      <c r="ET149" s="29" t="str">
        <f t="shared" ca="1" si="678"/>
        <v>TOMA DE HEMOGLOBINA TARDÍA</v>
      </c>
      <c r="EU149" s="25" t="str">
        <f t="shared" si="620"/>
        <v/>
      </c>
      <c r="EV149" s="24" t="s">
        <v>1510</v>
      </c>
      <c r="EW149" s="22">
        <v>45038</v>
      </c>
      <c r="EX149" s="22"/>
      <c r="EY149" s="29">
        <f t="shared" si="454"/>
        <v>11.928571428571429</v>
      </c>
      <c r="EZ149" s="25" t="str">
        <f t="shared" si="455"/>
        <v>SIN RIESGO DE ISOINMUNIZACIÓN</v>
      </c>
      <c r="FA149" s="21">
        <v>71</v>
      </c>
      <c r="FB149" s="22">
        <v>45038</v>
      </c>
      <c r="FC149" s="29">
        <f t="shared" si="621"/>
        <v>11.928571428571429</v>
      </c>
      <c r="FD149" s="29">
        <v>66</v>
      </c>
      <c r="FE149" s="29">
        <v>109</v>
      </c>
      <c r="FF149" s="29">
        <v>111</v>
      </c>
      <c r="FG149" s="21" t="str">
        <f t="shared" ca="1" si="622"/>
        <v>NORMAL</v>
      </c>
      <c r="FH149" s="31">
        <v>45129</v>
      </c>
      <c r="FI149" s="29">
        <f t="shared" si="623"/>
        <v>24.928571428571427</v>
      </c>
      <c r="FJ149" s="22" t="s">
        <v>867</v>
      </c>
      <c r="FK149" s="22">
        <v>45038</v>
      </c>
      <c r="FL149" s="29">
        <f t="shared" ca="1" si="624"/>
        <v>11.928571428571429</v>
      </c>
      <c r="FM149" s="22" t="s">
        <v>867</v>
      </c>
      <c r="FN149" s="32">
        <v>45129</v>
      </c>
      <c r="FO149" s="29">
        <f t="shared" ca="1" si="679"/>
        <v>24.928571428571427</v>
      </c>
      <c r="FP149" s="22"/>
      <c r="FQ149" s="32"/>
      <c r="FR149" s="29" t="str">
        <f t="shared" ca="1" si="680"/>
        <v>TOMA INMEDIATA DE TAMIZAJE</v>
      </c>
      <c r="FS149" s="22"/>
      <c r="FT149" s="32"/>
      <c r="FU149" s="29" t="str">
        <f>IF(AND(FJ149="",FM149="",FP149="",FS149=""),"",IF(OR(OR(Tabla1[[#This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49" s="28"/>
      <c r="FW149" s="22"/>
      <c r="FX149" s="29" t="str">
        <f t="shared" si="625"/>
        <v>TOMAR EXAMEN</v>
      </c>
      <c r="FY149" s="22">
        <v>45031</v>
      </c>
      <c r="FZ149" s="22">
        <v>45031</v>
      </c>
      <c r="GA149" s="29">
        <f t="shared" ca="1" si="498"/>
        <v>10.928571428571429</v>
      </c>
      <c r="GB149" s="22" t="s">
        <v>868</v>
      </c>
      <c r="GC149" s="22">
        <v>45129</v>
      </c>
      <c r="GD149" s="29">
        <f t="shared" ca="1" si="681"/>
        <v>24.928571428571427</v>
      </c>
      <c r="GE149" s="22"/>
      <c r="GF149" s="22"/>
      <c r="GG149" s="29" t="str">
        <f t="shared" ca="1" si="682"/>
        <v>TOMA INMEDIATA DE TAMIZAJE</v>
      </c>
      <c r="GH149" s="22"/>
      <c r="GI149" s="29"/>
      <c r="GJ149" s="22"/>
      <c r="GK149" s="22"/>
      <c r="GL149" s="22"/>
      <c r="GM149" s="22"/>
      <c r="GN149" s="28" t="s">
        <v>869</v>
      </c>
      <c r="GO149" s="22">
        <v>45038</v>
      </c>
      <c r="GP149" s="29">
        <f t="shared" si="626"/>
        <v>11.928571428571429</v>
      </c>
      <c r="GQ149" s="28" t="s">
        <v>869</v>
      </c>
      <c r="GR149" s="28" t="s">
        <v>869</v>
      </c>
      <c r="GS149" s="22" t="str">
        <f t="shared" si="627"/>
        <v>CONTROL Igm</v>
      </c>
      <c r="GT149" s="22">
        <v>45038</v>
      </c>
      <c r="GU149" s="29">
        <f t="shared" si="628"/>
        <v>12.857142857142858</v>
      </c>
      <c r="GV149" s="21" t="str">
        <f t="shared" si="629"/>
        <v>I TRIM</v>
      </c>
      <c r="GW149" s="28"/>
      <c r="GX149" s="30"/>
      <c r="GY149" s="21"/>
      <c r="GZ149" s="21"/>
      <c r="HA149" s="21"/>
      <c r="HB149" s="21"/>
      <c r="HC149" s="21"/>
      <c r="HD149" s="21"/>
      <c r="HE149" s="21"/>
      <c r="HF149" s="22"/>
      <c r="HG149" s="22" t="str">
        <f>IF(OR(O149&gt;0,R149&gt;0),CONCATENATE(IF(Tabla1[[#This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49" s="22" t="e">
        <f t="shared" si="630"/>
        <v>#REF!</v>
      </c>
      <c r="HI149" s="22" t="e">
        <f t="shared" ca="1" si="631"/>
        <v>#REF!</v>
      </c>
      <c r="HJ149" s="21" t="str">
        <f t="shared" ca="1" si="632"/>
        <v>***************************************</v>
      </c>
      <c r="HK149" s="21" t="str">
        <f t="shared" si="633"/>
        <v>SIN ANTECEDENTES DE RIESGO</v>
      </c>
      <c r="HL149" s="24" t="str">
        <f t="shared" si="634"/>
        <v>APARENTEMENTE NORMAL</v>
      </c>
      <c r="HM149" s="21" t="e">
        <f t="shared" ca="1" si="635"/>
        <v>#REF!</v>
      </c>
      <c r="HN149" s="30" t="str">
        <f t="shared" si="683"/>
        <v>ACTIVA INGRESO A CPN</v>
      </c>
      <c r="HO149" s="21"/>
      <c r="HP149" s="21"/>
      <c r="HQ149" s="349">
        <v>45031</v>
      </c>
      <c r="HR149" s="21" t="str">
        <f>IF(R149="","",IF(Tabla1[[#This Row],[ALARMA FACTORES DE RIESGO COMPLICACIONES HIPERTENSIVAS3]]="SIN ANTECEDENTES DE RIESGO","No Aplica para suministro de ASA",IF(AND(Tabla1[[#This Row],[FECHA INICIO DE SUMINISTRO DE ASA]]&gt;0,RV149&lt;12),"Inicia ASA ANTES de Sem 12",IF(AND(RV149&gt;11,RV149&lt;17,OR(HK149="RIESGO ALTO DE COMPLICACIONES HIPERTENSIVAS VER MANEJO GUIA SUMINISTRO ASA Y CALCIO",HK149="RIESGO MODERADO (2 O MAS CRITERIOS) VER MANEJO GUIA SUMINISTRO ASA Y CALCIO")),"Inicio oportuno de ASA",IF(AND(RV149&gt;12,OR(HK149="RIESGO ALTO DE COMPLICACIONES HIPERTENSIVAS VER MANEJO GUIA SUMINISTRO ASA Y CALCIO",HK149="RIESGO MODERADO (2 O MAS CRITERIOS) VER MANEJO GUIA SUMINISTRO ASA Y CALCIO")),"Inicio no oportuno mayor a 16 semanas",IF(AND(BU149&lt;12,OR(HK149="RIESGO ALTO DE COMPLICACIONES HIPERTENSIVAS VER MANEJO GUIA SUMINISTRO ASA Y CALCIO",HK149="RIESGO MODERADO (2 O MAS CRITERIOS) VER MANEJO GUIA SUMINISTRO ASA Y CALCIO")),"Pendiente Inicio de ASA a la semana 12",IF(AND(BU149&gt;11,BU149&lt;17,OR(HK149="RIESGO ALTO DE COMPLICACIONES HIPERTENSIVAS VER MANEJO GUIA SUMINISTRO ASA Y CALCIO",HK149="RIESGO MODERADO (2 O MAS CRITERIOS) VER MANEJO GUIA SUMINISTRO ASA Y CALCIO")),"Iniciar de inmediato ASA",IF(AND(BU149&gt;16,OR(HK149="RIESGO ALTO DE COMPLICACIONES HIPERTENSIVAS VER MANEJO GUIA SUMINISTRO ASA Y CALCIO",HK149="RIESGO MODERADO (2 O MAS CRITERIOS) VER MANEJO GUIA SUMINISTRO ASA Y CALCIO")),"Pierde Oportunidad, Inicio tardío de ASA","XXXXX"))))))))</f>
        <v>No Aplica para suministro de ASA</v>
      </c>
      <c r="HS149" s="22">
        <v>45031</v>
      </c>
      <c r="HT149" s="22" t="s">
        <v>1532</v>
      </c>
      <c r="HU149" s="22">
        <v>45031</v>
      </c>
      <c r="HV149" s="22" t="s">
        <v>1523</v>
      </c>
      <c r="HW149" s="22"/>
      <c r="HX149" s="22"/>
      <c r="HY149" s="22">
        <v>45031</v>
      </c>
      <c r="HZ149" s="28">
        <f t="shared" si="636"/>
        <v>10.928571428571429</v>
      </c>
      <c r="IA149" s="26"/>
      <c r="IB149" s="26"/>
      <c r="IC149" s="111"/>
      <c r="ID149" s="22"/>
      <c r="IE149" s="22" t="str">
        <f t="shared" ca="1" si="637"/>
        <v>INASISTENTE</v>
      </c>
      <c r="IF149" s="22"/>
      <c r="IG149" s="22">
        <f t="shared" si="638"/>
        <v>45234.5</v>
      </c>
      <c r="IH149" s="29">
        <f t="shared" ca="1" si="639"/>
        <v>2.5</v>
      </c>
      <c r="II149" s="22" t="str">
        <f t="shared" ca="1" si="640"/>
        <v>SEMANA DE PARTO</v>
      </c>
      <c r="IJ149" s="22"/>
      <c r="IK149" s="21"/>
      <c r="IL149" s="21"/>
      <c r="IM149" s="34"/>
      <c r="IN149" s="22"/>
      <c r="IO149" s="21"/>
      <c r="IP149" s="29" t="str">
        <f t="shared" si="674"/>
        <v/>
      </c>
      <c r="IQ149" s="35"/>
      <c r="IR149" s="21"/>
      <c r="IS149" s="21"/>
      <c r="IT149" s="21"/>
      <c r="IU149" s="21"/>
      <c r="IV149" s="21"/>
      <c r="IW149" s="21"/>
      <c r="IX149" s="21"/>
      <c r="IY149" s="21"/>
      <c r="IZ149" s="21"/>
      <c r="JA149" s="21"/>
      <c r="JB149" s="30"/>
      <c r="JC149" s="21"/>
      <c r="JD149" s="36"/>
      <c r="JE149" s="21" t="str">
        <f t="shared" si="684"/>
        <v/>
      </c>
      <c r="JF149" s="30"/>
      <c r="JG149" s="21"/>
      <c r="JH149" s="21"/>
      <c r="JI149" s="21"/>
      <c r="JJ149" s="30"/>
      <c r="JK149" s="22"/>
      <c r="JL149" s="22"/>
      <c r="JM149" s="21"/>
      <c r="JN149" s="36"/>
      <c r="JO149" s="21" t="str">
        <f t="shared" si="685"/>
        <v/>
      </c>
      <c r="JP149" s="22"/>
      <c r="JQ149" s="21"/>
      <c r="JR149" s="21"/>
      <c r="JS149" s="21"/>
      <c r="JT149" s="30"/>
      <c r="JU149" s="22"/>
      <c r="JV149" s="22"/>
      <c r="JW149" s="33"/>
      <c r="JX149" s="28" t="str">
        <f t="shared" si="686"/>
        <v/>
      </c>
      <c r="JY149" s="33"/>
      <c r="JZ149" s="28" t="str">
        <f t="shared" si="687"/>
        <v/>
      </c>
      <c r="KA149" s="21"/>
      <c r="KB149" s="21"/>
      <c r="KC149" s="21"/>
      <c r="KD149" s="37"/>
      <c r="KE149" s="28"/>
      <c r="KF149" s="28"/>
      <c r="KG149" s="28"/>
      <c r="KH149" s="39"/>
      <c r="KI149" s="39"/>
      <c r="KJ149" s="66"/>
      <c r="KK149" s="39"/>
      <c r="KL149" s="39"/>
      <c r="KM149" s="66"/>
      <c r="KN149" s="39"/>
      <c r="KO149" s="39"/>
      <c r="KP149" s="39"/>
      <c r="KQ149" s="39"/>
      <c r="KR149" s="39"/>
      <c r="KS149" s="39"/>
      <c r="KT149" s="39"/>
      <c r="KU149" s="38"/>
      <c r="KV149" s="38"/>
      <c r="KW149" s="38"/>
      <c r="KX149" s="38"/>
      <c r="KY149" s="38"/>
      <c r="KZ149" s="38"/>
      <c r="LA149" s="38"/>
      <c r="LB149" s="38"/>
      <c r="LC149" s="38"/>
      <c r="LD149" s="38"/>
      <c r="LE149" s="38"/>
      <c r="LF149" s="38"/>
      <c r="LG149" s="38"/>
      <c r="LH149" s="38"/>
      <c r="LI149" s="38"/>
      <c r="LJ149" s="38"/>
      <c r="LK149" s="38"/>
      <c r="LL149" s="38"/>
      <c r="LM149" s="38"/>
      <c r="LN149" s="38"/>
      <c r="LO149" s="38"/>
      <c r="LP149" s="38"/>
      <c r="LQ149" s="38"/>
      <c r="LR149" s="38"/>
      <c r="LS149" s="38"/>
      <c r="LT149" s="38"/>
      <c r="LU149" s="38"/>
      <c r="LV149" s="38"/>
      <c r="LW149" s="38"/>
      <c r="LX149" s="38"/>
      <c r="LY149" s="38"/>
      <c r="LZ149" s="38"/>
      <c r="MA149" s="38"/>
      <c r="MB149" s="38"/>
      <c r="MC149" s="38"/>
      <c r="MD149" s="38"/>
      <c r="ME149" s="38"/>
      <c r="MF149" s="38"/>
      <c r="MG149" s="38"/>
      <c r="MH149" s="43">
        <f t="shared" si="641"/>
        <v>0</v>
      </c>
      <c r="MI149" s="43" t="str">
        <f t="shared" si="642"/>
        <v/>
      </c>
      <c r="MJ149" s="43" t="str">
        <f t="shared" si="643"/>
        <v/>
      </c>
      <c r="MK149" s="43">
        <f t="shared" si="644"/>
        <v>0</v>
      </c>
      <c r="ML14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49" s="43">
        <f t="shared" si="645"/>
        <v>10.928571428571429</v>
      </c>
      <c r="MN149" s="43">
        <f t="shared" si="646"/>
        <v>4</v>
      </c>
      <c r="MO149" s="43">
        <f t="shared" si="647"/>
        <v>2023</v>
      </c>
      <c r="MP149" s="43" t="str">
        <f t="shared" si="648"/>
        <v>II TRIMESTRE AÑO</v>
      </c>
      <c r="MQ149" s="43">
        <f t="shared" si="649"/>
        <v>29.150240911081909</v>
      </c>
      <c r="MR149" s="43">
        <f t="shared" si="650"/>
        <v>0</v>
      </c>
      <c r="MS149" s="43" t="str">
        <f t="shared" si="651"/>
        <v xml:space="preserve"> DE 25 A 29 AÑOS</v>
      </c>
      <c r="MT149" s="43">
        <f t="shared" si="652"/>
        <v>0</v>
      </c>
      <c r="MU149" s="43">
        <f t="shared" si="653"/>
        <v>0</v>
      </c>
      <c r="MV149" s="43">
        <f t="shared" si="654"/>
        <v>0</v>
      </c>
      <c r="MW149" s="43">
        <f t="shared" si="655"/>
        <v>0</v>
      </c>
      <c r="MX149" s="43" t="str">
        <f t="shared" si="656"/>
        <v/>
      </c>
      <c r="MY149" s="43" t="str">
        <f t="shared" ca="1" si="688"/>
        <v/>
      </c>
      <c r="MZ149" s="43" t="str">
        <f t="shared" si="657"/>
        <v/>
      </c>
      <c r="NA149" s="43" t="str">
        <f t="shared" si="658"/>
        <v/>
      </c>
      <c r="NB149" s="43" t="str">
        <f t="shared" si="659"/>
        <v/>
      </c>
      <c r="NC149" s="43" t="str">
        <f t="shared" si="660"/>
        <v/>
      </c>
      <c r="ND149" s="43">
        <f t="shared" ca="1" si="661"/>
        <v>0</v>
      </c>
      <c r="NE149" s="43">
        <f>IF(OR(O149&gt;0,R149&gt;0),SUM(COUNTIF(Tabla1[[#This Row],[AÑOS AL INICIO5 CPN]],"&gt;=40"),COUNTIF(AS149,"0"),COUNTIF(AR149,"SI"),COUNTIF(CC149,"SI"),COUNTIF(BQ149,"&gt;119"),COUNTIF(CI149,"&gt;=35")),"")</f>
        <v>0</v>
      </c>
      <c r="NF149" s="43" t="str">
        <f t="shared" si="662"/>
        <v/>
      </c>
      <c r="NG149" s="43">
        <f t="shared" si="663"/>
        <v>0</v>
      </c>
      <c r="NH149" s="43">
        <f t="shared" si="664"/>
        <v>66.5</v>
      </c>
      <c r="NI149"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CPN",P149="NO"),"Z",IF(AND(Tabla1[[#This Row],[CITA PROXIMO CONTROL]]="CITA MANUAL",Tabla1[[#This Row],[GESTANTES ACTUALES]]="ACTIVA INGRESO A CPN"),"W",IF(AND(Tabla1[[#This Row],[GESTANTES ACTUALES]]="SALIO PROGRAMA",IN149=""),"S",IF(AND(Tabla1[[#This Row],[CITA PROXIMO CONTROL]]&gt;0,IN149=""),(Tabla1[[#This Row],[CITA PROXIMO CONTROL]]-TODAY()),"SD"))))))))</f>
        <v>#REF!</v>
      </c>
      <c r="NJ149" s="43">
        <f>MONTH(Tabla1[[#This Row],[FECHA DE SALIDA  DEL PROGRAMA]])</f>
        <v>1</v>
      </c>
      <c r="NK149" s="43">
        <f>YEAR(Tabla1[[#This Row],[FECHA DE SALIDA  DEL PROGRAMA]])</f>
        <v>1900</v>
      </c>
      <c r="NL149" s="43">
        <f t="shared" si="665"/>
        <v>49</v>
      </c>
      <c r="NM149" s="43" t="str">
        <f t="shared" si="501"/>
        <v>NO</v>
      </c>
      <c r="NN149" s="43" t="str">
        <f ca="1">IF(AND(O149&gt;0,R149=""),"NO CPN",IF(AND(O149="",R149=""),"",IF(AND(R149&gt;0,Tabla1[[#This Row],[SEMANAS DE GESTACION ACTUALIZADAS]]&lt;=12),"NO APLICA",IF(AND(FH149&lt;&gt;"",FN149&lt;&gt;""),"SI","NO"))))</f>
        <v>SI</v>
      </c>
      <c r="NO149" s="43" t="str">
        <f ca="1">IF(AND(O149&gt;0,R149=""),"NO CPN",IF(AND(O149="",R149=""),"",IF(AND(R149&gt;0,Tabla1[[#This Row],[SEMANAS DE GESTACION ACTUALIZADAS]]&lt;=27),"NO APLICA",IF(AND(ES149&lt;&gt;"",FQ149&lt;&gt;"",GF149&lt;&gt;""),"SI","NO"))))</f>
        <v>NO</v>
      </c>
      <c r="NP149" s="204" t="str">
        <f t="shared" si="666"/>
        <v>I TRIM</v>
      </c>
      <c r="NQ149" s="21" t="str">
        <f t="shared" si="691"/>
        <v/>
      </c>
      <c r="NR149" s="21">
        <f t="shared" ca="1" si="689"/>
        <v>3</v>
      </c>
      <c r="NS149" s="205">
        <f t="shared" ca="1" si="667"/>
        <v>2</v>
      </c>
      <c r="NT149" s="21">
        <f t="shared" ca="1" si="668"/>
        <v>2</v>
      </c>
      <c r="NU149" s="21" t="str">
        <f t="shared" ca="1" si="669"/>
        <v>INCOMPLETO</v>
      </c>
      <c r="NV149" s="21" t="str">
        <f t="shared" ca="1" si="670"/>
        <v>INCOMPLETO</v>
      </c>
      <c r="NW149" s="206" t="str">
        <f>IF(AND(O149="",R149=""),"",IF(OR(AND(Tabla1[[#This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49" s="207" t="str">
        <f t="shared" ca="1" si="671"/>
        <v>SIN VACUNAR</v>
      </c>
      <c r="NY149" s="43">
        <f>ROW(Tabla1[[#This Row],['# DE TAMIZAJES SIFILIS TOMADOS ]])</f>
        <v>149</v>
      </c>
      <c r="NZ149" s="43">
        <f t="shared" si="502"/>
        <v>10</v>
      </c>
      <c r="OA149" s="43" t="str">
        <f t="shared" si="503"/>
        <v/>
      </c>
      <c r="OB149" s="43" t="str">
        <f t="shared" si="504"/>
        <v>NORMAL</v>
      </c>
      <c r="OC149" s="43" t="str">
        <f t="shared" si="505"/>
        <v/>
      </c>
      <c r="OD149" s="43" t="str">
        <f t="shared" si="506"/>
        <v/>
      </c>
      <c r="OE149" s="43" t="str">
        <f t="shared" si="507"/>
        <v/>
      </c>
      <c r="OF149" s="43" t="str">
        <f t="shared" si="508"/>
        <v/>
      </c>
      <c r="OG149" s="43" t="str">
        <f t="shared" si="509"/>
        <v/>
      </c>
      <c r="OH149" s="43" t="str">
        <f t="shared" si="510"/>
        <v/>
      </c>
      <c r="OI149" s="43" t="str">
        <f t="shared" si="511"/>
        <v/>
      </c>
      <c r="OJ149" s="43" t="str">
        <f t="shared" si="512"/>
        <v/>
      </c>
      <c r="OK149" s="43" t="str">
        <f t="shared" si="513"/>
        <v/>
      </c>
      <c r="OL149" s="43" t="str">
        <f t="shared" si="514"/>
        <v/>
      </c>
      <c r="OM149" s="43" t="str">
        <f t="shared" si="515"/>
        <v/>
      </c>
      <c r="ON149" s="43" t="str">
        <f t="shared" si="516"/>
        <v/>
      </c>
      <c r="OO149" s="43" t="str">
        <f t="shared" si="517"/>
        <v/>
      </c>
      <c r="OP149" s="43" t="str">
        <f t="shared" si="518"/>
        <v/>
      </c>
      <c r="OQ149" s="43" t="str">
        <f t="shared" si="519"/>
        <v/>
      </c>
      <c r="OR149" s="43" t="str">
        <f t="shared" si="520"/>
        <v/>
      </c>
      <c r="OS149" s="43" t="str">
        <f t="shared" si="521"/>
        <v/>
      </c>
      <c r="OT149" s="43" t="str">
        <f t="shared" si="522"/>
        <v/>
      </c>
      <c r="OU149" s="43" t="str">
        <f t="shared" si="523"/>
        <v/>
      </c>
      <c r="OV149" s="110" t="str">
        <f t="shared" si="524"/>
        <v/>
      </c>
      <c r="OW149" s="43" t="str">
        <f t="shared" si="525"/>
        <v/>
      </c>
      <c r="OX149" s="43" t="str">
        <f t="shared" si="526"/>
        <v/>
      </c>
      <c r="OY149" s="43" t="str">
        <f t="shared" si="527"/>
        <v/>
      </c>
      <c r="OZ149" s="43" t="str">
        <f t="shared" si="528"/>
        <v/>
      </c>
      <c r="PA149" s="43" t="str">
        <f t="shared" si="529"/>
        <v/>
      </c>
      <c r="PB149" s="43" t="str">
        <f t="shared" si="530"/>
        <v/>
      </c>
      <c r="PC149" s="43" t="str">
        <f t="shared" si="531"/>
        <v/>
      </c>
      <c r="PD149" s="43" t="str">
        <f t="shared" si="532"/>
        <v/>
      </c>
      <c r="PE149" s="43" t="str">
        <f t="shared" si="533"/>
        <v/>
      </c>
      <c r="PF149" s="43" t="str">
        <f t="shared" si="534"/>
        <v/>
      </c>
      <c r="PG149" s="43" t="str">
        <f t="shared" si="535"/>
        <v/>
      </c>
      <c r="PH149" s="43" t="str">
        <f t="shared" si="536"/>
        <v/>
      </c>
      <c r="PI149" s="43">
        <f t="shared" si="537"/>
        <v>28</v>
      </c>
      <c r="PJ149" s="43" t="str">
        <f t="shared" si="538"/>
        <v/>
      </c>
      <c r="PK149" s="43" t="str">
        <f t="shared" si="539"/>
        <v/>
      </c>
      <c r="PL149" s="43" t="str">
        <f t="shared" si="540"/>
        <v/>
      </c>
      <c r="PM149" s="43" t="str">
        <f t="shared" si="541"/>
        <v/>
      </c>
      <c r="PN149" s="43" t="str">
        <f t="shared" si="542"/>
        <v/>
      </c>
      <c r="PO149" s="43" t="str">
        <f t="shared" si="543"/>
        <v/>
      </c>
      <c r="PP149" s="43" t="str">
        <f t="shared" si="544"/>
        <v/>
      </c>
      <c r="PQ149" s="43" t="str">
        <f t="shared" si="545"/>
        <v/>
      </c>
      <c r="PR149" s="43" t="str">
        <f t="shared" si="546"/>
        <v/>
      </c>
      <c r="PS149" s="43" t="str">
        <f t="shared" si="547"/>
        <v/>
      </c>
      <c r="PT149" s="43" t="str">
        <f t="shared" si="548"/>
        <v/>
      </c>
      <c r="PU149" s="43" t="str">
        <f t="shared" si="549"/>
        <v/>
      </c>
      <c r="PV149" s="43" t="str">
        <f t="shared" si="550"/>
        <v/>
      </c>
      <c r="PW149" s="43" t="str">
        <f t="shared" si="551"/>
        <v/>
      </c>
      <c r="PX149" s="43" t="str">
        <f t="shared" si="552"/>
        <v/>
      </c>
      <c r="PY149" s="43" t="str">
        <f t="shared" si="553"/>
        <v/>
      </c>
      <c r="PZ149" s="43" t="str">
        <f t="shared" si="554"/>
        <v/>
      </c>
      <c r="QA149" s="43" t="str">
        <f t="shared" si="555"/>
        <v/>
      </c>
      <c r="QB149" s="43" t="str">
        <f t="shared" si="556"/>
        <v/>
      </c>
      <c r="QC149" s="43" t="str">
        <f t="shared" si="557"/>
        <v>NORMAL</v>
      </c>
      <c r="QD149" s="43" t="str">
        <f t="shared" si="558"/>
        <v/>
      </c>
      <c r="QE149" s="43" t="str">
        <f t="shared" si="559"/>
        <v/>
      </c>
      <c r="QF149" s="43" t="str">
        <f t="shared" si="560"/>
        <v/>
      </c>
      <c r="QG149" s="43" t="str">
        <f t="shared" si="561"/>
        <v/>
      </c>
      <c r="QH149" s="43" t="str">
        <f t="shared" si="562"/>
        <v/>
      </c>
      <c r="QI149" s="43" t="str">
        <f t="shared" si="563"/>
        <v/>
      </c>
      <c r="QJ149" s="43" t="str">
        <f t="shared" si="564"/>
        <v/>
      </c>
      <c r="QK149" s="43" t="str">
        <f t="shared" si="565"/>
        <v/>
      </c>
      <c r="QL149" s="43" t="str">
        <f t="shared" si="566"/>
        <v/>
      </c>
      <c r="QM149" s="43" t="str">
        <f t="shared" si="567"/>
        <v/>
      </c>
      <c r="QN149" s="43" t="str">
        <f t="shared" si="568"/>
        <v/>
      </c>
      <c r="QO149" s="43" t="str">
        <f t="shared" si="569"/>
        <v/>
      </c>
      <c r="QP149" s="43" t="str">
        <f t="shared" si="570"/>
        <v/>
      </c>
      <c r="QQ149" s="43" t="str">
        <f t="shared" si="571"/>
        <v/>
      </c>
      <c r="QR149" s="43">
        <f t="shared" si="672"/>
        <v>28</v>
      </c>
      <c r="QS149" s="43"/>
      <c r="QT149" s="21" t="str">
        <f t="shared" si="572"/>
        <v/>
      </c>
      <c r="QU149" s="21" t="str">
        <f t="shared" si="573"/>
        <v/>
      </c>
      <c r="QV149" s="21" t="str">
        <f t="shared" si="574"/>
        <v/>
      </c>
      <c r="QW149" s="21" t="str">
        <f t="shared" si="575"/>
        <v/>
      </c>
      <c r="QX149" s="21" t="str">
        <f t="shared" si="576"/>
        <v/>
      </c>
      <c r="QY149" s="21" t="str">
        <f t="shared" si="577"/>
        <v/>
      </c>
      <c r="QZ149" s="21" t="str">
        <f t="shared" si="578"/>
        <v/>
      </c>
      <c r="RA149" s="21" t="str">
        <f t="shared" si="579"/>
        <v/>
      </c>
      <c r="RB149" s="21" t="str">
        <f t="shared" si="580"/>
        <v/>
      </c>
      <c r="RC149" s="21" t="str">
        <f t="shared" si="581"/>
        <v/>
      </c>
      <c r="RD149" s="21" t="str">
        <f t="shared" si="582"/>
        <v/>
      </c>
      <c r="RE149" s="21" t="str">
        <f t="shared" si="583"/>
        <v/>
      </c>
      <c r="RF149" s="21" t="str">
        <f t="shared" si="584"/>
        <v/>
      </c>
      <c r="RG149" s="21" t="str">
        <f t="shared" si="585"/>
        <v/>
      </c>
      <c r="RH149" s="21" t="str">
        <f t="shared" si="586"/>
        <v/>
      </c>
      <c r="RI149" s="21" t="str">
        <f t="shared" si="587"/>
        <v>ADECUADO PARA EDAD GESTACIONAL</v>
      </c>
      <c r="RJ149" s="21" t="str">
        <f t="shared" si="588"/>
        <v/>
      </c>
      <c r="RK149" s="21" t="str">
        <f t="shared" si="589"/>
        <v/>
      </c>
      <c r="RL149" s="21" t="str">
        <f t="shared" si="590"/>
        <v/>
      </c>
      <c r="RM149" s="21" t="str">
        <f t="shared" si="591"/>
        <v/>
      </c>
      <c r="RN149" s="21" t="str">
        <f t="shared" si="592"/>
        <v/>
      </c>
      <c r="RO149" s="21" t="str">
        <f t="shared" si="593"/>
        <v/>
      </c>
      <c r="RP149" s="21" t="str">
        <f t="shared" si="594"/>
        <v/>
      </c>
      <c r="RQ149" s="21" t="str">
        <f t="shared" si="595"/>
        <v/>
      </c>
      <c r="RR149" s="21" t="str">
        <f t="shared" si="596"/>
        <v/>
      </c>
      <c r="RS149" s="21" t="str">
        <f t="shared" si="597"/>
        <v/>
      </c>
      <c r="RT149" s="21" t="str">
        <f t="shared" si="598"/>
        <v/>
      </c>
      <c r="RU149" s="21" t="str">
        <f t="shared" si="599"/>
        <v/>
      </c>
      <c r="RV149" s="21">
        <f t="shared" si="600"/>
        <v>10.928571428571429</v>
      </c>
      <c r="RW149" s="284">
        <f>IF(OR(Tabla1[[#This Row],[FUM FORMULA CONFIABLE]]="",Tabla1[[#This Row],[FUM FORMULA CONFIABLE]]="SD"),"",IF(Tabla1[[#This Row],[FUM FORMULA CONFIABLE]]="CORREGIDA",Tabla1[[#This Row],[FUM X ECO 1]],Tabla1[[#This Row],[FUM x AMENORREA]]))</f>
        <v>44954.5</v>
      </c>
      <c r="RX149" s="21">
        <f>IF(AND(Tabla1[[#This Row],[FUM X ECO 1]]="",Tabla1[[#This Row],[FUM x AMENORREA]]=""),"",IF(AND(Tabla1[[#This Row],[FUM X ECO 1]]="",Tabla1[[#This Row],[FUM x AMENORREA]]&lt;&gt;""),"X",SUM(Tabla1[[#This Row],[FUM X ECO 1]]-Tabla1[[#This Row],[FUM x AMENORREA]])))</f>
        <v>6.5</v>
      </c>
      <c r="RY149" s="21">
        <f t="shared" si="673"/>
        <v>1</v>
      </c>
    </row>
    <row r="150" spans="1:493" ht="45" customHeight="1" x14ac:dyDescent="0.25">
      <c r="A150" s="109"/>
      <c r="B150" s="43"/>
      <c r="C150" s="43" t="s">
        <v>845</v>
      </c>
      <c r="D150" s="124"/>
      <c r="E150" s="43" t="s">
        <v>1439</v>
      </c>
      <c r="F150" s="43" t="s">
        <v>884</v>
      </c>
      <c r="G150" s="43" t="s">
        <v>1440</v>
      </c>
      <c r="H150" s="43" t="s">
        <v>1294</v>
      </c>
      <c r="I150" s="109" t="s">
        <v>851</v>
      </c>
      <c r="J150" s="110">
        <v>1002847533</v>
      </c>
      <c r="K150" s="43" t="s">
        <v>852</v>
      </c>
      <c r="L150" s="175" t="s">
        <v>853</v>
      </c>
      <c r="M150" s="22">
        <v>36963</v>
      </c>
      <c r="N150" s="213">
        <f t="shared" ca="1" si="601"/>
        <v>22.654794520547945</v>
      </c>
      <c r="O150" s="22">
        <v>45031</v>
      </c>
      <c r="P150" s="214" t="str">
        <f t="shared" si="675"/>
        <v>SI</v>
      </c>
      <c r="Q150" s="26" t="s">
        <v>855</v>
      </c>
      <c r="R150" s="22">
        <v>45031</v>
      </c>
      <c r="S150" s="21" t="s">
        <v>856</v>
      </c>
      <c r="T150" s="24" t="s">
        <v>690</v>
      </c>
      <c r="U150" s="21" t="s">
        <v>857</v>
      </c>
      <c r="V150" s="21" t="s">
        <v>858</v>
      </c>
      <c r="W150" s="21" t="s">
        <v>964</v>
      </c>
      <c r="X150" s="21" t="s">
        <v>964</v>
      </c>
      <c r="Y150" s="21"/>
      <c r="Z150" s="21">
        <v>3207589098</v>
      </c>
      <c r="AA150" s="21" t="s">
        <v>860</v>
      </c>
      <c r="AB150" s="27" t="s">
        <v>861</v>
      </c>
      <c r="AC150" s="26" t="s">
        <v>877</v>
      </c>
      <c r="AD150" s="38" t="s">
        <v>1546</v>
      </c>
      <c r="AE150" s="26" t="s">
        <v>854</v>
      </c>
      <c r="AF150" s="26" t="s">
        <v>854</v>
      </c>
      <c r="AG150" s="23" t="s">
        <v>864</v>
      </c>
      <c r="AH150" s="23" t="s">
        <v>864</v>
      </c>
      <c r="AI150" s="24" t="s">
        <v>863</v>
      </c>
      <c r="AJ150" s="23" t="s">
        <v>864</v>
      </c>
      <c r="AK150" s="220" t="str">
        <f>IF(AND(AD150="",AE150="",AF150="",AG150="",AH150="",AI150="",AJ150=""),"",IF(OR(Tabla1[[#This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EVALUACIÓN",IF(AND(O150="",R150=""),"",IF(AND(OR(O150&gt;0,R150&gt;0),NG150&gt;=0,NG150&lt;2),"SIN RIESGO",IF(AND(OR(O150&gt;0,R150&gt;0),NG150&gt;=2),"CON RIESGO","ASD")))))</f>
        <v>SIN RIESGO</v>
      </c>
      <c r="AL150" s="23" t="s">
        <v>864</v>
      </c>
      <c r="AM150" s="26" t="s">
        <v>864</v>
      </c>
      <c r="AN150" s="26" t="s">
        <v>864</v>
      </c>
      <c r="AO150" s="26" t="s">
        <v>864</v>
      </c>
      <c r="AP150" s="26" t="s">
        <v>864</v>
      </c>
      <c r="AQ150" s="26" t="s">
        <v>864</v>
      </c>
      <c r="AR150" s="26" t="s">
        <v>864</v>
      </c>
      <c r="AS150" s="21">
        <v>2</v>
      </c>
      <c r="AT150" s="21">
        <v>2</v>
      </c>
      <c r="AU150" s="21">
        <v>0</v>
      </c>
      <c r="AV150" s="26" t="s">
        <v>864</v>
      </c>
      <c r="AW150" s="21">
        <v>0</v>
      </c>
      <c r="AX150" s="26" t="s">
        <v>864</v>
      </c>
      <c r="AY150" s="26" t="s">
        <v>864</v>
      </c>
      <c r="AZ150" s="26" t="s">
        <v>864</v>
      </c>
      <c r="BA150" s="26" t="s">
        <v>864</v>
      </c>
      <c r="BB150" s="26" t="s">
        <v>864</v>
      </c>
      <c r="BC150" s="26" t="s">
        <v>864</v>
      </c>
      <c r="BD150" s="26" t="s">
        <v>864</v>
      </c>
      <c r="BE150" s="26" t="s">
        <v>864</v>
      </c>
      <c r="BF150" s="26" t="s">
        <v>864</v>
      </c>
      <c r="BG150" s="26" t="s">
        <v>864</v>
      </c>
      <c r="BH150" s="26" t="s">
        <v>864</v>
      </c>
      <c r="BI150" s="26" t="s">
        <v>864</v>
      </c>
      <c r="BJ150" s="26" t="s">
        <v>864</v>
      </c>
      <c r="BK150" s="26" t="s">
        <v>865</v>
      </c>
      <c r="BL150" s="26" t="s">
        <v>864</v>
      </c>
      <c r="BM150" s="26" t="s">
        <v>864</v>
      </c>
      <c r="BN150" s="22"/>
      <c r="BO150" s="22">
        <v>44944</v>
      </c>
      <c r="BP150" s="21" t="s">
        <v>854</v>
      </c>
      <c r="BQ150" s="222">
        <f t="shared" si="602"/>
        <v>0</v>
      </c>
      <c r="BR150" s="223">
        <f t="shared" si="603"/>
        <v>44978.2</v>
      </c>
      <c r="BS150" s="224">
        <f t="shared" si="604"/>
        <v>12.428571428571429</v>
      </c>
      <c r="BT150" s="216" t="str">
        <f t="shared" si="605"/>
        <v>II TRIM</v>
      </c>
      <c r="BU150" s="214">
        <f t="shared" ca="1" si="606"/>
        <v>41.142857142857146</v>
      </c>
      <c r="BV150" s="25" t="s">
        <v>988</v>
      </c>
      <c r="BW150" s="22">
        <v>45149</v>
      </c>
      <c r="BX150" s="28">
        <v>24.4</v>
      </c>
      <c r="BY150" s="28"/>
      <c r="BZ150" s="22"/>
      <c r="CA150" s="21"/>
      <c r="CB150" s="26" t="s">
        <v>864</v>
      </c>
      <c r="CC150" s="26" t="s">
        <v>864</v>
      </c>
      <c r="CD150" s="26" t="s">
        <v>1087</v>
      </c>
      <c r="CE150" s="26" t="s">
        <v>864</v>
      </c>
      <c r="CF150" s="22" t="s">
        <v>1517</v>
      </c>
      <c r="CG150" s="21">
        <v>1.58</v>
      </c>
      <c r="CH150" s="21">
        <v>61.7</v>
      </c>
      <c r="CI150" s="214">
        <f t="shared" si="607"/>
        <v>24.715590450248357</v>
      </c>
      <c r="CJ150" s="225" t="e">
        <f>IF(AND(CI150&lt;10,CH150="SD"),"SIN DATO PESO PREGESTACION O I TRIM",IF(AND(OR(R150&gt;0,O150&gt;0),CI150="X"),"INGRESAR DATO DE PESO",IF(CI150="SD","INGRESAR DATO DE TALLA Y PESO",IF(AND(OR(Tabla1[[#This Row],[MOMENTO EN QUE SE REALIZA EL PESO AL INGRESO A CPN]]="PREGESTACIÓN",NZ150="Menor"),CI150&lt;18.5),"BAJO PESO",IF(AND(OR(Tabla1[[#This Row],[MOMENTO EN QUE SE REALIZA EL PESO AL INGRESO A CPN]]="PREGESTACIÓN",NZ150="Menor"),CI150&lt;25),"NORMAL",IF(AND(OR(Tabla1[[#This Row],[MOMENTO EN QUE SE REALIZA EL PESO AL INGRESO A CPN]]="PREGESTACIÓN",NZ150="Menor"),CI150&lt;30),"SOBREPESO",IF(AND(OR(Tabla1[[#This Row],[MOMENTO EN QUE SE REALIZA EL PESO AL INGRESO A CPN]]="PREGESTACIÓN",NZ150="Menor"),CI150&gt;=30,CI150&lt;50),"OBESIDAD",IF(AND(BS150&gt;0,Tabla1[[#This Row],[MOMENTO EN QUE SE REALIZA EL PESO AL INGRESO A CPN]]="GESTACIÓN"),HLOOKUP(NZ150,$OA$2:PH150,NY150),""))))))))</f>
        <v>#REF!</v>
      </c>
      <c r="CK150" s="212">
        <f t="shared" si="608"/>
        <v>45149</v>
      </c>
      <c r="CL150" s="21">
        <v>68</v>
      </c>
      <c r="CM150" s="214">
        <f t="shared" si="609"/>
        <v>27.239224483255885</v>
      </c>
      <c r="CN150" s="216">
        <f t="shared" si="610"/>
        <v>29</v>
      </c>
      <c r="CO150" s="216" t="e">
        <f>IF(PI150="","",IF(PI150&gt;0,HLOOKUP(PI150,$PJ$2:QQ150,NY150),""))</f>
        <v>#REF!</v>
      </c>
      <c r="CP150" s="21">
        <v>29</v>
      </c>
      <c r="CQ150" s="216" t="e">
        <f>IF(QR150="Menor","NO APLICA-MENOR 13 SEM",IF(AND(CC150="SI",CN150&gt;23),"NO APLICA- GEMELAR",IF(QR150="","",IF(QR150&gt;0,HLOOKUP(QR150,$QS$2:RU150,NY150),""))))</f>
        <v>#REF!</v>
      </c>
      <c r="CR150" s="21"/>
      <c r="CS150" s="21"/>
      <c r="CT150" s="217" t="str">
        <f>IF(R150="","",IF(AND(BS150&gt;1,BS150&lt;12,Tabla1[[#This Row],[T.A. SISTOLICA - ANTES DE SEMANA 12]]="",Tabla1[[#This Row],[T.A. DIASTOLICA - ANTES DE SEMANA 12]]=""),"REGISTRE DATO TA ANTES SEMANA 12",IF(AND(BS150&gt;11,BS150&lt;43,Tabla1[[#This Row],[T.A. SISTOLICA - ANTES DE SEMANA 12]]="",Tabla1[[#This Row],[T.A. DIASTOLICA - ANTES DE SEMANA 12]]=""),"NO APLICA REGISTRO TA-INGRESO TARDIO",IF(AND(OR(O150&gt;0,R150&gt;0),OR(CR150&gt;=140,CS150&gt;=90)),"DEFINIR ESTADIO HTA",IF(AND(OR(O150&gt;0,R150&gt;0),AND(CR150&gt;120,CR150&lt;=139)),"PRE HTA SEGUIMIENTO",IF(AND(OR(O150&gt;0,R150&gt;0),AND(CS150&gt;80,CS150&lt;=89)),"PRE HTA SEGUIMIENTO",IF(AND(OR(O150&gt;0,R150&gt;0),AND(CR150&gt;=80,CR150&lt;=120)),"APARENTEMENTE NORMAL",IF(AND(OR(O150&gt;0,R150&gt;0),AND(CS150&gt;=50,CS150&lt;=80)),"APARENTEMENTE NORMAL",IF(AND(OR(O150&gt;0,R150&gt;0),AND(CR150&gt;1,CR150&lt;=70),AND(CS150&gt;1,CS150&lt;=40)),"HIPOTENSIÓN","")))))))))</f>
        <v>NO APLICA REGISTRO TA-INGRESO TARDIO</v>
      </c>
      <c r="CU150" s="21"/>
      <c r="CV150" s="21"/>
      <c r="CW150" s="217" t="str">
        <f ca="1">IF(R150="","",IF(AND(CN150&gt;19,CN150&lt;27,Tabla1[[#This Row],[T.A. SISTOLICA (Entre semana 20 y 26)]]="",Tabla1[[#This Row],[T.A. DIATOLICA (Entre semana 20 y 26)]]=""),"ACUDE A CONTROL SEM 20 A 26 REGISTRE TA AHORA",IF(AND(BS150&gt;1,BS150&lt;27,BU150&gt;19,Tabla1[[#This Row],[T.A. SISTOLICA (Entre semana 20 y 26)]]="",Tabla1[[#This Row],[T.A. DIATOLICA (Entre semana 20 y 26)]]=""),"COMPLETE REGISTRO TA CONTROL SEM 20 A26 ",IF(AND(BS150&gt;26,BS150&lt;43,Tabla1[[#This Row],[T.A. SISTOLICA (Entre semana 20 y 26)]]="",Tabla1[[#This Row],[T.A. DIATOLICA (Entre semana 20 y 26)]]=""),"NO APLICA REGISTRO TA-INGRESO TARDIO",IF(AND(OR(O150&gt;0,R150&gt;0),OR(CU150&gt;=140,CV150&gt;=90)),"ALTO RIESGO PREECLAMPSIA,DEFINIR ESTADIO HTA",IF(AND(OR(O150&gt;0,R150&gt;0),AND(CU150&gt;120,CU150&lt;=139)),"PRE HTA SEGUIMIENTO,RIESGO HIPERTENSION INDUCIDA POR EL EMBARAZO",IF(AND(OR(O150&gt;0,R150&gt;0),AND(CV150&gt;80,CV150&lt;=89)),"PRE HTA SEGUIMIENTO, RIESGO HIPERTENSION INDUCIDA POR EL EMBARAZO",IF(AND(OR(O150&lt;&gt;"",R150&lt;&gt;""),CS150&lt;&gt;"",CV150&lt;&gt;"",CS150&lt;=CV150),"VIGILAR CIFRAS PRESION ARTERIAL",IF(AND(OR(O150&gt;0,R150&gt;0),AND(CU150&gt;120,CU150&lt;=139)),"PRE HTA SEGUIMIENTO",IF(AND(OR(O150&gt;0,R150&gt;0),AND(CU150&gt;1,CU150&lt;=70),AND(CV150&gt;1,CV150&lt;=40)),"HIPOTENSIÓN",IF(AND(OR(O150&lt;&gt;"",R150&lt;&gt;""),CS150&lt;&gt;"",CV150&lt;&gt;"",CS150&gt;CV150),"APARENTEMENTE NORMAL",IF(AND(OR(O150&gt;0,R150&gt;0),AND(CU150&gt;=80,CU150&lt;=120)),"APARENTEMENTE NORMAL",IF(AND(OR(O150&gt;0,R150&gt;0),AND(CV150&gt;=50,CV150&lt;=80)),"APARENTEMENTE NORMAL","")))))))))))))</f>
        <v xml:space="preserve">COMPLETE REGISTRO TA CONTROL SEM 20 A26 </v>
      </c>
      <c r="CX150" s="21">
        <v>100</v>
      </c>
      <c r="CY150" s="21">
        <v>60</v>
      </c>
      <c r="CZ150" s="216" t="str">
        <f t="shared" si="690"/>
        <v>APARENTEMENTE NORMAL</v>
      </c>
      <c r="DA150" s="21">
        <v>100</v>
      </c>
      <c r="DB150" s="21">
        <v>60</v>
      </c>
      <c r="DC150" s="217" t="str">
        <f t="shared" si="611"/>
        <v>APARENTEMENTE NORMAL</v>
      </c>
      <c r="DD150" s="22">
        <v>45031</v>
      </c>
      <c r="DE150" s="22">
        <v>45031</v>
      </c>
      <c r="DF150" s="22">
        <v>45149</v>
      </c>
      <c r="DG150" s="22"/>
      <c r="DH150" s="22"/>
      <c r="DI150" s="22"/>
      <c r="DJ150" s="22"/>
      <c r="DK150" s="22"/>
      <c r="DL150" s="22"/>
      <c r="DM150" s="22"/>
      <c r="DN150" s="22"/>
      <c r="DO150" s="22"/>
      <c r="DP150" s="22"/>
      <c r="DQ150" s="22"/>
      <c r="DR150" s="28"/>
      <c r="DS150" s="22"/>
      <c r="DT150" s="22"/>
      <c r="DU150" s="216" t="str">
        <f t="shared" ca="1" si="676"/>
        <v>CONCERTAR PLAN DE PARTO INMEDIATO</v>
      </c>
      <c r="DV150" s="226" t="str">
        <f t="shared" si="677"/>
        <v>ACTIVA INGRESO A CPN</v>
      </c>
      <c r="DW150"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50" s="216" t="e">
        <f t="shared" ca="1" si="612"/>
        <v>#REF!</v>
      </c>
      <c r="DY150" s="212">
        <f>IF(R150="","",IF(R150&gt;0,MAX(Tabla1[[#This Row],[FECHA C2]:[FECHA C13]],Tabla1[[#This Row],[FECHA CONSULTA PRIMERA VEZ PROGRAMA CPN ]])))</f>
        <v>45149</v>
      </c>
      <c r="DZ150" s="216">
        <f t="shared" si="613"/>
        <v>29</v>
      </c>
      <c r="EA150" s="222">
        <f>IF(R150&gt;0,SUM(COUNTA(DF150:DQ150)+COUNTA(Tabla1[[#This Row],[FECHA CONSULTA PRIMERA VEZ PROGRAMA CPN ]])),"")</f>
        <v>2</v>
      </c>
      <c r="EB150" s="222" t="str">
        <f t="shared" si="614"/>
        <v>NO</v>
      </c>
      <c r="EC150" s="214">
        <f t="shared" si="615"/>
        <v>8</v>
      </c>
      <c r="ED150" s="227">
        <f t="shared" si="616"/>
        <v>0.25</v>
      </c>
      <c r="EE150" s="22">
        <v>45031</v>
      </c>
      <c r="EF150" s="22">
        <v>45149</v>
      </c>
      <c r="EG150" s="22">
        <v>45031</v>
      </c>
      <c r="EH150" s="22"/>
      <c r="EI150" s="22">
        <v>45031</v>
      </c>
      <c r="EJ150" s="22"/>
      <c r="EK150" s="22"/>
      <c r="EL150" s="21"/>
      <c r="EM150" s="21">
        <v>13.2</v>
      </c>
      <c r="EN150" s="22">
        <v>45031</v>
      </c>
      <c r="EO150" s="222">
        <f t="shared" si="617"/>
        <v>12.428571428571429</v>
      </c>
      <c r="EP150" s="214" t="str">
        <f t="shared" si="618"/>
        <v>NORMAL- SUMINISTRAR SULFATO FERROSO</v>
      </c>
      <c r="EQ150" s="216" t="str">
        <f t="shared" si="619"/>
        <v>I TRIM</v>
      </c>
      <c r="ER150" s="24"/>
      <c r="ES150" s="22"/>
      <c r="ET150" s="29" t="str">
        <f t="shared" ca="1" si="678"/>
        <v>TOMA DE HEMOGLOBINA TARDÍA</v>
      </c>
      <c r="EU150" s="25" t="str">
        <f t="shared" si="620"/>
        <v/>
      </c>
      <c r="EV150" s="24" t="s">
        <v>1510</v>
      </c>
      <c r="EW150" s="32">
        <v>45031</v>
      </c>
      <c r="EX150" s="22"/>
      <c r="EY150" s="29">
        <f t="shared" si="454"/>
        <v>12.428571428571429</v>
      </c>
      <c r="EZ150" s="25" t="str">
        <f t="shared" si="455"/>
        <v>SIN RIESGO DE ISOINMUNIZACIÓN</v>
      </c>
      <c r="FA150" s="21">
        <v>77</v>
      </c>
      <c r="FB150" s="22">
        <v>45031</v>
      </c>
      <c r="FC150" s="29">
        <f t="shared" si="621"/>
        <v>12.428571428571429</v>
      </c>
      <c r="FD150" s="29"/>
      <c r="FE150" s="29"/>
      <c r="FF150" s="29"/>
      <c r="FG150" s="21" t="str">
        <f t="shared" ca="1" si="622"/>
        <v>TOMAR PTOG</v>
      </c>
      <c r="FH150" s="31"/>
      <c r="FI150" s="29" t="str">
        <f t="shared" si="623"/>
        <v>TOMAR EXAMEN</v>
      </c>
      <c r="FJ150" s="22" t="s">
        <v>867</v>
      </c>
      <c r="FK150" s="22">
        <v>45031</v>
      </c>
      <c r="FL150" s="29">
        <f t="shared" ca="1" si="624"/>
        <v>12.428571428571429</v>
      </c>
      <c r="FM150" s="22"/>
      <c r="FN150" s="32"/>
      <c r="FO150" s="29" t="str">
        <f t="shared" ca="1" si="679"/>
        <v>PIERDE TOMA DE TAMIZAJE</v>
      </c>
      <c r="FP150" s="22"/>
      <c r="FQ150" s="32"/>
      <c r="FR150" s="29" t="str">
        <f t="shared" ca="1" si="680"/>
        <v>TOMA INMEDIATA DE TAMIZAJE</v>
      </c>
      <c r="FS150" s="22"/>
      <c r="FT150" s="32"/>
      <c r="FU150" s="29" t="str">
        <f>IF(AND(FJ150="",FM150="",FP150="",FS150=""),"",IF(OR(OR(Tabla1[[#This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50" s="28"/>
      <c r="FW150" s="22"/>
      <c r="FX150" s="29" t="str">
        <f t="shared" si="625"/>
        <v>TOMAR EXAMEN</v>
      </c>
      <c r="FY150" s="22">
        <v>45031</v>
      </c>
      <c r="FZ150" s="22">
        <v>45031</v>
      </c>
      <c r="GA150" s="29">
        <f t="shared" ca="1" si="498"/>
        <v>12.428571428571429</v>
      </c>
      <c r="GB150" s="22"/>
      <c r="GC150" s="22"/>
      <c r="GD150" s="29" t="str">
        <f t="shared" ca="1" si="681"/>
        <v>PIERDE TOMA DE TAMIZAJE</v>
      </c>
      <c r="GE150" s="22"/>
      <c r="GF150" s="22"/>
      <c r="GG150" s="29" t="str">
        <f t="shared" ca="1" si="682"/>
        <v>TOMA INMEDIATA DE TAMIZAJE</v>
      </c>
      <c r="GH150" s="22"/>
      <c r="GI150" s="29"/>
      <c r="GJ150" s="22"/>
      <c r="GK150" s="22"/>
      <c r="GL150" s="22"/>
      <c r="GM150" s="22"/>
      <c r="GN150" s="28" t="s">
        <v>869</v>
      </c>
      <c r="GO150" s="22">
        <v>45031</v>
      </c>
      <c r="GP150" s="29">
        <f t="shared" si="626"/>
        <v>12.428571428571429</v>
      </c>
      <c r="GQ150" s="28" t="s">
        <v>869</v>
      </c>
      <c r="GR150" s="28" t="s">
        <v>869</v>
      </c>
      <c r="GS150" s="22" t="str">
        <f t="shared" si="627"/>
        <v>CONTROL Igm</v>
      </c>
      <c r="GT150" s="22">
        <v>45031</v>
      </c>
      <c r="GU150" s="29">
        <f t="shared" si="628"/>
        <v>12.428571428571429</v>
      </c>
      <c r="GV150" s="21" t="str">
        <f t="shared" si="629"/>
        <v>I TRIM</v>
      </c>
      <c r="GW150" s="28" t="s">
        <v>869</v>
      </c>
      <c r="GX150" s="30"/>
      <c r="GY150" s="21"/>
      <c r="GZ150" s="21"/>
      <c r="HA150" s="21"/>
      <c r="HB150" s="21"/>
      <c r="HC150" s="21"/>
      <c r="HD150" s="21"/>
      <c r="HE150" s="21"/>
      <c r="HF150" s="22"/>
      <c r="HG150" s="22" t="str">
        <f>IF(OR(O150&gt;0,R150&gt;0),CONCATENATE(IF(Tabla1[[#This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50" s="22" t="e">
        <f t="shared" si="630"/>
        <v>#REF!</v>
      </c>
      <c r="HI150" s="22" t="e">
        <f t="shared" ca="1" si="631"/>
        <v>#REF!</v>
      </c>
      <c r="HJ150" s="21" t="str">
        <f t="shared" ca="1" si="632"/>
        <v>***************PRESENTACIÓN FETAL PODALICA O TRANSVERSA************EMBARAZO PROLONGADO************</v>
      </c>
      <c r="HK150" s="21" t="str">
        <f t="shared" si="633"/>
        <v>SIN ANTECEDENTES DE RIESGO</v>
      </c>
      <c r="HL150" s="24" t="str">
        <f t="shared" si="634"/>
        <v>APARENTEMENTE NORMAL</v>
      </c>
      <c r="HM150" s="21" t="e">
        <f t="shared" ca="1" si="635"/>
        <v>#REF!</v>
      </c>
      <c r="HN150" s="30" t="str">
        <f t="shared" si="683"/>
        <v>ACTIVA INGRESO A CPN</v>
      </c>
      <c r="HO150" s="21"/>
      <c r="HP150" s="21"/>
      <c r="HQ150" s="349"/>
      <c r="HR150" s="21" t="str">
        <f>IF(R150="","",IF(Tabla1[[#This Row],[ALARMA FACTORES DE RIESGO COMPLICACIONES HIPERTENSIVAS3]]="SIN ANTECEDENTES DE RIESGO","No Aplica para suministro de ASA",IF(AND(Tabla1[[#This Row],[FECHA INICIO DE SUMINISTRO DE ASA]]&gt;0,RV150&lt;12),"Inicia ASA ANTES de Sem 12",IF(AND(RV150&gt;11,RV150&lt;17,OR(HK150="RIESGO ALTO DE COMPLICACIONES HIPERTENSIVAS VER MANEJO GUIA SUMINISTRO ASA Y CALCIO",HK150="RIESGO MODERADO (2 O MAS CRITERIOS) VER MANEJO GUIA SUMINISTRO ASA Y CALCIO")),"Inicio oportuno de ASA",IF(AND(RV150&gt;12,OR(HK150="RIESGO ALTO DE COMPLICACIONES HIPERTENSIVAS VER MANEJO GUIA SUMINISTRO ASA Y CALCIO",HK150="RIESGO MODERADO (2 O MAS CRITERIOS) VER MANEJO GUIA SUMINISTRO ASA Y CALCIO")),"Inicio no oportuno mayor a 16 semanas",IF(AND(BU150&lt;12,OR(HK150="RIESGO ALTO DE COMPLICACIONES HIPERTENSIVAS VER MANEJO GUIA SUMINISTRO ASA Y CALCIO",HK150="RIESGO MODERADO (2 O MAS CRITERIOS) VER MANEJO GUIA SUMINISTRO ASA Y CALCIO")),"Pendiente Inicio de ASA a la semana 12",IF(AND(BU150&gt;11,BU150&lt;17,OR(HK150="RIESGO ALTO DE COMPLICACIONES HIPERTENSIVAS VER MANEJO GUIA SUMINISTRO ASA Y CALCIO",HK150="RIESGO MODERADO (2 O MAS CRITERIOS) VER MANEJO GUIA SUMINISTRO ASA Y CALCIO")),"Iniciar de inmediato ASA",IF(AND(BU150&gt;16,OR(HK150="RIESGO ALTO DE COMPLICACIONES HIPERTENSIVAS VER MANEJO GUIA SUMINISTRO ASA Y CALCIO",HK150="RIESGO MODERADO (2 O MAS CRITERIOS) VER MANEJO GUIA SUMINISTRO ASA Y CALCIO")),"Pierde Oportunidad, Inicio tardío de ASA","XXXXX"))))))))</f>
        <v>No Aplica para suministro de ASA</v>
      </c>
      <c r="HS150" s="22"/>
      <c r="HT150" s="22"/>
      <c r="HU150" s="22">
        <v>45031</v>
      </c>
      <c r="HV150" s="22" t="s">
        <v>870</v>
      </c>
      <c r="HW150" s="22">
        <v>45031</v>
      </c>
      <c r="HX150" s="22" t="s">
        <v>870</v>
      </c>
      <c r="HY150" s="22"/>
      <c r="HZ150" s="28" t="str">
        <f t="shared" si="636"/>
        <v>PENDIENTE CONSULTA</v>
      </c>
      <c r="IA150" s="26"/>
      <c r="IB150" s="26"/>
      <c r="IC150" s="111"/>
      <c r="ID150" s="22"/>
      <c r="IE150" s="22" t="str">
        <f t="shared" ca="1" si="637"/>
        <v>INASISTENTE</v>
      </c>
      <c r="IF150" s="22"/>
      <c r="IG150" s="22">
        <f t="shared" si="638"/>
        <v>45224</v>
      </c>
      <c r="IH150" s="29">
        <f t="shared" ca="1" si="639"/>
        <v>-8</v>
      </c>
      <c r="II150" s="22" t="str">
        <f t="shared" ca="1" si="640"/>
        <v>POSIBLEMENTE NACIO</v>
      </c>
      <c r="IJ150" s="22"/>
      <c r="IK150" s="21"/>
      <c r="IL150" s="21"/>
      <c r="IM150" s="34"/>
      <c r="IN150" s="22"/>
      <c r="IO150" s="21"/>
      <c r="IP150" s="29" t="str">
        <f t="shared" si="674"/>
        <v/>
      </c>
      <c r="IQ150" s="35"/>
      <c r="IR150" s="21"/>
      <c r="IS150" s="21"/>
      <c r="IT150" s="21"/>
      <c r="IU150" s="21"/>
      <c r="IV150" s="21"/>
      <c r="IW150" s="21"/>
      <c r="IX150" s="21"/>
      <c r="IY150" s="21"/>
      <c r="IZ150" s="21"/>
      <c r="JA150" s="21"/>
      <c r="JB150" s="30"/>
      <c r="JC150" s="21"/>
      <c r="JD150" s="36"/>
      <c r="JE150" s="21" t="str">
        <f t="shared" si="684"/>
        <v/>
      </c>
      <c r="JF150" s="30"/>
      <c r="JG150" s="21"/>
      <c r="JH150" s="21"/>
      <c r="JI150" s="21"/>
      <c r="JJ150" s="30"/>
      <c r="JK150" s="22"/>
      <c r="JL150" s="22"/>
      <c r="JM150" s="21"/>
      <c r="JN150" s="36"/>
      <c r="JO150" s="21" t="str">
        <f t="shared" si="685"/>
        <v/>
      </c>
      <c r="JP150" s="22"/>
      <c r="JQ150" s="21"/>
      <c r="JR150" s="21"/>
      <c r="JS150" s="21"/>
      <c r="JT150" s="30"/>
      <c r="JU150" s="22"/>
      <c r="JV150" s="22"/>
      <c r="JW150" s="33"/>
      <c r="JX150" s="28" t="str">
        <f t="shared" si="686"/>
        <v/>
      </c>
      <c r="JY150" s="33"/>
      <c r="JZ150" s="28" t="str">
        <f t="shared" si="687"/>
        <v/>
      </c>
      <c r="KA150" s="21"/>
      <c r="KB150" s="21"/>
      <c r="KC150" s="21"/>
      <c r="KD150" s="37"/>
      <c r="KE150" s="28"/>
      <c r="KF150" s="28"/>
      <c r="KG150" s="28"/>
      <c r="KH150" s="39"/>
      <c r="KI150" s="39"/>
      <c r="KJ150" s="66"/>
      <c r="KK150" s="39"/>
      <c r="KL150" s="39"/>
      <c r="KM150" s="66"/>
      <c r="KN150" s="39"/>
      <c r="KO150" s="39"/>
      <c r="KP150" s="39"/>
      <c r="KQ150" s="39"/>
      <c r="KR150" s="39"/>
      <c r="KS150" s="39"/>
      <c r="KT150" s="39"/>
      <c r="KU150" s="38"/>
      <c r="KV150" s="38"/>
      <c r="KW150" s="38"/>
      <c r="KX150" s="38"/>
      <c r="KY150" s="38"/>
      <c r="KZ150" s="38"/>
      <c r="LA150" s="38"/>
      <c r="LB150" s="38"/>
      <c r="LC150" s="38"/>
      <c r="LD150" s="38"/>
      <c r="LE150" s="38"/>
      <c r="LF150" s="38"/>
      <c r="LG150" s="38"/>
      <c r="LH150" s="38"/>
      <c r="LI150" s="38"/>
      <c r="LJ150" s="38"/>
      <c r="LK150" s="38"/>
      <c r="LL150" s="38"/>
      <c r="LM150" s="38"/>
      <c r="LN150" s="38"/>
      <c r="LO150" s="38"/>
      <c r="LP150" s="38"/>
      <c r="LQ150" s="38"/>
      <c r="LR150" s="38"/>
      <c r="LS150" s="38"/>
      <c r="LT150" s="38"/>
      <c r="LU150" s="38"/>
      <c r="LV150" s="38"/>
      <c r="LW150" s="38"/>
      <c r="LX150" s="38"/>
      <c r="LY150" s="38"/>
      <c r="LZ150" s="38"/>
      <c r="MA150" s="38"/>
      <c r="MB150" s="38"/>
      <c r="MC150" s="38"/>
      <c r="MD150" s="38"/>
      <c r="ME150" s="38"/>
      <c r="MF150" s="38"/>
      <c r="MG150" s="38"/>
      <c r="MH150" s="43">
        <f t="shared" si="641"/>
        <v>0</v>
      </c>
      <c r="MI150" s="43" t="str">
        <f t="shared" si="642"/>
        <v/>
      </c>
      <c r="MJ150" s="43" t="str">
        <f t="shared" si="643"/>
        <v/>
      </c>
      <c r="MK150" s="43">
        <f t="shared" si="644"/>
        <v>0</v>
      </c>
      <c r="ML15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50" s="43">
        <f t="shared" si="645"/>
        <v>12.428571428571429</v>
      </c>
      <c r="MN150" s="43">
        <f t="shared" si="646"/>
        <v>4</v>
      </c>
      <c r="MO150" s="43">
        <f t="shared" si="647"/>
        <v>2023</v>
      </c>
      <c r="MP150" s="43" t="str">
        <f t="shared" si="648"/>
        <v>II TRIMESTRE AÑO</v>
      </c>
      <c r="MQ150" s="43">
        <f t="shared" si="649"/>
        <v>21.769601401664474</v>
      </c>
      <c r="MR150" s="43">
        <f t="shared" si="650"/>
        <v>0</v>
      </c>
      <c r="MS150" s="43" t="str">
        <f t="shared" si="651"/>
        <v xml:space="preserve"> DE 20 A 24 AÑOS</v>
      </c>
      <c r="MT150" s="43">
        <f t="shared" si="652"/>
        <v>0</v>
      </c>
      <c r="MU150" s="43">
        <f t="shared" si="653"/>
        <v>0</v>
      </c>
      <c r="MV150" s="43">
        <f t="shared" si="654"/>
        <v>0</v>
      </c>
      <c r="MW150" s="43">
        <f t="shared" si="655"/>
        <v>0</v>
      </c>
      <c r="MX150" s="43" t="str">
        <f t="shared" si="656"/>
        <v/>
      </c>
      <c r="MY150" s="43">
        <f t="shared" ca="1" si="688"/>
        <v>1</v>
      </c>
      <c r="MZ150" s="43" t="str">
        <f t="shared" si="657"/>
        <v/>
      </c>
      <c r="NA150" s="43">
        <f t="shared" si="658"/>
        <v>3</v>
      </c>
      <c r="NB150" s="43" t="str">
        <f t="shared" si="659"/>
        <v/>
      </c>
      <c r="NC150" s="43" t="str">
        <f t="shared" si="660"/>
        <v/>
      </c>
      <c r="ND150" s="43">
        <f t="shared" ca="1" si="661"/>
        <v>4</v>
      </c>
      <c r="NE150" s="43">
        <f>IF(OR(O150&gt;0,R150&gt;0),SUM(COUNTIF(Tabla1[[#This Row],[AÑOS AL INICIO5 CPN]],"&gt;=40"),COUNTIF(AS150,"0"),COUNTIF(AR150,"SI"),COUNTIF(CC150,"SI"),COUNTIF(BQ150,"&gt;119"),COUNTIF(CI150,"&gt;=35")),"")</f>
        <v>0</v>
      </c>
      <c r="NF150" s="43" t="str">
        <f t="shared" si="662"/>
        <v/>
      </c>
      <c r="NG150" s="43">
        <f t="shared" si="663"/>
        <v>0</v>
      </c>
      <c r="NH150" s="43">
        <f t="shared" si="664"/>
        <v>170.79999999999998</v>
      </c>
      <c r="NI150"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CPN",P150="NO"),"Z",IF(AND(Tabla1[[#This Row],[CITA PROXIMO CONTROL]]="CITA MANUAL",Tabla1[[#This Row],[GESTANTES ACTUALES]]="ACTIVA INGRESO A CPN"),"W",IF(AND(Tabla1[[#This Row],[GESTANTES ACTUALES]]="SALIO PROGRAMA",IN150=""),"S",IF(AND(Tabla1[[#This Row],[CITA PROXIMO CONTROL]]&gt;0,IN150=""),(Tabla1[[#This Row],[CITA PROXIMO CONTROL]]-TODAY()),"SD"))))))))</f>
        <v>#REF!</v>
      </c>
      <c r="NJ150" s="43">
        <f>MONTH(Tabla1[[#This Row],[FECHA DE SALIDA  DEL PROGRAMA]])</f>
        <v>1</v>
      </c>
      <c r="NK150" s="43">
        <f>YEAR(Tabla1[[#This Row],[FECHA DE SALIDA  DEL PROGRAMA]])</f>
        <v>1900</v>
      </c>
      <c r="NL150" s="43" t="str">
        <f t="shared" si="665"/>
        <v>X</v>
      </c>
      <c r="NM150" s="43" t="str">
        <f t="shared" si="501"/>
        <v>NO</v>
      </c>
      <c r="NN150" s="43" t="str">
        <f ca="1">IF(AND(O150&gt;0,R150=""),"NO CPN",IF(AND(O150="",R150=""),"",IF(AND(R150&gt;0,Tabla1[[#This Row],[SEMANAS DE GESTACION ACTUALIZADAS]]&lt;=12),"NO APLICA",IF(AND(FH150&lt;&gt;"",FN150&lt;&gt;""),"SI","NO"))))</f>
        <v>NO</v>
      </c>
      <c r="NO150" s="43" t="str">
        <f ca="1">IF(AND(O150&gt;0,R150=""),"NO CPN",IF(AND(O150="",R150=""),"",IF(AND(R150&gt;0,Tabla1[[#This Row],[SEMANAS DE GESTACION ACTUALIZADAS]]&lt;=27),"NO APLICA",IF(AND(ES150&lt;&gt;"",FQ150&lt;&gt;"",GF150&lt;&gt;""),"SI","NO"))))</f>
        <v>NO</v>
      </c>
      <c r="NP150" s="204" t="str">
        <f t="shared" si="666"/>
        <v>II TRIM</v>
      </c>
      <c r="NQ150" s="21" t="str">
        <f t="shared" si="691"/>
        <v/>
      </c>
      <c r="NR150" s="21">
        <f t="shared" ca="1" si="689"/>
        <v>2</v>
      </c>
      <c r="NS150" s="205">
        <f t="shared" ca="1" si="667"/>
        <v>1</v>
      </c>
      <c r="NT150" s="21">
        <f t="shared" ca="1" si="668"/>
        <v>1</v>
      </c>
      <c r="NU150" s="21" t="str">
        <f t="shared" ca="1" si="669"/>
        <v>INCOMPLETO</v>
      </c>
      <c r="NV150" s="21" t="str">
        <f t="shared" ca="1" si="670"/>
        <v>INCOMPLETO</v>
      </c>
      <c r="NW150" s="206" t="str">
        <f>IF(AND(O150="",R150=""),"",IF(OR(AND(Tabla1[[#This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50" s="207" t="str">
        <f t="shared" ca="1" si="671"/>
        <v>SIN VACUNAR</v>
      </c>
      <c r="NY150" s="43">
        <f>ROW(Tabla1[[#This Row],['# DE TAMIZAJES SIFILIS TOMADOS ]])</f>
        <v>150</v>
      </c>
      <c r="NZ150" s="43">
        <f t="shared" si="502"/>
        <v>12</v>
      </c>
      <c r="OA150" s="43" t="str">
        <f t="shared" si="503"/>
        <v/>
      </c>
      <c r="OB150" s="43" t="str">
        <f t="shared" si="504"/>
        <v/>
      </c>
      <c r="OC150" s="43" t="str">
        <f t="shared" si="505"/>
        <v/>
      </c>
      <c r="OD150" s="43" t="str">
        <f t="shared" si="506"/>
        <v>NORMAL</v>
      </c>
      <c r="OE150" s="43" t="str">
        <f t="shared" si="507"/>
        <v/>
      </c>
      <c r="OF150" s="43" t="str">
        <f t="shared" si="508"/>
        <v/>
      </c>
      <c r="OG150" s="43" t="str">
        <f t="shared" si="509"/>
        <v/>
      </c>
      <c r="OH150" s="43" t="str">
        <f t="shared" si="510"/>
        <v/>
      </c>
      <c r="OI150" s="43" t="str">
        <f t="shared" si="511"/>
        <v/>
      </c>
      <c r="OJ150" s="43" t="str">
        <f t="shared" si="512"/>
        <v/>
      </c>
      <c r="OK150" s="43" t="str">
        <f t="shared" si="513"/>
        <v/>
      </c>
      <c r="OL150" s="43" t="str">
        <f t="shared" si="514"/>
        <v/>
      </c>
      <c r="OM150" s="43" t="str">
        <f t="shared" si="515"/>
        <v/>
      </c>
      <c r="ON150" s="43" t="str">
        <f t="shared" si="516"/>
        <v/>
      </c>
      <c r="OO150" s="43" t="str">
        <f t="shared" si="517"/>
        <v/>
      </c>
      <c r="OP150" s="43" t="str">
        <f t="shared" si="518"/>
        <v/>
      </c>
      <c r="OQ150" s="43" t="str">
        <f t="shared" si="519"/>
        <v/>
      </c>
      <c r="OR150" s="43" t="str">
        <f t="shared" si="520"/>
        <v/>
      </c>
      <c r="OS150" s="43" t="str">
        <f t="shared" si="521"/>
        <v/>
      </c>
      <c r="OT150" s="43" t="str">
        <f t="shared" si="522"/>
        <v/>
      </c>
      <c r="OU150" s="43" t="str">
        <f t="shared" si="523"/>
        <v/>
      </c>
      <c r="OV150" s="110" t="str">
        <f t="shared" si="524"/>
        <v/>
      </c>
      <c r="OW150" s="43" t="str">
        <f t="shared" si="525"/>
        <v/>
      </c>
      <c r="OX150" s="43" t="str">
        <f t="shared" si="526"/>
        <v/>
      </c>
      <c r="OY150" s="43" t="str">
        <f t="shared" si="527"/>
        <v/>
      </c>
      <c r="OZ150" s="43" t="str">
        <f t="shared" si="528"/>
        <v/>
      </c>
      <c r="PA150" s="43" t="str">
        <f t="shared" si="529"/>
        <v/>
      </c>
      <c r="PB150" s="43" t="str">
        <f t="shared" si="530"/>
        <v/>
      </c>
      <c r="PC150" s="43" t="str">
        <f t="shared" si="531"/>
        <v/>
      </c>
      <c r="PD150" s="43" t="str">
        <f t="shared" si="532"/>
        <v/>
      </c>
      <c r="PE150" s="43" t="str">
        <f t="shared" si="533"/>
        <v/>
      </c>
      <c r="PF150" s="43" t="str">
        <f t="shared" si="534"/>
        <v/>
      </c>
      <c r="PG150" s="43" t="str">
        <f t="shared" si="535"/>
        <v/>
      </c>
      <c r="PH150" s="43" t="str">
        <f t="shared" si="536"/>
        <v/>
      </c>
      <c r="PI150" s="43">
        <f t="shared" si="537"/>
        <v>29</v>
      </c>
      <c r="PJ150" s="43" t="str">
        <f t="shared" si="538"/>
        <v/>
      </c>
      <c r="PK150" s="43" t="str">
        <f t="shared" si="539"/>
        <v/>
      </c>
      <c r="PL150" s="43" t="str">
        <f t="shared" si="540"/>
        <v/>
      </c>
      <c r="PM150" s="43" t="str">
        <f t="shared" si="541"/>
        <v/>
      </c>
      <c r="PN150" s="43" t="str">
        <f t="shared" si="542"/>
        <v/>
      </c>
      <c r="PO150" s="43" t="str">
        <f t="shared" si="543"/>
        <v/>
      </c>
      <c r="PP150" s="43" t="str">
        <f t="shared" si="544"/>
        <v/>
      </c>
      <c r="PQ150" s="43" t="str">
        <f t="shared" si="545"/>
        <v/>
      </c>
      <c r="PR150" s="43" t="str">
        <f t="shared" si="546"/>
        <v/>
      </c>
      <c r="PS150" s="43" t="str">
        <f t="shared" si="547"/>
        <v/>
      </c>
      <c r="PT150" s="43" t="str">
        <f t="shared" si="548"/>
        <v/>
      </c>
      <c r="PU150" s="43" t="str">
        <f t="shared" si="549"/>
        <v/>
      </c>
      <c r="PV150" s="43" t="str">
        <f t="shared" si="550"/>
        <v/>
      </c>
      <c r="PW150" s="43" t="str">
        <f t="shared" si="551"/>
        <v/>
      </c>
      <c r="PX150" s="43" t="str">
        <f t="shared" si="552"/>
        <v/>
      </c>
      <c r="PY150" s="43" t="str">
        <f t="shared" si="553"/>
        <v/>
      </c>
      <c r="PZ150" s="43" t="str">
        <f t="shared" si="554"/>
        <v/>
      </c>
      <c r="QA150" s="43" t="str">
        <f t="shared" si="555"/>
        <v/>
      </c>
      <c r="QB150" s="43" t="str">
        <f t="shared" si="556"/>
        <v/>
      </c>
      <c r="QC150" s="43" t="str">
        <f t="shared" si="557"/>
        <v/>
      </c>
      <c r="QD150" s="43" t="str">
        <f t="shared" si="558"/>
        <v>NORMAL</v>
      </c>
      <c r="QE150" s="43" t="str">
        <f t="shared" si="559"/>
        <v/>
      </c>
      <c r="QF150" s="43" t="str">
        <f t="shared" si="560"/>
        <v/>
      </c>
      <c r="QG150" s="43" t="str">
        <f t="shared" si="561"/>
        <v/>
      </c>
      <c r="QH150" s="43" t="str">
        <f t="shared" si="562"/>
        <v/>
      </c>
      <c r="QI150" s="43" t="str">
        <f t="shared" si="563"/>
        <v/>
      </c>
      <c r="QJ150" s="43" t="str">
        <f t="shared" si="564"/>
        <v/>
      </c>
      <c r="QK150" s="43" t="str">
        <f t="shared" si="565"/>
        <v/>
      </c>
      <c r="QL150" s="43" t="str">
        <f t="shared" si="566"/>
        <v/>
      </c>
      <c r="QM150" s="43" t="str">
        <f t="shared" si="567"/>
        <v/>
      </c>
      <c r="QN150" s="43" t="str">
        <f t="shared" si="568"/>
        <v/>
      </c>
      <c r="QO150" s="43" t="str">
        <f t="shared" si="569"/>
        <v/>
      </c>
      <c r="QP150" s="43" t="str">
        <f t="shared" si="570"/>
        <v/>
      </c>
      <c r="QQ150" s="43" t="str">
        <f t="shared" si="571"/>
        <v/>
      </c>
      <c r="QR150" s="43">
        <f t="shared" si="672"/>
        <v>29</v>
      </c>
      <c r="QS150" s="43"/>
      <c r="QT150" s="21" t="str">
        <f t="shared" si="572"/>
        <v/>
      </c>
      <c r="QU150" s="21" t="str">
        <f t="shared" si="573"/>
        <v/>
      </c>
      <c r="QV150" s="21" t="str">
        <f t="shared" si="574"/>
        <v/>
      </c>
      <c r="QW150" s="21" t="str">
        <f t="shared" si="575"/>
        <v/>
      </c>
      <c r="QX150" s="21" t="str">
        <f t="shared" si="576"/>
        <v/>
      </c>
      <c r="QY150" s="21" t="str">
        <f t="shared" si="577"/>
        <v/>
      </c>
      <c r="QZ150" s="21" t="str">
        <f t="shared" si="578"/>
        <v/>
      </c>
      <c r="RA150" s="21" t="str">
        <f t="shared" si="579"/>
        <v/>
      </c>
      <c r="RB150" s="21" t="str">
        <f t="shared" si="580"/>
        <v/>
      </c>
      <c r="RC150" s="21" t="str">
        <f t="shared" si="581"/>
        <v/>
      </c>
      <c r="RD150" s="21" t="str">
        <f t="shared" si="582"/>
        <v/>
      </c>
      <c r="RE150" s="21" t="str">
        <f t="shared" si="583"/>
        <v/>
      </c>
      <c r="RF150" s="21" t="str">
        <f t="shared" si="584"/>
        <v/>
      </c>
      <c r="RG150" s="21" t="str">
        <f t="shared" si="585"/>
        <v/>
      </c>
      <c r="RH150" s="21" t="str">
        <f t="shared" si="586"/>
        <v/>
      </c>
      <c r="RI150" s="21" t="str">
        <f t="shared" si="587"/>
        <v/>
      </c>
      <c r="RJ150" s="21" t="str">
        <f t="shared" si="588"/>
        <v>ALTO PARA EDAD GESTACIONAL</v>
      </c>
      <c r="RK150" s="21" t="str">
        <f t="shared" si="589"/>
        <v/>
      </c>
      <c r="RL150" s="21" t="str">
        <f t="shared" si="590"/>
        <v/>
      </c>
      <c r="RM150" s="21" t="str">
        <f t="shared" si="591"/>
        <v/>
      </c>
      <c r="RN150" s="21" t="str">
        <f t="shared" si="592"/>
        <v/>
      </c>
      <c r="RO150" s="21" t="str">
        <f t="shared" si="593"/>
        <v/>
      </c>
      <c r="RP150" s="21" t="str">
        <f t="shared" si="594"/>
        <v/>
      </c>
      <c r="RQ150" s="21" t="str">
        <f t="shared" si="595"/>
        <v/>
      </c>
      <c r="RR150" s="21" t="str">
        <f t="shared" si="596"/>
        <v/>
      </c>
      <c r="RS150" s="21" t="str">
        <f t="shared" si="597"/>
        <v/>
      </c>
      <c r="RT150" s="21" t="str">
        <f t="shared" si="598"/>
        <v/>
      </c>
      <c r="RU150" s="21" t="str">
        <f t="shared" si="599"/>
        <v/>
      </c>
      <c r="RV150" s="21">
        <f t="shared" si="600"/>
        <v>-1</v>
      </c>
      <c r="RW150" s="284">
        <f>IF(OR(Tabla1[[#This Row],[FUM FORMULA CONFIABLE]]="",Tabla1[[#This Row],[FUM FORMULA CONFIABLE]]="SD"),"",IF(Tabla1[[#This Row],[FUM FORMULA CONFIABLE]]="CORREGIDA",Tabla1[[#This Row],[FUM X ECO 1]],Tabla1[[#This Row],[FUM x AMENORREA]]))</f>
        <v>44944</v>
      </c>
      <c r="RX150" s="21">
        <f>IF(AND(Tabla1[[#This Row],[FUM X ECO 1]]="",Tabla1[[#This Row],[FUM x AMENORREA]]=""),"",IF(AND(Tabla1[[#This Row],[FUM X ECO 1]]="",Tabla1[[#This Row],[FUM x AMENORREA]]&lt;&gt;""),"X",SUM(Tabla1[[#This Row],[FUM X ECO 1]]-Tabla1[[#This Row],[FUM x AMENORREA]])))</f>
        <v>34.19999999999709</v>
      </c>
      <c r="RY150" s="21">
        <f t="shared" si="673"/>
        <v>1</v>
      </c>
    </row>
    <row r="151" spans="1:493" ht="45" customHeight="1" x14ac:dyDescent="0.25">
      <c r="A151" s="109"/>
      <c r="B151" s="43"/>
      <c r="C151" s="43" t="s">
        <v>845</v>
      </c>
      <c r="D151" s="124"/>
      <c r="E151" s="43" t="s">
        <v>1441</v>
      </c>
      <c r="F151" s="43"/>
      <c r="G151" s="43" t="s">
        <v>1284</v>
      </c>
      <c r="H151" s="43" t="s">
        <v>1442</v>
      </c>
      <c r="I151" s="109" t="s">
        <v>851</v>
      </c>
      <c r="J151" s="110">
        <v>1002848635</v>
      </c>
      <c r="K151" s="43" t="s">
        <v>904</v>
      </c>
      <c r="L151" s="175" t="s">
        <v>1509</v>
      </c>
      <c r="M151" s="22">
        <v>36139</v>
      </c>
      <c r="N151" s="213">
        <f t="shared" ca="1" si="601"/>
        <v>24.912328767123288</v>
      </c>
      <c r="O151" s="22">
        <v>44996</v>
      </c>
      <c r="P151" s="214" t="str">
        <f t="shared" si="675"/>
        <v>SI</v>
      </c>
      <c r="Q151" s="26" t="s">
        <v>855</v>
      </c>
      <c r="R151" s="22">
        <v>44996</v>
      </c>
      <c r="S151" s="21" t="s">
        <v>856</v>
      </c>
      <c r="T151" s="24" t="s">
        <v>690</v>
      </c>
      <c r="U151" s="21" t="s">
        <v>857</v>
      </c>
      <c r="V151" s="21" t="s">
        <v>858</v>
      </c>
      <c r="W151" s="21" t="s">
        <v>1331</v>
      </c>
      <c r="X151" s="21"/>
      <c r="Y151" s="21" t="s">
        <v>1595</v>
      </c>
      <c r="Z151" s="21">
        <v>3167703054</v>
      </c>
      <c r="AA151" s="21" t="s">
        <v>860</v>
      </c>
      <c r="AB151" s="27" t="s">
        <v>861</v>
      </c>
      <c r="AC151" s="26" t="s">
        <v>877</v>
      </c>
      <c r="AD151" s="38" t="s">
        <v>1546</v>
      </c>
      <c r="AE151" s="26" t="s">
        <v>854</v>
      </c>
      <c r="AF151" s="26" t="s">
        <v>854</v>
      </c>
      <c r="AG151" s="23" t="s">
        <v>864</v>
      </c>
      <c r="AH151" s="23" t="s">
        <v>864</v>
      </c>
      <c r="AI151" s="24" t="s">
        <v>863</v>
      </c>
      <c r="AJ151" s="23" t="s">
        <v>864</v>
      </c>
      <c r="AK151" s="220" t="str">
        <f>IF(AND(AD151="",AE151="",AF151="",AG151="",AH151="",AI151="",AJ151=""),"",IF(OR(Tabla1[[#This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EVALUACIÓN",IF(AND(O151="",R151=""),"",IF(AND(OR(O151&gt;0,R151&gt;0),NG151&gt;=0,NG151&lt;2),"SIN RIESGO",IF(AND(OR(O151&gt;0,R151&gt;0),NG151&gt;=2),"CON RIESGO","ASD")))))</f>
        <v>SIN RIESGO</v>
      </c>
      <c r="AL151" s="23" t="s">
        <v>864</v>
      </c>
      <c r="AM151" s="26" t="s">
        <v>864</v>
      </c>
      <c r="AN151" s="26" t="s">
        <v>864</v>
      </c>
      <c r="AO151" s="26" t="s">
        <v>864</v>
      </c>
      <c r="AP151" s="26" t="s">
        <v>864</v>
      </c>
      <c r="AQ151" s="26" t="s">
        <v>864</v>
      </c>
      <c r="AR151" s="26" t="s">
        <v>864</v>
      </c>
      <c r="AS151" s="21">
        <v>0</v>
      </c>
      <c r="AT151" s="21">
        <v>0</v>
      </c>
      <c r="AU151" s="21">
        <v>0</v>
      </c>
      <c r="AV151" s="26" t="s">
        <v>864</v>
      </c>
      <c r="AW151" s="21">
        <v>0</v>
      </c>
      <c r="AX151" s="26" t="s">
        <v>864</v>
      </c>
      <c r="AY151" s="26" t="s">
        <v>864</v>
      </c>
      <c r="AZ151" s="26" t="s">
        <v>864</v>
      </c>
      <c r="BA151" s="26" t="s">
        <v>864</v>
      </c>
      <c r="BB151" s="26" t="s">
        <v>864</v>
      </c>
      <c r="BC151" s="26" t="s">
        <v>864</v>
      </c>
      <c r="BD151" s="26" t="s">
        <v>864</v>
      </c>
      <c r="BE151" s="26" t="s">
        <v>864</v>
      </c>
      <c r="BF151" s="26" t="s">
        <v>864</v>
      </c>
      <c r="BG151" s="26" t="s">
        <v>864</v>
      </c>
      <c r="BH151" s="26" t="s">
        <v>864</v>
      </c>
      <c r="BI151" s="26" t="s">
        <v>864</v>
      </c>
      <c r="BJ151" s="26" t="s">
        <v>864</v>
      </c>
      <c r="BK151" s="26" t="s">
        <v>864</v>
      </c>
      <c r="BL151" s="26" t="s">
        <v>864</v>
      </c>
      <c r="BM151" s="26" t="s">
        <v>864</v>
      </c>
      <c r="BN151" s="22"/>
      <c r="BO151" s="22">
        <v>44951</v>
      </c>
      <c r="BP151" s="21" t="s">
        <v>854</v>
      </c>
      <c r="BQ151" s="222">
        <f t="shared" si="602"/>
        <v>0</v>
      </c>
      <c r="BR151" s="223" t="str">
        <f t="shared" si="603"/>
        <v/>
      </c>
      <c r="BS151" s="224">
        <f t="shared" si="604"/>
        <v>6.4285714285714288</v>
      </c>
      <c r="BT151" s="216" t="str">
        <f t="shared" si="605"/>
        <v>I TRIM</v>
      </c>
      <c r="BU151" s="214">
        <f t="shared" ca="1" si="606"/>
        <v>40.142857142857146</v>
      </c>
      <c r="BV151" s="25"/>
      <c r="BW151" s="22"/>
      <c r="BX151" s="28"/>
      <c r="BY151" s="28"/>
      <c r="BZ151" s="22"/>
      <c r="CA151" s="21"/>
      <c r="CB151" s="26"/>
      <c r="CC151" s="26"/>
      <c r="CD151" s="26"/>
      <c r="CE151" s="26"/>
      <c r="CF151" s="22" t="s">
        <v>1517</v>
      </c>
      <c r="CG151" s="21">
        <v>1.52</v>
      </c>
      <c r="CH151" s="21">
        <v>63.7</v>
      </c>
      <c r="CI151" s="214">
        <f t="shared" si="607"/>
        <v>27.570983379501385</v>
      </c>
      <c r="CJ151" s="225" t="str">
        <f>IF(AND(CI151&lt;10,CH151="SD"),"SIN DATO PESO PREGESTACION O I TRIM",IF(AND(OR(R151&gt;0,O151&gt;0),CI151="X"),"INGRESAR DATO DE PESO",IF(CI151="SD","INGRESAR DATO DE TALLA Y PESO",IF(AND(OR(Tabla1[[#This Row],[MOMENTO EN QUE SE REALIZA EL PESO AL INGRESO A CPN]]="PREGESTACIÓN",NZ151="Menor"),CI151&lt;18.5),"BAJO PESO",IF(AND(OR(Tabla1[[#This Row],[MOMENTO EN QUE SE REALIZA EL PESO AL INGRESO A CPN]]="PREGESTACIÓN",NZ151="Menor"),CI151&lt;25),"NORMAL",IF(AND(OR(Tabla1[[#This Row],[MOMENTO EN QUE SE REALIZA EL PESO AL INGRESO A CPN]]="PREGESTACIÓN",NZ151="Menor"),CI151&lt;30),"SOBREPESO",IF(AND(OR(Tabla1[[#This Row],[MOMENTO EN QUE SE REALIZA EL PESO AL INGRESO A CPN]]="PREGESTACIÓN",NZ151="Menor"),CI151&gt;=30,CI151&lt;50),"OBESIDAD",IF(AND(BS151&gt;0,Tabla1[[#This Row],[MOMENTO EN QUE SE REALIZA EL PESO AL INGRESO A CPN]]="GESTACIÓN"),HLOOKUP(NZ151,$OA$2:PH151,NY151),""))))))))</f>
        <v>SOBREPESO</v>
      </c>
      <c r="CK151" s="212">
        <f t="shared" si="608"/>
        <v>45136</v>
      </c>
      <c r="CL151" s="21">
        <v>71.2</v>
      </c>
      <c r="CM151" s="214">
        <f t="shared" si="609"/>
        <v>30.817174515235457</v>
      </c>
      <c r="CN151" s="216">
        <f t="shared" si="610"/>
        <v>26</v>
      </c>
      <c r="CO151" s="216" t="e">
        <f>IF(PI151="","",IF(PI151&gt;0,HLOOKUP(PI151,$PJ$2:QQ151,NY151),""))</f>
        <v>#REF!</v>
      </c>
      <c r="CP151" s="21">
        <v>23</v>
      </c>
      <c r="CQ151" s="216" t="e">
        <f>IF(QR151="Menor","NO APLICA-MENOR 13 SEM",IF(AND(CC151="SI",CN151&gt;23),"NO APLICA- GEMELAR",IF(QR151="","",IF(QR151&gt;0,HLOOKUP(QR151,$QS$2:RU151,NY151),""))))</f>
        <v>#REF!</v>
      </c>
      <c r="CR151" s="21"/>
      <c r="CS151" s="21"/>
      <c r="CT151" s="217" t="str">
        <f>IF(R151="","",IF(AND(BS151&gt;1,BS151&lt;12,Tabla1[[#This Row],[T.A. SISTOLICA - ANTES DE SEMANA 12]]="",Tabla1[[#This Row],[T.A. DIASTOLICA - ANTES DE SEMANA 12]]=""),"REGISTRE DATO TA ANTES SEMANA 12",IF(AND(BS151&gt;11,BS151&lt;43,Tabla1[[#This Row],[T.A. SISTOLICA - ANTES DE SEMANA 12]]="",Tabla1[[#This Row],[T.A. DIASTOLICA - ANTES DE SEMANA 12]]=""),"NO APLICA REGISTRO TA-INGRESO TARDIO",IF(AND(OR(O151&gt;0,R151&gt;0),OR(CR151&gt;=140,CS151&gt;=90)),"DEFINIR ESTADIO HTA",IF(AND(OR(O151&gt;0,R151&gt;0),AND(CR151&gt;120,CR151&lt;=139)),"PRE HTA SEGUIMIENTO",IF(AND(OR(O151&gt;0,R151&gt;0),AND(CS151&gt;80,CS151&lt;=89)),"PRE HTA SEGUIMIENTO",IF(AND(OR(O151&gt;0,R151&gt;0),AND(CR151&gt;=80,CR151&lt;=120)),"APARENTEMENTE NORMAL",IF(AND(OR(O151&gt;0,R151&gt;0),AND(CS151&gt;=50,CS151&lt;=80)),"APARENTEMENTE NORMAL",IF(AND(OR(O151&gt;0,R151&gt;0),AND(CR151&gt;1,CR151&lt;=70),AND(CS151&gt;1,CS151&lt;=40)),"HIPOTENSIÓN","")))))))))</f>
        <v>REGISTRE DATO TA ANTES SEMANA 12</v>
      </c>
      <c r="CU151" s="21">
        <v>90</v>
      </c>
      <c r="CV151" s="21">
        <v>60</v>
      </c>
      <c r="CW151" s="217" t="str">
        <f ca="1">IF(R151="","",IF(AND(CN151&gt;19,CN151&lt;27,Tabla1[[#This Row],[T.A. SISTOLICA (Entre semana 20 y 26)]]="",Tabla1[[#This Row],[T.A. DIATOLICA (Entre semana 20 y 26)]]=""),"ACUDE A CONTROL SEM 20 A 26 REGISTRE TA AHORA",IF(AND(BS151&gt;1,BS151&lt;27,BU151&gt;19,Tabla1[[#This Row],[T.A. SISTOLICA (Entre semana 20 y 26)]]="",Tabla1[[#This Row],[T.A. DIATOLICA (Entre semana 20 y 26)]]=""),"COMPLETE REGISTRO TA CONTROL SEM 20 A26 ",IF(AND(BS151&gt;26,BS151&lt;43,Tabla1[[#This Row],[T.A. SISTOLICA (Entre semana 20 y 26)]]="",Tabla1[[#This Row],[T.A. DIATOLICA (Entre semana 20 y 26)]]=""),"NO APLICA REGISTRO TA-INGRESO TARDIO",IF(AND(OR(O151&gt;0,R151&gt;0),OR(CU151&gt;=140,CV151&gt;=90)),"ALTO RIESGO PREECLAMPSIA,DEFINIR ESTADIO HTA",IF(AND(OR(O151&gt;0,R151&gt;0),AND(CU151&gt;120,CU151&lt;=139)),"PRE HTA SEGUIMIENTO,RIESGO HIPERTENSION INDUCIDA POR EL EMBARAZO",IF(AND(OR(O151&gt;0,R151&gt;0),AND(CV151&gt;80,CV151&lt;=89)),"PRE HTA SEGUIMIENTO, RIESGO HIPERTENSION INDUCIDA POR EL EMBARAZO",IF(AND(OR(O151&lt;&gt;"",R151&lt;&gt;""),CS151&lt;&gt;"",CV151&lt;&gt;"",CS151&lt;=CV151),"VIGILAR CIFRAS PRESION ARTERIAL",IF(AND(OR(O151&gt;0,R151&gt;0),AND(CU151&gt;120,CU151&lt;=139)),"PRE HTA SEGUIMIENTO",IF(AND(OR(O151&gt;0,R151&gt;0),AND(CU151&gt;1,CU151&lt;=70),AND(CV151&gt;1,CV151&lt;=40)),"HIPOTENSIÓN",IF(AND(OR(O151&lt;&gt;"",R151&lt;&gt;""),CS151&lt;&gt;"",CV151&lt;&gt;"",CS151&gt;CV151),"APARENTEMENTE NORMAL",IF(AND(OR(O151&gt;0,R151&gt;0),AND(CU151&gt;=80,CU151&lt;=120)),"APARENTEMENTE NORMAL",IF(AND(OR(O151&gt;0,R151&gt;0),AND(CV151&gt;=50,CV151&lt;=80)),"APARENTEMENTE NORMAL","")))))))))))))</f>
        <v>APARENTEMENTE NORMAL</v>
      </c>
      <c r="CX151" s="21"/>
      <c r="CY151" s="21"/>
      <c r="CZ151" s="216" t="str">
        <f t="shared" si="690"/>
        <v/>
      </c>
      <c r="DA151" s="21">
        <v>90</v>
      </c>
      <c r="DB151" s="21">
        <v>60</v>
      </c>
      <c r="DC151" s="217" t="str">
        <f t="shared" si="611"/>
        <v>APARENTEMENTE NORMAL</v>
      </c>
      <c r="DD151" s="22">
        <v>44996</v>
      </c>
      <c r="DE151" s="22">
        <v>44996</v>
      </c>
      <c r="DF151" s="22">
        <v>45027</v>
      </c>
      <c r="DG151" s="22">
        <v>45063</v>
      </c>
      <c r="DH151" s="22">
        <v>45094</v>
      </c>
      <c r="DI151" s="22">
        <v>45136</v>
      </c>
      <c r="DJ151" s="22"/>
      <c r="DK151" s="22"/>
      <c r="DL151" s="22"/>
      <c r="DM151" s="22"/>
      <c r="DN151" s="22"/>
      <c r="DO151" s="22"/>
      <c r="DP151" s="22"/>
      <c r="DQ151" s="22"/>
      <c r="DR151" s="28"/>
      <c r="DS151" s="22"/>
      <c r="DT151" s="22"/>
      <c r="DU151" s="216" t="str">
        <f t="shared" ca="1" si="676"/>
        <v>CONCERTAR PLAN DE PARTO INMEDIATO</v>
      </c>
      <c r="DV151" s="226" t="str">
        <f t="shared" si="677"/>
        <v>ACTIVA INGRESO A CPN</v>
      </c>
      <c r="DW15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51" s="216" t="e">
        <f t="shared" ca="1" si="612"/>
        <v>#REF!</v>
      </c>
      <c r="DY151" s="212">
        <f>IF(R151="","",IF(R151&gt;0,MAX(Tabla1[[#This Row],[FECHA C2]:[FECHA C13]],Tabla1[[#This Row],[FECHA CONSULTA PRIMERA VEZ PROGRAMA CPN ]])))</f>
        <v>45136</v>
      </c>
      <c r="DZ151" s="216">
        <f t="shared" si="613"/>
        <v>26</v>
      </c>
      <c r="EA151" s="222">
        <f>IF(R151&gt;0,SUM(COUNTA(DF151:DQ151)+COUNTA(Tabla1[[#This Row],[FECHA CONSULTA PRIMERA VEZ PROGRAMA CPN ]])),"")</f>
        <v>5</v>
      </c>
      <c r="EB151" s="222" t="str">
        <f t="shared" si="614"/>
        <v>SI</v>
      </c>
      <c r="EC151" s="214">
        <f t="shared" si="615"/>
        <v>10</v>
      </c>
      <c r="ED151" s="227">
        <f t="shared" si="616"/>
        <v>0.5</v>
      </c>
      <c r="EE151" s="22">
        <v>44996</v>
      </c>
      <c r="EF151" s="22">
        <v>44994</v>
      </c>
      <c r="EG151" s="22">
        <v>44996</v>
      </c>
      <c r="EH151" s="22"/>
      <c r="EI151" s="22">
        <v>44996</v>
      </c>
      <c r="EJ151" s="22">
        <v>44945</v>
      </c>
      <c r="EK151" s="22">
        <v>44945</v>
      </c>
      <c r="EL151" s="21"/>
      <c r="EM151" s="21">
        <v>15.5</v>
      </c>
      <c r="EN151" s="22">
        <v>44996</v>
      </c>
      <c r="EO151" s="222">
        <f t="shared" si="617"/>
        <v>6.4285714285714288</v>
      </c>
      <c r="EP151" s="214" t="str">
        <f t="shared" si="618"/>
        <v>NO DAR SULFATO FERROSO</v>
      </c>
      <c r="EQ151" s="216" t="str">
        <f t="shared" si="619"/>
        <v>I TRIM</v>
      </c>
      <c r="ER151" s="24"/>
      <c r="ES151" s="22"/>
      <c r="ET151" s="29" t="str">
        <f t="shared" ca="1" si="678"/>
        <v>TOMA DE HEMOGLOBINA TARDÍA</v>
      </c>
      <c r="EU151" s="25" t="str">
        <f t="shared" si="620"/>
        <v/>
      </c>
      <c r="EV151" s="24" t="s">
        <v>1510</v>
      </c>
      <c r="EW151" s="32">
        <v>44996</v>
      </c>
      <c r="EX151" s="22"/>
      <c r="EY151" s="29">
        <f t="shared" si="454"/>
        <v>6.4285714285714288</v>
      </c>
      <c r="EZ151" s="25" t="str">
        <f t="shared" si="455"/>
        <v>SIN RIESGO DE ISOINMUNIZACIÓN</v>
      </c>
      <c r="FA151" s="21">
        <v>80</v>
      </c>
      <c r="FB151" s="22">
        <v>44996</v>
      </c>
      <c r="FC151" s="29">
        <f t="shared" si="621"/>
        <v>6.4285714285714288</v>
      </c>
      <c r="FD151" s="29"/>
      <c r="FE151" s="29"/>
      <c r="FF151" s="29"/>
      <c r="FG151" s="21" t="str">
        <f t="shared" ca="1" si="622"/>
        <v>TOMAR PTOG</v>
      </c>
      <c r="FH151" s="31"/>
      <c r="FI151" s="29" t="str">
        <f t="shared" si="623"/>
        <v>TOMAR EXAMEN</v>
      </c>
      <c r="FJ151" s="22" t="s">
        <v>867</v>
      </c>
      <c r="FK151" s="22">
        <v>44996</v>
      </c>
      <c r="FL151" s="29">
        <f t="shared" ca="1" si="624"/>
        <v>6.4285714285714288</v>
      </c>
      <c r="FM151" s="22"/>
      <c r="FN151" s="32"/>
      <c r="FO151" s="29" t="str">
        <f t="shared" ca="1" si="679"/>
        <v>PIERDE TOMA DE TAMIZAJE</v>
      </c>
      <c r="FP151" s="22"/>
      <c r="FQ151" s="32"/>
      <c r="FR151" s="29" t="str">
        <f t="shared" ca="1" si="680"/>
        <v>TOMA INMEDIATA DE TAMIZAJE</v>
      </c>
      <c r="FS151" s="22"/>
      <c r="FT151" s="32"/>
      <c r="FU151" s="29" t="str">
        <f>IF(AND(FJ151="",FM151="",FP151="",FS151=""),"",IF(OR(OR(Tabla1[[#This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51" s="28"/>
      <c r="FW151" s="22"/>
      <c r="FX151" s="29" t="str">
        <f t="shared" si="625"/>
        <v>TOMAR EXAMEN</v>
      </c>
      <c r="FY151" s="22" t="s">
        <v>868</v>
      </c>
      <c r="FZ151" s="22">
        <v>44996</v>
      </c>
      <c r="GA151" s="29">
        <f t="shared" ca="1" si="498"/>
        <v>6.4285714285714288</v>
      </c>
      <c r="GB151" s="22"/>
      <c r="GC151" s="22"/>
      <c r="GD151" s="29" t="str">
        <f t="shared" ca="1" si="681"/>
        <v>PIERDE TOMA DE TAMIZAJE</v>
      </c>
      <c r="GE151" s="22"/>
      <c r="GF151" s="22"/>
      <c r="GG151" s="29" t="str">
        <f t="shared" ca="1" si="682"/>
        <v>TOMA INMEDIATA DE TAMIZAJE</v>
      </c>
      <c r="GH151" s="22"/>
      <c r="GI151" s="29"/>
      <c r="GJ151" s="22"/>
      <c r="GK151" s="22"/>
      <c r="GL151" s="22"/>
      <c r="GM151" s="22"/>
      <c r="GN151" s="28" t="s">
        <v>869</v>
      </c>
      <c r="GO151" s="22">
        <v>44996</v>
      </c>
      <c r="GP151" s="29">
        <f t="shared" si="626"/>
        <v>6.4285714285714288</v>
      </c>
      <c r="GQ151" s="28" t="s">
        <v>869</v>
      </c>
      <c r="GR151" s="28" t="s">
        <v>869</v>
      </c>
      <c r="GS151" s="22" t="str">
        <f t="shared" si="627"/>
        <v>CONTROL Igm</v>
      </c>
      <c r="GT151" s="22">
        <v>44996</v>
      </c>
      <c r="GU151" s="29">
        <f t="shared" si="628"/>
        <v>6.4285714285714288</v>
      </c>
      <c r="GV151" s="21" t="str">
        <f t="shared" si="629"/>
        <v>I TRIM</v>
      </c>
      <c r="GW151" s="28" t="s">
        <v>869</v>
      </c>
      <c r="GX151" s="30"/>
      <c r="GY151" s="21"/>
      <c r="GZ151" s="21"/>
      <c r="HA151" s="21"/>
      <c r="HB151" s="21"/>
      <c r="HC151" s="21"/>
      <c r="HD151" s="21"/>
      <c r="HE151" s="21"/>
      <c r="HF151" s="22"/>
      <c r="HG151" s="22" t="str">
        <f>IF(OR(O151&gt;0,R151&gt;0),CONCATENATE(IF(Tabla1[[#This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51" s="22" t="e">
        <f t="shared" si="630"/>
        <v>#REF!</v>
      </c>
      <c r="HI151" s="22" t="e">
        <f t="shared" ca="1" si="631"/>
        <v>#REF!</v>
      </c>
      <c r="HJ151" s="21" t="str">
        <f t="shared" ca="1" si="632"/>
        <v>**********************MULTIPARIDAD*****************</v>
      </c>
      <c r="HK151" s="21" t="str">
        <f t="shared" si="633"/>
        <v>SIN ANTECEDENTES DE RIESGO</v>
      </c>
      <c r="HL151" s="24" t="str">
        <f t="shared" si="634"/>
        <v>APARENTEMENTE NORMAL</v>
      </c>
      <c r="HM151" s="21" t="e">
        <f t="shared" ca="1" si="635"/>
        <v>#REF!</v>
      </c>
      <c r="HN151" s="30" t="str">
        <f t="shared" si="683"/>
        <v>ACTIVA INGRESO A CPN</v>
      </c>
      <c r="HO151" s="21"/>
      <c r="HP151" s="21"/>
      <c r="HQ151" s="349">
        <v>44996</v>
      </c>
      <c r="HR151" s="21" t="str">
        <f>IF(R151="","",IF(Tabla1[[#This Row],[ALARMA FACTORES DE RIESGO COMPLICACIONES HIPERTENSIVAS3]]="SIN ANTECEDENTES DE RIESGO","No Aplica para suministro de ASA",IF(AND(Tabla1[[#This Row],[FECHA INICIO DE SUMINISTRO DE ASA]]&gt;0,RV151&lt;12),"Inicia ASA ANTES de Sem 12",IF(AND(RV151&gt;11,RV151&lt;17,OR(HK151="RIESGO ALTO DE COMPLICACIONES HIPERTENSIVAS VER MANEJO GUIA SUMINISTRO ASA Y CALCIO",HK151="RIESGO MODERADO (2 O MAS CRITERIOS) VER MANEJO GUIA SUMINISTRO ASA Y CALCIO")),"Inicio oportuno de ASA",IF(AND(RV151&gt;12,OR(HK151="RIESGO ALTO DE COMPLICACIONES HIPERTENSIVAS VER MANEJO GUIA SUMINISTRO ASA Y CALCIO",HK151="RIESGO MODERADO (2 O MAS CRITERIOS) VER MANEJO GUIA SUMINISTRO ASA Y CALCIO")),"Inicio no oportuno mayor a 16 semanas",IF(AND(BU151&lt;12,OR(HK151="RIESGO ALTO DE COMPLICACIONES HIPERTENSIVAS VER MANEJO GUIA SUMINISTRO ASA Y CALCIO",HK151="RIESGO MODERADO (2 O MAS CRITERIOS) VER MANEJO GUIA SUMINISTRO ASA Y CALCIO")),"Pendiente Inicio de ASA a la semana 12",IF(AND(BU151&gt;11,BU151&lt;17,OR(HK151="RIESGO ALTO DE COMPLICACIONES HIPERTENSIVAS VER MANEJO GUIA SUMINISTRO ASA Y CALCIO",HK151="RIESGO MODERADO (2 O MAS CRITERIOS) VER MANEJO GUIA SUMINISTRO ASA Y CALCIO")),"Iniciar de inmediato ASA",IF(AND(BU151&gt;16,OR(HK151="RIESGO ALTO DE COMPLICACIONES HIPERTENSIVAS VER MANEJO GUIA SUMINISTRO ASA Y CALCIO",HK151="RIESGO MODERADO (2 O MAS CRITERIOS) VER MANEJO GUIA SUMINISTRO ASA Y CALCIO")),"Pierde Oportunidad, Inicio tardío de ASA","XXXXX"))))))))</f>
        <v>No Aplica para suministro de ASA</v>
      </c>
      <c r="HS151" s="22">
        <v>44996</v>
      </c>
      <c r="HT151" s="22" t="s">
        <v>870</v>
      </c>
      <c r="HU151" s="22">
        <v>44996</v>
      </c>
      <c r="HV151" s="22" t="s">
        <v>870</v>
      </c>
      <c r="HW151" s="22"/>
      <c r="HX151" s="22"/>
      <c r="HY151" s="22"/>
      <c r="HZ151" s="28" t="str">
        <f t="shared" si="636"/>
        <v>PENDIENTE CONSULTA</v>
      </c>
      <c r="IA151" s="26"/>
      <c r="IB151" s="26"/>
      <c r="IC151" s="111"/>
      <c r="ID151" s="22"/>
      <c r="IE151" s="22" t="str">
        <f t="shared" ca="1" si="637"/>
        <v>INASISTENTE</v>
      </c>
      <c r="IF151" s="22"/>
      <c r="IG151" s="22">
        <f t="shared" si="638"/>
        <v>45231</v>
      </c>
      <c r="IH151" s="29">
        <f t="shared" ca="1" si="639"/>
        <v>-1</v>
      </c>
      <c r="II151" s="22" t="str">
        <f t="shared" ca="1" si="640"/>
        <v>POSIBLEMENTE NACIO</v>
      </c>
      <c r="IJ151" s="22"/>
      <c r="IK151" s="21"/>
      <c r="IL151" s="21"/>
      <c r="IM151" s="34"/>
      <c r="IN151" s="22"/>
      <c r="IO151" s="21"/>
      <c r="IP151" s="29" t="str">
        <f t="shared" si="674"/>
        <v/>
      </c>
      <c r="IQ151" s="35"/>
      <c r="IR151" s="21"/>
      <c r="IS151" s="21"/>
      <c r="IT151" s="21"/>
      <c r="IU151" s="21"/>
      <c r="IV151" s="21"/>
      <c r="IW151" s="21"/>
      <c r="IX151" s="21"/>
      <c r="IY151" s="21"/>
      <c r="IZ151" s="21"/>
      <c r="JA151" s="21"/>
      <c r="JB151" s="30"/>
      <c r="JC151" s="21"/>
      <c r="JD151" s="36"/>
      <c r="JE151" s="21" t="str">
        <f t="shared" si="684"/>
        <v/>
      </c>
      <c r="JF151" s="30"/>
      <c r="JG151" s="21"/>
      <c r="JH151" s="21"/>
      <c r="JI151" s="21"/>
      <c r="JJ151" s="30"/>
      <c r="JK151" s="22"/>
      <c r="JL151" s="22"/>
      <c r="JM151" s="21"/>
      <c r="JN151" s="36"/>
      <c r="JO151" s="21" t="str">
        <f t="shared" si="685"/>
        <v/>
      </c>
      <c r="JP151" s="22"/>
      <c r="JQ151" s="21"/>
      <c r="JR151" s="21"/>
      <c r="JS151" s="21"/>
      <c r="JT151" s="30"/>
      <c r="JU151" s="22"/>
      <c r="JV151" s="22"/>
      <c r="JW151" s="33"/>
      <c r="JX151" s="28" t="str">
        <f t="shared" si="686"/>
        <v/>
      </c>
      <c r="JY151" s="33"/>
      <c r="JZ151" s="28" t="str">
        <f t="shared" si="687"/>
        <v/>
      </c>
      <c r="KA151" s="21"/>
      <c r="KB151" s="21"/>
      <c r="KC151" s="21"/>
      <c r="KD151" s="37"/>
      <c r="KE151" s="28"/>
      <c r="KF151" s="28"/>
      <c r="KG151" s="28"/>
      <c r="KH151" s="39"/>
      <c r="KI151" s="39"/>
      <c r="KJ151" s="66"/>
      <c r="KK151" s="39"/>
      <c r="KL151" s="39"/>
      <c r="KM151" s="66"/>
      <c r="KN151" s="39"/>
      <c r="KO151" s="39"/>
      <c r="KP151" s="39"/>
      <c r="KQ151" s="39"/>
      <c r="KR151" s="39"/>
      <c r="KS151" s="39"/>
      <c r="KT151" s="39"/>
      <c r="KU151" s="38"/>
      <c r="KV151" s="38"/>
      <c r="KW151" s="38"/>
      <c r="KX151" s="38"/>
      <c r="KY151" s="38"/>
      <c r="KZ151" s="38"/>
      <c r="LA151" s="38"/>
      <c r="LB151" s="38"/>
      <c r="LC151" s="38"/>
      <c r="LD151" s="38"/>
      <c r="LE151" s="38"/>
      <c r="LF151" s="38"/>
      <c r="LG151" s="38"/>
      <c r="LH151" s="38"/>
      <c r="LI151" s="38"/>
      <c r="LJ151" s="38"/>
      <c r="LK151" s="38"/>
      <c r="LL151" s="38"/>
      <c r="LM151" s="38"/>
      <c r="LN151" s="38"/>
      <c r="LO151" s="38"/>
      <c r="LP151" s="38"/>
      <c r="LQ151" s="38"/>
      <c r="LR151" s="38"/>
      <c r="LS151" s="38"/>
      <c r="LT151" s="38"/>
      <c r="LU151" s="38"/>
      <c r="LV151" s="38"/>
      <c r="LW151" s="38"/>
      <c r="LX151" s="38"/>
      <c r="LY151" s="38"/>
      <c r="LZ151" s="38"/>
      <c r="MA151" s="38"/>
      <c r="MB151" s="38"/>
      <c r="MC151" s="38"/>
      <c r="MD151" s="38"/>
      <c r="ME151" s="38"/>
      <c r="MF151" s="38"/>
      <c r="MG151" s="38"/>
      <c r="MH151" s="43">
        <f t="shared" si="641"/>
        <v>0</v>
      </c>
      <c r="MI151" s="43" t="str">
        <f t="shared" si="642"/>
        <v/>
      </c>
      <c r="MJ151" s="43" t="str">
        <f t="shared" si="643"/>
        <v/>
      </c>
      <c r="MK151" s="43">
        <f t="shared" si="644"/>
        <v>0</v>
      </c>
      <c r="ML15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51" s="43">
        <f t="shared" si="645"/>
        <v>6.4285714285714288</v>
      </c>
      <c r="MN151" s="43">
        <f t="shared" si="646"/>
        <v>3</v>
      </c>
      <c r="MO151" s="43">
        <f t="shared" si="647"/>
        <v>2023</v>
      </c>
      <c r="MP151" s="43" t="str">
        <f t="shared" si="648"/>
        <v>I TRIMESTRE AÑO</v>
      </c>
      <c r="MQ151" s="43">
        <f t="shared" si="649"/>
        <v>23.90221200175208</v>
      </c>
      <c r="MR151" s="43">
        <f t="shared" si="650"/>
        <v>0</v>
      </c>
      <c r="MS151" s="43" t="str">
        <f t="shared" si="651"/>
        <v xml:space="preserve"> DE 20 A 24 AÑOS</v>
      </c>
      <c r="MT151" s="43">
        <f t="shared" si="652"/>
        <v>0</v>
      </c>
      <c r="MU151" s="43">
        <f t="shared" si="653"/>
        <v>1</v>
      </c>
      <c r="MV151" s="43">
        <f t="shared" si="654"/>
        <v>0</v>
      </c>
      <c r="MW151" s="43">
        <f t="shared" si="655"/>
        <v>0</v>
      </c>
      <c r="MX151" s="43" t="str">
        <f t="shared" si="656"/>
        <v/>
      </c>
      <c r="MY151" s="43" t="str">
        <f t="shared" ca="1" si="688"/>
        <v/>
      </c>
      <c r="MZ151" s="43" t="str">
        <f t="shared" si="657"/>
        <v/>
      </c>
      <c r="NA151" s="43" t="str">
        <f t="shared" si="658"/>
        <v/>
      </c>
      <c r="NB151" s="43" t="str">
        <f t="shared" si="659"/>
        <v/>
      </c>
      <c r="NC151" s="43" t="str">
        <f t="shared" si="660"/>
        <v/>
      </c>
      <c r="ND151" s="43">
        <f t="shared" ca="1" si="661"/>
        <v>1</v>
      </c>
      <c r="NE151" s="43">
        <f>IF(OR(O151&gt;0,R151&gt;0),SUM(COUNTIF(Tabla1[[#This Row],[AÑOS AL INICIO5 CPN]],"&gt;=40"),COUNTIF(AS151,"0"),COUNTIF(AR151,"SI"),COUNTIF(CC151,"SI"),COUNTIF(BQ151,"&gt;119"),COUNTIF(CI151,"&gt;=35")),"")</f>
        <v>1</v>
      </c>
      <c r="NF151" s="43" t="str">
        <f t="shared" si="662"/>
        <v/>
      </c>
      <c r="NG151" s="43">
        <f t="shared" si="663"/>
        <v>0</v>
      </c>
      <c r="NH151" s="43" t="str">
        <f t="shared" si="664"/>
        <v/>
      </c>
      <c r="NI15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CPN",P151="NO"),"Z",IF(AND(Tabla1[[#This Row],[CITA PROXIMO CONTROL]]="CITA MANUAL",Tabla1[[#This Row],[GESTANTES ACTUALES]]="ACTIVA INGRESO A CPN"),"W",IF(AND(Tabla1[[#This Row],[GESTANTES ACTUALES]]="SALIO PROGRAMA",IN151=""),"S",IF(AND(Tabla1[[#This Row],[CITA PROXIMO CONTROL]]&gt;0,IN151=""),(Tabla1[[#This Row],[CITA PROXIMO CONTROL]]-TODAY()),"SD"))))))))</f>
        <v>#REF!</v>
      </c>
      <c r="NJ151" s="43">
        <f>MONTH(Tabla1[[#This Row],[FECHA DE SALIDA  DEL PROGRAMA]])</f>
        <v>1</v>
      </c>
      <c r="NK151" s="43">
        <f>YEAR(Tabla1[[#This Row],[FECHA DE SALIDA  DEL PROGRAMA]])</f>
        <v>1900</v>
      </c>
      <c r="NL151" s="43">
        <f t="shared" si="665"/>
        <v>-51</v>
      </c>
      <c r="NM151" s="43" t="str">
        <f t="shared" si="501"/>
        <v>NO</v>
      </c>
      <c r="NN151" s="43" t="str">
        <f ca="1">IF(AND(O151&gt;0,R151=""),"NO CPN",IF(AND(O151="",R151=""),"",IF(AND(R151&gt;0,Tabla1[[#This Row],[SEMANAS DE GESTACION ACTUALIZADAS]]&lt;=12),"NO APLICA",IF(AND(FH151&lt;&gt;"",FN151&lt;&gt;""),"SI","NO"))))</f>
        <v>NO</v>
      </c>
      <c r="NO151" s="43" t="str">
        <f ca="1">IF(AND(O151&gt;0,R151=""),"NO CPN",IF(AND(O151="",R151=""),"",IF(AND(R151&gt;0,Tabla1[[#This Row],[SEMANAS DE GESTACION ACTUALIZADAS]]&lt;=27),"NO APLICA",IF(AND(ES151&lt;&gt;"",FQ151&lt;&gt;"",GF151&lt;&gt;""),"SI","NO"))))</f>
        <v>NO</v>
      </c>
      <c r="NP151" s="204" t="str">
        <f t="shared" si="666"/>
        <v>I TRIM</v>
      </c>
      <c r="NQ151" s="21" t="str">
        <f t="shared" si="691"/>
        <v/>
      </c>
      <c r="NR151" s="21">
        <f t="shared" ca="1" si="689"/>
        <v>3</v>
      </c>
      <c r="NS151" s="205">
        <f t="shared" ca="1" si="667"/>
        <v>1</v>
      </c>
      <c r="NT151" s="21">
        <f t="shared" ca="1" si="668"/>
        <v>1</v>
      </c>
      <c r="NU151" s="21" t="str">
        <f t="shared" ca="1" si="669"/>
        <v>INCOMPLETO</v>
      </c>
      <c r="NV151" s="21" t="str">
        <f t="shared" ca="1" si="670"/>
        <v>INCOMPLETO</v>
      </c>
      <c r="NW151" s="206" t="str">
        <f>IF(AND(O151="",R151=""),"",IF(OR(AND(Tabla1[[#This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51" s="207" t="str">
        <f t="shared" ca="1" si="671"/>
        <v>SIN VACUNAR</v>
      </c>
      <c r="NY151" s="43">
        <f>ROW(Tabla1[[#This Row],['# DE TAMIZAJES SIFILIS TOMADOS ]])</f>
        <v>151</v>
      </c>
      <c r="NZ151" s="43" t="str">
        <f t="shared" si="502"/>
        <v>Menor</v>
      </c>
      <c r="OA151" s="43" t="str">
        <f t="shared" si="503"/>
        <v>SOBREPESO</v>
      </c>
      <c r="OB151" s="43" t="str">
        <f t="shared" si="504"/>
        <v/>
      </c>
      <c r="OC151" s="43" t="str">
        <f t="shared" si="505"/>
        <v/>
      </c>
      <c r="OD151" s="43" t="str">
        <f t="shared" si="506"/>
        <v/>
      </c>
      <c r="OE151" s="43" t="str">
        <f t="shared" si="507"/>
        <v/>
      </c>
      <c r="OF151" s="43" t="str">
        <f t="shared" si="508"/>
        <v/>
      </c>
      <c r="OG151" s="43" t="str">
        <f t="shared" si="509"/>
        <v/>
      </c>
      <c r="OH151" s="43" t="str">
        <f t="shared" si="510"/>
        <v/>
      </c>
      <c r="OI151" s="43" t="str">
        <f t="shared" si="511"/>
        <v/>
      </c>
      <c r="OJ151" s="43" t="str">
        <f t="shared" si="512"/>
        <v/>
      </c>
      <c r="OK151" s="43" t="str">
        <f t="shared" si="513"/>
        <v/>
      </c>
      <c r="OL151" s="43" t="str">
        <f t="shared" si="514"/>
        <v/>
      </c>
      <c r="OM151" s="43" t="str">
        <f t="shared" si="515"/>
        <v/>
      </c>
      <c r="ON151" s="43" t="str">
        <f t="shared" si="516"/>
        <v/>
      </c>
      <c r="OO151" s="43" t="str">
        <f t="shared" si="517"/>
        <v/>
      </c>
      <c r="OP151" s="43" t="str">
        <f t="shared" si="518"/>
        <v/>
      </c>
      <c r="OQ151" s="43" t="str">
        <f t="shared" si="519"/>
        <v/>
      </c>
      <c r="OR151" s="43" t="str">
        <f t="shared" si="520"/>
        <v/>
      </c>
      <c r="OS151" s="43" t="str">
        <f t="shared" si="521"/>
        <v/>
      </c>
      <c r="OT151" s="43" t="str">
        <f t="shared" si="522"/>
        <v/>
      </c>
      <c r="OU151" s="43" t="str">
        <f t="shared" si="523"/>
        <v/>
      </c>
      <c r="OV151" s="110" t="str">
        <f t="shared" si="524"/>
        <v/>
      </c>
      <c r="OW151" s="43" t="str">
        <f t="shared" si="525"/>
        <v/>
      </c>
      <c r="OX151" s="43" t="str">
        <f t="shared" si="526"/>
        <v/>
      </c>
      <c r="OY151" s="43" t="str">
        <f t="shared" si="527"/>
        <v/>
      </c>
      <c r="OZ151" s="43" t="str">
        <f t="shared" si="528"/>
        <v/>
      </c>
      <c r="PA151" s="43" t="str">
        <f t="shared" si="529"/>
        <v/>
      </c>
      <c r="PB151" s="43" t="str">
        <f t="shared" si="530"/>
        <v/>
      </c>
      <c r="PC151" s="43" t="str">
        <f t="shared" si="531"/>
        <v/>
      </c>
      <c r="PD151" s="43" t="str">
        <f t="shared" si="532"/>
        <v/>
      </c>
      <c r="PE151" s="43" t="str">
        <f t="shared" si="533"/>
        <v/>
      </c>
      <c r="PF151" s="43" t="str">
        <f t="shared" si="534"/>
        <v/>
      </c>
      <c r="PG151" s="43" t="str">
        <f t="shared" si="535"/>
        <v/>
      </c>
      <c r="PH151" s="43" t="str">
        <f t="shared" si="536"/>
        <v/>
      </c>
      <c r="PI151" s="43">
        <f t="shared" si="537"/>
        <v>26</v>
      </c>
      <c r="PJ151" s="43" t="str">
        <f t="shared" si="538"/>
        <v/>
      </c>
      <c r="PK151" s="43" t="str">
        <f t="shared" si="539"/>
        <v/>
      </c>
      <c r="PL151" s="43" t="str">
        <f t="shared" si="540"/>
        <v/>
      </c>
      <c r="PM151" s="43" t="str">
        <f t="shared" si="541"/>
        <v/>
      </c>
      <c r="PN151" s="43" t="str">
        <f t="shared" si="542"/>
        <v/>
      </c>
      <c r="PO151" s="43" t="str">
        <f t="shared" si="543"/>
        <v/>
      </c>
      <c r="PP151" s="43" t="str">
        <f t="shared" si="544"/>
        <v/>
      </c>
      <c r="PQ151" s="43" t="str">
        <f t="shared" si="545"/>
        <v/>
      </c>
      <c r="PR151" s="43" t="str">
        <f t="shared" si="546"/>
        <v/>
      </c>
      <c r="PS151" s="43" t="str">
        <f t="shared" si="547"/>
        <v/>
      </c>
      <c r="PT151" s="43" t="str">
        <f t="shared" si="548"/>
        <v/>
      </c>
      <c r="PU151" s="43" t="str">
        <f t="shared" si="549"/>
        <v/>
      </c>
      <c r="PV151" s="43" t="str">
        <f t="shared" si="550"/>
        <v/>
      </c>
      <c r="PW151" s="43" t="str">
        <f t="shared" si="551"/>
        <v/>
      </c>
      <c r="PX151" s="43" t="str">
        <f t="shared" si="552"/>
        <v/>
      </c>
      <c r="PY151" s="43" t="str">
        <f t="shared" si="553"/>
        <v/>
      </c>
      <c r="PZ151" s="43" t="str">
        <f t="shared" si="554"/>
        <v/>
      </c>
      <c r="QA151" s="43" t="str">
        <f t="shared" si="555"/>
        <v>SOBREPESO</v>
      </c>
      <c r="QB151" s="43" t="str">
        <f t="shared" si="556"/>
        <v/>
      </c>
      <c r="QC151" s="43" t="str">
        <f t="shared" si="557"/>
        <v/>
      </c>
      <c r="QD151" s="43" t="str">
        <f t="shared" si="558"/>
        <v/>
      </c>
      <c r="QE151" s="43" t="str">
        <f t="shared" si="559"/>
        <v/>
      </c>
      <c r="QF151" s="43" t="str">
        <f t="shared" si="560"/>
        <v/>
      </c>
      <c r="QG151" s="43" t="str">
        <f t="shared" si="561"/>
        <v/>
      </c>
      <c r="QH151" s="43" t="str">
        <f t="shared" si="562"/>
        <v/>
      </c>
      <c r="QI151" s="43" t="str">
        <f t="shared" si="563"/>
        <v/>
      </c>
      <c r="QJ151" s="43" t="str">
        <f t="shared" si="564"/>
        <v/>
      </c>
      <c r="QK151" s="43" t="str">
        <f t="shared" si="565"/>
        <v/>
      </c>
      <c r="QL151" s="43" t="str">
        <f t="shared" si="566"/>
        <v/>
      </c>
      <c r="QM151" s="43" t="str">
        <f t="shared" si="567"/>
        <v/>
      </c>
      <c r="QN151" s="43" t="str">
        <f t="shared" si="568"/>
        <v/>
      </c>
      <c r="QO151" s="43" t="str">
        <f t="shared" si="569"/>
        <v/>
      </c>
      <c r="QP151" s="43" t="str">
        <f t="shared" si="570"/>
        <v/>
      </c>
      <c r="QQ151" s="43" t="str">
        <f t="shared" si="571"/>
        <v/>
      </c>
      <c r="QR151" s="43">
        <f t="shared" si="672"/>
        <v>26</v>
      </c>
      <c r="QS151" s="43"/>
      <c r="QT151" s="21" t="str">
        <f t="shared" si="572"/>
        <v/>
      </c>
      <c r="QU151" s="21" t="str">
        <f t="shared" si="573"/>
        <v/>
      </c>
      <c r="QV151" s="21" t="str">
        <f t="shared" si="574"/>
        <v/>
      </c>
      <c r="QW151" s="21" t="str">
        <f t="shared" si="575"/>
        <v/>
      </c>
      <c r="QX151" s="21" t="str">
        <f t="shared" si="576"/>
        <v/>
      </c>
      <c r="QY151" s="21" t="str">
        <f t="shared" si="577"/>
        <v/>
      </c>
      <c r="QZ151" s="21" t="str">
        <f t="shared" si="578"/>
        <v/>
      </c>
      <c r="RA151" s="21" t="str">
        <f t="shared" si="579"/>
        <v/>
      </c>
      <c r="RB151" s="21" t="str">
        <f t="shared" si="580"/>
        <v/>
      </c>
      <c r="RC151" s="21" t="str">
        <f t="shared" si="581"/>
        <v/>
      </c>
      <c r="RD151" s="21" t="str">
        <f t="shared" si="582"/>
        <v/>
      </c>
      <c r="RE151" s="21" t="str">
        <f t="shared" si="583"/>
        <v/>
      </c>
      <c r="RF151" s="21" t="str">
        <f t="shared" si="584"/>
        <v/>
      </c>
      <c r="RG151" s="21" t="str">
        <f t="shared" si="585"/>
        <v>ADECUADO PARA EDAD GESTACIONAL</v>
      </c>
      <c r="RH151" s="21" t="str">
        <f t="shared" si="586"/>
        <v/>
      </c>
      <c r="RI151" s="21" t="str">
        <f t="shared" si="587"/>
        <v/>
      </c>
      <c r="RJ151" s="21" t="str">
        <f t="shared" si="588"/>
        <v/>
      </c>
      <c r="RK151" s="21" t="str">
        <f t="shared" si="589"/>
        <v/>
      </c>
      <c r="RL151" s="21" t="str">
        <f t="shared" si="590"/>
        <v/>
      </c>
      <c r="RM151" s="21" t="str">
        <f t="shared" si="591"/>
        <v/>
      </c>
      <c r="RN151" s="21" t="str">
        <f t="shared" si="592"/>
        <v/>
      </c>
      <c r="RO151" s="21" t="str">
        <f t="shared" si="593"/>
        <v/>
      </c>
      <c r="RP151" s="21" t="str">
        <f t="shared" si="594"/>
        <v/>
      </c>
      <c r="RQ151" s="21" t="str">
        <f t="shared" si="595"/>
        <v/>
      </c>
      <c r="RR151" s="21" t="str">
        <f t="shared" si="596"/>
        <v/>
      </c>
      <c r="RS151" s="21" t="str">
        <f t="shared" si="597"/>
        <v/>
      </c>
      <c r="RT151" s="21" t="str">
        <f t="shared" si="598"/>
        <v/>
      </c>
      <c r="RU151" s="21" t="str">
        <f t="shared" si="599"/>
        <v/>
      </c>
      <c r="RV151" s="21">
        <f t="shared" si="600"/>
        <v>6.4285714285714288</v>
      </c>
      <c r="RW151" s="284">
        <f>IF(OR(Tabla1[[#This Row],[FUM FORMULA CONFIABLE]]="",Tabla1[[#This Row],[FUM FORMULA CONFIABLE]]="SD"),"",IF(Tabla1[[#This Row],[FUM FORMULA CONFIABLE]]="CORREGIDA",Tabla1[[#This Row],[FUM X ECO 1]],Tabla1[[#This Row],[FUM x AMENORREA]]))</f>
        <v>44951</v>
      </c>
      <c r="RX151" s="21" t="str">
        <f>IF(AND(Tabla1[[#This Row],[FUM X ECO 1]]="",Tabla1[[#This Row],[FUM x AMENORREA]]=""),"",IF(AND(Tabla1[[#This Row],[FUM X ECO 1]]="",Tabla1[[#This Row],[FUM x AMENORREA]]&lt;&gt;""),"X",SUM(Tabla1[[#This Row],[FUM X ECO 1]]-Tabla1[[#This Row],[FUM x AMENORREA]])))</f>
        <v>X</v>
      </c>
      <c r="RY151" s="21" t="str">
        <f t="shared" si="673"/>
        <v>x</v>
      </c>
    </row>
    <row r="152" spans="1:493" ht="45" customHeight="1" x14ac:dyDescent="0.25">
      <c r="A152" s="109"/>
      <c r="B152" s="43"/>
      <c r="C152" s="43" t="s">
        <v>845</v>
      </c>
      <c r="D152" s="124"/>
      <c r="E152" s="43" t="s">
        <v>1443</v>
      </c>
      <c r="F152" s="43" t="s">
        <v>1444</v>
      </c>
      <c r="G152" s="43" t="s">
        <v>1445</v>
      </c>
      <c r="H152" s="43"/>
      <c r="I152" s="109" t="s">
        <v>851</v>
      </c>
      <c r="J152" s="110">
        <v>1061757665</v>
      </c>
      <c r="K152" s="43" t="s">
        <v>852</v>
      </c>
      <c r="L152" s="175" t="s">
        <v>853</v>
      </c>
      <c r="M152" s="22">
        <v>34062</v>
      </c>
      <c r="N152" s="213">
        <f t="shared" ca="1" si="601"/>
        <v>30.602739726027398</v>
      </c>
      <c r="O152" s="22">
        <v>44999</v>
      </c>
      <c r="P152" s="214" t="str">
        <f t="shared" si="675"/>
        <v>SI</v>
      </c>
      <c r="Q152" s="26" t="s">
        <v>855</v>
      </c>
      <c r="R152" s="22">
        <v>44999</v>
      </c>
      <c r="S152" s="21" t="s">
        <v>856</v>
      </c>
      <c r="T152" s="24" t="s">
        <v>690</v>
      </c>
      <c r="U152" s="21" t="s">
        <v>857</v>
      </c>
      <c r="V152" s="21" t="s">
        <v>858</v>
      </c>
      <c r="W152" s="21" t="s">
        <v>1200</v>
      </c>
      <c r="X152" s="21"/>
      <c r="Y152" s="21"/>
      <c r="Z152" s="21">
        <v>3137913467</v>
      </c>
      <c r="AA152" s="21" t="s">
        <v>860</v>
      </c>
      <c r="AB152" s="27" t="s">
        <v>861</v>
      </c>
      <c r="AC152" s="26" t="s">
        <v>888</v>
      </c>
      <c r="AD152" s="38" t="s">
        <v>1546</v>
      </c>
      <c r="AE152" s="26" t="s">
        <v>854</v>
      </c>
      <c r="AF152" s="26" t="s">
        <v>854</v>
      </c>
      <c r="AG152" s="23" t="s">
        <v>864</v>
      </c>
      <c r="AH152" s="23" t="s">
        <v>864</v>
      </c>
      <c r="AI152" s="24" t="s">
        <v>863</v>
      </c>
      <c r="AJ152" s="23" t="s">
        <v>864</v>
      </c>
      <c r="AK152" s="220" t="str">
        <f>IF(AND(AD152="",AE152="",AF152="",AG152="",AH152="",AI152="",AJ152=""),"",IF(OR(Tabla1[[#This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EVALUACIÓN",IF(AND(O152="",R152=""),"",IF(AND(OR(O152&gt;0,R152&gt;0),NG152&gt;=0,NG152&lt;2),"SIN RIESGO",IF(AND(OR(O152&gt;0,R152&gt;0),NG152&gt;=2),"CON RIESGO","ASD")))))</f>
        <v>SIN RIESGO</v>
      </c>
      <c r="AL152" s="23" t="s">
        <v>864</v>
      </c>
      <c r="AM152" s="26" t="s">
        <v>864</v>
      </c>
      <c r="AN152" s="26" t="s">
        <v>864</v>
      </c>
      <c r="AO152" s="26" t="s">
        <v>864</v>
      </c>
      <c r="AP152" s="26" t="s">
        <v>864</v>
      </c>
      <c r="AQ152" s="26" t="s">
        <v>864</v>
      </c>
      <c r="AR152" s="26" t="s">
        <v>864</v>
      </c>
      <c r="AS152" s="21">
        <v>1</v>
      </c>
      <c r="AT152" s="21">
        <v>1</v>
      </c>
      <c r="AU152" s="21">
        <v>0</v>
      </c>
      <c r="AV152" s="26" t="s">
        <v>864</v>
      </c>
      <c r="AW152" s="21">
        <v>0</v>
      </c>
      <c r="AX152" s="26" t="s">
        <v>864</v>
      </c>
      <c r="AY152" s="26" t="s">
        <v>864</v>
      </c>
      <c r="AZ152" s="26" t="s">
        <v>864</v>
      </c>
      <c r="BA152" s="26" t="s">
        <v>864</v>
      </c>
      <c r="BB152" s="26" t="s">
        <v>864</v>
      </c>
      <c r="BC152" s="26" t="s">
        <v>864</v>
      </c>
      <c r="BD152" s="26" t="s">
        <v>864</v>
      </c>
      <c r="BE152" s="26" t="s">
        <v>864</v>
      </c>
      <c r="BF152" s="26" t="s">
        <v>864</v>
      </c>
      <c r="BG152" s="26" t="s">
        <v>864</v>
      </c>
      <c r="BH152" s="26" t="s">
        <v>864</v>
      </c>
      <c r="BI152" s="26" t="s">
        <v>864</v>
      </c>
      <c r="BJ152" s="26" t="s">
        <v>864</v>
      </c>
      <c r="BK152" s="26" t="s">
        <v>865</v>
      </c>
      <c r="BL152" s="26" t="s">
        <v>864</v>
      </c>
      <c r="BM152" s="26" t="s">
        <v>864</v>
      </c>
      <c r="BN152" s="22">
        <v>41175</v>
      </c>
      <c r="BO152" s="22">
        <v>44950</v>
      </c>
      <c r="BP152" s="21" t="s">
        <v>854</v>
      </c>
      <c r="BQ152" s="222">
        <f t="shared" si="602"/>
        <v>125.83333333333333</v>
      </c>
      <c r="BR152" s="223">
        <f t="shared" si="603"/>
        <v>44954.5</v>
      </c>
      <c r="BS152" s="224">
        <f t="shared" si="604"/>
        <v>7</v>
      </c>
      <c r="BT152" s="216" t="str">
        <f t="shared" si="605"/>
        <v>I TRIM</v>
      </c>
      <c r="BU152" s="214">
        <f t="shared" ca="1" si="606"/>
        <v>40.285714285714285</v>
      </c>
      <c r="BV152" s="25" t="s">
        <v>1525</v>
      </c>
      <c r="BW152" s="22">
        <v>45035</v>
      </c>
      <c r="BX152" s="28">
        <v>11.5</v>
      </c>
      <c r="BY152" s="28"/>
      <c r="BZ152" s="22"/>
      <c r="CA152" s="21"/>
      <c r="CB152" s="26"/>
      <c r="CC152" s="26"/>
      <c r="CD152" s="26"/>
      <c r="CE152" s="26"/>
      <c r="CF152" s="22" t="s">
        <v>1517</v>
      </c>
      <c r="CG152" s="21">
        <v>1.57</v>
      </c>
      <c r="CH152" s="21">
        <v>87.5</v>
      </c>
      <c r="CI152" s="214">
        <f t="shared" si="607"/>
        <v>35.498397500912816</v>
      </c>
      <c r="CJ152" s="225" t="str">
        <f>IF(AND(CI152&lt;10,CH152="SD"),"SIN DATO PESO PREGESTACION O I TRIM",IF(AND(OR(R152&gt;0,O152&gt;0),CI152="X"),"INGRESAR DATO DE PESO",IF(CI152="SD","INGRESAR DATO DE TALLA Y PESO",IF(AND(OR(Tabla1[[#This Row],[MOMENTO EN QUE SE REALIZA EL PESO AL INGRESO A CPN]]="PREGESTACIÓN",NZ152="Menor"),CI152&lt;18.5),"BAJO PESO",IF(AND(OR(Tabla1[[#This Row],[MOMENTO EN QUE SE REALIZA EL PESO AL INGRESO A CPN]]="PREGESTACIÓN",NZ152="Menor"),CI152&lt;25),"NORMAL",IF(AND(OR(Tabla1[[#This Row],[MOMENTO EN QUE SE REALIZA EL PESO AL INGRESO A CPN]]="PREGESTACIÓN",NZ152="Menor"),CI152&lt;30),"SOBREPESO",IF(AND(OR(Tabla1[[#This Row],[MOMENTO EN QUE SE REALIZA EL PESO AL INGRESO A CPN]]="PREGESTACIÓN",NZ152="Menor"),CI152&gt;=30,CI152&lt;50),"OBESIDAD",IF(AND(BS152&gt;0,Tabla1[[#This Row],[MOMENTO EN QUE SE REALIZA EL PESO AL INGRESO A CPN]]="GESTACIÓN"),HLOOKUP(NZ152,$OA$2:PH152,NY152),""))))))))</f>
        <v>OBESIDAD</v>
      </c>
      <c r="CK152" s="212">
        <f t="shared" si="608"/>
        <v>45143</v>
      </c>
      <c r="CL152" s="21">
        <v>84</v>
      </c>
      <c r="CM152" s="214">
        <f t="shared" si="609"/>
        <v>34.078461600876302</v>
      </c>
      <c r="CN152" s="216">
        <f t="shared" si="610"/>
        <v>27</v>
      </c>
      <c r="CO152" s="216" t="e">
        <f>IF(PI152="","",IF(PI152&gt;0,HLOOKUP(PI152,$PJ$2:QQ152,NY152),""))</f>
        <v>#REF!</v>
      </c>
      <c r="CP152" s="21">
        <v>26</v>
      </c>
      <c r="CQ152" s="216" t="e">
        <f>IF(QR152="Menor","NO APLICA-MENOR 13 SEM",IF(AND(CC152="SI",CN152&gt;23),"NO APLICA- GEMELAR",IF(QR152="","",IF(QR152&gt;0,HLOOKUP(QR152,$QS$2:RU152,NY152),""))))</f>
        <v>#REF!</v>
      </c>
      <c r="CR152" s="21"/>
      <c r="CS152" s="21"/>
      <c r="CT152" s="217" t="str">
        <f>IF(R152="","",IF(AND(BS152&gt;1,BS152&lt;12,Tabla1[[#This Row],[T.A. SISTOLICA - ANTES DE SEMANA 12]]="",Tabla1[[#This Row],[T.A. DIASTOLICA - ANTES DE SEMANA 12]]=""),"REGISTRE DATO TA ANTES SEMANA 12",IF(AND(BS152&gt;11,BS152&lt;43,Tabla1[[#This Row],[T.A. SISTOLICA - ANTES DE SEMANA 12]]="",Tabla1[[#This Row],[T.A. DIASTOLICA - ANTES DE SEMANA 12]]=""),"NO APLICA REGISTRO TA-INGRESO TARDIO",IF(AND(OR(O152&gt;0,R152&gt;0),OR(CR152&gt;=140,CS152&gt;=90)),"DEFINIR ESTADIO HTA",IF(AND(OR(O152&gt;0,R152&gt;0),AND(CR152&gt;120,CR152&lt;=139)),"PRE HTA SEGUIMIENTO",IF(AND(OR(O152&gt;0,R152&gt;0),AND(CS152&gt;80,CS152&lt;=89)),"PRE HTA SEGUIMIENTO",IF(AND(OR(O152&gt;0,R152&gt;0),AND(CR152&gt;=80,CR152&lt;=120)),"APARENTEMENTE NORMAL",IF(AND(OR(O152&gt;0,R152&gt;0),AND(CS152&gt;=50,CS152&lt;=80)),"APARENTEMENTE NORMAL",IF(AND(OR(O152&gt;0,R152&gt;0),AND(CR152&gt;1,CR152&lt;=70),AND(CS152&gt;1,CS152&lt;=40)),"HIPOTENSIÓN","")))))))))</f>
        <v>REGISTRE DATO TA ANTES SEMANA 12</v>
      </c>
      <c r="CU152" s="21">
        <v>100</v>
      </c>
      <c r="CV152" s="21">
        <v>60</v>
      </c>
      <c r="CW152" s="217" t="str">
        <f ca="1">IF(R152="","",IF(AND(CN152&gt;19,CN152&lt;27,Tabla1[[#This Row],[T.A. SISTOLICA (Entre semana 20 y 26)]]="",Tabla1[[#This Row],[T.A. DIATOLICA (Entre semana 20 y 26)]]=""),"ACUDE A CONTROL SEM 20 A 26 REGISTRE TA AHORA",IF(AND(BS152&gt;1,BS152&lt;27,BU152&gt;19,Tabla1[[#This Row],[T.A. SISTOLICA (Entre semana 20 y 26)]]="",Tabla1[[#This Row],[T.A. DIATOLICA (Entre semana 20 y 26)]]=""),"COMPLETE REGISTRO TA CONTROL SEM 20 A26 ",IF(AND(BS152&gt;26,BS152&lt;43,Tabla1[[#This Row],[T.A. SISTOLICA (Entre semana 20 y 26)]]="",Tabla1[[#This Row],[T.A. DIATOLICA (Entre semana 20 y 26)]]=""),"NO APLICA REGISTRO TA-INGRESO TARDIO",IF(AND(OR(O152&gt;0,R152&gt;0),OR(CU152&gt;=140,CV152&gt;=90)),"ALTO RIESGO PREECLAMPSIA,DEFINIR ESTADIO HTA",IF(AND(OR(O152&gt;0,R152&gt;0),AND(CU152&gt;120,CU152&lt;=139)),"PRE HTA SEGUIMIENTO,RIESGO HIPERTENSION INDUCIDA POR EL EMBARAZO",IF(AND(OR(O152&gt;0,R152&gt;0),AND(CV152&gt;80,CV152&lt;=89)),"PRE HTA SEGUIMIENTO, RIESGO HIPERTENSION INDUCIDA POR EL EMBARAZO",IF(AND(OR(O152&lt;&gt;"",R152&lt;&gt;""),CS152&lt;&gt;"",CV152&lt;&gt;"",CS152&lt;=CV152),"VIGILAR CIFRAS PRESION ARTERIAL",IF(AND(OR(O152&gt;0,R152&gt;0),AND(CU152&gt;120,CU152&lt;=139)),"PRE HTA SEGUIMIENTO",IF(AND(OR(O152&gt;0,R152&gt;0),AND(CU152&gt;1,CU152&lt;=70),AND(CV152&gt;1,CV152&lt;=40)),"HIPOTENSIÓN",IF(AND(OR(O152&lt;&gt;"",R152&lt;&gt;""),CS152&lt;&gt;"",CV152&lt;&gt;"",CS152&gt;CV152),"APARENTEMENTE NORMAL",IF(AND(OR(O152&gt;0,R152&gt;0),AND(CU152&gt;=80,CU152&lt;=120)),"APARENTEMENTE NORMAL",IF(AND(OR(O152&gt;0,R152&gt;0),AND(CV152&gt;=50,CV152&lt;=80)),"APARENTEMENTE NORMAL","")))))))))))))</f>
        <v>APARENTEMENTE NORMAL</v>
      </c>
      <c r="CX152" s="21"/>
      <c r="CY152" s="21"/>
      <c r="CZ152" s="216" t="str">
        <f t="shared" si="690"/>
        <v/>
      </c>
      <c r="DA152" s="21">
        <v>90</v>
      </c>
      <c r="DB152" s="21">
        <v>60</v>
      </c>
      <c r="DC152" s="217" t="str">
        <f t="shared" si="611"/>
        <v>APARENTEMENTE NORMAL</v>
      </c>
      <c r="DD152" s="22">
        <v>44999</v>
      </c>
      <c r="DE152" s="22">
        <v>44999</v>
      </c>
      <c r="DF152" s="22">
        <v>45030</v>
      </c>
      <c r="DG152" s="22">
        <v>45093</v>
      </c>
      <c r="DH152" s="22">
        <v>45143</v>
      </c>
      <c r="DI152" s="22"/>
      <c r="DJ152" s="22"/>
      <c r="DK152" s="22"/>
      <c r="DL152" s="22"/>
      <c r="DM152" s="22"/>
      <c r="DN152" s="22"/>
      <c r="DO152" s="22"/>
      <c r="DP152" s="22"/>
      <c r="DQ152" s="22"/>
      <c r="DR152" s="28"/>
      <c r="DS152" s="22"/>
      <c r="DT152" s="22"/>
      <c r="DU152" s="216" t="str">
        <f t="shared" ca="1" si="676"/>
        <v>CONCERTAR PLAN DE PARTO INMEDIATO</v>
      </c>
      <c r="DV152" s="226" t="str">
        <f t="shared" si="677"/>
        <v>ACTIVA INGRESO A CPN</v>
      </c>
      <c r="DW152"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52" s="216" t="e">
        <f t="shared" ca="1" si="612"/>
        <v>#REF!</v>
      </c>
      <c r="DY152" s="212">
        <f>IF(R152="","",IF(R152&gt;0,MAX(Tabla1[[#This Row],[FECHA C2]:[FECHA C13]],Tabla1[[#This Row],[FECHA CONSULTA PRIMERA VEZ PROGRAMA CPN ]])))</f>
        <v>45143</v>
      </c>
      <c r="DZ152" s="216">
        <f t="shared" si="613"/>
        <v>27</v>
      </c>
      <c r="EA152" s="222">
        <f>IF(R152&gt;0,SUM(COUNTA(DF152:DQ152)+COUNTA(Tabla1[[#This Row],[FECHA CONSULTA PRIMERA VEZ PROGRAMA CPN ]])),"")</f>
        <v>4</v>
      </c>
      <c r="EB152" s="222" t="str">
        <f t="shared" si="614"/>
        <v>SI</v>
      </c>
      <c r="EC152" s="214">
        <f t="shared" si="615"/>
        <v>10</v>
      </c>
      <c r="ED152" s="227">
        <f t="shared" si="616"/>
        <v>0.4</v>
      </c>
      <c r="EE152" s="22">
        <v>44999</v>
      </c>
      <c r="EF152" s="22">
        <v>44999</v>
      </c>
      <c r="EG152" s="22">
        <v>44999</v>
      </c>
      <c r="EH152" s="22">
        <v>45019</v>
      </c>
      <c r="EI152" s="22">
        <v>44999</v>
      </c>
      <c r="EJ152" s="22">
        <v>45043</v>
      </c>
      <c r="EK152" s="22">
        <v>45043</v>
      </c>
      <c r="EL152" s="21"/>
      <c r="EM152" s="21">
        <v>14.3</v>
      </c>
      <c r="EN152" s="22">
        <v>45020</v>
      </c>
      <c r="EO152" s="222">
        <f t="shared" si="617"/>
        <v>10</v>
      </c>
      <c r="EP152" s="214" t="str">
        <f t="shared" si="618"/>
        <v>NO DAR SULFATO FERROSO</v>
      </c>
      <c r="EQ152" s="216" t="str">
        <f t="shared" si="619"/>
        <v>I TRIM</v>
      </c>
      <c r="ER152" s="24"/>
      <c r="ES152" s="22"/>
      <c r="ET152" s="29" t="str">
        <f t="shared" ca="1" si="678"/>
        <v>TOMA DE HEMOGLOBINA TARDÍA</v>
      </c>
      <c r="EU152" s="25" t="str">
        <f t="shared" si="620"/>
        <v/>
      </c>
      <c r="EV152" s="24"/>
      <c r="EW152" s="24"/>
      <c r="EX152" s="22"/>
      <c r="EY152" s="29" t="str">
        <f t="shared" si="454"/>
        <v>TOMAR EXAMEN</v>
      </c>
      <c r="EZ152" s="25" t="str">
        <f t="shared" ca="1" si="455"/>
        <v/>
      </c>
      <c r="FA152" s="21">
        <v>81</v>
      </c>
      <c r="FB152" s="22">
        <v>45020</v>
      </c>
      <c r="FC152" s="29">
        <f t="shared" si="621"/>
        <v>10</v>
      </c>
      <c r="FD152" s="29"/>
      <c r="FE152" s="29"/>
      <c r="FF152" s="29"/>
      <c r="FG152" s="21" t="str">
        <f t="shared" ca="1" si="622"/>
        <v>TOMAR PTOG</v>
      </c>
      <c r="FH152" s="31"/>
      <c r="FI152" s="29" t="str">
        <f t="shared" si="623"/>
        <v>TOMAR EXAMEN</v>
      </c>
      <c r="FJ152" s="22" t="s">
        <v>867</v>
      </c>
      <c r="FK152" s="22">
        <v>45020</v>
      </c>
      <c r="FL152" s="29">
        <f t="shared" ca="1" si="624"/>
        <v>10</v>
      </c>
      <c r="FM152" s="22"/>
      <c r="FN152" s="32"/>
      <c r="FO152" s="29" t="str">
        <f t="shared" ca="1" si="679"/>
        <v>PIERDE TOMA DE TAMIZAJE</v>
      </c>
      <c r="FP152" s="22"/>
      <c r="FQ152" s="32"/>
      <c r="FR152" s="29" t="str">
        <f t="shared" ca="1" si="680"/>
        <v>TOMA INMEDIATA DE TAMIZAJE</v>
      </c>
      <c r="FS152" s="22"/>
      <c r="FT152" s="32"/>
      <c r="FU152" s="29" t="str">
        <f>IF(AND(FJ152="",FM152="",FP152="",FS152=""),"",IF(OR(OR(Tabla1[[#This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52" s="28"/>
      <c r="FW152" s="22"/>
      <c r="FX152" s="29" t="str">
        <f t="shared" si="625"/>
        <v>TOMAR EXAMEN</v>
      </c>
      <c r="FY152" s="22">
        <v>44999</v>
      </c>
      <c r="FZ152" s="22">
        <v>44999</v>
      </c>
      <c r="GA152" s="29">
        <f t="shared" ca="1" si="498"/>
        <v>7</v>
      </c>
      <c r="GB152" s="22"/>
      <c r="GC152" s="22"/>
      <c r="GD152" s="29" t="str">
        <f t="shared" ca="1" si="681"/>
        <v>PIERDE TOMA DE TAMIZAJE</v>
      </c>
      <c r="GE152" s="22"/>
      <c r="GF152" s="22"/>
      <c r="GG152" s="29" t="str">
        <f t="shared" ca="1" si="682"/>
        <v>TOMA INMEDIATA DE TAMIZAJE</v>
      </c>
      <c r="GH152" s="22"/>
      <c r="GI152" s="29"/>
      <c r="GJ152" s="22"/>
      <c r="GK152" s="22"/>
      <c r="GL152" s="22"/>
      <c r="GM152" s="22"/>
      <c r="GN152" s="28" t="s">
        <v>869</v>
      </c>
      <c r="GO152" s="22">
        <v>45020</v>
      </c>
      <c r="GP152" s="29">
        <f t="shared" si="626"/>
        <v>10</v>
      </c>
      <c r="GQ152" s="28"/>
      <c r="GR152" s="28" t="s">
        <v>869</v>
      </c>
      <c r="GS152" s="22" t="str">
        <f t="shared" si="627"/>
        <v/>
      </c>
      <c r="GT152" s="22">
        <v>45020</v>
      </c>
      <c r="GU152" s="29">
        <f t="shared" si="628"/>
        <v>10</v>
      </c>
      <c r="GV152" s="21" t="str">
        <f t="shared" si="629"/>
        <v>I TRIM</v>
      </c>
      <c r="GW152" s="28" t="s">
        <v>869</v>
      </c>
      <c r="GX152" s="30"/>
      <c r="GY152" s="21"/>
      <c r="GZ152" s="21"/>
      <c r="HA152" s="21"/>
      <c r="HB152" s="21"/>
      <c r="HC152" s="21"/>
      <c r="HD152" s="21"/>
      <c r="HE152" s="21"/>
      <c r="HF152" s="22"/>
      <c r="HG152" s="22" t="str">
        <f>IF(OR(O152&gt;0,R152&gt;0),CONCATENATE(IF(Tabla1[[#This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52" s="22" t="e">
        <f t="shared" si="630"/>
        <v>#REF!</v>
      </c>
      <c r="HI152" s="22" t="str">
        <f t="shared" si="631"/>
        <v>ALTO RIESGO</v>
      </c>
      <c r="HJ152" s="21" t="str">
        <f t="shared" ca="1" si="632"/>
        <v>***************************************</v>
      </c>
      <c r="HK152" s="21" t="str">
        <f t="shared" si="633"/>
        <v>RIESGO MODERADO (2 O MAS CRITERIOS) VER MANEJO GUIA SUMINISTRO ASA Y CALCIO</v>
      </c>
      <c r="HL152" s="24" t="str">
        <f t="shared" si="634"/>
        <v>APARENTEMENTE NORMAL</v>
      </c>
      <c r="HM152" s="21" t="e">
        <f t="shared" ca="1" si="635"/>
        <v>#REF!</v>
      </c>
      <c r="HN152" s="30" t="str">
        <f t="shared" si="683"/>
        <v>ACTIVA INGRESO A CPN</v>
      </c>
      <c r="HO152" s="21"/>
      <c r="HP152" s="21"/>
      <c r="HQ152" s="349"/>
      <c r="HR152" s="21" t="str">
        <f ca="1">IF(R152="","",IF(Tabla1[[#This Row],[ALARMA FACTORES DE RIESGO COMPLICACIONES HIPERTENSIVAS3]]="SIN ANTECEDENTES DE RIESGO","No Aplica para suministro de ASA",IF(AND(Tabla1[[#This Row],[FECHA INICIO DE SUMINISTRO DE ASA]]&gt;0,RV152&lt;12),"Inicia ASA ANTES de Sem 12",IF(AND(RV152&gt;11,RV152&lt;17,OR(HK152="RIESGO ALTO DE COMPLICACIONES HIPERTENSIVAS VER MANEJO GUIA SUMINISTRO ASA Y CALCIO",HK152="RIESGO MODERADO (2 O MAS CRITERIOS) VER MANEJO GUIA SUMINISTRO ASA Y CALCIO")),"Inicio oportuno de ASA",IF(AND(RV152&gt;12,OR(HK152="RIESGO ALTO DE COMPLICACIONES HIPERTENSIVAS VER MANEJO GUIA SUMINISTRO ASA Y CALCIO",HK152="RIESGO MODERADO (2 O MAS CRITERIOS) VER MANEJO GUIA SUMINISTRO ASA Y CALCIO")),"Inicio no oportuno mayor a 16 semanas",IF(AND(BU152&lt;12,OR(HK152="RIESGO ALTO DE COMPLICACIONES HIPERTENSIVAS VER MANEJO GUIA SUMINISTRO ASA Y CALCIO",HK152="RIESGO MODERADO (2 O MAS CRITERIOS) VER MANEJO GUIA SUMINISTRO ASA Y CALCIO")),"Pendiente Inicio de ASA a la semana 12",IF(AND(BU152&gt;11,BU152&lt;17,OR(HK152="RIESGO ALTO DE COMPLICACIONES HIPERTENSIVAS VER MANEJO GUIA SUMINISTRO ASA Y CALCIO",HK152="RIESGO MODERADO (2 O MAS CRITERIOS) VER MANEJO GUIA SUMINISTRO ASA Y CALCIO")),"Iniciar de inmediato ASA",IF(AND(BU152&gt;16,OR(HK152="RIESGO ALTO DE COMPLICACIONES HIPERTENSIVAS VER MANEJO GUIA SUMINISTRO ASA Y CALCIO",HK152="RIESGO MODERADO (2 O MAS CRITERIOS) VER MANEJO GUIA SUMINISTRO ASA Y CALCIO")),"Pierde Oportunidad, Inicio tardío de ASA","XXXXX"))))))))</f>
        <v>Pierde Oportunidad, Inicio tardío de ASA</v>
      </c>
      <c r="HS152" s="22"/>
      <c r="HT152" s="22"/>
      <c r="HU152" s="22">
        <v>44999</v>
      </c>
      <c r="HV152" s="22" t="s">
        <v>870</v>
      </c>
      <c r="HW152" s="22">
        <v>44999</v>
      </c>
      <c r="HX152" s="22" t="s">
        <v>870</v>
      </c>
      <c r="HY152" s="22">
        <v>44999</v>
      </c>
      <c r="HZ152" s="28">
        <f t="shared" si="636"/>
        <v>7</v>
      </c>
      <c r="IA152" s="26"/>
      <c r="IB152" s="26"/>
      <c r="IC152" s="111"/>
      <c r="ID152" s="22"/>
      <c r="IE152" s="22" t="str">
        <f t="shared" ca="1" si="637"/>
        <v>INASISTENTE</v>
      </c>
      <c r="IF152" s="22"/>
      <c r="IG152" s="22">
        <f t="shared" si="638"/>
        <v>45230</v>
      </c>
      <c r="IH152" s="29">
        <f t="shared" ca="1" si="639"/>
        <v>-2</v>
      </c>
      <c r="II152" s="22" t="str">
        <f t="shared" ca="1" si="640"/>
        <v>POSIBLEMENTE NACIO</v>
      </c>
      <c r="IJ152" s="22"/>
      <c r="IK152" s="21"/>
      <c r="IL152" s="21"/>
      <c r="IM152" s="34"/>
      <c r="IN152" s="22"/>
      <c r="IO152" s="21"/>
      <c r="IP152" s="29" t="str">
        <f t="shared" si="674"/>
        <v/>
      </c>
      <c r="IQ152" s="35"/>
      <c r="IR152" s="21"/>
      <c r="IS152" s="21"/>
      <c r="IT152" s="21"/>
      <c r="IU152" s="21"/>
      <c r="IV152" s="21"/>
      <c r="IW152" s="21"/>
      <c r="IX152" s="21"/>
      <c r="IY152" s="21"/>
      <c r="IZ152" s="21"/>
      <c r="JA152" s="21"/>
      <c r="JB152" s="30"/>
      <c r="JC152" s="21"/>
      <c r="JD152" s="36"/>
      <c r="JE152" s="21" t="str">
        <f t="shared" si="684"/>
        <v/>
      </c>
      <c r="JF152" s="30"/>
      <c r="JG152" s="21"/>
      <c r="JH152" s="21"/>
      <c r="JI152" s="21"/>
      <c r="JJ152" s="30"/>
      <c r="JK152" s="22"/>
      <c r="JL152" s="22"/>
      <c r="JM152" s="21"/>
      <c r="JN152" s="36"/>
      <c r="JO152" s="21" t="str">
        <f t="shared" si="685"/>
        <v/>
      </c>
      <c r="JP152" s="22"/>
      <c r="JQ152" s="21"/>
      <c r="JR152" s="21"/>
      <c r="JS152" s="21"/>
      <c r="JT152" s="30"/>
      <c r="JU152" s="22"/>
      <c r="JV152" s="22"/>
      <c r="JW152" s="33"/>
      <c r="JX152" s="28" t="str">
        <f t="shared" si="686"/>
        <v/>
      </c>
      <c r="JY152" s="33"/>
      <c r="JZ152" s="28" t="str">
        <f t="shared" si="687"/>
        <v/>
      </c>
      <c r="KA152" s="21"/>
      <c r="KB152" s="21"/>
      <c r="KC152" s="21"/>
      <c r="KD152" s="37"/>
      <c r="KE152" s="28"/>
      <c r="KF152" s="28"/>
      <c r="KG152" s="28"/>
      <c r="KH152" s="39"/>
      <c r="KI152" s="39"/>
      <c r="KJ152" s="66"/>
      <c r="KK152" s="39"/>
      <c r="KL152" s="39"/>
      <c r="KM152" s="66"/>
      <c r="KN152" s="39"/>
      <c r="KO152" s="39"/>
      <c r="KP152" s="39"/>
      <c r="KQ152" s="39"/>
      <c r="KR152" s="39"/>
      <c r="KS152" s="39"/>
      <c r="KT152" s="39"/>
      <c r="KU152" s="38"/>
      <c r="KV152" s="38"/>
      <c r="KW152" s="38"/>
      <c r="KX152" s="38"/>
      <c r="KY152" s="38"/>
      <c r="KZ152" s="38"/>
      <c r="LA152" s="38"/>
      <c r="LB152" s="38"/>
      <c r="LC152" s="38"/>
      <c r="LD152" s="38"/>
      <c r="LE152" s="38"/>
      <c r="LF152" s="38"/>
      <c r="LG152" s="38"/>
      <c r="LH152" s="38"/>
      <c r="LI152" s="38"/>
      <c r="LJ152" s="38"/>
      <c r="LK152" s="38"/>
      <c r="LL152" s="38"/>
      <c r="LM152" s="38"/>
      <c r="LN152" s="38"/>
      <c r="LO152" s="38"/>
      <c r="LP152" s="38"/>
      <c r="LQ152" s="38"/>
      <c r="LR152" s="38"/>
      <c r="LS152" s="38"/>
      <c r="LT152" s="38"/>
      <c r="LU152" s="38"/>
      <c r="LV152" s="38"/>
      <c r="LW152" s="38"/>
      <c r="LX152" s="38"/>
      <c r="LY152" s="38"/>
      <c r="LZ152" s="38"/>
      <c r="MA152" s="38"/>
      <c r="MB152" s="38"/>
      <c r="MC152" s="38"/>
      <c r="MD152" s="38"/>
      <c r="ME152" s="38"/>
      <c r="MF152" s="38"/>
      <c r="MG152" s="38"/>
      <c r="MH152" s="43">
        <f t="shared" si="641"/>
        <v>0</v>
      </c>
      <c r="MI152" s="43" t="str">
        <f t="shared" si="642"/>
        <v/>
      </c>
      <c r="MJ152" s="43" t="str">
        <f t="shared" si="643"/>
        <v/>
      </c>
      <c r="MK152" s="43">
        <f t="shared" si="644"/>
        <v>0</v>
      </c>
      <c r="ML15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52" s="43">
        <f t="shared" si="645"/>
        <v>7</v>
      </c>
      <c r="MN152" s="43">
        <f t="shared" si="646"/>
        <v>3</v>
      </c>
      <c r="MO152" s="43">
        <f t="shared" si="647"/>
        <v>2023</v>
      </c>
      <c r="MP152" s="43" t="str">
        <f t="shared" si="648"/>
        <v>I TRIMESTRE AÑO</v>
      </c>
      <c r="MQ152" s="43">
        <f t="shared" si="649"/>
        <v>29.514345159877351</v>
      </c>
      <c r="MR152" s="43">
        <f t="shared" si="650"/>
        <v>0</v>
      </c>
      <c r="MS152" s="43" t="str">
        <f t="shared" si="651"/>
        <v xml:space="preserve"> DE 25 A 29 AÑOS</v>
      </c>
      <c r="MT152" s="43">
        <f t="shared" si="652"/>
        <v>0</v>
      </c>
      <c r="MU152" s="43">
        <f t="shared" si="653"/>
        <v>0</v>
      </c>
      <c r="MV152" s="43">
        <f t="shared" si="654"/>
        <v>0</v>
      </c>
      <c r="MW152" s="43">
        <f t="shared" si="655"/>
        <v>0</v>
      </c>
      <c r="MX152" s="43" t="str">
        <f t="shared" si="656"/>
        <v/>
      </c>
      <c r="MY152" s="43" t="str">
        <f t="shared" ca="1" si="688"/>
        <v/>
      </c>
      <c r="MZ152" s="43" t="str">
        <f t="shared" si="657"/>
        <v/>
      </c>
      <c r="NA152" s="43" t="str">
        <f t="shared" si="658"/>
        <v/>
      </c>
      <c r="NB152" s="43" t="str">
        <f t="shared" si="659"/>
        <v/>
      </c>
      <c r="NC152" s="43" t="str">
        <f t="shared" si="660"/>
        <v/>
      </c>
      <c r="ND152" s="43">
        <f t="shared" ca="1" si="661"/>
        <v>0</v>
      </c>
      <c r="NE152" s="43">
        <f>IF(OR(O152&gt;0,R152&gt;0),SUM(COUNTIF(Tabla1[[#This Row],[AÑOS AL INICIO5 CPN]],"&gt;=40"),COUNTIF(AS152,"0"),COUNTIF(AR152,"SI"),COUNTIF(CC152,"SI"),COUNTIF(BQ152,"&gt;119"),COUNTIF(CI152,"&gt;=35")),"")</f>
        <v>2</v>
      </c>
      <c r="NF152" s="43" t="str">
        <f t="shared" si="662"/>
        <v/>
      </c>
      <c r="NG152" s="43">
        <f t="shared" si="663"/>
        <v>0</v>
      </c>
      <c r="NH152" s="43">
        <f t="shared" si="664"/>
        <v>80.5</v>
      </c>
      <c r="NI15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CPN",P152="NO"),"Z",IF(AND(Tabla1[[#This Row],[CITA PROXIMO CONTROL]]="CITA MANUAL",Tabla1[[#This Row],[GESTANTES ACTUALES]]="ACTIVA INGRESO A CPN"),"W",IF(AND(Tabla1[[#This Row],[GESTANTES ACTUALES]]="SALIO PROGRAMA",IN152=""),"S",IF(AND(Tabla1[[#This Row],[CITA PROXIMO CONTROL]]&gt;0,IN152=""),(Tabla1[[#This Row],[CITA PROXIMO CONTROL]]-TODAY()),"SD"))))))))</f>
        <v>#REF!</v>
      </c>
      <c r="NJ152" s="43">
        <f>MONTH(Tabla1[[#This Row],[FECHA DE SALIDA  DEL PROGRAMA]])</f>
        <v>1</v>
      </c>
      <c r="NK152" s="43">
        <f>YEAR(Tabla1[[#This Row],[FECHA DE SALIDA  DEL PROGRAMA]])</f>
        <v>1900</v>
      </c>
      <c r="NL152" s="43">
        <f t="shared" si="665"/>
        <v>44</v>
      </c>
      <c r="NM152" s="43" t="str">
        <f t="shared" si="501"/>
        <v>NO</v>
      </c>
      <c r="NN152" s="43" t="str">
        <f ca="1">IF(AND(O152&gt;0,R152=""),"NO CPN",IF(AND(O152="",R152=""),"",IF(AND(R152&gt;0,Tabla1[[#This Row],[SEMANAS DE GESTACION ACTUALIZADAS]]&lt;=12),"NO APLICA",IF(AND(FH152&lt;&gt;"",FN152&lt;&gt;""),"SI","NO"))))</f>
        <v>NO</v>
      </c>
      <c r="NO152" s="43" t="str">
        <f ca="1">IF(AND(O152&gt;0,R152=""),"NO CPN",IF(AND(O152="",R152=""),"",IF(AND(R152&gt;0,Tabla1[[#This Row],[SEMANAS DE GESTACION ACTUALIZADAS]]&lt;=27),"NO APLICA",IF(AND(ES152&lt;&gt;"",FQ152&lt;&gt;"",GF152&lt;&gt;""),"SI","NO"))))</f>
        <v>NO</v>
      </c>
      <c r="NP152" s="204" t="str">
        <f t="shared" si="666"/>
        <v>I TRIM</v>
      </c>
      <c r="NQ152" s="21" t="str">
        <f t="shared" si="691"/>
        <v/>
      </c>
      <c r="NR152" s="21">
        <f t="shared" ca="1" si="689"/>
        <v>3</v>
      </c>
      <c r="NS152" s="205">
        <f t="shared" ca="1" si="667"/>
        <v>1</v>
      </c>
      <c r="NT152" s="21">
        <f t="shared" ca="1" si="668"/>
        <v>1</v>
      </c>
      <c r="NU152" s="21" t="str">
        <f t="shared" ca="1" si="669"/>
        <v>INCOMPLETO</v>
      </c>
      <c r="NV152" s="21" t="str">
        <f t="shared" ca="1" si="670"/>
        <v>INCOMPLETO</v>
      </c>
      <c r="NW152" s="206" t="str">
        <f>IF(AND(O152="",R152=""),"",IF(OR(AND(Tabla1[[#This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52" s="207" t="str">
        <f t="shared" ca="1" si="671"/>
        <v>SIN VACUNAR</v>
      </c>
      <c r="NY152" s="43">
        <f>ROW(Tabla1[[#This Row],['# DE TAMIZAJES SIFILIS TOMADOS ]])</f>
        <v>152</v>
      </c>
      <c r="NZ152" s="43" t="str">
        <f t="shared" si="502"/>
        <v>Menor</v>
      </c>
      <c r="OA152" s="43" t="str">
        <f t="shared" si="503"/>
        <v>OBESIDAD</v>
      </c>
      <c r="OB152" s="43" t="str">
        <f t="shared" si="504"/>
        <v/>
      </c>
      <c r="OC152" s="43" t="str">
        <f t="shared" si="505"/>
        <v/>
      </c>
      <c r="OD152" s="43" t="str">
        <f t="shared" si="506"/>
        <v/>
      </c>
      <c r="OE152" s="43" t="str">
        <f t="shared" si="507"/>
        <v/>
      </c>
      <c r="OF152" s="43" t="str">
        <f t="shared" si="508"/>
        <v/>
      </c>
      <c r="OG152" s="43" t="str">
        <f t="shared" si="509"/>
        <v/>
      </c>
      <c r="OH152" s="43" t="str">
        <f t="shared" si="510"/>
        <v/>
      </c>
      <c r="OI152" s="43" t="str">
        <f t="shared" si="511"/>
        <v/>
      </c>
      <c r="OJ152" s="43" t="str">
        <f t="shared" si="512"/>
        <v/>
      </c>
      <c r="OK152" s="43" t="str">
        <f t="shared" si="513"/>
        <v/>
      </c>
      <c r="OL152" s="43" t="str">
        <f t="shared" si="514"/>
        <v/>
      </c>
      <c r="OM152" s="43" t="str">
        <f t="shared" si="515"/>
        <v/>
      </c>
      <c r="ON152" s="43" t="str">
        <f t="shared" si="516"/>
        <v/>
      </c>
      <c r="OO152" s="43" t="str">
        <f t="shared" si="517"/>
        <v/>
      </c>
      <c r="OP152" s="43" t="str">
        <f t="shared" si="518"/>
        <v/>
      </c>
      <c r="OQ152" s="43" t="str">
        <f t="shared" si="519"/>
        <v/>
      </c>
      <c r="OR152" s="43" t="str">
        <f t="shared" si="520"/>
        <v/>
      </c>
      <c r="OS152" s="43" t="str">
        <f t="shared" si="521"/>
        <v/>
      </c>
      <c r="OT152" s="43" t="str">
        <f t="shared" si="522"/>
        <v/>
      </c>
      <c r="OU152" s="43" t="str">
        <f t="shared" si="523"/>
        <v/>
      </c>
      <c r="OV152" s="110" t="str">
        <f t="shared" si="524"/>
        <v/>
      </c>
      <c r="OW152" s="43" t="str">
        <f t="shared" si="525"/>
        <v/>
      </c>
      <c r="OX152" s="43" t="str">
        <f t="shared" si="526"/>
        <v/>
      </c>
      <c r="OY152" s="43" t="str">
        <f t="shared" si="527"/>
        <v/>
      </c>
      <c r="OZ152" s="43" t="str">
        <f t="shared" si="528"/>
        <v/>
      </c>
      <c r="PA152" s="43" t="str">
        <f t="shared" si="529"/>
        <v/>
      </c>
      <c r="PB152" s="43" t="str">
        <f t="shared" si="530"/>
        <v/>
      </c>
      <c r="PC152" s="43" t="str">
        <f t="shared" si="531"/>
        <v/>
      </c>
      <c r="PD152" s="43" t="str">
        <f t="shared" si="532"/>
        <v/>
      </c>
      <c r="PE152" s="43" t="str">
        <f t="shared" si="533"/>
        <v/>
      </c>
      <c r="PF152" s="43" t="str">
        <f t="shared" si="534"/>
        <v/>
      </c>
      <c r="PG152" s="43" t="str">
        <f t="shared" si="535"/>
        <v/>
      </c>
      <c r="PH152" s="43" t="str">
        <f t="shared" si="536"/>
        <v/>
      </c>
      <c r="PI152" s="43">
        <f t="shared" si="537"/>
        <v>27</v>
      </c>
      <c r="PJ152" s="43" t="str">
        <f t="shared" si="538"/>
        <v/>
      </c>
      <c r="PK152" s="43" t="str">
        <f t="shared" si="539"/>
        <v/>
      </c>
      <c r="PL152" s="43" t="str">
        <f t="shared" si="540"/>
        <v/>
      </c>
      <c r="PM152" s="43" t="str">
        <f t="shared" si="541"/>
        <v/>
      </c>
      <c r="PN152" s="43" t="str">
        <f t="shared" si="542"/>
        <v/>
      </c>
      <c r="PO152" s="43" t="str">
        <f t="shared" si="543"/>
        <v/>
      </c>
      <c r="PP152" s="43" t="str">
        <f t="shared" si="544"/>
        <v/>
      </c>
      <c r="PQ152" s="43" t="str">
        <f t="shared" si="545"/>
        <v/>
      </c>
      <c r="PR152" s="43" t="str">
        <f t="shared" si="546"/>
        <v/>
      </c>
      <c r="PS152" s="43" t="str">
        <f t="shared" si="547"/>
        <v/>
      </c>
      <c r="PT152" s="43" t="str">
        <f t="shared" si="548"/>
        <v/>
      </c>
      <c r="PU152" s="43" t="str">
        <f t="shared" si="549"/>
        <v/>
      </c>
      <c r="PV152" s="43" t="str">
        <f t="shared" si="550"/>
        <v/>
      </c>
      <c r="PW152" s="43" t="str">
        <f t="shared" si="551"/>
        <v/>
      </c>
      <c r="PX152" s="43" t="str">
        <f t="shared" si="552"/>
        <v/>
      </c>
      <c r="PY152" s="43" t="str">
        <f t="shared" si="553"/>
        <v/>
      </c>
      <c r="PZ152" s="43" t="str">
        <f t="shared" si="554"/>
        <v/>
      </c>
      <c r="QA152" s="43" t="str">
        <f t="shared" si="555"/>
        <v/>
      </c>
      <c r="QB152" s="43" t="str">
        <f t="shared" si="556"/>
        <v>OBESIDAD</v>
      </c>
      <c r="QC152" s="43" t="str">
        <f t="shared" si="557"/>
        <v/>
      </c>
      <c r="QD152" s="43" t="str">
        <f t="shared" si="558"/>
        <v/>
      </c>
      <c r="QE152" s="43" t="str">
        <f t="shared" si="559"/>
        <v/>
      </c>
      <c r="QF152" s="43" t="str">
        <f t="shared" si="560"/>
        <v/>
      </c>
      <c r="QG152" s="43" t="str">
        <f t="shared" si="561"/>
        <v/>
      </c>
      <c r="QH152" s="43" t="str">
        <f t="shared" si="562"/>
        <v/>
      </c>
      <c r="QI152" s="43" t="str">
        <f t="shared" si="563"/>
        <v/>
      </c>
      <c r="QJ152" s="43" t="str">
        <f t="shared" si="564"/>
        <v/>
      </c>
      <c r="QK152" s="43" t="str">
        <f t="shared" si="565"/>
        <v/>
      </c>
      <c r="QL152" s="43" t="str">
        <f t="shared" si="566"/>
        <v/>
      </c>
      <c r="QM152" s="43" t="str">
        <f t="shared" si="567"/>
        <v/>
      </c>
      <c r="QN152" s="43" t="str">
        <f t="shared" si="568"/>
        <v/>
      </c>
      <c r="QO152" s="43" t="str">
        <f t="shared" si="569"/>
        <v/>
      </c>
      <c r="QP152" s="43" t="str">
        <f t="shared" si="570"/>
        <v/>
      </c>
      <c r="QQ152" s="43" t="str">
        <f t="shared" si="571"/>
        <v/>
      </c>
      <c r="QR152" s="43">
        <f t="shared" si="672"/>
        <v>27</v>
      </c>
      <c r="QS152" s="43"/>
      <c r="QT152" s="21" t="str">
        <f t="shared" si="572"/>
        <v/>
      </c>
      <c r="QU152" s="21" t="str">
        <f t="shared" si="573"/>
        <v/>
      </c>
      <c r="QV152" s="21" t="str">
        <f t="shared" si="574"/>
        <v/>
      </c>
      <c r="QW152" s="21" t="str">
        <f t="shared" si="575"/>
        <v/>
      </c>
      <c r="QX152" s="21" t="str">
        <f t="shared" si="576"/>
        <v/>
      </c>
      <c r="QY152" s="21" t="str">
        <f t="shared" si="577"/>
        <v/>
      </c>
      <c r="QZ152" s="21" t="str">
        <f t="shared" si="578"/>
        <v/>
      </c>
      <c r="RA152" s="21" t="str">
        <f t="shared" si="579"/>
        <v/>
      </c>
      <c r="RB152" s="21" t="str">
        <f t="shared" si="580"/>
        <v/>
      </c>
      <c r="RC152" s="21" t="str">
        <f t="shared" si="581"/>
        <v/>
      </c>
      <c r="RD152" s="21" t="str">
        <f t="shared" si="582"/>
        <v/>
      </c>
      <c r="RE152" s="21" t="str">
        <f t="shared" si="583"/>
        <v/>
      </c>
      <c r="RF152" s="21" t="str">
        <f t="shared" si="584"/>
        <v/>
      </c>
      <c r="RG152" s="21" t="str">
        <f t="shared" si="585"/>
        <v/>
      </c>
      <c r="RH152" s="21" t="str">
        <f t="shared" si="586"/>
        <v>ADECUADO PARA EDAD GESTACIONAL</v>
      </c>
      <c r="RI152" s="21" t="str">
        <f t="shared" si="587"/>
        <v/>
      </c>
      <c r="RJ152" s="21" t="str">
        <f t="shared" si="588"/>
        <v/>
      </c>
      <c r="RK152" s="21" t="str">
        <f t="shared" si="589"/>
        <v/>
      </c>
      <c r="RL152" s="21" t="str">
        <f t="shared" si="590"/>
        <v/>
      </c>
      <c r="RM152" s="21" t="str">
        <f t="shared" si="591"/>
        <v/>
      </c>
      <c r="RN152" s="21" t="str">
        <f t="shared" si="592"/>
        <v/>
      </c>
      <c r="RO152" s="21" t="str">
        <f t="shared" si="593"/>
        <v/>
      </c>
      <c r="RP152" s="21" t="str">
        <f t="shared" si="594"/>
        <v/>
      </c>
      <c r="RQ152" s="21" t="str">
        <f t="shared" si="595"/>
        <v/>
      </c>
      <c r="RR152" s="21" t="str">
        <f t="shared" si="596"/>
        <v/>
      </c>
      <c r="RS152" s="21" t="str">
        <f t="shared" si="597"/>
        <v/>
      </c>
      <c r="RT152" s="21" t="str">
        <f t="shared" si="598"/>
        <v/>
      </c>
      <c r="RU152" s="21" t="str">
        <f t="shared" si="599"/>
        <v/>
      </c>
      <c r="RV152" s="21">
        <f t="shared" si="600"/>
        <v>-1</v>
      </c>
      <c r="RW152" s="284">
        <f>IF(OR(Tabla1[[#This Row],[FUM FORMULA CONFIABLE]]="",Tabla1[[#This Row],[FUM FORMULA CONFIABLE]]="SD"),"",IF(Tabla1[[#This Row],[FUM FORMULA CONFIABLE]]="CORREGIDA",Tabla1[[#This Row],[FUM X ECO 1]],Tabla1[[#This Row],[FUM x AMENORREA]]))</f>
        <v>44950</v>
      </c>
      <c r="RX152" s="21">
        <f>IF(AND(Tabla1[[#This Row],[FUM X ECO 1]]="",Tabla1[[#This Row],[FUM x AMENORREA]]=""),"",IF(AND(Tabla1[[#This Row],[FUM X ECO 1]]="",Tabla1[[#This Row],[FUM x AMENORREA]]&lt;&gt;""),"X",SUM(Tabla1[[#This Row],[FUM X ECO 1]]-Tabla1[[#This Row],[FUM x AMENORREA]])))</f>
        <v>4.5</v>
      </c>
      <c r="RY152" s="21">
        <f t="shared" si="673"/>
        <v>0</v>
      </c>
    </row>
    <row r="153" spans="1:493" ht="45" customHeight="1" x14ac:dyDescent="0.25">
      <c r="A153" s="109"/>
      <c r="B153" s="43"/>
      <c r="C153" s="43" t="s">
        <v>845</v>
      </c>
      <c r="D153" s="124"/>
      <c r="E153" s="43" t="s">
        <v>1446</v>
      </c>
      <c r="F153" s="43" t="s">
        <v>1447</v>
      </c>
      <c r="G153" s="43" t="s">
        <v>1047</v>
      </c>
      <c r="H153" s="43"/>
      <c r="I153" s="109" t="s">
        <v>851</v>
      </c>
      <c r="J153" s="110">
        <v>1073246645</v>
      </c>
      <c r="K153" s="43" t="s">
        <v>852</v>
      </c>
      <c r="L153" s="175" t="s">
        <v>846</v>
      </c>
      <c r="M153" s="22">
        <v>35242</v>
      </c>
      <c r="N153" s="213">
        <f t="shared" ca="1" si="601"/>
        <v>27.36986301369863</v>
      </c>
      <c r="O153" s="22">
        <v>45003</v>
      </c>
      <c r="P153" s="214" t="str">
        <f t="shared" si="675"/>
        <v>SI</v>
      </c>
      <c r="Q153" s="26" t="s">
        <v>855</v>
      </c>
      <c r="R153" s="22">
        <v>45003</v>
      </c>
      <c r="S153" s="21" t="s">
        <v>856</v>
      </c>
      <c r="T153" s="24" t="s">
        <v>690</v>
      </c>
      <c r="U153" s="21" t="s">
        <v>857</v>
      </c>
      <c r="V153" s="21" t="s">
        <v>858</v>
      </c>
      <c r="W153" s="21" t="s">
        <v>1062</v>
      </c>
      <c r="X153" s="21"/>
      <c r="Y153" s="21"/>
      <c r="Z153" s="21">
        <v>3114038544</v>
      </c>
      <c r="AA153" s="21" t="s">
        <v>860</v>
      </c>
      <c r="AB153" s="27" t="s">
        <v>861</v>
      </c>
      <c r="AC153" s="26" t="s">
        <v>862</v>
      </c>
      <c r="AD153" s="38" t="s">
        <v>1546</v>
      </c>
      <c r="AE153" s="26" t="s">
        <v>854</v>
      </c>
      <c r="AF153" s="26" t="s">
        <v>854</v>
      </c>
      <c r="AG153" s="23" t="s">
        <v>864</v>
      </c>
      <c r="AH153" s="23" t="s">
        <v>864</v>
      </c>
      <c r="AI153" s="24" t="s">
        <v>863</v>
      </c>
      <c r="AJ153" s="23" t="s">
        <v>864</v>
      </c>
      <c r="AK153" s="220" t="str">
        <f>IF(AND(AD153="",AE153="",AF153="",AG153="",AH153="",AI153="",AJ153=""),"",IF(OR(Tabla1[[#This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EVALUACIÓN",IF(AND(O153="",R153=""),"",IF(AND(OR(O153&gt;0,R153&gt;0),NG153&gt;=0,NG153&lt;2),"SIN RIESGO",IF(AND(OR(O153&gt;0,R153&gt;0),NG153&gt;=2),"CON RIESGO","ASD")))))</f>
        <v>SIN RIESGO</v>
      </c>
      <c r="AL153" s="23" t="s">
        <v>864</v>
      </c>
      <c r="AM153" s="26" t="s">
        <v>864</v>
      </c>
      <c r="AN153" s="26" t="s">
        <v>864</v>
      </c>
      <c r="AO153" s="26" t="s">
        <v>864</v>
      </c>
      <c r="AP153" s="26" t="s">
        <v>864</v>
      </c>
      <c r="AQ153" s="26" t="s">
        <v>864</v>
      </c>
      <c r="AR153" s="26" t="s">
        <v>864</v>
      </c>
      <c r="AS153" s="21">
        <v>3</v>
      </c>
      <c r="AT153" s="21">
        <v>2</v>
      </c>
      <c r="AU153" s="21">
        <v>1</v>
      </c>
      <c r="AV153" s="26" t="s">
        <v>864</v>
      </c>
      <c r="AW153" s="21">
        <v>0</v>
      </c>
      <c r="AX153" s="26" t="s">
        <v>864</v>
      </c>
      <c r="AY153" s="26" t="s">
        <v>864</v>
      </c>
      <c r="AZ153" s="26" t="s">
        <v>854</v>
      </c>
      <c r="BA153" s="26" t="s">
        <v>864</v>
      </c>
      <c r="BB153" s="26" t="s">
        <v>864</v>
      </c>
      <c r="BC153" s="26" t="s">
        <v>864</v>
      </c>
      <c r="BD153" s="26" t="s">
        <v>864</v>
      </c>
      <c r="BE153" s="26" t="s">
        <v>864</v>
      </c>
      <c r="BF153" s="26" t="s">
        <v>864</v>
      </c>
      <c r="BG153" s="26" t="s">
        <v>864</v>
      </c>
      <c r="BH153" s="26" t="s">
        <v>864</v>
      </c>
      <c r="BI153" s="26" t="s">
        <v>864</v>
      </c>
      <c r="BJ153" s="26" t="s">
        <v>864</v>
      </c>
      <c r="BK153" s="26" t="s">
        <v>864</v>
      </c>
      <c r="BL153" s="26" t="s">
        <v>864</v>
      </c>
      <c r="BM153" s="26" t="s">
        <v>864</v>
      </c>
      <c r="BN153" s="22">
        <v>43952</v>
      </c>
      <c r="BO153" s="22">
        <v>44907</v>
      </c>
      <c r="BP153" s="21" t="s">
        <v>864</v>
      </c>
      <c r="BQ153" s="222">
        <f t="shared" si="602"/>
        <v>31.833333333333332</v>
      </c>
      <c r="BR153" s="223">
        <f t="shared" si="603"/>
        <v>44907.5</v>
      </c>
      <c r="BS153" s="224">
        <f t="shared" si="604"/>
        <v>13.714285714285714</v>
      </c>
      <c r="BT153" s="216" t="str">
        <f t="shared" si="605"/>
        <v>DEFINIR CON ECO</v>
      </c>
      <c r="BU153" s="214" t="str">
        <f t="shared" ca="1" si="606"/>
        <v/>
      </c>
      <c r="BV153" s="25"/>
      <c r="BW153" s="22">
        <v>45051</v>
      </c>
      <c r="BX153" s="28">
        <v>20.5</v>
      </c>
      <c r="BY153" s="28"/>
      <c r="BZ153" s="22"/>
      <c r="CA153" s="21"/>
      <c r="CB153" s="26"/>
      <c r="CC153" s="26"/>
      <c r="CD153" s="26"/>
      <c r="CE153" s="26"/>
      <c r="CF153" s="22" t="s">
        <v>1517</v>
      </c>
      <c r="CG153" s="21">
        <v>1.58</v>
      </c>
      <c r="CH153" s="21">
        <v>68.599999999999994</v>
      </c>
      <c r="CI153" s="214">
        <f t="shared" si="607"/>
        <v>27.479570581637553</v>
      </c>
      <c r="CJ153" s="225" t="e">
        <f>IF(AND(CI153&lt;10,CH153="SD"),"SIN DATO PESO PREGESTACION O I TRIM",IF(AND(OR(R153&gt;0,O153&gt;0),CI153="X"),"INGRESAR DATO DE PESO",IF(CI153="SD","INGRESAR DATO DE TALLA Y PESO",IF(AND(OR(Tabla1[[#This Row],[MOMENTO EN QUE SE REALIZA EL PESO AL INGRESO A CPN]]="PREGESTACIÓN",NZ153="Menor"),CI153&lt;18.5),"BAJO PESO",IF(AND(OR(Tabla1[[#This Row],[MOMENTO EN QUE SE REALIZA EL PESO AL INGRESO A CPN]]="PREGESTACIÓN",NZ153="Menor"),CI153&lt;25),"NORMAL",IF(AND(OR(Tabla1[[#This Row],[MOMENTO EN QUE SE REALIZA EL PESO AL INGRESO A CPN]]="PREGESTACIÓN",NZ153="Menor"),CI153&lt;30),"SOBREPESO",IF(AND(OR(Tabla1[[#This Row],[MOMENTO EN QUE SE REALIZA EL PESO AL INGRESO A CPN]]="PREGESTACIÓN",NZ153="Menor"),CI153&gt;=30,CI153&lt;50),"OBESIDAD",IF(AND(BS153&gt;0,Tabla1[[#This Row],[MOMENTO EN QUE SE REALIZA EL PESO AL INGRESO A CPN]]="GESTACIÓN"),HLOOKUP(NZ153,$OA$2:PH153,NY153),""))))))))</f>
        <v>#REF!</v>
      </c>
      <c r="CK153" s="212">
        <f t="shared" si="608"/>
        <v>45161</v>
      </c>
      <c r="CL153" s="21">
        <v>73</v>
      </c>
      <c r="CM153" s="214">
        <f t="shared" si="609"/>
        <v>29.242108636436463</v>
      </c>
      <c r="CN153" s="216">
        <f t="shared" si="610"/>
        <v>36</v>
      </c>
      <c r="CO153" s="216" t="e">
        <f>IF(PI153="","",IF(PI153&gt;0,HLOOKUP(PI153,$PJ$2:QQ153,NY153),""))</f>
        <v>#REF!</v>
      </c>
      <c r="CP153" s="21">
        <v>31</v>
      </c>
      <c r="CQ153" s="216" t="e">
        <f>IF(QR153="Menor","NO APLICA-MENOR 13 SEM",IF(AND(CC153="SI",CN153&gt;23),"NO APLICA- GEMELAR",IF(QR153="","",IF(QR153&gt;0,HLOOKUP(QR153,$QS$2:RU153,NY153),""))))</f>
        <v>#REF!</v>
      </c>
      <c r="CR153" s="21"/>
      <c r="CS153" s="21"/>
      <c r="CT153" s="217" t="str">
        <f>IF(R153="","",IF(AND(BS153&gt;1,BS153&lt;12,Tabla1[[#This Row],[T.A. SISTOLICA - ANTES DE SEMANA 12]]="",Tabla1[[#This Row],[T.A. DIASTOLICA - ANTES DE SEMANA 12]]=""),"REGISTRE DATO TA ANTES SEMANA 12",IF(AND(BS153&gt;11,BS153&lt;43,Tabla1[[#This Row],[T.A. SISTOLICA - ANTES DE SEMANA 12]]="",Tabla1[[#This Row],[T.A. DIASTOLICA - ANTES DE SEMANA 12]]=""),"NO APLICA REGISTRO TA-INGRESO TARDIO",IF(AND(OR(O153&gt;0,R153&gt;0),OR(CR153&gt;=140,CS153&gt;=90)),"DEFINIR ESTADIO HTA",IF(AND(OR(O153&gt;0,R153&gt;0),AND(CR153&gt;120,CR153&lt;=139)),"PRE HTA SEGUIMIENTO",IF(AND(OR(O153&gt;0,R153&gt;0),AND(CS153&gt;80,CS153&lt;=89)),"PRE HTA SEGUIMIENTO",IF(AND(OR(O153&gt;0,R153&gt;0),AND(CR153&gt;=80,CR153&lt;=120)),"APARENTEMENTE NORMAL",IF(AND(OR(O153&gt;0,R153&gt;0),AND(CS153&gt;=50,CS153&lt;=80)),"APARENTEMENTE NORMAL",IF(AND(OR(O153&gt;0,R153&gt;0),AND(CR153&gt;1,CR153&lt;=70),AND(CS153&gt;1,CS153&lt;=40)),"HIPOTENSIÓN","")))))))))</f>
        <v>NO APLICA REGISTRO TA-INGRESO TARDIO</v>
      </c>
      <c r="CU153" s="21"/>
      <c r="CV153" s="21"/>
      <c r="CW153" s="217" t="str">
        <f ca="1">IF(R153="","",IF(AND(CN153&gt;19,CN153&lt;27,Tabla1[[#This Row],[T.A. SISTOLICA (Entre semana 20 y 26)]]="",Tabla1[[#This Row],[T.A. DIATOLICA (Entre semana 20 y 26)]]=""),"ACUDE A CONTROL SEM 20 A 26 REGISTRE TA AHORA",IF(AND(BS153&gt;1,BS153&lt;27,BU153&gt;19,Tabla1[[#This Row],[T.A. SISTOLICA (Entre semana 20 y 26)]]="",Tabla1[[#This Row],[T.A. DIATOLICA (Entre semana 20 y 26)]]=""),"COMPLETE REGISTRO TA CONTROL SEM 20 A26 ",IF(AND(BS153&gt;26,BS153&lt;43,Tabla1[[#This Row],[T.A. SISTOLICA (Entre semana 20 y 26)]]="",Tabla1[[#This Row],[T.A. DIATOLICA (Entre semana 20 y 26)]]=""),"NO APLICA REGISTRO TA-INGRESO TARDIO",IF(AND(OR(O153&gt;0,R153&gt;0),OR(CU153&gt;=140,CV153&gt;=90)),"ALTO RIESGO PREECLAMPSIA,DEFINIR ESTADIO HTA",IF(AND(OR(O153&gt;0,R153&gt;0),AND(CU153&gt;120,CU153&lt;=139)),"PRE HTA SEGUIMIENTO,RIESGO HIPERTENSION INDUCIDA POR EL EMBARAZO",IF(AND(OR(O153&gt;0,R153&gt;0),AND(CV153&gt;80,CV153&lt;=89)),"PRE HTA SEGUIMIENTO, RIESGO HIPERTENSION INDUCIDA POR EL EMBARAZO",IF(AND(OR(O153&lt;&gt;"",R153&lt;&gt;""),CS153&lt;&gt;"",CV153&lt;&gt;"",CS153&lt;=CV153),"VIGILAR CIFRAS PRESION ARTERIAL",IF(AND(OR(O153&gt;0,R153&gt;0),AND(CU153&gt;120,CU153&lt;=139)),"PRE HTA SEGUIMIENTO",IF(AND(OR(O153&gt;0,R153&gt;0),AND(CU153&gt;1,CU153&lt;=70),AND(CV153&gt;1,CV153&lt;=40)),"HIPOTENSIÓN",IF(AND(OR(O153&lt;&gt;"",R153&lt;&gt;""),CS153&lt;&gt;"",CV153&lt;&gt;"",CS153&gt;CV153),"APARENTEMENTE NORMAL",IF(AND(OR(O153&gt;0,R153&gt;0),AND(CU153&gt;=80,CU153&lt;=120)),"APARENTEMENTE NORMAL",IF(AND(OR(O153&gt;0,R153&gt;0),AND(CV153&gt;=50,CV153&lt;=80)),"APARENTEMENTE NORMAL","")))))))))))))</f>
        <v xml:space="preserve">COMPLETE REGISTRO TA CONTROL SEM 20 A26 </v>
      </c>
      <c r="CX153" s="21"/>
      <c r="CY153" s="21"/>
      <c r="CZ153" s="216" t="str">
        <f t="shared" si="690"/>
        <v/>
      </c>
      <c r="DA153" s="21">
        <v>90</v>
      </c>
      <c r="DB153" s="21">
        <v>60</v>
      </c>
      <c r="DC153" s="217" t="str">
        <f t="shared" si="611"/>
        <v>VIGILAR CIFRAS PRESION ARTERIAL</v>
      </c>
      <c r="DD153" s="22">
        <v>45003</v>
      </c>
      <c r="DE153" s="22">
        <v>45003</v>
      </c>
      <c r="DF153" s="22">
        <v>45030</v>
      </c>
      <c r="DG153" s="22">
        <v>45066</v>
      </c>
      <c r="DH153" s="22">
        <v>45094</v>
      </c>
      <c r="DI153" s="22">
        <v>45122</v>
      </c>
      <c r="DJ153" s="22">
        <v>45161</v>
      </c>
      <c r="DK153" s="22"/>
      <c r="DL153" s="22"/>
      <c r="DM153" s="22"/>
      <c r="DN153" s="22"/>
      <c r="DO153" s="22"/>
      <c r="DP153" s="22"/>
      <c r="DQ153" s="22"/>
      <c r="DR153" s="28"/>
      <c r="DS153" s="22"/>
      <c r="DT153" s="22"/>
      <c r="DU153" s="216" t="str">
        <f t="shared" ca="1" si="676"/>
        <v>CONCERTAR PLAN DE PARTO INMEDIATO</v>
      </c>
      <c r="DV153" s="226" t="str">
        <f t="shared" si="677"/>
        <v>ACTIVA INGRESO A CPN</v>
      </c>
      <c r="DW153"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53" s="216" t="e">
        <f t="shared" ca="1" si="612"/>
        <v>#REF!</v>
      </c>
      <c r="DY153" s="212">
        <f>IF(R153="","",IF(R153&gt;0,MAX(Tabla1[[#This Row],[FECHA C2]:[FECHA C13]],Tabla1[[#This Row],[FECHA CONSULTA PRIMERA VEZ PROGRAMA CPN ]])))</f>
        <v>45161</v>
      </c>
      <c r="DZ153" s="216">
        <f t="shared" si="613"/>
        <v>36</v>
      </c>
      <c r="EA153" s="222">
        <f>IF(R153&gt;0,SUM(COUNTA(DF153:DQ153)+COUNTA(Tabla1[[#This Row],[FECHA CONSULTA PRIMERA VEZ PROGRAMA CPN ]])),"")</f>
        <v>6</v>
      </c>
      <c r="EB153" s="222" t="str">
        <f t="shared" si="614"/>
        <v>SI</v>
      </c>
      <c r="EC153" s="214">
        <f t="shared" si="615"/>
        <v>8</v>
      </c>
      <c r="ED153" s="227">
        <f t="shared" si="616"/>
        <v>0.75</v>
      </c>
      <c r="EE153" s="22">
        <v>45003</v>
      </c>
      <c r="EF153" s="22">
        <v>45003</v>
      </c>
      <c r="EG153" s="22">
        <v>45003</v>
      </c>
      <c r="EH153" s="22">
        <v>45049</v>
      </c>
      <c r="EI153" s="22">
        <v>45003</v>
      </c>
      <c r="EJ153" s="22">
        <v>45035</v>
      </c>
      <c r="EK153" s="22"/>
      <c r="EL153" s="21"/>
      <c r="EM153" s="21">
        <v>13.5</v>
      </c>
      <c r="EN153" s="22">
        <v>45013</v>
      </c>
      <c r="EO153" s="222">
        <f t="shared" si="617"/>
        <v>15.142857142857142</v>
      </c>
      <c r="EP153" s="214" t="str">
        <f t="shared" si="618"/>
        <v>NORMAL- SUMINISTRAR SULFATO FERROSO</v>
      </c>
      <c r="EQ153" s="216" t="str">
        <f t="shared" si="619"/>
        <v>II TRIM</v>
      </c>
      <c r="ER153" s="24">
        <v>11.8</v>
      </c>
      <c r="ES153" s="22">
        <v>45071</v>
      </c>
      <c r="ET153" s="29">
        <f t="shared" ca="1" si="678"/>
        <v>23.428571428571427</v>
      </c>
      <c r="EU153" s="25" t="str">
        <f t="shared" si="620"/>
        <v>NORMAL- SUMINISTRAR SULFATO FERROSO</v>
      </c>
      <c r="EV153" s="24" t="s">
        <v>1510</v>
      </c>
      <c r="EW153" s="24">
        <v>45013</v>
      </c>
      <c r="EX153" s="22"/>
      <c r="EY153" s="29">
        <f t="shared" si="454"/>
        <v>15.142857142857142</v>
      </c>
      <c r="EZ153" s="25" t="str">
        <f t="shared" si="455"/>
        <v>SIN RIESGO DE ISOINMUNIZACIÓN</v>
      </c>
      <c r="FA153" s="21">
        <v>63</v>
      </c>
      <c r="FB153" s="22">
        <v>45013</v>
      </c>
      <c r="FC153" s="29">
        <f t="shared" si="621"/>
        <v>15.142857142857142</v>
      </c>
      <c r="FD153" s="29">
        <v>60</v>
      </c>
      <c r="FE153" s="29">
        <v>80</v>
      </c>
      <c r="FF153" s="29">
        <v>68</v>
      </c>
      <c r="FG153" s="21" t="str">
        <f t="shared" si="622"/>
        <v xml:space="preserve">NORMAL, NO DESCARTA DIABETES POR REALIZARLO ANTES DE  SEMANA 24, </v>
      </c>
      <c r="FH153" s="31">
        <v>45071</v>
      </c>
      <c r="FI153" s="29">
        <f t="shared" si="623"/>
        <v>23.428571428571427</v>
      </c>
      <c r="FJ153" s="22"/>
      <c r="FK153" s="22"/>
      <c r="FL153" s="29" t="str">
        <f t="shared" ca="1" si="624"/>
        <v>NO APLICA-INGRESO TARDIO</v>
      </c>
      <c r="FM153" s="22"/>
      <c r="FN153" s="32"/>
      <c r="FO153" s="29" t="str">
        <f t="shared" ca="1" si="679"/>
        <v>PIERDE TOMA DE TAMIZAJE</v>
      </c>
      <c r="FP153" s="22"/>
      <c r="FQ153" s="32"/>
      <c r="FR153" s="29" t="str">
        <f t="shared" ca="1" si="680"/>
        <v>TOMA INMEDIATA DE TAMIZAJE</v>
      </c>
      <c r="FS153" s="22"/>
      <c r="FT153" s="32"/>
      <c r="FU153" s="29" t="str">
        <f>IF(AND(FJ153="",FM153="",FP153="",FS153=""),"",IF(OR(OR(Tabla1[[#This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53" s="28"/>
      <c r="FW153" s="22"/>
      <c r="FX153" s="29" t="str">
        <f t="shared" si="625"/>
        <v>TOMAR EXAMEN</v>
      </c>
      <c r="FY153" s="22">
        <v>45003</v>
      </c>
      <c r="FZ153" s="22">
        <v>45003</v>
      </c>
      <c r="GA153" s="29" t="str">
        <f t="shared" si="498"/>
        <v>REGISTRAR EN II TRIMESTRE</v>
      </c>
      <c r="GB153" s="22" t="s">
        <v>868</v>
      </c>
      <c r="GC153" s="22">
        <v>45013</v>
      </c>
      <c r="GD153" s="29">
        <f t="shared" ca="1" si="681"/>
        <v>15.142857142857142</v>
      </c>
      <c r="GE153" s="22"/>
      <c r="GF153" s="22"/>
      <c r="GG153" s="29" t="str">
        <f t="shared" ca="1" si="682"/>
        <v>TOMA INMEDIATA DE TAMIZAJE</v>
      </c>
      <c r="GH153" s="22"/>
      <c r="GI153" s="29"/>
      <c r="GJ153" s="22"/>
      <c r="GK153" s="22"/>
      <c r="GL153" s="22"/>
      <c r="GM153" s="22"/>
      <c r="GN153" s="28" t="s">
        <v>869</v>
      </c>
      <c r="GO153" s="22">
        <v>45013</v>
      </c>
      <c r="GP153" s="29">
        <f t="shared" si="626"/>
        <v>15.142857142857142</v>
      </c>
      <c r="GQ153" s="28"/>
      <c r="GR153" s="28" t="s">
        <v>869</v>
      </c>
      <c r="GS153" s="22" t="str">
        <f t="shared" si="627"/>
        <v/>
      </c>
      <c r="GT153" s="22">
        <v>45013</v>
      </c>
      <c r="GU153" s="29">
        <f t="shared" si="628"/>
        <v>15.142857142857142</v>
      </c>
      <c r="GV153" s="21" t="str">
        <f t="shared" si="629"/>
        <v>II TRIM</v>
      </c>
      <c r="GW153" s="28" t="s">
        <v>869</v>
      </c>
      <c r="GX153" s="30"/>
      <c r="GY153" s="21"/>
      <c r="GZ153" s="21"/>
      <c r="HA153" s="21"/>
      <c r="HB153" s="21"/>
      <c r="HC153" s="21"/>
      <c r="HD153" s="21"/>
      <c r="HE153" s="21"/>
      <c r="HF153" s="22"/>
      <c r="HG153" s="22" t="str">
        <f>IF(OR(O153&gt;0,R153&gt;0),CONCATENATE(IF(Tabla1[[#This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53" s="22" t="e">
        <f t="shared" si="630"/>
        <v>#REF!</v>
      </c>
      <c r="HI153" s="22" t="e">
        <f t="shared" ca="1" si="631"/>
        <v>#REF!</v>
      </c>
      <c r="HJ153" s="21" t="str">
        <f t="shared" ca="1" si="632"/>
        <v>***************************************</v>
      </c>
      <c r="HK153" s="21" t="str">
        <f t="shared" si="633"/>
        <v>SIN ANTECEDENTES DE RIESGO</v>
      </c>
      <c r="HL153" s="24" t="str">
        <f t="shared" si="634"/>
        <v>VIGILAR CIFRAS PRESION ARTERIAL</v>
      </c>
      <c r="HM153" s="21" t="e">
        <f t="shared" ca="1" si="635"/>
        <v>#REF!</v>
      </c>
      <c r="HN153" s="30" t="str">
        <f t="shared" si="683"/>
        <v>ACTIVA INGRESO A CPN</v>
      </c>
      <c r="HO153" s="21"/>
      <c r="HP153" s="21"/>
      <c r="HQ153" s="21">
        <v>45060</v>
      </c>
      <c r="HR153" s="21" t="str">
        <f>IF(R153="","",IF(Tabla1[[#This Row],[ALARMA FACTORES DE RIESGO COMPLICACIONES HIPERTENSIVAS3]]="SIN ANTECEDENTES DE RIESGO","No Aplica para suministro de ASA",IF(AND(Tabla1[[#This Row],[FECHA INICIO DE SUMINISTRO DE ASA]]&gt;0,RV153&lt;12),"Inicia ASA ANTES de Sem 12",IF(AND(RV153&gt;11,RV153&lt;17,OR(HK153="RIESGO ALTO DE COMPLICACIONES HIPERTENSIVAS VER MANEJO GUIA SUMINISTRO ASA Y CALCIO",HK153="RIESGO MODERADO (2 O MAS CRITERIOS) VER MANEJO GUIA SUMINISTRO ASA Y CALCIO")),"Inicio oportuno de ASA",IF(AND(RV153&gt;12,OR(HK153="RIESGO ALTO DE COMPLICACIONES HIPERTENSIVAS VER MANEJO GUIA SUMINISTRO ASA Y CALCIO",HK153="RIESGO MODERADO (2 O MAS CRITERIOS) VER MANEJO GUIA SUMINISTRO ASA Y CALCIO")),"Inicio no oportuno mayor a 16 semanas",IF(AND(BU153&lt;12,OR(HK153="RIESGO ALTO DE COMPLICACIONES HIPERTENSIVAS VER MANEJO GUIA SUMINISTRO ASA Y CALCIO",HK153="RIESGO MODERADO (2 O MAS CRITERIOS) VER MANEJO GUIA SUMINISTRO ASA Y CALCIO")),"Pendiente Inicio de ASA a la semana 12",IF(AND(BU153&gt;11,BU153&lt;17,OR(HK153="RIESGO ALTO DE COMPLICACIONES HIPERTENSIVAS VER MANEJO GUIA SUMINISTRO ASA Y CALCIO",HK153="RIESGO MODERADO (2 O MAS CRITERIOS) VER MANEJO GUIA SUMINISTRO ASA Y CALCIO")),"Iniciar de inmediato ASA",IF(AND(BU153&gt;16,OR(HK153="RIESGO ALTO DE COMPLICACIONES HIPERTENSIVAS VER MANEJO GUIA SUMINISTRO ASA Y CALCIO",HK153="RIESGO MODERADO (2 O MAS CRITERIOS) VER MANEJO GUIA SUMINISTRO ASA Y CALCIO")),"Pierde Oportunidad, Inicio tardío de ASA","XXXXX"))))))))</f>
        <v>No Aplica para suministro de ASA</v>
      </c>
      <c r="HS153" s="22">
        <v>45060</v>
      </c>
      <c r="HT153" s="22" t="s">
        <v>870</v>
      </c>
      <c r="HU153" s="22">
        <v>45060</v>
      </c>
      <c r="HV153" s="22" t="s">
        <v>870</v>
      </c>
      <c r="HW153" s="22">
        <v>45060</v>
      </c>
      <c r="HX153" s="22" t="s">
        <v>870</v>
      </c>
      <c r="HY153" s="22">
        <v>45010</v>
      </c>
      <c r="HZ153" s="28">
        <f t="shared" si="636"/>
        <v>14.714285714285714</v>
      </c>
      <c r="IA153" s="26"/>
      <c r="IB153" s="26"/>
      <c r="IC153" s="111"/>
      <c r="ID153" s="22"/>
      <c r="IE153" s="22" t="str">
        <f t="shared" ca="1" si="637"/>
        <v/>
      </c>
      <c r="IF153" s="22"/>
      <c r="IG153" s="22">
        <f t="shared" si="638"/>
        <v>45187</v>
      </c>
      <c r="IH153" s="29">
        <f t="shared" ca="1" si="639"/>
        <v>-45</v>
      </c>
      <c r="II153" s="22" t="str">
        <f t="shared" ca="1" si="640"/>
        <v>POSIBLEMENTE NACIO</v>
      </c>
      <c r="IJ153" s="22"/>
      <c r="IK153" s="21"/>
      <c r="IL153" s="21"/>
      <c r="IM153" s="34"/>
      <c r="IN153" s="349"/>
      <c r="IO153" s="21"/>
      <c r="IP153" s="29" t="str">
        <f t="shared" si="674"/>
        <v/>
      </c>
      <c r="IQ153" s="35"/>
      <c r="IR153" s="21"/>
      <c r="IS153" s="21"/>
      <c r="IT153" s="21"/>
      <c r="IU153" s="21"/>
      <c r="IV153" s="21"/>
      <c r="IW153" s="21"/>
      <c r="IX153" s="21"/>
      <c r="IY153" s="21"/>
      <c r="IZ153" s="21"/>
      <c r="JA153" s="21"/>
      <c r="JB153" s="30"/>
      <c r="JC153" s="21"/>
      <c r="JD153" s="36"/>
      <c r="JE153" s="21" t="str">
        <f t="shared" si="684"/>
        <v/>
      </c>
      <c r="JF153" s="30"/>
      <c r="JG153" s="21"/>
      <c r="JH153" s="21"/>
      <c r="JI153" s="21"/>
      <c r="JJ153" s="30"/>
      <c r="JK153" s="22"/>
      <c r="JL153" s="22"/>
      <c r="JM153" s="21"/>
      <c r="JN153" s="36"/>
      <c r="JO153" s="21" t="str">
        <f t="shared" si="685"/>
        <v/>
      </c>
      <c r="JP153" s="22"/>
      <c r="JQ153" s="21"/>
      <c r="JR153" s="21"/>
      <c r="JS153" s="21"/>
      <c r="JT153" s="30"/>
      <c r="JU153" s="22"/>
      <c r="JV153" s="22"/>
      <c r="JW153" s="33"/>
      <c r="JX153" s="28" t="str">
        <f t="shared" si="686"/>
        <v/>
      </c>
      <c r="JY153" s="33"/>
      <c r="JZ153" s="28" t="str">
        <f t="shared" si="687"/>
        <v/>
      </c>
      <c r="KA153" s="21"/>
      <c r="KB153" s="21"/>
      <c r="KC153" s="21"/>
      <c r="KD153" s="37"/>
      <c r="KE153" s="28"/>
      <c r="KF153" s="28"/>
      <c r="KG153" s="28"/>
      <c r="KH153" s="39"/>
      <c r="KI153" s="39"/>
      <c r="KJ153" s="66"/>
      <c r="KK153" s="39"/>
      <c r="KL153" s="39"/>
      <c r="KM153" s="66"/>
      <c r="KN153" s="39"/>
      <c r="KO153" s="39"/>
      <c r="KP153" s="39"/>
      <c r="KQ153" s="39"/>
      <c r="KR153" s="39"/>
      <c r="KS153" s="39"/>
      <c r="KT153" s="39"/>
      <c r="KU153" s="38"/>
      <c r="KV153" s="38"/>
      <c r="KW153" s="38"/>
      <c r="KX153" s="38"/>
      <c r="KY153" s="38"/>
      <c r="KZ153" s="38"/>
      <c r="LA153" s="38"/>
      <c r="LB153" s="38"/>
      <c r="LC153" s="38"/>
      <c r="LD153" s="38"/>
      <c r="LE153" s="38"/>
      <c r="LF153" s="38"/>
      <c r="LG153" s="38"/>
      <c r="LH153" s="38"/>
      <c r="LI153" s="38"/>
      <c r="LJ153" s="38"/>
      <c r="LK153" s="38"/>
      <c r="LL153" s="38"/>
      <c r="LM153" s="38"/>
      <c r="LN153" s="38"/>
      <c r="LO153" s="38"/>
      <c r="LP153" s="38"/>
      <c r="LQ153" s="38"/>
      <c r="LR153" s="38"/>
      <c r="LS153" s="38"/>
      <c r="LT153" s="38"/>
      <c r="LU153" s="38"/>
      <c r="LV153" s="38"/>
      <c r="LW153" s="38"/>
      <c r="LX153" s="38"/>
      <c r="LY153" s="38"/>
      <c r="LZ153" s="38"/>
      <c r="MA153" s="38"/>
      <c r="MB153" s="38"/>
      <c r="MC153" s="38"/>
      <c r="MD153" s="38"/>
      <c r="ME153" s="38"/>
      <c r="MF153" s="38"/>
      <c r="MG153" s="38"/>
      <c r="MH153" s="43">
        <f t="shared" si="641"/>
        <v>0</v>
      </c>
      <c r="MI153" s="43" t="str">
        <f t="shared" si="642"/>
        <v/>
      </c>
      <c r="MJ153" s="43" t="str">
        <f t="shared" si="643"/>
        <v/>
      </c>
      <c r="MK153" s="43">
        <f t="shared" si="644"/>
        <v>0</v>
      </c>
      <c r="ML15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53" s="43">
        <f t="shared" si="645"/>
        <v>13.714285714285714</v>
      </c>
      <c r="MN153" s="43">
        <f t="shared" si="646"/>
        <v>3</v>
      </c>
      <c r="MO153" s="43">
        <f t="shared" si="647"/>
        <v>2023</v>
      </c>
      <c r="MP153" s="43" t="str">
        <f t="shared" si="648"/>
        <v>I TRIMESTRE AÑO</v>
      </c>
      <c r="MQ153" s="43">
        <f t="shared" si="649"/>
        <v>26.341436706088476</v>
      </c>
      <c r="MR153" s="43">
        <f t="shared" si="650"/>
        <v>0</v>
      </c>
      <c r="MS153" s="43" t="str">
        <f t="shared" si="651"/>
        <v xml:space="preserve"> DE 25 A 29 AÑOS</v>
      </c>
      <c r="MT153" s="43">
        <f t="shared" si="652"/>
        <v>0</v>
      </c>
      <c r="MU153" s="43">
        <f t="shared" si="653"/>
        <v>0</v>
      </c>
      <c r="MV153" s="43">
        <f t="shared" si="654"/>
        <v>0</v>
      </c>
      <c r="MW153" s="43">
        <f t="shared" si="655"/>
        <v>0</v>
      </c>
      <c r="MX153" s="43" t="str">
        <f t="shared" si="656"/>
        <v/>
      </c>
      <c r="MY153" s="43" t="str">
        <f t="shared" ca="1" si="688"/>
        <v/>
      </c>
      <c r="MZ153" s="43" t="str">
        <f t="shared" si="657"/>
        <v/>
      </c>
      <c r="NA153" s="43" t="str">
        <f t="shared" si="658"/>
        <v/>
      </c>
      <c r="NB153" s="43" t="str">
        <f t="shared" si="659"/>
        <v/>
      </c>
      <c r="NC153" s="43" t="str">
        <f t="shared" si="660"/>
        <v/>
      </c>
      <c r="ND153" s="43">
        <f t="shared" ca="1" si="661"/>
        <v>0</v>
      </c>
      <c r="NE153" s="43">
        <f>IF(OR(O153&gt;0,R153&gt;0),SUM(COUNTIF(Tabla1[[#This Row],[AÑOS AL INICIO5 CPN]],"&gt;=40"),COUNTIF(AS153,"0"),COUNTIF(AR153,"SI"),COUNTIF(CC153,"SI"),COUNTIF(BQ153,"&gt;119"),COUNTIF(CI153,"&gt;=35")),"")</f>
        <v>0</v>
      </c>
      <c r="NF153" s="43" t="str">
        <f t="shared" si="662"/>
        <v/>
      </c>
      <c r="NG153" s="43">
        <f t="shared" si="663"/>
        <v>0</v>
      </c>
      <c r="NH153" s="43">
        <f t="shared" si="664"/>
        <v>143.5</v>
      </c>
      <c r="NI15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CPN",P153="NO"),"Z",IF(AND(Tabla1[[#This Row],[CITA PROXIMO CONTROL]]="CITA MANUAL",Tabla1[[#This Row],[GESTANTES ACTUALES]]="ACTIVA INGRESO A CPN"),"W",IF(AND(Tabla1[[#This Row],[GESTANTES ACTUALES]]="SALIO PROGRAMA",IN153=""),"S",IF(AND(Tabla1[[#This Row],[CITA PROXIMO CONTROL]]&gt;0,IN153=""),(Tabla1[[#This Row],[CITA PROXIMO CONTROL]]-TODAY()),"SD"))))))))</f>
        <v>#REF!</v>
      </c>
      <c r="NJ153" s="43">
        <f>MONTH(Tabla1[[#This Row],[FECHA DE SALIDA  DEL PROGRAMA]])</f>
        <v>1</v>
      </c>
      <c r="NK153" s="43">
        <f>YEAR(Tabla1[[#This Row],[FECHA DE SALIDA  DEL PROGRAMA]])</f>
        <v>1900</v>
      </c>
      <c r="NL153" s="43">
        <f t="shared" si="665"/>
        <v>32</v>
      </c>
      <c r="NM153" s="43" t="str">
        <f t="shared" si="501"/>
        <v>NO</v>
      </c>
      <c r="NN153" s="43" t="str">
        <f ca="1">IF(AND(O153&gt;0,R153=""),"NO CPN",IF(AND(O153="",R153=""),"",IF(AND(R153&gt;0,Tabla1[[#This Row],[SEMANAS DE GESTACION ACTUALIZADAS]]&lt;=12),"NO APLICA",IF(AND(FH153&lt;&gt;"",FN153&lt;&gt;""),"SI","NO"))))</f>
        <v>NO</v>
      </c>
      <c r="NO153" s="43" t="str">
        <f ca="1">IF(AND(O153&gt;0,R153=""),"NO CPN",IF(AND(O153="",R153=""),"",IF(AND(R153&gt;0,Tabla1[[#This Row],[SEMANAS DE GESTACION ACTUALIZADAS]]&lt;=27),"NO APLICA",IF(AND(ES153&lt;&gt;"",FQ153&lt;&gt;"",GF153&lt;&gt;""),"SI","NO"))))</f>
        <v>NO</v>
      </c>
      <c r="NP153" s="204" t="str">
        <f t="shared" si="666"/>
        <v>DEFINIR CON ECO</v>
      </c>
      <c r="NQ153" s="21" t="str">
        <f t="shared" si="691"/>
        <v/>
      </c>
      <c r="NR153" s="21" t="str">
        <f t="shared" ca="1" si="689"/>
        <v>REVISAR FUM O FECHA SALIDA PROGRAMA</v>
      </c>
      <c r="NS153" s="205">
        <f t="shared" ca="1" si="667"/>
        <v>0</v>
      </c>
      <c r="NT153" s="21">
        <f t="shared" ca="1" si="668"/>
        <v>1</v>
      </c>
      <c r="NU153" s="21" t="str">
        <f t="shared" ca="1" si="669"/>
        <v>POR DEFINIR</v>
      </c>
      <c r="NV153" s="21" t="str">
        <f t="shared" ca="1" si="670"/>
        <v>POR DEFINIR</v>
      </c>
      <c r="NW153" s="206" t="str">
        <f>IF(AND(O153="",R153=""),"",IF(OR(AND(Tabla1[[#This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53" s="207" t="str">
        <f t="shared" ca="1" si="671"/>
        <v>SIN VACUNAR</v>
      </c>
      <c r="NY153" s="43">
        <f>ROW(Tabla1[[#This Row],['# DE TAMIZAJES SIFILIS TOMADOS ]])</f>
        <v>153</v>
      </c>
      <c r="NZ153" s="43">
        <f t="shared" si="502"/>
        <v>13</v>
      </c>
      <c r="OA153" s="43" t="str">
        <f t="shared" si="503"/>
        <v/>
      </c>
      <c r="OB153" s="43" t="str">
        <f t="shared" si="504"/>
        <v/>
      </c>
      <c r="OC153" s="43" t="str">
        <f t="shared" si="505"/>
        <v/>
      </c>
      <c r="OD153" s="43" t="str">
        <f t="shared" si="506"/>
        <v/>
      </c>
      <c r="OE153" s="43" t="str">
        <f t="shared" si="507"/>
        <v>SOBREPESO</v>
      </c>
      <c r="OF153" s="43" t="str">
        <f t="shared" si="508"/>
        <v/>
      </c>
      <c r="OG153" s="43" t="str">
        <f t="shared" si="509"/>
        <v/>
      </c>
      <c r="OH153" s="43" t="str">
        <f t="shared" si="510"/>
        <v/>
      </c>
      <c r="OI153" s="43" t="str">
        <f t="shared" si="511"/>
        <v/>
      </c>
      <c r="OJ153" s="43" t="str">
        <f t="shared" si="512"/>
        <v/>
      </c>
      <c r="OK153" s="43" t="str">
        <f t="shared" si="513"/>
        <v/>
      </c>
      <c r="OL153" s="43" t="str">
        <f t="shared" si="514"/>
        <v/>
      </c>
      <c r="OM153" s="43" t="str">
        <f t="shared" si="515"/>
        <v/>
      </c>
      <c r="ON153" s="43" t="str">
        <f t="shared" si="516"/>
        <v/>
      </c>
      <c r="OO153" s="43" t="str">
        <f t="shared" si="517"/>
        <v/>
      </c>
      <c r="OP153" s="43" t="str">
        <f t="shared" si="518"/>
        <v/>
      </c>
      <c r="OQ153" s="43" t="str">
        <f t="shared" si="519"/>
        <v/>
      </c>
      <c r="OR153" s="43" t="str">
        <f t="shared" si="520"/>
        <v/>
      </c>
      <c r="OS153" s="43" t="str">
        <f t="shared" si="521"/>
        <v/>
      </c>
      <c r="OT153" s="43" t="str">
        <f t="shared" si="522"/>
        <v/>
      </c>
      <c r="OU153" s="43" t="str">
        <f t="shared" si="523"/>
        <v/>
      </c>
      <c r="OV153" s="110" t="str">
        <f t="shared" si="524"/>
        <v/>
      </c>
      <c r="OW153" s="43" t="str">
        <f t="shared" si="525"/>
        <v/>
      </c>
      <c r="OX153" s="43" t="str">
        <f t="shared" si="526"/>
        <v/>
      </c>
      <c r="OY153" s="43" t="str">
        <f t="shared" si="527"/>
        <v/>
      </c>
      <c r="OZ153" s="43" t="str">
        <f t="shared" si="528"/>
        <v/>
      </c>
      <c r="PA153" s="43" t="str">
        <f t="shared" si="529"/>
        <v/>
      </c>
      <c r="PB153" s="43" t="str">
        <f t="shared" si="530"/>
        <v/>
      </c>
      <c r="PC153" s="43" t="str">
        <f t="shared" si="531"/>
        <v/>
      </c>
      <c r="PD153" s="43" t="str">
        <f t="shared" si="532"/>
        <v/>
      </c>
      <c r="PE153" s="43" t="str">
        <f t="shared" si="533"/>
        <v/>
      </c>
      <c r="PF153" s="43" t="str">
        <f t="shared" si="534"/>
        <v/>
      </c>
      <c r="PG153" s="43" t="str">
        <f t="shared" si="535"/>
        <v/>
      </c>
      <c r="PH153" s="43" t="str">
        <f t="shared" si="536"/>
        <v/>
      </c>
      <c r="PI153" s="43">
        <f t="shared" si="537"/>
        <v>36</v>
      </c>
      <c r="PJ153" s="43" t="str">
        <f t="shared" si="538"/>
        <v/>
      </c>
      <c r="PK153" s="43" t="str">
        <f t="shared" si="539"/>
        <v/>
      </c>
      <c r="PL153" s="43" t="str">
        <f t="shared" si="540"/>
        <v/>
      </c>
      <c r="PM153" s="43" t="str">
        <f t="shared" si="541"/>
        <v/>
      </c>
      <c r="PN153" s="43" t="str">
        <f t="shared" si="542"/>
        <v/>
      </c>
      <c r="PO153" s="43" t="str">
        <f t="shared" si="543"/>
        <v/>
      </c>
      <c r="PP153" s="43" t="str">
        <f t="shared" si="544"/>
        <v/>
      </c>
      <c r="PQ153" s="43" t="str">
        <f t="shared" si="545"/>
        <v/>
      </c>
      <c r="PR153" s="43" t="str">
        <f t="shared" si="546"/>
        <v/>
      </c>
      <c r="PS153" s="43" t="str">
        <f t="shared" si="547"/>
        <v/>
      </c>
      <c r="PT153" s="43" t="str">
        <f t="shared" si="548"/>
        <v/>
      </c>
      <c r="PU153" s="43" t="str">
        <f t="shared" si="549"/>
        <v/>
      </c>
      <c r="PV153" s="43" t="str">
        <f t="shared" si="550"/>
        <v/>
      </c>
      <c r="PW153" s="43" t="str">
        <f t="shared" si="551"/>
        <v/>
      </c>
      <c r="PX153" s="43" t="str">
        <f t="shared" si="552"/>
        <v/>
      </c>
      <c r="PY153" s="43" t="str">
        <f t="shared" si="553"/>
        <v/>
      </c>
      <c r="PZ153" s="43" t="str">
        <f t="shared" si="554"/>
        <v/>
      </c>
      <c r="QA153" s="43" t="str">
        <f t="shared" si="555"/>
        <v/>
      </c>
      <c r="QB153" s="43" t="str">
        <f t="shared" si="556"/>
        <v/>
      </c>
      <c r="QC153" s="43" t="str">
        <f t="shared" si="557"/>
        <v/>
      </c>
      <c r="QD153" s="43" t="str">
        <f t="shared" si="558"/>
        <v/>
      </c>
      <c r="QE153" s="43" t="str">
        <f t="shared" si="559"/>
        <v/>
      </c>
      <c r="QF153" s="43" t="str">
        <f t="shared" si="560"/>
        <v/>
      </c>
      <c r="QG153" s="43" t="str">
        <f t="shared" si="561"/>
        <v/>
      </c>
      <c r="QH153" s="43" t="str">
        <f t="shared" si="562"/>
        <v/>
      </c>
      <c r="QI153" s="43" t="str">
        <f t="shared" si="563"/>
        <v/>
      </c>
      <c r="QJ153" s="43" t="str">
        <f t="shared" si="564"/>
        <v/>
      </c>
      <c r="QK153" s="43" t="str">
        <f t="shared" si="565"/>
        <v>SOBREPESO</v>
      </c>
      <c r="QL153" s="43" t="str">
        <f t="shared" si="566"/>
        <v/>
      </c>
      <c r="QM153" s="43" t="str">
        <f t="shared" si="567"/>
        <v/>
      </c>
      <c r="QN153" s="43" t="str">
        <f t="shared" si="568"/>
        <v/>
      </c>
      <c r="QO153" s="43" t="str">
        <f t="shared" si="569"/>
        <v/>
      </c>
      <c r="QP153" s="43" t="str">
        <f t="shared" si="570"/>
        <v/>
      </c>
      <c r="QQ153" s="43" t="str">
        <f t="shared" si="571"/>
        <v/>
      </c>
      <c r="QR153" s="43">
        <f t="shared" si="672"/>
        <v>36</v>
      </c>
      <c r="QS153" s="43"/>
      <c r="QT153" s="21" t="str">
        <f t="shared" si="572"/>
        <v/>
      </c>
      <c r="QU153" s="21" t="str">
        <f t="shared" si="573"/>
        <v/>
      </c>
      <c r="QV153" s="21" t="str">
        <f t="shared" si="574"/>
        <v/>
      </c>
      <c r="QW153" s="21" t="str">
        <f t="shared" si="575"/>
        <v/>
      </c>
      <c r="QX153" s="21" t="str">
        <f t="shared" si="576"/>
        <v/>
      </c>
      <c r="QY153" s="21" t="str">
        <f t="shared" si="577"/>
        <v/>
      </c>
      <c r="QZ153" s="21" t="str">
        <f t="shared" si="578"/>
        <v/>
      </c>
      <c r="RA153" s="21" t="str">
        <f t="shared" si="579"/>
        <v/>
      </c>
      <c r="RB153" s="21" t="str">
        <f t="shared" si="580"/>
        <v/>
      </c>
      <c r="RC153" s="21" t="str">
        <f t="shared" si="581"/>
        <v/>
      </c>
      <c r="RD153" s="21" t="str">
        <f t="shared" si="582"/>
        <v/>
      </c>
      <c r="RE153" s="21" t="str">
        <f t="shared" si="583"/>
        <v/>
      </c>
      <c r="RF153" s="21" t="str">
        <f t="shared" si="584"/>
        <v/>
      </c>
      <c r="RG153" s="21" t="str">
        <f t="shared" si="585"/>
        <v/>
      </c>
      <c r="RH153" s="21" t="str">
        <f t="shared" si="586"/>
        <v/>
      </c>
      <c r="RI153" s="21" t="str">
        <f t="shared" si="587"/>
        <v/>
      </c>
      <c r="RJ153" s="21" t="str">
        <f t="shared" si="588"/>
        <v/>
      </c>
      <c r="RK153" s="21" t="str">
        <f t="shared" si="589"/>
        <v/>
      </c>
      <c r="RL153" s="21" t="str">
        <f t="shared" si="590"/>
        <v/>
      </c>
      <c r="RM153" s="21" t="str">
        <f t="shared" si="591"/>
        <v/>
      </c>
      <c r="RN153" s="21" t="str">
        <f t="shared" si="592"/>
        <v/>
      </c>
      <c r="RO153" s="21" t="str">
        <f t="shared" si="593"/>
        <v/>
      </c>
      <c r="RP153" s="21" t="str">
        <f t="shared" si="594"/>
        <v/>
      </c>
      <c r="RQ153" s="21" t="str">
        <f t="shared" si="595"/>
        <v>ADECUADO PARA EDAD GESTACIONAL</v>
      </c>
      <c r="RR153" s="21" t="str">
        <f t="shared" si="596"/>
        <v/>
      </c>
      <c r="RS153" s="21" t="str">
        <f t="shared" si="597"/>
        <v/>
      </c>
      <c r="RT153" s="21" t="str">
        <f t="shared" si="598"/>
        <v/>
      </c>
      <c r="RU153" s="21" t="str">
        <f t="shared" si="599"/>
        <v/>
      </c>
      <c r="RV153" s="21">
        <f t="shared" si="600"/>
        <v>21.857142857142858</v>
      </c>
      <c r="RW153" s="284">
        <f>IF(OR(Tabla1[[#This Row],[FUM FORMULA CONFIABLE]]="",Tabla1[[#This Row],[FUM FORMULA CONFIABLE]]="SD"),"",IF(Tabla1[[#This Row],[FUM FORMULA CONFIABLE]]="CORREGIDA",Tabla1[[#This Row],[FUM X ECO 1]],Tabla1[[#This Row],[FUM x AMENORREA]]))</f>
        <v>44907</v>
      </c>
      <c r="RX153" s="21">
        <f>IF(AND(Tabla1[[#This Row],[FUM X ECO 1]]="",Tabla1[[#This Row],[FUM x AMENORREA]]=""),"",IF(AND(Tabla1[[#This Row],[FUM X ECO 1]]="",Tabla1[[#This Row],[FUM x AMENORREA]]&lt;&gt;""),"X",SUM(Tabla1[[#This Row],[FUM X ECO 1]]-Tabla1[[#This Row],[FUM x AMENORREA]])))</f>
        <v>0.5</v>
      </c>
      <c r="RY153" s="21">
        <f t="shared" si="673"/>
        <v>0</v>
      </c>
    </row>
    <row r="154" spans="1:493" ht="45" customHeight="1" x14ac:dyDescent="0.25">
      <c r="A154" s="109"/>
      <c r="B154" s="43"/>
      <c r="C154" s="43" t="s">
        <v>845</v>
      </c>
      <c r="D154" s="124"/>
      <c r="E154" s="43" t="s">
        <v>1179</v>
      </c>
      <c r="F154" s="43" t="s">
        <v>1435</v>
      </c>
      <c r="G154" s="43" t="s">
        <v>1448</v>
      </c>
      <c r="H154" s="43" t="s">
        <v>1294</v>
      </c>
      <c r="I154" s="109" t="s">
        <v>851</v>
      </c>
      <c r="J154" s="110">
        <v>1059594096</v>
      </c>
      <c r="K154" s="43" t="s">
        <v>852</v>
      </c>
      <c r="L154" s="175" t="s">
        <v>1509</v>
      </c>
      <c r="M154" s="22">
        <v>38058</v>
      </c>
      <c r="N154" s="213">
        <f t="shared" ca="1" si="601"/>
        <v>19.654794520547945</v>
      </c>
      <c r="O154" s="22">
        <v>45036</v>
      </c>
      <c r="P154" s="214" t="str">
        <f t="shared" si="675"/>
        <v>SI</v>
      </c>
      <c r="Q154" s="26" t="s">
        <v>855</v>
      </c>
      <c r="R154" s="22">
        <v>45036</v>
      </c>
      <c r="S154" s="21" t="s">
        <v>856</v>
      </c>
      <c r="T154" s="24" t="s">
        <v>690</v>
      </c>
      <c r="U154" s="21" t="s">
        <v>857</v>
      </c>
      <c r="V154" s="21" t="s">
        <v>858</v>
      </c>
      <c r="W154" s="21" t="s">
        <v>1449</v>
      </c>
      <c r="X154" s="21"/>
      <c r="Y154" s="21"/>
      <c r="Z154" s="21">
        <v>3145901801</v>
      </c>
      <c r="AA154" s="21" t="s">
        <v>860</v>
      </c>
      <c r="AB154" s="27" t="s">
        <v>861</v>
      </c>
      <c r="AC154" s="26" t="s">
        <v>897</v>
      </c>
      <c r="AD154" s="38" t="s">
        <v>1546</v>
      </c>
      <c r="AE154" s="26" t="s">
        <v>854</v>
      </c>
      <c r="AF154" s="26" t="s">
        <v>854</v>
      </c>
      <c r="AG154" s="23" t="s">
        <v>864</v>
      </c>
      <c r="AH154" s="23" t="s">
        <v>864</v>
      </c>
      <c r="AI154" s="24" t="s">
        <v>863</v>
      </c>
      <c r="AJ154" s="23" t="s">
        <v>864</v>
      </c>
      <c r="AK154" s="220" t="str">
        <f>IF(AND(AD154="",AE154="",AF154="",AG154="",AH154="",AI154="",AJ154=""),"",IF(OR(Tabla1[[#This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EVALUACIÓN",IF(AND(O154="",R154=""),"",IF(AND(OR(O154&gt;0,R154&gt;0),NG154&gt;=0,NG154&lt;2),"SIN RIESGO",IF(AND(OR(O154&gt;0,R154&gt;0),NG154&gt;=2),"CON RIESGO","ASD")))))</f>
        <v>SIN RIESGO</v>
      </c>
      <c r="AL154" s="23" t="s">
        <v>864</v>
      </c>
      <c r="AM154" s="26" t="s">
        <v>864</v>
      </c>
      <c r="AN154" s="26" t="s">
        <v>864</v>
      </c>
      <c r="AO154" s="26" t="s">
        <v>864</v>
      </c>
      <c r="AP154" s="26" t="s">
        <v>864</v>
      </c>
      <c r="AQ154" s="26" t="s">
        <v>864</v>
      </c>
      <c r="AR154" s="26" t="s">
        <v>864</v>
      </c>
      <c r="AS154" s="21">
        <v>1</v>
      </c>
      <c r="AT154" s="21">
        <v>1</v>
      </c>
      <c r="AU154" s="21">
        <v>0</v>
      </c>
      <c r="AV154" s="26" t="s">
        <v>864</v>
      </c>
      <c r="AW154" s="21">
        <v>0</v>
      </c>
      <c r="AX154" s="26" t="s">
        <v>864</v>
      </c>
      <c r="AY154" s="26" t="s">
        <v>864</v>
      </c>
      <c r="AZ154" s="26" t="s">
        <v>864</v>
      </c>
      <c r="BA154" s="26" t="s">
        <v>864</v>
      </c>
      <c r="BB154" s="26" t="s">
        <v>864</v>
      </c>
      <c r="BC154" s="26" t="s">
        <v>864</v>
      </c>
      <c r="BD154" s="26" t="s">
        <v>864</v>
      </c>
      <c r="BE154" s="26" t="s">
        <v>864</v>
      </c>
      <c r="BF154" s="26" t="s">
        <v>864</v>
      </c>
      <c r="BG154" s="26" t="s">
        <v>864</v>
      </c>
      <c r="BH154" s="26" t="s">
        <v>864</v>
      </c>
      <c r="BI154" s="26" t="s">
        <v>864</v>
      </c>
      <c r="BJ154" s="26" t="s">
        <v>864</v>
      </c>
      <c r="BK154" s="26" t="s">
        <v>864</v>
      </c>
      <c r="BL154" s="26" t="s">
        <v>864</v>
      </c>
      <c r="BM154" s="26" t="s">
        <v>864</v>
      </c>
      <c r="BN154" s="22"/>
      <c r="BO154" s="22">
        <v>44951</v>
      </c>
      <c r="BP154" s="21" t="s">
        <v>854</v>
      </c>
      <c r="BQ154" s="222">
        <f t="shared" si="602"/>
        <v>0</v>
      </c>
      <c r="BR154" s="223">
        <f t="shared" si="603"/>
        <v>44953</v>
      </c>
      <c r="BS154" s="224">
        <f t="shared" si="604"/>
        <v>12.142857142857142</v>
      </c>
      <c r="BT154" s="216" t="str">
        <f t="shared" si="605"/>
        <v>II TRIM</v>
      </c>
      <c r="BU154" s="214">
        <f t="shared" ca="1" si="606"/>
        <v>40.142857142857146</v>
      </c>
      <c r="BV154" s="25"/>
      <c r="BW154" s="22">
        <v>45051</v>
      </c>
      <c r="BX154" s="28">
        <v>14</v>
      </c>
      <c r="BY154" s="28"/>
      <c r="BZ154" s="22"/>
      <c r="CA154" s="21"/>
      <c r="CB154" s="26"/>
      <c r="CC154" s="26"/>
      <c r="CD154" s="26"/>
      <c r="CE154" s="26" t="s">
        <v>864</v>
      </c>
      <c r="CF154" s="22" t="s">
        <v>1517</v>
      </c>
      <c r="CG154" s="21">
        <v>1.56</v>
      </c>
      <c r="CH154" s="21">
        <v>53</v>
      </c>
      <c r="CI154" s="214">
        <f t="shared" si="607"/>
        <v>21.7784352399737</v>
      </c>
      <c r="CJ154" s="225" t="e">
        <f>IF(AND(CI154&lt;10,CH154="SD"),"SIN DATO PESO PREGESTACION O I TRIM",IF(AND(OR(R154&gt;0,O154&gt;0),CI154="X"),"INGRESAR DATO DE PESO",IF(CI154="SD","INGRESAR DATO DE TALLA Y PESO",IF(AND(OR(Tabla1[[#This Row],[MOMENTO EN QUE SE REALIZA EL PESO AL INGRESO A CPN]]="PREGESTACIÓN",NZ154="Menor"),CI154&lt;18.5),"BAJO PESO",IF(AND(OR(Tabla1[[#This Row],[MOMENTO EN QUE SE REALIZA EL PESO AL INGRESO A CPN]]="PREGESTACIÓN",NZ154="Menor"),CI154&lt;25),"NORMAL",IF(AND(OR(Tabla1[[#This Row],[MOMENTO EN QUE SE REALIZA EL PESO AL INGRESO A CPN]]="PREGESTACIÓN",NZ154="Menor"),CI154&lt;30),"SOBREPESO",IF(AND(OR(Tabla1[[#This Row],[MOMENTO EN QUE SE REALIZA EL PESO AL INGRESO A CPN]]="PREGESTACIÓN",NZ154="Menor"),CI154&gt;=30,CI154&lt;50),"OBESIDAD",IF(AND(BS154&gt;0,Tabla1[[#This Row],[MOMENTO EN QUE SE REALIZA EL PESO AL INGRESO A CPN]]="GESTACIÓN"),HLOOKUP(NZ154,$OA$2:PH154,NY154),""))))))))</f>
        <v>#REF!</v>
      </c>
      <c r="CK154" s="212">
        <f t="shared" si="608"/>
        <v>45136</v>
      </c>
      <c r="CL154" s="21">
        <v>58.9</v>
      </c>
      <c r="CM154" s="214">
        <f t="shared" si="609"/>
        <v>24.202827087442468</v>
      </c>
      <c r="CN154" s="216">
        <f t="shared" si="610"/>
        <v>26</v>
      </c>
      <c r="CO154" s="216" t="e">
        <f>IF(PI154="","",IF(PI154&gt;0,HLOOKUP(PI154,$PJ$2:QQ154,NY154),""))</f>
        <v>#REF!</v>
      </c>
      <c r="CP154" s="21">
        <v>23</v>
      </c>
      <c r="CQ154" s="216" t="e">
        <f>IF(QR154="Menor","NO APLICA-MENOR 13 SEM",IF(AND(CC154="SI",CN154&gt;23),"NO APLICA- GEMELAR",IF(QR154="","",IF(QR154&gt;0,HLOOKUP(QR154,$QS$2:RU154,NY154),""))))</f>
        <v>#REF!</v>
      </c>
      <c r="CR154" s="21">
        <v>90</v>
      </c>
      <c r="CS154" s="21">
        <v>60</v>
      </c>
      <c r="CT154" s="217" t="str">
        <f>IF(R154="","",IF(AND(BS154&gt;1,BS154&lt;12,Tabla1[[#This Row],[T.A. SISTOLICA - ANTES DE SEMANA 12]]="",Tabla1[[#This Row],[T.A. DIASTOLICA - ANTES DE SEMANA 12]]=""),"REGISTRE DATO TA ANTES SEMANA 12",IF(AND(BS154&gt;11,BS154&lt;43,Tabla1[[#This Row],[T.A. SISTOLICA - ANTES DE SEMANA 12]]="",Tabla1[[#This Row],[T.A. DIASTOLICA - ANTES DE SEMANA 12]]=""),"NO APLICA REGISTRO TA-INGRESO TARDIO",IF(AND(OR(O154&gt;0,R154&gt;0),OR(CR154&gt;=140,CS154&gt;=90)),"DEFINIR ESTADIO HTA",IF(AND(OR(O154&gt;0,R154&gt;0),AND(CR154&gt;120,CR154&lt;=139)),"PRE HTA SEGUIMIENTO",IF(AND(OR(O154&gt;0,R154&gt;0),AND(CS154&gt;80,CS154&lt;=89)),"PRE HTA SEGUIMIENTO",IF(AND(OR(O154&gt;0,R154&gt;0),AND(CR154&gt;=80,CR154&lt;=120)),"APARENTEMENTE NORMAL",IF(AND(OR(O154&gt;0,R154&gt;0),AND(CS154&gt;=50,CS154&lt;=80)),"APARENTEMENTE NORMAL",IF(AND(OR(O154&gt;0,R154&gt;0),AND(CR154&gt;1,CR154&lt;=70),AND(CS154&gt;1,CS154&lt;=40)),"HIPOTENSIÓN","")))))))))</f>
        <v>APARENTEMENTE NORMAL</v>
      </c>
      <c r="CU154" s="21">
        <v>90</v>
      </c>
      <c r="CV154" s="21">
        <v>60</v>
      </c>
      <c r="CW154" s="217" t="str">
        <f ca="1">IF(R154="","",IF(AND(CN154&gt;19,CN154&lt;27,Tabla1[[#This Row],[T.A. SISTOLICA (Entre semana 20 y 26)]]="",Tabla1[[#This Row],[T.A. DIATOLICA (Entre semana 20 y 26)]]=""),"ACUDE A CONTROL SEM 20 A 26 REGISTRE TA AHORA",IF(AND(BS154&gt;1,BS154&lt;27,BU154&gt;19,Tabla1[[#This Row],[T.A. SISTOLICA (Entre semana 20 y 26)]]="",Tabla1[[#This Row],[T.A. DIATOLICA (Entre semana 20 y 26)]]=""),"COMPLETE REGISTRO TA CONTROL SEM 20 A26 ",IF(AND(BS154&gt;26,BS154&lt;43,Tabla1[[#This Row],[T.A. SISTOLICA (Entre semana 20 y 26)]]="",Tabla1[[#This Row],[T.A. DIATOLICA (Entre semana 20 y 26)]]=""),"NO APLICA REGISTRO TA-INGRESO TARDIO",IF(AND(OR(O154&gt;0,R154&gt;0),OR(CU154&gt;=140,CV154&gt;=90)),"ALTO RIESGO PREECLAMPSIA,DEFINIR ESTADIO HTA",IF(AND(OR(O154&gt;0,R154&gt;0),AND(CU154&gt;120,CU154&lt;=139)),"PRE HTA SEGUIMIENTO,RIESGO HIPERTENSION INDUCIDA POR EL EMBARAZO",IF(AND(OR(O154&gt;0,R154&gt;0),AND(CV154&gt;80,CV154&lt;=89)),"PRE HTA SEGUIMIENTO, RIESGO HIPERTENSION INDUCIDA POR EL EMBARAZO",IF(AND(OR(O154&lt;&gt;"",R154&lt;&gt;""),CS154&lt;&gt;"",CV154&lt;&gt;"",CS154&lt;=CV154),"VIGILAR CIFRAS PRESION ARTERIAL",IF(AND(OR(O154&gt;0,R154&gt;0),AND(CU154&gt;120,CU154&lt;=139)),"PRE HTA SEGUIMIENTO",IF(AND(OR(O154&gt;0,R154&gt;0),AND(CU154&gt;1,CU154&lt;=70),AND(CV154&gt;1,CV154&lt;=40)),"HIPOTENSIÓN",IF(AND(OR(O154&lt;&gt;"",R154&lt;&gt;""),CS154&lt;&gt;"",CV154&lt;&gt;"",CS154&gt;CV154),"APARENTEMENTE NORMAL",IF(AND(OR(O154&gt;0,R154&gt;0),AND(CU154&gt;=80,CU154&lt;=120)),"APARENTEMENTE NORMAL",IF(AND(OR(O154&gt;0,R154&gt;0),AND(CV154&gt;=50,CV154&lt;=80)),"APARENTEMENTE NORMAL","")))))))))))))</f>
        <v>VIGILAR CIFRAS PRESION ARTERIAL</v>
      </c>
      <c r="CX154" s="21"/>
      <c r="CY154" s="21"/>
      <c r="CZ154" s="216" t="str">
        <f t="shared" si="690"/>
        <v/>
      </c>
      <c r="DA154" s="21">
        <v>90</v>
      </c>
      <c r="DB154" s="21">
        <v>60</v>
      </c>
      <c r="DC154" s="217" t="str">
        <f t="shared" si="611"/>
        <v>APARENTEMENTE NORMAL</v>
      </c>
      <c r="DD154" s="22">
        <v>44999</v>
      </c>
      <c r="DE154" s="22">
        <v>44999</v>
      </c>
      <c r="DF154" s="22">
        <v>45031</v>
      </c>
      <c r="DG154" s="22">
        <v>45063</v>
      </c>
      <c r="DH154" s="22">
        <v>45101</v>
      </c>
      <c r="DI154" s="22">
        <v>45136</v>
      </c>
      <c r="DJ154" s="22"/>
      <c r="DK154" s="22"/>
      <c r="DL154" s="22"/>
      <c r="DM154" s="22"/>
      <c r="DN154" s="22"/>
      <c r="DO154" s="22"/>
      <c r="DP154" s="22"/>
      <c r="DQ154" s="22"/>
      <c r="DR154" s="28">
        <v>0</v>
      </c>
      <c r="DS154" s="22"/>
      <c r="DT154" s="22"/>
      <c r="DU154" s="216" t="str">
        <f t="shared" ca="1" si="676"/>
        <v>CONCERTAR PLAN DE PARTO INMEDIATO</v>
      </c>
      <c r="DV154" s="226" t="str">
        <f t="shared" si="677"/>
        <v>ACTIVA INGRESO A CPN</v>
      </c>
      <c r="DW15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54" s="216" t="e">
        <f t="shared" ca="1" si="612"/>
        <v>#REF!</v>
      </c>
      <c r="DY154" s="212">
        <f>IF(R154="","",IF(R154&gt;0,MAX(Tabla1[[#This Row],[FECHA C2]:[FECHA C13]],Tabla1[[#This Row],[FECHA CONSULTA PRIMERA VEZ PROGRAMA CPN ]])))</f>
        <v>45136</v>
      </c>
      <c r="DZ154" s="216">
        <f t="shared" si="613"/>
        <v>26</v>
      </c>
      <c r="EA154" s="222">
        <f>IF(R154&gt;0,SUM(COUNTA(DF154:DQ154)+COUNTA(Tabla1[[#This Row],[FECHA CONSULTA PRIMERA VEZ PROGRAMA CPN ]])),"")</f>
        <v>5</v>
      </c>
      <c r="EB154" s="222" t="str">
        <f t="shared" si="614"/>
        <v>SI</v>
      </c>
      <c r="EC154" s="214">
        <f t="shared" si="615"/>
        <v>8</v>
      </c>
      <c r="ED154" s="227">
        <f t="shared" si="616"/>
        <v>0.625</v>
      </c>
      <c r="EE154" s="22">
        <v>44999</v>
      </c>
      <c r="EF154" s="22">
        <v>44999</v>
      </c>
      <c r="EG154" s="22">
        <v>44999</v>
      </c>
      <c r="EH154" s="22"/>
      <c r="EI154" s="22">
        <v>44999</v>
      </c>
      <c r="EJ154" s="22"/>
      <c r="EK154" s="22"/>
      <c r="EL154" s="21"/>
      <c r="EM154" s="21">
        <v>15.5</v>
      </c>
      <c r="EN154" s="22">
        <v>45031</v>
      </c>
      <c r="EO154" s="222">
        <f t="shared" si="617"/>
        <v>11.428571428571429</v>
      </c>
      <c r="EP154" s="214" t="str">
        <f t="shared" si="618"/>
        <v>NO DAR SULFATO FERROSO</v>
      </c>
      <c r="EQ154" s="216" t="str">
        <f t="shared" si="619"/>
        <v>I TRIM</v>
      </c>
      <c r="ER154" s="24">
        <v>13.8</v>
      </c>
      <c r="ES154" s="22">
        <v>45119</v>
      </c>
      <c r="ET154" s="29">
        <f t="shared" ca="1" si="678"/>
        <v>24</v>
      </c>
      <c r="EU154" s="25" t="str">
        <f t="shared" si="620"/>
        <v>NORMAL- SUMINISTRAR SULFATO FERROSO</v>
      </c>
      <c r="EV154" s="24" t="s">
        <v>1510</v>
      </c>
      <c r="EW154" s="32">
        <v>45031</v>
      </c>
      <c r="EX154" s="22"/>
      <c r="EY154" s="29">
        <f t="shared" si="454"/>
        <v>11.428571428571429</v>
      </c>
      <c r="EZ154" s="25" t="str">
        <f t="shared" si="455"/>
        <v>SIN RIESGO DE ISOINMUNIZACIÓN</v>
      </c>
      <c r="FA154" s="21">
        <v>74</v>
      </c>
      <c r="FB154" s="22">
        <v>45031</v>
      </c>
      <c r="FC154" s="29">
        <f t="shared" si="621"/>
        <v>11.428571428571429</v>
      </c>
      <c r="FD154" s="29">
        <v>70</v>
      </c>
      <c r="FE154" s="29">
        <v>100</v>
      </c>
      <c r="FF154" s="29">
        <v>109</v>
      </c>
      <c r="FG154" s="21" t="str">
        <f t="shared" ca="1" si="622"/>
        <v>NORMAL</v>
      </c>
      <c r="FH154" s="31">
        <v>45119</v>
      </c>
      <c r="FI154" s="29">
        <f t="shared" si="623"/>
        <v>24</v>
      </c>
      <c r="FJ154" s="22" t="s">
        <v>867</v>
      </c>
      <c r="FK154" s="22">
        <v>45031</v>
      </c>
      <c r="FL154" s="29">
        <f t="shared" ca="1" si="624"/>
        <v>11.428571428571429</v>
      </c>
      <c r="FM154" s="22" t="s">
        <v>867</v>
      </c>
      <c r="FN154" s="31">
        <v>45119</v>
      </c>
      <c r="FO154" s="29">
        <f t="shared" ca="1" si="679"/>
        <v>24</v>
      </c>
      <c r="FP154" s="22"/>
      <c r="FQ154" s="32"/>
      <c r="FR154" s="29" t="str">
        <f t="shared" ca="1" si="680"/>
        <v>TOMA INMEDIATA DE TAMIZAJE</v>
      </c>
      <c r="FS154" s="22"/>
      <c r="FT154" s="32"/>
      <c r="FU154" s="29" t="str">
        <f>IF(AND(FJ154="",FM154="",FP154="",FS154=""),"",IF(OR(OR(Tabla1[[#This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54" s="28"/>
      <c r="FW154" s="22"/>
      <c r="FX154" s="29" t="str">
        <f t="shared" si="625"/>
        <v>TOMAR EXAMEN</v>
      </c>
      <c r="FY154" s="22" t="s">
        <v>868</v>
      </c>
      <c r="FZ154" s="22">
        <v>44999</v>
      </c>
      <c r="GA154" s="29">
        <f t="shared" ca="1" si="498"/>
        <v>6.8571428571428568</v>
      </c>
      <c r="GB154" s="22" t="s">
        <v>868</v>
      </c>
      <c r="GC154" s="31">
        <v>45119</v>
      </c>
      <c r="GD154" s="29">
        <f t="shared" ca="1" si="681"/>
        <v>24</v>
      </c>
      <c r="GE154" s="22"/>
      <c r="GF154" s="22"/>
      <c r="GG154" s="29" t="str">
        <f t="shared" ca="1" si="682"/>
        <v>TOMA INMEDIATA DE TAMIZAJE</v>
      </c>
      <c r="GH154" s="22"/>
      <c r="GI154" s="29"/>
      <c r="GJ154" s="22"/>
      <c r="GK154" s="22"/>
      <c r="GL154" s="22"/>
      <c r="GM154" s="22"/>
      <c r="GN154" s="28" t="s">
        <v>869</v>
      </c>
      <c r="GO154" s="22">
        <v>45031</v>
      </c>
      <c r="GP154" s="29">
        <f t="shared" si="626"/>
        <v>11.428571428571429</v>
      </c>
      <c r="GQ154" s="28" t="s">
        <v>869</v>
      </c>
      <c r="GR154" s="28" t="s">
        <v>869</v>
      </c>
      <c r="GS154" s="22" t="str">
        <f t="shared" si="627"/>
        <v>CONTROL Igm</v>
      </c>
      <c r="GT154" s="22">
        <v>45031</v>
      </c>
      <c r="GU154" s="29">
        <f t="shared" si="628"/>
        <v>11.428571428571429</v>
      </c>
      <c r="GV154" s="21" t="str">
        <f t="shared" si="629"/>
        <v>I TRIM</v>
      </c>
      <c r="GW154" s="28" t="s">
        <v>869</v>
      </c>
      <c r="GX154" s="30"/>
      <c r="GY154" s="21"/>
      <c r="GZ154" s="21"/>
      <c r="HA154" s="21"/>
      <c r="HB154" s="21"/>
      <c r="HC154" s="21"/>
      <c r="HD154" s="21"/>
      <c r="HE154" s="21"/>
      <c r="HF154" s="22"/>
      <c r="HG154" s="22" t="str">
        <f>IF(OR(O154&gt;0,R154&gt;0),CONCATENATE(IF(Tabla1[[#This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54" s="22" t="e">
        <f t="shared" si="630"/>
        <v>#REF!</v>
      </c>
      <c r="HI154" s="22" t="e">
        <f t="shared" ca="1" si="631"/>
        <v>#REF!</v>
      </c>
      <c r="HJ154" s="21" t="str">
        <f t="shared" ca="1" si="632"/>
        <v>***************************************</v>
      </c>
      <c r="HK154" s="21" t="str">
        <f t="shared" si="633"/>
        <v>SIN ANTECEDENTES DE RIESGO</v>
      </c>
      <c r="HL154" s="24" t="str">
        <f t="shared" si="634"/>
        <v>APARENTEMENTE NORMAL</v>
      </c>
      <c r="HM154" s="21" t="e">
        <f t="shared" ca="1" si="635"/>
        <v>#REF!</v>
      </c>
      <c r="HN154" s="30" t="str">
        <f t="shared" si="683"/>
        <v>ACTIVA INGRESO A CPN</v>
      </c>
      <c r="HO154" s="21"/>
      <c r="HP154" s="21"/>
      <c r="HQ154" s="349"/>
      <c r="HR154" s="21" t="str">
        <f>IF(R154="","",IF(Tabla1[[#This Row],[ALARMA FACTORES DE RIESGO COMPLICACIONES HIPERTENSIVAS3]]="SIN ANTECEDENTES DE RIESGO","No Aplica para suministro de ASA",IF(AND(Tabla1[[#This Row],[FECHA INICIO DE SUMINISTRO DE ASA]]&gt;0,RV154&lt;12),"Inicia ASA ANTES de Sem 12",IF(AND(RV154&gt;11,RV154&lt;17,OR(HK154="RIESGO ALTO DE COMPLICACIONES HIPERTENSIVAS VER MANEJO GUIA SUMINISTRO ASA Y CALCIO",HK154="RIESGO MODERADO (2 O MAS CRITERIOS) VER MANEJO GUIA SUMINISTRO ASA Y CALCIO")),"Inicio oportuno de ASA",IF(AND(RV154&gt;12,OR(HK154="RIESGO ALTO DE COMPLICACIONES HIPERTENSIVAS VER MANEJO GUIA SUMINISTRO ASA Y CALCIO",HK154="RIESGO MODERADO (2 O MAS CRITERIOS) VER MANEJO GUIA SUMINISTRO ASA Y CALCIO")),"Inicio no oportuno mayor a 16 semanas",IF(AND(BU154&lt;12,OR(HK154="RIESGO ALTO DE COMPLICACIONES HIPERTENSIVAS VER MANEJO GUIA SUMINISTRO ASA Y CALCIO",HK154="RIESGO MODERADO (2 O MAS CRITERIOS) VER MANEJO GUIA SUMINISTRO ASA Y CALCIO")),"Pendiente Inicio de ASA a la semana 12",IF(AND(BU154&gt;11,BU154&lt;17,OR(HK154="RIESGO ALTO DE COMPLICACIONES HIPERTENSIVAS VER MANEJO GUIA SUMINISTRO ASA Y CALCIO",HK154="RIESGO MODERADO (2 O MAS CRITERIOS) VER MANEJO GUIA SUMINISTRO ASA Y CALCIO")),"Iniciar de inmediato ASA",IF(AND(BU154&gt;16,OR(HK154="RIESGO ALTO DE COMPLICACIONES HIPERTENSIVAS VER MANEJO GUIA SUMINISTRO ASA Y CALCIO",HK154="RIESGO MODERADO (2 O MAS CRITERIOS) VER MANEJO GUIA SUMINISTRO ASA Y CALCIO")),"Pierde Oportunidad, Inicio tardío de ASA","XXXXX"))))))))</f>
        <v>No Aplica para suministro de ASA</v>
      </c>
      <c r="HS154" s="22"/>
      <c r="HT154" s="22"/>
      <c r="HU154" s="22">
        <v>44999</v>
      </c>
      <c r="HV154" s="22" t="s">
        <v>870</v>
      </c>
      <c r="HW154" s="22">
        <v>44999</v>
      </c>
      <c r="HX154" s="22" t="s">
        <v>870</v>
      </c>
      <c r="HY154" s="22">
        <v>45001</v>
      </c>
      <c r="HZ154" s="28">
        <f t="shared" si="636"/>
        <v>7.1428571428571432</v>
      </c>
      <c r="IA154" s="26"/>
      <c r="IB154" s="26"/>
      <c r="IC154" s="111"/>
      <c r="ID154" s="22"/>
      <c r="IE154" s="22" t="str">
        <f t="shared" ca="1" si="637"/>
        <v>INASISTENTE</v>
      </c>
      <c r="IF154" s="22"/>
      <c r="IG154" s="22">
        <f t="shared" si="638"/>
        <v>45231</v>
      </c>
      <c r="IH154" s="29">
        <f t="shared" ca="1" si="639"/>
        <v>-1</v>
      </c>
      <c r="II154" s="22" t="str">
        <f t="shared" ca="1" si="640"/>
        <v>POSIBLEMENTE NACIO</v>
      </c>
      <c r="IJ154" s="22"/>
      <c r="IK154" s="21"/>
      <c r="IL154" s="21"/>
      <c r="IM154" s="34"/>
      <c r="IN154" s="22"/>
      <c r="IO154" s="21"/>
      <c r="IP154" s="29" t="str">
        <f t="shared" si="674"/>
        <v/>
      </c>
      <c r="IQ154" s="35"/>
      <c r="IR154" s="21"/>
      <c r="IS154" s="21"/>
      <c r="IT154" s="21"/>
      <c r="IU154" s="21"/>
      <c r="IV154" s="21"/>
      <c r="IW154" s="21"/>
      <c r="IX154" s="21"/>
      <c r="IY154" s="21"/>
      <c r="IZ154" s="21"/>
      <c r="JA154" s="21"/>
      <c r="JB154" s="30"/>
      <c r="JC154" s="21"/>
      <c r="JD154" s="36"/>
      <c r="JE154" s="21" t="str">
        <f t="shared" si="684"/>
        <v/>
      </c>
      <c r="JF154" s="30"/>
      <c r="JG154" s="21"/>
      <c r="JH154" s="21"/>
      <c r="JI154" s="21"/>
      <c r="JJ154" s="30"/>
      <c r="JK154" s="22"/>
      <c r="JL154" s="22"/>
      <c r="JM154" s="21"/>
      <c r="JN154" s="36"/>
      <c r="JO154" s="21" t="str">
        <f t="shared" si="685"/>
        <v/>
      </c>
      <c r="JP154" s="22"/>
      <c r="JQ154" s="21"/>
      <c r="JR154" s="21"/>
      <c r="JS154" s="21"/>
      <c r="JT154" s="30"/>
      <c r="JU154" s="22"/>
      <c r="JV154" s="22"/>
      <c r="JW154" s="33"/>
      <c r="JX154" s="28" t="str">
        <f t="shared" si="686"/>
        <v/>
      </c>
      <c r="JY154" s="33"/>
      <c r="JZ154" s="28" t="str">
        <f t="shared" si="687"/>
        <v/>
      </c>
      <c r="KA154" s="21"/>
      <c r="KB154" s="21"/>
      <c r="KC154" s="21"/>
      <c r="KD154" s="37"/>
      <c r="KE154" s="28"/>
      <c r="KF154" s="28"/>
      <c r="KG154" s="28"/>
      <c r="KH154" s="39"/>
      <c r="KI154" s="39"/>
      <c r="KJ154" s="66"/>
      <c r="KK154" s="39"/>
      <c r="KL154" s="39"/>
      <c r="KM154" s="66"/>
      <c r="KN154" s="39"/>
      <c r="KO154" s="39"/>
      <c r="KP154" s="39"/>
      <c r="KQ154" s="39"/>
      <c r="KR154" s="39"/>
      <c r="KS154" s="39"/>
      <c r="KT154" s="39"/>
      <c r="KU154" s="38"/>
      <c r="KV154" s="38"/>
      <c r="KW154" s="38"/>
      <c r="KX154" s="38"/>
      <c r="KY154" s="38"/>
      <c r="KZ154" s="38"/>
      <c r="LA154" s="38"/>
      <c r="LB154" s="38"/>
      <c r="LC154" s="38"/>
      <c r="LD154" s="38"/>
      <c r="LE154" s="38"/>
      <c r="LF154" s="38"/>
      <c r="LG154" s="38"/>
      <c r="LH154" s="38"/>
      <c r="LI154" s="38"/>
      <c r="LJ154" s="38"/>
      <c r="LK154" s="38"/>
      <c r="LL154" s="38"/>
      <c r="LM154" s="38"/>
      <c r="LN154" s="38"/>
      <c r="LO154" s="38"/>
      <c r="LP154" s="38"/>
      <c r="LQ154" s="38"/>
      <c r="LR154" s="38"/>
      <c r="LS154" s="38"/>
      <c r="LT154" s="38"/>
      <c r="LU154" s="38"/>
      <c r="LV154" s="38"/>
      <c r="LW154" s="38"/>
      <c r="LX154" s="38"/>
      <c r="LY154" s="38"/>
      <c r="LZ154" s="38"/>
      <c r="MA154" s="38"/>
      <c r="MB154" s="38"/>
      <c r="MC154" s="38"/>
      <c r="MD154" s="38"/>
      <c r="ME154" s="38"/>
      <c r="MF154" s="38"/>
      <c r="MG154" s="38"/>
      <c r="MH154" s="43">
        <f t="shared" si="641"/>
        <v>0</v>
      </c>
      <c r="MI154" s="43" t="str">
        <f t="shared" si="642"/>
        <v/>
      </c>
      <c r="MJ154" s="43" t="str">
        <f t="shared" si="643"/>
        <v/>
      </c>
      <c r="MK154" s="43">
        <f t="shared" si="644"/>
        <v>0</v>
      </c>
      <c r="ML15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54" s="43">
        <f t="shared" si="645"/>
        <v>12.142857142857142</v>
      </c>
      <c r="MN154" s="43">
        <f t="shared" si="646"/>
        <v>4</v>
      </c>
      <c r="MO154" s="43">
        <f t="shared" si="647"/>
        <v>2023</v>
      </c>
      <c r="MP154" s="43" t="str">
        <f t="shared" si="648"/>
        <v>II TRIMESTRE AÑO</v>
      </c>
      <c r="MQ154" s="43">
        <f t="shared" si="649"/>
        <v>18.82939115199299</v>
      </c>
      <c r="MR154" s="43">
        <f t="shared" si="650"/>
        <v>0</v>
      </c>
      <c r="MS154" s="43" t="str">
        <f t="shared" si="651"/>
        <v>DE 14 A 19AÑOS</v>
      </c>
      <c r="MT154" s="43">
        <f t="shared" si="652"/>
        <v>0</v>
      </c>
      <c r="MU154" s="43">
        <f t="shared" si="653"/>
        <v>0</v>
      </c>
      <c r="MV154" s="43">
        <f t="shared" si="654"/>
        <v>0</v>
      </c>
      <c r="MW154" s="43">
        <f t="shared" si="655"/>
        <v>0</v>
      </c>
      <c r="MX154" s="43" t="str">
        <f t="shared" si="656"/>
        <v/>
      </c>
      <c r="MY154" s="43" t="str">
        <f t="shared" ca="1" si="688"/>
        <v/>
      </c>
      <c r="MZ154" s="43" t="str">
        <f t="shared" si="657"/>
        <v/>
      </c>
      <c r="NA154" s="43" t="str">
        <f t="shared" si="658"/>
        <v/>
      </c>
      <c r="NB154" s="43" t="str">
        <f t="shared" si="659"/>
        <v/>
      </c>
      <c r="NC154" s="43" t="str">
        <f t="shared" si="660"/>
        <v/>
      </c>
      <c r="ND154" s="43">
        <f t="shared" ca="1" si="661"/>
        <v>0</v>
      </c>
      <c r="NE154" s="43">
        <f>IF(OR(O154&gt;0,R154&gt;0),SUM(COUNTIF(Tabla1[[#This Row],[AÑOS AL INICIO5 CPN]],"&gt;=40"),COUNTIF(AS154,"0"),COUNTIF(AR154,"SI"),COUNTIF(CC154,"SI"),COUNTIF(BQ154,"&gt;119"),COUNTIF(CI154,"&gt;=35")),"")</f>
        <v>0</v>
      </c>
      <c r="NF154" s="43" t="str">
        <f t="shared" si="662"/>
        <v/>
      </c>
      <c r="NG154" s="43">
        <f t="shared" si="663"/>
        <v>0</v>
      </c>
      <c r="NH154" s="43">
        <f t="shared" si="664"/>
        <v>98</v>
      </c>
      <c r="NI15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CPN",P154="NO"),"Z",IF(AND(Tabla1[[#This Row],[CITA PROXIMO CONTROL]]="CITA MANUAL",Tabla1[[#This Row],[GESTANTES ACTUALES]]="ACTIVA INGRESO A CPN"),"W",IF(AND(Tabla1[[#This Row],[GESTANTES ACTUALES]]="SALIO PROGRAMA",IN154=""),"S",IF(AND(Tabla1[[#This Row],[CITA PROXIMO CONTROL]]&gt;0,IN154=""),(Tabla1[[#This Row],[CITA PROXIMO CONTROL]]-TODAY()),"SD"))))))))</f>
        <v>#REF!</v>
      </c>
      <c r="NJ154" s="43">
        <f>MONTH(Tabla1[[#This Row],[FECHA DE SALIDA  DEL PROGRAMA]])</f>
        <v>1</v>
      </c>
      <c r="NK154" s="43">
        <f>YEAR(Tabla1[[#This Row],[FECHA DE SALIDA  DEL PROGRAMA]])</f>
        <v>1900</v>
      </c>
      <c r="NL154" s="43" t="str">
        <f t="shared" si="665"/>
        <v>X</v>
      </c>
      <c r="NM154" s="43" t="str">
        <f t="shared" si="501"/>
        <v>NO</v>
      </c>
      <c r="NN154" s="43" t="str">
        <f ca="1">IF(AND(O154&gt;0,R154=""),"NO CPN",IF(AND(O154="",R154=""),"",IF(AND(R154&gt;0,Tabla1[[#This Row],[SEMANAS DE GESTACION ACTUALIZADAS]]&lt;=12),"NO APLICA",IF(AND(FH154&lt;&gt;"",FN154&lt;&gt;""),"SI","NO"))))</f>
        <v>SI</v>
      </c>
      <c r="NO154" s="43" t="str">
        <f ca="1">IF(AND(O154&gt;0,R154=""),"NO CPN",IF(AND(O154="",R154=""),"",IF(AND(R154&gt;0,Tabla1[[#This Row],[SEMANAS DE GESTACION ACTUALIZADAS]]&lt;=27),"NO APLICA",IF(AND(ES154&lt;&gt;"",FQ154&lt;&gt;"",GF154&lt;&gt;""),"SI","NO"))))</f>
        <v>NO</v>
      </c>
      <c r="NP154" s="204" t="str">
        <f t="shared" si="666"/>
        <v>II TRIM</v>
      </c>
      <c r="NQ154" s="21">
        <f t="shared" si="691"/>
        <v>3</v>
      </c>
      <c r="NR154" s="21">
        <f t="shared" ca="1" si="689"/>
        <v>2</v>
      </c>
      <c r="NS154" s="205">
        <f t="shared" ca="1" si="667"/>
        <v>2</v>
      </c>
      <c r="NT154" s="21">
        <f t="shared" ca="1" si="668"/>
        <v>2</v>
      </c>
      <c r="NU154" s="21" t="str">
        <f t="shared" ca="1" si="669"/>
        <v>COMPLETO</v>
      </c>
      <c r="NV154" s="21" t="str">
        <f t="shared" ca="1" si="670"/>
        <v>COMPLETO</v>
      </c>
      <c r="NW154" s="206" t="str">
        <f>IF(AND(O154="",R154=""),"",IF(OR(AND(Tabla1[[#This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54" s="207" t="str">
        <f t="shared" ca="1" si="671"/>
        <v>SIN VACUNAR</v>
      </c>
      <c r="NY154" s="43">
        <f>ROW(Tabla1[[#This Row],['# DE TAMIZAJES SIFILIS TOMADOS ]])</f>
        <v>154</v>
      </c>
      <c r="NZ154" s="43">
        <f t="shared" si="502"/>
        <v>12</v>
      </c>
      <c r="OA154" s="43" t="str">
        <f t="shared" si="503"/>
        <v/>
      </c>
      <c r="OB154" s="43" t="str">
        <f t="shared" si="504"/>
        <v/>
      </c>
      <c r="OC154" s="43" t="str">
        <f t="shared" si="505"/>
        <v/>
      </c>
      <c r="OD154" s="43" t="str">
        <f t="shared" si="506"/>
        <v>NORMAL</v>
      </c>
      <c r="OE154" s="43" t="str">
        <f t="shared" si="507"/>
        <v/>
      </c>
      <c r="OF154" s="43" t="str">
        <f t="shared" si="508"/>
        <v/>
      </c>
      <c r="OG154" s="43" t="str">
        <f t="shared" si="509"/>
        <v/>
      </c>
      <c r="OH154" s="43" t="str">
        <f t="shared" si="510"/>
        <v/>
      </c>
      <c r="OI154" s="43" t="str">
        <f t="shared" si="511"/>
        <v/>
      </c>
      <c r="OJ154" s="43" t="str">
        <f t="shared" si="512"/>
        <v/>
      </c>
      <c r="OK154" s="43" t="str">
        <f t="shared" si="513"/>
        <v/>
      </c>
      <c r="OL154" s="43" t="str">
        <f t="shared" si="514"/>
        <v/>
      </c>
      <c r="OM154" s="43" t="str">
        <f t="shared" si="515"/>
        <v/>
      </c>
      <c r="ON154" s="43" t="str">
        <f t="shared" si="516"/>
        <v/>
      </c>
      <c r="OO154" s="43" t="str">
        <f t="shared" si="517"/>
        <v/>
      </c>
      <c r="OP154" s="43" t="str">
        <f t="shared" si="518"/>
        <v/>
      </c>
      <c r="OQ154" s="43" t="str">
        <f t="shared" si="519"/>
        <v/>
      </c>
      <c r="OR154" s="43" t="str">
        <f t="shared" si="520"/>
        <v/>
      </c>
      <c r="OS154" s="43" t="str">
        <f t="shared" si="521"/>
        <v/>
      </c>
      <c r="OT154" s="43" t="str">
        <f t="shared" si="522"/>
        <v/>
      </c>
      <c r="OU154" s="43" t="str">
        <f t="shared" si="523"/>
        <v/>
      </c>
      <c r="OV154" s="110" t="str">
        <f t="shared" si="524"/>
        <v/>
      </c>
      <c r="OW154" s="43" t="str">
        <f t="shared" si="525"/>
        <v/>
      </c>
      <c r="OX154" s="43" t="str">
        <f t="shared" si="526"/>
        <v/>
      </c>
      <c r="OY154" s="43" t="str">
        <f t="shared" si="527"/>
        <v/>
      </c>
      <c r="OZ154" s="43" t="str">
        <f t="shared" si="528"/>
        <v/>
      </c>
      <c r="PA154" s="43" t="str">
        <f t="shared" si="529"/>
        <v/>
      </c>
      <c r="PB154" s="43" t="str">
        <f t="shared" si="530"/>
        <v/>
      </c>
      <c r="PC154" s="43" t="str">
        <f t="shared" si="531"/>
        <v/>
      </c>
      <c r="PD154" s="43" t="str">
        <f t="shared" si="532"/>
        <v/>
      </c>
      <c r="PE154" s="43" t="str">
        <f t="shared" si="533"/>
        <v/>
      </c>
      <c r="PF154" s="43" t="str">
        <f t="shared" si="534"/>
        <v/>
      </c>
      <c r="PG154" s="43" t="str">
        <f t="shared" si="535"/>
        <v/>
      </c>
      <c r="PH154" s="43" t="str">
        <f t="shared" si="536"/>
        <v/>
      </c>
      <c r="PI154" s="43">
        <f t="shared" si="537"/>
        <v>26</v>
      </c>
      <c r="PJ154" s="43" t="str">
        <f t="shared" si="538"/>
        <v/>
      </c>
      <c r="PK154" s="43" t="str">
        <f t="shared" si="539"/>
        <v/>
      </c>
      <c r="PL154" s="43" t="str">
        <f t="shared" si="540"/>
        <v/>
      </c>
      <c r="PM154" s="43" t="str">
        <f t="shared" si="541"/>
        <v/>
      </c>
      <c r="PN154" s="43" t="str">
        <f t="shared" si="542"/>
        <v/>
      </c>
      <c r="PO154" s="43" t="str">
        <f t="shared" si="543"/>
        <v/>
      </c>
      <c r="PP154" s="43" t="str">
        <f t="shared" si="544"/>
        <v/>
      </c>
      <c r="PQ154" s="43" t="str">
        <f t="shared" si="545"/>
        <v/>
      </c>
      <c r="PR154" s="43" t="str">
        <f t="shared" si="546"/>
        <v/>
      </c>
      <c r="PS154" s="43" t="str">
        <f t="shared" si="547"/>
        <v/>
      </c>
      <c r="PT154" s="43" t="str">
        <f t="shared" si="548"/>
        <v/>
      </c>
      <c r="PU154" s="43" t="str">
        <f t="shared" si="549"/>
        <v/>
      </c>
      <c r="PV154" s="43" t="str">
        <f t="shared" si="550"/>
        <v/>
      </c>
      <c r="PW154" s="43" t="str">
        <f t="shared" si="551"/>
        <v/>
      </c>
      <c r="PX154" s="43" t="str">
        <f t="shared" si="552"/>
        <v/>
      </c>
      <c r="PY154" s="43" t="str">
        <f t="shared" si="553"/>
        <v/>
      </c>
      <c r="PZ154" s="43" t="str">
        <f t="shared" si="554"/>
        <v/>
      </c>
      <c r="QA154" s="43" t="str">
        <f t="shared" si="555"/>
        <v>NORMAL</v>
      </c>
      <c r="QB154" s="43" t="str">
        <f t="shared" si="556"/>
        <v/>
      </c>
      <c r="QC154" s="43" t="str">
        <f t="shared" si="557"/>
        <v/>
      </c>
      <c r="QD154" s="43" t="str">
        <f t="shared" si="558"/>
        <v/>
      </c>
      <c r="QE154" s="43" t="str">
        <f t="shared" si="559"/>
        <v/>
      </c>
      <c r="QF154" s="43" t="str">
        <f t="shared" si="560"/>
        <v/>
      </c>
      <c r="QG154" s="43" t="str">
        <f t="shared" si="561"/>
        <v/>
      </c>
      <c r="QH154" s="43" t="str">
        <f t="shared" si="562"/>
        <v/>
      </c>
      <c r="QI154" s="43" t="str">
        <f t="shared" si="563"/>
        <v/>
      </c>
      <c r="QJ154" s="43" t="str">
        <f t="shared" si="564"/>
        <v/>
      </c>
      <c r="QK154" s="43" t="str">
        <f t="shared" si="565"/>
        <v/>
      </c>
      <c r="QL154" s="43" t="str">
        <f t="shared" si="566"/>
        <v/>
      </c>
      <c r="QM154" s="43" t="str">
        <f t="shared" si="567"/>
        <v/>
      </c>
      <c r="QN154" s="43" t="str">
        <f t="shared" si="568"/>
        <v/>
      </c>
      <c r="QO154" s="43" t="str">
        <f t="shared" si="569"/>
        <v/>
      </c>
      <c r="QP154" s="43" t="str">
        <f t="shared" si="570"/>
        <v/>
      </c>
      <c r="QQ154" s="43" t="str">
        <f t="shared" si="571"/>
        <v/>
      </c>
      <c r="QR154" s="43">
        <f t="shared" si="672"/>
        <v>26</v>
      </c>
      <c r="QS154" s="43"/>
      <c r="QT154" s="21" t="str">
        <f t="shared" si="572"/>
        <v/>
      </c>
      <c r="QU154" s="21" t="str">
        <f t="shared" si="573"/>
        <v/>
      </c>
      <c r="QV154" s="21" t="str">
        <f t="shared" si="574"/>
        <v/>
      </c>
      <c r="QW154" s="21" t="str">
        <f t="shared" si="575"/>
        <v/>
      </c>
      <c r="QX154" s="21" t="str">
        <f t="shared" si="576"/>
        <v/>
      </c>
      <c r="QY154" s="21" t="str">
        <f t="shared" si="577"/>
        <v/>
      </c>
      <c r="QZ154" s="21" t="str">
        <f t="shared" si="578"/>
        <v/>
      </c>
      <c r="RA154" s="21" t="str">
        <f t="shared" si="579"/>
        <v/>
      </c>
      <c r="RB154" s="21" t="str">
        <f t="shared" si="580"/>
        <v/>
      </c>
      <c r="RC154" s="21" t="str">
        <f t="shared" si="581"/>
        <v/>
      </c>
      <c r="RD154" s="21" t="str">
        <f t="shared" si="582"/>
        <v/>
      </c>
      <c r="RE154" s="21" t="str">
        <f t="shared" si="583"/>
        <v/>
      </c>
      <c r="RF154" s="21" t="str">
        <f t="shared" si="584"/>
        <v/>
      </c>
      <c r="RG154" s="21" t="str">
        <f t="shared" si="585"/>
        <v>ADECUADO PARA EDAD GESTACIONAL</v>
      </c>
      <c r="RH154" s="21" t="str">
        <f t="shared" si="586"/>
        <v/>
      </c>
      <c r="RI154" s="21" t="str">
        <f t="shared" si="587"/>
        <v/>
      </c>
      <c r="RJ154" s="21" t="str">
        <f t="shared" si="588"/>
        <v/>
      </c>
      <c r="RK154" s="21" t="str">
        <f t="shared" si="589"/>
        <v/>
      </c>
      <c r="RL154" s="21" t="str">
        <f t="shared" si="590"/>
        <v/>
      </c>
      <c r="RM154" s="21" t="str">
        <f t="shared" si="591"/>
        <v/>
      </c>
      <c r="RN154" s="21" t="str">
        <f t="shared" si="592"/>
        <v/>
      </c>
      <c r="RO154" s="21" t="str">
        <f t="shared" si="593"/>
        <v/>
      </c>
      <c r="RP154" s="21" t="str">
        <f t="shared" si="594"/>
        <v/>
      </c>
      <c r="RQ154" s="21" t="str">
        <f t="shared" si="595"/>
        <v/>
      </c>
      <c r="RR154" s="21" t="str">
        <f t="shared" si="596"/>
        <v/>
      </c>
      <c r="RS154" s="21" t="str">
        <f t="shared" si="597"/>
        <v/>
      </c>
      <c r="RT154" s="21" t="str">
        <f t="shared" si="598"/>
        <v/>
      </c>
      <c r="RU154" s="21" t="str">
        <f t="shared" si="599"/>
        <v/>
      </c>
      <c r="RV154" s="21">
        <f t="shared" si="600"/>
        <v>-1</v>
      </c>
      <c r="RW154" s="284">
        <f>IF(OR(Tabla1[[#This Row],[FUM FORMULA CONFIABLE]]="",Tabla1[[#This Row],[FUM FORMULA CONFIABLE]]="SD"),"",IF(Tabla1[[#This Row],[FUM FORMULA CONFIABLE]]="CORREGIDA",Tabla1[[#This Row],[FUM X ECO 1]],Tabla1[[#This Row],[FUM x AMENORREA]]))</f>
        <v>44951</v>
      </c>
      <c r="RX154" s="21">
        <f>IF(AND(Tabla1[[#This Row],[FUM X ECO 1]]="",Tabla1[[#This Row],[FUM x AMENORREA]]=""),"",IF(AND(Tabla1[[#This Row],[FUM X ECO 1]]="",Tabla1[[#This Row],[FUM x AMENORREA]]&lt;&gt;""),"X",SUM(Tabla1[[#This Row],[FUM X ECO 1]]-Tabla1[[#This Row],[FUM x AMENORREA]])))</f>
        <v>2</v>
      </c>
      <c r="RY154" s="21">
        <f t="shared" si="673"/>
        <v>0</v>
      </c>
    </row>
    <row r="155" spans="1:493" ht="45" customHeight="1" x14ac:dyDescent="0.25">
      <c r="A155" s="109"/>
      <c r="B155" s="43"/>
      <c r="C155" s="43" t="s">
        <v>845</v>
      </c>
      <c r="D155" s="124"/>
      <c r="E155" s="43" t="s">
        <v>1342</v>
      </c>
      <c r="F155" s="43" t="s">
        <v>1450</v>
      </c>
      <c r="G155" s="43" t="s">
        <v>1167</v>
      </c>
      <c r="H155" s="43"/>
      <c r="I155" s="109" t="s">
        <v>851</v>
      </c>
      <c r="J155" s="110">
        <v>25547109</v>
      </c>
      <c r="K155" s="43" t="s">
        <v>852</v>
      </c>
      <c r="L155" s="175" t="s">
        <v>1509</v>
      </c>
      <c r="M155" s="22">
        <v>30225</v>
      </c>
      <c r="N155" s="213">
        <f t="shared" ca="1" si="601"/>
        <v>41.115068493150687</v>
      </c>
      <c r="O155" s="22">
        <v>45009</v>
      </c>
      <c r="P155" s="214" t="str">
        <f t="shared" si="675"/>
        <v>SI</v>
      </c>
      <c r="Q155" s="26" t="s">
        <v>855</v>
      </c>
      <c r="R155" s="22">
        <v>45009</v>
      </c>
      <c r="S155" s="21" t="s">
        <v>856</v>
      </c>
      <c r="T155" s="24" t="s">
        <v>690</v>
      </c>
      <c r="U155" s="21" t="s">
        <v>857</v>
      </c>
      <c r="V155" s="21" t="s">
        <v>858</v>
      </c>
      <c r="W155" s="21"/>
      <c r="X155" s="21"/>
      <c r="Y155" s="21"/>
      <c r="Z155" s="21">
        <v>3233365459</v>
      </c>
      <c r="AA155" s="21" t="s">
        <v>860</v>
      </c>
      <c r="AB155" s="27" t="s">
        <v>861</v>
      </c>
      <c r="AC155" s="26" t="s">
        <v>862</v>
      </c>
      <c r="AD155" s="38" t="s">
        <v>1546</v>
      </c>
      <c r="AE155" s="26" t="s">
        <v>854</v>
      </c>
      <c r="AF155" s="26" t="s">
        <v>854</v>
      </c>
      <c r="AG155" s="23" t="s">
        <v>864</v>
      </c>
      <c r="AH155" s="23" t="s">
        <v>864</v>
      </c>
      <c r="AI155" s="24" t="s">
        <v>863</v>
      </c>
      <c r="AJ155" s="23" t="s">
        <v>864</v>
      </c>
      <c r="AK155" s="220" t="str">
        <f>IF(AND(AD155="",AE155="",AF155="",AG155="",AH155="",AI155="",AJ155=""),"",IF(OR(Tabla1[[#This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EVALUACIÓN",IF(AND(O155="",R155=""),"",IF(AND(OR(O155&gt;0,R155&gt;0),NG155&gt;=0,NG155&lt;2),"SIN RIESGO",IF(AND(OR(O155&gt;0,R155&gt;0),NG155&gt;=2),"CON RIESGO","ASD")))))</f>
        <v>SIN RIESGO</v>
      </c>
      <c r="AL155" s="23" t="s">
        <v>864</v>
      </c>
      <c r="AM155" s="26" t="s">
        <v>864</v>
      </c>
      <c r="AN155" s="26" t="s">
        <v>864</v>
      </c>
      <c r="AO155" s="26" t="s">
        <v>864</v>
      </c>
      <c r="AP155" s="26" t="s">
        <v>864</v>
      </c>
      <c r="AQ155" s="26" t="s">
        <v>864</v>
      </c>
      <c r="AR155" s="26" t="s">
        <v>864</v>
      </c>
      <c r="AS155" s="21">
        <v>3</v>
      </c>
      <c r="AT155" s="21">
        <v>3</v>
      </c>
      <c r="AU155" s="21">
        <v>0</v>
      </c>
      <c r="AV155" s="26" t="s">
        <v>864</v>
      </c>
      <c r="AW155" s="21">
        <v>0</v>
      </c>
      <c r="AX155" s="26" t="s">
        <v>864</v>
      </c>
      <c r="AY155" s="26" t="s">
        <v>864</v>
      </c>
      <c r="AZ155" s="26" t="s">
        <v>864</v>
      </c>
      <c r="BA155" s="26" t="s">
        <v>864</v>
      </c>
      <c r="BB155" s="26" t="s">
        <v>864</v>
      </c>
      <c r="BC155" s="26" t="s">
        <v>864</v>
      </c>
      <c r="BD155" s="26" t="s">
        <v>864</v>
      </c>
      <c r="BE155" s="26" t="s">
        <v>864</v>
      </c>
      <c r="BF155" s="26" t="s">
        <v>864</v>
      </c>
      <c r="BG155" s="26" t="s">
        <v>864</v>
      </c>
      <c r="BH155" s="26" t="s">
        <v>864</v>
      </c>
      <c r="BI155" s="26" t="s">
        <v>864</v>
      </c>
      <c r="BJ155" s="26" t="s">
        <v>864</v>
      </c>
      <c r="BK155" s="26" t="s">
        <v>864</v>
      </c>
      <c r="BL155" s="26" t="s">
        <v>864</v>
      </c>
      <c r="BM155" s="26" t="s">
        <v>864</v>
      </c>
      <c r="BN155" s="22">
        <v>39027</v>
      </c>
      <c r="BO155" s="22">
        <v>44881</v>
      </c>
      <c r="BP155" s="21" t="s">
        <v>1380</v>
      </c>
      <c r="BQ155" s="222">
        <f t="shared" si="602"/>
        <v>194.24333333333342</v>
      </c>
      <c r="BR155" s="223">
        <f t="shared" si="603"/>
        <v>44854.3</v>
      </c>
      <c r="BS155" s="224">
        <f t="shared" si="604"/>
        <v>22.099999999999586</v>
      </c>
      <c r="BT155" s="216" t="str">
        <f t="shared" si="605"/>
        <v>II TRIM</v>
      </c>
      <c r="BU155" s="214" t="str">
        <f t="shared" ca="1" si="606"/>
        <v/>
      </c>
      <c r="BV155" s="25" t="s">
        <v>988</v>
      </c>
      <c r="BW155" s="22">
        <v>45016</v>
      </c>
      <c r="BX155" s="28">
        <v>23.1</v>
      </c>
      <c r="BY155" s="28" t="s">
        <v>988</v>
      </c>
      <c r="BZ155" s="22">
        <v>45121</v>
      </c>
      <c r="CA155" s="21">
        <v>38.1</v>
      </c>
      <c r="CB155" s="26" t="s">
        <v>864</v>
      </c>
      <c r="CC155" s="26" t="s">
        <v>864</v>
      </c>
      <c r="CD155" s="26" t="s">
        <v>878</v>
      </c>
      <c r="CE155" s="26" t="s">
        <v>864</v>
      </c>
      <c r="CF155" s="22" t="s">
        <v>1517</v>
      </c>
      <c r="CG155" s="21">
        <v>1.45</v>
      </c>
      <c r="CH155" s="21">
        <v>66.2</v>
      </c>
      <c r="CI155" s="214">
        <f t="shared" si="607"/>
        <v>31.486325802615934</v>
      </c>
      <c r="CJ155" s="225" t="e">
        <f>IF(AND(CI155&lt;10,CH155="SD"),"SIN DATO PESO PREGESTACION O I TRIM",IF(AND(OR(R155&gt;0,O155&gt;0),CI155="X"),"INGRESAR DATO DE PESO",IF(CI155="SD","INGRESAR DATO DE TALLA Y PESO",IF(AND(OR(Tabla1[[#This Row],[MOMENTO EN QUE SE REALIZA EL PESO AL INGRESO A CPN]]="PREGESTACIÓN",NZ155="Menor"),CI155&lt;18.5),"BAJO PESO",IF(AND(OR(Tabla1[[#This Row],[MOMENTO EN QUE SE REALIZA EL PESO AL INGRESO A CPN]]="PREGESTACIÓN",NZ155="Menor"),CI155&lt;25),"NORMAL",IF(AND(OR(Tabla1[[#This Row],[MOMENTO EN QUE SE REALIZA EL PESO AL INGRESO A CPN]]="PREGESTACIÓN",NZ155="Menor"),CI155&lt;30),"SOBREPESO",IF(AND(OR(Tabla1[[#This Row],[MOMENTO EN QUE SE REALIZA EL PESO AL INGRESO A CPN]]="PREGESTACIÓN",NZ155="Menor"),CI155&gt;=30,CI155&lt;50),"OBESIDAD",IF(AND(BS155&gt;0,Tabla1[[#This Row],[MOMENTO EN QUE SE REALIZA EL PESO AL INGRESO A CPN]]="GESTACIÓN"),HLOOKUP(NZ155,$OA$2:PH155,NY155),""))))))))</f>
        <v>#REF!</v>
      </c>
      <c r="CK155" s="212">
        <f t="shared" si="608"/>
        <v>45115</v>
      </c>
      <c r="CL155" s="21">
        <v>71</v>
      </c>
      <c r="CM155" s="214">
        <f t="shared" si="609"/>
        <v>33.769322235434004</v>
      </c>
      <c r="CN155" s="216">
        <f t="shared" si="610"/>
        <v>37</v>
      </c>
      <c r="CO155" s="216" t="e">
        <f>IF(PI155="","",IF(PI155&gt;0,HLOOKUP(PI155,$PJ$2:QQ155,NY155),""))</f>
        <v>#REF!</v>
      </c>
      <c r="CP155" s="21">
        <v>36</v>
      </c>
      <c r="CQ155" s="216" t="e">
        <f>IF(QR155="Menor","NO APLICA-MENOR 13 SEM",IF(AND(CC155="SI",CN155&gt;23),"NO APLICA- GEMELAR",IF(QR155="","",IF(QR155&gt;0,HLOOKUP(QR155,$QS$2:RU155,NY155),""))))</f>
        <v>#REF!</v>
      </c>
      <c r="CR155" s="21"/>
      <c r="CS155" s="21"/>
      <c r="CT155" s="217" t="str">
        <f>IF(R155="","",IF(AND(BS155&gt;1,BS155&lt;12,Tabla1[[#This Row],[T.A. SISTOLICA - ANTES DE SEMANA 12]]="",Tabla1[[#This Row],[T.A. DIASTOLICA - ANTES DE SEMANA 12]]=""),"REGISTRE DATO TA ANTES SEMANA 12",IF(AND(BS155&gt;11,BS155&lt;43,Tabla1[[#This Row],[T.A. SISTOLICA - ANTES DE SEMANA 12]]="",Tabla1[[#This Row],[T.A. DIASTOLICA - ANTES DE SEMANA 12]]=""),"NO APLICA REGISTRO TA-INGRESO TARDIO",IF(AND(OR(O155&gt;0,R155&gt;0),OR(CR155&gt;=140,CS155&gt;=90)),"DEFINIR ESTADIO HTA",IF(AND(OR(O155&gt;0,R155&gt;0),AND(CR155&gt;120,CR155&lt;=139)),"PRE HTA SEGUIMIENTO",IF(AND(OR(O155&gt;0,R155&gt;0),AND(CS155&gt;80,CS155&lt;=89)),"PRE HTA SEGUIMIENTO",IF(AND(OR(O155&gt;0,R155&gt;0),AND(CR155&gt;=80,CR155&lt;=120)),"APARENTEMENTE NORMAL",IF(AND(OR(O155&gt;0,R155&gt;0),AND(CS155&gt;=50,CS155&lt;=80)),"APARENTEMENTE NORMAL",IF(AND(OR(O155&gt;0,R155&gt;0),AND(CR155&gt;1,CR155&lt;=70),AND(CS155&gt;1,CS155&lt;=40)),"HIPOTENSIÓN","")))))))))</f>
        <v>NO APLICA REGISTRO TA-INGRESO TARDIO</v>
      </c>
      <c r="CU155" s="21"/>
      <c r="CV155" s="21"/>
      <c r="CW155" s="217" t="str">
        <f ca="1">IF(R155="","",IF(AND(CN155&gt;19,CN155&lt;27,Tabla1[[#This Row],[T.A. SISTOLICA (Entre semana 20 y 26)]]="",Tabla1[[#This Row],[T.A. DIATOLICA (Entre semana 20 y 26)]]=""),"ACUDE A CONTROL SEM 20 A 26 REGISTRE TA AHORA",IF(AND(BS155&gt;1,BS155&lt;27,BU155&gt;19,Tabla1[[#This Row],[T.A. SISTOLICA (Entre semana 20 y 26)]]="",Tabla1[[#This Row],[T.A. DIATOLICA (Entre semana 20 y 26)]]=""),"COMPLETE REGISTRO TA CONTROL SEM 20 A26 ",IF(AND(BS155&gt;26,BS155&lt;43,Tabla1[[#This Row],[T.A. SISTOLICA (Entre semana 20 y 26)]]="",Tabla1[[#This Row],[T.A. DIATOLICA (Entre semana 20 y 26)]]=""),"NO APLICA REGISTRO TA-INGRESO TARDIO",IF(AND(OR(O155&gt;0,R155&gt;0),OR(CU155&gt;=140,CV155&gt;=90)),"ALTO RIESGO PREECLAMPSIA,DEFINIR ESTADIO HTA",IF(AND(OR(O155&gt;0,R155&gt;0),AND(CU155&gt;120,CU155&lt;=139)),"PRE HTA SEGUIMIENTO,RIESGO HIPERTENSION INDUCIDA POR EL EMBARAZO",IF(AND(OR(O155&gt;0,R155&gt;0),AND(CV155&gt;80,CV155&lt;=89)),"PRE HTA SEGUIMIENTO, RIESGO HIPERTENSION INDUCIDA POR EL EMBARAZO",IF(AND(OR(O155&lt;&gt;"",R155&lt;&gt;""),CS155&lt;&gt;"",CV155&lt;&gt;"",CS155&lt;=CV155),"VIGILAR CIFRAS PRESION ARTERIAL",IF(AND(OR(O155&gt;0,R155&gt;0),AND(CU155&gt;120,CU155&lt;=139)),"PRE HTA SEGUIMIENTO",IF(AND(OR(O155&gt;0,R155&gt;0),AND(CU155&gt;1,CU155&lt;=70),AND(CV155&gt;1,CV155&lt;=40)),"HIPOTENSIÓN",IF(AND(OR(O155&lt;&gt;"",R155&lt;&gt;""),CS155&lt;&gt;"",CV155&lt;&gt;"",CS155&gt;CV155),"APARENTEMENTE NORMAL",IF(AND(OR(O155&gt;0,R155&gt;0),AND(CU155&gt;=80,CU155&lt;=120)),"APARENTEMENTE NORMAL",IF(AND(OR(O155&gt;0,R155&gt;0),AND(CV155&gt;=50,CV155&lt;=80)),"APARENTEMENTE NORMAL","")))))))))))))</f>
        <v xml:space="preserve">COMPLETE REGISTRO TA CONTROL SEM 20 A26 </v>
      </c>
      <c r="CX155" s="21"/>
      <c r="CY155" s="21"/>
      <c r="CZ155" s="216" t="str">
        <f t="shared" si="690"/>
        <v/>
      </c>
      <c r="DA155" s="21">
        <v>100</v>
      </c>
      <c r="DB155" s="21">
        <v>60</v>
      </c>
      <c r="DC155" s="217" t="str">
        <f t="shared" si="611"/>
        <v>VIGILAR CIFRAS PRESION ARTERIAL</v>
      </c>
      <c r="DD155" s="22">
        <v>45009</v>
      </c>
      <c r="DE155" s="22">
        <v>45009</v>
      </c>
      <c r="DF155" s="22">
        <v>45051</v>
      </c>
      <c r="DG155" s="22">
        <v>45085</v>
      </c>
      <c r="DH155" s="22">
        <v>45115</v>
      </c>
      <c r="DI155" s="22"/>
      <c r="DJ155" s="22"/>
      <c r="DK155" s="22"/>
      <c r="DL155" s="22"/>
      <c r="DM155" s="22"/>
      <c r="DN155" s="22"/>
      <c r="DO155" s="22"/>
      <c r="DP155" s="22"/>
      <c r="DQ155" s="22"/>
      <c r="DR155" s="28">
        <v>1</v>
      </c>
      <c r="DS155" s="22"/>
      <c r="DT155" s="22"/>
      <c r="DU155" s="216" t="str">
        <f t="shared" ca="1" si="676"/>
        <v>SALE SIN PLAN DE PARTO</v>
      </c>
      <c r="DV155" s="226" t="str">
        <f t="shared" si="677"/>
        <v>SALIO PROGRAMA</v>
      </c>
      <c r="DW155"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55" s="216" t="str">
        <f t="shared" ca="1" si="612"/>
        <v/>
      </c>
      <c r="DY155" s="212">
        <f>IF(R155="","",IF(R155&gt;0,MAX(Tabla1[[#This Row],[FECHA C2]:[FECHA C13]],Tabla1[[#This Row],[FECHA CONSULTA PRIMERA VEZ PROGRAMA CPN ]])))</f>
        <v>45115</v>
      </c>
      <c r="DZ155" s="216">
        <f t="shared" si="613"/>
        <v>37</v>
      </c>
      <c r="EA155" s="222">
        <f>IF(R155&gt;0,SUM(COUNTA(DF155:DQ155)+COUNTA(Tabla1[[#This Row],[FECHA CONSULTA PRIMERA VEZ PROGRAMA CPN ]])),"")</f>
        <v>4</v>
      </c>
      <c r="EB155" s="222" t="str">
        <f t="shared" si="614"/>
        <v>SI</v>
      </c>
      <c r="EC155" s="214">
        <f t="shared" si="615"/>
        <v>6</v>
      </c>
      <c r="ED155" s="227">
        <f t="shared" si="616"/>
        <v>0.66666666666666663</v>
      </c>
      <c r="EE155" s="22">
        <v>45009</v>
      </c>
      <c r="EF155" s="22">
        <v>45016</v>
      </c>
      <c r="EG155" s="22">
        <v>45009</v>
      </c>
      <c r="EH155" s="22"/>
      <c r="EI155" s="22">
        <v>45009</v>
      </c>
      <c r="EJ155" s="22"/>
      <c r="EK155" s="22"/>
      <c r="EL155" s="21"/>
      <c r="EM155" s="21">
        <v>13.5</v>
      </c>
      <c r="EN155" s="22">
        <v>45009</v>
      </c>
      <c r="EO155" s="222">
        <f t="shared" si="617"/>
        <v>22.099999999999586</v>
      </c>
      <c r="EP155" s="214" t="str">
        <f t="shared" si="618"/>
        <v>NORMAL- SUMINISTRAR SULFATO FERROSO</v>
      </c>
      <c r="EQ155" s="216" t="str">
        <f t="shared" si="619"/>
        <v>II TRIM</v>
      </c>
      <c r="ER155" s="24"/>
      <c r="ES155" s="22"/>
      <c r="ET155" s="29" t="str">
        <f t="shared" ca="1" si="678"/>
        <v>SALE SIN TAMIZAJE HEMOGLOBINA SEM 28</v>
      </c>
      <c r="EU155" s="25" t="str">
        <f t="shared" si="620"/>
        <v/>
      </c>
      <c r="EV155" s="24" t="s">
        <v>1510</v>
      </c>
      <c r="EW155" s="24">
        <v>45009</v>
      </c>
      <c r="EX155" s="22"/>
      <c r="EY155" s="29">
        <f t="shared" si="454"/>
        <v>22.099999999999586</v>
      </c>
      <c r="EZ155" s="25" t="str">
        <f t="shared" si="455"/>
        <v>SIN RIESGO DE ISOINMUNIZACIÓN</v>
      </c>
      <c r="FA155" s="21">
        <v>57</v>
      </c>
      <c r="FB155" s="22">
        <v>45051</v>
      </c>
      <c r="FC155" s="29" t="str">
        <f t="shared" si="621"/>
        <v>NO APLICA &gt; 23 SEM -TOMAR PTOG</v>
      </c>
      <c r="FD155" s="29"/>
      <c r="FE155" s="29"/>
      <c r="FF155" s="29"/>
      <c r="FG155" s="21" t="str">
        <f t="shared" ca="1" si="622"/>
        <v/>
      </c>
      <c r="FH155" s="31"/>
      <c r="FI155" s="29" t="str">
        <f t="shared" si="623"/>
        <v>TOMAR EXAMEN</v>
      </c>
      <c r="FJ155" s="22"/>
      <c r="FK155" s="22"/>
      <c r="FL155" s="29" t="str">
        <f t="shared" ca="1" si="624"/>
        <v>NO APLICA-INGRESO TARDIO</v>
      </c>
      <c r="FM155" s="22" t="s">
        <v>867</v>
      </c>
      <c r="FN155" s="32">
        <v>45009</v>
      </c>
      <c r="FO155" s="29">
        <f t="shared" ca="1" si="679"/>
        <v>22.099999999999586</v>
      </c>
      <c r="FP155" s="22" t="s">
        <v>867</v>
      </c>
      <c r="FQ155" s="32">
        <v>45106</v>
      </c>
      <c r="FR155" s="29">
        <f t="shared" ca="1" si="680"/>
        <v>35.957142857142443</v>
      </c>
      <c r="FS155" s="22"/>
      <c r="FT155" s="32"/>
      <c r="FU155" s="29" t="str">
        <f>IF(AND(FJ155="",FM155="",FP155="",FS155=""),"",IF(OR(OR(Tabla1[[#This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55" s="28"/>
      <c r="FW155" s="22"/>
      <c r="FX155" s="29" t="str">
        <f t="shared" si="625"/>
        <v>TOMAR EXAMEN</v>
      </c>
      <c r="FY155" s="22"/>
      <c r="FZ155" s="22"/>
      <c r="GA155" s="29" t="str">
        <f t="shared" ca="1" si="498"/>
        <v>NO APLICA-INGRESO TARDIO</v>
      </c>
      <c r="GB155" s="22" t="s">
        <v>868</v>
      </c>
      <c r="GC155" s="22">
        <v>45009</v>
      </c>
      <c r="GD155" s="29">
        <f t="shared" ca="1" si="681"/>
        <v>22.099999999999586</v>
      </c>
      <c r="GE155" s="22"/>
      <c r="GF155" s="22"/>
      <c r="GG155" s="29" t="str">
        <f t="shared" ca="1" si="682"/>
        <v>PIERDE TOMA DE TAMIZAJE</v>
      </c>
      <c r="GH155" s="22"/>
      <c r="GI155" s="29"/>
      <c r="GJ155" s="22"/>
      <c r="GK155" s="22"/>
      <c r="GL155" s="22"/>
      <c r="GM155" s="22"/>
      <c r="GN155" s="28" t="s">
        <v>869</v>
      </c>
      <c r="GO155" s="22">
        <v>45009</v>
      </c>
      <c r="GP155" s="29">
        <f t="shared" si="626"/>
        <v>22.099999999999586</v>
      </c>
      <c r="GQ155" s="28" t="s">
        <v>869</v>
      </c>
      <c r="GR155" s="28" t="s">
        <v>869</v>
      </c>
      <c r="GS155" s="22" t="str">
        <f t="shared" si="627"/>
        <v>CONTROL Igm</v>
      </c>
      <c r="GT155" s="22">
        <v>45009</v>
      </c>
      <c r="GU155" s="29">
        <f t="shared" si="628"/>
        <v>18.285714285714285</v>
      </c>
      <c r="GV155" s="21" t="str">
        <f t="shared" si="629"/>
        <v>II TRIM</v>
      </c>
      <c r="GW155" s="28" t="s">
        <v>869</v>
      </c>
      <c r="GX155" s="30"/>
      <c r="GY155" s="21"/>
      <c r="GZ155" s="21"/>
      <c r="HA155" s="21"/>
      <c r="HB155" s="21"/>
      <c r="HC155" s="21"/>
      <c r="HD155" s="21"/>
      <c r="HE155" s="21"/>
      <c r="HF155" s="22"/>
      <c r="HG155" s="22" t="str">
        <f>IF(OR(O155&gt;0,R155&gt;0),CONCATENATE(IF(Tabla1[[#This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55" s="22" t="e">
        <f t="shared" si="630"/>
        <v>#REF!</v>
      </c>
      <c r="HI155" s="22" t="e">
        <f t="shared" ca="1" si="631"/>
        <v>#REF!</v>
      </c>
      <c r="HJ155" s="21" t="str">
        <f t="shared" ca="1" si="632"/>
        <v>************************RIESGO POR EDAD***************</v>
      </c>
      <c r="HK155" s="21" t="str">
        <f t="shared" si="633"/>
        <v>SIN ANTECEDENTES DE RIESGO</v>
      </c>
      <c r="HL155" s="24" t="str">
        <f t="shared" si="634"/>
        <v>VIGILAR CIFRAS PRESION ARTERIAL</v>
      </c>
      <c r="HM155" s="21" t="str">
        <f t="shared" ca="1" si="635"/>
        <v/>
      </c>
      <c r="HN155" s="30" t="str">
        <f t="shared" si="683"/>
        <v>SALIO PROGRAMA</v>
      </c>
      <c r="HO155" s="21"/>
      <c r="HP155" s="21"/>
      <c r="HQ155" s="21">
        <v>45009</v>
      </c>
      <c r="HR155" s="21" t="str">
        <f>IF(R155="","",IF(Tabla1[[#This Row],[ALARMA FACTORES DE RIESGO COMPLICACIONES HIPERTENSIVAS3]]="SIN ANTECEDENTES DE RIESGO","No Aplica para suministro de ASA",IF(AND(Tabla1[[#This Row],[FECHA INICIO DE SUMINISTRO DE ASA]]&gt;0,RV155&lt;12),"Inicia ASA ANTES de Sem 12",IF(AND(RV155&gt;11,RV155&lt;17,OR(HK155="RIESGO ALTO DE COMPLICACIONES HIPERTENSIVAS VER MANEJO GUIA SUMINISTRO ASA Y CALCIO",HK155="RIESGO MODERADO (2 O MAS CRITERIOS) VER MANEJO GUIA SUMINISTRO ASA Y CALCIO")),"Inicio oportuno de ASA",IF(AND(RV155&gt;12,OR(HK155="RIESGO ALTO DE COMPLICACIONES HIPERTENSIVAS VER MANEJO GUIA SUMINISTRO ASA Y CALCIO",HK155="RIESGO MODERADO (2 O MAS CRITERIOS) VER MANEJO GUIA SUMINISTRO ASA Y CALCIO")),"Inicio no oportuno mayor a 16 semanas",IF(AND(BU155&lt;12,OR(HK155="RIESGO ALTO DE COMPLICACIONES HIPERTENSIVAS VER MANEJO GUIA SUMINISTRO ASA Y CALCIO",HK155="RIESGO MODERADO (2 O MAS CRITERIOS) VER MANEJO GUIA SUMINISTRO ASA Y CALCIO")),"Pendiente Inicio de ASA a la semana 12",IF(AND(BU155&gt;11,BU155&lt;17,OR(HK155="RIESGO ALTO DE COMPLICACIONES HIPERTENSIVAS VER MANEJO GUIA SUMINISTRO ASA Y CALCIO",HK155="RIESGO MODERADO (2 O MAS CRITERIOS) VER MANEJO GUIA SUMINISTRO ASA Y CALCIO")),"Iniciar de inmediato ASA",IF(AND(BU155&gt;16,OR(HK155="RIESGO ALTO DE COMPLICACIONES HIPERTENSIVAS VER MANEJO GUIA SUMINISTRO ASA Y CALCIO",HK155="RIESGO MODERADO (2 O MAS CRITERIOS) VER MANEJO GUIA SUMINISTRO ASA Y CALCIO")),"Pierde Oportunidad, Inicio tardío de ASA","XXXXX"))))))))</f>
        <v>No Aplica para suministro de ASA</v>
      </c>
      <c r="HS155" s="22">
        <v>45009</v>
      </c>
      <c r="HT155" s="22" t="s">
        <v>870</v>
      </c>
      <c r="HU155" s="22"/>
      <c r="HV155" s="22"/>
      <c r="HW155" s="22">
        <v>45009</v>
      </c>
      <c r="HX155" s="22" t="s">
        <v>870</v>
      </c>
      <c r="HY155" s="22">
        <v>45009</v>
      </c>
      <c r="HZ155" s="28">
        <f t="shared" si="636"/>
        <v>22.099999999999586</v>
      </c>
      <c r="IA155" s="26"/>
      <c r="IB155" s="26"/>
      <c r="IC155" s="111">
        <v>45121</v>
      </c>
      <c r="ID155" s="22">
        <v>45016</v>
      </c>
      <c r="IE155" s="22" t="str">
        <f t="shared" ca="1" si="637"/>
        <v>VACUNA APLICADA ENTRE SEMANA 20 Y SEMANA 26</v>
      </c>
      <c r="IF155" s="22"/>
      <c r="IG155" s="22">
        <f t="shared" si="638"/>
        <v>45134.3</v>
      </c>
      <c r="IH155" s="29">
        <f t="shared" ca="1" si="639"/>
        <v>-97.69999999999709</v>
      </c>
      <c r="II155" s="22" t="str">
        <f t="shared" ca="1" si="640"/>
        <v>POSIBLEMENTE NACIO</v>
      </c>
      <c r="IJ155" s="22"/>
      <c r="IK155" s="21" t="s">
        <v>898</v>
      </c>
      <c r="IL155" s="21"/>
      <c r="IM155" s="34"/>
      <c r="IN155" s="349">
        <v>45135</v>
      </c>
      <c r="IO155" s="21" t="s">
        <v>1186</v>
      </c>
      <c r="IP155" s="29">
        <f t="shared" si="674"/>
        <v>40.099999999999582</v>
      </c>
      <c r="IQ155" s="290" t="s">
        <v>1654</v>
      </c>
      <c r="IR155" s="290" t="s">
        <v>1651</v>
      </c>
      <c r="IS155" s="290" t="s">
        <v>1646</v>
      </c>
      <c r="IT155" s="290" t="s">
        <v>1642</v>
      </c>
      <c r="IU155" s="21"/>
      <c r="IV155" s="21"/>
      <c r="IW155" s="21"/>
      <c r="IX155" s="21"/>
      <c r="IY155" s="21"/>
      <c r="IZ155" s="21"/>
      <c r="JA155" s="21"/>
      <c r="JB155" s="30">
        <v>1</v>
      </c>
      <c r="JC155" s="21" t="s">
        <v>1647</v>
      </c>
      <c r="JD155" s="36">
        <v>3170</v>
      </c>
      <c r="JE155" s="21" t="str">
        <f t="shared" si="684"/>
        <v>PESO ADECUADO EDAD GESTACIONAL</v>
      </c>
      <c r="JF155" s="30"/>
      <c r="JG155" s="21"/>
      <c r="JH155" s="21"/>
      <c r="JI155" s="309" t="s">
        <v>854</v>
      </c>
      <c r="JJ155" s="329" t="s">
        <v>926</v>
      </c>
      <c r="JK155" s="22"/>
      <c r="JL155" s="22"/>
      <c r="JM155" s="21"/>
      <c r="JN155" s="36"/>
      <c r="JO155" s="21" t="str">
        <f t="shared" si="685"/>
        <v/>
      </c>
      <c r="JP155" s="22"/>
      <c r="JQ155" s="21"/>
      <c r="JR155" s="21"/>
      <c r="JS155" s="21"/>
      <c r="JT155" s="30"/>
      <c r="JU155" s="22"/>
      <c r="JV155" s="22"/>
      <c r="JW155" s="33"/>
      <c r="JX155" s="28" t="str">
        <f t="shared" si="686"/>
        <v>INASISTENTE</v>
      </c>
      <c r="JY155" s="33"/>
      <c r="JZ155" s="28" t="str">
        <f t="shared" si="687"/>
        <v>INASISTENTE</v>
      </c>
      <c r="KA155" s="21"/>
      <c r="KB155" s="21"/>
      <c r="KC155" s="21"/>
      <c r="KD155" s="37"/>
      <c r="KE155" s="28"/>
      <c r="KF155" s="28"/>
      <c r="KG155" s="28"/>
      <c r="KH155" s="39"/>
      <c r="KI155" s="39"/>
      <c r="KJ155" s="66"/>
      <c r="KK155" s="39"/>
      <c r="KL155" s="39"/>
      <c r="KM155" s="66"/>
      <c r="KN155" s="39"/>
      <c r="KO155" s="39"/>
      <c r="KP155" s="39"/>
      <c r="KQ155" s="39"/>
      <c r="KR155" s="39"/>
      <c r="KS155" s="39"/>
      <c r="KT155" s="39"/>
      <c r="KU155" s="38"/>
      <c r="KV155" s="38"/>
      <c r="KW155" s="38"/>
      <c r="KX155" s="38"/>
      <c r="KY155" s="38"/>
      <c r="KZ155" s="38"/>
      <c r="LA155" s="38"/>
      <c r="LB155" s="38"/>
      <c r="LC155" s="38"/>
      <c r="LD155" s="38"/>
      <c r="LE155" s="38"/>
      <c r="LF155" s="38"/>
      <c r="LG155" s="38"/>
      <c r="LH155" s="38"/>
      <c r="LI155" s="38"/>
      <c r="LJ155" s="38"/>
      <c r="LK155" s="38"/>
      <c r="LL155" s="38"/>
      <c r="LM155" s="38"/>
      <c r="LN155" s="38"/>
      <c r="LO155" s="38"/>
      <c r="LP155" s="38"/>
      <c r="LQ155" s="38"/>
      <c r="LR155" s="38"/>
      <c r="LS155" s="38"/>
      <c r="LT155" s="38"/>
      <c r="LU155" s="38"/>
      <c r="LV155" s="38"/>
      <c r="LW155" s="38"/>
      <c r="LX155" s="38"/>
      <c r="LY155" s="38"/>
      <c r="LZ155" s="38"/>
      <c r="MA155" s="38"/>
      <c r="MB155" s="38"/>
      <c r="MC155" s="38"/>
      <c r="MD155" s="38"/>
      <c r="ME155" s="38"/>
      <c r="MF155" s="38"/>
      <c r="MG155" s="38"/>
      <c r="MH155" s="43">
        <f t="shared" si="641"/>
        <v>0</v>
      </c>
      <c r="MI155" s="43" t="str">
        <f t="shared" si="642"/>
        <v/>
      </c>
      <c r="MJ155" s="43" t="str">
        <f t="shared" si="643"/>
        <v/>
      </c>
      <c r="MK155" s="43">
        <f t="shared" si="644"/>
        <v>0</v>
      </c>
      <c r="ML15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55" s="43">
        <f t="shared" si="645"/>
        <v>22.099999999999586</v>
      </c>
      <c r="MN155" s="43">
        <f t="shared" si="646"/>
        <v>3</v>
      </c>
      <c r="MO155" s="43">
        <f t="shared" si="647"/>
        <v>2023</v>
      </c>
      <c r="MP155" s="43" t="str">
        <f t="shared" si="648"/>
        <v>I TRIMESTRE AÑO</v>
      </c>
      <c r="MQ155" s="43">
        <f t="shared" si="649"/>
        <v>39.895422689443713</v>
      </c>
      <c r="MR155" s="43">
        <f t="shared" si="650"/>
        <v>2</v>
      </c>
      <c r="MS155" s="43" t="str">
        <f t="shared" si="651"/>
        <v xml:space="preserve"> DE 35 A 39 AÑOS</v>
      </c>
      <c r="MT155" s="43">
        <f t="shared" si="652"/>
        <v>0</v>
      </c>
      <c r="MU155" s="43">
        <f t="shared" si="653"/>
        <v>0</v>
      </c>
      <c r="MV155" s="43">
        <f t="shared" si="654"/>
        <v>0</v>
      </c>
      <c r="MW155" s="43">
        <f t="shared" si="655"/>
        <v>0</v>
      </c>
      <c r="MX155" s="43" t="str">
        <f t="shared" si="656"/>
        <v/>
      </c>
      <c r="MY155" s="43" t="str">
        <f t="shared" ca="1" si="688"/>
        <v/>
      </c>
      <c r="MZ155" s="43" t="str">
        <f t="shared" si="657"/>
        <v/>
      </c>
      <c r="NA155" s="43">
        <f t="shared" si="658"/>
        <v>0</v>
      </c>
      <c r="NB155" s="43" t="str">
        <f t="shared" si="659"/>
        <v/>
      </c>
      <c r="NC155" s="43" t="str">
        <f t="shared" si="660"/>
        <v/>
      </c>
      <c r="ND155" s="43">
        <f t="shared" ca="1" si="661"/>
        <v>2</v>
      </c>
      <c r="NE155" s="43">
        <f>IF(OR(O155&gt;0,R155&gt;0),SUM(COUNTIF(Tabla1[[#This Row],[AÑOS AL INICIO5 CPN]],"&gt;=40"),COUNTIF(AS155,"0"),COUNTIF(AR155,"SI"),COUNTIF(CC155,"SI"),COUNTIF(BQ155,"&gt;119"),COUNTIF(CI155,"&gt;=35")),"")</f>
        <v>1</v>
      </c>
      <c r="NF155" s="43">
        <f t="shared" si="662"/>
        <v>23.099999999999586</v>
      </c>
      <c r="NG155" s="43">
        <f t="shared" si="663"/>
        <v>0</v>
      </c>
      <c r="NH155" s="43">
        <f t="shared" si="664"/>
        <v>161.70000000000002</v>
      </c>
      <c r="NI155"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CPN",P155="NO"),"Z",IF(AND(Tabla1[[#This Row],[CITA PROXIMO CONTROL]]="CITA MANUAL",Tabla1[[#This Row],[GESTANTES ACTUALES]]="ACTIVA INGRESO A CPN"),"W",IF(AND(Tabla1[[#This Row],[GESTANTES ACTUALES]]="SALIO PROGRAMA",IN155=""),"S",IF(AND(Tabla1[[#This Row],[CITA PROXIMO CONTROL]]&gt;0,IN155=""),(Tabla1[[#This Row],[CITA PROXIMO CONTROL]]-TODAY()),"SD"))))))))</f>
        <v>SD</v>
      </c>
      <c r="NJ155" s="43">
        <f>MONTH(Tabla1[[#This Row],[FECHA DE SALIDA  DEL PROGRAMA]])</f>
        <v>7</v>
      </c>
      <c r="NK155" s="43">
        <f>YEAR(Tabla1[[#This Row],[FECHA DE SALIDA  DEL PROGRAMA]])</f>
        <v>2023</v>
      </c>
      <c r="NL155" s="43" t="str">
        <f t="shared" si="665"/>
        <v>X</v>
      </c>
      <c r="NM155" s="43" t="str">
        <f t="shared" si="501"/>
        <v>NO</v>
      </c>
      <c r="NN155" s="43" t="str">
        <f ca="1">IF(AND(O155&gt;0,R155=""),"NO CPN",IF(AND(O155="",R155=""),"",IF(AND(R155&gt;0,Tabla1[[#This Row],[SEMANAS DE GESTACION ACTUALIZADAS]]&lt;=12),"NO APLICA",IF(AND(FH155&lt;&gt;"",FN155&lt;&gt;""),"SI","NO"))))</f>
        <v>NO</v>
      </c>
      <c r="NO155" s="43" t="str">
        <f ca="1">IF(AND(O155&gt;0,R155=""),"NO CPN",IF(AND(O155="",R155=""),"",IF(AND(R155&gt;0,Tabla1[[#This Row],[SEMANAS DE GESTACION ACTUALIZADAS]]&lt;=27),"NO APLICA",IF(AND(ES155&lt;&gt;"",FQ155&lt;&gt;"",GF155&lt;&gt;""),"SI","NO"))))</f>
        <v>NO</v>
      </c>
      <c r="NP155" s="204" t="str">
        <f t="shared" si="666"/>
        <v>II TRIM</v>
      </c>
      <c r="NQ155" s="21" t="str">
        <f t="shared" si="691"/>
        <v/>
      </c>
      <c r="NR155" s="21">
        <f t="shared" si="689"/>
        <v>2</v>
      </c>
      <c r="NS155" s="205">
        <f t="shared" ca="1" si="667"/>
        <v>2</v>
      </c>
      <c r="NT155" s="21">
        <f t="shared" ca="1" si="668"/>
        <v>1</v>
      </c>
      <c r="NU155" s="21" t="str">
        <f t="shared" ca="1" si="669"/>
        <v>COMPLETO</v>
      </c>
      <c r="NV155" s="21" t="str">
        <f t="shared" ca="1" si="670"/>
        <v>INCOMPLETO</v>
      </c>
      <c r="NW155" s="206" t="str">
        <f>IF(AND(O155="",R155=""),"",IF(OR(AND(Tabla1[[#This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55" s="207" t="str">
        <f t="shared" ca="1" si="671"/>
        <v>VACUNADA</v>
      </c>
      <c r="NY155" s="43">
        <f>ROW(Tabla1[[#This Row],['# DE TAMIZAJES SIFILIS TOMADOS ]])</f>
        <v>155</v>
      </c>
      <c r="NZ155" s="43">
        <f t="shared" si="502"/>
        <v>22</v>
      </c>
      <c r="OA155" s="43" t="str">
        <f t="shared" si="503"/>
        <v/>
      </c>
      <c r="OB155" s="43" t="str">
        <f t="shared" si="504"/>
        <v/>
      </c>
      <c r="OC155" s="43" t="str">
        <f t="shared" si="505"/>
        <v/>
      </c>
      <c r="OD155" s="43" t="str">
        <f t="shared" si="506"/>
        <v/>
      </c>
      <c r="OE155" s="43" t="str">
        <f t="shared" si="507"/>
        <v/>
      </c>
      <c r="OF155" s="43" t="str">
        <f t="shared" si="508"/>
        <v/>
      </c>
      <c r="OG155" s="43" t="str">
        <f t="shared" si="509"/>
        <v/>
      </c>
      <c r="OH155" s="43" t="str">
        <f t="shared" si="510"/>
        <v/>
      </c>
      <c r="OI155" s="43" t="str">
        <f t="shared" si="511"/>
        <v/>
      </c>
      <c r="OJ155" s="43" t="str">
        <f t="shared" si="512"/>
        <v/>
      </c>
      <c r="OK155" s="43" t="str">
        <f t="shared" si="513"/>
        <v/>
      </c>
      <c r="OL155" s="43" t="str">
        <f t="shared" si="514"/>
        <v/>
      </c>
      <c r="OM155" s="43" t="str">
        <f t="shared" si="515"/>
        <v/>
      </c>
      <c r="ON155" s="43" t="str">
        <f t="shared" si="516"/>
        <v>OBESIDAD</v>
      </c>
      <c r="OO155" s="43" t="str">
        <f t="shared" si="517"/>
        <v/>
      </c>
      <c r="OP155" s="43" t="str">
        <f t="shared" si="518"/>
        <v/>
      </c>
      <c r="OQ155" s="43" t="str">
        <f t="shared" si="519"/>
        <v/>
      </c>
      <c r="OR155" s="43" t="str">
        <f t="shared" si="520"/>
        <v/>
      </c>
      <c r="OS155" s="43" t="str">
        <f t="shared" si="521"/>
        <v/>
      </c>
      <c r="OT155" s="43" t="str">
        <f t="shared" si="522"/>
        <v/>
      </c>
      <c r="OU155" s="43" t="str">
        <f t="shared" si="523"/>
        <v/>
      </c>
      <c r="OV155" s="110" t="str">
        <f t="shared" si="524"/>
        <v/>
      </c>
      <c r="OW155" s="43" t="str">
        <f t="shared" si="525"/>
        <v/>
      </c>
      <c r="OX155" s="43" t="str">
        <f t="shared" si="526"/>
        <v/>
      </c>
      <c r="OY155" s="43" t="str">
        <f t="shared" si="527"/>
        <v/>
      </c>
      <c r="OZ155" s="43" t="str">
        <f t="shared" si="528"/>
        <v/>
      </c>
      <c r="PA155" s="43" t="str">
        <f t="shared" si="529"/>
        <v/>
      </c>
      <c r="PB155" s="43" t="str">
        <f t="shared" si="530"/>
        <v/>
      </c>
      <c r="PC155" s="43" t="str">
        <f t="shared" si="531"/>
        <v/>
      </c>
      <c r="PD155" s="43" t="str">
        <f t="shared" si="532"/>
        <v/>
      </c>
      <c r="PE155" s="43" t="str">
        <f t="shared" si="533"/>
        <v/>
      </c>
      <c r="PF155" s="43" t="str">
        <f t="shared" si="534"/>
        <v/>
      </c>
      <c r="PG155" s="43" t="str">
        <f t="shared" si="535"/>
        <v/>
      </c>
      <c r="PH155" s="43" t="str">
        <f t="shared" si="536"/>
        <v/>
      </c>
      <c r="PI155" s="43">
        <f t="shared" si="537"/>
        <v>37</v>
      </c>
      <c r="PJ155" s="43" t="str">
        <f t="shared" si="538"/>
        <v/>
      </c>
      <c r="PK155" s="43" t="str">
        <f t="shared" si="539"/>
        <v/>
      </c>
      <c r="PL155" s="43" t="str">
        <f t="shared" si="540"/>
        <v/>
      </c>
      <c r="PM155" s="43" t="str">
        <f t="shared" si="541"/>
        <v/>
      </c>
      <c r="PN155" s="43" t="str">
        <f t="shared" si="542"/>
        <v/>
      </c>
      <c r="PO155" s="43" t="str">
        <f t="shared" si="543"/>
        <v/>
      </c>
      <c r="PP155" s="43" t="str">
        <f t="shared" si="544"/>
        <v/>
      </c>
      <c r="PQ155" s="43" t="str">
        <f t="shared" si="545"/>
        <v/>
      </c>
      <c r="PR155" s="43" t="str">
        <f t="shared" si="546"/>
        <v/>
      </c>
      <c r="PS155" s="43" t="str">
        <f t="shared" si="547"/>
        <v/>
      </c>
      <c r="PT155" s="43" t="str">
        <f t="shared" si="548"/>
        <v/>
      </c>
      <c r="PU155" s="43" t="str">
        <f t="shared" si="549"/>
        <v/>
      </c>
      <c r="PV155" s="43" t="str">
        <f t="shared" si="550"/>
        <v/>
      </c>
      <c r="PW155" s="43" t="str">
        <f t="shared" si="551"/>
        <v/>
      </c>
      <c r="PX155" s="43" t="str">
        <f t="shared" si="552"/>
        <v/>
      </c>
      <c r="PY155" s="43" t="str">
        <f t="shared" si="553"/>
        <v/>
      </c>
      <c r="PZ155" s="43" t="str">
        <f t="shared" si="554"/>
        <v/>
      </c>
      <c r="QA155" s="43" t="str">
        <f t="shared" si="555"/>
        <v/>
      </c>
      <c r="QB155" s="43" t="str">
        <f t="shared" si="556"/>
        <v/>
      </c>
      <c r="QC155" s="43" t="str">
        <f t="shared" si="557"/>
        <v/>
      </c>
      <c r="QD155" s="43" t="str">
        <f t="shared" si="558"/>
        <v/>
      </c>
      <c r="QE155" s="43" t="str">
        <f t="shared" si="559"/>
        <v/>
      </c>
      <c r="QF155" s="43" t="str">
        <f t="shared" si="560"/>
        <v/>
      </c>
      <c r="QG155" s="43" t="str">
        <f t="shared" si="561"/>
        <v/>
      </c>
      <c r="QH155" s="43" t="str">
        <f t="shared" si="562"/>
        <v/>
      </c>
      <c r="QI155" s="43" t="str">
        <f t="shared" si="563"/>
        <v/>
      </c>
      <c r="QJ155" s="43" t="str">
        <f t="shared" si="564"/>
        <v/>
      </c>
      <c r="QK155" s="43" t="str">
        <f t="shared" si="565"/>
        <v/>
      </c>
      <c r="QL155" s="43" t="str">
        <f t="shared" si="566"/>
        <v>OBESIDAD</v>
      </c>
      <c r="QM155" s="43" t="str">
        <f t="shared" si="567"/>
        <v/>
      </c>
      <c r="QN155" s="43" t="str">
        <f t="shared" si="568"/>
        <v/>
      </c>
      <c r="QO155" s="43" t="str">
        <f t="shared" si="569"/>
        <v/>
      </c>
      <c r="QP155" s="43" t="str">
        <f t="shared" si="570"/>
        <v/>
      </c>
      <c r="QQ155" s="43" t="str">
        <f t="shared" si="571"/>
        <v/>
      </c>
      <c r="QR155" s="43">
        <f t="shared" si="672"/>
        <v>37</v>
      </c>
      <c r="QS155" s="43"/>
      <c r="QT155" s="21" t="str">
        <f t="shared" si="572"/>
        <v/>
      </c>
      <c r="QU155" s="21" t="str">
        <f t="shared" si="573"/>
        <v/>
      </c>
      <c r="QV155" s="21" t="str">
        <f t="shared" si="574"/>
        <v/>
      </c>
      <c r="QW155" s="21" t="str">
        <f t="shared" si="575"/>
        <v/>
      </c>
      <c r="QX155" s="21" t="str">
        <f t="shared" si="576"/>
        <v/>
      </c>
      <c r="QY155" s="21" t="str">
        <f t="shared" si="577"/>
        <v/>
      </c>
      <c r="QZ155" s="21" t="str">
        <f t="shared" si="578"/>
        <v/>
      </c>
      <c r="RA155" s="21" t="str">
        <f t="shared" si="579"/>
        <v/>
      </c>
      <c r="RB155" s="21" t="str">
        <f t="shared" si="580"/>
        <v/>
      </c>
      <c r="RC155" s="21" t="str">
        <f t="shared" si="581"/>
        <v/>
      </c>
      <c r="RD155" s="21" t="str">
        <f t="shared" si="582"/>
        <v/>
      </c>
      <c r="RE155" s="21" t="str">
        <f t="shared" si="583"/>
        <v/>
      </c>
      <c r="RF155" s="21" t="str">
        <f t="shared" si="584"/>
        <v/>
      </c>
      <c r="RG155" s="21" t="str">
        <f t="shared" si="585"/>
        <v/>
      </c>
      <c r="RH155" s="21" t="str">
        <f t="shared" si="586"/>
        <v/>
      </c>
      <c r="RI155" s="21" t="str">
        <f t="shared" si="587"/>
        <v/>
      </c>
      <c r="RJ155" s="21" t="str">
        <f t="shared" si="588"/>
        <v/>
      </c>
      <c r="RK155" s="21" t="str">
        <f t="shared" si="589"/>
        <v/>
      </c>
      <c r="RL155" s="21" t="str">
        <f t="shared" si="590"/>
        <v/>
      </c>
      <c r="RM155" s="21" t="str">
        <f t="shared" si="591"/>
        <v/>
      </c>
      <c r="RN155" s="21" t="str">
        <f t="shared" si="592"/>
        <v/>
      </c>
      <c r="RO155" s="21" t="str">
        <f t="shared" si="593"/>
        <v/>
      </c>
      <c r="RP155" s="21" t="str">
        <f t="shared" si="594"/>
        <v/>
      </c>
      <c r="RQ155" s="21" t="str">
        <f t="shared" si="595"/>
        <v/>
      </c>
      <c r="RR155" s="21" t="str">
        <f t="shared" si="596"/>
        <v>ALTO PARA EDAD GESTACIONAL</v>
      </c>
      <c r="RS155" s="21" t="str">
        <f t="shared" si="597"/>
        <v/>
      </c>
      <c r="RT155" s="21" t="str">
        <f t="shared" si="598"/>
        <v/>
      </c>
      <c r="RU155" s="21" t="str">
        <f t="shared" si="599"/>
        <v/>
      </c>
      <c r="RV155" s="21">
        <f t="shared" si="600"/>
        <v>22.099999999999586</v>
      </c>
      <c r="RW155" s="284">
        <f>IF(OR(Tabla1[[#This Row],[FUM FORMULA CONFIABLE]]="",Tabla1[[#This Row],[FUM FORMULA CONFIABLE]]="SD"),"",IF(Tabla1[[#This Row],[FUM FORMULA CONFIABLE]]="CORREGIDA",Tabla1[[#This Row],[FUM X ECO 1]],Tabla1[[#This Row],[FUM x AMENORREA]]))</f>
        <v>44854.3</v>
      </c>
      <c r="RX155" s="21">
        <f>IF(AND(Tabla1[[#This Row],[FUM X ECO 1]]="",Tabla1[[#This Row],[FUM x AMENORREA]]=""),"",IF(AND(Tabla1[[#This Row],[FUM X ECO 1]]="",Tabla1[[#This Row],[FUM x AMENORREA]]&lt;&gt;""),"X",SUM(Tabla1[[#This Row],[FUM X ECO 1]]-Tabla1[[#This Row],[FUM x AMENORREA]])))</f>
        <v>-26.69999999999709</v>
      </c>
      <c r="RY155" s="21">
        <f t="shared" si="673"/>
        <v>1</v>
      </c>
    </row>
    <row r="156" spans="1:493" ht="45" customHeight="1" x14ac:dyDescent="0.25">
      <c r="A156" s="109"/>
      <c r="B156" s="43"/>
      <c r="C156" s="43" t="s">
        <v>845</v>
      </c>
      <c r="D156" s="124"/>
      <c r="E156" s="43" t="s">
        <v>1441</v>
      </c>
      <c r="F156" s="43" t="s">
        <v>914</v>
      </c>
      <c r="G156" s="43" t="s">
        <v>1451</v>
      </c>
      <c r="H156" s="43"/>
      <c r="I156" s="109" t="s">
        <v>851</v>
      </c>
      <c r="J156" s="110">
        <v>1059598007</v>
      </c>
      <c r="K156" s="43" t="s">
        <v>852</v>
      </c>
      <c r="L156" s="175" t="s">
        <v>1509</v>
      </c>
      <c r="M156" s="22">
        <v>32317</v>
      </c>
      <c r="N156" s="213">
        <f t="shared" ca="1" si="601"/>
        <v>35.38356164383562</v>
      </c>
      <c r="O156" s="22">
        <v>45045</v>
      </c>
      <c r="P156" s="214" t="str">
        <f t="shared" si="675"/>
        <v>SI</v>
      </c>
      <c r="Q156" s="26" t="s">
        <v>855</v>
      </c>
      <c r="R156" s="22">
        <v>45045</v>
      </c>
      <c r="S156" s="21" t="s">
        <v>856</v>
      </c>
      <c r="T156" s="24" t="s">
        <v>690</v>
      </c>
      <c r="U156" s="21" t="s">
        <v>857</v>
      </c>
      <c r="V156" s="21" t="s">
        <v>858</v>
      </c>
      <c r="W156" s="21" t="s">
        <v>1139</v>
      </c>
      <c r="X156" s="21"/>
      <c r="Y156" s="21" t="s">
        <v>859</v>
      </c>
      <c r="Z156" s="21">
        <v>3137267010</v>
      </c>
      <c r="AA156" s="21" t="s">
        <v>860</v>
      </c>
      <c r="AB156" s="27" t="s">
        <v>861</v>
      </c>
      <c r="AC156" s="26" t="s">
        <v>1434</v>
      </c>
      <c r="AD156" s="38" t="s">
        <v>1546</v>
      </c>
      <c r="AE156" s="26" t="s">
        <v>854</v>
      </c>
      <c r="AF156" s="26" t="s">
        <v>854</v>
      </c>
      <c r="AG156" s="23" t="s">
        <v>864</v>
      </c>
      <c r="AH156" s="23" t="s">
        <v>864</v>
      </c>
      <c r="AI156" s="24" t="s">
        <v>863</v>
      </c>
      <c r="AJ156" s="23" t="s">
        <v>864</v>
      </c>
      <c r="AK156" s="220" t="str">
        <f>IF(AND(AD156="",AE156="",AF156="",AG156="",AH156="",AI156="",AJ156=""),"",IF(OR(Tabla1[[#This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EVALUACIÓN",IF(AND(O156="",R156=""),"",IF(AND(OR(O156&gt;0,R156&gt;0),NG156&gt;=0,NG156&lt;2),"SIN RIESGO",IF(AND(OR(O156&gt;0,R156&gt;0),NG156&gt;=2),"CON RIESGO","ASD")))))</f>
        <v>SIN RIESGO</v>
      </c>
      <c r="AL156" s="23" t="s">
        <v>864</v>
      </c>
      <c r="AM156" s="26" t="s">
        <v>864</v>
      </c>
      <c r="AN156" s="26" t="s">
        <v>864</v>
      </c>
      <c r="AO156" s="26" t="s">
        <v>864</v>
      </c>
      <c r="AP156" s="26" t="s">
        <v>864</v>
      </c>
      <c r="AQ156" s="26" t="s">
        <v>864</v>
      </c>
      <c r="AR156" s="26" t="s">
        <v>864</v>
      </c>
      <c r="AS156" s="21">
        <v>3</v>
      </c>
      <c r="AT156" s="21">
        <v>3</v>
      </c>
      <c r="AU156" s="21">
        <v>0</v>
      </c>
      <c r="AV156" s="26" t="s">
        <v>864</v>
      </c>
      <c r="AW156" s="21">
        <v>0</v>
      </c>
      <c r="AX156" s="26" t="s">
        <v>864</v>
      </c>
      <c r="AY156" s="26" t="s">
        <v>864</v>
      </c>
      <c r="AZ156" s="26" t="s">
        <v>854</v>
      </c>
      <c r="BA156" s="26" t="s">
        <v>864</v>
      </c>
      <c r="BB156" s="26" t="s">
        <v>864</v>
      </c>
      <c r="BC156" s="26" t="s">
        <v>864</v>
      </c>
      <c r="BD156" s="26" t="s">
        <v>864</v>
      </c>
      <c r="BE156" s="26" t="s">
        <v>864</v>
      </c>
      <c r="BF156" s="26" t="s">
        <v>864</v>
      </c>
      <c r="BG156" s="26" t="s">
        <v>864</v>
      </c>
      <c r="BH156" s="26" t="s">
        <v>864</v>
      </c>
      <c r="BI156" s="26" t="s">
        <v>864</v>
      </c>
      <c r="BJ156" s="26" t="s">
        <v>864</v>
      </c>
      <c r="BK156" s="26" t="s">
        <v>864</v>
      </c>
      <c r="BL156" s="26" t="s">
        <v>864</v>
      </c>
      <c r="BM156" s="26" t="s">
        <v>864</v>
      </c>
      <c r="BN156" s="22">
        <v>42058</v>
      </c>
      <c r="BO156" s="22">
        <v>44991</v>
      </c>
      <c r="BP156" s="21" t="s">
        <v>1380</v>
      </c>
      <c r="BQ156" s="222">
        <f t="shared" si="602"/>
        <v>98.039999999999907</v>
      </c>
      <c r="BR156" s="223">
        <f t="shared" si="603"/>
        <v>44999.199999999997</v>
      </c>
      <c r="BS156" s="224">
        <f t="shared" si="604"/>
        <v>6.5428571428575584</v>
      </c>
      <c r="BT156" s="216" t="str">
        <f t="shared" si="605"/>
        <v>I TRIM</v>
      </c>
      <c r="BU156" s="214">
        <f t="shared" ca="1" si="606"/>
        <v>33.257142857143272</v>
      </c>
      <c r="BV156" s="25" t="s">
        <v>1478</v>
      </c>
      <c r="BW156" s="22">
        <v>45051</v>
      </c>
      <c r="BX156" s="28">
        <v>7.4</v>
      </c>
      <c r="BY156" s="28"/>
      <c r="BZ156" s="22"/>
      <c r="CA156" s="21"/>
      <c r="CB156" s="26"/>
      <c r="CC156" s="26"/>
      <c r="CD156" s="26"/>
      <c r="CE156" s="26"/>
      <c r="CF156" s="22" t="s">
        <v>1517</v>
      </c>
      <c r="CG156" s="21">
        <v>1.57</v>
      </c>
      <c r="CH156" s="21">
        <v>78</v>
      </c>
      <c r="CI156" s="214">
        <f t="shared" si="607"/>
        <v>31.644285772242281</v>
      </c>
      <c r="CJ156" s="225" t="str">
        <f>IF(AND(CI156&lt;10,CH156="SD"),"SIN DATO PESO PREGESTACION O I TRIM",IF(AND(OR(R156&gt;0,O156&gt;0),CI156="X"),"INGRESAR DATO DE PESO",IF(CI156="SD","INGRESAR DATO DE TALLA Y PESO",IF(AND(OR(Tabla1[[#This Row],[MOMENTO EN QUE SE REALIZA EL PESO AL INGRESO A CPN]]="PREGESTACIÓN",NZ156="Menor"),CI156&lt;18.5),"BAJO PESO",IF(AND(OR(Tabla1[[#This Row],[MOMENTO EN QUE SE REALIZA EL PESO AL INGRESO A CPN]]="PREGESTACIÓN",NZ156="Menor"),CI156&lt;25),"NORMAL",IF(AND(OR(Tabla1[[#This Row],[MOMENTO EN QUE SE REALIZA EL PESO AL INGRESO A CPN]]="PREGESTACIÓN",NZ156="Menor"),CI156&lt;30),"SOBREPESO",IF(AND(OR(Tabla1[[#This Row],[MOMENTO EN QUE SE REALIZA EL PESO AL INGRESO A CPN]]="PREGESTACIÓN",NZ156="Menor"),CI156&gt;=30,CI156&lt;50),"OBESIDAD",IF(AND(BS156&gt;0,Tabla1[[#This Row],[MOMENTO EN QUE SE REALIZA EL PESO AL INGRESO A CPN]]="GESTACIÓN"),HLOOKUP(NZ156,$OA$2:PH156,NY156),""))))))))</f>
        <v>OBESIDAD</v>
      </c>
      <c r="CK156" s="212">
        <f t="shared" si="608"/>
        <v>45115</v>
      </c>
      <c r="CL156" s="21">
        <v>78.5</v>
      </c>
      <c r="CM156" s="214">
        <f t="shared" si="609"/>
        <v>31.847133757961782</v>
      </c>
      <c r="CN156" s="216">
        <f t="shared" si="610"/>
        <v>16</v>
      </c>
      <c r="CO156" s="216" t="e">
        <f>IF(PI156="","",IF(PI156&gt;0,HLOOKUP(PI156,$PJ$2:QQ156,NY156),""))</f>
        <v>#REF!</v>
      </c>
      <c r="CP156" s="21">
        <v>16</v>
      </c>
      <c r="CQ156" s="216" t="e">
        <f>IF(QR156="Menor","NO APLICA-MENOR 13 SEM",IF(AND(CC156="SI",CN156&gt;23),"NO APLICA- GEMELAR",IF(QR156="","",IF(QR156&gt;0,HLOOKUP(QR156,$QS$2:RU156,NY156),""))))</f>
        <v>#REF!</v>
      </c>
      <c r="CR156" s="21">
        <v>110</v>
      </c>
      <c r="CS156" s="21">
        <v>70</v>
      </c>
      <c r="CT156" s="217" t="str">
        <f>IF(R156="","",IF(AND(BS156&gt;1,BS156&lt;12,Tabla1[[#This Row],[T.A. SISTOLICA - ANTES DE SEMANA 12]]="",Tabla1[[#This Row],[T.A. DIASTOLICA - ANTES DE SEMANA 12]]=""),"REGISTRE DATO TA ANTES SEMANA 12",IF(AND(BS156&gt;11,BS156&lt;43,Tabla1[[#This Row],[T.A. SISTOLICA - ANTES DE SEMANA 12]]="",Tabla1[[#This Row],[T.A. DIASTOLICA - ANTES DE SEMANA 12]]=""),"NO APLICA REGISTRO TA-INGRESO TARDIO",IF(AND(OR(O156&gt;0,R156&gt;0),OR(CR156&gt;=140,CS156&gt;=90)),"DEFINIR ESTADIO HTA",IF(AND(OR(O156&gt;0,R156&gt;0),AND(CR156&gt;120,CR156&lt;=139)),"PRE HTA SEGUIMIENTO",IF(AND(OR(O156&gt;0,R156&gt;0),AND(CS156&gt;80,CS156&lt;=89)),"PRE HTA SEGUIMIENTO",IF(AND(OR(O156&gt;0,R156&gt;0),AND(CR156&gt;=80,CR156&lt;=120)),"APARENTEMENTE NORMAL",IF(AND(OR(O156&gt;0,R156&gt;0),AND(CS156&gt;=50,CS156&lt;=80)),"APARENTEMENTE NORMAL",IF(AND(OR(O156&gt;0,R156&gt;0),AND(CR156&gt;1,CR156&lt;=70),AND(CS156&gt;1,CS156&lt;=40)),"HIPOTENSIÓN","")))))))))</f>
        <v>APARENTEMENTE NORMAL</v>
      </c>
      <c r="CU156" s="21"/>
      <c r="CV156" s="21"/>
      <c r="CW156" s="217" t="str">
        <f ca="1">IF(R156="","",IF(AND(CN156&gt;19,CN156&lt;27,Tabla1[[#This Row],[T.A. SISTOLICA (Entre semana 20 y 26)]]="",Tabla1[[#This Row],[T.A. DIATOLICA (Entre semana 20 y 26)]]=""),"ACUDE A CONTROL SEM 20 A 26 REGISTRE TA AHORA",IF(AND(BS156&gt;1,BS156&lt;27,BU156&gt;19,Tabla1[[#This Row],[T.A. SISTOLICA (Entre semana 20 y 26)]]="",Tabla1[[#This Row],[T.A. DIATOLICA (Entre semana 20 y 26)]]=""),"COMPLETE REGISTRO TA CONTROL SEM 20 A26 ",IF(AND(BS156&gt;26,BS156&lt;43,Tabla1[[#This Row],[T.A. SISTOLICA (Entre semana 20 y 26)]]="",Tabla1[[#This Row],[T.A. DIATOLICA (Entre semana 20 y 26)]]=""),"NO APLICA REGISTRO TA-INGRESO TARDIO",IF(AND(OR(O156&gt;0,R156&gt;0),OR(CU156&gt;=140,CV156&gt;=90)),"ALTO RIESGO PREECLAMPSIA,DEFINIR ESTADIO HTA",IF(AND(OR(O156&gt;0,R156&gt;0),AND(CU156&gt;120,CU156&lt;=139)),"PRE HTA SEGUIMIENTO,RIESGO HIPERTENSION INDUCIDA POR EL EMBARAZO",IF(AND(OR(O156&gt;0,R156&gt;0),AND(CV156&gt;80,CV156&lt;=89)),"PRE HTA SEGUIMIENTO, RIESGO HIPERTENSION INDUCIDA POR EL EMBARAZO",IF(AND(OR(O156&lt;&gt;"",R156&lt;&gt;""),CS156&lt;&gt;"",CV156&lt;&gt;"",CS156&lt;=CV156),"VIGILAR CIFRAS PRESION ARTERIAL",IF(AND(OR(O156&gt;0,R156&gt;0),AND(CU156&gt;120,CU156&lt;=139)),"PRE HTA SEGUIMIENTO",IF(AND(OR(O156&gt;0,R156&gt;0),AND(CU156&gt;1,CU156&lt;=70),AND(CV156&gt;1,CV156&lt;=40)),"HIPOTENSIÓN",IF(AND(OR(O156&lt;&gt;"",R156&lt;&gt;""),CS156&lt;&gt;"",CV156&lt;&gt;"",CS156&gt;CV156),"APARENTEMENTE NORMAL",IF(AND(OR(O156&gt;0,R156&gt;0),AND(CU156&gt;=80,CU156&lt;=120)),"APARENTEMENTE NORMAL",IF(AND(OR(O156&gt;0,R156&gt;0),AND(CV156&gt;=50,CV156&lt;=80)),"APARENTEMENTE NORMAL","")))))))))))))</f>
        <v xml:space="preserve">COMPLETE REGISTRO TA CONTROL SEM 20 A26 </v>
      </c>
      <c r="CX156" s="21"/>
      <c r="CY156" s="21"/>
      <c r="CZ156" s="216" t="str">
        <f t="shared" si="690"/>
        <v/>
      </c>
      <c r="DA156" s="21">
        <v>100</v>
      </c>
      <c r="DB156" s="21">
        <v>60</v>
      </c>
      <c r="DC156" s="217" t="str">
        <f t="shared" si="611"/>
        <v>APARENTEMENTE NORMAL</v>
      </c>
      <c r="DD156" s="22">
        <v>45045</v>
      </c>
      <c r="DE156" s="22">
        <v>45045</v>
      </c>
      <c r="DF156" s="22">
        <v>45087</v>
      </c>
      <c r="DG156" s="22">
        <v>45115</v>
      </c>
      <c r="DH156" s="22"/>
      <c r="DI156" s="22"/>
      <c r="DJ156" s="22"/>
      <c r="DK156" s="22"/>
      <c r="DL156" s="22"/>
      <c r="DM156" s="22"/>
      <c r="DN156" s="22"/>
      <c r="DO156" s="22"/>
      <c r="DP156" s="22"/>
      <c r="DQ156" s="22"/>
      <c r="DR156" s="28">
        <v>1</v>
      </c>
      <c r="DS156" s="22"/>
      <c r="DT156" s="22"/>
      <c r="DU156" s="216" t="str">
        <f t="shared" ca="1" si="676"/>
        <v>PLANEAR PLAN DE PARTO</v>
      </c>
      <c r="DV156" s="226" t="str">
        <f t="shared" si="677"/>
        <v>ACTIVA INGRESO A CPN</v>
      </c>
      <c r="DW15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56" s="216" t="e">
        <f t="shared" ca="1" si="612"/>
        <v>#REF!</v>
      </c>
      <c r="DY156" s="212">
        <f>IF(R156="","",IF(R156&gt;0,MAX(Tabla1[[#This Row],[FECHA C2]:[FECHA C13]],Tabla1[[#This Row],[FECHA CONSULTA PRIMERA VEZ PROGRAMA CPN ]])))</f>
        <v>45115</v>
      </c>
      <c r="DZ156" s="216">
        <f t="shared" si="613"/>
        <v>16</v>
      </c>
      <c r="EA156" s="222">
        <f>IF(R156&gt;0,SUM(COUNTA(DF156:DQ156)+COUNTA(Tabla1[[#This Row],[FECHA CONSULTA PRIMERA VEZ PROGRAMA CPN ]])),"")</f>
        <v>3</v>
      </c>
      <c r="EB156" s="222" t="str">
        <f t="shared" si="614"/>
        <v>NO</v>
      </c>
      <c r="EC156" s="214">
        <f t="shared" si="615"/>
        <v>10</v>
      </c>
      <c r="ED156" s="227">
        <f t="shared" si="616"/>
        <v>0.3</v>
      </c>
      <c r="EE156" s="22">
        <v>45045</v>
      </c>
      <c r="EF156" s="22">
        <v>45051</v>
      </c>
      <c r="EG156" s="22">
        <v>45045</v>
      </c>
      <c r="EH156" s="22"/>
      <c r="EI156" s="22">
        <v>45045</v>
      </c>
      <c r="EJ156" s="22"/>
      <c r="EK156" s="22"/>
      <c r="EL156" s="21"/>
      <c r="EM156" s="21">
        <v>13</v>
      </c>
      <c r="EN156" s="22">
        <v>45051</v>
      </c>
      <c r="EO156" s="222">
        <f t="shared" si="617"/>
        <v>7.400000000000416</v>
      </c>
      <c r="EP156" s="214" t="str">
        <f t="shared" si="618"/>
        <v>NORMAL- SUMINISTRAR SULFATO FERROSO</v>
      </c>
      <c r="EQ156" s="216" t="str">
        <f t="shared" si="619"/>
        <v>I TRIM</v>
      </c>
      <c r="ER156" s="24"/>
      <c r="ES156" s="22"/>
      <c r="ET156" s="29" t="str">
        <f t="shared" ca="1" si="678"/>
        <v>TOMA DE HEMOGLOBINA TARDÍA</v>
      </c>
      <c r="EU156" s="25" t="str">
        <f t="shared" si="620"/>
        <v/>
      </c>
      <c r="EV156" s="24" t="s">
        <v>1510</v>
      </c>
      <c r="EW156" s="32">
        <v>45051</v>
      </c>
      <c r="EX156" s="22"/>
      <c r="EY156" s="29">
        <f t="shared" si="454"/>
        <v>7.400000000000416</v>
      </c>
      <c r="EZ156" s="25" t="str">
        <f t="shared" si="455"/>
        <v>SIN RIESGO DE ISOINMUNIZACIÓN</v>
      </c>
      <c r="FA156" s="21">
        <v>61</v>
      </c>
      <c r="FB156" s="22">
        <v>45051</v>
      </c>
      <c r="FC156" s="29">
        <f t="shared" si="621"/>
        <v>7.400000000000416</v>
      </c>
      <c r="FD156" s="29"/>
      <c r="FE156" s="29"/>
      <c r="FF156" s="29"/>
      <c r="FG156" s="21" t="str">
        <f t="shared" ca="1" si="622"/>
        <v>TOMAR PTOG</v>
      </c>
      <c r="FH156" s="31"/>
      <c r="FI156" s="29" t="str">
        <f t="shared" si="623"/>
        <v>TOMAR EXAMEN</v>
      </c>
      <c r="FJ156" s="22"/>
      <c r="FK156" s="22"/>
      <c r="FL156" s="29" t="str">
        <f t="shared" ca="1" si="624"/>
        <v>PIERDE TOMA DE TAMIZAJE</v>
      </c>
      <c r="FM156" s="22"/>
      <c r="FN156" s="32"/>
      <c r="FO156" s="29" t="str">
        <f t="shared" ca="1" si="679"/>
        <v>PIERDE TOMA DE TAMIZAJE</v>
      </c>
      <c r="FP156" s="22"/>
      <c r="FQ156" s="32"/>
      <c r="FR156" s="29" t="str">
        <f t="shared" ca="1" si="680"/>
        <v>EN RANGO PARA TOMAR EXAMEN</v>
      </c>
      <c r="FS156" s="22"/>
      <c r="FT156" s="32"/>
      <c r="FU156" s="29" t="str">
        <f>IF(AND(FJ156="",FM156="",FP156="",FS156=""),"",IF(OR(OR(Tabla1[[#This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56" s="28"/>
      <c r="FW156" s="22"/>
      <c r="FX156" s="29" t="str">
        <f t="shared" si="625"/>
        <v>TOMAR EXAMEN</v>
      </c>
      <c r="FY156" s="22">
        <v>45044</v>
      </c>
      <c r="FZ156" s="22">
        <v>45044</v>
      </c>
      <c r="GA156" s="29">
        <f t="shared" ca="1" si="498"/>
        <v>6.400000000000416</v>
      </c>
      <c r="GB156" s="22"/>
      <c r="GC156" s="22"/>
      <c r="GD156" s="29" t="str">
        <f t="shared" ca="1" si="681"/>
        <v>PIERDE TOMA DE TAMIZAJE</v>
      </c>
      <c r="GE156" s="22"/>
      <c r="GF156" s="22"/>
      <c r="GG156" s="29" t="str">
        <f t="shared" ca="1" si="682"/>
        <v>EN RANGO PARA TOMAR EXAMEN</v>
      </c>
      <c r="GH156" s="22"/>
      <c r="GI156" s="29"/>
      <c r="GJ156" s="22"/>
      <c r="GK156" s="22"/>
      <c r="GL156" s="22"/>
      <c r="GM156" s="22"/>
      <c r="GN156" s="28"/>
      <c r="GO156" s="22"/>
      <c r="GP156" s="29" t="str">
        <f t="shared" si="626"/>
        <v>TOMAR EXAMEN</v>
      </c>
      <c r="GQ156" s="28"/>
      <c r="GR156" s="28"/>
      <c r="GS156" s="22" t="str">
        <f t="shared" si="627"/>
        <v/>
      </c>
      <c r="GT156" s="22"/>
      <c r="GU156" s="29" t="str">
        <f t="shared" si="628"/>
        <v>TOMAR EXAMEN</v>
      </c>
      <c r="GV156" s="21" t="str">
        <f t="shared" si="629"/>
        <v>POR DEFINIR</v>
      </c>
      <c r="GW156" s="28"/>
      <c r="GX156" s="30"/>
      <c r="GY156" s="21"/>
      <c r="GZ156" s="21"/>
      <c r="HA156" s="21"/>
      <c r="HB156" s="21"/>
      <c r="HC156" s="21"/>
      <c r="HD156" s="21"/>
      <c r="HE156" s="21"/>
      <c r="HF156" s="22"/>
      <c r="HG156" s="22" t="str">
        <f>IF(OR(O156&gt;0,R156&gt;0),CONCATENATE(IF(Tabla1[[#This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56" s="22" t="e">
        <f t="shared" si="630"/>
        <v>#REF!</v>
      </c>
      <c r="HI156" s="22" t="e">
        <f t="shared" ca="1" si="631"/>
        <v>#REF!</v>
      </c>
      <c r="HJ156" s="21" t="str">
        <f t="shared" ca="1" si="632"/>
        <v>***************************************</v>
      </c>
      <c r="HK156" s="21" t="str">
        <f t="shared" si="633"/>
        <v>SIN ANTECEDENTES DE RIESGO</v>
      </c>
      <c r="HL156" s="24" t="str">
        <f t="shared" si="634"/>
        <v>APARENTEMENTE NORMAL</v>
      </c>
      <c r="HM156" s="21" t="e">
        <f t="shared" ca="1" si="635"/>
        <v>#REF!</v>
      </c>
      <c r="HN156" s="30" t="str">
        <f t="shared" si="683"/>
        <v>ACTIVA INGRESO A CPN</v>
      </c>
      <c r="HO156" s="21"/>
      <c r="HP156" s="21"/>
      <c r="HQ156" s="349">
        <v>45045</v>
      </c>
      <c r="HR156" s="21" t="str">
        <f>IF(R156="","",IF(Tabla1[[#This Row],[ALARMA FACTORES DE RIESGO COMPLICACIONES HIPERTENSIVAS3]]="SIN ANTECEDENTES DE RIESGO","No Aplica para suministro de ASA",IF(AND(Tabla1[[#This Row],[FECHA INICIO DE SUMINISTRO DE ASA]]&gt;0,RV156&lt;12),"Inicia ASA ANTES de Sem 12",IF(AND(RV156&gt;11,RV156&lt;17,OR(HK156="RIESGO ALTO DE COMPLICACIONES HIPERTENSIVAS VER MANEJO GUIA SUMINISTRO ASA Y CALCIO",HK156="RIESGO MODERADO (2 O MAS CRITERIOS) VER MANEJO GUIA SUMINISTRO ASA Y CALCIO")),"Inicio oportuno de ASA",IF(AND(RV156&gt;12,OR(HK156="RIESGO ALTO DE COMPLICACIONES HIPERTENSIVAS VER MANEJO GUIA SUMINISTRO ASA Y CALCIO",HK156="RIESGO MODERADO (2 O MAS CRITERIOS) VER MANEJO GUIA SUMINISTRO ASA Y CALCIO")),"Inicio no oportuno mayor a 16 semanas",IF(AND(BU156&lt;12,OR(HK156="RIESGO ALTO DE COMPLICACIONES HIPERTENSIVAS VER MANEJO GUIA SUMINISTRO ASA Y CALCIO",HK156="RIESGO MODERADO (2 O MAS CRITERIOS) VER MANEJO GUIA SUMINISTRO ASA Y CALCIO")),"Pendiente Inicio de ASA a la semana 12",IF(AND(BU156&gt;11,BU156&lt;17,OR(HK156="RIESGO ALTO DE COMPLICACIONES HIPERTENSIVAS VER MANEJO GUIA SUMINISTRO ASA Y CALCIO",HK156="RIESGO MODERADO (2 O MAS CRITERIOS) VER MANEJO GUIA SUMINISTRO ASA Y CALCIO")),"Iniciar de inmediato ASA",IF(AND(BU156&gt;16,OR(HK156="RIESGO ALTO DE COMPLICACIONES HIPERTENSIVAS VER MANEJO GUIA SUMINISTRO ASA Y CALCIO",HK156="RIESGO MODERADO (2 O MAS CRITERIOS) VER MANEJO GUIA SUMINISTRO ASA Y CALCIO")),"Pierde Oportunidad, Inicio tardío de ASA","XXXXX"))))))))</f>
        <v>No Aplica para suministro de ASA</v>
      </c>
      <c r="HS156" s="22">
        <v>45045</v>
      </c>
      <c r="HT156" s="22" t="s">
        <v>870</v>
      </c>
      <c r="HU156" s="22">
        <v>45045</v>
      </c>
      <c r="HV156" s="22" t="s">
        <v>870</v>
      </c>
      <c r="HW156" s="22">
        <v>45045</v>
      </c>
      <c r="HX156" s="22" t="s">
        <v>870</v>
      </c>
      <c r="HY156" s="22"/>
      <c r="HZ156" s="28" t="str">
        <f t="shared" si="636"/>
        <v>PENDIENTE CONSULTA</v>
      </c>
      <c r="IA156" s="26"/>
      <c r="IB156" s="26"/>
      <c r="IC156" s="111"/>
      <c r="ID156" s="22"/>
      <c r="IE156" s="22" t="str">
        <f t="shared" ca="1" si="637"/>
        <v>INASISTENTE</v>
      </c>
      <c r="IF156" s="22"/>
      <c r="IG156" s="22">
        <f t="shared" si="638"/>
        <v>45279.199999999997</v>
      </c>
      <c r="IH156" s="29">
        <f t="shared" ca="1" si="639"/>
        <v>47.19999999999709</v>
      </c>
      <c r="II156" s="22" t="str">
        <f t="shared" ca="1" si="640"/>
        <v>PENDIENTE</v>
      </c>
      <c r="IJ156" s="22"/>
      <c r="IK156" s="21"/>
      <c r="IL156" s="21"/>
      <c r="IM156" s="34"/>
      <c r="IN156" s="22"/>
      <c r="IO156" s="21"/>
      <c r="IP156" s="29" t="str">
        <f t="shared" si="674"/>
        <v/>
      </c>
      <c r="IQ156" s="35"/>
      <c r="IR156" s="21"/>
      <c r="IS156" s="21"/>
      <c r="IT156" s="21"/>
      <c r="IU156" s="21"/>
      <c r="IV156" s="21"/>
      <c r="IW156" s="21"/>
      <c r="IX156" s="21"/>
      <c r="IY156" s="21"/>
      <c r="IZ156" s="21"/>
      <c r="JA156" s="21"/>
      <c r="JB156" s="30"/>
      <c r="JC156" s="21"/>
      <c r="JD156" s="36"/>
      <c r="JE156" s="21" t="str">
        <f t="shared" si="684"/>
        <v/>
      </c>
      <c r="JF156" s="30"/>
      <c r="JG156" s="21"/>
      <c r="JH156" s="21"/>
      <c r="JI156" s="21"/>
      <c r="JJ156" s="30"/>
      <c r="JK156" s="22"/>
      <c r="JL156" s="22"/>
      <c r="JM156" s="21"/>
      <c r="JN156" s="36"/>
      <c r="JO156" s="21" t="str">
        <f t="shared" si="685"/>
        <v/>
      </c>
      <c r="JP156" s="22"/>
      <c r="JQ156" s="21"/>
      <c r="JR156" s="21"/>
      <c r="JS156" s="21"/>
      <c r="JT156" s="30"/>
      <c r="JU156" s="22"/>
      <c r="JV156" s="22"/>
      <c r="JW156" s="33"/>
      <c r="JX156" s="28" t="str">
        <f t="shared" si="686"/>
        <v/>
      </c>
      <c r="JY156" s="33"/>
      <c r="JZ156" s="28" t="str">
        <f t="shared" si="687"/>
        <v/>
      </c>
      <c r="KA156" s="21"/>
      <c r="KB156" s="21"/>
      <c r="KC156" s="21"/>
      <c r="KD156" s="37"/>
      <c r="KE156" s="28"/>
      <c r="KF156" s="28"/>
      <c r="KG156" s="28"/>
      <c r="KH156" s="39"/>
      <c r="KI156" s="39"/>
      <c r="KJ156" s="66"/>
      <c r="KK156" s="39"/>
      <c r="KL156" s="39"/>
      <c r="KM156" s="66"/>
      <c r="KN156" s="39"/>
      <c r="KO156" s="39"/>
      <c r="KP156" s="39"/>
      <c r="KQ156" s="39"/>
      <c r="KR156" s="39"/>
      <c r="KS156" s="39"/>
      <c r="KT156" s="39"/>
      <c r="KU156" s="38"/>
      <c r="KV156" s="38"/>
      <c r="KW156" s="38"/>
      <c r="KX156" s="38"/>
      <c r="KY156" s="38"/>
      <c r="KZ156" s="38"/>
      <c r="LA156" s="38"/>
      <c r="LB156" s="38"/>
      <c r="LC156" s="38"/>
      <c r="LD156" s="38"/>
      <c r="LE156" s="38"/>
      <c r="LF156" s="38"/>
      <c r="LG156" s="38"/>
      <c r="LH156" s="38"/>
      <c r="LI156" s="38"/>
      <c r="LJ156" s="38"/>
      <c r="LK156" s="38"/>
      <c r="LL156" s="38"/>
      <c r="LM156" s="38"/>
      <c r="LN156" s="38"/>
      <c r="LO156" s="38"/>
      <c r="LP156" s="38"/>
      <c r="LQ156" s="38"/>
      <c r="LR156" s="38"/>
      <c r="LS156" s="38"/>
      <c r="LT156" s="38"/>
      <c r="LU156" s="38"/>
      <c r="LV156" s="38"/>
      <c r="LW156" s="38"/>
      <c r="LX156" s="38"/>
      <c r="LY156" s="38"/>
      <c r="LZ156" s="38"/>
      <c r="MA156" s="38"/>
      <c r="MB156" s="38"/>
      <c r="MC156" s="38"/>
      <c r="MD156" s="38"/>
      <c r="ME156" s="38"/>
      <c r="MF156" s="38"/>
      <c r="MG156" s="38"/>
      <c r="MH156" s="43">
        <f t="shared" si="641"/>
        <v>0</v>
      </c>
      <c r="MI156" s="43" t="str">
        <f t="shared" si="642"/>
        <v/>
      </c>
      <c r="MJ156" s="43" t="str">
        <f t="shared" si="643"/>
        <v/>
      </c>
      <c r="MK156" s="43">
        <f t="shared" si="644"/>
        <v>0</v>
      </c>
      <c r="ML15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56" s="43">
        <f t="shared" si="645"/>
        <v>6.5428571428575584</v>
      </c>
      <c r="MN156" s="43">
        <f t="shared" si="646"/>
        <v>4</v>
      </c>
      <c r="MO156" s="43">
        <f t="shared" si="647"/>
        <v>2023</v>
      </c>
      <c r="MP156" s="43" t="str">
        <f t="shared" si="648"/>
        <v>II TRIMESTRE AÑO</v>
      </c>
      <c r="MQ156" s="43">
        <f t="shared" si="649"/>
        <v>34.346254927726676</v>
      </c>
      <c r="MR156" s="43">
        <f t="shared" si="650"/>
        <v>0</v>
      </c>
      <c r="MS156" s="43" t="str">
        <f t="shared" si="651"/>
        <v xml:space="preserve"> DE 30 A 34 AÑOS</v>
      </c>
      <c r="MT156" s="43">
        <f t="shared" si="652"/>
        <v>0</v>
      </c>
      <c r="MU156" s="43">
        <f t="shared" si="653"/>
        <v>0</v>
      </c>
      <c r="MV156" s="43">
        <f t="shared" si="654"/>
        <v>0</v>
      </c>
      <c r="MW156" s="43">
        <f t="shared" si="655"/>
        <v>0</v>
      </c>
      <c r="MX156" s="43" t="str">
        <f t="shared" si="656"/>
        <v/>
      </c>
      <c r="MY156" s="43" t="str">
        <f t="shared" ca="1" si="688"/>
        <v/>
      </c>
      <c r="MZ156" s="43" t="str">
        <f t="shared" si="657"/>
        <v/>
      </c>
      <c r="NA156" s="43" t="str">
        <f t="shared" si="658"/>
        <v/>
      </c>
      <c r="NB156" s="43" t="str">
        <f t="shared" si="659"/>
        <v/>
      </c>
      <c r="NC156" s="43" t="str">
        <f t="shared" si="660"/>
        <v/>
      </c>
      <c r="ND156" s="43">
        <f t="shared" ca="1" si="661"/>
        <v>0</v>
      </c>
      <c r="NE156" s="43">
        <f>IF(OR(O156&gt;0,R156&gt;0),SUM(COUNTIF(Tabla1[[#This Row],[AÑOS AL INICIO5 CPN]],"&gt;=40"),COUNTIF(AS156,"0"),COUNTIF(AR156,"SI"),COUNTIF(CC156,"SI"),COUNTIF(BQ156,"&gt;119"),COUNTIF(CI156,"&gt;=35")),"")</f>
        <v>0</v>
      </c>
      <c r="NF156" s="43" t="str">
        <f t="shared" si="662"/>
        <v/>
      </c>
      <c r="NG156" s="43">
        <f t="shared" si="663"/>
        <v>0</v>
      </c>
      <c r="NH156" s="43">
        <f t="shared" si="664"/>
        <v>51.800000000000004</v>
      </c>
      <c r="NI15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CPN",P156="NO"),"Z",IF(AND(Tabla1[[#This Row],[CITA PROXIMO CONTROL]]="CITA MANUAL",Tabla1[[#This Row],[GESTANTES ACTUALES]]="ACTIVA INGRESO A CPN"),"W",IF(AND(Tabla1[[#This Row],[GESTANTES ACTUALES]]="SALIO PROGRAMA",IN156=""),"S",IF(AND(Tabla1[[#This Row],[CITA PROXIMO CONTROL]]&gt;0,IN156=""),(Tabla1[[#This Row],[CITA PROXIMO CONTROL]]-TODAY()),"SD"))))))))</f>
        <v>#REF!</v>
      </c>
      <c r="NJ156" s="43">
        <f>MONTH(Tabla1[[#This Row],[FECHA DE SALIDA  DEL PROGRAMA]])</f>
        <v>1</v>
      </c>
      <c r="NK156" s="43">
        <f>YEAR(Tabla1[[#This Row],[FECHA DE SALIDA  DEL PROGRAMA]])</f>
        <v>1900</v>
      </c>
      <c r="NL156" s="43" t="str">
        <f t="shared" si="665"/>
        <v>X</v>
      </c>
      <c r="NM156" s="43" t="str">
        <f t="shared" si="501"/>
        <v>NO</v>
      </c>
      <c r="NN156" s="43" t="str">
        <f ca="1">IF(AND(O156&gt;0,R156=""),"NO CPN",IF(AND(O156="",R156=""),"",IF(AND(R156&gt;0,Tabla1[[#This Row],[SEMANAS DE GESTACION ACTUALIZADAS]]&lt;=12),"NO APLICA",IF(AND(FH156&lt;&gt;"",FN156&lt;&gt;""),"SI","NO"))))</f>
        <v>NO</v>
      </c>
      <c r="NO156" s="43" t="str">
        <f ca="1">IF(AND(O156&gt;0,R156=""),"NO CPN",IF(AND(O156="",R156=""),"",IF(AND(R156&gt;0,Tabla1[[#This Row],[SEMANAS DE GESTACION ACTUALIZADAS]]&lt;=27),"NO APLICA",IF(AND(ES156&lt;&gt;"",FQ156&lt;&gt;"",GF156&lt;&gt;""),"SI","NO"))))</f>
        <v>NO</v>
      </c>
      <c r="NP156" s="204" t="str">
        <f t="shared" si="666"/>
        <v>I TRIM</v>
      </c>
      <c r="NQ156" s="21" t="str">
        <f t="shared" si="691"/>
        <v/>
      </c>
      <c r="NR156" s="21">
        <f t="shared" ca="1" si="689"/>
        <v>3</v>
      </c>
      <c r="NS156" s="205">
        <f t="shared" ca="1" si="667"/>
        <v>0</v>
      </c>
      <c r="NT156" s="21">
        <f t="shared" ca="1" si="668"/>
        <v>1</v>
      </c>
      <c r="NU156" s="21" t="str">
        <f t="shared" ca="1" si="669"/>
        <v>INCOMPLETO</v>
      </c>
      <c r="NV156" s="21" t="str">
        <f t="shared" ca="1" si="670"/>
        <v>INCOMPLETO</v>
      </c>
      <c r="NW156" s="206" t="str">
        <f>IF(AND(O156="",R156=""),"",IF(OR(AND(Tabla1[[#This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56" s="207" t="str">
        <f t="shared" ca="1" si="671"/>
        <v>SIN VACUNAR</v>
      </c>
      <c r="NY156" s="43">
        <f>ROW(Tabla1[[#This Row],['# DE TAMIZAJES SIFILIS TOMADOS ]])</f>
        <v>156</v>
      </c>
      <c r="NZ156" s="43" t="str">
        <f t="shared" si="502"/>
        <v>Menor</v>
      </c>
      <c r="OA156" s="43" t="str">
        <f t="shared" si="503"/>
        <v>OBESIDAD</v>
      </c>
      <c r="OB156" s="43" t="str">
        <f t="shared" si="504"/>
        <v/>
      </c>
      <c r="OC156" s="43" t="str">
        <f t="shared" si="505"/>
        <v/>
      </c>
      <c r="OD156" s="43" t="str">
        <f t="shared" si="506"/>
        <v/>
      </c>
      <c r="OE156" s="43" t="str">
        <f t="shared" si="507"/>
        <v/>
      </c>
      <c r="OF156" s="43" t="str">
        <f t="shared" si="508"/>
        <v/>
      </c>
      <c r="OG156" s="43" t="str">
        <f t="shared" si="509"/>
        <v/>
      </c>
      <c r="OH156" s="43" t="str">
        <f t="shared" si="510"/>
        <v/>
      </c>
      <c r="OI156" s="43" t="str">
        <f t="shared" si="511"/>
        <v/>
      </c>
      <c r="OJ156" s="43" t="str">
        <f t="shared" si="512"/>
        <v/>
      </c>
      <c r="OK156" s="43" t="str">
        <f t="shared" si="513"/>
        <v/>
      </c>
      <c r="OL156" s="43" t="str">
        <f t="shared" si="514"/>
        <v/>
      </c>
      <c r="OM156" s="43" t="str">
        <f t="shared" si="515"/>
        <v/>
      </c>
      <c r="ON156" s="43" t="str">
        <f t="shared" si="516"/>
        <v/>
      </c>
      <c r="OO156" s="43" t="str">
        <f t="shared" si="517"/>
        <v/>
      </c>
      <c r="OP156" s="43" t="str">
        <f t="shared" si="518"/>
        <v/>
      </c>
      <c r="OQ156" s="43" t="str">
        <f t="shared" si="519"/>
        <v/>
      </c>
      <c r="OR156" s="43" t="str">
        <f t="shared" si="520"/>
        <v/>
      </c>
      <c r="OS156" s="43" t="str">
        <f t="shared" si="521"/>
        <v/>
      </c>
      <c r="OT156" s="43" t="str">
        <f t="shared" si="522"/>
        <v/>
      </c>
      <c r="OU156" s="43" t="str">
        <f t="shared" si="523"/>
        <v/>
      </c>
      <c r="OV156" s="110" t="str">
        <f t="shared" si="524"/>
        <v/>
      </c>
      <c r="OW156" s="43" t="str">
        <f t="shared" si="525"/>
        <v/>
      </c>
      <c r="OX156" s="43" t="str">
        <f t="shared" si="526"/>
        <v/>
      </c>
      <c r="OY156" s="43" t="str">
        <f t="shared" si="527"/>
        <v/>
      </c>
      <c r="OZ156" s="43" t="str">
        <f t="shared" si="528"/>
        <v/>
      </c>
      <c r="PA156" s="43" t="str">
        <f t="shared" si="529"/>
        <v/>
      </c>
      <c r="PB156" s="43" t="str">
        <f t="shared" si="530"/>
        <v/>
      </c>
      <c r="PC156" s="43" t="str">
        <f t="shared" si="531"/>
        <v/>
      </c>
      <c r="PD156" s="43" t="str">
        <f t="shared" si="532"/>
        <v/>
      </c>
      <c r="PE156" s="43" t="str">
        <f t="shared" si="533"/>
        <v/>
      </c>
      <c r="PF156" s="43" t="str">
        <f t="shared" si="534"/>
        <v/>
      </c>
      <c r="PG156" s="43" t="str">
        <f t="shared" si="535"/>
        <v/>
      </c>
      <c r="PH156" s="43" t="str">
        <f t="shared" si="536"/>
        <v/>
      </c>
      <c r="PI156" s="43">
        <f t="shared" si="537"/>
        <v>16</v>
      </c>
      <c r="PJ156" s="43" t="str">
        <f t="shared" si="538"/>
        <v/>
      </c>
      <c r="PK156" s="43" t="str">
        <f t="shared" si="539"/>
        <v/>
      </c>
      <c r="PL156" s="43" t="str">
        <f t="shared" si="540"/>
        <v/>
      </c>
      <c r="PM156" s="43" t="str">
        <f t="shared" si="541"/>
        <v/>
      </c>
      <c r="PN156" s="43" t="str">
        <f t="shared" si="542"/>
        <v/>
      </c>
      <c r="PO156" s="43" t="str">
        <f t="shared" si="543"/>
        <v/>
      </c>
      <c r="PP156" s="43" t="str">
        <f t="shared" si="544"/>
        <v/>
      </c>
      <c r="PQ156" s="43" t="str">
        <f t="shared" si="545"/>
        <v>OBESIDAD</v>
      </c>
      <c r="PR156" s="43" t="str">
        <f t="shared" si="546"/>
        <v/>
      </c>
      <c r="PS156" s="43" t="str">
        <f t="shared" si="547"/>
        <v/>
      </c>
      <c r="PT156" s="43" t="str">
        <f t="shared" si="548"/>
        <v/>
      </c>
      <c r="PU156" s="43" t="str">
        <f t="shared" si="549"/>
        <v/>
      </c>
      <c r="PV156" s="43" t="str">
        <f t="shared" si="550"/>
        <v/>
      </c>
      <c r="PW156" s="43" t="str">
        <f t="shared" si="551"/>
        <v/>
      </c>
      <c r="PX156" s="43" t="str">
        <f t="shared" si="552"/>
        <v/>
      </c>
      <c r="PY156" s="43" t="str">
        <f t="shared" si="553"/>
        <v/>
      </c>
      <c r="PZ156" s="43" t="str">
        <f t="shared" si="554"/>
        <v/>
      </c>
      <c r="QA156" s="43" t="str">
        <f t="shared" si="555"/>
        <v/>
      </c>
      <c r="QB156" s="43" t="str">
        <f t="shared" si="556"/>
        <v/>
      </c>
      <c r="QC156" s="43" t="str">
        <f t="shared" si="557"/>
        <v/>
      </c>
      <c r="QD156" s="43" t="str">
        <f t="shared" si="558"/>
        <v/>
      </c>
      <c r="QE156" s="43" t="str">
        <f t="shared" si="559"/>
        <v/>
      </c>
      <c r="QF156" s="43" t="str">
        <f t="shared" si="560"/>
        <v/>
      </c>
      <c r="QG156" s="43" t="str">
        <f t="shared" si="561"/>
        <v/>
      </c>
      <c r="QH156" s="43" t="str">
        <f t="shared" si="562"/>
        <v/>
      </c>
      <c r="QI156" s="43" t="str">
        <f t="shared" si="563"/>
        <v/>
      </c>
      <c r="QJ156" s="43" t="str">
        <f t="shared" si="564"/>
        <v/>
      </c>
      <c r="QK156" s="43" t="str">
        <f t="shared" si="565"/>
        <v/>
      </c>
      <c r="QL156" s="43" t="str">
        <f t="shared" si="566"/>
        <v/>
      </c>
      <c r="QM156" s="43" t="str">
        <f t="shared" si="567"/>
        <v/>
      </c>
      <c r="QN156" s="43" t="str">
        <f t="shared" si="568"/>
        <v/>
      </c>
      <c r="QO156" s="43" t="str">
        <f t="shared" si="569"/>
        <v/>
      </c>
      <c r="QP156" s="43" t="str">
        <f t="shared" si="570"/>
        <v/>
      </c>
      <c r="QQ156" s="43" t="str">
        <f t="shared" si="571"/>
        <v/>
      </c>
      <c r="QR156" s="43">
        <f t="shared" si="672"/>
        <v>16</v>
      </c>
      <c r="QS156" s="43"/>
      <c r="QT156" s="21" t="str">
        <f t="shared" si="572"/>
        <v/>
      </c>
      <c r="QU156" s="21" t="str">
        <f t="shared" si="573"/>
        <v/>
      </c>
      <c r="QV156" s="21" t="str">
        <f t="shared" si="574"/>
        <v/>
      </c>
      <c r="QW156" s="21" t="str">
        <f t="shared" si="575"/>
        <v>ADECUADO PARA EDAD GESTACIONAL</v>
      </c>
      <c r="QX156" s="21" t="str">
        <f t="shared" si="576"/>
        <v/>
      </c>
      <c r="QY156" s="21" t="str">
        <f t="shared" si="577"/>
        <v/>
      </c>
      <c r="QZ156" s="21" t="str">
        <f t="shared" si="578"/>
        <v/>
      </c>
      <c r="RA156" s="21" t="str">
        <f t="shared" si="579"/>
        <v/>
      </c>
      <c r="RB156" s="21" t="str">
        <f t="shared" si="580"/>
        <v/>
      </c>
      <c r="RC156" s="21" t="str">
        <f t="shared" si="581"/>
        <v/>
      </c>
      <c r="RD156" s="21" t="str">
        <f t="shared" si="582"/>
        <v/>
      </c>
      <c r="RE156" s="21" t="str">
        <f t="shared" si="583"/>
        <v/>
      </c>
      <c r="RF156" s="21" t="str">
        <f t="shared" si="584"/>
        <v/>
      </c>
      <c r="RG156" s="21" t="str">
        <f t="shared" si="585"/>
        <v/>
      </c>
      <c r="RH156" s="21" t="str">
        <f t="shared" si="586"/>
        <v/>
      </c>
      <c r="RI156" s="21" t="str">
        <f t="shared" si="587"/>
        <v/>
      </c>
      <c r="RJ156" s="21" t="str">
        <f t="shared" si="588"/>
        <v/>
      </c>
      <c r="RK156" s="21" t="str">
        <f t="shared" si="589"/>
        <v/>
      </c>
      <c r="RL156" s="21" t="str">
        <f t="shared" si="590"/>
        <v/>
      </c>
      <c r="RM156" s="21" t="str">
        <f t="shared" si="591"/>
        <v/>
      </c>
      <c r="RN156" s="21" t="str">
        <f t="shared" si="592"/>
        <v/>
      </c>
      <c r="RO156" s="21" t="str">
        <f t="shared" si="593"/>
        <v/>
      </c>
      <c r="RP156" s="21" t="str">
        <f t="shared" si="594"/>
        <v/>
      </c>
      <c r="RQ156" s="21" t="str">
        <f t="shared" si="595"/>
        <v/>
      </c>
      <c r="RR156" s="21" t="str">
        <f t="shared" si="596"/>
        <v/>
      </c>
      <c r="RS156" s="21" t="str">
        <f t="shared" si="597"/>
        <v/>
      </c>
      <c r="RT156" s="21" t="str">
        <f t="shared" si="598"/>
        <v/>
      </c>
      <c r="RU156" s="21" t="str">
        <f t="shared" si="599"/>
        <v/>
      </c>
      <c r="RV156" s="21">
        <f t="shared" si="600"/>
        <v>6.5428571428575584</v>
      </c>
      <c r="RW156" s="284">
        <f>IF(OR(Tabla1[[#This Row],[FUM FORMULA CONFIABLE]]="",Tabla1[[#This Row],[FUM FORMULA CONFIABLE]]="SD"),"",IF(Tabla1[[#This Row],[FUM FORMULA CONFIABLE]]="CORREGIDA",Tabla1[[#This Row],[FUM X ECO 1]],Tabla1[[#This Row],[FUM x AMENORREA]]))</f>
        <v>44999.199999999997</v>
      </c>
      <c r="RX156" s="21">
        <f>IF(AND(Tabla1[[#This Row],[FUM X ECO 1]]="",Tabla1[[#This Row],[FUM x AMENORREA]]=""),"",IF(AND(Tabla1[[#This Row],[FUM X ECO 1]]="",Tabla1[[#This Row],[FUM x AMENORREA]]&lt;&gt;""),"X",SUM(Tabla1[[#This Row],[FUM X ECO 1]]-Tabla1[[#This Row],[FUM x AMENORREA]])))</f>
        <v>8.1999999999970896</v>
      </c>
      <c r="RY156" s="21">
        <f t="shared" si="673"/>
        <v>1</v>
      </c>
    </row>
    <row r="157" spans="1:493" ht="45" customHeight="1" x14ac:dyDescent="0.25">
      <c r="A157" s="109"/>
      <c r="B157" s="43"/>
      <c r="C157" s="43" t="s">
        <v>845</v>
      </c>
      <c r="D157" s="124"/>
      <c r="E157" s="43" t="s">
        <v>896</v>
      </c>
      <c r="F157" s="43" t="s">
        <v>943</v>
      </c>
      <c r="G157" s="43" t="s">
        <v>1452</v>
      </c>
      <c r="H157" s="43" t="s">
        <v>1372</v>
      </c>
      <c r="I157" s="109" t="s">
        <v>851</v>
      </c>
      <c r="J157" s="110">
        <v>1059599315</v>
      </c>
      <c r="K157" s="43" t="s">
        <v>852</v>
      </c>
      <c r="L157" s="175" t="s">
        <v>853</v>
      </c>
      <c r="M157" s="22">
        <v>33214</v>
      </c>
      <c r="N157" s="213">
        <f t="shared" ca="1" si="601"/>
        <v>32.926027397260277</v>
      </c>
      <c r="O157" s="22">
        <v>45042</v>
      </c>
      <c r="P157" s="214" t="str">
        <f t="shared" si="675"/>
        <v>SI</v>
      </c>
      <c r="Q157" s="26" t="s">
        <v>855</v>
      </c>
      <c r="R157" s="22">
        <v>45042</v>
      </c>
      <c r="S157" s="21" t="s">
        <v>856</v>
      </c>
      <c r="T157" s="24" t="s">
        <v>690</v>
      </c>
      <c r="U157" s="21" t="s">
        <v>857</v>
      </c>
      <c r="V157" s="21" t="s">
        <v>858</v>
      </c>
      <c r="W157" s="21" t="s">
        <v>1453</v>
      </c>
      <c r="X157" s="21"/>
      <c r="Y157" s="21"/>
      <c r="Z157" s="21">
        <v>3161509698</v>
      </c>
      <c r="AA157" s="21" t="s">
        <v>860</v>
      </c>
      <c r="AB157" s="27" t="s">
        <v>861</v>
      </c>
      <c r="AC157" s="26" t="s">
        <v>1434</v>
      </c>
      <c r="AD157" s="38" t="s">
        <v>1546</v>
      </c>
      <c r="AE157" s="26" t="s">
        <v>854</v>
      </c>
      <c r="AF157" s="26" t="s">
        <v>854</v>
      </c>
      <c r="AG157" s="23" t="s">
        <v>864</v>
      </c>
      <c r="AH157" s="23" t="s">
        <v>864</v>
      </c>
      <c r="AI157" s="24" t="s">
        <v>863</v>
      </c>
      <c r="AJ157" s="23" t="s">
        <v>864</v>
      </c>
      <c r="AK157" s="220" t="str">
        <f>IF(AND(AD157="",AE157="",AF157="",AG157="",AH157="",AI157="",AJ157=""),"",IF(OR(Tabla1[[#This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EVALUACIÓN",IF(AND(O157="",R157=""),"",IF(AND(OR(O157&gt;0,R157&gt;0),NG157&gt;=0,NG157&lt;2),"SIN RIESGO",IF(AND(OR(O157&gt;0,R157&gt;0),NG157&gt;=2),"CON RIESGO","ASD")))))</f>
        <v>SIN RIESGO</v>
      </c>
      <c r="AL157" s="23" t="s">
        <v>854</v>
      </c>
      <c r="AM157" s="26" t="s">
        <v>864</v>
      </c>
      <c r="AN157" s="26" t="s">
        <v>864</v>
      </c>
      <c r="AO157" s="26" t="s">
        <v>864</v>
      </c>
      <c r="AP157" s="26" t="s">
        <v>864</v>
      </c>
      <c r="AQ157" s="26" t="s">
        <v>864</v>
      </c>
      <c r="AR157" s="26" t="s">
        <v>864</v>
      </c>
      <c r="AS157" s="21">
        <v>2</v>
      </c>
      <c r="AT157" s="21">
        <v>2</v>
      </c>
      <c r="AU157" s="21">
        <v>0</v>
      </c>
      <c r="AV157" s="26" t="s">
        <v>864</v>
      </c>
      <c r="AW157" s="21">
        <v>0</v>
      </c>
      <c r="AX157" s="26" t="s">
        <v>864</v>
      </c>
      <c r="AY157" s="26" t="s">
        <v>864</v>
      </c>
      <c r="AZ157" s="26" t="s">
        <v>864</v>
      </c>
      <c r="BA157" s="26" t="s">
        <v>864</v>
      </c>
      <c r="BB157" s="26" t="s">
        <v>864</v>
      </c>
      <c r="BC157" s="26" t="s">
        <v>864</v>
      </c>
      <c r="BD157" s="26" t="s">
        <v>864</v>
      </c>
      <c r="BE157" s="26" t="s">
        <v>864</v>
      </c>
      <c r="BF157" s="26" t="s">
        <v>864</v>
      </c>
      <c r="BG157" s="26" t="s">
        <v>864</v>
      </c>
      <c r="BH157" s="26" t="s">
        <v>864</v>
      </c>
      <c r="BI157" s="26" t="s">
        <v>864</v>
      </c>
      <c r="BJ157" s="26" t="s">
        <v>864</v>
      </c>
      <c r="BK157" s="26" t="s">
        <v>865</v>
      </c>
      <c r="BL157" s="26" t="s">
        <v>864</v>
      </c>
      <c r="BM157" s="26" t="s">
        <v>864</v>
      </c>
      <c r="BN157" s="22">
        <v>43462</v>
      </c>
      <c r="BO157" s="22">
        <v>45013</v>
      </c>
      <c r="BP157" s="21" t="s">
        <v>854</v>
      </c>
      <c r="BQ157" s="222">
        <f t="shared" si="602"/>
        <v>51.7</v>
      </c>
      <c r="BR157" s="223">
        <f t="shared" si="603"/>
        <v>45008.3</v>
      </c>
      <c r="BS157" s="224">
        <f t="shared" si="604"/>
        <v>4.1428571428571432</v>
      </c>
      <c r="BT157" s="216" t="str">
        <f t="shared" si="605"/>
        <v>I TRIM</v>
      </c>
      <c r="BU157" s="214">
        <f t="shared" ca="1" si="606"/>
        <v>31.285714285714285</v>
      </c>
      <c r="BV157" s="25" t="s">
        <v>1478</v>
      </c>
      <c r="BW157" s="22">
        <v>45051</v>
      </c>
      <c r="BX157" s="28">
        <v>6.1</v>
      </c>
      <c r="BY157" s="28"/>
      <c r="BZ157" s="22"/>
      <c r="CA157" s="21"/>
      <c r="CB157" s="26" t="s">
        <v>864</v>
      </c>
      <c r="CC157" s="26" t="s">
        <v>865</v>
      </c>
      <c r="CD157" s="26"/>
      <c r="CE157" s="26" t="s">
        <v>864</v>
      </c>
      <c r="CF157" s="22" t="s">
        <v>1517</v>
      </c>
      <c r="CG157" s="21">
        <v>1.51</v>
      </c>
      <c r="CH157" s="21">
        <v>62.8</v>
      </c>
      <c r="CI157" s="214">
        <f t="shared" si="607"/>
        <v>27.542651638086049</v>
      </c>
      <c r="CJ157" s="225" t="str">
        <f>IF(AND(CI157&lt;10,CH157="SD"),"SIN DATO PESO PREGESTACION O I TRIM",IF(AND(OR(R157&gt;0,O157&gt;0),CI157="X"),"INGRESAR DATO DE PESO",IF(CI157="SD","INGRESAR DATO DE TALLA Y PESO",IF(AND(OR(Tabla1[[#This Row],[MOMENTO EN QUE SE REALIZA EL PESO AL INGRESO A CPN]]="PREGESTACIÓN",NZ157="Menor"),CI157&lt;18.5),"BAJO PESO",IF(AND(OR(Tabla1[[#This Row],[MOMENTO EN QUE SE REALIZA EL PESO AL INGRESO A CPN]]="PREGESTACIÓN",NZ157="Menor"),CI157&lt;25),"NORMAL",IF(AND(OR(Tabla1[[#This Row],[MOMENTO EN QUE SE REALIZA EL PESO AL INGRESO A CPN]]="PREGESTACIÓN",NZ157="Menor"),CI157&lt;30),"SOBREPESO",IF(AND(OR(Tabla1[[#This Row],[MOMENTO EN QUE SE REALIZA EL PESO AL INGRESO A CPN]]="PREGESTACIÓN",NZ157="Menor"),CI157&gt;=30,CI157&lt;50),"OBESIDAD",IF(AND(BS157&gt;0,Tabla1[[#This Row],[MOMENTO EN QUE SE REALIZA EL PESO AL INGRESO A CPN]]="GESTACIÓN"),HLOOKUP(NZ157,$OA$2:PH157,NY157),""))))))))</f>
        <v>SOBREPESO</v>
      </c>
      <c r="CK157" s="212">
        <f t="shared" si="608"/>
        <v>45140</v>
      </c>
      <c r="CL157" s="21">
        <v>63.2</v>
      </c>
      <c r="CM157" s="214">
        <f t="shared" si="609"/>
        <v>27.718082540239465</v>
      </c>
      <c r="CN157" s="216">
        <f t="shared" si="610"/>
        <v>18</v>
      </c>
      <c r="CO157" s="216" t="e">
        <f>IF(PI157="","",IF(PI157&gt;0,HLOOKUP(PI157,$PJ$2:QQ157,NY157),""))</f>
        <v>#REF!</v>
      </c>
      <c r="CP157" s="21">
        <v>17</v>
      </c>
      <c r="CQ157" s="216" t="e">
        <f>IF(QR157="Menor","NO APLICA-MENOR 13 SEM",IF(AND(CC157="SI",CN157&gt;23),"NO APLICA- GEMELAR",IF(QR157="","",IF(QR157&gt;0,HLOOKUP(QR157,$QS$2:RU157,NY157),""))))</f>
        <v>#REF!</v>
      </c>
      <c r="CR157" s="21">
        <v>100</v>
      </c>
      <c r="CS157" s="21">
        <v>60</v>
      </c>
      <c r="CT157" s="217" t="str">
        <f>IF(R157="","",IF(AND(BS157&gt;1,BS157&lt;12,Tabla1[[#This Row],[T.A. SISTOLICA - ANTES DE SEMANA 12]]="",Tabla1[[#This Row],[T.A. DIASTOLICA - ANTES DE SEMANA 12]]=""),"REGISTRE DATO TA ANTES SEMANA 12",IF(AND(BS157&gt;11,BS157&lt;43,Tabla1[[#This Row],[T.A. SISTOLICA - ANTES DE SEMANA 12]]="",Tabla1[[#This Row],[T.A. DIASTOLICA - ANTES DE SEMANA 12]]=""),"NO APLICA REGISTRO TA-INGRESO TARDIO",IF(AND(OR(O157&gt;0,R157&gt;0),OR(CR157&gt;=140,CS157&gt;=90)),"DEFINIR ESTADIO HTA",IF(AND(OR(O157&gt;0,R157&gt;0),AND(CR157&gt;120,CR157&lt;=139)),"PRE HTA SEGUIMIENTO",IF(AND(OR(O157&gt;0,R157&gt;0),AND(CS157&gt;80,CS157&lt;=89)),"PRE HTA SEGUIMIENTO",IF(AND(OR(O157&gt;0,R157&gt;0),AND(CR157&gt;=80,CR157&lt;=120)),"APARENTEMENTE NORMAL",IF(AND(OR(O157&gt;0,R157&gt;0),AND(CS157&gt;=50,CS157&lt;=80)),"APARENTEMENTE NORMAL",IF(AND(OR(O157&gt;0,R157&gt;0),AND(CR157&gt;1,CR157&lt;=70),AND(CS157&gt;1,CS157&lt;=40)),"HIPOTENSIÓN","")))))))))</f>
        <v>APARENTEMENTE NORMAL</v>
      </c>
      <c r="CU157" s="21"/>
      <c r="CV157" s="21"/>
      <c r="CW157" s="217" t="str">
        <f ca="1">IF(R157="","",IF(AND(CN157&gt;19,CN157&lt;27,Tabla1[[#This Row],[T.A. SISTOLICA (Entre semana 20 y 26)]]="",Tabla1[[#This Row],[T.A. DIATOLICA (Entre semana 20 y 26)]]=""),"ACUDE A CONTROL SEM 20 A 26 REGISTRE TA AHORA",IF(AND(BS157&gt;1,BS157&lt;27,BU157&gt;19,Tabla1[[#This Row],[T.A. SISTOLICA (Entre semana 20 y 26)]]="",Tabla1[[#This Row],[T.A. DIATOLICA (Entre semana 20 y 26)]]=""),"COMPLETE REGISTRO TA CONTROL SEM 20 A26 ",IF(AND(BS157&gt;26,BS157&lt;43,Tabla1[[#This Row],[T.A. SISTOLICA (Entre semana 20 y 26)]]="",Tabla1[[#This Row],[T.A. DIATOLICA (Entre semana 20 y 26)]]=""),"NO APLICA REGISTRO TA-INGRESO TARDIO",IF(AND(OR(O157&gt;0,R157&gt;0),OR(CU157&gt;=140,CV157&gt;=90)),"ALTO RIESGO PREECLAMPSIA,DEFINIR ESTADIO HTA",IF(AND(OR(O157&gt;0,R157&gt;0),AND(CU157&gt;120,CU157&lt;=139)),"PRE HTA SEGUIMIENTO,RIESGO HIPERTENSION INDUCIDA POR EL EMBARAZO",IF(AND(OR(O157&gt;0,R157&gt;0),AND(CV157&gt;80,CV157&lt;=89)),"PRE HTA SEGUIMIENTO, RIESGO HIPERTENSION INDUCIDA POR EL EMBARAZO",IF(AND(OR(O157&lt;&gt;"",R157&lt;&gt;""),CS157&lt;&gt;"",CV157&lt;&gt;"",CS157&lt;=CV157),"VIGILAR CIFRAS PRESION ARTERIAL",IF(AND(OR(O157&gt;0,R157&gt;0),AND(CU157&gt;120,CU157&lt;=139)),"PRE HTA SEGUIMIENTO",IF(AND(OR(O157&gt;0,R157&gt;0),AND(CU157&gt;1,CU157&lt;=70),AND(CV157&gt;1,CV157&lt;=40)),"HIPOTENSIÓN",IF(AND(OR(O157&lt;&gt;"",R157&lt;&gt;""),CS157&lt;&gt;"",CV157&lt;&gt;"",CS157&gt;CV157),"APARENTEMENTE NORMAL",IF(AND(OR(O157&gt;0,R157&gt;0),AND(CU157&gt;=80,CU157&lt;=120)),"APARENTEMENTE NORMAL",IF(AND(OR(O157&gt;0,R157&gt;0),AND(CV157&gt;=50,CV157&lt;=80)),"APARENTEMENTE NORMAL","")))))))))))))</f>
        <v xml:space="preserve">COMPLETE REGISTRO TA CONTROL SEM 20 A26 </v>
      </c>
      <c r="CX157" s="21"/>
      <c r="CY157" s="21"/>
      <c r="CZ157" s="216" t="str">
        <f t="shared" si="690"/>
        <v/>
      </c>
      <c r="DA157" s="21">
        <v>90</v>
      </c>
      <c r="DB157" s="21">
        <v>60</v>
      </c>
      <c r="DC157" s="217" t="str">
        <f t="shared" si="611"/>
        <v>APARENTEMENTE NORMAL</v>
      </c>
      <c r="DD157" s="22">
        <v>45042</v>
      </c>
      <c r="DE157" s="22">
        <v>45042</v>
      </c>
      <c r="DF157" s="22"/>
      <c r="DG157" s="22">
        <v>45140</v>
      </c>
      <c r="DH157" s="22"/>
      <c r="DI157" s="22"/>
      <c r="DJ157" s="22"/>
      <c r="DK157" s="22"/>
      <c r="DL157" s="22"/>
      <c r="DM157" s="22"/>
      <c r="DN157" s="22"/>
      <c r="DO157" s="22"/>
      <c r="DP157" s="22"/>
      <c r="DQ157" s="22"/>
      <c r="DR157" s="28">
        <v>1</v>
      </c>
      <c r="DS157" s="22"/>
      <c r="DT157" s="22"/>
      <c r="DU157" s="216" t="str">
        <f t="shared" ca="1" si="676"/>
        <v>PLANEAR PLAN DE PARTO</v>
      </c>
      <c r="DV157" s="226" t="str">
        <f t="shared" si="677"/>
        <v>ACTIVA INGRESO A CPN</v>
      </c>
      <c r="DW15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57" s="216" t="e">
        <f t="shared" ca="1" si="612"/>
        <v>#REF!</v>
      </c>
      <c r="DY157" s="212">
        <f>IF(R157="","",IF(R157&gt;0,MAX(Tabla1[[#This Row],[FECHA C2]:[FECHA C13]],Tabla1[[#This Row],[FECHA CONSULTA PRIMERA VEZ PROGRAMA CPN ]])))</f>
        <v>45140</v>
      </c>
      <c r="DZ157" s="216">
        <f t="shared" si="613"/>
        <v>18</v>
      </c>
      <c r="EA157" s="222">
        <f>IF(R157&gt;0,SUM(COUNTA(DF157:DQ157)+COUNTA(Tabla1[[#This Row],[FECHA CONSULTA PRIMERA VEZ PROGRAMA CPN ]])),"")</f>
        <v>2</v>
      </c>
      <c r="EB157" s="222" t="str">
        <f t="shared" si="614"/>
        <v>NO</v>
      </c>
      <c r="EC157" s="214">
        <f t="shared" si="615"/>
        <v>10</v>
      </c>
      <c r="ED157" s="227">
        <f t="shared" si="616"/>
        <v>0.2</v>
      </c>
      <c r="EE157" s="22">
        <v>45042</v>
      </c>
      <c r="EF157" s="22">
        <v>45042</v>
      </c>
      <c r="EG157" s="22">
        <v>45042</v>
      </c>
      <c r="EH157" s="22"/>
      <c r="EI157" s="22">
        <v>45042</v>
      </c>
      <c r="EJ157" s="22"/>
      <c r="EK157" s="22"/>
      <c r="EL157" s="21"/>
      <c r="EM157" s="21">
        <v>13.4</v>
      </c>
      <c r="EN157" s="22">
        <v>45051</v>
      </c>
      <c r="EO157" s="222">
        <f t="shared" si="617"/>
        <v>5.4285714285714288</v>
      </c>
      <c r="EP157" s="214" t="str">
        <f t="shared" si="618"/>
        <v>NORMAL- SUMINISTRAR SULFATO FERROSO</v>
      </c>
      <c r="EQ157" s="216" t="str">
        <f t="shared" si="619"/>
        <v>I TRIM</v>
      </c>
      <c r="ER157" s="24"/>
      <c r="ES157" s="22"/>
      <c r="ET157" s="29" t="str">
        <f t="shared" ca="1" si="678"/>
        <v>TOMA DE HEMOGLOBINA TARDÍA</v>
      </c>
      <c r="EU157" s="25" t="str">
        <f t="shared" si="620"/>
        <v/>
      </c>
      <c r="EV157" s="24" t="s">
        <v>1510</v>
      </c>
      <c r="EW157" s="24">
        <v>45051</v>
      </c>
      <c r="EX157" s="22"/>
      <c r="EY157" s="29">
        <f t="shared" si="454"/>
        <v>5.4285714285714288</v>
      </c>
      <c r="EZ157" s="25" t="str">
        <f t="shared" si="455"/>
        <v>SIN RIESGO DE ISOINMUNIZACIÓN</v>
      </c>
      <c r="FA157" s="21"/>
      <c r="FB157" s="22"/>
      <c r="FC157" s="29" t="str">
        <f t="shared" si="621"/>
        <v>TOMAR EXAMEN</v>
      </c>
      <c r="FD157" s="29"/>
      <c r="FE157" s="29"/>
      <c r="FF157" s="29"/>
      <c r="FG157" s="21" t="str">
        <f t="shared" ca="1" si="622"/>
        <v>TOMAR PTOG</v>
      </c>
      <c r="FH157" s="31"/>
      <c r="FI157" s="29" t="str">
        <f t="shared" si="623"/>
        <v>TOMAR EXAMEN</v>
      </c>
      <c r="FJ157" s="22" t="s">
        <v>867</v>
      </c>
      <c r="FK157" s="22">
        <v>45042</v>
      </c>
      <c r="FL157" s="29">
        <f t="shared" ca="1" si="624"/>
        <v>4.1428571428571432</v>
      </c>
      <c r="FM157" s="22"/>
      <c r="FN157" s="32"/>
      <c r="FO157" s="29" t="str">
        <f t="shared" ca="1" si="679"/>
        <v>PIERDE TOMA DE TAMIZAJE</v>
      </c>
      <c r="FP157" s="22"/>
      <c r="FQ157" s="32"/>
      <c r="FR157" s="29" t="str">
        <f t="shared" ca="1" si="680"/>
        <v>EN RANGO PARA TOMAR EXAMEN</v>
      </c>
      <c r="FS157" s="22"/>
      <c r="FT157" s="32"/>
      <c r="FU157" s="29" t="str">
        <f>IF(AND(FJ157="",FM157="",FP157="",FS157=""),"",IF(OR(OR(Tabla1[[#This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57" s="28"/>
      <c r="FW157" s="22"/>
      <c r="FX157" s="29" t="str">
        <f t="shared" si="625"/>
        <v>TOMAR EXAMEN</v>
      </c>
      <c r="FY157" s="22">
        <v>45042</v>
      </c>
      <c r="FZ157" s="22">
        <v>45042</v>
      </c>
      <c r="GA157" s="29">
        <f t="shared" ref="GA157:GA188" ca="1" si="692">IF(AND(BT157="ERROR FUM O INGRESO",FZ157&gt;0),"ERROR FUM O INGRESO",IF(AND(FZ157="",R157="",O157=""),"",IF(OR(AND(FZ157&lt;&gt;"",FZ157&lt;RW157),AND(FZ157&lt;&gt;"",AND(SUM((FZ157-RW157)/7)&gt;=13,SUM((FZ157-RW157)/7)&lt;27))),"REGISTRAR EN II TRIMESTRE",IF(OR(AND(FZ157&lt;&gt;"",FZ157&lt;RW157),AND(FZ157&lt;&gt;"",AND(SUM((FZ157-RW157)/7)&gt;=27,SUM((FZ157-RW157)/7)&lt;44))),"REGISTRAR EN III TRIMESTRE",IF(AND(FZ157="",OR(O157&gt;0,R157&gt;0),AND(BU157&gt;1,BU157&lt;10)),"EN RANGO PARA TOMAR EXAMEN",IF(AND(FZ157="",OR(O157&gt;0,R157&gt;0),AND(BU157&gt;=10,BU157&lt;12)),"TOMA INMEDIATA DE TAMIZAJE",IF(AND(FZ157="",BS157&lt;12,OR(O157&gt;0,R157&gt;0)),"PIERDE TOMA DE TAMIZAJE",IF(AND(FZ157="",OR(O157&gt;0,R157&gt;0),AND(BS157&gt;=13,BS157&lt;44)),"NO APLICA-INGRESO TARDIO",IF(FZ157&gt;0,SUM(FZ157-RW157)/7,"")))))))))</f>
        <v>4.1428571428571432</v>
      </c>
      <c r="GB157" s="22"/>
      <c r="GC157" s="22"/>
      <c r="GD157" s="29" t="str">
        <f t="shared" ca="1" si="681"/>
        <v>PIERDE TOMA DE TAMIZAJE</v>
      </c>
      <c r="GE157" s="22"/>
      <c r="GF157" s="22"/>
      <c r="GG157" s="29" t="str">
        <f t="shared" ca="1" si="682"/>
        <v>EN RANGO PARA TOMAR EXAMEN</v>
      </c>
      <c r="GH157" s="22"/>
      <c r="GI157" s="29"/>
      <c r="GJ157" s="22"/>
      <c r="GK157" s="22"/>
      <c r="GL157" s="22"/>
      <c r="GM157" s="22"/>
      <c r="GN157" s="28"/>
      <c r="GO157" s="22"/>
      <c r="GP157" s="29" t="str">
        <f t="shared" si="626"/>
        <v>TOMAR EXAMEN</v>
      </c>
      <c r="GQ157" s="28" t="s">
        <v>869</v>
      </c>
      <c r="GR157" s="28" t="s">
        <v>869</v>
      </c>
      <c r="GS157" s="22" t="str">
        <f t="shared" si="627"/>
        <v>CONTROL Igm</v>
      </c>
      <c r="GT157" s="22">
        <v>45042</v>
      </c>
      <c r="GU157" s="29">
        <f t="shared" si="628"/>
        <v>4.1428571428571432</v>
      </c>
      <c r="GV157" s="21" t="str">
        <f t="shared" si="629"/>
        <v>I TRIM</v>
      </c>
      <c r="GW157" s="28" t="s">
        <v>869</v>
      </c>
      <c r="GX157" s="30"/>
      <c r="GY157" s="21"/>
      <c r="GZ157" s="21"/>
      <c r="HA157" s="21"/>
      <c r="HB157" s="21"/>
      <c r="HC157" s="21"/>
      <c r="HD157" s="21"/>
      <c r="HE157" s="21"/>
      <c r="HF157" s="22"/>
      <c r="HG157" s="22" t="str">
        <f>IF(OR(O157&gt;0,R157&gt;0),CONCATENATE(IF(Tabla1[[#This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57" s="22" t="e">
        <f t="shared" si="630"/>
        <v>#REF!</v>
      </c>
      <c r="HI157" s="22" t="str">
        <f t="shared" si="631"/>
        <v>ALTO RIESGO</v>
      </c>
      <c r="HJ157" s="21" t="str">
        <f t="shared" ca="1" si="632"/>
        <v>*ANTECEDENTE PREECLAMPSIA**************************************</v>
      </c>
      <c r="HK157" s="21" t="str">
        <f t="shared" si="633"/>
        <v>RIESGO ALTO DE COMPLICACIONES HIPERTENSIVAS VER MANEJO GUIA SUMINISTRO ASA Y CALCIO</v>
      </c>
      <c r="HL157" s="24" t="str">
        <f t="shared" si="634"/>
        <v>APARENTEMENTE NORMAL</v>
      </c>
      <c r="HM157" s="21" t="e">
        <f t="shared" ca="1" si="635"/>
        <v>#REF!</v>
      </c>
      <c r="HN157" s="30" t="str">
        <f t="shared" si="683"/>
        <v>ACTIVA INGRESO A CPN</v>
      </c>
      <c r="HO157" s="21"/>
      <c r="HP157" s="21"/>
      <c r="HQ157" s="349">
        <v>45042</v>
      </c>
      <c r="HR157" s="21" t="str">
        <f>IF(R157="","",IF(Tabla1[[#This Row],[ALARMA FACTORES DE RIESGO COMPLICACIONES HIPERTENSIVAS3]]="SIN ANTECEDENTES DE RIESGO","No Aplica para suministro de ASA",IF(AND(Tabla1[[#This Row],[FECHA INICIO DE SUMINISTRO DE ASA]]&gt;0,RV157&lt;12),"Inicia ASA ANTES de Sem 12",IF(AND(RV157&gt;11,RV157&lt;17,OR(HK157="RIESGO ALTO DE COMPLICACIONES HIPERTENSIVAS VER MANEJO GUIA SUMINISTRO ASA Y CALCIO",HK157="RIESGO MODERADO (2 O MAS CRITERIOS) VER MANEJO GUIA SUMINISTRO ASA Y CALCIO")),"Inicio oportuno de ASA",IF(AND(RV157&gt;12,OR(HK157="RIESGO ALTO DE COMPLICACIONES HIPERTENSIVAS VER MANEJO GUIA SUMINISTRO ASA Y CALCIO",HK157="RIESGO MODERADO (2 O MAS CRITERIOS) VER MANEJO GUIA SUMINISTRO ASA Y CALCIO")),"Inicio no oportuno mayor a 16 semanas",IF(AND(BU157&lt;12,OR(HK157="RIESGO ALTO DE COMPLICACIONES HIPERTENSIVAS VER MANEJO GUIA SUMINISTRO ASA Y CALCIO",HK157="RIESGO MODERADO (2 O MAS CRITERIOS) VER MANEJO GUIA SUMINISTRO ASA Y CALCIO")),"Pendiente Inicio de ASA a la semana 12",IF(AND(BU157&gt;11,BU157&lt;17,OR(HK157="RIESGO ALTO DE COMPLICACIONES HIPERTENSIVAS VER MANEJO GUIA SUMINISTRO ASA Y CALCIO",HK157="RIESGO MODERADO (2 O MAS CRITERIOS) VER MANEJO GUIA SUMINISTRO ASA Y CALCIO")),"Iniciar de inmediato ASA",IF(AND(BU157&gt;16,OR(HK157="RIESGO ALTO DE COMPLICACIONES HIPERTENSIVAS VER MANEJO GUIA SUMINISTRO ASA Y CALCIO",HK157="RIESGO MODERADO (2 O MAS CRITERIOS) VER MANEJO GUIA SUMINISTRO ASA Y CALCIO")),"Pierde Oportunidad, Inicio tardío de ASA","XXXXX"))))))))</f>
        <v>Inicia ASA ANTES de Sem 12</v>
      </c>
      <c r="HS157" s="22">
        <v>45042</v>
      </c>
      <c r="HT157" s="22" t="s">
        <v>870</v>
      </c>
      <c r="HU157" s="22">
        <v>45042</v>
      </c>
      <c r="HV157" s="22" t="s">
        <v>870</v>
      </c>
      <c r="HW157" s="22">
        <v>45042</v>
      </c>
      <c r="HX157" s="22" t="s">
        <v>870</v>
      </c>
      <c r="HY157" s="22"/>
      <c r="HZ157" s="28" t="str">
        <f t="shared" si="636"/>
        <v>PENDIENTE CONSULTA</v>
      </c>
      <c r="IA157" s="26"/>
      <c r="IB157" s="26"/>
      <c r="IC157" s="111"/>
      <c r="ID157" s="22"/>
      <c r="IE157" s="22" t="str">
        <f t="shared" ca="1" si="637"/>
        <v>INASISTENTE</v>
      </c>
      <c r="IF157" s="22"/>
      <c r="IG157" s="22">
        <f t="shared" si="638"/>
        <v>45293</v>
      </c>
      <c r="IH157" s="29">
        <f t="shared" ca="1" si="639"/>
        <v>61</v>
      </c>
      <c r="II157" s="22" t="str">
        <f t="shared" ca="1" si="640"/>
        <v>PENDIENTE</v>
      </c>
      <c r="IJ157" s="22"/>
      <c r="IK157" s="21"/>
      <c r="IL157" s="21"/>
      <c r="IM157" s="34"/>
      <c r="IN157" s="22"/>
      <c r="IO157" s="21"/>
      <c r="IP157" s="29" t="str">
        <f t="shared" si="674"/>
        <v/>
      </c>
      <c r="IQ157" s="35"/>
      <c r="IR157" s="21"/>
      <c r="IS157" s="21"/>
      <c r="IT157" s="21"/>
      <c r="IU157" s="21"/>
      <c r="IV157" s="21"/>
      <c r="IW157" s="21"/>
      <c r="IX157" s="21"/>
      <c r="IY157" s="21"/>
      <c r="IZ157" s="21"/>
      <c r="JA157" s="21"/>
      <c r="JB157" s="30"/>
      <c r="JC157" s="21"/>
      <c r="JD157" s="36"/>
      <c r="JE157" s="21" t="str">
        <f t="shared" si="684"/>
        <v/>
      </c>
      <c r="JF157" s="30"/>
      <c r="JG157" s="21"/>
      <c r="JH157" s="21"/>
      <c r="JI157" s="21"/>
      <c r="JJ157" s="30"/>
      <c r="JK157" s="22"/>
      <c r="JL157" s="22"/>
      <c r="JM157" s="21"/>
      <c r="JN157" s="36"/>
      <c r="JO157" s="21" t="str">
        <f t="shared" si="685"/>
        <v/>
      </c>
      <c r="JP157" s="22"/>
      <c r="JQ157" s="21"/>
      <c r="JR157" s="21"/>
      <c r="JS157" s="21"/>
      <c r="JT157" s="30"/>
      <c r="JU157" s="22"/>
      <c r="JV157" s="22"/>
      <c r="JW157" s="33"/>
      <c r="JX157" s="28" t="str">
        <f t="shared" si="686"/>
        <v/>
      </c>
      <c r="JY157" s="33"/>
      <c r="JZ157" s="28" t="str">
        <f t="shared" si="687"/>
        <v/>
      </c>
      <c r="KA157" s="21"/>
      <c r="KB157" s="21"/>
      <c r="KC157" s="21"/>
      <c r="KD157" s="37"/>
      <c r="KE157" s="28"/>
      <c r="KF157" s="28"/>
      <c r="KG157" s="28"/>
      <c r="KH157" s="39"/>
      <c r="KI157" s="39"/>
      <c r="KJ157" s="66"/>
      <c r="KK157" s="39"/>
      <c r="KL157" s="39"/>
      <c r="KM157" s="66"/>
      <c r="KN157" s="39"/>
      <c r="KO157" s="39"/>
      <c r="KP157" s="39"/>
      <c r="KQ157" s="39"/>
      <c r="KR157" s="39"/>
      <c r="KS157" s="39"/>
      <c r="KT157" s="39"/>
      <c r="KU157" s="38"/>
      <c r="KV157" s="38"/>
      <c r="KW157" s="38"/>
      <c r="KX157" s="38"/>
      <c r="KY157" s="38"/>
      <c r="KZ157" s="38"/>
      <c r="LA157" s="38"/>
      <c r="LB157" s="38"/>
      <c r="LC157" s="38"/>
      <c r="LD157" s="38"/>
      <c r="LE157" s="38"/>
      <c r="LF157" s="38"/>
      <c r="LG157" s="38"/>
      <c r="LH157" s="38"/>
      <c r="LI157" s="38"/>
      <c r="LJ157" s="38"/>
      <c r="LK157" s="38"/>
      <c r="LL157" s="38"/>
      <c r="LM157" s="38"/>
      <c r="LN157" s="38"/>
      <c r="LO157" s="38"/>
      <c r="LP157" s="38"/>
      <c r="LQ157" s="38"/>
      <c r="LR157" s="38"/>
      <c r="LS157" s="38"/>
      <c r="LT157" s="38"/>
      <c r="LU157" s="38"/>
      <c r="LV157" s="38"/>
      <c r="LW157" s="38"/>
      <c r="LX157" s="38"/>
      <c r="LY157" s="38"/>
      <c r="LZ157" s="38"/>
      <c r="MA157" s="38"/>
      <c r="MB157" s="38"/>
      <c r="MC157" s="38"/>
      <c r="MD157" s="38"/>
      <c r="ME157" s="38"/>
      <c r="MF157" s="38"/>
      <c r="MG157" s="38"/>
      <c r="MH157" s="43">
        <f t="shared" si="641"/>
        <v>0</v>
      </c>
      <c r="MI157" s="43" t="str">
        <f t="shared" si="642"/>
        <v/>
      </c>
      <c r="MJ157" s="43" t="str">
        <f t="shared" si="643"/>
        <v/>
      </c>
      <c r="MK157" s="43">
        <f t="shared" si="644"/>
        <v>0</v>
      </c>
      <c r="ML15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57" s="43">
        <f t="shared" si="645"/>
        <v>4.1428571428571432</v>
      </c>
      <c r="MN157" s="43">
        <f t="shared" si="646"/>
        <v>4</v>
      </c>
      <c r="MO157" s="43">
        <f t="shared" si="647"/>
        <v>2023</v>
      </c>
      <c r="MP157" s="43" t="str">
        <f t="shared" si="648"/>
        <v>II TRIMESTRE AÑO</v>
      </c>
      <c r="MQ157" s="43">
        <f t="shared" si="649"/>
        <v>31.917980727113445</v>
      </c>
      <c r="MR157" s="43">
        <f t="shared" si="650"/>
        <v>0</v>
      </c>
      <c r="MS157" s="43" t="str">
        <f t="shared" si="651"/>
        <v xml:space="preserve"> DE 30 A 34 AÑOS</v>
      </c>
      <c r="MT157" s="43">
        <f t="shared" si="652"/>
        <v>0</v>
      </c>
      <c r="MU157" s="43">
        <f t="shared" si="653"/>
        <v>0</v>
      </c>
      <c r="MV157" s="43">
        <f t="shared" si="654"/>
        <v>0</v>
      </c>
      <c r="MW157" s="43">
        <f t="shared" si="655"/>
        <v>0</v>
      </c>
      <c r="MX157" s="43" t="str">
        <f t="shared" si="656"/>
        <v/>
      </c>
      <c r="MY157" s="43" t="str">
        <f t="shared" ca="1" si="688"/>
        <v/>
      </c>
      <c r="MZ157" s="43" t="str">
        <f t="shared" si="657"/>
        <v/>
      </c>
      <c r="NA157" s="43" t="str">
        <f t="shared" si="658"/>
        <v/>
      </c>
      <c r="NB157" s="43" t="str">
        <f t="shared" si="659"/>
        <v/>
      </c>
      <c r="NC157" s="43" t="str">
        <f t="shared" si="660"/>
        <v/>
      </c>
      <c r="ND157" s="43">
        <f t="shared" ca="1" si="661"/>
        <v>1</v>
      </c>
      <c r="NE157" s="43">
        <f>IF(OR(O157&gt;0,R157&gt;0),SUM(COUNTIF(Tabla1[[#This Row],[AÑOS AL INICIO5 CPN]],"&gt;=40"),COUNTIF(AS157,"0"),COUNTIF(AR157,"SI"),COUNTIF(CC157,"SI"),COUNTIF(BQ157,"&gt;119"),COUNTIF(CI157,"&gt;=35")),"")</f>
        <v>0</v>
      </c>
      <c r="NF157" s="43" t="str">
        <f t="shared" si="662"/>
        <v/>
      </c>
      <c r="NG157" s="43">
        <f t="shared" si="663"/>
        <v>0</v>
      </c>
      <c r="NH157" s="43">
        <f t="shared" si="664"/>
        <v>42.699999999999996</v>
      </c>
      <c r="NI15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CPN",P157="NO"),"Z",IF(AND(Tabla1[[#This Row],[CITA PROXIMO CONTROL]]="CITA MANUAL",Tabla1[[#This Row],[GESTANTES ACTUALES]]="ACTIVA INGRESO A CPN"),"W",IF(AND(Tabla1[[#This Row],[GESTANTES ACTUALES]]="SALIO PROGRAMA",IN157=""),"S",IF(AND(Tabla1[[#This Row],[CITA PROXIMO CONTROL]]&gt;0,IN157=""),(Tabla1[[#This Row],[CITA PROXIMO CONTROL]]-TODAY()),"SD"))))))))</f>
        <v>#REF!</v>
      </c>
      <c r="NJ157" s="43">
        <f>MONTH(Tabla1[[#This Row],[FECHA DE SALIDA  DEL PROGRAMA]])</f>
        <v>1</v>
      </c>
      <c r="NK157" s="43">
        <f>YEAR(Tabla1[[#This Row],[FECHA DE SALIDA  DEL PROGRAMA]])</f>
        <v>1900</v>
      </c>
      <c r="NL157" s="43" t="str">
        <f t="shared" si="665"/>
        <v>X</v>
      </c>
      <c r="NM157" s="43" t="str">
        <f t="shared" si="501"/>
        <v>NO</v>
      </c>
      <c r="NN157" s="43" t="str">
        <f ca="1">IF(AND(O157&gt;0,R157=""),"NO CPN",IF(AND(O157="",R157=""),"",IF(AND(R157&gt;0,Tabla1[[#This Row],[SEMANAS DE GESTACION ACTUALIZADAS]]&lt;=12),"NO APLICA",IF(AND(FH157&lt;&gt;"",FN157&lt;&gt;""),"SI","NO"))))</f>
        <v>NO</v>
      </c>
      <c r="NO157" s="43" t="str">
        <f ca="1">IF(AND(O157&gt;0,R157=""),"NO CPN",IF(AND(O157="",R157=""),"",IF(AND(R157&gt;0,Tabla1[[#This Row],[SEMANAS DE GESTACION ACTUALIZADAS]]&lt;=27),"NO APLICA",IF(AND(ES157&lt;&gt;"",FQ157&lt;&gt;"",GF157&lt;&gt;""),"SI","NO"))))</f>
        <v>NO</v>
      </c>
      <c r="NP157" s="204" t="str">
        <f t="shared" si="666"/>
        <v>I TRIM</v>
      </c>
      <c r="NQ157" s="21" t="e">
        <f t="shared" si="691"/>
        <v>#REF!</v>
      </c>
      <c r="NR157" s="21">
        <f t="shared" ca="1" si="689"/>
        <v>3</v>
      </c>
      <c r="NS157" s="205">
        <f t="shared" ca="1" si="667"/>
        <v>1</v>
      </c>
      <c r="NT157" s="21">
        <f t="shared" ca="1" si="668"/>
        <v>1</v>
      </c>
      <c r="NU157" s="21" t="str">
        <f t="shared" ca="1" si="669"/>
        <v>INCOMPLETO</v>
      </c>
      <c r="NV157" s="21" t="str">
        <f t="shared" ca="1" si="670"/>
        <v>INCOMPLETO</v>
      </c>
      <c r="NW157" s="206" t="str">
        <f>IF(AND(O157="",R157=""),"",IF(OR(AND(Tabla1[[#This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57" s="207" t="str">
        <f t="shared" ca="1" si="671"/>
        <v>SIN VACUNAR</v>
      </c>
      <c r="NY157" s="43">
        <f>ROW(Tabla1[[#This Row],['# DE TAMIZAJES SIFILIS TOMADOS ]])</f>
        <v>157</v>
      </c>
      <c r="NZ157" s="43" t="str">
        <f t="shared" si="502"/>
        <v>Menor</v>
      </c>
      <c r="OA157" s="43" t="str">
        <f t="shared" si="503"/>
        <v>SOBREPESO</v>
      </c>
      <c r="OB157" s="43" t="str">
        <f t="shared" si="504"/>
        <v/>
      </c>
      <c r="OC157" s="43" t="str">
        <f t="shared" si="505"/>
        <v/>
      </c>
      <c r="OD157" s="43" t="str">
        <f t="shared" si="506"/>
        <v/>
      </c>
      <c r="OE157" s="43" t="str">
        <f t="shared" si="507"/>
        <v/>
      </c>
      <c r="OF157" s="43" t="str">
        <f t="shared" si="508"/>
        <v/>
      </c>
      <c r="OG157" s="43" t="str">
        <f t="shared" si="509"/>
        <v/>
      </c>
      <c r="OH157" s="43" t="str">
        <f t="shared" si="510"/>
        <v/>
      </c>
      <c r="OI157" s="43" t="str">
        <f t="shared" si="511"/>
        <v/>
      </c>
      <c r="OJ157" s="43" t="str">
        <f t="shared" si="512"/>
        <v/>
      </c>
      <c r="OK157" s="43" t="str">
        <f t="shared" si="513"/>
        <v/>
      </c>
      <c r="OL157" s="43" t="str">
        <f t="shared" si="514"/>
        <v/>
      </c>
      <c r="OM157" s="43" t="str">
        <f t="shared" si="515"/>
        <v/>
      </c>
      <c r="ON157" s="43" t="str">
        <f t="shared" si="516"/>
        <v/>
      </c>
      <c r="OO157" s="43" t="str">
        <f t="shared" si="517"/>
        <v/>
      </c>
      <c r="OP157" s="43" t="str">
        <f t="shared" si="518"/>
        <v/>
      </c>
      <c r="OQ157" s="43" t="str">
        <f t="shared" si="519"/>
        <v/>
      </c>
      <c r="OR157" s="43" t="str">
        <f t="shared" si="520"/>
        <v/>
      </c>
      <c r="OS157" s="43" t="str">
        <f t="shared" si="521"/>
        <v/>
      </c>
      <c r="OT157" s="43" t="str">
        <f t="shared" si="522"/>
        <v/>
      </c>
      <c r="OU157" s="43" t="str">
        <f t="shared" si="523"/>
        <v/>
      </c>
      <c r="OV157" s="110" t="str">
        <f t="shared" si="524"/>
        <v/>
      </c>
      <c r="OW157" s="43" t="str">
        <f t="shared" si="525"/>
        <v/>
      </c>
      <c r="OX157" s="43" t="str">
        <f t="shared" si="526"/>
        <v/>
      </c>
      <c r="OY157" s="43" t="str">
        <f t="shared" si="527"/>
        <v/>
      </c>
      <c r="OZ157" s="43" t="str">
        <f t="shared" si="528"/>
        <v/>
      </c>
      <c r="PA157" s="43" t="str">
        <f t="shared" si="529"/>
        <v/>
      </c>
      <c r="PB157" s="43" t="str">
        <f t="shared" si="530"/>
        <v/>
      </c>
      <c r="PC157" s="43" t="str">
        <f t="shared" si="531"/>
        <v/>
      </c>
      <c r="PD157" s="43" t="str">
        <f t="shared" si="532"/>
        <v/>
      </c>
      <c r="PE157" s="43" t="str">
        <f t="shared" si="533"/>
        <v/>
      </c>
      <c r="PF157" s="43" t="str">
        <f t="shared" si="534"/>
        <v/>
      </c>
      <c r="PG157" s="43" t="str">
        <f t="shared" si="535"/>
        <v/>
      </c>
      <c r="PH157" s="43" t="str">
        <f t="shared" si="536"/>
        <v/>
      </c>
      <c r="PI157" s="43">
        <f t="shared" si="537"/>
        <v>18</v>
      </c>
      <c r="PJ157" s="43" t="str">
        <f t="shared" si="538"/>
        <v/>
      </c>
      <c r="PK157" s="43" t="str">
        <f t="shared" si="539"/>
        <v/>
      </c>
      <c r="PL157" s="43" t="str">
        <f t="shared" si="540"/>
        <v/>
      </c>
      <c r="PM157" s="43" t="str">
        <f t="shared" si="541"/>
        <v/>
      </c>
      <c r="PN157" s="43" t="str">
        <f t="shared" si="542"/>
        <v/>
      </c>
      <c r="PO157" s="43" t="str">
        <f t="shared" si="543"/>
        <v/>
      </c>
      <c r="PP157" s="43" t="str">
        <f t="shared" si="544"/>
        <v/>
      </c>
      <c r="PQ157" s="43" t="str">
        <f t="shared" si="545"/>
        <v/>
      </c>
      <c r="PR157" s="43" t="str">
        <f t="shared" si="546"/>
        <v/>
      </c>
      <c r="PS157" s="43" t="str">
        <f t="shared" si="547"/>
        <v>SOBREPESO</v>
      </c>
      <c r="PT157" s="43" t="str">
        <f t="shared" si="548"/>
        <v/>
      </c>
      <c r="PU157" s="43" t="str">
        <f t="shared" si="549"/>
        <v/>
      </c>
      <c r="PV157" s="43" t="str">
        <f t="shared" si="550"/>
        <v/>
      </c>
      <c r="PW157" s="43" t="str">
        <f t="shared" si="551"/>
        <v/>
      </c>
      <c r="PX157" s="43" t="str">
        <f t="shared" si="552"/>
        <v/>
      </c>
      <c r="PY157" s="43" t="str">
        <f t="shared" si="553"/>
        <v/>
      </c>
      <c r="PZ157" s="43" t="str">
        <f t="shared" si="554"/>
        <v/>
      </c>
      <c r="QA157" s="43" t="str">
        <f t="shared" si="555"/>
        <v/>
      </c>
      <c r="QB157" s="43" t="str">
        <f t="shared" si="556"/>
        <v/>
      </c>
      <c r="QC157" s="43" t="str">
        <f t="shared" si="557"/>
        <v/>
      </c>
      <c r="QD157" s="43" t="str">
        <f t="shared" si="558"/>
        <v/>
      </c>
      <c r="QE157" s="43" t="str">
        <f t="shared" si="559"/>
        <v/>
      </c>
      <c r="QF157" s="43" t="str">
        <f t="shared" si="560"/>
        <v/>
      </c>
      <c r="QG157" s="43" t="str">
        <f t="shared" si="561"/>
        <v/>
      </c>
      <c r="QH157" s="43" t="str">
        <f t="shared" si="562"/>
        <v/>
      </c>
      <c r="QI157" s="43" t="str">
        <f t="shared" si="563"/>
        <v/>
      </c>
      <c r="QJ157" s="43" t="str">
        <f t="shared" si="564"/>
        <v/>
      </c>
      <c r="QK157" s="43" t="str">
        <f t="shared" si="565"/>
        <v/>
      </c>
      <c r="QL157" s="43" t="str">
        <f t="shared" si="566"/>
        <v/>
      </c>
      <c r="QM157" s="43" t="str">
        <f t="shared" si="567"/>
        <v/>
      </c>
      <c r="QN157" s="43" t="str">
        <f t="shared" si="568"/>
        <v/>
      </c>
      <c r="QO157" s="43" t="str">
        <f t="shared" si="569"/>
        <v/>
      </c>
      <c r="QP157" s="43" t="str">
        <f t="shared" si="570"/>
        <v/>
      </c>
      <c r="QQ157" s="43" t="str">
        <f t="shared" si="571"/>
        <v/>
      </c>
      <c r="QR157" s="43">
        <f t="shared" si="672"/>
        <v>18</v>
      </c>
      <c r="QS157" s="43"/>
      <c r="QT157" s="21" t="str">
        <f t="shared" si="572"/>
        <v/>
      </c>
      <c r="QU157" s="21" t="str">
        <f t="shared" si="573"/>
        <v/>
      </c>
      <c r="QV157" s="21" t="str">
        <f t="shared" si="574"/>
        <v/>
      </c>
      <c r="QW157" s="21" t="str">
        <f t="shared" si="575"/>
        <v/>
      </c>
      <c r="QX157" s="21" t="str">
        <f t="shared" si="576"/>
        <v/>
      </c>
      <c r="QY157" s="21" t="str">
        <f t="shared" si="577"/>
        <v>ADECUADO PARA EDAD GESTACIONAL</v>
      </c>
      <c r="QZ157" s="21" t="str">
        <f t="shared" si="578"/>
        <v/>
      </c>
      <c r="RA157" s="21" t="str">
        <f t="shared" si="579"/>
        <v/>
      </c>
      <c r="RB157" s="21" t="str">
        <f t="shared" si="580"/>
        <v/>
      </c>
      <c r="RC157" s="21" t="str">
        <f t="shared" si="581"/>
        <v/>
      </c>
      <c r="RD157" s="21" t="str">
        <f t="shared" si="582"/>
        <v/>
      </c>
      <c r="RE157" s="21" t="str">
        <f t="shared" si="583"/>
        <v/>
      </c>
      <c r="RF157" s="21" t="str">
        <f t="shared" si="584"/>
        <v/>
      </c>
      <c r="RG157" s="21" t="str">
        <f t="shared" si="585"/>
        <v/>
      </c>
      <c r="RH157" s="21" t="str">
        <f t="shared" si="586"/>
        <v/>
      </c>
      <c r="RI157" s="21" t="str">
        <f t="shared" si="587"/>
        <v/>
      </c>
      <c r="RJ157" s="21" t="str">
        <f t="shared" si="588"/>
        <v/>
      </c>
      <c r="RK157" s="21" t="str">
        <f t="shared" si="589"/>
        <v/>
      </c>
      <c r="RL157" s="21" t="str">
        <f t="shared" si="590"/>
        <v/>
      </c>
      <c r="RM157" s="21" t="str">
        <f t="shared" si="591"/>
        <v/>
      </c>
      <c r="RN157" s="21" t="str">
        <f t="shared" si="592"/>
        <v/>
      </c>
      <c r="RO157" s="21" t="str">
        <f t="shared" si="593"/>
        <v/>
      </c>
      <c r="RP157" s="21" t="str">
        <f t="shared" si="594"/>
        <v/>
      </c>
      <c r="RQ157" s="21" t="str">
        <f t="shared" si="595"/>
        <v/>
      </c>
      <c r="RR157" s="21" t="str">
        <f t="shared" si="596"/>
        <v/>
      </c>
      <c r="RS157" s="21" t="str">
        <f t="shared" si="597"/>
        <v/>
      </c>
      <c r="RT157" s="21" t="str">
        <f t="shared" si="598"/>
        <v/>
      </c>
      <c r="RU157" s="21" t="str">
        <f t="shared" si="599"/>
        <v/>
      </c>
      <c r="RV157" s="21">
        <f t="shared" si="600"/>
        <v>4.1428571428571432</v>
      </c>
      <c r="RW157" s="284">
        <f>IF(OR(Tabla1[[#This Row],[FUM FORMULA CONFIABLE]]="",Tabla1[[#This Row],[FUM FORMULA CONFIABLE]]="SD"),"",IF(Tabla1[[#This Row],[FUM FORMULA CONFIABLE]]="CORREGIDA",Tabla1[[#This Row],[FUM X ECO 1]],Tabla1[[#This Row],[FUM x AMENORREA]]))</f>
        <v>45013</v>
      </c>
      <c r="RX157" s="21">
        <f>IF(AND(Tabla1[[#This Row],[FUM X ECO 1]]="",Tabla1[[#This Row],[FUM x AMENORREA]]=""),"",IF(AND(Tabla1[[#This Row],[FUM X ECO 1]]="",Tabla1[[#This Row],[FUM x AMENORREA]]&lt;&gt;""),"X",SUM(Tabla1[[#This Row],[FUM X ECO 1]]-Tabla1[[#This Row],[FUM x AMENORREA]])))</f>
        <v>-4.6999999999970896</v>
      </c>
      <c r="RY157" s="21">
        <f t="shared" si="673"/>
        <v>0</v>
      </c>
    </row>
    <row r="158" spans="1:493" ht="45" customHeight="1" x14ac:dyDescent="0.25">
      <c r="A158" s="109"/>
      <c r="B158" s="43"/>
      <c r="C158" s="43" t="s">
        <v>845</v>
      </c>
      <c r="D158" s="124"/>
      <c r="E158" s="43" t="s">
        <v>884</v>
      </c>
      <c r="F158" s="43" t="s">
        <v>1144</v>
      </c>
      <c r="G158" s="43" t="s">
        <v>1454</v>
      </c>
      <c r="H158" s="43"/>
      <c r="I158" s="109" t="s">
        <v>851</v>
      </c>
      <c r="J158" s="110">
        <v>1002847188</v>
      </c>
      <c r="K158" s="43" t="s">
        <v>852</v>
      </c>
      <c r="L158" s="175" t="s">
        <v>1509</v>
      </c>
      <c r="M158" s="22">
        <v>36745</v>
      </c>
      <c r="N158" s="213">
        <f t="shared" ca="1" si="601"/>
        <v>23.252054794520546</v>
      </c>
      <c r="O158" s="22">
        <v>45036</v>
      </c>
      <c r="P158" s="214" t="str">
        <f t="shared" si="675"/>
        <v>SI</v>
      </c>
      <c r="Q158" s="26" t="s">
        <v>855</v>
      </c>
      <c r="R158" s="22">
        <v>45036</v>
      </c>
      <c r="S158" s="21" t="s">
        <v>856</v>
      </c>
      <c r="T158" s="24" t="s">
        <v>690</v>
      </c>
      <c r="U158" s="21" t="s">
        <v>857</v>
      </c>
      <c r="V158" s="21" t="s">
        <v>858</v>
      </c>
      <c r="W158" s="21" t="s">
        <v>999</v>
      </c>
      <c r="X158" s="21"/>
      <c r="Y158" s="21"/>
      <c r="Z158" s="21">
        <v>3122551882</v>
      </c>
      <c r="AA158" s="21" t="s">
        <v>860</v>
      </c>
      <c r="AB158" s="27" t="s">
        <v>861</v>
      </c>
      <c r="AC158" s="26" t="s">
        <v>846</v>
      </c>
      <c r="AD158" s="38" t="s">
        <v>863</v>
      </c>
      <c r="AE158" s="26" t="s">
        <v>854</v>
      </c>
      <c r="AF158" s="26" t="s">
        <v>854</v>
      </c>
      <c r="AG158" s="23" t="s">
        <v>864</v>
      </c>
      <c r="AH158" s="23" t="s">
        <v>864</v>
      </c>
      <c r="AI158" s="24" t="s">
        <v>863</v>
      </c>
      <c r="AJ158" s="23" t="s">
        <v>864</v>
      </c>
      <c r="AK158" s="220" t="str">
        <f>IF(AND(AD158="",AE158="",AF158="",AG158="",AH158="",AI158="",AJ158=""),"",IF(OR(Tabla1[[#This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EVALUACIÓN",IF(AND(O158="",R158=""),"",IF(AND(OR(O158&gt;0,R158&gt;0),NG158&gt;=0,NG158&lt;2),"SIN RIESGO",IF(AND(OR(O158&gt;0,R158&gt;0),NG158&gt;=2),"CON RIESGO","ASD")))))</f>
        <v>SIN RIESGO</v>
      </c>
      <c r="AL158" s="23" t="s">
        <v>864</v>
      </c>
      <c r="AM158" s="26" t="s">
        <v>864</v>
      </c>
      <c r="AN158" s="26" t="s">
        <v>864</v>
      </c>
      <c r="AO158" s="26" t="s">
        <v>864</v>
      </c>
      <c r="AP158" s="26" t="s">
        <v>864</v>
      </c>
      <c r="AQ158" s="26" t="s">
        <v>864</v>
      </c>
      <c r="AR158" s="26" t="s">
        <v>864</v>
      </c>
      <c r="AS158" s="21">
        <v>0</v>
      </c>
      <c r="AT158" s="21">
        <v>0</v>
      </c>
      <c r="AU158" s="21">
        <v>0</v>
      </c>
      <c r="AV158" s="26" t="s">
        <v>864</v>
      </c>
      <c r="AW158" s="21" t="e">
        <v>#REF!</v>
      </c>
      <c r="AX158" s="26" t="s">
        <v>864</v>
      </c>
      <c r="AY158" s="26" t="s">
        <v>864</v>
      </c>
      <c r="AZ158" s="26" t="s">
        <v>864</v>
      </c>
      <c r="BA158" s="26" t="s">
        <v>864</v>
      </c>
      <c r="BB158" s="26" t="s">
        <v>864</v>
      </c>
      <c r="BC158" s="26" t="s">
        <v>864</v>
      </c>
      <c r="BD158" s="26" t="s">
        <v>864</v>
      </c>
      <c r="BE158" s="26" t="s">
        <v>864</v>
      </c>
      <c r="BF158" s="26" t="s">
        <v>864</v>
      </c>
      <c r="BG158" s="26" t="s">
        <v>864</v>
      </c>
      <c r="BH158" s="26" t="s">
        <v>864</v>
      </c>
      <c r="BI158" s="26" t="s">
        <v>864</v>
      </c>
      <c r="BJ158" s="26"/>
      <c r="BK158" s="26"/>
      <c r="BL158" s="26" t="s">
        <v>864</v>
      </c>
      <c r="BM158" s="26" t="s">
        <v>864</v>
      </c>
      <c r="BN158" s="22"/>
      <c r="BO158" s="22">
        <v>44859</v>
      </c>
      <c r="BP158" s="21" t="s">
        <v>854</v>
      </c>
      <c r="BQ158" s="222">
        <f t="shared" si="602"/>
        <v>0</v>
      </c>
      <c r="BR158" s="223">
        <f t="shared" si="603"/>
        <v>44855</v>
      </c>
      <c r="BS158" s="224">
        <f t="shared" si="604"/>
        <v>25.285714285714285</v>
      </c>
      <c r="BT158" s="216" t="str">
        <f t="shared" si="605"/>
        <v>II TRIM</v>
      </c>
      <c r="BU158" s="214" t="str">
        <f t="shared" ca="1" si="606"/>
        <v/>
      </c>
      <c r="BV158" s="25"/>
      <c r="BW158" s="22">
        <v>45051</v>
      </c>
      <c r="BX158" s="28">
        <v>28</v>
      </c>
      <c r="BY158" s="28"/>
      <c r="BZ158" s="22"/>
      <c r="CA158" s="21"/>
      <c r="CB158" s="26"/>
      <c r="CC158" s="26"/>
      <c r="CD158" s="26"/>
      <c r="CE158" s="26"/>
      <c r="CF158" s="22" t="s">
        <v>1517</v>
      </c>
      <c r="CG158" s="21">
        <v>1.42</v>
      </c>
      <c r="CH158" s="21">
        <v>50</v>
      </c>
      <c r="CI158" s="214">
        <f t="shared" si="607"/>
        <v>24.79666732791113</v>
      </c>
      <c r="CJ158" s="225" t="e">
        <f>IF(AND(CI158&lt;10,CH158="SD"),"SIN DATO PESO PREGESTACION O I TRIM",IF(AND(OR(R158&gt;0,O158&gt;0),CI158="X"),"INGRESAR DATO DE PESO",IF(CI158="SD","INGRESAR DATO DE TALLA Y PESO",IF(AND(OR(Tabla1[[#This Row],[MOMENTO EN QUE SE REALIZA EL PESO AL INGRESO A CPN]]="PREGESTACIÓN",NZ158="Menor"),CI158&lt;18.5),"BAJO PESO",IF(AND(OR(Tabla1[[#This Row],[MOMENTO EN QUE SE REALIZA EL PESO AL INGRESO A CPN]]="PREGESTACIÓN",NZ158="Menor"),CI158&lt;25),"NORMAL",IF(AND(OR(Tabla1[[#This Row],[MOMENTO EN QUE SE REALIZA EL PESO AL INGRESO A CPN]]="PREGESTACIÓN",NZ158="Menor"),CI158&lt;30),"SOBREPESO",IF(AND(OR(Tabla1[[#This Row],[MOMENTO EN QUE SE REALIZA EL PESO AL INGRESO A CPN]]="PREGESTACIÓN",NZ158="Menor"),CI158&gt;=30,CI158&lt;50),"OBESIDAD",IF(AND(BS158&gt;0,Tabla1[[#This Row],[MOMENTO EN QUE SE REALIZA EL PESO AL INGRESO A CPN]]="GESTACIÓN"),HLOOKUP(NZ158,$OA$2:PH158,NY158),""))))))))</f>
        <v>#REF!</v>
      </c>
      <c r="CK158" s="212">
        <f t="shared" si="608"/>
        <v>45097</v>
      </c>
      <c r="CL158" s="21">
        <v>51.8</v>
      </c>
      <c r="CM158" s="214">
        <f t="shared" si="609"/>
        <v>25.689347351715927</v>
      </c>
      <c r="CN158" s="216">
        <f t="shared" si="610"/>
        <v>34</v>
      </c>
      <c r="CO158" s="216" t="e">
        <f>IF(PI158="","",IF(PI158&gt;0,HLOOKUP(PI158,$PJ$2:QQ158,NY158),""))</f>
        <v>#REF!</v>
      </c>
      <c r="CP158" s="21">
        <v>35.299999999999997</v>
      </c>
      <c r="CQ158" s="216" t="e">
        <f>IF(QR158="Menor","NO APLICA-MENOR 13 SEM",IF(AND(CC158="SI",CN158&gt;23),"NO APLICA- GEMELAR",IF(QR158="","",IF(QR158&gt;0,HLOOKUP(QR158,$QS$2:RU158,NY158),""))))</f>
        <v>#REF!</v>
      </c>
      <c r="CR158" s="21"/>
      <c r="CS158" s="21"/>
      <c r="CT158" s="217" t="str">
        <f>IF(R158="","",IF(AND(BS158&gt;1,BS158&lt;12,Tabla1[[#This Row],[T.A. SISTOLICA - ANTES DE SEMANA 12]]="",Tabla1[[#This Row],[T.A. DIASTOLICA - ANTES DE SEMANA 12]]=""),"REGISTRE DATO TA ANTES SEMANA 12",IF(AND(BS158&gt;11,BS158&lt;43,Tabla1[[#This Row],[T.A. SISTOLICA - ANTES DE SEMANA 12]]="",Tabla1[[#This Row],[T.A. DIASTOLICA - ANTES DE SEMANA 12]]=""),"NO APLICA REGISTRO TA-INGRESO TARDIO",IF(AND(OR(O158&gt;0,R158&gt;0),OR(CR158&gt;=140,CS158&gt;=90)),"DEFINIR ESTADIO HTA",IF(AND(OR(O158&gt;0,R158&gt;0),AND(CR158&gt;120,CR158&lt;=139)),"PRE HTA SEGUIMIENTO",IF(AND(OR(O158&gt;0,R158&gt;0),AND(CS158&gt;80,CS158&lt;=89)),"PRE HTA SEGUIMIENTO",IF(AND(OR(O158&gt;0,R158&gt;0),AND(CR158&gt;=80,CR158&lt;=120)),"APARENTEMENTE NORMAL",IF(AND(OR(O158&gt;0,R158&gt;0),AND(CS158&gt;=50,CS158&lt;=80)),"APARENTEMENTE NORMAL",IF(AND(OR(O158&gt;0,R158&gt;0),AND(CR158&gt;1,CR158&lt;=70),AND(CS158&gt;1,CS158&lt;=40)),"HIPOTENSIÓN","")))))))))</f>
        <v>NO APLICA REGISTRO TA-INGRESO TARDIO</v>
      </c>
      <c r="CU158" s="21">
        <v>90</v>
      </c>
      <c r="CV158" s="21">
        <v>60</v>
      </c>
      <c r="CW158" s="217" t="str">
        <f ca="1">IF(R158="","",IF(AND(CN158&gt;19,CN158&lt;27,Tabla1[[#This Row],[T.A. SISTOLICA (Entre semana 20 y 26)]]="",Tabla1[[#This Row],[T.A. DIATOLICA (Entre semana 20 y 26)]]=""),"ACUDE A CONTROL SEM 20 A 26 REGISTRE TA AHORA",IF(AND(BS158&gt;1,BS158&lt;27,BU158&gt;19,Tabla1[[#This Row],[T.A. SISTOLICA (Entre semana 20 y 26)]]="",Tabla1[[#This Row],[T.A. DIATOLICA (Entre semana 20 y 26)]]=""),"COMPLETE REGISTRO TA CONTROL SEM 20 A26 ",IF(AND(BS158&gt;26,BS158&lt;43,Tabla1[[#This Row],[T.A. SISTOLICA (Entre semana 20 y 26)]]="",Tabla1[[#This Row],[T.A. DIATOLICA (Entre semana 20 y 26)]]=""),"NO APLICA REGISTRO TA-INGRESO TARDIO",IF(AND(OR(O158&gt;0,R158&gt;0),OR(CU158&gt;=140,CV158&gt;=90)),"ALTO RIESGO PREECLAMPSIA,DEFINIR ESTADIO HTA",IF(AND(OR(O158&gt;0,R158&gt;0),AND(CU158&gt;120,CU158&lt;=139)),"PRE HTA SEGUIMIENTO,RIESGO HIPERTENSION INDUCIDA POR EL EMBARAZO",IF(AND(OR(O158&gt;0,R158&gt;0),AND(CV158&gt;80,CV158&lt;=89)),"PRE HTA SEGUIMIENTO, RIESGO HIPERTENSION INDUCIDA POR EL EMBARAZO",IF(AND(OR(O158&lt;&gt;"",R158&lt;&gt;""),CS158&lt;&gt;"",CV158&lt;&gt;"",CS158&lt;=CV158),"VIGILAR CIFRAS PRESION ARTERIAL",IF(AND(OR(O158&gt;0,R158&gt;0),AND(CU158&gt;120,CU158&lt;=139)),"PRE HTA SEGUIMIENTO",IF(AND(OR(O158&gt;0,R158&gt;0),AND(CU158&gt;1,CU158&lt;=70),AND(CV158&gt;1,CV158&lt;=40)),"HIPOTENSIÓN",IF(AND(OR(O158&lt;&gt;"",R158&lt;&gt;""),CS158&lt;&gt;"",CV158&lt;&gt;"",CS158&gt;CV158),"APARENTEMENTE NORMAL",IF(AND(OR(O158&gt;0,R158&gt;0),AND(CU158&gt;=80,CU158&lt;=120)),"APARENTEMENTE NORMAL",IF(AND(OR(O158&gt;0,R158&gt;0),AND(CV158&gt;=50,CV158&lt;=80)),"APARENTEMENTE NORMAL","")))))))))))))</f>
        <v>APARENTEMENTE NORMAL</v>
      </c>
      <c r="CX158" s="21">
        <v>100</v>
      </c>
      <c r="CY158" s="21">
        <v>60</v>
      </c>
      <c r="CZ158" s="216" t="str">
        <f t="shared" si="690"/>
        <v>APARENTEMENTE NORMAL</v>
      </c>
      <c r="DA158" s="21">
        <v>90</v>
      </c>
      <c r="DB158" s="21">
        <v>60</v>
      </c>
      <c r="DC158" s="217" t="str">
        <f t="shared" si="611"/>
        <v>APARENTEMENTE NORMAL</v>
      </c>
      <c r="DD158" s="22">
        <v>45036</v>
      </c>
      <c r="DE158" s="22">
        <v>45036</v>
      </c>
      <c r="DF158" s="22">
        <v>45072</v>
      </c>
      <c r="DG158" s="22">
        <v>45097</v>
      </c>
      <c r="DH158" s="22"/>
      <c r="DI158" s="22"/>
      <c r="DJ158" s="22"/>
      <c r="DK158" s="22"/>
      <c r="DL158" s="22"/>
      <c r="DM158" s="22"/>
      <c r="DN158" s="22"/>
      <c r="DO158" s="22"/>
      <c r="DP158" s="22"/>
      <c r="DQ158" s="22"/>
      <c r="DR158" s="28">
        <v>1</v>
      </c>
      <c r="DS158" s="22"/>
      <c r="DT158" s="22"/>
      <c r="DU158" s="216" t="str">
        <f t="shared" ca="1" si="676"/>
        <v>SALE SIN PLAN DE PARTO</v>
      </c>
      <c r="DV158" s="226" t="str">
        <f t="shared" si="677"/>
        <v>SALIO PROGRAMA</v>
      </c>
      <c r="DW158"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58" s="216" t="str">
        <f t="shared" ca="1" si="612"/>
        <v/>
      </c>
      <c r="DY158" s="212">
        <f>IF(R158="","",IF(R158&gt;0,MAX(Tabla1[[#This Row],[FECHA C2]:[FECHA C13]],Tabla1[[#This Row],[FECHA CONSULTA PRIMERA VEZ PROGRAMA CPN ]])))</f>
        <v>45097</v>
      </c>
      <c r="DZ158" s="216">
        <f t="shared" si="613"/>
        <v>34</v>
      </c>
      <c r="EA158" s="222">
        <f>IF(R158&gt;0,SUM(COUNTA(DF158:DQ158)+COUNTA(Tabla1[[#This Row],[FECHA CONSULTA PRIMERA VEZ PROGRAMA CPN ]])),"")</f>
        <v>3</v>
      </c>
      <c r="EB158" s="222" t="str">
        <f t="shared" si="614"/>
        <v>NO</v>
      </c>
      <c r="EC158" s="214">
        <f t="shared" si="615"/>
        <v>5</v>
      </c>
      <c r="ED158" s="227">
        <f t="shared" si="616"/>
        <v>0.6</v>
      </c>
      <c r="EE158" s="22">
        <v>45036</v>
      </c>
      <c r="EF158" s="22">
        <v>45038</v>
      </c>
      <c r="EG158" s="22">
        <v>45036</v>
      </c>
      <c r="EH158" s="22"/>
      <c r="EI158" s="22">
        <v>45036</v>
      </c>
      <c r="EJ158" s="22"/>
      <c r="EK158" s="22"/>
      <c r="EL158" s="21"/>
      <c r="EM158" s="21">
        <v>11</v>
      </c>
      <c r="EN158" s="22">
        <v>45044</v>
      </c>
      <c r="EO158" s="222">
        <f t="shared" si="617"/>
        <v>26.428571428571427</v>
      </c>
      <c r="EP158" s="214" t="str">
        <f t="shared" si="618"/>
        <v>NORMAL- SUMINISTRAR SULFATO FERROSO</v>
      </c>
      <c r="EQ158" s="216" t="str">
        <f t="shared" si="619"/>
        <v>II TRIM</v>
      </c>
      <c r="ER158" s="24"/>
      <c r="ES158" s="22"/>
      <c r="ET158" s="29" t="str">
        <f t="shared" ca="1" si="678"/>
        <v>SALE SIN TAMIZAJE HEMOGLOBINA SEM 28</v>
      </c>
      <c r="EU158" s="25" t="str">
        <f t="shared" si="620"/>
        <v/>
      </c>
      <c r="EV158" s="24" t="s">
        <v>866</v>
      </c>
      <c r="EW158" s="24">
        <v>45044</v>
      </c>
      <c r="EX158" s="22"/>
      <c r="EY158" s="29">
        <f t="shared" si="454"/>
        <v>26.428571428571427</v>
      </c>
      <c r="EZ158" s="25" t="str">
        <f t="shared" ca="1" si="455"/>
        <v/>
      </c>
      <c r="FA158" s="21"/>
      <c r="FB158" s="22"/>
      <c r="FC158" s="29" t="str">
        <f t="shared" si="621"/>
        <v>PIERDE TOMA TAMIZAJE- INGRESO TARDIO</v>
      </c>
      <c r="FD158" s="29"/>
      <c r="FE158" s="29"/>
      <c r="FF158" s="29"/>
      <c r="FG158" s="21" t="str">
        <f t="shared" ca="1" si="622"/>
        <v/>
      </c>
      <c r="FH158" s="31"/>
      <c r="FI158" s="29" t="str">
        <f t="shared" si="623"/>
        <v>TOMAR EXAMEN</v>
      </c>
      <c r="FJ158" s="22"/>
      <c r="FK158" s="22"/>
      <c r="FL158" s="29" t="str">
        <f t="shared" ca="1" si="624"/>
        <v>NO APLICA-INGRESO TARDIO</v>
      </c>
      <c r="FM158" s="22" t="s">
        <v>867</v>
      </c>
      <c r="FN158" s="32">
        <v>45044</v>
      </c>
      <c r="FO158" s="29">
        <f t="shared" ca="1" si="679"/>
        <v>26.428571428571427</v>
      </c>
      <c r="FP158" s="22"/>
      <c r="FQ158" s="32"/>
      <c r="FR158" s="29" t="str">
        <f t="shared" ca="1" si="680"/>
        <v>PIERDE TOMA DE TAMIZAJE</v>
      </c>
      <c r="FS158" s="22"/>
      <c r="FT158" s="32"/>
      <c r="FU158" s="29" t="str">
        <f>IF(AND(FJ158="",FM158="",FP158="",FS158=""),"",IF(OR(OR(Tabla1[[#This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58" s="28"/>
      <c r="FW158" s="22"/>
      <c r="FX158" s="29" t="str">
        <f t="shared" si="625"/>
        <v>TOMAR EXAMEN</v>
      </c>
      <c r="FY158" s="22">
        <v>45036</v>
      </c>
      <c r="FZ158" s="22">
        <v>45036</v>
      </c>
      <c r="GA158" s="29" t="str">
        <f t="shared" si="692"/>
        <v>REGISTRAR EN II TRIMESTRE</v>
      </c>
      <c r="GB158" s="22" t="s">
        <v>868</v>
      </c>
      <c r="GC158" s="22">
        <v>45044</v>
      </c>
      <c r="GD158" s="29">
        <f t="shared" ca="1" si="681"/>
        <v>26.428571428571427</v>
      </c>
      <c r="GE158" s="22"/>
      <c r="GF158" s="22"/>
      <c r="GG158" s="29" t="str">
        <f t="shared" ca="1" si="682"/>
        <v>PIERDE TOMA DE TAMIZAJE</v>
      </c>
      <c r="GH158" s="22"/>
      <c r="GI158" s="29"/>
      <c r="GJ158" s="22"/>
      <c r="GK158" s="22"/>
      <c r="GL158" s="22"/>
      <c r="GM158" s="22"/>
      <c r="GN158" s="28"/>
      <c r="GO158" s="22"/>
      <c r="GP158" s="29" t="str">
        <f t="shared" si="626"/>
        <v>TOMAR EXAMEN</v>
      </c>
      <c r="GQ158" s="28" t="s">
        <v>869</v>
      </c>
      <c r="GR158" s="28" t="s">
        <v>869</v>
      </c>
      <c r="GS158" s="22" t="str">
        <f t="shared" si="627"/>
        <v>CONTROL Igm</v>
      </c>
      <c r="GT158" s="22">
        <v>45044</v>
      </c>
      <c r="GU158" s="29">
        <f t="shared" si="628"/>
        <v>26.428571428571427</v>
      </c>
      <c r="GV158" s="21" t="str">
        <f t="shared" si="629"/>
        <v>II TRIM</v>
      </c>
      <c r="GW158" s="28" t="s">
        <v>869</v>
      </c>
      <c r="GX158" s="30"/>
      <c r="GY158" s="21"/>
      <c r="GZ158" s="21"/>
      <c r="HA158" s="21"/>
      <c r="HB158" s="21"/>
      <c r="HC158" s="21"/>
      <c r="HD158" s="21"/>
      <c r="HE158" s="21"/>
      <c r="HF158" s="22"/>
      <c r="HG158" s="22" t="str">
        <f>IF(OR(O158&gt;0,R158&gt;0),CONCATENATE(IF(Tabla1[[#This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58" s="22" t="e">
        <f t="shared" si="630"/>
        <v>#REF!</v>
      </c>
      <c r="HI158" s="22" t="e">
        <f t="shared" ca="1" si="631"/>
        <v>#REF!</v>
      </c>
      <c r="HJ158" s="21" t="e">
        <f t="shared" ca="1" si="632"/>
        <v>#REF!</v>
      </c>
      <c r="HK158" s="21" t="str">
        <f t="shared" si="633"/>
        <v>SIN ANTECEDENTES DE RIESGO</v>
      </c>
      <c r="HL158" s="24" t="str">
        <f t="shared" si="634"/>
        <v>APARENTEMENTE NORMAL</v>
      </c>
      <c r="HM158" s="21" t="str">
        <f t="shared" ca="1" si="635"/>
        <v/>
      </c>
      <c r="HN158" s="30" t="str">
        <f t="shared" si="683"/>
        <v>SALIO PROGRAMA</v>
      </c>
      <c r="HO158" s="21"/>
      <c r="HP158" s="21"/>
      <c r="HQ158" s="21">
        <v>45036</v>
      </c>
      <c r="HR158" s="21" t="str">
        <f>IF(R158="","",IF(Tabla1[[#This Row],[ALARMA FACTORES DE RIESGO COMPLICACIONES HIPERTENSIVAS3]]="SIN ANTECEDENTES DE RIESGO","No Aplica para suministro de ASA",IF(AND(Tabla1[[#This Row],[FECHA INICIO DE SUMINISTRO DE ASA]]&gt;0,RV158&lt;12),"Inicia ASA ANTES de Sem 12",IF(AND(RV158&gt;11,RV158&lt;17,OR(HK158="RIESGO ALTO DE COMPLICACIONES HIPERTENSIVAS VER MANEJO GUIA SUMINISTRO ASA Y CALCIO",HK158="RIESGO MODERADO (2 O MAS CRITERIOS) VER MANEJO GUIA SUMINISTRO ASA Y CALCIO")),"Inicio oportuno de ASA",IF(AND(RV158&gt;12,OR(HK158="RIESGO ALTO DE COMPLICACIONES HIPERTENSIVAS VER MANEJO GUIA SUMINISTRO ASA Y CALCIO",HK158="RIESGO MODERADO (2 O MAS CRITERIOS) VER MANEJO GUIA SUMINISTRO ASA Y CALCIO")),"Inicio no oportuno mayor a 16 semanas",IF(AND(BU158&lt;12,OR(HK158="RIESGO ALTO DE COMPLICACIONES HIPERTENSIVAS VER MANEJO GUIA SUMINISTRO ASA Y CALCIO",HK158="RIESGO MODERADO (2 O MAS CRITERIOS) VER MANEJO GUIA SUMINISTRO ASA Y CALCIO")),"Pendiente Inicio de ASA a la semana 12",IF(AND(BU158&gt;11,BU158&lt;17,OR(HK158="RIESGO ALTO DE COMPLICACIONES HIPERTENSIVAS VER MANEJO GUIA SUMINISTRO ASA Y CALCIO",HK158="RIESGO MODERADO (2 O MAS CRITERIOS) VER MANEJO GUIA SUMINISTRO ASA Y CALCIO")),"Iniciar de inmediato ASA",IF(AND(BU158&gt;16,OR(HK158="RIESGO ALTO DE COMPLICACIONES HIPERTENSIVAS VER MANEJO GUIA SUMINISTRO ASA Y CALCIO",HK158="RIESGO MODERADO (2 O MAS CRITERIOS) VER MANEJO GUIA SUMINISTRO ASA Y CALCIO")),"Pierde Oportunidad, Inicio tardío de ASA","XXXXX"))))))))</f>
        <v>No Aplica para suministro de ASA</v>
      </c>
      <c r="HS158" s="22">
        <v>45036</v>
      </c>
      <c r="HT158" s="22" t="s">
        <v>870</v>
      </c>
      <c r="HU158" s="22"/>
      <c r="HV158" s="22"/>
      <c r="HW158" s="22">
        <v>45036</v>
      </c>
      <c r="HX158" s="22" t="s">
        <v>870</v>
      </c>
      <c r="HY158" s="22"/>
      <c r="HZ158" s="28" t="str">
        <f t="shared" si="636"/>
        <v>PENDIENTE CONSULTA</v>
      </c>
      <c r="IA158" s="26"/>
      <c r="IB158" s="26"/>
      <c r="IC158" s="111"/>
      <c r="ID158" s="22"/>
      <c r="IE158" s="22" t="str">
        <f t="shared" ca="1" si="637"/>
        <v>SALE SIN VACUNA</v>
      </c>
      <c r="IF158" s="22"/>
      <c r="IG158" s="22">
        <f t="shared" si="638"/>
        <v>45139</v>
      </c>
      <c r="IH158" s="29">
        <f t="shared" ca="1" si="639"/>
        <v>-93</v>
      </c>
      <c r="II158" s="22" t="str">
        <f t="shared" ca="1" si="640"/>
        <v>POSIBLEMENTE NACIO</v>
      </c>
      <c r="IJ158" s="22"/>
      <c r="IK158" s="21" t="s">
        <v>898</v>
      </c>
      <c r="IL158" s="21" t="s">
        <v>1639</v>
      </c>
      <c r="IM158" s="34"/>
      <c r="IN158" s="349">
        <v>45133</v>
      </c>
      <c r="IO158" s="21" t="s">
        <v>1186</v>
      </c>
      <c r="IP158" s="29">
        <f t="shared" si="674"/>
        <v>39.142857142857146</v>
      </c>
      <c r="IQ158" s="35" t="s">
        <v>1650</v>
      </c>
      <c r="IR158" s="21" t="s">
        <v>1651</v>
      </c>
      <c r="IS158" s="21" t="s">
        <v>1646</v>
      </c>
      <c r="IT158" s="21" t="s">
        <v>1642</v>
      </c>
      <c r="IU158" s="21"/>
      <c r="IV158" s="21"/>
      <c r="IW158" s="21"/>
      <c r="IX158" s="21"/>
      <c r="IY158" s="21"/>
      <c r="IZ158" s="21"/>
      <c r="JA158" s="21"/>
      <c r="JB158" s="30">
        <v>1</v>
      </c>
      <c r="JC158" s="21" t="s">
        <v>1647</v>
      </c>
      <c r="JD158" s="36">
        <v>3410</v>
      </c>
      <c r="JE158" s="21" t="str">
        <f t="shared" si="684"/>
        <v>PESO ADECUADO EDAD GESTACIONAL</v>
      </c>
      <c r="JF158" s="30"/>
      <c r="JG158" s="21"/>
      <c r="JH158" s="21"/>
      <c r="JI158" s="309" t="s">
        <v>854</v>
      </c>
      <c r="JJ158" s="329" t="s">
        <v>866</v>
      </c>
      <c r="JK158" s="22"/>
      <c r="JL158" s="22"/>
      <c r="JM158" s="21"/>
      <c r="JN158" s="36"/>
      <c r="JO158" s="21" t="str">
        <f t="shared" si="685"/>
        <v/>
      </c>
      <c r="JP158" s="22"/>
      <c r="JQ158" s="21"/>
      <c r="JR158" s="21"/>
      <c r="JS158" s="21"/>
      <c r="JT158" s="30"/>
      <c r="JU158" s="22"/>
      <c r="JV158" s="22"/>
      <c r="JW158" s="33"/>
      <c r="JX158" s="28" t="str">
        <f t="shared" si="686"/>
        <v>INASISTENTE</v>
      </c>
      <c r="JY158" s="33"/>
      <c r="JZ158" s="28" t="str">
        <f t="shared" si="687"/>
        <v>INASISTENTE</v>
      </c>
      <c r="KA158" s="21"/>
      <c r="KB158" s="21"/>
      <c r="KC158" s="21"/>
      <c r="KD158" s="37"/>
      <c r="KE158" s="28"/>
      <c r="KF158" s="28"/>
      <c r="KG158" s="28"/>
      <c r="KH158" s="39"/>
      <c r="KI158" s="39"/>
      <c r="KJ158" s="66"/>
      <c r="KK158" s="39"/>
      <c r="KL158" s="39"/>
      <c r="KM158" s="66"/>
      <c r="KN158" s="39"/>
      <c r="KO158" s="39"/>
      <c r="KP158" s="39"/>
      <c r="KQ158" s="39"/>
      <c r="KR158" s="39"/>
      <c r="KS158" s="39"/>
      <c r="KT158" s="39"/>
      <c r="KU158" s="38"/>
      <c r="KV158" s="38"/>
      <c r="KW158" s="38"/>
      <c r="KX158" s="38"/>
      <c r="KY158" s="38"/>
      <c r="KZ158" s="38"/>
      <c r="LA158" s="38"/>
      <c r="LB158" s="38"/>
      <c r="LC158" s="38"/>
      <c r="LD158" s="38"/>
      <c r="LE158" s="38"/>
      <c r="LF158" s="38"/>
      <c r="LG158" s="38"/>
      <c r="LH158" s="38"/>
      <c r="LI158" s="38"/>
      <c r="LJ158" s="38"/>
      <c r="LK158" s="38"/>
      <c r="LL158" s="38"/>
      <c r="LM158" s="38"/>
      <c r="LN158" s="38"/>
      <c r="LO158" s="38"/>
      <c r="LP158" s="38"/>
      <c r="LQ158" s="38"/>
      <c r="LR158" s="38"/>
      <c r="LS158" s="38"/>
      <c r="LT158" s="38"/>
      <c r="LU158" s="38"/>
      <c r="LV158" s="38"/>
      <c r="LW158" s="38"/>
      <c r="LX158" s="38"/>
      <c r="LY158" s="38"/>
      <c r="LZ158" s="38"/>
      <c r="MA158" s="38"/>
      <c r="MB158" s="38"/>
      <c r="MC158" s="38"/>
      <c r="MD158" s="38"/>
      <c r="ME158" s="38"/>
      <c r="MF158" s="38"/>
      <c r="MG158" s="38"/>
      <c r="MH158" s="43">
        <f t="shared" si="641"/>
        <v>0</v>
      </c>
      <c r="MI158" s="43" t="str">
        <f t="shared" si="642"/>
        <v/>
      </c>
      <c r="MJ158" s="43" t="str">
        <f t="shared" si="643"/>
        <v/>
      </c>
      <c r="MK158" s="43">
        <f t="shared" si="644"/>
        <v>0</v>
      </c>
      <c r="ML15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58" s="43">
        <f t="shared" si="645"/>
        <v>25.285714285714285</v>
      </c>
      <c r="MN158" s="43">
        <f t="shared" si="646"/>
        <v>4</v>
      </c>
      <c r="MO158" s="43">
        <f t="shared" si="647"/>
        <v>2023</v>
      </c>
      <c r="MP158" s="43" t="str">
        <f t="shared" si="648"/>
        <v>II TRIMESTRE AÑO</v>
      </c>
      <c r="MQ158" s="43">
        <f t="shared" si="649"/>
        <v>22.374616732369688</v>
      </c>
      <c r="MR158" s="43">
        <f t="shared" si="650"/>
        <v>0</v>
      </c>
      <c r="MS158" s="43" t="str">
        <f t="shared" si="651"/>
        <v xml:space="preserve"> DE 20 A 24 AÑOS</v>
      </c>
      <c r="MT158" s="43">
        <f t="shared" si="652"/>
        <v>0</v>
      </c>
      <c r="MU158" s="43">
        <f t="shared" si="653"/>
        <v>1</v>
      </c>
      <c r="MV158" s="43" t="e">
        <f t="shared" si="654"/>
        <v>#REF!</v>
      </c>
      <c r="MW158" s="43">
        <f t="shared" si="655"/>
        <v>0</v>
      </c>
      <c r="MX158" s="43" t="str">
        <f t="shared" si="656"/>
        <v/>
      </c>
      <c r="MY158" s="43" t="str">
        <f t="shared" ca="1" si="688"/>
        <v/>
      </c>
      <c r="MZ158" s="43" t="str">
        <f t="shared" si="657"/>
        <v/>
      </c>
      <c r="NA158" s="43" t="str">
        <f t="shared" si="658"/>
        <v/>
      </c>
      <c r="NB158" s="43" t="str">
        <f t="shared" si="659"/>
        <v/>
      </c>
      <c r="NC158" s="43" t="str">
        <f t="shared" si="660"/>
        <v/>
      </c>
      <c r="ND158" s="43" t="e">
        <f t="shared" ca="1" si="661"/>
        <v>#REF!</v>
      </c>
      <c r="NE158" s="43">
        <f>IF(OR(O158&gt;0,R158&gt;0),SUM(COUNTIF(Tabla1[[#This Row],[AÑOS AL INICIO5 CPN]],"&gt;=40"),COUNTIF(AS158,"0"),COUNTIF(AR158,"SI"),COUNTIF(CC158,"SI"),COUNTIF(BQ158,"&gt;119"),COUNTIF(CI158,"&gt;=35")),"")</f>
        <v>1</v>
      </c>
      <c r="NF158" s="43" t="str">
        <f t="shared" si="662"/>
        <v/>
      </c>
      <c r="NG158" s="43">
        <f t="shared" si="663"/>
        <v>0</v>
      </c>
      <c r="NH158" s="43">
        <f t="shared" si="664"/>
        <v>196</v>
      </c>
      <c r="NI158"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CPN",P158="NO"),"Z",IF(AND(Tabla1[[#This Row],[CITA PROXIMO CONTROL]]="CITA MANUAL",Tabla1[[#This Row],[GESTANTES ACTUALES]]="ACTIVA INGRESO A CPN"),"W",IF(AND(Tabla1[[#This Row],[GESTANTES ACTUALES]]="SALIO PROGRAMA",IN158=""),"S",IF(AND(Tabla1[[#This Row],[CITA PROXIMO CONTROL]]&gt;0,IN158=""),(Tabla1[[#This Row],[CITA PROXIMO CONTROL]]-TODAY()),"SD"))))))))</f>
        <v>SD</v>
      </c>
      <c r="NJ158" s="43">
        <f>MONTH(Tabla1[[#This Row],[FECHA DE SALIDA  DEL PROGRAMA]])</f>
        <v>7</v>
      </c>
      <c r="NK158" s="43">
        <f>YEAR(Tabla1[[#This Row],[FECHA DE SALIDA  DEL PROGRAMA]])</f>
        <v>2023</v>
      </c>
      <c r="NL158" s="43" t="str">
        <f t="shared" si="665"/>
        <v>X</v>
      </c>
      <c r="NM158" s="43" t="str">
        <f t="shared" si="501"/>
        <v>NO</v>
      </c>
      <c r="NN158" s="43" t="str">
        <f ca="1">IF(AND(O158&gt;0,R158=""),"NO CPN",IF(AND(O158="",R158=""),"",IF(AND(R158&gt;0,Tabla1[[#This Row],[SEMANAS DE GESTACION ACTUALIZADAS]]&lt;=12),"NO APLICA",IF(AND(FH158&lt;&gt;"",FN158&lt;&gt;""),"SI","NO"))))</f>
        <v>NO</v>
      </c>
      <c r="NO158" s="43" t="str">
        <f ca="1">IF(AND(O158&gt;0,R158=""),"NO CPN",IF(AND(O158="",R158=""),"",IF(AND(R158&gt;0,Tabla1[[#This Row],[SEMANAS DE GESTACION ACTUALIZADAS]]&lt;=27),"NO APLICA",IF(AND(ES158&lt;&gt;"",FQ158&lt;&gt;"",GF158&lt;&gt;""),"SI","NO"))))</f>
        <v>NO</v>
      </c>
      <c r="NP158" s="204" t="str">
        <f t="shared" si="666"/>
        <v>II TRIM</v>
      </c>
      <c r="NQ158" s="21" t="str">
        <f t="shared" si="691"/>
        <v/>
      </c>
      <c r="NR158" s="21">
        <f t="shared" si="689"/>
        <v>2</v>
      </c>
      <c r="NS158" s="205">
        <f t="shared" ca="1" si="667"/>
        <v>1</v>
      </c>
      <c r="NT158" s="21">
        <f t="shared" ca="1" si="668"/>
        <v>1</v>
      </c>
      <c r="NU158" s="21" t="str">
        <f t="shared" ca="1" si="669"/>
        <v>INCOMPLETO</v>
      </c>
      <c r="NV158" s="21" t="str">
        <f t="shared" ca="1" si="670"/>
        <v>INCOMPLETO</v>
      </c>
      <c r="NW158" s="206" t="str">
        <f>IF(AND(O158="",R158=""),"",IF(OR(AND(Tabla1[[#This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58" s="207" t="str">
        <f t="shared" ca="1" si="671"/>
        <v>SIN VACUNAR</v>
      </c>
      <c r="NY158" s="43">
        <f>ROW(Tabla1[[#This Row],['# DE TAMIZAJES SIFILIS TOMADOS ]])</f>
        <v>158</v>
      </c>
      <c r="NZ158" s="43">
        <f t="shared" si="502"/>
        <v>25</v>
      </c>
      <c r="OA158" s="43" t="str">
        <f t="shared" si="503"/>
        <v/>
      </c>
      <c r="OB158" s="43" t="str">
        <f t="shared" si="504"/>
        <v/>
      </c>
      <c r="OC158" s="43" t="str">
        <f t="shared" si="505"/>
        <v/>
      </c>
      <c r="OD158" s="43" t="str">
        <f t="shared" si="506"/>
        <v/>
      </c>
      <c r="OE158" s="43" t="str">
        <f t="shared" si="507"/>
        <v/>
      </c>
      <c r="OF158" s="43" t="str">
        <f t="shared" si="508"/>
        <v/>
      </c>
      <c r="OG158" s="43" t="str">
        <f t="shared" si="509"/>
        <v/>
      </c>
      <c r="OH158" s="43" t="str">
        <f t="shared" si="510"/>
        <v/>
      </c>
      <c r="OI158" s="43" t="str">
        <f t="shared" si="511"/>
        <v/>
      </c>
      <c r="OJ158" s="43" t="str">
        <f t="shared" si="512"/>
        <v/>
      </c>
      <c r="OK158" s="43" t="str">
        <f t="shared" si="513"/>
        <v/>
      </c>
      <c r="OL158" s="43" t="str">
        <f t="shared" si="514"/>
        <v/>
      </c>
      <c r="OM158" s="43" t="str">
        <f t="shared" si="515"/>
        <v/>
      </c>
      <c r="ON158" s="43" t="str">
        <f t="shared" si="516"/>
        <v/>
      </c>
      <c r="OO158" s="43" t="str">
        <f t="shared" si="517"/>
        <v/>
      </c>
      <c r="OP158" s="43" t="str">
        <f t="shared" si="518"/>
        <v/>
      </c>
      <c r="OQ158" s="43" t="str">
        <f t="shared" si="519"/>
        <v>NORMAL</v>
      </c>
      <c r="OR158" s="43" t="str">
        <f t="shared" si="520"/>
        <v/>
      </c>
      <c r="OS158" s="43" t="str">
        <f t="shared" si="521"/>
        <v/>
      </c>
      <c r="OT158" s="43" t="str">
        <f t="shared" si="522"/>
        <v/>
      </c>
      <c r="OU158" s="43" t="str">
        <f t="shared" si="523"/>
        <v/>
      </c>
      <c r="OV158" s="110" t="str">
        <f t="shared" si="524"/>
        <v/>
      </c>
      <c r="OW158" s="43" t="str">
        <f t="shared" si="525"/>
        <v/>
      </c>
      <c r="OX158" s="43" t="str">
        <f t="shared" si="526"/>
        <v/>
      </c>
      <c r="OY158" s="43" t="str">
        <f t="shared" si="527"/>
        <v/>
      </c>
      <c r="OZ158" s="43" t="str">
        <f t="shared" si="528"/>
        <v/>
      </c>
      <c r="PA158" s="43" t="str">
        <f t="shared" si="529"/>
        <v/>
      </c>
      <c r="PB158" s="43" t="str">
        <f t="shared" si="530"/>
        <v/>
      </c>
      <c r="PC158" s="43" t="str">
        <f t="shared" si="531"/>
        <v/>
      </c>
      <c r="PD158" s="43" t="str">
        <f t="shared" si="532"/>
        <v/>
      </c>
      <c r="PE158" s="43" t="str">
        <f t="shared" si="533"/>
        <v/>
      </c>
      <c r="PF158" s="43" t="str">
        <f t="shared" si="534"/>
        <v/>
      </c>
      <c r="PG158" s="43" t="str">
        <f t="shared" si="535"/>
        <v/>
      </c>
      <c r="PH158" s="43" t="str">
        <f t="shared" si="536"/>
        <v/>
      </c>
      <c r="PI158" s="43">
        <f t="shared" si="537"/>
        <v>34</v>
      </c>
      <c r="PJ158" s="43" t="str">
        <f t="shared" si="538"/>
        <v/>
      </c>
      <c r="PK158" s="43" t="str">
        <f t="shared" si="539"/>
        <v/>
      </c>
      <c r="PL158" s="43" t="str">
        <f t="shared" si="540"/>
        <v/>
      </c>
      <c r="PM158" s="43" t="str">
        <f t="shared" si="541"/>
        <v/>
      </c>
      <c r="PN158" s="43" t="str">
        <f t="shared" si="542"/>
        <v/>
      </c>
      <c r="PO158" s="43" t="str">
        <f t="shared" si="543"/>
        <v/>
      </c>
      <c r="PP158" s="43" t="str">
        <f t="shared" si="544"/>
        <v/>
      </c>
      <c r="PQ158" s="43" t="str">
        <f t="shared" si="545"/>
        <v/>
      </c>
      <c r="PR158" s="43" t="str">
        <f t="shared" si="546"/>
        <v/>
      </c>
      <c r="PS158" s="43" t="str">
        <f t="shared" si="547"/>
        <v/>
      </c>
      <c r="PT158" s="43" t="str">
        <f t="shared" si="548"/>
        <v/>
      </c>
      <c r="PU158" s="43" t="str">
        <f t="shared" si="549"/>
        <v/>
      </c>
      <c r="PV158" s="43" t="str">
        <f t="shared" si="550"/>
        <v/>
      </c>
      <c r="PW158" s="43" t="str">
        <f t="shared" si="551"/>
        <v/>
      </c>
      <c r="PX158" s="43" t="str">
        <f t="shared" si="552"/>
        <v/>
      </c>
      <c r="PY158" s="43" t="str">
        <f t="shared" si="553"/>
        <v/>
      </c>
      <c r="PZ158" s="43" t="str">
        <f t="shared" si="554"/>
        <v/>
      </c>
      <c r="QA158" s="43" t="str">
        <f t="shared" si="555"/>
        <v/>
      </c>
      <c r="QB158" s="43" t="str">
        <f t="shared" si="556"/>
        <v/>
      </c>
      <c r="QC158" s="43" t="str">
        <f t="shared" si="557"/>
        <v/>
      </c>
      <c r="QD158" s="43" t="str">
        <f t="shared" si="558"/>
        <v/>
      </c>
      <c r="QE158" s="43" t="str">
        <f t="shared" si="559"/>
        <v/>
      </c>
      <c r="QF158" s="43" t="str">
        <f t="shared" si="560"/>
        <v/>
      </c>
      <c r="QG158" s="43" t="str">
        <f t="shared" si="561"/>
        <v/>
      </c>
      <c r="QH158" s="43" t="str">
        <f t="shared" si="562"/>
        <v/>
      </c>
      <c r="QI158" s="43" t="str">
        <f t="shared" si="563"/>
        <v>NORMAL</v>
      </c>
      <c r="QJ158" s="43" t="str">
        <f t="shared" si="564"/>
        <v/>
      </c>
      <c r="QK158" s="43" t="str">
        <f t="shared" si="565"/>
        <v/>
      </c>
      <c r="QL158" s="43" t="str">
        <f t="shared" si="566"/>
        <v/>
      </c>
      <c r="QM158" s="43" t="str">
        <f t="shared" si="567"/>
        <v/>
      </c>
      <c r="QN158" s="43" t="str">
        <f t="shared" si="568"/>
        <v/>
      </c>
      <c r="QO158" s="43" t="str">
        <f t="shared" si="569"/>
        <v/>
      </c>
      <c r="QP158" s="43" t="str">
        <f t="shared" si="570"/>
        <v/>
      </c>
      <c r="QQ158" s="43" t="str">
        <f t="shared" si="571"/>
        <v/>
      </c>
      <c r="QR158" s="43">
        <f t="shared" si="672"/>
        <v>34</v>
      </c>
      <c r="QS158" s="43"/>
      <c r="QT158" s="21" t="str">
        <f t="shared" si="572"/>
        <v/>
      </c>
      <c r="QU158" s="21" t="str">
        <f t="shared" si="573"/>
        <v/>
      </c>
      <c r="QV158" s="21" t="str">
        <f t="shared" si="574"/>
        <v/>
      </c>
      <c r="QW158" s="21" t="str">
        <f t="shared" si="575"/>
        <v/>
      </c>
      <c r="QX158" s="21" t="str">
        <f t="shared" si="576"/>
        <v/>
      </c>
      <c r="QY158" s="21" t="str">
        <f t="shared" si="577"/>
        <v/>
      </c>
      <c r="QZ158" s="21" t="str">
        <f t="shared" si="578"/>
        <v/>
      </c>
      <c r="RA158" s="21" t="str">
        <f t="shared" si="579"/>
        <v/>
      </c>
      <c r="RB158" s="21" t="str">
        <f t="shared" si="580"/>
        <v/>
      </c>
      <c r="RC158" s="21" t="str">
        <f t="shared" si="581"/>
        <v/>
      </c>
      <c r="RD158" s="21" t="str">
        <f t="shared" si="582"/>
        <v/>
      </c>
      <c r="RE158" s="21" t="str">
        <f t="shared" si="583"/>
        <v/>
      </c>
      <c r="RF158" s="21" t="str">
        <f t="shared" si="584"/>
        <v/>
      </c>
      <c r="RG158" s="21" t="str">
        <f t="shared" si="585"/>
        <v/>
      </c>
      <c r="RH158" s="21" t="str">
        <f t="shared" si="586"/>
        <v/>
      </c>
      <c r="RI158" s="21" t="str">
        <f t="shared" si="587"/>
        <v/>
      </c>
      <c r="RJ158" s="21" t="str">
        <f t="shared" si="588"/>
        <v/>
      </c>
      <c r="RK158" s="21" t="str">
        <f t="shared" si="589"/>
        <v/>
      </c>
      <c r="RL158" s="21" t="str">
        <f t="shared" si="590"/>
        <v/>
      </c>
      <c r="RM158" s="21" t="str">
        <f t="shared" si="591"/>
        <v/>
      </c>
      <c r="RN158" s="21" t="str">
        <f t="shared" si="592"/>
        <v/>
      </c>
      <c r="RO158" s="21" t="str">
        <f t="shared" si="593"/>
        <v>ALTO PARA EDAD GESTACIONAL</v>
      </c>
      <c r="RP158" s="21" t="str">
        <f t="shared" si="594"/>
        <v/>
      </c>
      <c r="RQ158" s="21" t="str">
        <f t="shared" si="595"/>
        <v/>
      </c>
      <c r="RR158" s="21" t="str">
        <f t="shared" si="596"/>
        <v/>
      </c>
      <c r="RS158" s="21" t="str">
        <f t="shared" si="597"/>
        <v/>
      </c>
      <c r="RT158" s="21" t="str">
        <f t="shared" si="598"/>
        <v/>
      </c>
      <c r="RU158" s="21" t="str">
        <f t="shared" si="599"/>
        <v/>
      </c>
      <c r="RV158" s="21">
        <f t="shared" si="600"/>
        <v>25.285714285714285</v>
      </c>
      <c r="RW158" s="284">
        <f>IF(OR(Tabla1[[#This Row],[FUM FORMULA CONFIABLE]]="",Tabla1[[#This Row],[FUM FORMULA CONFIABLE]]="SD"),"",IF(Tabla1[[#This Row],[FUM FORMULA CONFIABLE]]="CORREGIDA",Tabla1[[#This Row],[FUM X ECO 1]],Tabla1[[#This Row],[FUM x AMENORREA]]))</f>
        <v>44859</v>
      </c>
      <c r="RX158" s="21">
        <f>IF(AND(Tabla1[[#This Row],[FUM X ECO 1]]="",Tabla1[[#This Row],[FUM x AMENORREA]]=""),"",IF(AND(Tabla1[[#This Row],[FUM X ECO 1]]="",Tabla1[[#This Row],[FUM x AMENORREA]]&lt;&gt;""),"X",SUM(Tabla1[[#This Row],[FUM X ECO 1]]-Tabla1[[#This Row],[FUM x AMENORREA]])))</f>
        <v>-4</v>
      </c>
      <c r="RY158" s="21">
        <f t="shared" si="673"/>
        <v>0</v>
      </c>
    </row>
    <row r="159" spans="1:493" ht="45" customHeight="1" x14ac:dyDescent="0.25">
      <c r="A159" s="109"/>
      <c r="B159" s="43"/>
      <c r="C159" s="43" t="s">
        <v>845</v>
      </c>
      <c r="D159" s="124"/>
      <c r="E159" s="43" t="s">
        <v>1455</v>
      </c>
      <c r="F159" s="43" t="s">
        <v>974</v>
      </c>
      <c r="G159" s="43" t="s">
        <v>1305</v>
      </c>
      <c r="H159" s="43" t="s">
        <v>1456</v>
      </c>
      <c r="I159" s="109" t="s">
        <v>1094</v>
      </c>
      <c r="J159" s="110">
        <v>1059595977</v>
      </c>
      <c r="K159" s="43" t="s">
        <v>852</v>
      </c>
      <c r="L159" s="175" t="s">
        <v>886</v>
      </c>
      <c r="M159" s="22">
        <v>38559</v>
      </c>
      <c r="N159" s="213">
        <f t="shared" ca="1" si="601"/>
        <v>18.282191780821918</v>
      </c>
      <c r="O159" s="22">
        <v>45051</v>
      </c>
      <c r="P159" s="214" t="str">
        <f t="shared" si="675"/>
        <v>SI</v>
      </c>
      <c r="Q159" s="26" t="s">
        <v>855</v>
      </c>
      <c r="R159" s="22">
        <v>45051</v>
      </c>
      <c r="S159" s="21" t="s">
        <v>856</v>
      </c>
      <c r="T159" s="24" t="s">
        <v>690</v>
      </c>
      <c r="U159" s="21" t="s">
        <v>857</v>
      </c>
      <c r="V159" s="21" t="s">
        <v>858</v>
      </c>
      <c r="W159" s="21" t="s">
        <v>1341</v>
      </c>
      <c r="X159" s="21"/>
      <c r="Y159" s="21"/>
      <c r="Z159" s="21">
        <v>3228863585</v>
      </c>
      <c r="AA159" s="21" t="s">
        <v>860</v>
      </c>
      <c r="AB159" s="27" t="s">
        <v>861</v>
      </c>
      <c r="AC159" s="26" t="s">
        <v>877</v>
      </c>
      <c r="AD159" s="38" t="s">
        <v>1546</v>
      </c>
      <c r="AE159" s="26" t="s">
        <v>854</v>
      </c>
      <c r="AF159" s="26" t="s">
        <v>854</v>
      </c>
      <c r="AG159" s="23" t="s">
        <v>864</v>
      </c>
      <c r="AH159" s="23" t="s">
        <v>864</v>
      </c>
      <c r="AI159" s="24" t="s">
        <v>863</v>
      </c>
      <c r="AJ159" s="23" t="s">
        <v>864</v>
      </c>
      <c r="AK159" s="220" t="str">
        <f>IF(AND(AD159="",AE159="",AF159="",AG159="",AH159="",AI159="",AJ159=""),"",IF(OR(Tabla1[[#This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EVALUACIÓN",IF(AND(O159="",R159=""),"",IF(AND(OR(O159&gt;0,R159&gt;0),NG159&gt;=0,NG159&lt;2),"SIN RIESGO",IF(AND(OR(O159&gt;0,R159&gt;0),NG159&gt;=2),"CON RIESGO","ASD")))))</f>
        <v>SIN RIESGO</v>
      </c>
      <c r="AL159" s="23" t="s">
        <v>864</v>
      </c>
      <c r="AM159" s="26" t="s">
        <v>864</v>
      </c>
      <c r="AN159" s="26" t="s">
        <v>864</v>
      </c>
      <c r="AO159" s="26" t="s">
        <v>864</v>
      </c>
      <c r="AP159" s="26" t="s">
        <v>864</v>
      </c>
      <c r="AQ159" s="26" t="s">
        <v>864</v>
      </c>
      <c r="AR159" s="26" t="s">
        <v>864</v>
      </c>
      <c r="AS159" s="21">
        <v>1</v>
      </c>
      <c r="AT159" s="21">
        <v>1</v>
      </c>
      <c r="AU159" s="21">
        <v>0</v>
      </c>
      <c r="AV159" s="26" t="s">
        <v>864</v>
      </c>
      <c r="AW159" s="21">
        <v>0</v>
      </c>
      <c r="AX159" s="26" t="s">
        <v>864</v>
      </c>
      <c r="AY159" s="26" t="s">
        <v>864</v>
      </c>
      <c r="AZ159" s="26" t="s">
        <v>864</v>
      </c>
      <c r="BA159" s="26" t="s">
        <v>864</v>
      </c>
      <c r="BB159" s="26" t="s">
        <v>864</v>
      </c>
      <c r="BC159" s="26" t="s">
        <v>864</v>
      </c>
      <c r="BD159" s="26" t="s">
        <v>864</v>
      </c>
      <c r="BE159" s="26" t="s">
        <v>864</v>
      </c>
      <c r="BF159" s="26" t="s">
        <v>864</v>
      </c>
      <c r="BG159" s="26" t="s">
        <v>864</v>
      </c>
      <c r="BH159" s="26" t="s">
        <v>864</v>
      </c>
      <c r="BI159" s="26" t="s">
        <v>864</v>
      </c>
      <c r="BJ159" s="26" t="s">
        <v>864</v>
      </c>
      <c r="BK159" s="26" t="s">
        <v>865</v>
      </c>
      <c r="BL159" s="26" t="s">
        <v>864</v>
      </c>
      <c r="BM159" s="26" t="s">
        <v>864</v>
      </c>
      <c r="BN159" s="22">
        <v>44247</v>
      </c>
      <c r="BO159" s="22">
        <v>44943</v>
      </c>
      <c r="BP159" s="21" t="s">
        <v>854</v>
      </c>
      <c r="BQ159" s="222">
        <f t="shared" si="602"/>
        <v>23.2</v>
      </c>
      <c r="BR159" s="223">
        <f t="shared" si="603"/>
        <v>44943.199999999997</v>
      </c>
      <c r="BS159" s="224">
        <f t="shared" si="604"/>
        <v>15.428571428571429</v>
      </c>
      <c r="BT159" s="216" t="str">
        <f t="shared" si="605"/>
        <v>II TRIM</v>
      </c>
      <c r="BU159" s="214">
        <f t="shared" ca="1" si="606"/>
        <v>41.285714285714285</v>
      </c>
      <c r="BV159" s="25" t="s">
        <v>988</v>
      </c>
      <c r="BW159" s="22">
        <v>45051</v>
      </c>
      <c r="BX159" s="28">
        <v>15.4</v>
      </c>
      <c r="BY159" s="28"/>
      <c r="BZ159" s="22"/>
      <c r="CA159" s="21"/>
      <c r="CB159" s="26" t="s">
        <v>864</v>
      </c>
      <c r="CC159" s="26" t="s">
        <v>864</v>
      </c>
      <c r="CD159" s="26"/>
      <c r="CE159" s="26" t="s">
        <v>864</v>
      </c>
      <c r="CF159" s="22" t="s">
        <v>1517</v>
      </c>
      <c r="CG159" s="21">
        <v>1.45</v>
      </c>
      <c r="CH159" s="21">
        <v>50</v>
      </c>
      <c r="CI159" s="214">
        <f t="shared" si="607"/>
        <v>23.781212841854934</v>
      </c>
      <c r="CJ159" s="225" t="e">
        <f>IF(AND(CI159&lt;10,CH159="SD"),"SIN DATO PESO PREGESTACION O I TRIM",IF(AND(OR(R159&gt;0,O159&gt;0),CI159="X"),"INGRESAR DATO DE PESO",IF(CI159="SD","INGRESAR DATO DE TALLA Y PESO",IF(AND(OR(Tabla1[[#This Row],[MOMENTO EN QUE SE REALIZA EL PESO AL INGRESO A CPN]]="PREGESTACIÓN",NZ159="Menor"),CI159&lt;18.5),"BAJO PESO",IF(AND(OR(Tabla1[[#This Row],[MOMENTO EN QUE SE REALIZA EL PESO AL INGRESO A CPN]]="PREGESTACIÓN",NZ159="Menor"),CI159&lt;25),"NORMAL",IF(AND(OR(Tabla1[[#This Row],[MOMENTO EN QUE SE REALIZA EL PESO AL INGRESO A CPN]]="PREGESTACIÓN",NZ159="Menor"),CI159&lt;30),"SOBREPESO",IF(AND(OR(Tabla1[[#This Row],[MOMENTO EN QUE SE REALIZA EL PESO AL INGRESO A CPN]]="PREGESTACIÓN",NZ159="Menor"),CI159&gt;=30,CI159&lt;50),"OBESIDAD",IF(AND(BS159&gt;0,Tabla1[[#This Row],[MOMENTO EN QUE SE REALIZA EL PESO AL INGRESO A CPN]]="GESTACIÓN"),HLOOKUP(NZ159,$OA$2:PH159,NY159),""))))))))</f>
        <v>#REF!</v>
      </c>
      <c r="CK159" s="212">
        <f t="shared" si="608"/>
        <v>45145</v>
      </c>
      <c r="CL159" s="21">
        <v>57.1</v>
      </c>
      <c r="CM159" s="214">
        <f t="shared" si="609"/>
        <v>27.158145065398337</v>
      </c>
      <c r="CN159" s="216">
        <f t="shared" si="610"/>
        <v>28</v>
      </c>
      <c r="CO159" s="216" t="e">
        <f>IF(PI159="","",IF(PI159&gt;0,HLOOKUP(PI159,$PJ$2:QQ159,NY159),""))</f>
        <v>#REF!</v>
      </c>
      <c r="CP159" s="21">
        <v>28</v>
      </c>
      <c r="CQ159" s="216" t="e">
        <f>IF(QR159="Menor","NO APLICA-MENOR 13 SEM",IF(AND(CC159="SI",CN159&gt;23),"NO APLICA- GEMELAR",IF(QR159="","",IF(QR159&gt;0,HLOOKUP(QR159,$QS$2:RU159,NY159),""))))</f>
        <v>#REF!</v>
      </c>
      <c r="CR159" s="21">
        <v>90</v>
      </c>
      <c r="CS159" s="21">
        <v>60</v>
      </c>
      <c r="CT159" s="217" t="str">
        <f>IF(R159="","",IF(AND(BS159&gt;1,BS159&lt;12,Tabla1[[#This Row],[T.A. SISTOLICA - ANTES DE SEMANA 12]]="",Tabla1[[#This Row],[T.A. DIASTOLICA - ANTES DE SEMANA 12]]=""),"REGISTRE DATO TA ANTES SEMANA 12",IF(AND(BS159&gt;11,BS159&lt;43,Tabla1[[#This Row],[T.A. SISTOLICA - ANTES DE SEMANA 12]]="",Tabla1[[#This Row],[T.A. DIASTOLICA - ANTES DE SEMANA 12]]=""),"NO APLICA REGISTRO TA-INGRESO TARDIO",IF(AND(OR(O159&gt;0,R159&gt;0),OR(CR159&gt;=140,CS159&gt;=90)),"DEFINIR ESTADIO HTA",IF(AND(OR(O159&gt;0,R159&gt;0),AND(CR159&gt;120,CR159&lt;=139)),"PRE HTA SEGUIMIENTO",IF(AND(OR(O159&gt;0,R159&gt;0),AND(CS159&gt;80,CS159&lt;=89)),"PRE HTA SEGUIMIENTO",IF(AND(OR(O159&gt;0,R159&gt;0),AND(CR159&gt;=80,CR159&lt;=120)),"APARENTEMENTE NORMAL",IF(AND(OR(O159&gt;0,R159&gt;0),AND(CS159&gt;=50,CS159&lt;=80)),"APARENTEMENTE NORMAL",IF(AND(OR(O159&gt;0,R159&gt;0),AND(CR159&gt;1,CR159&lt;=70),AND(CS159&gt;1,CS159&lt;=40)),"HIPOTENSIÓN","")))))))))</f>
        <v>APARENTEMENTE NORMAL</v>
      </c>
      <c r="CU159" s="21">
        <v>90</v>
      </c>
      <c r="CV159" s="21">
        <v>60</v>
      </c>
      <c r="CW159" s="217" t="str">
        <f ca="1">IF(R159="","",IF(AND(CN159&gt;19,CN159&lt;27,Tabla1[[#This Row],[T.A. SISTOLICA (Entre semana 20 y 26)]]="",Tabla1[[#This Row],[T.A. DIATOLICA (Entre semana 20 y 26)]]=""),"ACUDE A CONTROL SEM 20 A 26 REGISTRE TA AHORA",IF(AND(BS159&gt;1,BS159&lt;27,BU159&gt;19,Tabla1[[#This Row],[T.A. SISTOLICA (Entre semana 20 y 26)]]="",Tabla1[[#This Row],[T.A. DIATOLICA (Entre semana 20 y 26)]]=""),"COMPLETE REGISTRO TA CONTROL SEM 20 A26 ",IF(AND(BS159&gt;26,BS159&lt;43,Tabla1[[#This Row],[T.A. SISTOLICA (Entre semana 20 y 26)]]="",Tabla1[[#This Row],[T.A. DIATOLICA (Entre semana 20 y 26)]]=""),"NO APLICA REGISTRO TA-INGRESO TARDIO",IF(AND(OR(O159&gt;0,R159&gt;0),OR(CU159&gt;=140,CV159&gt;=90)),"ALTO RIESGO PREECLAMPSIA,DEFINIR ESTADIO HTA",IF(AND(OR(O159&gt;0,R159&gt;0),AND(CU159&gt;120,CU159&lt;=139)),"PRE HTA SEGUIMIENTO,RIESGO HIPERTENSION INDUCIDA POR EL EMBARAZO",IF(AND(OR(O159&gt;0,R159&gt;0),AND(CV159&gt;80,CV159&lt;=89)),"PRE HTA SEGUIMIENTO, RIESGO HIPERTENSION INDUCIDA POR EL EMBARAZO",IF(AND(OR(O159&lt;&gt;"",R159&lt;&gt;""),CS159&lt;&gt;"",CV159&lt;&gt;"",CS159&lt;=CV159),"VIGILAR CIFRAS PRESION ARTERIAL",IF(AND(OR(O159&gt;0,R159&gt;0),AND(CU159&gt;120,CU159&lt;=139)),"PRE HTA SEGUIMIENTO",IF(AND(OR(O159&gt;0,R159&gt;0),AND(CU159&gt;1,CU159&lt;=70),AND(CV159&gt;1,CV159&lt;=40)),"HIPOTENSIÓN",IF(AND(OR(O159&lt;&gt;"",R159&lt;&gt;""),CS159&lt;&gt;"",CV159&lt;&gt;"",CS159&gt;CV159),"APARENTEMENTE NORMAL",IF(AND(OR(O159&gt;0,R159&gt;0),AND(CU159&gt;=80,CU159&lt;=120)),"APARENTEMENTE NORMAL",IF(AND(OR(O159&gt;0,R159&gt;0),AND(CV159&gt;=50,CV159&lt;=80)),"APARENTEMENTE NORMAL","")))))))))))))</f>
        <v>VIGILAR CIFRAS PRESION ARTERIAL</v>
      </c>
      <c r="CX159" s="21"/>
      <c r="CY159" s="21"/>
      <c r="CZ159" s="216" t="str">
        <f t="shared" si="690"/>
        <v/>
      </c>
      <c r="DA159" s="21">
        <v>90</v>
      </c>
      <c r="DB159" s="21">
        <v>60</v>
      </c>
      <c r="DC159" s="217" t="str">
        <f t="shared" si="611"/>
        <v>APARENTEMENTE NORMAL</v>
      </c>
      <c r="DD159" s="22">
        <v>44999</v>
      </c>
      <c r="DE159" s="22">
        <v>44999</v>
      </c>
      <c r="DF159" s="22">
        <v>45051</v>
      </c>
      <c r="DG159" s="22">
        <v>45098</v>
      </c>
      <c r="DH159" s="22">
        <v>45145</v>
      </c>
      <c r="DI159" s="22"/>
      <c r="DJ159" s="22"/>
      <c r="DK159" s="22"/>
      <c r="DL159" s="22"/>
      <c r="DM159" s="22"/>
      <c r="DN159" s="22"/>
      <c r="DO159" s="22"/>
      <c r="DP159" s="22"/>
      <c r="DQ159" s="22"/>
      <c r="DR159" s="28">
        <v>1</v>
      </c>
      <c r="DS159" s="22"/>
      <c r="DT159" s="22"/>
      <c r="DU159" s="216" t="str">
        <f t="shared" ca="1" si="676"/>
        <v>CONCERTAR PLAN DE PARTO INMEDIATO</v>
      </c>
      <c r="DV159" s="226" t="str">
        <f t="shared" si="677"/>
        <v>ACTIVA INGRESO A CPN</v>
      </c>
      <c r="DW159"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59" s="216" t="e">
        <f t="shared" ca="1" si="612"/>
        <v>#REF!</v>
      </c>
      <c r="DY159" s="212">
        <f>IF(R159="","",IF(R159&gt;0,MAX(Tabla1[[#This Row],[FECHA C2]:[FECHA C13]],Tabla1[[#This Row],[FECHA CONSULTA PRIMERA VEZ PROGRAMA CPN ]])))</f>
        <v>45145</v>
      </c>
      <c r="DZ159" s="216">
        <f t="shared" si="613"/>
        <v>28</v>
      </c>
      <c r="EA159" s="222">
        <f>IF(R159&gt;0,SUM(COUNTA(DF159:DQ159)+COUNTA(Tabla1[[#This Row],[FECHA CONSULTA PRIMERA VEZ PROGRAMA CPN ]])),"")</f>
        <v>4</v>
      </c>
      <c r="EB159" s="222" t="str">
        <f t="shared" si="614"/>
        <v>SI</v>
      </c>
      <c r="EC159" s="214">
        <f t="shared" si="615"/>
        <v>8</v>
      </c>
      <c r="ED159" s="227">
        <f t="shared" si="616"/>
        <v>0.5</v>
      </c>
      <c r="EE159" s="22">
        <v>44999</v>
      </c>
      <c r="EF159" s="22">
        <v>45149</v>
      </c>
      <c r="EG159" s="22">
        <v>44999</v>
      </c>
      <c r="EH159" s="22"/>
      <c r="EI159" s="22">
        <v>44999</v>
      </c>
      <c r="EJ159" s="22"/>
      <c r="EK159" s="22"/>
      <c r="EL159" s="21"/>
      <c r="EM159" s="21">
        <v>13.1</v>
      </c>
      <c r="EN159" s="22">
        <v>45051</v>
      </c>
      <c r="EO159" s="222">
        <f t="shared" si="617"/>
        <v>15.428571428571429</v>
      </c>
      <c r="EP159" s="214" t="str">
        <f t="shared" si="618"/>
        <v>NORMAL- SUMINISTRAR SULFATO FERROSO</v>
      </c>
      <c r="EQ159" s="216" t="str">
        <f t="shared" si="619"/>
        <v>II TRIM</v>
      </c>
      <c r="ER159" s="24"/>
      <c r="ES159" s="22"/>
      <c r="ET159" s="29" t="str">
        <f t="shared" ca="1" si="678"/>
        <v>TOMA DE HEMOGLOBINA TARDÍA</v>
      </c>
      <c r="EU159" s="25" t="str">
        <f t="shared" si="620"/>
        <v/>
      </c>
      <c r="EV159" s="24" t="s">
        <v>1510</v>
      </c>
      <c r="EW159" s="24">
        <v>45051</v>
      </c>
      <c r="EX159" s="22"/>
      <c r="EY159" s="29">
        <f t="shared" si="454"/>
        <v>15.428571428571429</v>
      </c>
      <c r="EZ159" s="25" t="str">
        <f t="shared" si="455"/>
        <v>SIN RIESGO DE ISOINMUNIZACIÓN</v>
      </c>
      <c r="FA159" s="21">
        <v>80</v>
      </c>
      <c r="FB159" s="22">
        <v>45051</v>
      </c>
      <c r="FC159" s="29">
        <f t="shared" si="621"/>
        <v>15.428571428571429</v>
      </c>
      <c r="FD159" s="29"/>
      <c r="FE159" s="29"/>
      <c r="FF159" s="29"/>
      <c r="FG159" s="21" t="str">
        <f t="shared" ca="1" si="622"/>
        <v>TOMAR PTOG</v>
      </c>
      <c r="FH159" s="31"/>
      <c r="FI159" s="29" t="str">
        <f t="shared" si="623"/>
        <v>TOMAR EXAMEN</v>
      </c>
      <c r="FJ159" s="22"/>
      <c r="FK159" s="22"/>
      <c r="FL159" s="29" t="str">
        <f t="shared" ca="1" si="624"/>
        <v>NO APLICA-INGRESO TARDIO</v>
      </c>
      <c r="FM159" s="22" t="s">
        <v>867</v>
      </c>
      <c r="FN159" s="32">
        <v>45051</v>
      </c>
      <c r="FO159" s="29">
        <f t="shared" ca="1" si="679"/>
        <v>15.428571428571429</v>
      </c>
      <c r="FP159" s="22"/>
      <c r="FQ159" s="32"/>
      <c r="FR159" s="29" t="str">
        <f t="shared" ca="1" si="680"/>
        <v>TOMA INMEDIATA DE TAMIZAJE</v>
      </c>
      <c r="FS159" s="22"/>
      <c r="FT159" s="32"/>
      <c r="FU159" s="29" t="str">
        <f>IF(AND(FJ159="",FM159="",FP159="",FS159=""),"",IF(OR(OR(Tabla1[[#This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59" s="28"/>
      <c r="FW159" s="22"/>
      <c r="FX159" s="29" t="str">
        <f t="shared" si="625"/>
        <v>TOMAR EXAMEN</v>
      </c>
      <c r="FY159" s="22">
        <v>44999</v>
      </c>
      <c r="FZ159" s="22">
        <v>44999</v>
      </c>
      <c r="GA159" s="29">
        <f t="shared" ca="1" si="692"/>
        <v>8</v>
      </c>
      <c r="GB159" s="22" t="s">
        <v>879</v>
      </c>
      <c r="GC159" s="22">
        <v>45051</v>
      </c>
      <c r="GD159" s="29">
        <f t="shared" ca="1" si="681"/>
        <v>15.428571428571429</v>
      </c>
      <c r="GE159" s="22"/>
      <c r="GF159" s="22"/>
      <c r="GG159" s="29" t="str">
        <f t="shared" ca="1" si="682"/>
        <v>TOMA INMEDIATA DE TAMIZAJE</v>
      </c>
      <c r="GH159" s="22"/>
      <c r="GI159" s="29"/>
      <c r="GJ159" s="22"/>
      <c r="GK159" s="22"/>
      <c r="GL159" s="22"/>
      <c r="GM159" s="22"/>
      <c r="GN159" s="28" t="s">
        <v>869</v>
      </c>
      <c r="GO159" s="22">
        <v>45051</v>
      </c>
      <c r="GP159" s="29">
        <f t="shared" si="626"/>
        <v>15.428571428571429</v>
      </c>
      <c r="GQ159" s="28" t="s">
        <v>869</v>
      </c>
      <c r="GR159" s="28" t="s">
        <v>869</v>
      </c>
      <c r="GS159" s="22" t="str">
        <f t="shared" si="627"/>
        <v>CONTROL Igm</v>
      </c>
      <c r="GT159" s="22">
        <v>45051</v>
      </c>
      <c r="GU159" s="29">
        <f t="shared" si="628"/>
        <v>15.428571428571429</v>
      </c>
      <c r="GV159" s="21" t="str">
        <f t="shared" si="629"/>
        <v>II TRIM</v>
      </c>
      <c r="GW159" s="28" t="s">
        <v>869</v>
      </c>
      <c r="GX159" s="30"/>
      <c r="GY159" s="21"/>
      <c r="GZ159" s="21"/>
      <c r="HA159" s="21"/>
      <c r="HB159" s="21"/>
      <c r="HC159" s="21"/>
      <c r="HD159" s="21"/>
      <c r="HE159" s="21"/>
      <c r="HF159" s="22"/>
      <c r="HG159" s="22" t="str">
        <f>IF(OR(O159&gt;0,R159&gt;0),CONCATENATE(IF(Tabla1[[#This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59" s="22" t="e">
        <f t="shared" si="630"/>
        <v>#REF!</v>
      </c>
      <c r="HI159" s="22" t="e">
        <f t="shared" ca="1" si="631"/>
        <v>#REF!</v>
      </c>
      <c r="HJ159" s="21" t="str">
        <f t="shared" ca="1" si="632"/>
        <v>***************************EMBARAZO PROLONGADO************</v>
      </c>
      <c r="HK159" s="21" t="str">
        <f t="shared" si="633"/>
        <v>SIN ANTECEDENTES DE RIESGO</v>
      </c>
      <c r="HL159" s="24" t="str">
        <f t="shared" si="634"/>
        <v>APARENTEMENTE NORMAL</v>
      </c>
      <c r="HM159" s="21" t="e">
        <f t="shared" ca="1" si="635"/>
        <v>#REF!</v>
      </c>
      <c r="HN159" s="30" t="str">
        <f t="shared" si="683"/>
        <v>ACTIVA INGRESO A CPN</v>
      </c>
      <c r="HO159" s="21"/>
      <c r="HP159" s="21"/>
      <c r="HQ159" s="349">
        <v>45051</v>
      </c>
      <c r="HR159" s="21" t="str">
        <f>IF(R159="","",IF(Tabla1[[#This Row],[ALARMA FACTORES DE RIESGO COMPLICACIONES HIPERTENSIVAS3]]="SIN ANTECEDENTES DE RIESGO","No Aplica para suministro de ASA",IF(AND(Tabla1[[#This Row],[FECHA INICIO DE SUMINISTRO DE ASA]]&gt;0,RV159&lt;12),"Inicia ASA ANTES de Sem 12",IF(AND(RV159&gt;11,RV159&lt;17,OR(HK159="RIESGO ALTO DE COMPLICACIONES HIPERTENSIVAS VER MANEJO GUIA SUMINISTRO ASA Y CALCIO",HK159="RIESGO MODERADO (2 O MAS CRITERIOS) VER MANEJO GUIA SUMINISTRO ASA Y CALCIO")),"Inicio oportuno de ASA",IF(AND(RV159&gt;12,OR(HK159="RIESGO ALTO DE COMPLICACIONES HIPERTENSIVAS VER MANEJO GUIA SUMINISTRO ASA Y CALCIO",HK159="RIESGO MODERADO (2 O MAS CRITERIOS) VER MANEJO GUIA SUMINISTRO ASA Y CALCIO")),"Inicio no oportuno mayor a 16 semanas",IF(AND(BU159&lt;12,OR(HK159="RIESGO ALTO DE COMPLICACIONES HIPERTENSIVAS VER MANEJO GUIA SUMINISTRO ASA Y CALCIO",HK159="RIESGO MODERADO (2 O MAS CRITERIOS) VER MANEJO GUIA SUMINISTRO ASA Y CALCIO")),"Pendiente Inicio de ASA a la semana 12",IF(AND(BU159&gt;11,BU159&lt;17,OR(HK159="RIESGO ALTO DE COMPLICACIONES HIPERTENSIVAS VER MANEJO GUIA SUMINISTRO ASA Y CALCIO",HK159="RIESGO MODERADO (2 O MAS CRITERIOS) VER MANEJO GUIA SUMINISTRO ASA Y CALCIO")),"Iniciar de inmediato ASA",IF(AND(BU159&gt;16,OR(HK159="RIESGO ALTO DE COMPLICACIONES HIPERTENSIVAS VER MANEJO GUIA SUMINISTRO ASA Y CALCIO",HK159="RIESGO MODERADO (2 O MAS CRITERIOS) VER MANEJO GUIA SUMINISTRO ASA Y CALCIO")),"Pierde Oportunidad, Inicio tardío de ASA","XXXXX"))))))))</f>
        <v>No Aplica para suministro de ASA</v>
      </c>
      <c r="HS159" s="22">
        <v>45051</v>
      </c>
      <c r="HT159" s="22" t="s">
        <v>870</v>
      </c>
      <c r="HU159" s="22">
        <v>45051</v>
      </c>
      <c r="HV159" s="22" t="s">
        <v>870</v>
      </c>
      <c r="HW159" s="22">
        <v>45051</v>
      </c>
      <c r="HX159" s="22" t="s">
        <v>870</v>
      </c>
      <c r="HY159" s="22">
        <v>44999</v>
      </c>
      <c r="HZ159" s="28">
        <f t="shared" si="636"/>
        <v>8</v>
      </c>
      <c r="IA159" s="26"/>
      <c r="IB159" s="26"/>
      <c r="IC159" s="111"/>
      <c r="ID159" s="22"/>
      <c r="IE159" s="22" t="str">
        <f t="shared" ca="1" si="637"/>
        <v>INASISTENTE</v>
      </c>
      <c r="IF159" s="22"/>
      <c r="IG159" s="22">
        <f t="shared" si="638"/>
        <v>45223</v>
      </c>
      <c r="IH159" s="29">
        <f t="shared" ca="1" si="639"/>
        <v>-9</v>
      </c>
      <c r="II159" s="22" t="str">
        <f t="shared" ca="1" si="640"/>
        <v>POSIBLEMENTE NACIO</v>
      </c>
      <c r="IJ159" s="22"/>
      <c r="IK159" s="21"/>
      <c r="IL159" s="21"/>
      <c r="IM159" s="34"/>
      <c r="IN159" s="22"/>
      <c r="IO159" s="21"/>
      <c r="IP159" s="29" t="str">
        <f t="shared" si="674"/>
        <v/>
      </c>
      <c r="IQ159" s="35"/>
      <c r="IR159" s="21"/>
      <c r="IS159" s="21"/>
      <c r="IT159" s="21"/>
      <c r="IU159" s="21"/>
      <c r="IV159" s="21"/>
      <c r="IW159" s="21"/>
      <c r="IX159" s="21"/>
      <c r="IY159" s="21"/>
      <c r="IZ159" s="21"/>
      <c r="JA159" s="21"/>
      <c r="JB159" s="30"/>
      <c r="JC159" s="21"/>
      <c r="JD159" s="36"/>
      <c r="JE159" s="21" t="str">
        <f t="shared" si="684"/>
        <v/>
      </c>
      <c r="JF159" s="30"/>
      <c r="JG159" s="21"/>
      <c r="JH159" s="21"/>
      <c r="JI159" s="21"/>
      <c r="JJ159" s="30"/>
      <c r="JK159" s="22"/>
      <c r="JL159" s="22"/>
      <c r="JM159" s="21"/>
      <c r="JN159" s="36"/>
      <c r="JO159" s="21" t="str">
        <f t="shared" si="685"/>
        <v/>
      </c>
      <c r="JP159" s="22"/>
      <c r="JQ159" s="21"/>
      <c r="JR159" s="21"/>
      <c r="JS159" s="21"/>
      <c r="JT159" s="30"/>
      <c r="JU159" s="22"/>
      <c r="JV159" s="22"/>
      <c r="JW159" s="33"/>
      <c r="JX159" s="28" t="str">
        <f t="shared" si="686"/>
        <v/>
      </c>
      <c r="JY159" s="33"/>
      <c r="JZ159" s="28" t="str">
        <f t="shared" si="687"/>
        <v/>
      </c>
      <c r="KA159" s="21"/>
      <c r="KB159" s="21"/>
      <c r="KC159" s="21"/>
      <c r="KD159" s="37"/>
      <c r="KE159" s="28"/>
      <c r="KF159" s="28"/>
      <c r="KG159" s="28"/>
      <c r="KH159" s="39"/>
      <c r="KI159" s="39"/>
      <c r="KJ159" s="66"/>
      <c r="KK159" s="39"/>
      <c r="KL159" s="39"/>
      <c r="KM159" s="66"/>
      <c r="KN159" s="39"/>
      <c r="KO159" s="39"/>
      <c r="KP159" s="39"/>
      <c r="KQ159" s="39"/>
      <c r="KR159" s="39"/>
      <c r="KS159" s="39"/>
      <c r="KT159" s="39"/>
      <c r="KU159" s="38"/>
      <c r="KV159" s="38"/>
      <c r="KW159" s="38"/>
      <c r="KX159" s="38"/>
      <c r="KY159" s="38"/>
      <c r="KZ159" s="38"/>
      <c r="LA159" s="38"/>
      <c r="LB159" s="38"/>
      <c r="LC159" s="38"/>
      <c r="LD159" s="38"/>
      <c r="LE159" s="38"/>
      <c r="LF159" s="38"/>
      <c r="LG159" s="38"/>
      <c r="LH159" s="38"/>
      <c r="LI159" s="38"/>
      <c r="LJ159" s="38"/>
      <c r="LK159" s="38"/>
      <c r="LL159" s="38"/>
      <c r="LM159" s="38"/>
      <c r="LN159" s="38"/>
      <c r="LO159" s="38"/>
      <c r="LP159" s="38"/>
      <c r="LQ159" s="38"/>
      <c r="LR159" s="38"/>
      <c r="LS159" s="38"/>
      <c r="LT159" s="38"/>
      <c r="LU159" s="38"/>
      <c r="LV159" s="38"/>
      <c r="LW159" s="38"/>
      <c r="LX159" s="38"/>
      <c r="LY159" s="38"/>
      <c r="LZ159" s="38"/>
      <c r="MA159" s="38"/>
      <c r="MB159" s="38"/>
      <c r="MC159" s="38"/>
      <c r="MD159" s="38"/>
      <c r="ME159" s="38"/>
      <c r="MF159" s="38"/>
      <c r="MG159" s="38"/>
      <c r="MH159" s="43">
        <f t="shared" si="641"/>
        <v>0</v>
      </c>
      <c r="MI159" s="43" t="str">
        <f t="shared" si="642"/>
        <v/>
      </c>
      <c r="MJ159" s="43" t="str">
        <f t="shared" si="643"/>
        <v/>
      </c>
      <c r="MK159" s="43">
        <f t="shared" si="644"/>
        <v>0</v>
      </c>
      <c r="ML15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59" s="43">
        <f t="shared" si="645"/>
        <v>15.428571428571429</v>
      </c>
      <c r="MN159" s="43">
        <f t="shared" si="646"/>
        <v>5</v>
      </c>
      <c r="MO159" s="43">
        <f t="shared" si="647"/>
        <v>2023</v>
      </c>
      <c r="MP159" s="43" t="str">
        <f t="shared" si="648"/>
        <v>II TRIMESTRE AÑO</v>
      </c>
      <c r="MQ159" s="43">
        <f t="shared" si="649"/>
        <v>17.51806833114323</v>
      </c>
      <c r="MR159" s="43">
        <f t="shared" si="650"/>
        <v>0</v>
      </c>
      <c r="MS159" s="43" t="str">
        <f t="shared" si="651"/>
        <v>DE 14 A 19AÑOS</v>
      </c>
      <c r="MT159" s="43">
        <f t="shared" si="652"/>
        <v>0</v>
      </c>
      <c r="MU159" s="43">
        <f t="shared" si="653"/>
        <v>0</v>
      </c>
      <c r="MV159" s="43">
        <f t="shared" si="654"/>
        <v>0</v>
      </c>
      <c r="MW159" s="43">
        <f t="shared" si="655"/>
        <v>0</v>
      </c>
      <c r="MX159" s="43" t="str">
        <f t="shared" si="656"/>
        <v/>
      </c>
      <c r="MY159" s="43">
        <f t="shared" ca="1" si="688"/>
        <v>1</v>
      </c>
      <c r="MZ159" s="43" t="str">
        <f t="shared" si="657"/>
        <v/>
      </c>
      <c r="NA159" s="43" t="str">
        <f t="shared" si="658"/>
        <v/>
      </c>
      <c r="NB159" s="43" t="str">
        <f t="shared" si="659"/>
        <v/>
      </c>
      <c r="NC159" s="43" t="str">
        <f t="shared" si="660"/>
        <v/>
      </c>
      <c r="ND159" s="43">
        <f t="shared" ca="1" si="661"/>
        <v>1</v>
      </c>
      <c r="NE159" s="43">
        <f>IF(OR(O159&gt;0,R159&gt;0),SUM(COUNTIF(Tabla1[[#This Row],[AÑOS AL INICIO5 CPN]],"&gt;=40"),COUNTIF(AS159,"0"),COUNTIF(AR159,"SI"),COUNTIF(CC159,"SI"),COUNTIF(BQ159,"&gt;119"),COUNTIF(CI159,"&gt;=35")),"")</f>
        <v>0</v>
      </c>
      <c r="NF159" s="43" t="str">
        <f t="shared" si="662"/>
        <v/>
      </c>
      <c r="NG159" s="43">
        <f t="shared" si="663"/>
        <v>0</v>
      </c>
      <c r="NH159" s="43">
        <f t="shared" si="664"/>
        <v>107.8</v>
      </c>
      <c r="NI159"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CPN",P159="NO"),"Z",IF(AND(Tabla1[[#This Row],[CITA PROXIMO CONTROL]]="CITA MANUAL",Tabla1[[#This Row],[GESTANTES ACTUALES]]="ACTIVA INGRESO A CPN"),"W",IF(AND(Tabla1[[#This Row],[GESTANTES ACTUALES]]="SALIO PROGRAMA",IN159=""),"S",IF(AND(Tabla1[[#This Row],[CITA PROXIMO CONTROL]]&gt;0,IN159=""),(Tabla1[[#This Row],[CITA PROXIMO CONTROL]]-TODAY()),"SD"))))))))</f>
        <v>#REF!</v>
      </c>
      <c r="NJ159" s="43">
        <f>MONTH(Tabla1[[#This Row],[FECHA DE SALIDA  DEL PROGRAMA]])</f>
        <v>1</v>
      </c>
      <c r="NK159" s="43">
        <f>YEAR(Tabla1[[#This Row],[FECHA DE SALIDA  DEL PROGRAMA]])</f>
        <v>1900</v>
      </c>
      <c r="NL159" s="43" t="str">
        <f t="shared" si="665"/>
        <v>X</v>
      </c>
      <c r="NM159" s="43" t="str">
        <f t="shared" si="501"/>
        <v>NO</v>
      </c>
      <c r="NN159" s="43" t="str">
        <f ca="1">IF(AND(O159&gt;0,R159=""),"NO CPN",IF(AND(O159="",R159=""),"",IF(AND(R159&gt;0,Tabla1[[#This Row],[SEMANAS DE GESTACION ACTUALIZADAS]]&lt;=12),"NO APLICA",IF(AND(FH159&lt;&gt;"",FN159&lt;&gt;""),"SI","NO"))))</f>
        <v>NO</v>
      </c>
      <c r="NO159" s="43" t="str">
        <f ca="1">IF(AND(O159&gt;0,R159=""),"NO CPN",IF(AND(O159="",R159=""),"",IF(AND(R159&gt;0,Tabla1[[#This Row],[SEMANAS DE GESTACION ACTUALIZADAS]]&lt;=27),"NO APLICA",IF(AND(ES159&lt;&gt;"",FQ159&lt;&gt;"",GF159&lt;&gt;""),"SI","NO"))))</f>
        <v>NO</v>
      </c>
      <c r="NP159" s="204" t="str">
        <f t="shared" si="666"/>
        <v>II TRIM</v>
      </c>
      <c r="NQ159" s="21" t="str">
        <f t="shared" si="691"/>
        <v/>
      </c>
      <c r="NR159" s="21">
        <f t="shared" ca="1" si="689"/>
        <v>2</v>
      </c>
      <c r="NS159" s="205">
        <f t="shared" ca="1" si="667"/>
        <v>1</v>
      </c>
      <c r="NT159" s="21">
        <f t="shared" ca="1" si="668"/>
        <v>2</v>
      </c>
      <c r="NU159" s="21" t="str">
        <f t="shared" ca="1" si="669"/>
        <v>INCOMPLETO</v>
      </c>
      <c r="NV159" s="21" t="str">
        <f t="shared" ca="1" si="670"/>
        <v>COMPLETO</v>
      </c>
      <c r="NW159" s="206" t="str">
        <f>IF(AND(O159="",R159=""),"",IF(OR(AND(Tabla1[[#This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59" s="207" t="str">
        <f t="shared" ca="1" si="671"/>
        <v>SIN VACUNAR</v>
      </c>
      <c r="NY159" s="43">
        <f>ROW(Tabla1[[#This Row],['# DE TAMIZAJES SIFILIS TOMADOS ]])</f>
        <v>159</v>
      </c>
      <c r="NZ159" s="43">
        <f t="shared" si="502"/>
        <v>15</v>
      </c>
      <c r="OA159" s="43" t="str">
        <f t="shared" si="503"/>
        <v/>
      </c>
      <c r="OB159" s="43" t="str">
        <f t="shared" si="504"/>
        <v/>
      </c>
      <c r="OC159" s="43" t="str">
        <f t="shared" si="505"/>
        <v/>
      </c>
      <c r="OD159" s="43" t="str">
        <f t="shared" si="506"/>
        <v/>
      </c>
      <c r="OE159" s="43" t="str">
        <f t="shared" si="507"/>
        <v/>
      </c>
      <c r="OF159" s="43" t="str">
        <f t="shared" si="508"/>
        <v/>
      </c>
      <c r="OG159" s="43" t="str">
        <f t="shared" si="509"/>
        <v>NORMAL</v>
      </c>
      <c r="OH159" s="43" t="str">
        <f t="shared" si="510"/>
        <v/>
      </c>
      <c r="OI159" s="43" t="str">
        <f t="shared" si="511"/>
        <v/>
      </c>
      <c r="OJ159" s="43" t="str">
        <f t="shared" si="512"/>
        <v/>
      </c>
      <c r="OK159" s="43" t="str">
        <f t="shared" si="513"/>
        <v/>
      </c>
      <c r="OL159" s="43" t="str">
        <f t="shared" si="514"/>
        <v/>
      </c>
      <c r="OM159" s="43" t="str">
        <f t="shared" si="515"/>
        <v/>
      </c>
      <c r="ON159" s="43" t="str">
        <f t="shared" si="516"/>
        <v/>
      </c>
      <c r="OO159" s="43" t="str">
        <f t="shared" si="517"/>
        <v/>
      </c>
      <c r="OP159" s="43" t="str">
        <f t="shared" si="518"/>
        <v/>
      </c>
      <c r="OQ159" s="43" t="str">
        <f t="shared" si="519"/>
        <v/>
      </c>
      <c r="OR159" s="43" t="str">
        <f t="shared" si="520"/>
        <v/>
      </c>
      <c r="OS159" s="43" t="str">
        <f t="shared" si="521"/>
        <v/>
      </c>
      <c r="OT159" s="43" t="str">
        <f t="shared" si="522"/>
        <v/>
      </c>
      <c r="OU159" s="43" t="str">
        <f t="shared" si="523"/>
        <v/>
      </c>
      <c r="OV159" s="110" t="str">
        <f t="shared" si="524"/>
        <v/>
      </c>
      <c r="OW159" s="43" t="str">
        <f t="shared" si="525"/>
        <v/>
      </c>
      <c r="OX159" s="43" t="str">
        <f t="shared" si="526"/>
        <v/>
      </c>
      <c r="OY159" s="43" t="str">
        <f t="shared" si="527"/>
        <v/>
      </c>
      <c r="OZ159" s="43" t="str">
        <f t="shared" si="528"/>
        <v/>
      </c>
      <c r="PA159" s="43" t="str">
        <f t="shared" si="529"/>
        <v/>
      </c>
      <c r="PB159" s="43" t="str">
        <f t="shared" si="530"/>
        <v/>
      </c>
      <c r="PC159" s="43" t="str">
        <f t="shared" si="531"/>
        <v/>
      </c>
      <c r="PD159" s="43" t="str">
        <f t="shared" si="532"/>
        <v/>
      </c>
      <c r="PE159" s="43" t="str">
        <f t="shared" si="533"/>
        <v/>
      </c>
      <c r="PF159" s="43" t="str">
        <f t="shared" si="534"/>
        <v/>
      </c>
      <c r="PG159" s="43" t="str">
        <f t="shared" si="535"/>
        <v/>
      </c>
      <c r="PH159" s="43" t="str">
        <f t="shared" si="536"/>
        <v/>
      </c>
      <c r="PI159" s="43">
        <f t="shared" si="537"/>
        <v>28</v>
      </c>
      <c r="PJ159" s="43" t="str">
        <f t="shared" si="538"/>
        <v/>
      </c>
      <c r="PK159" s="43" t="str">
        <f t="shared" si="539"/>
        <v/>
      </c>
      <c r="PL159" s="43" t="str">
        <f t="shared" si="540"/>
        <v/>
      </c>
      <c r="PM159" s="43" t="str">
        <f t="shared" si="541"/>
        <v/>
      </c>
      <c r="PN159" s="43" t="str">
        <f t="shared" si="542"/>
        <v/>
      </c>
      <c r="PO159" s="43" t="str">
        <f t="shared" si="543"/>
        <v/>
      </c>
      <c r="PP159" s="43" t="str">
        <f t="shared" si="544"/>
        <v/>
      </c>
      <c r="PQ159" s="43" t="str">
        <f t="shared" si="545"/>
        <v/>
      </c>
      <c r="PR159" s="43" t="str">
        <f t="shared" si="546"/>
        <v/>
      </c>
      <c r="PS159" s="43" t="str">
        <f t="shared" si="547"/>
        <v/>
      </c>
      <c r="PT159" s="43" t="str">
        <f t="shared" si="548"/>
        <v/>
      </c>
      <c r="PU159" s="43" t="str">
        <f t="shared" si="549"/>
        <v/>
      </c>
      <c r="PV159" s="43" t="str">
        <f t="shared" si="550"/>
        <v/>
      </c>
      <c r="PW159" s="43" t="str">
        <f t="shared" si="551"/>
        <v/>
      </c>
      <c r="PX159" s="43" t="str">
        <f t="shared" si="552"/>
        <v/>
      </c>
      <c r="PY159" s="43" t="str">
        <f t="shared" si="553"/>
        <v/>
      </c>
      <c r="PZ159" s="43" t="str">
        <f t="shared" si="554"/>
        <v/>
      </c>
      <c r="QA159" s="43" t="str">
        <f t="shared" si="555"/>
        <v/>
      </c>
      <c r="QB159" s="43" t="str">
        <f t="shared" si="556"/>
        <v/>
      </c>
      <c r="QC159" s="43" t="str">
        <f t="shared" si="557"/>
        <v>NORMAL</v>
      </c>
      <c r="QD159" s="43" t="str">
        <f t="shared" si="558"/>
        <v/>
      </c>
      <c r="QE159" s="43" t="str">
        <f t="shared" si="559"/>
        <v/>
      </c>
      <c r="QF159" s="43" t="str">
        <f t="shared" si="560"/>
        <v/>
      </c>
      <c r="QG159" s="43" t="str">
        <f t="shared" si="561"/>
        <v/>
      </c>
      <c r="QH159" s="43" t="str">
        <f t="shared" si="562"/>
        <v/>
      </c>
      <c r="QI159" s="43" t="str">
        <f t="shared" si="563"/>
        <v/>
      </c>
      <c r="QJ159" s="43" t="str">
        <f t="shared" si="564"/>
        <v/>
      </c>
      <c r="QK159" s="43" t="str">
        <f t="shared" si="565"/>
        <v/>
      </c>
      <c r="QL159" s="43" t="str">
        <f t="shared" si="566"/>
        <v/>
      </c>
      <c r="QM159" s="43" t="str">
        <f t="shared" si="567"/>
        <v/>
      </c>
      <c r="QN159" s="43" t="str">
        <f t="shared" si="568"/>
        <v/>
      </c>
      <c r="QO159" s="43" t="str">
        <f t="shared" si="569"/>
        <v/>
      </c>
      <c r="QP159" s="43" t="str">
        <f t="shared" si="570"/>
        <v/>
      </c>
      <c r="QQ159" s="43" t="str">
        <f t="shared" si="571"/>
        <v/>
      </c>
      <c r="QR159" s="43">
        <f t="shared" si="672"/>
        <v>28</v>
      </c>
      <c r="QS159" s="43"/>
      <c r="QT159" s="21" t="str">
        <f t="shared" si="572"/>
        <v/>
      </c>
      <c r="QU159" s="21" t="str">
        <f t="shared" si="573"/>
        <v/>
      </c>
      <c r="QV159" s="21" t="str">
        <f t="shared" si="574"/>
        <v/>
      </c>
      <c r="QW159" s="21" t="str">
        <f t="shared" si="575"/>
        <v/>
      </c>
      <c r="QX159" s="21" t="str">
        <f t="shared" si="576"/>
        <v/>
      </c>
      <c r="QY159" s="21" t="str">
        <f t="shared" si="577"/>
        <v/>
      </c>
      <c r="QZ159" s="21" t="str">
        <f t="shared" si="578"/>
        <v/>
      </c>
      <c r="RA159" s="21" t="str">
        <f t="shared" si="579"/>
        <v/>
      </c>
      <c r="RB159" s="21" t="str">
        <f t="shared" si="580"/>
        <v/>
      </c>
      <c r="RC159" s="21" t="str">
        <f t="shared" si="581"/>
        <v/>
      </c>
      <c r="RD159" s="21" t="str">
        <f t="shared" si="582"/>
        <v/>
      </c>
      <c r="RE159" s="21" t="str">
        <f t="shared" si="583"/>
        <v/>
      </c>
      <c r="RF159" s="21" t="str">
        <f t="shared" si="584"/>
        <v/>
      </c>
      <c r="RG159" s="21" t="str">
        <f t="shared" si="585"/>
        <v/>
      </c>
      <c r="RH159" s="21" t="str">
        <f t="shared" si="586"/>
        <v/>
      </c>
      <c r="RI159" s="21" t="str">
        <f t="shared" si="587"/>
        <v>ALTO PARA EDAD GESTACIONAL</v>
      </c>
      <c r="RJ159" s="21" t="str">
        <f t="shared" si="588"/>
        <v/>
      </c>
      <c r="RK159" s="21" t="str">
        <f t="shared" si="589"/>
        <v/>
      </c>
      <c r="RL159" s="21" t="str">
        <f t="shared" si="590"/>
        <v/>
      </c>
      <c r="RM159" s="21" t="str">
        <f t="shared" si="591"/>
        <v/>
      </c>
      <c r="RN159" s="21" t="str">
        <f t="shared" si="592"/>
        <v/>
      </c>
      <c r="RO159" s="21" t="str">
        <f t="shared" si="593"/>
        <v/>
      </c>
      <c r="RP159" s="21" t="str">
        <f t="shared" si="594"/>
        <v/>
      </c>
      <c r="RQ159" s="21" t="str">
        <f t="shared" si="595"/>
        <v/>
      </c>
      <c r="RR159" s="21" t="str">
        <f t="shared" si="596"/>
        <v/>
      </c>
      <c r="RS159" s="21" t="str">
        <f t="shared" si="597"/>
        <v/>
      </c>
      <c r="RT159" s="21" t="str">
        <f t="shared" si="598"/>
        <v/>
      </c>
      <c r="RU159" s="21" t="str">
        <f t="shared" si="599"/>
        <v/>
      </c>
      <c r="RV159" s="21">
        <f t="shared" si="600"/>
        <v>15.428571428571429</v>
      </c>
      <c r="RW159" s="284">
        <f>IF(OR(Tabla1[[#This Row],[FUM FORMULA CONFIABLE]]="",Tabla1[[#This Row],[FUM FORMULA CONFIABLE]]="SD"),"",IF(Tabla1[[#This Row],[FUM FORMULA CONFIABLE]]="CORREGIDA",Tabla1[[#This Row],[FUM X ECO 1]],Tabla1[[#This Row],[FUM x AMENORREA]]))</f>
        <v>44943</v>
      </c>
      <c r="RX159" s="21">
        <f>IF(AND(Tabla1[[#This Row],[FUM X ECO 1]]="",Tabla1[[#This Row],[FUM x AMENORREA]]=""),"",IF(AND(Tabla1[[#This Row],[FUM X ECO 1]]="",Tabla1[[#This Row],[FUM x AMENORREA]]&lt;&gt;""),"X",SUM(Tabla1[[#This Row],[FUM X ECO 1]]-Tabla1[[#This Row],[FUM x AMENORREA]])))</f>
        <v>0.19999999999708962</v>
      </c>
      <c r="RY159" s="21">
        <f t="shared" si="673"/>
        <v>0</v>
      </c>
    </row>
    <row r="160" spans="1:493" ht="45" customHeight="1" x14ac:dyDescent="0.25">
      <c r="A160" s="109"/>
      <c r="B160" s="43"/>
      <c r="C160" s="43" t="s">
        <v>845</v>
      </c>
      <c r="D160" s="124"/>
      <c r="E160" s="43" t="s">
        <v>1441</v>
      </c>
      <c r="F160" s="43" t="s">
        <v>884</v>
      </c>
      <c r="G160" s="43" t="s">
        <v>1457</v>
      </c>
      <c r="H160" s="43"/>
      <c r="I160" s="109" t="s">
        <v>851</v>
      </c>
      <c r="J160" s="110">
        <v>25545401</v>
      </c>
      <c r="K160" s="43" t="s">
        <v>852</v>
      </c>
      <c r="L160" s="175" t="s">
        <v>1509</v>
      </c>
      <c r="M160" s="22">
        <v>28763</v>
      </c>
      <c r="N160" s="213">
        <f t="shared" ca="1" si="601"/>
        <v>45.12054794520548</v>
      </c>
      <c r="O160" s="22">
        <v>45036</v>
      </c>
      <c r="P160" s="214" t="str">
        <f t="shared" si="675"/>
        <v>SI</v>
      </c>
      <c r="Q160" s="26" t="s">
        <v>855</v>
      </c>
      <c r="R160" s="22">
        <v>45036</v>
      </c>
      <c r="S160" s="21" t="s">
        <v>856</v>
      </c>
      <c r="T160" s="24" t="s">
        <v>690</v>
      </c>
      <c r="U160" s="21" t="s">
        <v>857</v>
      </c>
      <c r="V160" s="21" t="s">
        <v>858</v>
      </c>
      <c r="W160" s="21" t="s">
        <v>1331</v>
      </c>
      <c r="X160" s="21"/>
      <c r="Y160" s="21" t="s">
        <v>859</v>
      </c>
      <c r="Z160" s="21" t="s">
        <v>846</v>
      </c>
      <c r="AA160" s="21" t="s">
        <v>860</v>
      </c>
      <c r="AB160" s="27" t="s">
        <v>861</v>
      </c>
      <c r="AC160" s="26" t="s">
        <v>888</v>
      </c>
      <c r="AD160" s="38" t="s">
        <v>1546</v>
      </c>
      <c r="AE160" s="26" t="s">
        <v>854</v>
      </c>
      <c r="AF160" s="26" t="s">
        <v>854</v>
      </c>
      <c r="AG160" s="23" t="s">
        <v>864</v>
      </c>
      <c r="AH160" s="23" t="s">
        <v>864</v>
      </c>
      <c r="AI160" s="24" t="s">
        <v>863</v>
      </c>
      <c r="AJ160" s="23" t="s">
        <v>864</v>
      </c>
      <c r="AK160" s="220" t="str">
        <f>IF(AND(AD160="",AE160="",AF160="",AG160="",AH160="",AI160="",AJ160=""),"",IF(OR(Tabla1[[#This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EVALUACIÓN",IF(AND(O160="",R160=""),"",IF(AND(OR(O160&gt;0,R160&gt;0),NG160&gt;=0,NG160&lt;2),"SIN RIESGO",IF(AND(OR(O160&gt;0,R160&gt;0),NG160&gt;=2),"CON RIESGO","ASD")))))</f>
        <v>SIN RIESGO</v>
      </c>
      <c r="AL160" s="23" t="s">
        <v>864</v>
      </c>
      <c r="AM160" s="26" t="s">
        <v>864</v>
      </c>
      <c r="AN160" s="26" t="s">
        <v>864</v>
      </c>
      <c r="AO160" s="26" t="s">
        <v>864</v>
      </c>
      <c r="AP160" s="26" t="s">
        <v>864</v>
      </c>
      <c r="AQ160" s="26" t="s">
        <v>864</v>
      </c>
      <c r="AR160" s="26" t="s">
        <v>864</v>
      </c>
      <c r="AS160" s="21">
        <v>3</v>
      </c>
      <c r="AT160" s="21">
        <v>1</v>
      </c>
      <c r="AU160" s="21">
        <v>1</v>
      </c>
      <c r="AV160" s="26" t="s">
        <v>864</v>
      </c>
      <c r="AW160" s="21">
        <v>1</v>
      </c>
      <c r="AX160" s="26" t="s">
        <v>864</v>
      </c>
      <c r="AY160" s="26" t="s">
        <v>864</v>
      </c>
      <c r="AZ160" s="26" t="s">
        <v>864</v>
      </c>
      <c r="BA160" s="26" t="s">
        <v>864</v>
      </c>
      <c r="BB160" s="26" t="s">
        <v>864</v>
      </c>
      <c r="BC160" s="26" t="s">
        <v>864</v>
      </c>
      <c r="BD160" s="26" t="s">
        <v>864</v>
      </c>
      <c r="BE160" s="26" t="s">
        <v>864</v>
      </c>
      <c r="BF160" s="26" t="s">
        <v>864</v>
      </c>
      <c r="BG160" s="26" t="s">
        <v>864</v>
      </c>
      <c r="BH160" s="26" t="s">
        <v>864</v>
      </c>
      <c r="BI160" s="26" t="s">
        <v>864</v>
      </c>
      <c r="BJ160" s="26" t="s">
        <v>864</v>
      </c>
      <c r="BK160" s="26" t="s">
        <v>864</v>
      </c>
      <c r="BL160" s="26" t="s">
        <v>864</v>
      </c>
      <c r="BM160" s="26" t="s">
        <v>864</v>
      </c>
      <c r="BN160" s="22">
        <v>41824</v>
      </c>
      <c r="BO160" s="22">
        <v>44963</v>
      </c>
      <c r="BP160" s="21" t="s">
        <v>854</v>
      </c>
      <c r="BQ160" s="222">
        <f t="shared" si="602"/>
        <v>104.63333333333334</v>
      </c>
      <c r="BR160" s="223" t="str">
        <f t="shared" si="603"/>
        <v/>
      </c>
      <c r="BS160" s="224">
        <f t="shared" si="604"/>
        <v>10.428571428571429</v>
      </c>
      <c r="BT160" s="216" t="str">
        <f t="shared" si="605"/>
        <v>II TRIM</v>
      </c>
      <c r="BU160" s="214">
        <f t="shared" ca="1" si="606"/>
        <v>38.428571428571431</v>
      </c>
      <c r="BV160" s="25"/>
      <c r="BW160" s="22"/>
      <c r="BX160" s="28"/>
      <c r="BY160" s="28"/>
      <c r="BZ160" s="22"/>
      <c r="CA160" s="21"/>
      <c r="CB160" s="26"/>
      <c r="CC160" s="26"/>
      <c r="CD160" s="26"/>
      <c r="CE160" s="26"/>
      <c r="CF160" s="22" t="s">
        <v>1517</v>
      </c>
      <c r="CG160" s="21">
        <v>1.62</v>
      </c>
      <c r="CH160" s="21">
        <v>78</v>
      </c>
      <c r="CI160" s="214">
        <f t="shared" si="607"/>
        <v>29.721079103795148</v>
      </c>
      <c r="CJ160" s="225" t="e">
        <f>IF(AND(CI160&lt;10,CH160="SD"),"SIN DATO PESO PREGESTACION O I TRIM",IF(AND(OR(R160&gt;0,O160&gt;0),CI160="X"),"INGRESAR DATO DE PESO",IF(CI160="SD","INGRESAR DATO DE TALLA Y PESO",IF(AND(OR(Tabla1[[#This Row],[MOMENTO EN QUE SE REALIZA EL PESO AL INGRESO A CPN]]="PREGESTACIÓN",NZ160="Menor"),CI160&lt;18.5),"BAJO PESO",IF(AND(OR(Tabla1[[#This Row],[MOMENTO EN QUE SE REALIZA EL PESO AL INGRESO A CPN]]="PREGESTACIÓN",NZ160="Menor"),CI160&lt;25),"NORMAL",IF(AND(OR(Tabla1[[#This Row],[MOMENTO EN QUE SE REALIZA EL PESO AL INGRESO A CPN]]="PREGESTACIÓN",NZ160="Menor"),CI160&lt;30),"SOBREPESO",IF(AND(OR(Tabla1[[#This Row],[MOMENTO EN QUE SE REALIZA EL PESO AL INGRESO A CPN]]="PREGESTACIÓN",NZ160="Menor"),CI160&gt;=30,CI160&lt;50),"OBESIDAD",IF(AND(BS160&gt;0,Tabla1[[#This Row],[MOMENTO EN QUE SE REALIZA EL PESO AL INGRESO A CPN]]="GESTACIÓN"),HLOOKUP(NZ160,$OA$2:PH160,NY160),""))))))))</f>
        <v>#REF!</v>
      </c>
      <c r="CK160" s="212">
        <f t="shared" si="608"/>
        <v>45164</v>
      </c>
      <c r="CL160" s="21">
        <v>83</v>
      </c>
      <c r="CM160" s="214">
        <f t="shared" si="609"/>
        <v>31.626276482243554</v>
      </c>
      <c r="CN160" s="216">
        <f t="shared" si="610"/>
        <v>28</v>
      </c>
      <c r="CO160" s="216" t="e">
        <f>IF(PI160="","",IF(PI160&gt;0,HLOOKUP(PI160,$PJ$2:QQ160,NY160),""))</f>
        <v>#REF!</v>
      </c>
      <c r="CP160" s="21">
        <v>28</v>
      </c>
      <c r="CQ160" s="216" t="e">
        <f>IF(QR160="Menor","NO APLICA-MENOR 13 SEM",IF(AND(CC160="SI",CN160&gt;23),"NO APLICA- GEMELAR",IF(QR160="","",IF(QR160&gt;0,HLOOKUP(QR160,$QS$2:RU160,NY160),""))))</f>
        <v>#REF!</v>
      </c>
      <c r="CR160" s="21">
        <v>100</v>
      </c>
      <c r="CS160" s="21">
        <v>60</v>
      </c>
      <c r="CT160" s="217" t="str">
        <f>IF(R160="","",IF(AND(BS160&gt;1,BS160&lt;12,Tabla1[[#This Row],[T.A. SISTOLICA - ANTES DE SEMANA 12]]="",Tabla1[[#This Row],[T.A. DIASTOLICA - ANTES DE SEMANA 12]]=""),"REGISTRE DATO TA ANTES SEMANA 12",IF(AND(BS160&gt;11,BS160&lt;43,Tabla1[[#This Row],[T.A. SISTOLICA - ANTES DE SEMANA 12]]="",Tabla1[[#This Row],[T.A. DIASTOLICA - ANTES DE SEMANA 12]]=""),"NO APLICA REGISTRO TA-INGRESO TARDIO",IF(AND(OR(O160&gt;0,R160&gt;0),OR(CR160&gt;=140,CS160&gt;=90)),"DEFINIR ESTADIO HTA",IF(AND(OR(O160&gt;0,R160&gt;0),AND(CR160&gt;120,CR160&lt;=139)),"PRE HTA SEGUIMIENTO",IF(AND(OR(O160&gt;0,R160&gt;0),AND(CS160&gt;80,CS160&lt;=89)),"PRE HTA SEGUIMIENTO",IF(AND(OR(O160&gt;0,R160&gt;0),AND(CR160&gt;=80,CR160&lt;=120)),"APARENTEMENTE NORMAL",IF(AND(OR(O160&gt;0,R160&gt;0),AND(CS160&gt;=50,CS160&lt;=80)),"APARENTEMENTE NORMAL",IF(AND(OR(O160&gt;0,R160&gt;0),AND(CR160&gt;1,CR160&lt;=70),AND(CS160&gt;1,CS160&lt;=40)),"HIPOTENSIÓN","")))))))))</f>
        <v>APARENTEMENTE NORMAL</v>
      </c>
      <c r="CU160" s="21">
        <v>100</v>
      </c>
      <c r="CV160" s="21">
        <v>60</v>
      </c>
      <c r="CW160" s="217" t="str">
        <f ca="1">IF(R160="","",IF(AND(CN160&gt;19,CN160&lt;27,Tabla1[[#This Row],[T.A. SISTOLICA (Entre semana 20 y 26)]]="",Tabla1[[#This Row],[T.A. DIATOLICA (Entre semana 20 y 26)]]=""),"ACUDE A CONTROL SEM 20 A 26 REGISTRE TA AHORA",IF(AND(BS160&gt;1,BS160&lt;27,BU160&gt;19,Tabla1[[#This Row],[T.A. SISTOLICA (Entre semana 20 y 26)]]="",Tabla1[[#This Row],[T.A. DIATOLICA (Entre semana 20 y 26)]]=""),"COMPLETE REGISTRO TA CONTROL SEM 20 A26 ",IF(AND(BS160&gt;26,BS160&lt;43,Tabla1[[#This Row],[T.A. SISTOLICA (Entre semana 20 y 26)]]="",Tabla1[[#This Row],[T.A. DIATOLICA (Entre semana 20 y 26)]]=""),"NO APLICA REGISTRO TA-INGRESO TARDIO",IF(AND(OR(O160&gt;0,R160&gt;0),OR(CU160&gt;=140,CV160&gt;=90)),"ALTO RIESGO PREECLAMPSIA,DEFINIR ESTADIO HTA",IF(AND(OR(O160&gt;0,R160&gt;0),AND(CU160&gt;120,CU160&lt;=139)),"PRE HTA SEGUIMIENTO,RIESGO HIPERTENSION INDUCIDA POR EL EMBARAZO",IF(AND(OR(O160&gt;0,R160&gt;0),AND(CV160&gt;80,CV160&lt;=89)),"PRE HTA SEGUIMIENTO, RIESGO HIPERTENSION INDUCIDA POR EL EMBARAZO",IF(AND(OR(O160&lt;&gt;"",R160&lt;&gt;""),CS160&lt;&gt;"",CV160&lt;&gt;"",CS160&lt;=CV160),"VIGILAR CIFRAS PRESION ARTERIAL",IF(AND(OR(O160&gt;0,R160&gt;0),AND(CU160&gt;120,CU160&lt;=139)),"PRE HTA SEGUIMIENTO",IF(AND(OR(O160&gt;0,R160&gt;0),AND(CU160&gt;1,CU160&lt;=70),AND(CV160&gt;1,CV160&lt;=40)),"HIPOTENSIÓN",IF(AND(OR(O160&lt;&gt;"",R160&lt;&gt;""),CS160&lt;&gt;"",CV160&lt;&gt;"",CS160&gt;CV160),"APARENTEMENTE NORMAL",IF(AND(OR(O160&gt;0,R160&gt;0),AND(CU160&gt;=80,CU160&lt;=120)),"APARENTEMENTE NORMAL",IF(AND(OR(O160&gt;0,R160&gt;0),AND(CV160&gt;=50,CV160&lt;=80)),"APARENTEMENTE NORMAL","")))))))))))))</f>
        <v>VIGILAR CIFRAS PRESION ARTERIAL</v>
      </c>
      <c r="CX160" s="21"/>
      <c r="CY160" s="21"/>
      <c r="CZ160" s="216" t="str">
        <f t="shared" si="690"/>
        <v/>
      </c>
      <c r="DA160" s="21">
        <v>100</v>
      </c>
      <c r="DB160" s="21">
        <v>60</v>
      </c>
      <c r="DC160" s="217" t="str">
        <f t="shared" si="611"/>
        <v>APARENTEMENTE NORMAL</v>
      </c>
      <c r="DD160" s="22">
        <v>45036</v>
      </c>
      <c r="DE160" s="22">
        <v>45036</v>
      </c>
      <c r="DF160" s="22">
        <v>45066</v>
      </c>
      <c r="DG160" s="22">
        <v>45101</v>
      </c>
      <c r="DH160" s="22">
        <v>45136</v>
      </c>
      <c r="DI160" s="22">
        <v>45164</v>
      </c>
      <c r="DJ160" s="22"/>
      <c r="DK160" s="22"/>
      <c r="DL160" s="22"/>
      <c r="DM160" s="22"/>
      <c r="DN160" s="22"/>
      <c r="DO160" s="22"/>
      <c r="DP160" s="22"/>
      <c r="DQ160" s="22"/>
      <c r="DR160" s="28">
        <v>1</v>
      </c>
      <c r="DS160" s="22"/>
      <c r="DT160" s="22"/>
      <c r="DU160" s="216" t="str">
        <f t="shared" ca="1" si="676"/>
        <v>CONCERTAR PLAN DE PARTO INMEDIATO</v>
      </c>
      <c r="DV160" s="226" t="str">
        <f t="shared" si="677"/>
        <v>ACTIVA INGRESO A CPN</v>
      </c>
      <c r="DW160"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60" s="216" t="e">
        <f t="shared" ca="1" si="612"/>
        <v>#REF!</v>
      </c>
      <c r="DY160" s="212">
        <f>IF(R160="","",IF(R160&gt;0,MAX(Tabla1[[#This Row],[FECHA C2]:[FECHA C13]],Tabla1[[#This Row],[FECHA CONSULTA PRIMERA VEZ PROGRAMA CPN ]])))</f>
        <v>45164</v>
      </c>
      <c r="DZ160" s="216">
        <f t="shared" si="613"/>
        <v>28</v>
      </c>
      <c r="EA160" s="222">
        <f>IF(R160&gt;0,SUM(COUNTA(DF160:DQ160)+COUNTA(Tabla1[[#This Row],[FECHA CONSULTA PRIMERA VEZ PROGRAMA CPN ]])),"")</f>
        <v>5</v>
      </c>
      <c r="EB160" s="222" t="str">
        <f t="shared" si="614"/>
        <v>SI</v>
      </c>
      <c r="EC160" s="214">
        <f t="shared" si="615"/>
        <v>9</v>
      </c>
      <c r="ED160" s="227">
        <f t="shared" si="616"/>
        <v>0.55555555555555558</v>
      </c>
      <c r="EE160" s="22">
        <v>45036</v>
      </c>
      <c r="EF160" s="22"/>
      <c r="EG160" s="22">
        <v>45036</v>
      </c>
      <c r="EH160" s="22">
        <v>45072</v>
      </c>
      <c r="EI160" s="22">
        <v>45036</v>
      </c>
      <c r="EJ160" s="22">
        <v>45083</v>
      </c>
      <c r="EK160" s="22"/>
      <c r="EL160" s="21"/>
      <c r="EM160" s="21">
        <v>13.5</v>
      </c>
      <c r="EN160" s="22">
        <v>45037</v>
      </c>
      <c r="EO160" s="222">
        <f t="shared" si="617"/>
        <v>10.571428571428571</v>
      </c>
      <c r="EP160" s="214" t="str">
        <f t="shared" si="618"/>
        <v>NORMAL- SUMINISTRAR SULFATO FERROSO</v>
      </c>
      <c r="EQ160" s="216" t="str">
        <f t="shared" si="619"/>
        <v>I TRIM</v>
      </c>
      <c r="ER160" s="24"/>
      <c r="ES160" s="22"/>
      <c r="ET160" s="29" t="str">
        <f t="shared" ca="1" si="678"/>
        <v>TOMA DE HEMOGLOBINA TARDÍA</v>
      </c>
      <c r="EU160" s="25" t="str">
        <f t="shared" si="620"/>
        <v/>
      </c>
      <c r="EV160" s="24" t="s">
        <v>1510</v>
      </c>
      <c r="EW160" s="32">
        <v>45037</v>
      </c>
      <c r="EX160" s="22"/>
      <c r="EY160" s="29">
        <f t="shared" ref="EY160:EY219" si="693">IF(AND(BT160="ERROR FUM O INGRESO",EW160&gt;0),"ERROR FUM O INGRESO",IF(AND(EW160="",R160="",O160=""),"",IF(OR(AND(EW160&lt;&gt;"",EW160&lt;RW160),AND(EW160&lt;&gt;"",SUM((EW160-RW160)/7)&gt;40)),"CORREGIR FECHA RESULTADO",IF(AND(EW160="",OR(O160&gt;0,R160&gt;0)),"TOMAR EXAMEN",IF(EW160&gt;0,SUM(EW160-RW160)/7,"")))))</f>
        <v>10.571428571428571</v>
      </c>
      <c r="EZ160" s="25" t="str">
        <f t="shared" ref="EZ160:EZ219" si="694">IF(EV160="RH POSITIVO","SIN RIESGO DE ISOINMUNIZACIÓN",IF(AND(EV160="RH NEGATIVO CON COOMBS NEGATIVO",EX160="",BU160&lt;=24),"COOMBS C/MES Y APLICAR RHESUMAN SEM 28",IF(AND(EV160="RH NEGATIVO CON COOMBS NEGATIVO",EX160="",AND(BU160&gt;24,BU160&lt;27)),"FALTAN DE 4 A 2 SEMANAS PARA APLICAR RHESUMAN A SEM 28",IF(AND(EV160="RH NEGATIVO CON COOMBS NEGATIVO",EX160="",AND(BU160&gt;26.99,BU160&lt;27.99)),"FALTAN 1 SEMANAS PARA APLICAR RHESUMAN A SEM 28",IF(AND(EV160="RH NEGATIVO CON COOMBS NEGATIVO",EX160="",AND(BU160&gt;27.99,BU160&lt;29)),"SEMANA 28 APLICAR DE INMEDIATO RHESUMAN",IF(AND(EV160="RH NEGATIVO CON COOMBS NEGATIVO",EX160="",AND(BU160&gt;28.99,BU160&lt;42)),"DEBE APLICAR RHESUMAN, ES NO OPORTUNO &gt; 28 SEMANAS",IF(AND(EV160="RH NEGATIVO CON COOMBS NEGATIVO",EX160&gt;0),SUM(EX160-RW160)/7,IF(EV160="RH NEGATIVO SIN COOMBS","TOMAR COOMBS INMEDIATO PARA DEFINIR MANEJO",IF(EV160="RH NEGATIVO CON COOMBS POSITIVO","TOMAR COOMBS CUANTITATIVO Y REMISIÓN","")))))))))</f>
        <v>SIN RIESGO DE ISOINMUNIZACIÓN</v>
      </c>
      <c r="FA160" s="21">
        <v>79</v>
      </c>
      <c r="FB160" s="22">
        <v>45037</v>
      </c>
      <c r="FC160" s="29">
        <f t="shared" si="621"/>
        <v>10.571428571428571</v>
      </c>
      <c r="FD160" s="29">
        <v>78</v>
      </c>
      <c r="FE160" s="29">
        <v>105</v>
      </c>
      <c r="FF160" s="29">
        <v>145</v>
      </c>
      <c r="FG160" s="21" t="str">
        <f t="shared" ca="1" si="622"/>
        <v>NORMAL</v>
      </c>
      <c r="FH160" s="31">
        <v>45136</v>
      </c>
      <c r="FI160" s="29">
        <f t="shared" si="623"/>
        <v>24.714285714285715</v>
      </c>
      <c r="FJ160" s="22" t="s">
        <v>867</v>
      </c>
      <c r="FK160" s="22">
        <v>45037</v>
      </c>
      <c r="FL160" s="29">
        <f t="shared" ca="1" si="624"/>
        <v>10.571428571428571</v>
      </c>
      <c r="FM160" s="22"/>
      <c r="FN160" s="32"/>
      <c r="FO160" s="29" t="str">
        <f t="shared" ca="1" si="679"/>
        <v>PIERDE TOMA DE TAMIZAJE</v>
      </c>
      <c r="FP160" s="22"/>
      <c r="FQ160" s="32"/>
      <c r="FR160" s="29" t="str">
        <f t="shared" ca="1" si="680"/>
        <v>TOMA INMEDIATA DE TAMIZAJE</v>
      </c>
      <c r="FS160" s="22"/>
      <c r="FT160" s="32"/>
      <c r="FU160" s="29" t="str">
        <f>IF(AND(FJ160="",FM160="",FP160="",FS160=""),"",IF(OR(OR(Tabla1[[#This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60" s="28"/>
      <c r="FW160" s="22"/>
      <c r="FX160" s="29" t="str">
        <f t="shared" si="625"/>
        <v>TOMAR EXAMEN</v>
      </c>
      <c r="FY160" s="22" t="s">
        <v>868</v>
      </c>
      <c r="FZ160" s="22">
        <v>45036</v>
      </c>
      <c r="GA160" s="29">
        <f t="shared" ca="1" si="692"/>
        <v>10.428571428571429</v>
      </c>
      <c r="GB160" s="22"/>
      <c r="GC160" s="22"/>
      <c r="GD160" s="29" t="str">
        <f t="shared" ca="1" si="681"/>
        <v>PIERDE TOMA DE TAMIZAJE</v>
      </c>
      <c r="GE160" s="22"/>
      <c r="GF160" s="22"/>
      <c r="GG160" s="29" t="str">
        <f t="shared" ca="1" si="682"/>
        <v>TOMA INMEDIATA DE TAMIZAJE</v>
      </c>
      <c r="GH160" s="22"/>
      <c r="GI160" s="29"/>
      <c r="GJ160" s="22"/>
      <c r="GK160" s="22"/>
      <c r="GL160" s="22"/>
      <c r="GM160" s="22"/>
      <c r="GN160" s="28" t="s">
        <v>869</v>
      </c>
      <c r="GO160" s="22">
        <v>45037</v>
      </c>
      <c r="GP160" s="29">
        <f t="shared" si="626"/>
        <v>10.571428571428571</v>
      </c>
      <c r="GQ160" s="28" t="s">
        <v>869</v>
      </c>
      <c r="GR160" s="28" t="s">
        <v>880</v>
      </c>
      <c r="GS160" s="22" t="str">
        <f t="shared" si="627"/>
        <v>CONTROL Igm</v>
      </c>
      <c r="GT160" s="22">
        <v>45037</v>
      </c>
      <c r="GU160" s="29">
        <f t="shared" si="628"/>
        <v>10.571428571428571</v>
      </c>
      <c r="GV160" s="21" t="str">
        <f t="shared" si="629"/>
        <v>I TRIM</v>
      </c>
      <c r="GW160" s="28" t="s">
        <v>880</v>
      </c>
      <c r="GX160" s="30"/>
      <c r="GY160" s="21" t="s">
        <v>906</v>
      </c>
      <c r="GZ160" s="21"/>
      <c r="HA160" s="21"/>
      <c r="HB160" s="21"/>
      <c r="HC160" s="21"/>
      <c r="HD160" s="21"/>
      <c r="HE160" s="21"/>
      <c r="HF160" s="22"/>
      <c r="HG160" s="22" t="str">
        <f>IF(OR(O160&gt;0,R160&gt;0),CONCATENATE(IF(Tabla1[[#This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60" s="22" t="e">
        <f t="shared" si="630"/>
        <v>#REF!</v>
      </c>
      <c r="HI160" s="22" t="e">
        <f t="shared" ca="1" si="631"/>
        <v>#REF!</v>
      </c>
      <c r="HJ160" s="21" t="str">
        <f t="shared" ca="1" si="632"/>
        <v>************************RIESGO POR EDAD*CESAREAS PREVIAS**************</v>
      </c>
      <c r="HK160" s="21" t="str">
        <f t="shared" si="633"/>
        <v>SIN ANTECEDENTES DE RIESGO</v>
      </c>
      <c r="HL160" s="24" t="str">
        <f t="shared" si="634"/>
        <v>APARENTEMENTE NORMAL</v>
      </c>
      <c r="HM160" s="21" t="e">
        <f t="shared" ca="1" si="635"/>
        <v>#REF!</v>
      </c>
      <c r="HN160" s="30" t="str">
        <f t="shared" si="683"/>
        <v>ACTIVA INGRESO A CPN</v>
      </c>
      <c r="HO160" s="21"/>
      <c r="HP160" s="21" t="s">
        <v>854</v>
      </c>
      <c r="HQ160" s="349">
        <v>45036</v>
      </c>
      <c r="HR160" s="21" t="str">
        <f>IF(R160="","",IF(Tabla1[[#This Row],[ALARMA FACTORES DE RIESGO COMPLICACIONES HIPERTENSIVAS3]]="SIN ANTECEDENTES DE RIESGO","No Aplica para suministro de ASA",IF(AND(Tabla1[[#This Row],[FECHA INICIO DE SUMINISTRO DE ASA]]&gt;0,RV160&lt;12),"Inicia ASA ANTES de Sem 12",IF(AND(RV160&gt;11,RV160&lt;17,OR(HK160="RIESGO ALTO DE COMPLICACIONES HIPERTENSIVAS VER MANEJO GUIA SUMINISTRO ASA Y CALCIO",HK160="RIESGO MODERADO (2 O MAS CRITERIOS) VER MANEJO GUIA SUMINISTRO ASA Y CALCIO")),"Inicio oportuno de ASA",IF(AND(RV160&gt;12,OR(HK160="RIESGO ALTO DE COMPLICACIONES HIPERTENSIVAS VER MANEJO GUIA SUMINISTRO ASA Y CALCIO",HK160="RIESGO MODERADO (2 O MAS CRITERIOS) VER MANEJO GUIA SUMINISTRO ASA Y CALCIO")),"Inicio no oportuno mayor a 16 semanas",IF(AND(BU160&lt;12,OR(HK160="RIESGO ALTO DE COMPLICACIONES HIPERTENSIVAS VER MANEJO GUIA SUMINISTRO ASA Y CALCIO",HK160="RIESGO MODERADO (2 O MAS CRITERIOS) VER MANEJO GUIA SUMINISTRO ASA Y CALCIO")),"Pendiente Inicio de ASA a la semana 12",IF(AND(BU160&gt;11,BU160&lt;17,OR(HK160="RIESGO ALTO DE COMPLICACIONES HIPERTENSIVAS VER MANEJO GUIA SUMINISTRO ASA Y CALCIO",HK160="RIESGO MODERADO (2 O MAS CRITERIOS) VER MANEJO GUIA SUMINISTRO ASA Y CALCIO")),"Iniciar de inmediato ASA",IF(AND(BU160&gt;16,OR(HK160="RIESGO ALTO DE COMPLICACIONES HIPERTENSIVAS VER MANEJO GUIA SUMINISTRO ASA Y CALCIO",HK160="RIESGO MODERADO (2 O MAS CRITERIOS) VER MANEJO GUIA SUMINISTRO ASA Y CALCIO")),"Pierde Oportunidad, Inicio tardío de ASA","XXXXX"))))))))</f>
        <v>No Aplica para suministro de ASA</v>
      </c>
      <c r="HS160" s="22">
        <v>45036</v>
      </c>
      <c r="HT160" s="22"/>
      <c r="HU160" s="22"/>
      <c r="HV160" s="22"/>
      <c r="HW160" s="22"/>
      <c r="HX160" s="22"/>
      <c r="HY160" s="22">
        <v>45036</v>
      </c>
      <c r="HZ160" s="28">
        <f t="shared" si="636"/>
        <v>10.428571428571429</v>
      </c>
      <c r="IA160" s="26"/>
      <c r="IB160" s="26"/>
      <c r="IC160" s="111"/>
      <c r="ID160" s="22"/>
      <c r="IE160" s="22" t="str">
        <f t="shared" ca="1" si="637"/>
        <v>INASISTENTE</v>
      </c>
      <c r="IF160" s="22"/>
      <c r="IG160" s="22">
        <f t="shared" si="638"/>
        <v>45243</v>
      </c>
      <c r="IH160" s="29">
        <f t="shared" ca="1" si="639"/>
        <v>11</v>
      </c>
      <c r="II160" s="22" t="str">
        <f t="shared" ca="1" si="640"/>
        <v>MENOS DE 4 SEMANAS</v>
      </c>
      <c r="IJ160" s="22"/>
      <c r="IK160" s="21"/>
      <c r="IL160" s="21"/>
      <c r="IM160" s="34"/>
      <c r="IN160" s="22"/>
      <c r="IO160" s="21"/>
      <c r="IP160" s="29" t="str">
        <f t="shared" si="674"/>
        <v/>
      </c>
      <c r="IQ160" s="35"/>
      <c r="IR160" s="21"/>
      <c r="IS160" s="21"/>
      <c r="IT160" s="21"/>
      <c r="IU160" s="21"/>
      <c r="IV160" s="21"/>
      <c r="IW160" s="21"/>
      <c r="IX160" s="21"/>
      <c r="IY160" s="21"/>
      <c r="IZ160" s="21"/>
      <c r="JA160" s="21"/>
      <c r="JB160" s="30"/>
      <c r="JC160" s="21"/>
      <c r="JD160" s="36"/>
      <c r="JE160" s="21" t="str">
        <f t="shared" si="684"/>
        <v/>
      </c>
      <c r="JF160" s="30"/>
      <c r="JG160" s="21"/>
      <c r="JH160" s="21"/>
      <c r="JI160" s="21"/>
      <c r="JJ160" s="30"/>
      <c r="JK160" s="22"/>
      <c r="JL160" s="22"/>
      <c r="JM160" s="21"/>
      <c r="JN160" s="36"/>
      <c r="JO160" s="21" t="str">
        <f t="shared" si="685"/>
        <v/>
      </c>
      <c r="JP160" s="22"/>
      <c r="JQ160" s="21"/>
      <c r="JR160" s="21"/>
      <c r="JS160" s="21"/>
      <c r="JT160" s="30"/>
      <c r="JU160" s="22"/>
      <c r="JV160" s="22"/>
      <c r="JW160" s="33"/>
      <c r="JX160" s="28" t="str">
        <f t="shared" si="686"/>
        <v/>
      </c>
      <c r="JY160" s="33"/>
      <c r="JZ160" s="28" t="str">
        <f t="shared" si="687"/>
        <v/>
      </c>
      <c r="KA160" s="21"/>
      <c r="KB160" s="21"/>
      <c r="KC160" s="21"/>
      <c r="KD160" s="37"/>
      <c r="KE160" s="28"/>
      <c r="KF160" s="28"/>
      <c r="KG160" s="28"/>
      <c r="KH160" s="39"/>
      <c r="KI160" s="39"/>
      <c r="KJ160" s="66"/>
      <c r="KK160" s="39"/>
      <c r="KL160" s="39"/>
      <c r="KM160" s="66"/>
      <c r="KN160" s="39"/>
      <c r="KO160" s="39"/>
      <c r="KP160" s="39"/>
      <c r="KQ160" s="39"/>
      <c r="KR160" s="39"/>
      <c r="KS160" s="39"/>
      <c r="KT160" s="39"/>
      <c r="KU160" s="38"/>
      <c r="KV160" s="38"/>
      <c r="KW160" s="38"/>
      <c r="KX160" s="38"/>
      <c r="KY160" s="38"/>
      <c r="KZ160" s="38"/>
      <c r="LA160" s="38"/>
      <c r="LB160" s="38"/>
      <c r="LC160" s="38"/>
      <c r="LD160" s="38"/>
      <c r="LE160" s="38"/>
      <c r="LF160" s="38"/>
      <c r="LG160" s="38"/>
      <c r="LH160" s="38"/>
      <c r="LI160" s="38"/>
      <c r="LJ160" s="38"/>
      <c r="LK160" s="38"/>
      <c r="LL160" s="38"/>
      <c r="LM160" s="38"/>
      <c r="LN160" s="38"/>
      <c r="LO160" s="38"/>
      <c r="LP160" s="38"/>
      <c r="LQ160" s="38"/>
      <c r="LR160" s="38"/>
      <c r="LS160" s="38"/>
      <c r="LT160" s="38"/>
      <c r="LU160" s="38"/>
      <c r="LV160" s="38"/>
      <c r="LW160" s="38"/>
      <c r="LX160" s="38"/>
      <c r="LY160" s="38"/>
      <c r="LZ160" s="38"/>
      <c r="MA160" s="38"/>
      <c r="MB160" s="38"/>
      <c r="MC160" s="38"/>
      <c r="MD160" s="38"/>
      <c r="ME160" s="38"/>
      <c r="MF160" s="38"/>
      <c r="MG160" s="38"/>
      <c r="MH160" s="43">
        <f t="shared" si="641"/>
        <v>0</v>
      </c>
      <c r="MI160" s="43" t="str">
        <f t="shared" si="642"/>
        <v/>
      </c>
      <c r="MJ160" s="43" t="str">
        <f t="shared" si="643"/>
        <v/>
      </c>
      <c r="MK160" s="43">
        <f t="shared" si="644"/>
        <v>0</v>
      </c>
      <c r="ML16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60" s="43">
        <f t="shared" si="645"/>
        <v>10.428571428571429</v>
      </c>
      <c r="MN160" s="43">
        <f t="shared" si="646"/>
        <v>4</v>
      </c>
      <c r="MO160" s="43">
        <f t="shared" si="647"/>
        <v>2023</v>
      </c>
      <c r="MP160" s="43" t="str">
        <f t="shared" si="648"/>
        <v>II TRIMESTRE AÑO</v>
      </c>
      <c r="MQ160" s="43">
        <f t="shared" si="649"/>
        <v>43.911519929916778</v>
      </c>
      <c r="MR160" s="43">
        <f t="shared" si="650"/>
        <v>2</v>
      </c>
      <c r="MS160" s="43" t="str">
        <f t="shared" si="651"/>
        <v xml:space="preserve"> DE 40 Y MAS</v>
      </c>
      <c r="MT160" s="43">
        <f t="shared" si="652"/>
        <v>0</v>
      </c>
      <c r="MU160" s="43">
        <f t="shared" si="653"/>
        <v>0</v>
      </c>
      <c r="MV160" s="43">
        <f t="shared" si="654"/>
        <v>1</v>
      </c>
      <c r="MW160" s="43">
        <f t="shared" si="655"/>
        <v>0</v>
      </c>
      <c r="MX160" s="43" t="str">
        <f t="shared" si="656"/>
        <v/>
      </c>
      <c r="MY160" s="43" t="str">
        <f t="shared" ca="1" si="688"/>
        <v/>
      </c>
      <c r="MZ160" s="43" t="str">
        <f t="shared" si="657"/>
        <v/>
      </c>
      <c r="NA160" s="43" t="str">
        <f t="shared" si="658"/>
        <v/>
      </c>
      <c r="NB160" s="43" t="str">
        <f t="shared" si="659"/>
        <v/>
      </c>
      <c r="NC160" s="43" t="str">
        <f t="shared" si="660"/>
        <v/>
      </c>
      <c r="ND160" s="43">
        <f t="shared" ca="1" si="661"/>
        <v>3</v>
      </c>
      <c r="NE160" s="43">
        <f>IF(OR(O160&gt;0,R160&gt;0),SUM(COUNTIF(Tabla1[[#This Row],[AÑOS AL INICIO5 CPN]],"&gt;=40"),COUNTIF(AS160,"0"),COUNTIF(AR160,"SI"),COUNTIF(CC160,"SI"),COUNTIF(BQ160,"&gt;119"),COUNTIF(CI160,"&gt;=35")),"")</f>
        <v>1</v>
      </c>
      <c r="NF160" s="43" t="str">
        <f t="shared" si="662"/>
        <v/>
      </c>
      <c r="NG160" s="43">
        <f t="shared" si="663"/>
        <v>0</v>
      </c>
      <c r="NH160" s="43" t="str">
        <f t="shared" si="664"/>
        <v/>
      </c>
      <c r="NI160"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CPN",P160="NO"),"Z",IF(AND(Tabla1[[#This Row],[CITA PROXIMO CONTROL]]="CITA MANUAL",Tabla1[[#This Row],[GESTANTES ACTUALES]]="ACTIVA INGRESO A CPN"),"W",IF(AND(Tabla1[[#This Row],[GESTANTES ACTUALES]]="SALIO PROGRAMA",IN160=""),"S",IF(AND(Tabla1[[#This Row],[CITA PROXIMO CONTROL]]&gt;0,IN160=""),(Tabla1[[#This Row],[CITA PROXIMO CONTROL]]-TODAY()),"SD"))))))))</f>
        <v>#REF!</v>
      </c>
      <c r="NJ160" s="43">
        <f>MONTH(Tabla1[[#This Row],[FECHA DE SALIDA  DEL PROGRAMA]])</f>
        <v>1</v>
      </c>
      <c r="NK160" s="43">
        <f>YEAR(Tabla1[[#This Row],[FECHA DE SALIDA  DEL PROGRAMA]])</f>
        <v>1900</v>
      </c>
      <c r="NL160" s="43">
        <f t="shared" si="665"/>
        <v>47</v>
      </c>
      <c r="NM160" s="43" t="str">
        <f t="shared" ref="NM160:NM193" si="695">IF(AND(O160&gt;0,R160=""),"NO CPN",IF(AND(O160="",R160=""),"",IF(AND(EN160&lt;&gt;"",EX160&lt;&gt;"",FB160&lt;&gt;"",FK160&lt;&gt;"",FW160&lt;&gt;"",FZ160&lt;&gt;"",GO160&lt;&gt;"",GQ160&lt;&gt;"",GR160&lt;&gt;""),"SI","NO")))</f>
        <v>NO</v>
      </c>
      <c r="NN160" s="43" t="str">
        <f ca="1">IF(AND(O160&gt;0,R160=""),"NO CPN",IF(AND(O160="",R160=""),"",IF(AND(R160&gt;0,Tabla1[[#This Row],[SEMANAS DE GESTACION ACTUALIZADAS]]&lt;=12),"NO APLICA",IF(AND(FH160&lt;&gt;"",FN160&lt;&gt;""),"SI","NO"))))</f>
        <v>NO</v>
      </c>
      <c r="NO160" s="43" t="str">
        <f ca="1">IF(AND(O160&gt;0,R160=""),"NO CPN",IF(AND(O160="",R160=""),"",IF(AND(R160&gt;0,Tabla1[[#This Row],[SEMANAS DE GESTACION ACTUALIZADAS]]&lt;=27),"NO APLICA",IF(AND(ES160&lt;&gt;"",FQ160&lt;&gt;"",GF160&lt;&gt;""),"SI","NO"))))</f>
        <v>NO</v>
      </c>
      <c r="NP160" s="204" t="str">
        <f t="shared" si="666"/>
        <v>I TRIM</v>
      </c>
      <c r="NQ160" s="21" t="str">
        <f t="shared" si="691"/>
        <v/>
      </c>
      <c r="NR160" s="21">
        <f t="shared" ca="1" si="689"/>
        <v>3</v>
      </c>
      <c r="NS160" s="205">
        <f t="shared" ca="1" si="667"/>
        <v>1</v>
      </c>
      <c r="NT160" s="21">
        <f t="shared" ca="1" si="668"/>
        <v>1</v>
      </c>
      <c r="NU160" s="21" t="str">
        <f t="shared" ca="1" si="669"/>
        <v>INCOMPLETO</v>
      </c>
      <c r="NV160" s="21" t="str">
        <f t="shared" ca="1" si="670"/>
        <v>INCOMPLETO</v>
      </c>
      <c r="NW160" s="206" t="str">
        <f>IF(AND(O160="",R160=""),"",IF(OR(AND(Tabla1[[#This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60" s="207" t="str">
        <f t="shared" ca="1" si="671"/>
        <v>SIN VACUNAR</v>
      </c>
      <c r="NY160" s="43">
        <f>ROW(Tabla1[[#This Row],['# DE TAMIZAJES SIFILIS TOMADOS ]])</f>
        <v>160</v>
      </c>
      <c r="NZ160" s="43">
        <f t="shared" si="502"/>
        <v>10</v>
      </c>
      <c r="OA160" s="43" t="str">
        <f t="shared" si="503"/>
        <v/>
      </c>
      <c r="OB160" s="43" t="str">
        <f t="shared" si="504"/>
        <v>SOBREPESO</v>
      </c>
      <c r="OC160" s="43" t="str">
        <f t="shared" si="505"/>
        <v/>
      </c>
      <c r="OD160" s="43" t="str">
        <f t="shared" si="506"/>
        <v/>
      </c>
      <c r="OE160" s="43" t="str">
        <f t="shared" si="507"/>
        <v/>
      </c>
      <c r="OF160" s="43" t="str">
        <f t="shared" si="508"/>
        <v/>
      </c>
      <c r="OG160" s="43" t="str">
        <f t="shared" si="509"/>
        <v/>
      </c>
      <c r="OH160" s="43" t="str">
        <f t="shared" si="510"/>
        <v/>
      </c>
      <c r="OI160" s="43" t="str">
        <f t="shared" si="511"/>
        <v/>
      </c>
      <c r="OJ160" s="43" t="str">
        <f t="shared" si="512"/>
        <v/>
      </c>
      <c r="OK160" s="43" t="str">
        <f t="shared" si="513"/>
        <v/>
      </c>
      <c r="OL160" s="43" t="str">
        <f t="shared" si="514"/>
        <v/>
      </c>
      <c r="OM160" s="43" t="str">
        <f t="shared" si="515"/>
        <v/>
      </c>
      <c r="ON160" s="43" t="str">
        <f t="shared" si="516"/>
        <v/>
      </c>
      <c r="OO160" s="43" t="str">
        <f t="shared" si="517"/>
        <v/>
      </c>
      <c r="OP160" s="43" t="str">
        <f t="shared" si="518"/>
        <v/>
      </c>
      <c r="OQ160" s="43" t="str">
        <f t="shared" si="519"/>
        <v/>
      </c>
      <c r="OR160" s="43" t="str">
        <f t="shared" si="520"/>
        <v/>
      </c>
      <c r="OS160" s="43" t="str">
        <f t="shared" si="521"/>
        <v/>
      </c>
      <c r="OT160" s="43" t="str">
        <f t="shared" si="522"/>
        <v/>
      </c>
      <c r="OU160" s="43" t="str">
        <f t="shared" si="523"/>
        <v/>
      </c>
      <c r="OV160" s="110" t="str">
        <f t="shared" si="524"/>
        <v/>
      </c>
      <c r="OW160" s="43" t="str">
        <f t="shared" si="525"/>
        <v/>
      </c>
      <c r="OX160" s="43" t="str">
        <f t="shared" si="526"/>
        <v/>
      </c>
      <c r="OY160" s="43" t="str">
        <f t="shared" si="527"/>
        <v/>
      </c>
      <c r="OZ160" s="43" t="str">
        <f t="shared" si="528"/>
        <v/>
      </c>
      <c r="PA160" s="43" t="str">
        <f t="shared" si="529"/>
        <v/>
      </c>
      <c r="PB160" s="43" t="str">
        <f t="shared" si="530"/>
        <v/>
      </c>
      <c r="PC160" s="43" t="str">
        <f t="shared" si="531"/>
        <v/>
      </c>
      <c r="PD160" s="43" t="str">
        <f t="shared" si="532"/>
        <v/>
      </c>
      <c r="PE160" s="43" t="str">
        <f t="shared" si="533"/>
        <v/>
      </c>
      <c r="PF160" s="43" t="str">
        <f t="shared" si="534"/>
        <v/>
      </c>
      <c r="PG160" s="43" t="str">
        <f t="shared" si="535"/>
        <v/>
      </c>
      <c r="PH160" s="43" t="str">
        <f t="shared" si="536"/>
        <v/>
      </c>
      <c r="PI160" s="43">
        <f t="shared" si="537"/>
        <v>28</v>
      </c>
      <c r="PJ160" s="43" t="str">
        <f t="shared" si="538"/>
        <v/>
      </c>
      <c r="PK160" s="43" t="str">
        <f t="shared" si="539"/>
        <v/>
      </c>
      <c r="PL160" s="43" t="str">
        <f t="shared" si="540"/>
        <v/>
      </c>
      <c r="PM160" s="43" t="str">
        <f t="shared" si="541"/>
        <v/>
      </c>
      <c r="PN160" s="43" t="str">
        <f t="shared" si="542"/>
        <v/>
      </c>
      <c r="PO160" s="43" t="str">
        <f t="shared" si="543"/>
        <v/>
      </c>
      <c r="PP160" s="43" t="str">
        <f t="shared" si="544"/>
        <v/>
      </c>
      <c r="PQ160" s="43" t="str">
        <f t="shared" si="545"/>
        <v/>
      </c>
      <c r="PR160" s="43" t="str">
        <f t="shared" si="546"/>
        <v/>
      </c>
      <c r="PS160" s="43" t="str">
        <f t="shared" si="547"/>
        <v/>
      </c>
      <c r="PT160" s="43" t="str">
        <f t="shared" si="548"/>
        <v/>
      </c>
      <c r="PU160" s="43" t="str">
        <f t="shared" si="549"/>
        <v/>
      </c>
      <c r="PV160" s="43" t="str">
        <f t="shared" si="550"/>
        <v/>
      </c>
      <c r="PW160" s="43" t="str">
        <f t="shared" si="551"/>
        <v/>
      </c>
      <c r="PX160" s="43" t="str">
        <f t="shared" si="552"/>
        <v/>
      </c>
      <c r="PY160" s="43" t="str">
        <f t="shared" si="553"/>
        <v/>
      </c>
      <c r="PZ160" s="43" t="str">
        <f t="shared" si="554"/>
        <v/>
      </c>
      <c r="QA160" s="43" t="str">
        <f t="shared" si="555"/>
        <v/>
      </c>
      <c r="QB160" s="43" t="str">
        <f t="shared" si="556"/>
        <v/>
      </c>
      <c r="QC160" s="43" t="str">
        <f t="shared" si="557"/>
        <v>SOBREPESO</v>
      </c>
      <c r="QD160" s="43" t="str">
        <f t="shared" si="558"/>
        <v/>
      </c>
      <c r="QE160" s="43" t="str">
        <f t="shared" si="559"/>
        <v/>
      </c>
      <c r="QF160" s="43" t="str">
        <f t="shared" si="560"/>
        <v/>
      </c>
      <c r="QG160" s="43" t="str">
        <f t="shared" si="561"/>
        <v/>
      </c>
      <c r="QH160" s="43" t="str">
        <f t="shared" si="562"/>
        <v/>
      </c>
      <c r="QI160" s="43" t="str">
        <f t="shared" si="563"/>
        <v/>
      </c>
      <c r="QJ160" s="43" t="str">
        <f t="shared" si="564"/>
        <v/>
      </c>
      <c r="QK160" s="43" t="str">
        <f t="shared" si="565"/>
        <v/>
      </c>
      <c r="QL160" s="43" t="str">
        <f t="shared" si="566"/>
        <v/>
      </c>
      <c r="QM160" s="43" t="str">
        <f t="shared" si="567"/>
        <v/>
      </c>
      <c r="QN160" s="43" t="str">
        <f t="shared" si="568"/>
        <v/>
      </c>
      <c r="QO160" s="43" t="str">
        <f t="shared" si="569"/>
        <v/>
      </c>
      <c r="QP160" s="43" t="str">
        <f t="shared" si="570"/>
        <v/>
      </c>
      <c r="QQ160" s="43" t="str">
        <f t="shared" si="571"/>
        <v/>
      </c>
      <c r="QR160" s="43">
        <f t="shared" si="672"/>
        <v>28</v>
      </c>
      <c r="QS160" s="43"/>
      <c r="QT160" s="21" t="str">
        <f t="shared" si="572"/>
        <v/>
      </c>
      <c r="QU160" s="21" t="str">
        <f t="shared" si="573"/>
        <v/>
      </c>
      <c r="QV160" s="21" t="str">
        <f t="shared" si="574"/>
        <v/>
      </c>
      <c r="QW160" s="21" t="str">
        <f t="shared" si="575"/>
        <v/>
      </c>
      <c r="QX160" s="21" t="str">
        <f t="shared" si="576"/>
        <v/>
      </c>
      <c r="QY160" s="21" t="str">
        <f t="shared" si="577"/>
        <v/>
      </c>
      <c r="QZ160" s="21" t="str">
        <f t="shared" si="578"/>
        <v/>
      </c>
      <c r="RA160" s="21" t="str">
        <f t="shared" si="579"/>
        <v/>
      </c>
      <c r="RB160" s="21" t="str">
        <f t="shared" si="580"/>
        <v/>
      </c>
      <c r="RC160" s="21" t="str">
        <f t="shared" si="581"/>
        <v/>
      </c>
      <c r="RD160" s="21" t="str">
        <f t="shared" si="582"/>
        <v/>
      </c>
      <c r="RE160" s="21" t="str">
        <f t="shared" si="583"/>
        <v/>
      </c>
      <c r="RF160" s="21" t="str">
        <f t="shared" si="584"/>
        <v/>
      </c>
      <c r="RG160" s="21" t="str">
        <f t="shared" si="585"/>
        <v/>
      </c>
      <c r="RH160" s="21" t="str">
        <f t="shared" si="586"/>
        <v/>
      </c>
      <c r="RI160" s="21" t="str">
        <f t="shared" si="587"/>
        <v>ALTO PARA EDAD GESTACIONAL</v>
      </c>
      <c r="RJ160" s="21" t="str">
        <f t="shared" si="588"/>
        <v/>
      </c>
      <c r="RK160" s="21" t="str">
        <f t="shared" si="589"/>
        <v/>
      </c>
      <c r="RL160" s="21" t="str">
        <f t="shared" si="590"/>
        <v/>
      </c>
      <c r="RM160" s="21" t="str">
        <f t="shared" si="591"/>
        <v/>
      </c>
      <c r="RN160" s="21" t="str">
        <f t="shared" si="592"/>
        <v/>
      </c>
      <c r="RO160" s="21" t="str">
        <f t="shared" si="593"/>
        <v/>
      </c>
      <c r="RP160" s="21" t="str">
        <f t="shared" si="594"/>
        <v/>
      </c>
      <c r="RQ160" s="21" t="str">
        <f t="shared" si="595"/>
        <v/>
      </c>
      <c r="RR160" s="21" t="str">
        <f t="shared" si="596"/>
        <v/>
      </c>
      <c r="RS160" s="21" t="str">
        <f t="shared" si="597"/>
        <v/>
      </c>
      <c r="RT160" s="21" t="str">
        <f t="shared" si="598"/>
        <v/>
      </c>
      <c r="RU160" s="21" t="str">
        <f t="shared" si="599"/>
        <v/>
      </c>
      <c r="RV160" s="21">
        <f t="shared" si="600"/>
        <v>10.428571428571429</v>
      </c>
      <c r="RW160" s="284">
        <f>IF(OR(Tabla1[[#This Row],[FUM FORMULA CONFIABLE]]="",Tabla1[[#This Row],[FUM FORMULA CONFIABLE]]="SD"),"",IF(Tabla1[[#This Row],[FUM FORMULA CONFIABLE]]="CORREGIDA",Tabla1[[#This Row],[FUM X ECO 1]],Tabla1[[#This Row],[FUM x AMENORREA]]))</f>
        <v>44963</v>
      </c>
      <c r="RX160" s="21" t="str">
        <f>IF(AND(Tabla1[[#This Row],[FUM X ECO 1]]="",Tabla1[[#This Row],[FUM x AMENORREA]]=""),"",IF(AND(Tabla1[[#This Row],[FUM X ECO 1]]="",Tabla1[[#This Row],[FUM x AMENORREA]]&lt;&gt;""),"X",SUM(Tabla1[[#This Row],[FUM X ECO 1]]-Tabla1[[#This Row],[FUM x AMENORREA]])))</f>
        <v>X</v>
      </c>
      <c r="RY160" s="21" t="str">
        <f t="shared" si="673"/>
        <v>x</v>
      </c>
    </row>
    <row r="161" spans="1:493" ht="45" customHeight="1" x14ac:dyDescent="0.25">
      <c r="A161" s="109"/>
      <c r="B161" s="43"/>
      <c r="C161" s="43" t="s">
        <v>845</v>
      </c>
      <c r="D161" s="124"/>
      <c r="E161" s="43" t="s">
        <v>1458</v>
      </c>
      <c r="F161" s="43" t="s">
        <v>1459</v>
      </c>
      <c r="G161" s="43" t="s">
        <v>1460</v>
      </c>
      <c r="H161" s="43" t="s">
        <v>976</v>
      </c>
      <c r="I161" s="109" t="s">
        <v>1094</v>
      </c>
      <c r="J161" s="110">
        <v>1062295885</v>
      </c>
      <c r="K161" s="43" t="s">
        <v>852</v>
      </c>
      <c r="L161" s="175" t="s">
        <v>1461</v>
      </c>
      <c r="M161" s="22">
        <v>39711</v>
      </c>
      <c r="N161" s="213">
        <f t="shared" ca="1" si="601"/>
        <v>15.126027397260273</v>
      </c>
      <c r="O161" s="22">
        <v>45038</v>
      </c>
      <c r="P161" s="214" t="str">
        <f t="shared" si="675"/>
        <v>SI</v>
      </c>
      <c r="Q161" s="26" t="s">
        <v>855</v>
      </c>
      <c r="R161" s="22">
        <v>45038</v>
      </c>
      <c r="S161" s="21" t="s">
        <v>856</v>
      </c>
      <c r="T161" s="24" t="s">
        <v>690</v>
      </c>
      <c r="U161" s="21" t="s">
        <v>857</v>
      </c>
      <c r="V161" s="21" t="s">
        <v>858</v>
      </c>
      <c r="W161" s="21" t="s">
        <v>1462</v>
      </c>
      <c r="X161" s="21"/>
      <c r="Y161" s="21"/>
      <c r="Z161" s="21">
        <v>3106247477</v>
      </c>
      <c r="AA161" s="21" t="s">
        <v>860</v>
      </c>
      <c r="AB161" s="27" t="s">
        <v>861</v>
      </c>
      <c r="AC161" s="26" t="s">
        <v>846</v>
      </c>
      <c r="AD161" s="38" t="s">
        <v>1546</v>
      </c>
      <c r="AE161" s="26" t="s">
        <v>854</v>
      </c>
      <c r="AF161" s="26" t="s">
        <v>854</v>
      </c>
      <c r="AG161" s="23" t="s">
        <v>864</v>
      </c>
      <c r="AH161" s="23" t="s">
        <v>864</v>
      </c>
      <c r="AI161" s="24" t="s">
        <v>863</v>
      </c>
      <c r="AJ161" s="23" t="s">
        <v>864</v>
      </c>
      <c r="AK161" s="220" t="str">
        <f>IF(AND(AD161="",AE161="",AF161="",AG161="",AH161="",AI161="",AJ161=""),"",IF(OR(Tabla1[[#This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EVALUACIÓN",IF(AND(O161="",R161=""),"",IF(AND(OR(O161&gt;0,R161&gt;0),NG161&gt;=0,NG161&lt;2),"SIN RIESGO",IF(AND(OR(O161&gt;0,R161&gt;0),NG161&gt;=2),"CON RIESGO","ASD")))))</f>
        <v>SIN RIESGO</v>
      </c>
      <c r="AL161" s="23" t="s">
        <v>864</v>
      </c>
      <c r="AM161" s="26" t="s">
        <v>864</v>
      </c>
      <c r="AN161" s="26" t="s">
        <v>864</v>
      </c>
      <c r="AO161" s="26" t="s">
        <v>864</v>
      </c>
      <c r="AP161" s="26" t="s">
        <v>864</v>
      </c>
      <c r="AQ161" s="26" t="s">
        <v>864</v>
      </c>
      <c r="AR161" s="26" t="s">
        <v>864</v>
      </c>
      <c r="AS161" s="21">
        <v>0</v>
      </c>
      <c r="AT161" s="21">
        <v>0</v>
      </c>
      <c r="AU161" s="21">
        <v>0</v>
      </c>
      <c r="AV161" s="26" t="s">
        <v>864</v>
      </c>
      <c r="AW161" s="21">
        <v>0</v>
      </c>
      <c r="AX161" s="26" t="s">
        <v>864</v>
      </c>
      <c r="AY161" s="26" t="s">
        <v>864</v>
      </c>
      <c r="AZ161" s="26" t="s">
        <v>864</v>
      </c>
      <c r="BA161" s="26" t="s">
        <v>864</v>
      </c>
      <c r="BB161" s="26" t="s">
        <v>864</v>
      </c>
      <c r="BC161" s="26" t="s">
        <v>864</v>
      </c>
      <c r="BD161" s="26" t="s">
        <v>864</v>
      </c>
      <c r="BE161" s="26" t="s">
        <v>864</v>
      </c>
      <c r="BF161" s="26" t="s">
        <v>864</v>
      </c>
      <c r="BG161" s="26" t="s">
        <v>864</v>
      </c>
      <c r="BH161" s="26" t="s">
        <v>864</v>
      </c>
      <c r="BI161" s="26" t="s">
        <v>864</v>
      </c>
      <c r="BJ161" s="26" t="s">
        <v>864</v>
      </c>
      <c r="BK161" s="26" t="s">
        <v>865</v>
      </c>
      <c r="BL161" s="26" t="s">
        <v>864</v>
      </c>
      <c r="BM161" s="26" t="s">
        <v>864</v>
      </c>
      <c r="BN161" s="22"/>
      <c r="BO161" s="22">
        <v>44981</v>
      </c>
      <c r="BP161" s="21" t="s">
        <v>854</v>
      </c>
      <c r="BQ161" s="222">
        <f t="shared" si="602"/>
        <v>0</v>
      </c>
      <c r="BR161" s="223" t="str">
        <f t="shared" si="603"/>
        <v/>
      </c>
      <c r="BS161" s="224">
        <f t="shared" si="604"/>
        <v>8.1428571428571423</v>
      </c>
      <c r="BT161" s="216" t="str">
        <f t="shared" si="605"/>
        <v>I TRIM</v>
      </c>
      <c r="BU161" s="214">
        <f t="shared" ca="1" si="606"/>
        <v>35.857142857142854</v>
      </c>
      <c r="BV161" s="25"/>
      <c r="BW161" s="22"/>
      <c r="BX161" s="28"/>
      <c r="BY161" s="28"/>
      <c r="BZ161" s="22"/>
      <c r="CA161" s="21"/>
      <c r="CB161" s="26"/>
      <c r="CC161" s="26"/>
      <c r="CD161" s="26"/>
      <c r="CE161" s="26"/>
      <c r="CF161" s="22" t="s">
        <v>1517</v>
      </c>
      <c r="CG161" s="21">
        <v>1.54</v>
      </c>
      <c r="CH161" s="21">
        <v>57.5</v>
      </c>
      <c r="CI161" s="214">
        <f t="shared" si="607"/>
        <v>24.245235284196323</v>
      </c>
      <c r="CJ161" s="225" t="str">
        <f>IF(AND(CI161&lt;10,CH161="SD"),"SIN DATO PESO PREGESTACION O I TRIM",IF(AND(OR(R161&gt;0,O161&gt;0),CI161="X"),"INGRESAR DATO DE PESO",IF(CI161="SD","INGRESAR DATO DE TALLA Y PESO",IF(AND(OR(Tabla1[[#This Row],[MOMENTO EN QUE SE REALIZA EL PESO AL INGRESO A CPN]]="PREGESTACIÓN",NZ161="Menor"),CI161&lt;18.5),"BAJO PESO",IF(AND(OR(Tabla1[[#This Row],[MOMENTO EN QUE SE REALIZA EL PESO AL INGRESO A CPN]]="PREGESTACIÓN",NZ161="Menor"),CI161&lt;25),"NORMAL",IF(AND(OR(Tabla1[[#This Row],[MOMENTO EN QUE SE REALIZA EL PESO AL INGRESO A CPN]]="PREGESTACIÓN",NZ161="Menor"),CI161&lt;30),"SOBREPESO",IF(AND(OR(Tabla1[[#This Row],[MOMENTO EN QUE SE REALIZA EL PESO AL INGRESO A CPN]]="PREGESTACIÓN",NZ161="Menor"),CI161&gt;=30,CI161&lt;50),"OBESIDAD",IF(AND(BS161&gt;0,Tabla1[[#This Row],[MOMENTO EN QUE SE REALIZA EL PESO AL INGRESO A CPN]]="GESTACIÓN"),HLOOKUP(NZ161,$OA$2:PH161,NY161),""))))))))</f>
        <v>NORMAL</v>
      </c>
      <c r="CK161" s="212">
        <f t="shared" si="608"/>
        <v>45069</v>
      </c>
      <c r="CL161" s="21">
        <v>57.8</v>
      </c>
      <c r="CM161" s="214">
        <f t="shared" si="609"/>
        <v>24.371732163939956</v>
      </c>
      <c r="CN161" s="216">
        <f t="shared" si="610"/>
        <v>12</v>
      </c>
      <c r="CO161" s="216" t="e">
        <f>IF(PI161="","",IF(PI161&gt;0,HLOOKUP(PI161,$PJ$2:QQ161,NY161),""))</f>
        <v>#REF!</v>
      </c>
      <c r="CP161" s="21"/>
      <c r="CQ161" s="216" t="str">
        <f>IF(QR161="Menor","NO APLICA-MENOR 13 SEM",IF(AND(CC161="SI",CN161&gt;23),"NO APLICA- GEMELAR",IF(QR161="","",IF(QR161&gt;0,HLOOKUP(QR161,$QS$2:RU161,NY161),""))))</f>
        <v>NO APLICA-MENOR 13 SEM</v>
      </c>
      <c r="CR161" s="21">
        <v>90</v>
      </c>
      <c r="CS161" s="21">
        <v>60</v>
      </c>
      <c r="CT161" s="217" t="str">
        <f>IF(R161="","",IF(AND(BS161&gt;1,BS161&lt;12,Tabla1[[#This Row],[T.A. SISTOLICA - ANTES DE SEMANA 12]]="",Tabla1[[#This Row],[T.A. DIASTOLICA - ANTES DE SEMANA 12]]=""),"REGISTRE DATO TA ANTES SEMANA 12",IF(AND(BS161&gt;11,BS161&lt;43,Tabla1[[#This Row],[T.A. SISTOLICA - ANTES DE SEMANA 12]]="",Tabla1[[#This Row],[T.A. DIASTOLICA - ANTES DE SEMANA 12]]=""),"NO APLICA REGISTRO TA-INGRESO TARDIO",IF(AND(OR(O161&gt;0,R161&gt;0),OR(CR161&gt;=140,CS161&gt;=90)),"DEFINIR ESTADIO HTA",IF(AND(OR(O161&gt;0,R161&gt;0),AND(CR161&gt;120,CR161&lt;=139)),"PRE HTA SEGUIMIENTO",IF(AND(OR(O161&gt;0,R161&gt;0),AND(CS161&gt;80,CS161&lt;=89)),"PRE HTA SEGUIMIENTO",IF(AND(OR(O161&gt;0,R161&gt;0),AND(CR161&gt;=80,CR161&lt;=120)),"APARENTEMENTE NORMAL",IF(AND(OR(O161&gt;0,R161&gt;0),AND(CS161&gt;=50,CS161&lt;=80)),"APARENTEMENTE NORMAL",IF(AND(OR(O161&gt;0,R161&gt;0),AND(CR161&gt;1,CR161&lt;=70),AND(CS161&gt;1,CS161&lt;=40)),"HIPOTENSIÓN","")))))))))</f>
        <v>APARENTEMENTE NORMAL</v>
      </c>
      <c r="CU161" s="21"/>
      <c r="CV161" s="21"/>
      <c r="CW161" s="217" t="str">
        <f ca="1">IF(R161="","",IF(AND(CN161&gt;19,CN161&lt;27,Tabla1[[#This Row],[T.A. SISTOLICA (Entre semana 20 y 26)]]="",Tabla1[[#This Row],[T.A. DIATOLICA (Entre semana 20 y 26)]]=""),"ACUDE A CONTROL SEM 20 A 26 REGISTRE TA AHORA",IF(AND(BS161&gt;1,BS161&lt;27,BU161&gt;19,Tabla1[[#This Row],[T.A. SISTOLICA (Entre semana 20 y 26)]]="",Tabla1[[#This Row],[T.A. DIATOLICA (Entre semana 20 y 26)]]=""),"COMPLETE REGISTRO TA CONTROL SEM 20 A26 ",IF(AND(BS161&gt;26,BS161&lt;43,Tabla1[[#This Row],[T.A. SISTOLICA (Entre semana 20 y 26)]]="",Tabla1[[#This Row],[T.A. DIATOLICA (Entre semana 20 y 26)]]=""),"NO APLICA REGISTRO TA-INGRESO TARDIO",IF(AND(OR(O161&gt;0,R161&gt;0),OR(CU161&gt;=140,CV161&gt;=90)),"ALTO RIESGO PREECLAMPSIA,DEFINIR ESTADIO HTA",IF(AND(OR(O161&gt;0,R161&gt;0),AND(CU161&gt;120,CU161&lt;=139)),"PRE HTA SEGUIMIENTO,RIESGO HIPERTENSION INDUCIDA POR EL EMBARAZO",IF(AND(OR(O161&gt;0,R161&gt;0),AND(CV161&gt;80,CV161&lt;=89)),"PRE HTA SEGUIMIENTO, RIESGO HIPERTENSION INDUCIDA POR EL EMBARAZO",IF(AND(OR(O161&lt;&gt;"",R161&lt;&gt;""),CS161&lt;&gt;"",CV161&lt;&gt;"",CS161&lt;=CV161),"VIGILAR CIFRAS PRESION ARTERIAL",IF(AND(OR(O161&gt;0,R161&gt;0),AND(CU161&gt;120,CU161&lt;=139)),"PRE HTA SEGUIMIENTO",IF(AND(OR(O161&gt;0,R161&gt;0),AND(CU161&gt;1,CU161&lt;=70),AND(CV161&gt;1,CV161&lt;=40)),"HIPOTENSIÓN",IF(AND(OR(O161&lt;&gt;"",R161&lt;&gt;""),CS161&lt;&gt;"",CV161&lt;&gt;"",CS161&gt;CV161),"APARENTEMENTE NORMAL",IF(AND(OR(O161&gt;0,R161&gt;0),AND(CU161&gt;=80,CU161&lt;=120)),"APARENTEMENTE NORMAL",IF(AND(OR(O161&gt;0,R161&gt;0),AND(CV161&gt;=50,CV161&lt;=80)),"APARENTEMENTE NORMAL","")))))))))))))</f>
        <v xml:space="preserve">COMPLETE REGISTRO TA CONTROL SEM 20 A26 </v>
      </c>
      <c r="CX161" s="21"/>
      <c r="CY161" s="21"/>
      <c r="CZ161" s="216" t="str">
        <f t="shared" si="690"/>
        <v/>
      </c>
      <c r="DA161" s="21">
        <v>90</v>
      </c>
      <c r="DB161" s="21">
        <v>70</v>
      </c>
      <c r="DC161" s="217" t="str">
        <f t="shared" si="611"/>
        <v>APARENTEMENTE NORMAL</v>
      </c>
      <c r="DD161" s="22">
        <v>45038</v>
      </c>
      <c r="DE161" s="22">
        <v>45038</v>
      </c>
      <c r="DF161" s="22">
        <v>45069</v>
      </c>
      <c r="DG161" s="22"/>
      <c r="DH161" s="22"/>
      <c r="DI161" s="22"/>
      <c r="DJ161" s="22"/>
      <c r="DK161" s="22"/>
      <c r="DL161" s="22"/>
      <c r="DM161" s="22"/>
      <c r="DN161" s="22"/>
      <c r="DO161" s="22"/>
      <c r="DP161" s="22"/>
      <c r="DQ161" s="22"/>
      <c r="DR161" s="28">
        <v>1</v>
      </c>
      <c r="DS161" s="22"/>
      <c r="DT161" s="22"/>
      <c r="DU161" s="216" t="str">
        <f t="shared" ca="1" si="676"/>
        <v>CONCERTAR PLAN DE PARTO INMEDIATO</v>
      </c>
      <c r="DV161" s="226" t="str">
        <f t="shared" si="677"/>
        <v>ACTIVA INGRESO A CPN</v>
      </c>
      <c r="DW16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61" s="216" t="e">
        <f t="shared" ca="1" si="612"/>
        <v>#REF!</v>
      </c>
      <c r="DY161" s="212">
        <f>IF(R161="","",IF(R161&gt;0,MAX(Tabla1[[#This Row],[FECHA C2]:[FECHA C13]],Tabla1[[#This Row],[FECHA CONSULTA PRIMERA VEZ PROGRAMA CPN ]])))</f>
        <v>45069</v>
      </c>
      <c r="DZ161" s="216">
        <f t="shared" si="613"/>
        <v>12</v>
      </c>
      <c r="EA161" s="222">
        <f>IF(R161&gt;0,SUM(COUNTA(DF161:DQ161)+COUNTA(Tabla1[[#This Row],[FECHA CONSULTA PRIMERA VEZ PROGRAMA CPN ]])),"")</f>
        <v>2</v>
      </c>
      <c r="EB161" s="222" t="str">
        <f t="shared" si="614"/>
        <v>NO</v>
      </c>
      <c r="EC161" s="214">
        <f t="shared" si="615"/>
        <v>9</v>
      </c>
      <c r="ED161" s="227">
        <f t="shared" si="616"/>
        <v>0.22222222222222221</v>
      </c>
      <c r="EE161" s="22">
        <v>45038</v>
      </c>
      <c r="EF161" s="22">
        <v>45038</v>
      </c>
      <c r="EG161" s="22">
        <v>45038</v>
      </c>
      <c r="EH161" s="22"/>
      <c r="EI161" s="22">
        <v>45038</v>
      </c>
      <c r="EJ161" s="22"/>
      <c r="EK161" s="22"/>
      <c r="EL161" s="21"/>
      <c r="EM161" s="21">
        <v>13.8</v>
      </c>
      <c r="EN161" s="22">
        <v>45038</v>
      </c>
      <c r="EO161" s="222">
        <f t="shared" si="617"/>
        <v>8.1428571428571423</v>
      </c>
      <c r="EP161" s="214" t="str">
        <f t="shared" si="618"/>
        <v>NORMAL- SUMINISTRAR SULFATO FERROSO</v>
      </c>
      <c r="EQ161" s="216" t="str">
        <f t="shared" si="619"/>
        <v>I TRIM</v>
      </c>
      <c r="ER161" s="24"/>
      <c r="ES161" s="22"/>
      <c r="ET161" s="29" t="str">
        <f t="shared" ca="1" si="678"/>
        <v>TOMA DE HEMOGLOBINA TARDÍA</v>
      </c>
      <c r="EU161" s="25" t="str">
        <f t="shared" si="620"/>
        <v/>
      </c>
      <c r="EV161" s="24" t="s">
        <v>866</v>
      </c>
      <c r="EW161" s="24">
        <v>45038</v>
      </c>
      <c r="EX161" s="22"/>
      <c r="EY161" s="29">
        <f t="shared" si="693"/>
        <v>8.1428571428571423</v>
      </c>
      <c r="EZ161" s="25" t="str">
        <f t="shared" ca="1" si="694"/>
        <v/>
      </c>
      <c r="FA161" s="21">
        <v>94</v>
      </c>
      <c r="FB161" s="22">
        <v>45038</v>
      </c>
      <c r="FC161" s="29">
        <f t="shared" si="621"/>
        <v>8.1428571428571423</v>
      </c>
      <c r="FD161" s="29"/>
      <c r="FE161" s="29"/>
      <c r="FF161" s="29"/>
      <c r="FG161" s="21" t="str">
        <f t="shared" ca="1" si="622"/>
        <v>TOMAR PTOG</v>
      </c>
      <c r="FH161" s="31"/>
      <c r="FI161" s="29" t="str">
        <f t="shared" si="623"/>
        <v>TOMAR EXAMEN</v>
      </c>
      <c r="FJ161" s="22" t="s">
        <v>867</v>
      </c>
      <c r="FK161" s="22">
        <v>45038</v>
      </c>
      <c r="FL161" s="29">
        <f t="shared" ca="1" si="624"/>
        <v>8.1428571428571423</v>
      </c>
      <c r="FM161" s="22"/>
      <c r="FN161" s="32"/>
      <c r="FO161" s="29" t="str">
        <f t="shared" ca="1" si="679"/>
        <v>PIERDE TOMA DE TAMIZAJE</v>
      </c>
      <c r="FP161" s="22"/>
      <c r="FQ161" s="32"/>
      <c r="FR161" s="29" t="str">
        <f t="shared" ca="1" si="680"/>
        <v>TOMA INMEDIATA DE TAMIZAJE</v>
      </c>
      <c r="FS161" s="22"/>
      <c r="FT161" s="32"/>
      <c r="FU161" s="29" t="str">
        <f>IF(AND(FJ161="",FM161="",FP161="",FS161=""),"",IF(OR(OR(Tabla1[[#This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61" s="28"/>
      <c r="FW161" s="22"/>
      <c r="FX161" s="29" t="str">
        <f t="shared" si="625"/>
        <v>TOMAR EXAMEN</v>
      </c>
      <c r="FY161" s="22">
        <v>45038</v>
      </c>
      <c r="FZ161" s="22">
        <v>45038</v>
      </c>
      <c r="GA161" s="29">
        <f t="shared" ca="1" si="692"/>
        <v>8.1428571428571423</v>
      </c>
      <c r="GB161" s="22"/>
      <c r="GC161" s="22"/>
      <c r="GD161" s="29" t="str">
        <f t="shared" ca="1" si="681"/>
        <v>PIERDE TOMA DE TAMIZAJE</v>
      </c>
      <c r="GE161" s="22"/>
      <c r="GF161" s="22"/>
      <c r="GG161" s="29" t="str">
        <f t="shared" ca="1" si="682"/>
        <v>TOMA INMEDIATA DE TAMIZAJE</v>
      </c>
      <c r="GH161" s="22"/>
      <c r="GI161" s="29"/>
      <c r="GJ161" s="22"/>
      <c r="GK161" s="22"/>
      <c r="GL161" s="22"/>
      <c r="GM161" s="22"/>
      <c r="GN161" s="28" t="s">
        <v>869</v>
      </c>
      <c r="GO161" s="22">
        <v>45038</v>
      </c>
      <c r="GP161" s="29">
        <f t="shared" si="626"/>
        <v>8.1428571428571423</v>
      </c>
      <c r="GQ161" s="28" t="s">
        <v>869</v>
      </c>
      <c r="GR161" s="28" t="s">
        <v>869</v>
      </c>
      <c r="GS161" s="22" t="str">
        <f t="shared" si="627"/>
        <v>CONTROL Igm</v>
      </c>
      <c r="GT161" s="22">
        <v>45038</v>
      </c>
      <c r="GU161" s="29">
        <f t="shared" si="628"/>
        <v>8.1428571428571423</v>
      </c>
      <c r="GV161" s="21" t="str">
        <f t="shared" si="629"/>
        <v>I TRIM</v>
      </c>
      <c r="GW161" s="28" t="s">
        <v>869</v>
      </c>
      <c r="GX161" s="30"/>
      <c r="GY161" s="21"/>
      <c r="GZ161" s="21"/>
      <c r="HA161" s="21"/>
      <c r="HB161" s="21"/>
      <c r="HC161" s="21"/>
      <c r="HD161" s="21"/>
      <c r="HE161" s="21"/>
      <c r="HF161" s="22"/>
      <c r="HG161" s="22" t="str">
        <f>IF(OR(O161&gt;0,R161&gt;0),CONCATENATE(IF(Tabla1[[#This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61" s="22" t="e">
        <f t="shared" si="630"/>
        <v>#REF!</v>
      </c>
      <c r="HI161" s="22" t="e">
        <f t="shared" ca="1" si="631"/>
        <v>#REF!</v>
      </c>
      <c r="HJ161" s="21" t="str">
        <f t="shared" ca="1" si="632"/>
        <v>**********************MULTIPARIDAD**RIESGO POR EDAD***************</v>
      </c>
      <c r="HK161" s="21" t="str">
        <f t="shared" si="633"/>
        <v>SIN ANTECEDENTES DE RIESGO</v>
      </c>
      <c r="HL161" s="24" t="str">
        <f t="shared" si="634"/>
        <v>APARENTEMENTE NORMAL</v>
      </c>
      <c r="HM161" s="21" t="e">
        <f t="shared" ca="1" si="635"/>
        <v>#REF!</v>
      </c>
      <c r="HN161" s="30" t="str">
        <f t="shared" si="683"/>
        <v>ACTIVA INGRESO A CPN</v>
      </c>
      <c r="HO161" s="21"/>
      <c r="HP161" s="21"/>
      <c r="HQ161" s="349">
        <v>45038</v>
      </c>
      <c r="HR161" s="21" t="str">
        <f>IF(R161="","",IF(Tabla1[[#This Row],[ALARMA FACTORES DE RIESGO COMPLICACIONES HIPERTENSIVAS3]]="SIN ANTECEDENTES DE RIESGO","No Aplica para suministro de ASA",IF(AND(Tabla1[[#This Row],[FECHA INICIO DE SUMINISTRO DE ASA]]&gt;0,RV161&lt;12),"Inicia ASA ANTES de Sem 12",IF(AND(RV161&gt;11,RV161&lt;17,OR(HK161="RIESGO ALTO DE COMPLICACIONES HIPERTENSIVAS VER MANEJO GUIA SUMINISTRO ASA Y CALCIO",HK161="RIESGO MODERADO (2 O MAS CRITERIOS) VER MANEJO GUIA SUMINISTRO ASA Y CALCIO")),"Inicio oportuno de ASA",IF(AND(RV161&gt;12,OR(HK161="RIESGO ALTO DE COMPLICACIONES HIPERTENSIVAS VER MANEJO GUIA SUMINISTRO ASA Y CALCIO",HK161="RIESGO MODERADO (2 O MAS CRITERIOS) VER MANEJO GUIA SUMINISTRO ASA Y CALCIO")),"Inicio no oportuno mayor a 16 semanas",IF(AND(BU161&lt;12,OR(HK161="RIESGO ALTO DE COMPLICACIONES HIPERTENSIVAS VER MANEJO GUIA SUMINISTRO ASA Y CALCIO",HK161="RIESGO MODERADO (2 O MAS CRITERIOS) VER MANEJO GUIA SUMINISTRO ASA Y CALCIO")),"Pendiente Inicio de ASA a la semana 12",IF(AND(BU161&gt;11,BU161&lt;17,OR(HK161="RIESGO ALTO DE COMPLICACIONES HIPERTENSIVAS VER MANEJO GUIA SUMINISTRO ASA Y CALCIO",HK161="RIESGO MODERADO (2 O MAS CRITERIOS) VER MANEJO GUIA SUMINISTRO ASA Y CALCIO")),"Iniciar de inmediato ASA",IF(AND(BU161&gt;16,OR(HK161="RIESGO ALTO DE COMPLICACIONES HIPERTENSIVAS VER MANEJO GUIA SUMINISTRO ASA Y CALCIO",HK161="RIESGO MODERADO (2 O MAS CRITERIOS) VER MANEJO GUIA SUMINISTRO ASA Y CALCIO")),"Pierde Oportunidad, Inicio tardío de ASA","XXXXX"))))))))</f>
        <v>No Aplica para suministro de ASA</v>
      </c>
      <c r="HS161" s="22">
        <v>45038</v>
      </c>
      <c r="HT161" s="22" t="s">
        <v>870</v>
      </c>
      <c r="HU161" s="22">
        <v>45038</v>
      </c>
      <c r="HV161" s="22" t="s">
        <v>870</v>
      </c>
      <c r="HW161" s="22"/>
      <c r="HX161" s="22"/>
      <c r="HY161" s="22">
        <v>45038</v>
      </c>
      <c r="HZ161" s="28">
        <f t="shared" si="636"/>
        <v>8.1428571428571423</v>
      </c>
      <c r="IA161" s="26"/>
      <c r="IB161" s="26"/>
      <c r="IC161" s="111"/>
      <c r="ID161" s="22"/>
      <c r="IE161" s="22" t="str">
        <f t="shared" ca="1" si="637"/>
        <v>INASISTENTE</v>
      </c>
      <c r="IF161" s="22"/>
      <c r="IG161" s="22">
        <f t="shared" si="638"/>
        <v>45261</v>
      </c>
      <c r="IH161" s="29">
        <f t="shared" ca="1" si="639"/>
        <v>29</v>
      </c>
      <c r="II161" s="22" t="str">
        <f t="shared" ca="1" si="640"/>
        <v>PENDIENTE</v>
      </c>
      <c r="IJ161" s="22"/>
      <c r="IK161" s="21"/>
      <c r="IL161" s="21"/>
      <c r="IM161" s="34"/>
      <c r="IN161" s="22"/>
      <c r="IO161" s="21"/>
      <c r="IP161" s="29" t="str">
        <f t="shared" si="674"/>
        <v/>
      </c>
      <c r="IQ161" s="35"/>
      <c r="IR161" s="21"/>
      <c r="IS161" s="21"/>
      <c r="IT161" s="21"/>
      <c r="IU161" s="21"/>
      <c r="IV161" s="21"/>
      <c r="IW161" s="21"/>
      <c r="IX161" s="21"/>
      <c r="IY161" s="21"/>
      <c r="IZ161" s="21"/>
      <c r="JA161" s="21"/>
      <c r="JB161" s="30"/>
      <c r="JC161" s="21"/>
      <c r="JD161" s="36"/>
      <c r="JE161" s="21" t="str">
        <f t="shared" si="684"/>
        <v/>
      </c>
      <c r="JF161" s="30"/>
      <c r="JG161" s="21"/>
      <c r="JH161" s="21"/>
      <c r="JI161" s="21"/>
      <c r="JJ161" s="30"/>
      <c r="JK161" s="22"/>
      <c r="JL161" s="22"/>
      <c r="JM161" s="21"/>
      <c r="JN161" s="36"/>
      <c r="JO161" s="21" t="str">
        <f t="shared" si="685"/>
        <v/>
      </c>
      <c r="JP161" s="22"/>
      <c r="JQ161" s="21"/>
      <c r="JR161" s="21"/>
      <c r="JS161" s="21"/>
      <c r="JT161" s="30"/>
      <c r="JU161" s="22"/>
      <c r="JV161" s="22"/>
      <c r="JW161" s="33"/>
      <c r="JX161" s="28" t="str">
        <f t="shared" si="686"/>
        <v/>
      </c>
      <c r="JY161" s="33"/>
      <c r="JZ161" s="28" t="str">
        <f t="shared" si="687"/>
        <v/>
      </c>
      <c r="KA161" s="21"/>
      <c r="KB161" s="21"/>
      <c r="KC161" s="21"/>
      <c r="KD161" s="37"/>
      <c r="KE161" s="28"/>
      <c r="KF161" s="28"/>
      <c r="KG161" s="28"/>
      <c r="KH161" s="39"/>
      <c r="KI161" s="39"/>
      <c r="KJ161" s="66"/>
      <c r="KK161" s="39"/>
      <c r="KL161" s="39"/>
      <c r="KM161" s="66"/>
      <c r="KN161" s="39"/>
      <c r="KO161" s="39"/>
      <c r="KP161" s="39"/>
      <c r="KQ161" s="39"/>
      <c r="KR161" s="39"/>
      <c r="KS161" s="39"/>
      <c r="KT161" s="39"/>
      <c r="KU161" s="38"/>
      <c r="KV161" s="38"/>
      <c r="KW161" s="38"/>
      <c r="KX161" s="38"/>
      <c r="KY161" s="38"/>
      <c r="KZ161" s="38"/>
      <c r="LA161" s="38"/>
      <c r="LB161" s="38"/>
      <c r="LC161" s="38"/>
      <c r="LD161" s="38"/>
      <c r="LE161" s="38"/>
      <c r="LF161" s="38"/>
      <c r="LG161" s="38"/>
      <c r="LH161" s="38"/>
      <c r="LI161" s="38"/>
      <c r="LJ161" s="38"/>
      <c r="LK161" s="38"/>
      <c r="LL161" s="38"/>
      <c r="LM161" s="38"/>
      <c r="LN161" s="38"/>
      <c r="LO161" s="38"/>
      <c r="LP161" s="38"/>
      <c r="LQ161" s="38"/>
      <c r="LR161" s="38"/>
      <c r="LS161" s="38"/>
      <c r="LT161" s="38"/>
      <c r="LU161" s="38"/>
      <c r="LV161" s="38"/>
      <c r="LW161" s="38"/>
      <c r="LX161" s="38"/>
      <c r="LY161" s="38"/>
      <c r="LZ161" s="38"/>
      <c r="MA161" s="38"/>
      <c r="MB161" s="38"/>
      <c r="MC161" s="38"/>
      <c r="MD161" s="38"/>
      <c r="ME161" s="38"/>
      <c r="MF161" s="38"/>
      <c r="MG161" s="38"/>
      <c r="MH161" s="43">
        <f t="shared" si="641"/>
        <v>0</v>
      </c>
      <c r="MI161" s="43" t="str">
        <f t="shared" si="642"/>
        <v/>
      </c>
      <c r="MJ161" s="43" t="str">
        <f t="shared" si="643"/>
        <v/>
      </c>
      <c r="MK161" s="43">
        <f t="shared" si="644"/>
        <v>0</v>
      </c>
      <c r="ML16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61" s="43">
        <f t="shared" si="645"/>
        <v>8.1428571428571423</v>
      </c>
      <c r="MN161" s="43">
        <f t="shared" si="646"/>
        <v>4</v>
      </c>
      <c r="MO161" s="43">
        <f t="shared" si="647"/>
        <v>2023</v>
      </c>
      <c r="MP161" s="43" t="str">
        <f t="shared" si="648"/>
        <v>II TRIMESTRE AÑO</v>
      </c>
      <c r="MQ161" s="43">
        <f t="shared" si="649"/>
        <v>14.378011388523872</v>
      </c>
      <c r="MR161" s="43">
        <f t="shared" si="650"/>
        <v>1</v>
      </c>
      <c r="MS161" s="43" t="str">
        <f t="shared" si="651"/>
        <v>DE 14 A 19AÑOS</v>
      </c>
      <c r="MT161" s="43">
        <f t="shared" si="652"/>
        <v>0</v>
      </c>
      <c r="MU161" s="43">
        <f t="shared" si="653"/>
        <v>1</v>
      </c>
      <c r="MV161" s="43">
        <f t="shared" si="654"/>
        <v>0</v>
      </c>
      <c r="MW161" s="43">
        <f t="shared" si="655"/>
        <v>0</v>
      </c>
      <c r="MX161" s="43" t="str">
        <f t="shared" si="656"/>
        <v/>
      </c>
      <c r="MY161" s="43" t="str">
        <f t="shared" ca="1" si="688"/>
        <v/>
      </c>
      <c r="MZ161" s="43" t="str">
        <f t="shared" si="657"/>
        <v/>
      </c>
      <c r="NA161" s="43" t="str">
        <f t="shared" si="658"/>
        <v/>
      </c>
      <c r="NB161" s="43" t="str">
        <f t="shared" si="659"/>
        <v/>
      </c>
      <c r="NC161" s="43" t="str">
        <f t="shared" si="660"/>
        <v/>
      </c>
      <c r="ND161" s="43">
        <f t="shared" ca="1" si="661"/>
        <v>2</v>
      </c>
      <c r="NE161" s="43">
        <f>IF(OR(O161&gt;0,R161&gt;0),SUM(COUNTIF(Tabla1[[#This Row],[AÑOS AL INICIO5 CPN]],"&gt;=40"),COUNTIF(AS161,"0"),COUNTIF(AR161,"SI"),COUNTIF(CC161,"SI"),COUNTIF(BQ161,"&gt;119"),COUNTIF(CI161,"&gt;=35")),"")</f>
        <v>1</v>
      </c>
      <c r="NF161" s="43" t="str">
        <f t="shared" si="662"/>
        <v/>
      </c>
      <c r="NG161" s="43">
        <f t="shared" si="663"/>
        <v>0</v>
      </c>
      <c r="NH161" s="43" t="str">
        <f t="shared" si="664"/>
        <v/>
      </c>
      <c r="NI16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CPN",P161="NO"),"Z",IF(AND(Tabla1[[#This Row],[CITA PROXIMO CONTROL]]="CITA MANUAL",Tabla1[[#This Row],[GESTANTES ACTUALES]]="ACTIVA INGRESO A CPN"),"W",IF(AND(Tabla1[[#This Row],[GESTANTES ACTUALES]]="SALIO PROGRAMA",IN161=""),"S",IF(AND(Tabla1[[#This Row],[CITA PROXIMO CONTROL]]&gt;0,IN161=""),(Tabla1[[#This Row],[CITA PROXIMO CONTROL]]-TODAY()),"SD"))))))))</f>
        <v>#REF!</v>
      </c>
      <c r="NJ161" s="43">
        <f>MONTH(Tabla1[[#This Row],[FECHA DE SALIDA  DEL PROGRAMA]])</f>
        <v>1</v>
      </c>
      <c r="NK161" s="43">
        <f>YEAR(Tabla1[[#This Row],[FECHA DE SALIDA  DEL PROGRAMA]])</f>
        <v>1900</v>
      </c>
      <c r="NL161" s="43" t="str">
        <f t="shared" si="665"/>
        <v>X</v>
      </c>
      <c r="NM161" s="43" t="str">
        <f t="shared" si="695"/>
        <v>NO</v>
      </c>
      <c r="NN161" s="43" t="str">
        <f ca="1">IF(AND(O161&gt;0,R161=""),"NO CPN",IF(AND(O161="",R161=""),"",IF(AND(R161&gt;0,Tabla1[[#This Row],[SEMANAS DE GESTACION ACTUALIZADAS]]&lt;=12),"NO APLICA",IF(AND(FH161&lt;&gt;"",FN161&lt;&gt;""),"SI","NO"))))</f>
        <v>NO</v>
      </c>
      <c r="NO161" s="43" t="str">
        <f ca="1">IF(AND(O161&gt;0,R161=""),"NO CPN",IF(AND(O161="",R161=""),"",IF(AND(R161&gt;0,Tabla1[[#This Row],[SEMANAS DE GESTACION ACTUALIZADAS]]&lt;=27),"NO APLICA",IF(AND(ES161&lt;&gt;"",FQ161&lt;&gt;"",GF161&lt;&gt;""),"SI","NO"))))</f>
        <v>NO</v>
      </c>
      <c r="NP161" s="204" t="str">
        <f t="shared" si="666"/>
        <v>I TRIM</v>
      </c>
      <c r="NQ161" s="21" t="str">
        <f t="shared" si="691"/>
        <v/>
      </c>
      <c r="NR161" s="21">
        <f t="shared" ca="1" si="689"/>
        <v>3</v>
      </c>
      <c r="NS161" s="205">
        <f t="shared" ca="1" si="667"/>
        <v>1</v>
      </c>
      <c r="NT161" s="21">
        <f t="shared" ca="1" si="668"/>
        <v>1</v>
      </c>
      <c r="NU161" s="21" t="str">
        <f t="shared" ca="1" si="669"/>
        <v>INCOMPLETO</v>
      </c>
      <c r="NV161" s="21" t="str">
        <f t="shared" ca="1" si="670"/>
        <v>INCOMPLETO</v>
      </c>
      <c r="NW161" s="206" t="str">
        <f>IF(AND(O161="",R161=""),"",IF(OR(AND(Tabla1[[#This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61" s="207" t="str">
        <f t="shared" ca="1" si="671"/>
        <v>SIN VACUNAR</v>
      </c>
      <c r="NY161" s="43">
        <f>ROW(Tabla1[[#This Row],['# DE TAMIZAJES SIFILIS TOMADOS ]])</f>
        <v>161</v>
      </c>
      <c r="NZ161" s="43" t="str">
        <f t="shared" si="502"/>
        <v>Menor</v>
      </c>
      <c r="OA161" s="43" t="str">
        <f t="shared" si="503"/>
        <v>NORMAL</v>
      </c>
      <c r="OB161" s="43" t="str">
        <f t="shared" si="504"/>
        <v/>
      </c>
      <c r="OC161" s="43" t="str">
        <f t="shared" si="505"/>
        <v/>
      </c>
      <c r="OD161" s="43" t="str">
        <f t="shared" si="506"/>
        <v/>
      </c>
      <c r="OE161" s="43" t="str">
        <f t="shared" si="507"/>
        <v/>
      </c>
      <c r="OF161" s="43" t="str">
        <f t="shared" si="508"/>
        <v/>
      </c>
      <c r="OG161" s="43" t="str">
        <f t="shared" si="509"/>
        <v/>
      </c>
      <c r="OH161" s="43" t="str">
        <f t="shared" si="510"/>
        <v/>
      </c>
      <c r="OI161" s="43" t="str">
        <f t="shared" si="511"/>
        <v/>
      </c>
      <c r="OJ161" s="43" t="str">
        <f t="shared" si="512"/>
        <v/>
      </c>
      <c r="OK161" s="43" t="str">
        <f t="shared" si="513"/>
        <v/>
      </c>
      <c r="OL161" s="43" t="str">
        <f t="shared" si="514"/>
        <v/>
      </c>
      <c r="OM161" s="43" t="str">
        <f t="shared" si="515"/>
        <v/>
      </c>
      <c r="ON161" s="43" t="str">
        <f t="shared" si="516"/>
        <v/>
      </c>
      <c r="OO161" s="43" t="str">
        <f t="shared" si="517"/>
        <v/>
      </c>
      <c r="OP161" s="43" t="str">
        <f t="shared" si="518"/>
        <v/>
      </c>
      <c r="OQ161" s="43" t="str">
        <f t="shared" si="519"/>
        <v/>
      </c>
      <c r="OR161" s="43" t="str">
        <f t="shared" si="520"/>
        <v/>
      </c>
      <c r="OS161" s="43" t="str">
        <f t="shared" si="521"/>
        <v/>
      </c>
      <c r="OT161" s="43" t="str">
        <f t="shared" si="522"/>
        <v/>
      </c>
      <c r="OU161" s="43" t="str">
        <f t="shared" si="523"/>
        <v/>
      </c>
      <c r="OV161" s="110" t="str">
        <f t="shared" si="524"/>
        <v/>
      </c>
      <c r="OW161" s="43" t="str">
        <f t="shared" si="525"/>
        <v/>
      </c>
      <c r="OX161" s="43" t="str">
        <f t="shared" si="526"/>
        <v/>
      </c>
      <c r="OY161" s="43" t="str">
        <f t="shared" si="527"/>
        <v/>
      </c>
      <c r="OZ161" s="43" t="str">
        <f t="shared" si="528"/>
        <v/>
      </c>
      <c r="PA161" s="43" t="str">
        <f t="shared" si="529"/>
        <v/>
      </c>
      <c r="PB161" s="43" t="str">
        <f t="shared" si="530"/>
        <v/>
      </c>
      <c r="PC161" s="43" t="str">
        <f t="shared" si="531"/>
        <v/>
      </c>
      <c r="PD161" s="43" t="str">
        <f t="shared" si="532"/>
        <v/>
      </c>
      <c r="PE161" s="43" t="str">
        <f t="shared" si="533"/>
        <v/>
      </c>
      <c r="PF161" s="43" t="str">
        <f t="shared" si="534"/>
        <v/>
      </c>
      <c r="PG161" s="43" t="str">
        <f t="shared" si="535"/>
        <v/>
      </c>
      <c r="PH161" s="43" t="str">
        <f t="shared" si="536"/>
        <v/>
      </c>
      <c r="PI161" s="43">
        <f t="shared" si="537"/>
        <v>12</v>
      </c>
      <c r="PJ161" s="43" t="str">
        <f t="shared" si="538"/>
        <v/>
      </c>
      <c r="PK161" s="43" t="str">
        <f t="shared" si="539"/>
        <v/>
      </c>
      <c r="PL161" s="43" t="str">
        <f t="shared" si="540"/>
        <v/>
      </c>
      <c r="PM161" s="43" t="str">
        <f t="shared" si="541"/>
        <v>NORMAL</v>
      </c>
      <c r="PN161" s="43" t="str">
        <f t="shared" si="542"/>
        <v/>
      </c>
      <c r="PO161" s="43" t="str">
        <f t="shared" si="543"/>
        <v/>
      </c>
      <c r="PP161" s="43" t="str">
        <f t="shared" si="544"/>
        <v/>
      </c>
      <c r="PQ161" s="43" t="str">
        <f t="shared" si="545"/>
        <v/>
      </c>
      <c r="PR161" s="43" t="str">
        <f t="shared" si="546"/>
        <v/>
      </c>
      <c r="PS161" s="43" t="str">
        <f t="shared" si="547"/>
        <v/>
      </c>
      <c r="PT161" s="43" t="str">
        <f t="shared" si="548"/>
        <v/>
      </c>
      <c r="PU161" s="43" t="str">
        <f t="shared" si="549"/>
        <v/>
      </c>
      <c r="PV161" s="43" t="str">
        <f t="shared" si="550"/>
        <v/>
      </c>
      <c r="PW161" s="43" t="str">
        <f t="shared" si="551"/>
        <v/>
      </c>
      <c r="PX161" s="43" t="str">
        <f t="shared" si="552"/>
        <v/>
      </c>
      <c r="PY161" s="43" t="str">
        <f t="shared" si="553"/>
        <v/>
      </c>
      <c r="PZ161" s="43" t="str">
        <f t="shared" si="554"/>
        <v/>
      </c>
      <c r="QA161" s="43" t="str">
        <f t="shared" si="555"/>
        <v/>
      </c>
      <c r="QB161" s="43" t="str">
        <f t="shared" si="556"/>
        <v/>
      </c>
      <c r="QC161" s="43" t="str">
        <f t="shared" si="557"/>
        <v/>
      </c>
      <c r="QD161" s="43" t="str">
        <f t="shared" si="558"/>
        <v/>
      </c>
      <c r="QE161" s="43" t="str">
        <f t="shared" si="559"/>
        <v/>
      </c>
      <c r="QF161" s="43" t="str">
        <f t="shared" si="560"/>
        <v/>
      </c>
      <c r="QG161" s="43" t="str">
        <f t="shared" si="561"/>
        <v/>
      </c>
      <c r="QH161" s="43" t="str">
        <f t="shared" si="562"/>
        <v/>
      </c>
      <c r="QI161" s="43" t="str">
        <f t="shared" si="563"/>
        <v/>
      </c>
      <c r="QJ161" s="43" t="str">
        <f t="shared" si="564"/>
        <v/>
      </c>
      <c r="QK161" s="43" t="str">
        <f t="shared" si="565"/>
        <v/>
      </c>
      <c r="QL161" s="43" t="str">
        <f t="shared" si="566"/>
        <v/>
      </c>
      <c r="QM161" s="43" t="str">
        <f t="shared" si="567"/>
        <v/>
      </c>
      <c r="QN161" s="43" t="str">
        <f t="shared" si="568"/>
        <v/>
      </c>
      <c r="QO161" s="43" t="str">
        <f t="shared" si="569"/>
        <v/>
      </c>
      <c r="QP161" s="43" t="str">
        <f t="shared" si="570"/>
        <v/>
      </c>
      <c r="QQ161" s="43" t="str">
        <f t="shared" si="571"/>
        <v/>
      </c>
      <c r="QR161" s="43" t="str">
        <f t="shared" si="672"/>
        <v>Menor</v>
      </c>
      <c r="QS161" s="43"/>
      <c r="QT161" s="21" t="str">
        <f t="shared" si="572"/>
        <v/>
      </c>
      <c r="QU161" s="21" t="str">
        <f t="shared" si="573"/>
        <v/>
      </c>
      <c r="QV161" s="21" t="str">
        <f t="shared" si="574"/>
        <v/>
      </c>
      <c r="QW161" s="21" t="str">
        <f t="shared" si="575"/>
        <v/>
      </c>
      <c r="QX161" s="21" t="str">
        <f t="shared" si="576"/>
        <v/>
      </c>
      <c r="QY161" s="21" t="str">
        <f t="shared" si="577"/>
        <v/>
      </c>
      <c r="QZ161" s="21" t="str">
        <f t="shared" si="578"/>
        <v/>
      </c>
      <c r="RA161" s="21" t="str">
        <f t="shared" si="579"/>
        <v/>
      </c>
      <c r="RB161" s="21" t="str">
        <f t="shared" si="580"/>
        <v/>
      </c>
      <c r="RC161" s="21" t="str">
        <f t="shared" si="581"/>
        <v/>
      </c>
      <c r="RD161" s="21" t="str">
        <f t="shared" si="582"/>
        <v/>
      </c>
      <c r="RE161" s="21" t="str">
        <f t="shared" si="583"/>
        <v/>
      </c>
      <c r="RF161" s="21" t="str">
        <f t="shared" si="584"/>
        <v/>
      </c>
      <c r="RG161" s="21" t="str">
        <f t="shared" si="585"/>
        <v/>
      </c>
      <c r="RH161" s="21" t="str">
        <f t="shared" si="586"/>
        <v/>
      </c>
      <c r="RI161" s="21" t="str">
        <f t="shared" si="587"/>
        <v/>
      </c>
      <c r="RJ161" s="21" t="str">
        <f t="shared" si="588"/>
        <v/>
      </c>
      <c r="RK161" s="21" t="str">
        <f t="shared" si="589"/>
        <v/>
      </c>
      <c r="RL161" s="21" t="str">
        <f t="shared" si="590"/>
        <v/>
      </c>
      <c r="RM161" s="21" t="str">
        <f t="shared" si="591"/>
        <v/>
      </c>
      <c r="RN161" s="21" t="str">
        <f t="shared" si="592"/>
        <v/>
      </c>
      <c r="RO161" s="21" t="str">
        <f t="shared" si="593"/>
        <v/>
      </c>
      <c r="RP161" s="21" t="str">
        <f t="shared" si="594"/>
        <v/>
      </c>
      <c r="RQ161" s="21" t="str">
        <f t="shared" si="595"/>
        <v/>
      </c>
      <c r="RR161" s="21" t="str">
        <f t="shared" si="596"/>
        <v/>
      </c>
      <c r="RS161" s="21" t="str">
        <f t="shared" si="597"/>
        <v/>
      </c>
      <c r="RT161" s="21" t="str">
        <f t="shared" si="598"/>
        <v/>
      </c>
      <c r="RU161" s="21" t="str">
        <f t="shared" si="599"/>
        <v/>
      </c>
      <c r="RV161" s="21">
        <f t="shared" si="600"/>
        <v>8.1428571428571423</v>
      </c>
      <c r="RW161" s="284">
        <f>IF(OR(Tabla1[[#This Row],[FUM FORMULA CONFIABLE]]="",Tabla1[[#This Row],[FUM FORMULA CONFIABLE]]="SD"),"",IF(Tabla1[[#This Row],[FUM FORMULA CONFIABLE]]="CORREGIDA",Tabla1[[#This Row],[FUM X ECO 1]],Tabla1[[#This Row],[FUM x AMENORREA]]))</f>
        <v>44981</v>
      </c>
      <c r="RX161" s="21" t="str">
        <f>IF(AND(Tabla1[[#This Row],[FUM X ECO 1]]="",Tabla1[[#This Row],[FUM x AMENORREA]]=""),"",IF(AND(Tabla1[[#This Row],[FUM X ECO 1]]="",Tabla1[[#This Row],[FUM x AMENORREA]]&lt;&gt;""),"X",SUM(Tabla1[[#This Row],[FUM X ECO 1]]-Tabla1[[#This Row],[FUM x AMENORREA]])))</f>
        <v>X</v>
      </c>
      <c r="RY161" s="21" t="str">
        <f t="shared" si="673"/>
        <v>x</v>
      </c>
    </row>
    <row r="162" spans="1:493" ht="45" customHeight="1" x14ac:dyDescent="0.25">
      <c r="A162" s="109"/>
      <c r="B162" s="43"/>
      <c r="C162" s="43" t="s">
        <v>845</v>
      </c>
      <c r="D162" s="124"/>
      <c r="E162" s="43" t="s">
        <v>944</v>
      </c>
      <c r="F162" s="43" t="s">
        <v>943</v>
      </c>
      <c r="G162" s="43" t="s">
        <v>1463</v>
      </c>
      <c r="H162" s="43" t="s">
        <v>1464</v>
      </c>
      <c r="I162" s="109" t="s">
        <v>1094</v>
      </c>
      <c r="J162" s="110">
        <v>1060186081</v>
      </c>
      <c r="K162" s="43" t="s">
        <v>852</v>
      </c>
      <c r="L162" s="175" t="s">
        <v>886</v>
      </c>
      <c r="M162" s="22">
        <v>38905</v>
      </c>
      <c r="N162" s="213">
        <f t="shared" ca="1" si="601"/>
        <v>17.334246575342465</v>
      </c>
      <c r="O162" s="22">
        <v>45042</v>
      </c>
      <c r="P162" s="214" t="str">
        <f t="shared" si="675"/>
        <v>SI</v>
      </c>
      <c r="Q162" s="26" t="s">
        <v>855</v>
      </c>
      <c r="R162" s="22">
        <v>45042</v>
      </c>
      <c r="S162" s="21" t="s">
        <v>856</v>
      </c>
      <c r="T162" s="24" t="s">
        <v>690</v>
      </c>
      <c r="U162" s="21" t="s">
        <v>857</v>
      </c>
      <c r="V162" s="21" t="s">
        <v>858</v>
      </c>
      <c r="W162" s="21" t="s">
        <v>1044</v>
      </c>
      <c r="X162" s="21"/>
      <c r="Y162" s="21"/>
      <c r="Z162" s="21">
        <v>3128847615</v>
      </c>
      <c r="AA162" s="21" t="s">
        <v>860</v>
      </c>
      <c r="AB162" s="27" t="s">
        <v>861</v>
      </c>
      <c r="AC162" s="26" t="s">
        <v>888</v>
      </c>
      <c r="AD162" s="38" t="s">
        <v>1546</v>
      </c>
      <c r="AE162" s="26" t="s">
        <v>854</v>
      </c>
      <c r="AF162" s="26" t="s">
        <v>854</v>
      </c>
      <c r="AG162" s="23" t="s">
        <v>864</v>
      </c>
      <c r="AH162" s="23" t="s">
        <v>864</v>
      </c>
      <c r="AI162" s="24" t="s">
        <v>863</v>
      </c>
      <c r="AJ162" s="23" t="s">
        <v>864</v>
      </c>
      <c r="AK162" s="220" t="str">
        <f>IF(AND(AD162="",AE162="",AF162="",AG162="",AH162="",AI162="",AJ162=""),"",IF(OR(Tabla1[[#This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EVALUACIÓN",IF(AND(O162="",R162=""),"",IF(AND(OR(O162&gt;0,R162&gt;0),NG162&gt;=0,NG162&lt;2),"SIN RIESGO",IF(AND(OR(O162&gt;0,R162&gt;0),NG162&gt;=2),"CON RIESGO","ASD")))))</f>
        <v>SIN RIESGO</v>
      </c>
      <c r="AL162" s="23" t="s">
        <v>864</v>
      </c>
      <c r="AM162" s="26" t="s">
        <v>864</v>
      </c>
      <c r="AN162" s="26" t="s">
        <v>864</v>
      </c>
      <c r="AO162" s="26" t="s">
        <v>864</v>
      </c>
      <c r="AP162" s="26" t="s">
        <v>864</v>
      </c>
      <c r="AQ162" s="26" t="s">
        <v>864</v>
      </c>
      <c r="AR162" s="26" t="s">
        <v>864</v>
      </c>
      <c r="AS162" s="21">
        <v>0</v>
      </c>
      <c r="AT162" s="21">
        <v>0</v>
      </c>
      <c r="AU162" s="21">
        <v>0</v>
      </c>
      <c r="AV162" s="26" t="s">
        <v>864</v>
      </c>
      <c r="AW162" s="21">
        <v>0</v>
      </c>
      <c r="AX162" s="26" t="s">
        <v>864</v>
      </c>
      <c r="AY162" s="26" t="s">
        <v>864</v>
      </c>
      <c r="AZ162" s="26" t="s">
        <v>864</v>
      </c>
      <c r="BA162" s="26" t="s">
        <v>864</v>
      </c>
      <c r="BB162" s="26" t="s">
        <v>864</v>
      </c>
      <c r="BC162" s="26" t="s">
        <v>864</v>
      </c>
      <c r="BD162" s="26" t="s">
        <v>864</v>
      </c>
      <c r="BE162" s="26" t="s">
        <v>864</v>
      </c>
      <c r="BF162" s="26" t="s">
        <v>864</v>
      </c>
      <c r="BG162" s="26" t="s">
        <v>864</v>
      </c>
      <c r="BH162" s="26" t="s">
        <v>864</v>
      </c>
      <c r="BI162" s="26" t="s">
        <v>864</v>
      </c>
      <c r="BJ162" s="26" t="s">
        <v>864</v>
      </c>
      <c r="BK162" s="26" t="s">
        <v>865</v>
      </c>
      <c r="BL162" s="26" t="s">
        <v>864</v>
      </c>
      <c r="BM162" s="26" t="s">
        <v>864</v>
      </c>
      <c r="BN162" s="22"/>
      <c r="BO162" s="22">
        <v>44968</v>
      </c>
      <c r="BP162" s="21" t="s">
        <v>864</v>
      </c>
      <c r="BQ162" s="222">
        <f t="shared" si="602"/>
        <v>0</v>
      </c>
      <c r="BR162" s="223">
        <f t="shared" si="603"/>
        <v>44948.800000000003</v>
      </c>
      <c r="BS162" s="224">
        <f t="shared" si="604"/>
        <v>10.571428571428571</v>
      </c>
      <c r="BT162" s="216" t="str">
        <f t="shared" si="605"/>
        <v>DEFINIR CON ECO</v>
      </c>
      <c r="BU162" s="214">
        <f t="shared" ca="1" si="606"/>
        <v>37.714285714285715</v>
      </c>
      <c r="BV162" s="25" t="s">
        <v>989</v>
      </c>
      <c r="BW162" s="22">
        <v>45093</v>
      </c>
      <c r="BX162" s="28">
        <v>20.6</v>
      </c>
      <c r="BY162" s="28"/>
      <c r="BZ162" s="22"/>
      <c r="CA162" s="21"/>
      <c r="CB162" s="26" t="s">
        <v>864</v>
      </c>
      <c r="CC162" s="26" t="s">
        <v>864</v>
      </c>
      <c r="CD162" s="26" t="s">
        <v>864</v>
      </c>
      <c r="CE162" s="26"/>
      <c r="CF162" s="22" t="s">
        <v>1517</v>
      </c>
      <c r="CG162" s="21">
        <v>1.5</v>
      </c>
      <c r="CH162" s="21">
        <v>57.4</v>
      </c>
      <c r="CI162" s="214">
        <f t="shared" si="607"/>
        <v>25.511111111111109</v>
      </c>
      <c r="CJ162" s="225" t="e">
        <f>IF(AND(CI162&lt;10,CH162="SD"),"SIN DATO PESO PREGESTACION O I TRIM",IF(AND(OR(R162&gt;0,O162&gt;0),CI162="X"),"INGRESAR DATO DE PESO",IF(CI162="SD","INGRESAR DATO DE TALLA Y PESO",IF(AND(OR(Tabla1[[#This Row],[MOMENTO EN QUE SE REALIZA EL PESO AL INGRESO A CPN]]="PREGESTACIÓN",NZ162="Menor"),CI162&lt;18.5),"BAJO PESO",IF(AND(OR(Tabla1[[#This Row],[MOMENTO EN QUE SE REALIZA EL PESO AL INGRESO A CPN]]="PREGESTACIÓN",NZ162="Menor"),CI162&lt;25),"NORMAL",IF(AND(OR(Tabla1[[#This Row],[MOMENTO EN QUE SE REALIZA EL PESO AL INGRESO A CPN]]="PREGESTACIÓN",NZ162="Menor"),CI162&lt;30),"SOBREPESO",IF(AND(OR(Tabla1[[#This Row],[MOMENTO EN QUE SE REALIZA EL PESO AL INGRESO A CPN]]="PREGESTACIÓN",NZ162="Menor"),CI162&gt;=30,CI162&lt;50),"OBESIDAD",IF(AND(BS162&gt;0,Tabla1[[#This Row],[MOMENTO EN QUE SE REALIZA EL PESO AL INGRESO A CPN]]="GESTACIÓN"),HLOOKUP(NZ162,$OA$2:PH162,NY162),""))))))))</f>
        <v>#REF!</v>
      </c>
      <c r="CK162" s="212">
        <f t="shared" si="608"/>
        <v>45139</v>
      </c>
      <c r="CL162" s="21">
        <v>62</v>
      </c>
      <c r="CM162" s="214">
        <f t="shared" si="609"/>
        <v>27.555555555555557</v>
      </c>
      <c r="CN162" s="216">
        <f t="shared" si="610"/>
        <v>24</v>
      </c>
      <c r="CO162" s="216" t="e">
        <f>IF(PI162="","",IF(PI162&gt;0,HLOOKUP(PI162,$PJ$2:QQ162,NY162),""))</f>
        <v>#REF!</v>
      </c>
      <c r="CP162" s="21">
        <v>26</v>
      </c>
      <c r="CQ162" s="216" t="e">
        <f>IF(QR162="Menor","NO APLICA-MENOR 13 SEM",IF(AND(CC162="SI",CN162&gt;23),"NO APLICA- GEMELAR",IF(QR162="","",IF(QR162&gt;0,HLOOKUP(QR162,$QS$2:RU162,NY162),""))))</f>
        <v>#REF!</v>
      </c>
      <c r="CR162" s="21">
        <v>100</v>
      </c>
      <c r="CS162" s="21">
        <v>60</v>
      </c>
      <c r="CT162" s="217" t="str">
        <f>IF(R162="","",IF(AND(BS162&gt;1,BS162&lt;12,Tabla1[[#This Row],[T.A. SISTOLICA - ANTES DE SEMANA 12]]="",Tabla1[[#This Row],[T.A. DIASTOLICA - ANTES DE SEMANA 12]]=""),"REGISTRE DATO TA ANTES SEMANA 12",IF(AND(BS162&gt;11,BS162&lt;43,Tabla1[[#This Row],[T.A. SISTOLICA - ANTES DE SEMANA 12]]="",Tabla1[[#This Row],[T.A. DIASTOLICA - ANTES DE SEMANA 12]]=""),"NO APLICA REGISTRO TA-INGRESO TARDIO",IF(AND(OR(O162&gt;0,R162&gt;0),OR(CR162&gt;=140,CS162&gt;=90)),"DEFINIR ESTADIO HTA",IF(AND(OR(O162&gt;0,R162&gt;0),AND(CR162&gt;120,CR162&lt;=139)),"PRE HTA SEGUIMIENTO",IF(AND(OR(O162&gt;0,R162&gt;0),AND(CS162&gt;80,CS162&lt;=89)),"PRE HTA SEGUIMIENTO",IF(AND(OR(O162&gt;0,R162&gt;0),AND(CR162&gt;=80,CR162&lt;=120)),"APARENTEMENTE NORMAL",IF(AND(OR(O162&gt;0,R162&gt;0),AND(CS162&gt;=50,CS162&lt;=80)),"APARENTEMENTE NORMAL",IF(AND(OR(O162&gt;0,R162&gt;0),AND(CR162&gt;1,CR162&lt;=70),AND(CS162&gt;1,CS162&lt;=40)),"HIPOTENSIÓN","")))))))))</f>
        <v>APARENTEMENTE NORMAL</v>
      </c>
      <c r="CU162" s="21"/>
      <c r="CV162" s="21"/>
      <c r="CW162" s="217" t="str">
        <f>IF(R162="","",IF(AND(CN162&gt;19,CN162&lt;27,Tabla1[[#This Row],[T.A. SISTOLICA (Entre semana 20 y 26)]]="",Tabla1[[#This Row],[T.A. DIATOLICA (Entre semana 20 y 26)]]=""),"ACUDE A CONTROL SEM 20 A 26 REGISTRE TA AHORA",IF(AND(BS162&gt;1,BS162&lt;27,BU162&gt;19,Tabla1[[#This Row],[T.A. SISTOLICA (Entre semana 20 y 26)]]="",Tabla1[[#This Row],[T.A. DIATOLICA (Entre semana 20 y 26)]]=""),"COMPLETE REGISTRO TA CONTROL SEM 20 A26 ",IF(AND(BS162&gt;26,BS162&lt;43,Tabla1[[#This Row],[T.A. SISTOLICA (Entre semana 20 y 26)]]="",Tabla1[[#This Row],[T.A. DIATOLICA (Entre semana 20 y 26)]]=""),"NO APLICA REGISTRO TA-INGRESO TARDIO",IF(AND(OR(O162&gt;0,R162&gt;0),OR(CU162&gt;=140,CV162&gt;=90)),"ALTO RIESGO PREECLAMPSIA,DEFINIR ESTADIO HTA",IF(AND(OR(O162&gt;0,R162&gt;0),AND(CU162&gt;120,CU162&lt;=139)),"PRE HTA SEGUIMIENTO,RIESGO HIPERTENSION INDUCIDA POR EL EMBARAZO",IF(AND(OR(O162&gt;0,R162&gt;0),AND(CV162&gt;80,CV162&lt;=89)),"PRE HTA SEGUIMIENTO, RIESGO HIPERTENSION INDUCIDA POR EL EMBARAZO",IF(AND(OR(O162&lt;&gt;"",R162&lt;&gt;""),CS162&lt;&gt;"",CV162&lt;&gt;"",CS162&lt;=CV162),"VIGILAR CIFRAS PRESION ARTERIAL",IF(AND(OR(O162&gt;0,R162&gt;0),AND(CU162&gt;120,CU162&lt;=139)),"PRE HTA SEGUIMIENTO",IF(AND(OR(O162&gt;0,R162&gt;0),AND(CU162&gt;1,CU162&lt;=70),AND(CV162&gt;1,CV162&lt;=40)),"HIPOTENSIÓN",IF(AND(OR(O162&lt;&gt;"",R162&lt;&gt;""),CS162&lt;&gt;"",CV162&lt;&gt;"",CS162&gt;CV162),"APARENTEMENTE NORMAL",IF(AND(OR(O162&gt;0,R162&gt;0),AND(CU162&gt;=80,CU162&lt;=120)),"APARENTEMENTE NORMAL",IF(AND(OR(O162&gt;0,R162&gt;0),AND(CV162&gt;=50,CV162&lt;=80)),"APARENTEMENTE NORMAL","")))))))))))))</f>
        <v>ACUDE A CONTROL SEM 20 A 26 REGISTRE TA AHORA</v>
      </c>
      <c r="CX162" s="21"/>
      <c r="CY162" s="21"/>
      <c r="CZ162" s="216" t="str">
        <f t="shared" si="690"/>
        <v/>
      </c>
      <c r="DA162" s="21">
        <v>100</v>
      </c>
      <c r="DB162" s="21">
        <v>60</v>
      </c>
      <c r="DC162" s="217" t="str">
        <f t="shared" si="611"/>
        <v>APARENTEMENTE NORMAL</v>
      </c>
      <c r="DD162" s="22">
        <v>45042</v>
      </c>
      <c r="DE162" s="22">
        <v>45042</v>
      </c>
      <c r="DF162" s="22"/>
      <c r="DG162" s="22"/>
      <c r="DH162" s="22">
        <v>45139</v>
      </c>
      <c r="DI162" s="22"/>
      <c r="DJ162" s="22"/>
      <c r="DK162" s="22"/>
      <c r="DL162" s="22"/>
      <c r="DM162" s="22"/>
      <c r="DN162" s="22"/>
      <c r="DO162" s="22"/>
      <c r="DP162" s="22"/>
      <c r="DQ162" s="22"/>
      <c r="DR162" s="28">
        <v>1</v>
      </c>
      <c r="DS162" s="22"/>
      <c r="DT162" s="22"/>
      <c r="DU162" s="216" t="str">
        <f t="shared" ca="1" si="676"/>
        <v>CONCERTAR PLAN DE PARTO INMEDIATO</v>
      </c>
      <c r="DV162" s="226" t="str">
        <f t="shared" si="677"/>
        <v>ACTIVA INGRESO A CPN</v>
      </c>
      <c r="DW162"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62" s="216" t="e">
        <f t="shared" ca="1" si="612"/>
        <v>#REF!</v>
      </c>
      <c r="DY162" s="212">
        <f>IF(R162="","",IF(R162&gt;0,MAX(Tabla1[[#This Row],[FECHA C2]:[FECHA C13]],Tabla1[[#This Row],[FECHA CONSULTA PRIMERA VEZ PROGRAMA CPN ]])))</f>
        <v>45139</v>
      </c>
      <c r="DZ162" s="216">
        <f t="shared" si="613"/>
        <v>24</v>
      </c>
      <c r="EA162" s="222">
        <f>IF(R162&gt;0,SUM(COUNTA(DF162:DQ162)+COUNTA(Tabla1[[#This Row],[FECHA CONSULTA PRIMERA VEZ PROGRAMA CPN ]])),"")</f>
        <v>2</v>
      </c>
      <c r="EB162" s="222" t="str">
        <f t="shared" si="614"/>
        <v>NO</v>
      </c>
      <c r="EC162" s="214">
        <f t="shared" si="615"/>
        <v>9</v>
      </c>
      <c r="ED162" s="227">
        <f t="shared" si="616"/>
        <v>0.22222222222222221</v>
      </c>
      <c r="EE162" s="22">
        <v>45042</v>
      </c>
      <c r="EF162" s="22">
        <v>45042</v>
      </c>
      <c r="EG162" s="22">
        <v>45042</v>
      </c>
      <c r="EH162" s="22">
        <v>45090</v>
      </c>
      <c r="EI162" s="22">
        <v>45042</v>
      </c>
      <c r="EJ162" s="22">
        <v>45112</v>
      </c>
      <c r="EK162" s="22"/>
      <c r="EL162" s="21"/>
      <c r="EM162" s="21">
        <v>13.7</v>
      </c>
      <c r="EN162" s="22">
        <v>45042</v>
      </c>
      <c r="EO162" s="222">
        <f t="shared" si="617"/>
        <v>10.571428571428571</v>
      </c>
      <c r="EP162" s="214" t="str">
        <f t="shared" si="618"/>
        <v>NORMAL- SUMINISTRAR SULFATO FERROSO</v>
      </c>
      <c r="EQ162" s="216" t="str">
        <f t="shared" si="619"/>
        <v>I TRIM</v>
      </c>
      <c r="ER162" s="24">
        <v>11.2</v>
      </c>
      <c r="ES162" s="22">
        <v>45162</v>
      </c>
      <c r="ET162" s="29">
        <f t="shared" ca="1" si="678"/>
        <v>27.714285714285715</v>
      </c>
      <c r="EU162" s="25" t="str">
        <f t="shared" si="620"/>
        <v>NORMAL- SUMINISTRAR SULFATO FERROSO</v>
      </c>
      <c r="EV162" s="24" t="s">
        <v>1510</v>
      </c>
      <c r="EW162" s="32">
        <v>45042</v>
      </c>
      <c r="EX162" s="22"/>
      <c r="EY162" s="29">
        <f t="shared" si="693"/>
        <v>10.571428571428571</v>
      </c>
      <c r="EZ162" s="25" t="str">
        <f t="shared" si="694"/>
        <v>SIN RIESGO DE ISOINMUNIZACIÓN</v>
      </c>
      <c r="FA162" s="21">
        <v>76</v>
      </c>
      <c r="FB162" s="22">
        <v>45042</v>
      </c>
      <c r="FC162" s="29">
        <f t="shared" si="621"/>
        <v>10.571428571428571</v>
      </c>
      <c r="FD162" s="29"/>
      <c r="FE162" s="29"/>
      <c r="FF162" s="29"/>
      <c r="FG162" s="21" t="str">
        <f t="shared" ca="1" si="622"/>
        <v>TOMAR PTOG</v>
      </c>
      <c r="FH162" s="31"/>
      <c r="FI162" s="29" t="str">
        <f t="shared" si="623"/>
        <v>TOMAR EXAMEN</v>
      </c>
      <c r="FJ162" s="22" t="s">
        <v>867</v>
      </c>
      <c r="FK162" s="22">
        <v>45042</v>
      </c>
      <c r="FL162" s="29">
        <f t="shared" ca="1" si="624"/>
        <v>10.571428571428571</v>
      </c>
      <c r="FM162" s="22"/>
      <c r="FN162" s="32"/>
      <c r="FO162" s="29" t="str">
        <f t="shared" ca="1" si="679"/>
        <v>PIERDE TOMA DE TAMIZAJE</v>
      </c>
      <c r="FP162" s="22"/>
      <c r="FQ162" s="32"/>
      <c r="FR162" s="29" t="str">
        <f t="shared" ca="1" si="680"/>
        <v>TOMA INMEDIATA DE TAMIZAJE</v>
      </c>
      <c r="FS162" s="22"/>
      <c r="FT162" s="32"/>
      <c r="FU162" s="29" t="str">
        <f>IF(AND(FJ162="",FM162="",FP162="",FS162=""),"",IF(OR(OR(Tabla1[[#This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62" s="28"/>
      <c r="FW162" s="22"/>
      <c r="FX162" s="29" t="str">
        <f t="shared" si="625"/>
        <v>TOMAR EXAMEN</v>
      </c>
      <c r="FY162" s="22">
        <v>45042</v>
      </c>
      <c r="FZ162" s="22">
        <v>46138</v>
      </c>
      <c r="GA162" s="29">
        <f t="shared" ca="1" si="692"/>
        <v>167.14285714285714</v>
      </c>
      <c r="GB162" s="22"/>
      <c r="GC162" s="22"/>
      <c r="GD162" s="29" t="str">
        <f t="shared" ca="1" si="681"/>
        <v>PIERDE TOMA DE TAMIZAJE</v>
      </c>
      <c r="GE162" s="22"/>
      <c r="GF162" s="22"/>
      <c r="GG162" s="29" t="str">
        <f t="shared" ca="1" si="682"/>
        <v>TOMA INMEDIATA DE TAMIZAJE</v>
      </c>
      <c r="GH162" s="22"/>
      <c r="GI162" s="29"/>
      <c r="GJ162" s="22"/>
      <c r="GK162" s="22"/>
      <c r="GL162" s="22"/>
      <c r="GM162" s="22"/>
      <c r="GN162" s="28" t="s">
        <v>869</v>
      </c>
      <c r="GO162" s="22">
        <v>45042</v>
      </c>
      <c r="GP162" s="29">
        <f t="shared" si="626"/>
        <v>10.571428571428571</v>
      </c>
      <c r="GQ162" s="28" t="s">
        <v>869</v>
      </c>
      <c r="GR162" s="28" t="s">
        <v>869</v>
      </c>
      <c r="GS162" s="22" t="str">
        <f t="shared" si="627"/>
        <v>CONTROL Igm</v>
      </c>
      <c r="GT162" s="22">
        <v>45042</v>
      </c>
      <c r="GU162" s="29">
        <f t="shared" si="628"/>
        <v>10.571428571428571</v>
      </c>
      <c r="GV162" s="21" t="str">
        <f t="shared" si="629"/>
        <v>I TRIM</v>
      </c>
      <c r="GW162" s="28" t="s">
        <v>869</v>
      </c>
      <c r="GX162" s="30"/>
      <c r="GY162" s="21"/>
      <c r="GZ162" s="21"/>
      <c r="HA162" s="21"/>
      <c r="HB162" s="21"/>
      <c r="HC162" s="21"/>
      <c r="HD162" s="21"/>
      <c r="HE162" s="21"/>
      <c r="HF162" s="22"/>
      <c r="HG162" s="22" t="str">
        <f>IF(OR(O162&gt;0,R162&gt;0),CONCATENATE(IF(Tabla1[[#This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62" s="22" t="e">
        <f t="shared" si="630"/>
        <v>#REF!</v>
      </c>
      <c r="HI162" s="22" t="e">
        <f t="shared" ca="1" si="631"/>
        <v>#REF!</v>
      </c>
      <c r="HJ162" s="21" t="str">
        <f t="shared" ca="1" si="632"/>
        <v>**********************MULTIPARIDAD*****************</v>
      </c>
      <c r="HK162" s="21" t="str">
        <f t="shared" si="633"/>
        <v>SIN ANTECEDENTES DE RIESGO</v>
      </c>
      <c r="HL162" s="24" t="str">
        <f t="shared" si="634"/>
        <v>APARENTEMENTE NORMAL</v>
      </c>
      <c r="HM162" s="21" t="e">
        <f t="shared" ca="1" si="635"/>
        <v>#REF!</v>
      </c>
      <c r="HN162" s="30" t="str">
        <f t="shared" si="683"/>
        <v>ACTIVA INGRESO A CPN</v>
      </c>
      <c r="HO162" s="21"/>
      <c r="HP162" s="21"/>
      <c r="HQ162" s="349"/>
      <c r="HR162" s="21" t="str">
        <f>IF(R162="","",IF(Tabla1[[#This Row],[ALARMA FACTORES DE RIESGO COMPLICACIONES HIPERTENSIVAS3]]="SIN ANTECEDENTES DE RIESGO","No Aplica para suministro de ASA",IF(AND(Tabla1[[#This Row],[FECHA INICIO DE SUMINISTRO DE ASA]]&gt;0,RV162&lt;12),"Inicia ASA ANTES de Sem 12",IF(AND(RV162&gt;11,RV162&lt;17,OR(HK162="RIESGO ALTO DE COMPLICACIONES HIPERTENSIVAS VER MANEJO GUIA SUMINISTRO ASA Y CALCIO",HK162="RIESGO MODERADO (2 O MAS CRITERIOS) VER MANEJO GUIA SUMINISTRO ASA Y CALCIO")),"Inicio oportuno de ASA",IF(AND(RV162&gt;12,OR(HK162="RIESGO ALTO DE COMPLICACIONES HIPERTENSIVAS VER MANEJO GUIA SUMINISTRO ASA Y CALCIO",HK162="RIESGO MODERADO (2 O MAS CRITERIOS) VER MANEJO GUIA SUMINISTRO ASA Y CALCIO")),"Inicio no oportuno mayor a 16 semanas",IF(AND(BU162&lt;12,OR(HK162="RIESGO ALTO DE COMPLICACIONES HIPERTENSIVAS VER MANEJO GUIA SUMINISTRO ASA Y CALCIO",HK162="RIESGO MODERADO (2 O MAS CRITERIOS) VER MANEJO GUIA SUMINISTRO ASA Y CALCIO")),"Pendiente Inicio de ASA a la semana 12",IF(AND(BU162&gt;11,BU162&lt;17,OR(HK162="RIESGO ALTO DE COMPLICACIONES HIPERTENSIVAS VER MANEJO GUIA SUMINISTRO ASA Y CALCIO",HK162="RIESGO MODERADO (2 O MAS CRITERIOS) VER MANEJO GUIA SUMINISTRO ASA Y CALCIO")),"Iniciar de inmediato ASA",IF(AND(BU162&gt;16,OR(HK162="RIESGO ALTO DE COMPLICACIONES HIPERTENSIVAS VER MANEJO GUIA SUMINISTRO ASA Y CALCIO",HK162="RIESGO MODERADO (2 O MAS CRITERIOS) VER MANEJO GUIA SUMINISTRO ASA Y CALCIO")),"Pierde Oportunidad, Inicio tardío de ASA","XXXXX"))))))))</f>
        <v>No Aplica para suministro de ASA</v>
      </c>
      <c r="HS162" s="22"/>
      <c r="HT162" s="22"/>
      <c r="HU162" s="22">
        <v>45042</v>
      </c>
      <c r="HV162" s="22" t="s">
        <v>870</v>
      </c>
      <c r="HW162" s="22">
        <v>45042</v>
      </c>
      <c r="HX162" s="22" t="s">
        <v>870</v>
      </c>
      <c r="HY162" s="22">
        <v>45042</v>
      </c>
      <c r="HZ162" s="28">
        <f t="shared" si="636"/>
        <v>10.571428571428571</v>
      </c>
      <c r="IA162" s="26"/>
      <c r="IB162" s="26"/>
      <c r="IC162" s="111"/>
      <c r="ID162" s="22"/>
      <c r="IE162" s="22" t="str">
        <f t="shared" ca="1" si="637"/>
        <v>INASISTENTE</v>
      </c>
      <c r="IF162" s="22"/>
      <c r="IG162" s="22">
        <f t="shared" si="638"/>
        <v>45248</v>
      </c>
      <c r="IH162" s="29">
        <f t="shared" ca="1" si="639"/>
        <v>16</v>
      </c>
      <c r="II162" s="22" t="str">
        <f t="shared" ca="1" si="640"/>
        <v>MENOS DE 4 SEMANAS</v>
      </c>
      <c r="IJ162" s="22"/>
      <c r="IK162" s="21"/>
      <c r="IL162" s="21"/>
      <c r="IM162" s="34"/>
      <c r="IN162" s="22"/>
      <c r="IO162" s="21"/>
      <c r="IP162" s="29" t="str">
        <f t="shared" si="674"/>
        <v/>
      </c>
      <c r="IQ162" s="35"/>
      <c r="IR162" s="21"/>
      <c r="IS162" s="21"/>
      <c r="IT162" s="21"/>
      <c r="IU162" s="21"/>
      <c r="IV162" s="21"/>
      <c r="IW162" s="21"/>
      <c r="IX162" s="21"/>
      <c r="IY162" s="21"/>
      <c r="IZ162" s="21"/>
      <c r="JA162" s="21"/>
      <c r="JB162" s="30"/>
      <c r="JC162" s="21"/>
      <c r="JD162" s="36"/>
      <c r="JE162" s="21" t="str">
        <f t="shared" si="684"/>
        <v/>
      </c>
      <c r="JF162" s="30"/>
      <c r="JG162" s="21"/>
      <c r="JH162" s="21"/>
      <c r="JI162" s="21"/>
      <c r="JJ162" s="30"/>
      <c r="JK162" s="22"/>
      <c r="JL162" s="22"/>
      <c r="JM162" s="21"/>
      <c r="JN162" s="36"/>
      <c r="JO162" s="21" t="str">
        <f t="shared" si="685"/>
        <v/>
      </c>
      <c r="JP162" s="22"/>
      <c r="JQ162" s="21"/>
      <c r="JR162" s="21"/>
      <c r="JS162" s="21"/>
      <c r="JT162" s="30"/>
      <c r="JU162" s="22"/>
      <c r="JV162" s="22"/>
      <c r="JW162" s="33"/>
      <c r="JX162" s="28" t="str">
        <f t="shared" si="686"/>
        <v/>
      </c>
      <c r="JY162" s="33"/>
      <c r="JZ162" s="28" t="str">
        <f t="shared" si="687"/>
        <v/>
      </c>
      <c r="KA162" s="21"/>
      <c r="KB162" s="21"/>
      <c r="KC162" s="21"/>
      <c r="KD162" s="37"/>
      <c r="KE162" s="28"/>
      <c r="KF162" s="28"/>
      <c r="KG162" s="28"/>
      <c r="KH162" s="39"/>
      <c r="KI162" s="39"/>
      <c r="KJ162" s="66"/>
      <c r="KK162" s="39"/>
      <c r="KL162" s="39"/>
      <c r="KM162" s="66"/>
      <c r="KN162" s="39"/>
      <c r="KO162" s="39"/>
      <c r="KP162" s="39"/>
      <c r="KQ162" s="39"/>
      <c r="KR162" s="39"/>
      <c r="KS162" s="39"/>
      <c r="KT162" s="39"/>
      <c r="KU162" s="38"/>
      <c r="KV162" s="38"/>
      <c r="KW162" s="38"/>
      <c r="KX162" s="38"/>
      <c r="KY162" s="38"/>
      <c r="KZ162" s="38"/>
      <c r="LA162" s="38"/>
      <c r="LB162" s="38"/>
      <c r="LC162" s="38"/>
      <c r="LD162" s="38"/>
      <c r="LE162" s="38"/>
      <c r="LF162" s="38"/>
      <c r="LG162" s="38"/>
      <c r="LH162" s="38"/>
      <c r="LI162" s="38"/>
      <c r="LJ162" s="38"/>
      <c r="LK162" s="38"/>
      <c r="LL162" s="38"/>
      <c r="LM162" s="38"/>
      <c r="LN162" s="38"/>
      <c r="LO162" s="38"/>
      <c r="LP162" s="38"/>
      <c r="LQ162" s="38"/>
      <c r="LR162" s="38"/>
      <c r="LS162" s="38"/>
      <c r="LT162" s="38"/>
      <c r="LU162" s="38"/>
      <c r="LV162" s="38"/>
      <c r="LW162" s="38"/>
      <c r="LX162" s="38"/>
      <c r="LY162" s="38"/>
      <c r="LZ162" s="38"/>
      <c r="MA162" s="38"/>
      <c r="MB162" s="38"/>
      <c r="MC162" s="38"/>
      <c r="MD162" s="38"/>
      <c r="ME162" s="38"/>
      <c r="MF162" s="38"/>
      <c r="MG162" s="38"/>
      <c r="MH162" s="43">
        <f t="shared" si="641"/>
        <v>0</v>
      </c>
      <c r="MI162" s="43" t="str">
        <f t="shared" si="642"/>
        <v/>
      </c>
      <c r="MJ162" s="43" t="str">
        <f t="shared" si="643"/>
        <v/>
      </c>
      <c r="MK162" s="43">
        <f t="shared" si="644"/>
        <v>0</v>
      </c>
      <c r="ML16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62" s="43">
        <f t="shared" si="645"/>
        <v>10.571428571428571</v>
      </c>
      <c r="MN162" s="43">
        <f t="shared" si="646"/>
        <v>4</v>
      </c>
      <c r="MO162" s="43">
        <f t="shared" si="647"/>
        <v>2023</v>
      </c>
      <c r="MP162" s="43" t="str">
        <f t="shared" si="648"/>
        <v>II TRIMESTRE AÑO</v>
      </c>
      <c r="MQ162" s="43">
        <f t="shared" si="649"/>
        <v>16.559899255365746</v>
      </c>
      <c r="MR162" s="43">
        <f t="shared" si="650"/>
        <v>0</v>
      </c>
      <c r="MS162" s="43" t="str">
        <f t="shared" si="651"/>
        <v>DE 14 A 19AÑOS</v>
      </c>
      <c r="MT162" s="43">
        <f t="shared" si="652"/>
        <v>0</v>
      </c>
      <c r="MU162" s="43">
        <f t="shared" si="653"/>
        <v>1</v>
      </c>
      <c r="MV162" s="43">
        <f t="shared" si="654"/>
        <v>0</v>
      </c>
      <c r="MW162" s="43">
        <f t="shared" si="655"/>
        <v>0</v>
      </c>
      <c r="MX162" s="43" t="str">
        <f t="shared" si="656"/>
        <v/>
      </c>
      <c r="MY162" s="43" t="str">
        <f t="shared" ca="1" si="688"/>
        <v/>
      </c>
      <c r="MZ162" s="43" t="str">
        <f t="shared" si="657"/>
        <v/>
      </c>
      <c r="NA162" s="43" t="str">
        <f t="shared" si="658"/>
        <v/>
      </c>
      <c r="NB162" s="43" t="str">
        <f t="shared" si="659"/>
        <v/>
      </c>
      <c r="NC162" s="43" t="str">
        <f t="shared" si="660"/>
        <v/>
      </c>
      <c r="ND162" s="43">
        <f t="shared" ca="1" si="661"/>
        <v>1</v>
      </c>
      <c r="NE162" s="43">
        <f>IF(OR(O162&gt;0,R162&gt;0),SUM(COUNTIF(Tabla1[[#This Row],[AÑOS AL INICIO5 CPN]],"&gt;=40"),COUNTIF(AS162,"0"),COUNTIF(AR162,"SI"),COUNTIF(CC162,"SI"),COUNTIF(BQ162,"&gt;119"),COUNTIF(CI162,"&gt;=35")),"")</f>
        <v>1</v>
      </c>
      <c r="NF162" s="43" t="str">
        <f t="shared" si="662"/>
        <v/>
      </c>
      <c r="NG162" s="43">
        <f t="shared" si="663"/>
        <v>0</v>
      </c>
      <c r="NH162" s="43">
        <f t="shared" si="664"/>
        <v>144.20000000000002</v>
      </c>
      <c r="NI16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CPN",P162="NO"),"Z",IF(AND(Tabla1[[#This Row],[CITA PROXIMO CONTROL]]="CITA MANUAL",Tabla1[[#This Row],[GESTANTES ACTUALES]]="ACTIVA INGRESO A CPN"),"W",IF(AND(Tabla1[[#This Row],[GESTANTES ACTUALES]]="SALIO PROGRAMA",IN162=""),"S",IF(AND(Tabla1[[#This Row],[CITA PROXIMO CONTROL]]&gt;0,IN162=""),(Tabla1[[#This Row],[CITA PROXIMO CONTROL]]-TODAY()),"SD"))))))))</f>
        <v>#REF!</v>
      </c>
      <c r="NJ162" s="43">
        <f>MONTH(Tabla1[[#This Row],[FECHA DE SALIDA  DEL PROGRAMA]])</f>
        <v>1</v>
      </c>
      <c r="NK162" s="43">
        <f>YEAR(Tabla1[[#This Row],[FECHA DE SALIDA  DEL PROGRAMA]])</f>
        <v>1900</v>
      </c>
      <c r="NL162" s="43">
        <f t="shared" si="665"/>
        <v>70</v>
      </c>
      <c r="NM162" s="43" t="str">
        <f t="shared" si="695"/>
        <v>NO</v>
      </c>
      <c r="NN162" s="43" t="str">
        <f ca="1">IF(AND(O162&gt;0,R162=""),"NO CPN",IF(AND(O162="",R162=""),"",IF(AND(R162&gt;0,Tabla1[[#This Row],[SEMANAS DE GESTACION ACTUALIZADAS]]&lt;=12),"NO APLICA",IF(AND(FH162&lt;&gt;"",FN162&lt;&gt;""),"SI","NO"))))</f>
        <v>NO</v>
      </c>
      <c r="NO162" s="43" t="str">
        <f ca="1">IF(AND(O162&gt;0,R162=""),"NO CPN",IF(AND(O162="",R162=""),"",IF(AND(R162&gt;0,Tabla1[[#This Row],[SEMANAS DE GESTACION ACTUALIZADAS]]&lt;=27),"NO APLICA",IF(AND(ES162&lt;&gt;"",FQ162&lt;&gt;"",GF162&lt;&gt;""),"SI","NO"))))</f>
        <v>NO</v>
      </c>
      <c r="NP162" s="204" t="str">
        <f t="shared" si="666"/>
        <v>DEFINIR CON ECO</v>
      </c>
      <c r="NQ162" s="21" t="str">
        <f t="shared" si="691"/>
        <v/>
      </c>
      <c r="NR162" s="21">
        <f t="shared" ca="1" si="689"/>
        <v>3</v>
      </c>
      <c r="NS162" s="205">
        <f t="shared" ca="1" si="667"/>
        <v>1</v>
      </c>
      <c r="NT162" s="21">
        <f t="shared" ca="1" si="668"/>
        <v>1</v>
      </c>
      <c r="NU162" s="21" t="str">
        <f t="shared" ca="1" si="669"/>
        <v>INCOMPLETO</v>
      </c>
      <c r="NV162" s="21" t="str">
        <f t="shared" ca="1" si="670"/>
        <v>INCOMPLETO</v>
      </c>
      <c r="NW162" s="206" t="str">
        <f>IF(AND(O162="",R162=""),"",IF(OR(AND(Tabla1[[#This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62" s="207" t="str">
        <f t="shared" ca="1" si="671"/>
        <v>SIN VACUNAR</v>
      </c>
      <c r="NY162" s="43">
        <f>ROW(Tabla1[[#This Row],['# DE TAMIZAJES SIFILIS TOMADOS ]])</f>
        <v>162</v>
      </c>
      <c r="NZ162" s="43">
        <f t="shared" si="502"/>
        <v>10</v>
      </c>
      <c r="OA162" s="43" t="str">
        <f t="shared" si="503"/>
        <v/>
      </c>
      <c r="OB162" s="43" t="str">
        <f t="shared" si="504"/>
        <v>SOBREPESO</v>
      </c>
      <c r="OC162" s="43" t="str">
        <f t="shared" si="505"/>
        <v/>
      </c>
      <c r="OD162" s="43" t="str">
        <f t="shared" si="506"/>
        <v/>
      </c>
      <c r="OE162" s="43" t="str">
        <f t="shared" si="507"/>
        <v/>
      </c>
      <c r="OF162" s="43" t="str">
        <f t="shared" si="508"/>
        <v/>
      </c>
      <c r="OG162" s="43" t="str">
        <f t="shared" si="509"/>
        <v/>
      </c>
      <c r="OH162" s="43" t="str">
        <f t="shared" si="510"/>
        <v/>
      </c>
      <c r="OI162" s="43" t="str">
        <f t="shared" si="511"/>
        <v/>
      </c>
      <c r="OJ162" s="43" t="str">
        <f t="shared" si="512"/>
        <v/>
      </c>
      <c r="OK162" s="43" t="str">
        <f t="shared" si="513"/>
        <v/>
      </c>
      <c r="OL162" s="43" t="str">
        <f t="shared" si="514"/>
        <v/>
      </c>
      <c r="OM162" s="43" t="str">
        <f t="shared" si="515"/>
        <v/>
      </c>
      <c r="ON162" s="43" t="str">
        <f t="shared" si="516"/>
        <v/>
      </c>
      <c r="OO162" s="43" t="str">
        <f t="shared" si="517"/>
        <v/>
      </c>
      <c r="OP162" s="43" t="str">
        <f t="shared" si="518"/>
        <v/>
      </c>
      <c r="OQ162" s="43" t="str">
        <f t="shared" si="519"/>
        <v/>
      </c>
      <c r="OR162" s="43" t="str">
        <f t="shared" si="520"/>
        <v/>
      </c>
      <c r="OS162" s="43" t="str">
        <f t="shared" si="521"/>
        <v/>
      </c>
      <c r="OT162" s="43" t="str">
        <f t="shared" si="522"/>
        <v/>
      </c>
      <c r="OU162" s="43" t="str">
        <f t="shared" si="523"/>
        <v/>
      </c>
      <c r="OV162" s="110" t="str">
        <f t="shared" si="524"/>
        <v/>
      </c>
      <c r="OW162" s="43" t="str">
        <f t="shared" si="525"/>
        <v/>
      </c>
      <c r="OX162" s="43" t="str">
        <f t="shared" si="526"/>
        <v/>
      </c>
      <c r="OY162" s="43" t="str">
        <f t="shared" si="527"/>
        <v/>
      </c>
      <c r="OZ162" s="43" t="str">
        <f t="shared" si="528"/>
        <v/>
      </c>
      <c r="PA162" s="43" t="str">
        <f t="shared" si="529"/>
        <v/>
      </c>
      <c r="PB162" s="43" t="str">
        <f t="shared" si="530"/>
        <v/>
      </c>
      <c r="PC162" s="43" t="str">
        <f t="shared" si="531"/>
        <v/>
      </c>
      <c r="PD162" s="43" t="str">
        <f t="shared" si="532"/>
        <v/>
      </c>
      <c r="PE162" s="43" t="str">
        <f t="shared" si="533"/>
        <v/>
      </c>
      <c r="PF162" s="43" t="str">
        <f t="shared" si="534"/>
        <v/>
      </c>
      <c r="PG162" s="43" t="str">
        <f t="shared" si="535"/>
        <v/>
      </c>
      <c r="PH162" s="43" t="str">
        <f t="shared" si="536"/>
        <v/>
      </c>
      <c r="PI162" s="43">
        <f t="shared" si="537"/>
        <v>24</v>
      </c>
      <c r="PJ162" s="43" t="str">
        <f t="shared" si="538"/>
        <v/>
      </c>
      <c r="PK162" s="43" t="str">
        <f t="shared" si="539"/>
        <v/>
      </c>
      <c r="PL162" s="43" t="str">
        <f t="shared" si="540"/>
        <v/>
      </c>
      <c r="PM162" s="43" t="str">
        <f t="shared" si="541"/>
        <v/>
      </c>
      <c r="PN162" s="43" t="str">
        <f t="shared" si="542"/>
        <v/>
      </c>
      <c r="PO162" s="43" t="str">
        <f t="shared" si="543"/>
        <v/>
      </c>
      <c r="PP162" s="43" t="str">
        <f t="shared" si="544"/>
        <v/>
      </c>
      <c r="PQ162" s="43" t="str">
        <f t="shared" si="545"/>
        <v/>
      </c>
      <c r="PR162" s="43" t="str">
        <f t="shared" si="546"/>
        <v/>
      </c>
      <c r="PS162" s="43" t="str">
        <f t="shared" si="547"/>
        <v/>
      </c>
      <c r="PT162" s="43" t="str">
        <f t="shared" si="548"/>
        <v/>
      </c>
      <c r="PU162" s="43" t="str">
        <f t="shared" si="549"/>
        <v/>
      </c>
      <c r="PV162" s="43" t="str">
        <f t="shared" si="550"/>
        <v/>
      </c>
      <c r="PW162" s="43" t="str">
        <f t="shared" si="551"/>
        <v/>
      </c>
      <c r="PX162" s="43" t="str">
        <f t="shared" si="552"/>
        <v/>
      </c>
      <c r="PY162" s="43" t="str">
        <f t="shared" si="553"/>
        <v>SOBREPESO</v>
      </c>
      <c r="PZ162" s="43" t="str">
        <f t="shared" si="554"/>
        <v/>
      </c>
      <c r="QA162" s="43" t="str">
        <f t="shared" si="555"/>
        <v/>
      </c>
      <c r="QB162" s="43" t="str">
        <f t="shared" si="556"/>
        <v/>
      </c>
      <c r="QC162" s="43" t="str">
        <f t="shared" si="557"/>
        <v/>
      </c>
      <c r="QD162" s="43" t="str">
        <f t="shared" si="558"/>
        <v/>
      </c>
      <c r="QE162" s="43" t="str">
        <f t="shared" si="559"/>
        <v/>
      </c>
      <c r="QF162" s="43" t="str">
        <f t="shared" si="560"/>
        <v/>
      </c>
      <c r="QG162" s="43" t="str">
        <f t="shared" si="561"/>
        <v/>
      </c>
      <c r="QH162" s="43" t="str">
        <f t="shared" si="562"/>
        <v/>
      </c>
      <c r="QI162" s="43" t="str">
        <f t="shared" si="563"/>
        <v/>
      </c>
      <c r="QJ162" s="43" t="str">
        <f t="shared" si="564"/>
        <v/>
      </c>
      <c r="QK162" s="43" t="str">
        <f t="shared" si="565"/>
        <v/>
      </c>
      <c r="QL162" s="43" t="str">
        <f t="shared" si="566"/>
        <v/>
      </c>
      <c r="QM162" s="43" t="str">
        <f t="shared" si="567"/>
        <v/>
      </c>
      <c r="QN162" s="43" t="str">
        <f t="shared" si="568"/>
        <v/>
      </c>
      <c r="QO162" s="43" t="str">
        <f t="shared" si="569"/>
        <v/>
      </c>
      <c r="QP162" s="43" t="str">
        <f t="shared" si="570"/>
        <v/>
      </c>
      <c r="QQ162" s="43" t="str">
        <f t="shared" si="571"/>
        <v/>
      </c>
      <c r="QR162" s="43">
        <f t="shared" si="672"/>
        <v>24</v>
      </c>
      <c r="QS162" s="43"/>
      <c r="QT162" s="21" t="str">
        <f t="shared" si="572"/>
        <v/>
      </c>
      <c r="QU162" s="21" t="str">
        <f t="shared" si="573"/>
        <v/>
      </c>
      <c r="QV162" s="21" t="str">
        <f t="shared" si="574"/>
        <v/>
      </c>
      <c r="QW162" s="21" t="str">
        <f t="shared" si="575"/>
        <v/>
      </c>
      <c r="QX162" s="21" t="str">
        <f t="shared" si="576"/>
        <v/>
      </c>
      <c r="QY162" s="21" t="str">
        <f t="shared" si="577"/>
        <v/>
      </c>
      <c r="QZ162" s="21" t="str">
        <f t="shared" si="578"/>
        <v/>
      </c>
      <c r="RA162" s="21" t="str">
        <f t="shared" si="579"/>
        <v/>
      </c>
      <c r="RB162" s="21" t="str">
        <f t="shared" si="580"/>
        <v/>
      </c>
      <c r="RC162" s="21" t="str">
        <f t="shared" si="581"/>
        <v/>
      </c>
      <c r="RD162" s="21" t="str">
        <f t="shared" si="582"/>
        <v/>
      </c>
      <c r="RE162" s="21" t="str">
        <f t="shared" si="583"/>
        <v>ALTO PARA EDAD GESTACIONAL</v>
      </c>
      <c r="RF162" s="21" t="str">
        <f t="shared" si="584"/>
        <v/>
      </c>
      <c r="RG162" s="21" t="str">
        <f t="shared" si="585"/>
        <v/>
      </c>
      <c r="RH162" s="21" t="str">
        <f t="shared" si="586"/>
        <v/>
      </c>
      <c r="RI162" s="21" t="str">
        <f t="shared" si="587"/>
        <v/>
      </c>
      <c r="RJ162" s="21" t="str">
        <f t="shared" si="588"/>
        <v/>
      </c>
      <c r="RK162" s="21" t="str">
        <f t="shared" si="589"/>
        <v/>
      </c>
      <c r="RL162" s="21" t="str">
        <f t="shared" si="590"/>
        <v/>
      </c>
      <c r="RM162" s="21" t="str">
        <f t="shared" si="591"/>
        <v/>
      </c>
      <c r="RN162" s="21" t="str">
        <f t="shared" si="592"/>
        <v/>
      </c>
      <c r="RO162" s="21" t="str">
        <f t="shared" si="593"/>
        <v/>
      </c>
      <c r="RP162" s="21" t="str">
        <f t="shared" si="594"/>
        <v/>
      </c>
      <c r="RQ162" s="21" t="str">
        <f t="shared" si="595"/>
        <v/>
      </c>
      <c r="RR162" s="21" t="str">
        <f t="shared" si="596"/>
        <v/>
      </c>
      <c r="RS162" s="21" t="str">
        <f t="shared" si="597"/>
        <v/>
      </c>
      <c r="RT162" s="21" t="str">
        <f t="shared" si="598"/>
        <v/>
      </c>
      <c r="RU162" s="21" t="str">
        <f t="shared" si="599"/>
        <v/>
      </c>
      <c r="RV162" s="21">
        <f t="shared" si="600"/>
        <v>-1</v>
      </c>
      <c r="RW162" s="284">
        <f>IF(OR(Tabla1[[#This Row],[FUM FORMULA CONFIABLE]]="",Tabla1[[#This Row],[FUM FORMULA CONFIABLE]]="SD"),"",IF(Tabla1[[#This Row],[FUM FORMULA CONFIABLE]]="CORREGIDA",Tabla1[[#This Row],[FUM X ECO 1]],Tabla1[[#This Row],[FUM x AMENORREA]]))</f>
        <v>44968</v>
      </c>
      <c r="RX162" s="21">
        <f>IF(AND(Tabla1[[#This Row],[FUM X ECO 1]]="",Tabla1[[#This Row],[FUM x AMENORREA]]=""),"",IF(AND(Tabla1[[#This Row],[FUM X ECO 1]]="",Tabla1[[#This Row],[FUM x AMENORREA]]&lt;&gt;""),"X",SUM(Tabla1[[#This Row],[FUM X ECO 1]]-Tabla1[[#This Row],[FUM x AMENORREA]])))</f>
        <v>-19.19999999999709</v>
      </c>
      <c r="RY162" s="21">
        <f t="shared" si="673"/>
        <v>1</v>
      </c>
    </row>
    <row r="163" spans="1:493" ht="45" customHeight="1" x14ac:dyDescent="0.25">
      <c r="A163" s="109"/>
      <c r="B163" s="43"/>
      <c r="C163" s="43" t="s">
        <v>845</v>
      </c>
      <c r="D163" s="124"/>
      <c r="E163" s="43" t="s">
        <v>964</v>
      </c>
      <c r="F163" s="43" t="s">
        <v>1465</v>
      </c>
      <c r="G163" s="43" t="s">
        <v>1002</v>
      </c>
      <c r="H163" s="43" t="s">
        <v>1366</v>
      </c>
      <c r="I163" s="109" t="s">
        <v>1094</v>
      </c>
      <c r="J163" s="110">
        <v>1061530990</v>
      </c>
      <c r="K163" s="43" t="s">
        <v>904</v>
      </c>
      <c r="L163" s="175" t="s">
        <v>1509</v>
      </c>
      <c r="M163" s="22">
        <v>38911</v>
      </c>
      <c r="N163" s="213">
        <f t="shared" ca="1" si="601"/>
        <v>17.317808219178083</v>
      </c>
      <c r="O163" s="22">
        <v>45042</v>
      </c>
      <c r="P163" s="214" t="str">
        <f t="shared" si="675"/>
        <v>SI</v>
      </c>
      <c r="Q163" s="26" t="s">
        <v>855</v>
      </c>
      <c r="R163" s="22">
        <v>45042</v>
      </c>
      <c r="S163" s="21" t="s">
        <v>856</v>
      </c>
      <c r="T163" s="24" t="s">
        <v>690</v>
      </c>
      <c r="U163" s="21" t="s">
        <v>857</v>
      </c>
      <c r="V163" s="21" t="s">
        <v>858</v>
      </c>
      <c r="W163" s="21" t="s">
        <v>887</v>
      </c>
      <c r="X163" s="21"/>
      <c r="Y163" s="21" t="s">
        <v>887</v>
      </c>
      <c r="Z163" s="21">
        <v>3145664437</v>
      </c>
      <c r="AA163" s="21" t="s">
        <v>860</v>
      </c>
      <c r="AB163" s="27" t="s">
        <v>861</v>
      </c>
      <c r="AC163" s="26" t="s">
        <v>888</v>
      </c>
      <c r="AD163" s="38" t="s">
        <v>1546</v>
      </c>
      <c r="AE163" s="26" t="s">
        <v>854</v>
      </c>
      <c r="AF163" s="26" t="s">
        <v>854</v>
      </c>
      <c r="AG163" s="23" t="s">
        <v>864</v>
      </c>
      <c r="AH163" s="23" t="s">
        <v>864</v>
      </c>
      <c r="AI163" s="24" t="s">
        <v>863</v>
      </c>
      <c r="AJ163" s="23" t="s">
        <v>864</v>
      </c>
      <c r="AK163" s="220" t="str">
        <f>IF(AND(AD163="",AE163="",AF163="",AG163="",AH163="",AI163="",AJ163=""),"",IF(OR(Tabla1[[#This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EVALUACIÓN",IF(AND(O163="",R163=""),"",IF(AND(OR(O163&gt;0,R163&gt;0),NG163&gt;=0,NG163&lt;2),"SIN RIESGO",IF(AND(OR(O163&gt;0,R163&gt;0),NG163&gt;=2),"CON RIESGO","ASD")))))</f>
        <v>SIN RIESGO</v>
      </c>
      <c r="AL163" s="23" t="s">
        <v>864</v>
      </c>
      <c r="AM163" s="26" t="s">
        <v>864</v>
      </c>
      <c r="AN163" s="26" t="s">
        <v>864</v>
      </c>
      <c r="AO163" s="26" t="s">
        <v>864</v>
      </c>
      <c r="AP163" s="26" t="s">
        <v>864</v>
      </c>
      <c r="AQ163" s="26" t="s">
        <v>864</v>
      </c>
      <c r="AR163" s="26" t="s">
        <v>864</v>
      </c>
      <c r="AS163" s="21">
        <v>0</v>
      </c>
      <c r="AT163" s="21">
        <v>0</v>
      </c>
      <c r="AU163" s="21">
        <v>0</v>
      </c>
      <c r="AV163" s="26" t="s">
        <v>864</v>
      </c>
      <c r="AW163" s="21">
        <v>0</v>
      </c>
      <c r="AX163" s="26" t="s">
        <v>864</v>
      </c>
      <c r="AY163" s="26" t="s">
        <v>864</v>
      </c>
      <c r="AZ163" s="26" t="s">
        <v>864</v>
      </c>
      <c r="BA163" s="26" t="s">
        <v>864</v>
      </c>
      <c r="BB163" s="26" t="s">
        <v>864</v>
      </c>
      <c r="BC163" s="26" t="s">
        <v>864</v>
      </c>
      <c r="BD163" s="26" t="s">
        <v>864</v>
      </c>
      <c r="BE163" s="26" t="s">
        <v>864</v>
      </c>
      <c r="BF163" s="26" t="s">
        <v>864</v>
      </c>
      <c r="BG163" s="26" t="s">
        <v>864</v>
      </c>
      <c r="BH163" s="26" t="s">
        <v>864</v>
      </c>
      <c r="BI163" s="26" t="s">
        <v>864</v>
      </c>
      <c r="BJ163" s="26" t="s">
        <v>864</v>
      </c>
      <c r="BK163" s="26" t="s">
        <v>864</v>
      </c>
      <c r="BL163" s="26" t="s">
        <v>864</v>
      </c>
      <c r="BM163" s="26" t="s">
        <v>864</v>
      </c>
      <c r="BN163" s="22"/>
      <c r="BO163" s="22">
        <v>44962</v>
      </c>
      <c r="BP163" s="21" t="s">
        <v>864</v>
      </c>
      <c r="BQ163" s="222">
        <f t="shared" si="602"/>
        <v>0</v>
      </c>
      <c r="BR163" s="223" t="str">
        <f t="shared" si="603"/>
        <v/>
      </c>
      <c r="BS163" s="224">
        <f t="shared" si="604"/>
        <v>11.428571428571429</v>
      </c>
      <c r="BT163" s="216" t="str">
        <f t="shared" si="605"/>
        <v>DEFINIR CON ECO</v>
      </c>
      <c r="BU163" s="214">
        <f t="shared" ca="1" si="606"/>
        <v>38.571428571428569</v>
      </c>
      <c r="BV163" s="25"/>
      <c r="BW163" s="22"/>
      <c r="BX163" s="28"/>
      <c r="BY163" s="28"/>
      <c r="BZ163" s="22"/>
      <c r="CA163" s="21"/>
      <c r="CB163" s="26"/>
      <c r="CC163" s="26"/>
      <c r="CD163" s="26"/>
      <c r="CE163" s="26"/>
      <c r="CF163" s="22" t="s">
        <v>1517</v>
      </c>
      <c r="CG163" s="21">
        <v>1.56</v>
      </c>
      <c r="CH163" s="21">
        <v>55.2</v>
      </c>
      <c r="CI163" s="214">
        <f t="shared" si="607"/>
        <v>22.682445759368836</v>
      </c>
      <c r="CJ163" s="225" t="e">
        <f>IF(AND(CI163&lt;10,CH163="SD"),"SIN DATO PESO PREGESTACION O I TRIM",IF(AND(OR(R163&gt;0,O163&gt;0),CI163="X"),"INGRESAR DATO DE PESO",IF(CI163="SD","INGRESAR DATO DE TALLA Y PESO",IF(AND(OR(Tabla1[[#This Row],[MOMENTO EN QUE SE REALIZA EL PESO AL INGRESO A CPN]]="PREGESTACIÓN",NZ163="Menor"),CI163&lt;18.5),"BAJO PESO",IF(AND(OR(Tabla1[[#This Row],[MOMENTO EN QUE SE REALIZA EL PESO AL INGRESO A CPN]]="PREGESTACIÓN",NZ163="Menor"),CI163&lt;25),"NORMAL",IF(AND(OR(Tabla1[[#This Row],[MOMENTO EN QUE SE REALIZA EL PESO AL INGRESO A CPN]]="PREGESTACIÓN",NZ163="Menor"),CI163&lt;30),"SOBREPESO",IF(AND(OR(Tabla1[[#This Row],[MOMENTO EN QUE SE REALIZA EL PESO AL INGRESO A CPN]]="PREGESTACIÓN",NZ163="Menor"),CI163&gt;=30,CI163&lt;50),"OBESIDAD",IF(AND(BS163&gt;0,Tabla1[[#This Row],[MOMENTO EN QUE SE REALIZA EL PESO AL INGRESO A CPN]]="GESTACIÓN"),HLOOKUP(NZ163,$OA$2:PH163,NY163),""))))))))</f>
        <v>#REF!</v>
      </c>
      <c r="CK163" s="212">
        <f t="shared" si="608"/>
        <v>45136</v>
      </c>
      <c r="CL163" s="21">
        <v>57.8</v>
      </c>
      <c r="CM163" s="214">
        <f t="shared" si="609"/>
        <v>23.7508218277449</v>
      </c>
      <c r="CN163" s="216">
        <f t="shared" si="610"/>
        <v>24</v>
      </c>
      <c r="CO163" s="216" t="e">
        <f>IF(PI163="","",IF(PI163&gt;0,HLOOKUP(PI163,$PJ$2:QQ163,NY163),""))</f>
        <v>#REF!</v>
      </c>
      <c r="CP163" s="21">
        <v>27</v>
      </c>
      <c r="CQ163" s="216" t="e">
        <f>IF(QR163="Menor","NO APLICA-MENOR 13 SEM",IF(AND(CC163="SI",CN163&gt;23),"NO APLICA- GEMELAR",IF(QR163="","",IF(QR163&gt;0,HLOOKUP(QR163,$QS$2:RU163,NY163),""))))</f>
        <v>#REF!</v>
      </c>
      <c r="CR163" s="21">
        <v>90</v>
      </c>
      <c r="CS163" s="21">
        <v>60</v>
      </c>
      <c r="CT163" s="217" t="str">
        <f>IF(R163="","",IF(AND(BS163&gt;1,BS163&lt;12,Tabla1[[#This Row],[T.A. SISTOLICA - ANTES DE SEMANA 12]]="",Tabla1[[#This Row],[T.A. DIASTOLICA - ANTES DE SEMANA 12]]=""),"REGISTRE DATO TA ANTES SEMANA 12",IF(AND(BS163&gt;11,BS163&lt;43,Tabla1[[#This Row],[T.A. SISTOLICA - ANTES DE SEMANA 12]]="",Tabla1[[#This Row],[T.A. DIASTOLICA - ANTES DE SEMANA 12]]=""),"NO APLICA REGISTRO TA-INGRESO TARDIO",IF(AND(OR(O163&gt;0,R163&gt;0),OR(CR163&gt;=140,CS163&gt;=90)),"DEFINIR ESTADIO HTA",IF(AND(OR(O163&gt;0,R163&gt;0),AND(CR163&gt;120,CR163&lt;=139)),"PRE HTA SEGUIMIENTO",IF(AND(OR(O163&gt;0,R163&gt;0),AND(CS163&gt;80,CS163&lt;=89)),"PRE HTA SEGUIMIENTO",IF(AND(OR(O163&gt;0,R163&gt;0),AND(CR163&gt;=80,CR163&lt;=120)),"APARENTEMENTE NORMAL",IF(AND(OR(O163&gt;0,R163&gt;0),AND(CS163&gt;=50,CS163&lt;=80)),"APARENTEMENTE NORMAL",IF(AND(OR(O163&gt;0,R163&gt;0),AND(CR163&gt;1,CR163&lt;=70),AND(CS163&gt;1,CS163&lt;=40)),"HIPOTENSIÓN","")))))))))</f>
        <v>APARENTEMENTE NORMAL</v>
      </c>
      <c r="CU163" s="21"/>
      <c r="CV163" s="21"/>
      <c r="CW163" s="217" t="str">
        <f>IF(R163="","",IF(AND(CN163&gt;19,CN163&lt;27,Tabla1[[#This Row],[T.A. SISTOLICA (Entre semana 20 y 26)]]="",Tabla1[[#This Row],[T.A. DIATOLICA (Entre semana 20 y 26)]]=""),"ACUDE A CONTROL SEM 20 A 26 REGISTRE TA AHORA",IF(AND(BS163&gt;1,BS163&lt;27,BU163&gt;19,Tabla1[[#This Row],[T.A. SISTOLICA (Entre semana 20 y 26)]]="",Tabla1[[#This Row],[T.A. DIATOLICA (Entre semana 20 y 26)]]=""),"COMPLETE REGISTRO TA CONTROL SEM 20 A26 ",IF(AND(BS163&gt;26,BS163&lt;43,Tabla1[[#This Row],[T.A. SISTOLICA (Entre semana 20 y 26)]]="",Tabla1[[#This Row],[T.A. DIATOLICA (Entre semana 20 y 26)]]=""),"NO APLICA REGISTRO TA-INGRESO TARDIO",IF(AND(OR(O163&gt;0,R163&gt;0),OR(CU163&gt;=140,CV163&gt;=90)),"ALTO RIESGO PREECLAMPSIA,DEFINIR ESTADIO HTA",IF(AND(OR(O163&gt;0,R163&gt;0),AND(CU163&gt;120,CU163&lt;=139)),"PRE HTA SEGUIMIENTO,RIESGO HIPERTENSION INDUCIDA POR EL EMBARAZO",IF(AND(OR(O163&gt;0,R163&gt;0),AND(CV163&gt;80,CV163&lt;=89)),"PRE HTA SEGUIMIENTO, RIESGO HIPERTENSION INDUCIDA POR EL EMBARAZO",IF(AND(OR(O163&lt;&gt;"",R163&lt;&gt;""),CS163&lt;&gt;"",CV163&lt;&gt;"",CS163&lt;=CV163),"VIGILAR CIFRAS PRESION ARTERIAL",IF(AND(OR(O163&gt;0,R163&gt;0),AND(CU163&gt;120,CU163&lt;=139)),"PRE HTA SEGUIMIENTO",IF(AND(OR(O163&gt;0,R163&gt;0),AND(CU163&gt;1,CU163&lt;=70),AND(CV163&gt;1,CV163&lt;=40)),"HIPOTENSIÓN",IF(AND(OR(O163&lt;&gt;"",R163&lt;&gt;""),CS163&lt;&gt;"",CV163&lt;&gt;"",CS163&gt;CV163),"APARENTEMENTE NORMAL",IF(AND(OR(O163&gt;0,R163&gt;0),AND(CU163&gt;=80,CU163&lt;=120)),"APARENTEMENTE NORMAL",IF(AND(OR(O163&gt;0,R163&gt;0),AND(CV163&gt;=50,CV163&lt;=80)),"APARENTEMENTE NORMAL","")))))))))))))</f>
        <v>ACUDE A CONTROL SEM 20 A 26 REGISTRE TA AHORA</v>
      </c>
      <c r="CX163" s="21"/>
      <c r="CY163" s="21"/>
      <c r="CZ163" s="216" t="str">
        <f t="shared" si="690"/>
        <v/>
      </c>
      <c r="DA163" s="21">
        <v>100</v>
      </c>
      <c r="DB163" s="21">
        <v>60</v>
      </c>
      <c r="DC163" s="217" t="str">
        <f t="shared" si="611"/>
        <v>APARENTEMENTE NORMAL</v>
      </c>
      <c r="DD163" s="22">
        <v>45042</v>
      </c>
      <c r="DE163" s="22">
        <v>45042</v>
      </c>
      <c r="DF163" s="22">
        <v>45072</v>
      </c>
      <c r="DG163" s="22">
        <v>45105</v>
      </c>
      <c r="DH163" s="22">
        <v>45136</v>
      </c>
      <c r="DI163" s="22"/>
      <c r="DJ163" s="22"/>
      <c r="DK163" s="22"/>
      <c r="DL163" s="22"/>
      <c r="DM163" s="22"/>
      <c r="DN163" s="22"/>
      <c r="DO163" s="22"/>
      <c r="DP163" s="22"/>
      <c r="DQ163" s="22"/>
      <c r="DR163" s="28">
        <v>1</v>
      </c>
      <c r="DS163" s="22"/>
      <c r="DT163" s="22"/>
      <c r="DU163" s="216" t="str">
        <f t="shared" ca="1" si="676"/>
        <v>CONCERTAR PLAN DE PARTO INMEDIATO</v>
      </c>
      <c r="DV163" s="226" t="str">
        <f t="shared" si="677"/>
        <v>ACTIVA INGRESO A CPN</v>
      </c>
      <c r="DW163"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63" s="216" t="e">
        <f t="shared" ca="1" si="612"/>
        <v>#REF!</v>
      </c>
      <c r="DY163" s="212">
        <f>IF(R163="","",IF(R163&gt;0,MAX(Tabla1[[#This Row],[FECHA C2]:[FECHA C13]],Tabla1[[#This Row],[FECHA CONSULTA PRIMERA VEZ PROGRAMA CPN ]])))</f>
        <v>45136</v>
      </c>
      <c r="DZ163" s="216">
        <f t="shared" si="613"/>
        <v>24</v>
      </c>
      <c r="EA163" s="222">
        <f>IF(R163&gt;0,SUM(COUNTA(DF163:DQ163)+COUNTA(Tabla1[[#This Row],[FECHA CONSULTA PRIMERA VEZ PROGRAMA CPN ]])),"")</f>
        <v>4</v>
      </c>
      <c r="EB163" s="222" t="str">
        <f t="shared" si="614"/>
        <v>SI</v>
      </c>
      <c r="EC163" s="214">
        <f t="shared" si="615"/>
        <v>9</v>
      </c>
      <c r="ED163" s="227">
        <f t="shared" si="616"/>
        <v>0.44444444444444442</v>
      </c>
      <c r="EE163" s="22">
        <v>45042</v>
      </c>
      <c r="EF163" s="22">
        <v>45036</v>
      </c>
      <c r="EG163" s="22">
        <v>45042</v>
      </c>
      <c r="EH163" s="22"/>
      <c r="EI163" s="22">
        <v>45042</v>
      </c>
      <c r="EJ163" s="22"/>
      <c r="EK163" s="22"/>
      <c r="EL163" s="21"/>
      <c r="EM163" s="21">
        <v>13.3</v>
      </c>
      <c r="EN163" s="22">
        <v>45073</v>
      </c>
      <c r="EO163" s="222">
        <f t="shared" si="617"/>
        <v>15.857142857142858</v>
      </c>
      <c r="EP163" s="214" t="str">
        <f t="shared" si="618"/>
        <v>NORMAL- SUMINISTRAR SULFATO FERROSO</v>
      </c>
      <c r="EQ163" s="216" t="str">
        <f t="shared" si="619"/>
        <v>II TRIM</v>
      </c>
      <c r="ER163" s="24"/>
      <c r="ES163" s="22"/>
      <c r="ET163" s="29" t="str">
        <f t="shared" ca="1" si="678"/>
        <v>TOMA DE HEMOGLOBINA TARDÍA</v>
      </c>
      <c r="EU163" s="25" t="str">
        <f t="shared" si="620"/>
        <v/>
      </c>
      <c r="EV163" s="24" t="s">
        <v>1510</v>
      </c>
      <c r="EW163" s="22">
        <v>45073</v>
      </c>
      <c r="EX163" s="22"/>
      <c r="EY163" s="29">
        <f t="shared" si="693"/>
        <v>15.857142857142858</v>
      </c>
      <c r="EZ163" s="25" t="str">
        <f t="shared" si="694"/>
        <v>SIN RIESGO DE ISOINMUNIZACIÓN</v>
      </c>
      <c r="FA163" s="21">
        <v>71</v>
      </c>
      <c r="FB163" s="22">
        <v>45073</v>
      </c>
      <c r="FC163" s="29">
        <f t="shared" si="621"/>
        <v>15.857142857142858</v>
      </c>
      <c r="FD163" s="29"/>
      <c r="FE163" s="29"/>
      <c r="FF163" s="29"/>
      <c r="FG163" s="21" t="str">
        <f t="shared" ca="1" si="622"/>
        <v>TOMAR PTOG</v>
      </c>
      <c r="FH163" s="31"/>
      <c r="FI163" s="29" t="str">
        <f t="shared" si="623"/>
        <v>TOMAR EXAMEN</v>
      </c>
      <c r="FJ163" s="22"/>
      <c r="FK163" s="22"/>
      <c r="FL163" s="29" t="str">
        <f t="shared" ca="1" si="624"/>
        <v>PIERDE TOMA DE TAMIZAJE</v>
      </c>
      <c r="FM163" s="22" t="s">
        <v>867</v>
      </c>
      <c r="FN163" s="32">
        <v>45073</v>
      </c>
      <c r="FO163" s="29">
        <f t="shared" ca="1" si="679"/>
        <v>15.857142857142858</v>
      </c>
      <c r="FP163" s="22"/>
      <c r="FQ163" s="32"/>
      <c r="FR163" s="29" t="str">
        <f t="shared" ca="1" si="680"/>
        <v>TOMA INMEDIATA DE TAMIZAJE</v>
      </c>
      <c r="FS163" s="22"/>
      <c r="FT163" s="32"/>
      <c r="FU163" s="29" t="str">
        <f>IF(AND(FJ163="",FM163="",FP163="",FS163=""),"",IF(OR(OR(Tabla1[[#This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63" s="28"/>
      <c r="FW163" s="22"/>
      <c r="FX163" s="29" t="str">
        <f t="shared" si="625"/>
        <v>TOMAR EXAMEN</v>
      </c>
      <c r="FY163" s="22"/>
      <c r="FZ163" s="22"/>
      <c r="GA163" s="29" t="str">
        <f t="shared" ca="1" si="692"/>
        <v>PIERDE TOMA DE TAMIZAJE</v>
      </c>
      <c r="GB163" s="22" t="s">
        <v>868</v>
      </c>
      <c r="GC163" s="22">
        <v>45072</v>
      </c>
      <c r="GD163" s="29">
        <f t="shared" ca="1" si="681"/>
        <v>15.714285714285714</v>
      </c>
      <c r="GE163" s="22"/>
      <c r="GF163" s="22"/>
      <c r="GG163" s="29" t="str">
        <f t="shared" ca="1" si="682"/>
        <v>TOMA INMEDIATA DE TAMIZAJE</v>
      </c>
      <c r="GH163" s="22"/>
      <c r="GI163" s="29"/>
      <c r="GJ163" s="22"/>
      <c r="GK163" s="22"/>
      <c r="GL163" s="22"/>
      <c r="GM163" s="22"/>
      <c r="GN163" s="28" t="s">
        <v>869</v>
      </c>
      <c r="GO163" s="22">
        <v>45072</v>
      </c>
      <c r="GP163" s="29">
        <f t="shared" si="626"/>
        <v>15.714285714285714</v>
      </c>
      <c r="GQ163" s="28" t="s">
        <v>869</v>
      </c>
      <c r="GR163" s="28" t="s">
        <v>869</v>
      </c>
      <c r="GS163" s="22" t="str">
        <f t="shared" ref="GS163:GS164" si="696">IF(GQ163="NEGATIVO","CONTROL Igm",IF(AND(GQ163="POSITIVO",GR163="NEGATIVO"),"SE EXCLUYE INFECCION",IF(AND(GQ163="POSITIVO",GR163="POSITIVO"),"TOXOPLASMOSIS, REMITIR PARA MANEJO","")))</f>
        <v>CONTROL Igm</v>
      </c>
      <c r="GT163" s="22">
        <v>45073</v>
      </c>
      <c r="GU163" s="29">
        <f t="shared" si="628"/>
        <v>15.857142857142858</v>
      </c>
      <c r="GV163" s="21" t="str">
        <f t="shared" si="629"/>
        <v>II TRIM</v>
      </c>
      <c r="GW163" s="28"/>
      <c r="GX163" s="30"/>
      <c r="GY163" s="21"/>
      <c r="GZ163" s="21"/>
      <c r="HA163" s="21"/>
      <c r="HB163" s="21"/>
      <c r="HC163" s="21"/>
      <c r="HD163" s="21"/>
      <c r="HE163" s="21"/>
      <c r="HF163" s="22"/>
      <c r="HG163" s="22" t="str">
        <f>IF(OR(O163&gt;0,R163&gt;0),CONCATENATE(IF(Tabla1[[#This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63" s="22" t="e">
        <f t="shared" si="630"/>
        <v>#REF!</v>
      </c>
      <c r="HI163" s="22" t="e">
        <f t="shared" ca="1" si="631"/>
        <v>#REF!</v>
      </c>
      <c r="HJ163" s="21" t="str">
        <f t="shared" ca="1" si="632"/>
        <v>**********************MULTIPARIDAD*****************</v>
      </c>
      <c r="HK163" s="21" t="str">
        <f t="shared" si="633"/>
        <v>SIN ANTECEDENTES DE RIESGO</v>
      </c>
      <c r="HL163" s="24" t="str">
        <f t="shared" si="634"/>
        <v>APARENTEMENTE NORMAL</v>
      </c>
      <c r="HM163" s="21" t="e">
        <f t="shared" ca="1" si="635"/>
        <v>#REF!</v>
      </c>
      <c r="HN163" s="30" t="str">
        <f t="shared" si="683"/>
        <v>ACTIVA INGRESO A CPN</v>
      </c>
      <c r="HO163" s="21"/>
      <c r="HP163" s="21"/>
      <c r="HQ163" s="349">
        <v>45042</v>
      </c>
      <c r="HR163" s="21" t="str">
        <f>IF(R163="","",IF(Tabla1[[#This Row],[ALARMA FACTORES DE RIESGO COMPLICACIONES HIPERTENSIVAS3]]="SIN ANTECEDENTES DE RIESGO","No Aplica para suministro de ASA",IF(AND(Tabla1[[#This Row],[FECHA INICIO DE SUMINISTRO DE ASA]]&gt;0,RV163&lt;12),"Inicia ASA ANTES de Sem 12",IF(AND(RV163&gt;11,RV163&lt;17,OR(HK163="RIESGO ALTO DE COMPLICACIONES HIPERTENSIVAS VER MANEJO GUIA SUMINISTRO ASA Y CALCIO",HK163="RIESGO MODERADO (2 O MAS CRITERIOS) VER MANEJO GUIA SUMINISTRO ASA Y CALCIO")),"Inicio oportuno de ASA",IF(AND(RV163&gt;12,OR(HK163="RIESGO ALTO DE COMPLICACIONES HIPERTENSIVAS VER MANEJO GUIA SUMINISTRO ASA Y CALCIO",HK163="RIESGO MODERADO (2 O MAS CRITERIOS) VER MANEJO GUIA SUMINISTRO ASA Y CALCIO")),"Inicio no oportuno mayor a 16 semanas",IF(AND(BU163&lt;12,OR(HK163="RIESGO ALTO DE COMPLICACIONES HIPERTENSIVAS VER MANEJO GUIA SUMINISTRO ASA Y CALCIO",HK163="RIESGO MODERADO (2 O MAS CRITERIOS) VER MANEJO GUIA SUMINISTRO ASA Y CALCIO")),"Pendiente Inicio de ASA a la semana 12",IF(AND(BU163&gt;11,BU163&lt;17,OR(HK163="RIESGO ALTO DE COMPLICACIONES HIPERTENSIVAS VER MANEJO GUIA SUMINISTRO ASA Y CALCIO",HK163="RIESGO MODERADO (2 O MAS CRITERIOS) VER MANEJO GUIA SUMINISTRO ASA Y CALCIO")),"Iniciar de inmediato ASA",IF(AND(BU163&gt;16,OR(HK163="RIESGO ALTO DE COMPLICACIONES HIPERTENSIVAS VER MANEJO GUIA SUMINISTRO ASA Y CALCIO",HK163="RIESGO MODERADO (2 O MAS CRITERIOS) VER MANEJO GUIA SUMINISTRO ASA Y CALCIO")),"Pierde Oportunidad, Inicio tardío de ASA","XXXXX"))))))))</f>
        <v>No Aplica para suministro de ASA</v>
      </c>
      <c r="HS163" s="22">
        <v>45042</v>
      </c>
      <c r="HT163" s="22" t="s">
        <v>870</v>
      </c>
      <c r="HU163" s="22">
        <v>45042</v>
      </c>
      <c r="HV163" s="22" t="s">
        <v>870</v>
      </c>
      <c r="HW163" s="22">
        <v>45042</v>
      </c>
      <c r="HX163" s="22" t="s">
        <v>870</v>
      </c>
      <c r="HY163" s="22">
        <v>45044</v>
      </c>
      <c r="HZ163" s="28">
        <f t="shared" si="636"/>
        <v>11.714285714285714</v>
      </c>
      <c r="IA163" s="26"/>
      <c r="IB163" s="26"/>
      <c r="IC163" s="111"/>
      <c r="ID163" s="22"/>
      <c r="IE163" s="22" t="str">
        <f t="shared" ca="1" si="637"/>
        <v>INASISTENTE</v>
      </c>
      <c r="IF163" s="22"/>
      <c r="IG163" s="22">
        <f t="shared" si="638"/>
        <v>45242</v>
      </c>
      <c r="IH163" s="29">
        <f t="shared" ca="1" si="639"/>
        <v>10</v>
      </c>
      <c r="II163" s="22" t="str">
        <f t="shared" ca="1" si="640"/>
        <v>MENOS DE 4 SEMANAS</v>
      </c>
      <c r="IJ163" s="22"/>
      <c r="IK163" s="21"/>
      <c r="IL163" s="21"/>
      <c r="IM163" s="34"/>
      <c r="IN163" s="22"/>
      <c r="IO163" s="21"/>
      <c r="IP163" s="29" t="str">
        <f t="shared" si="674"/>
        <v/>
      </c>
      <c r="IQ163" s="35"/>
      <c r="IR163" s="21"/>
      <c r="IS163" s="21"/>
      <c r="IT163" s="21"/>
      <c r="IU163" s="21"/>
      <c r="IV163" s="21"/>
      <c r="IW163" s="21"/>
      <c r="IX163" s="21"/>
      <c r="IY163" s="21"/>
      <c r="IZ163" s="21"/>
      <c r="JA163" s="21"/>
      <c r="JB163" s="30"/>
      <c r="JC163" s="21"/>
      <c r="JD163" s="36"/>
      <c r="JE163" s="21" t="str">
        <f t="shared" si="684"/>
        <v/>
      </c>
      <c r="JF163" s="30"/>
      <c r="JG163" s="21"/>
      <c r="JH163" s="21"/>
      <c r="JI163" s="21"/>
      <c r="JJ163" s="30"/>
      <c r="JK163" s="22"/>
      <c r="JL163" s="22"/>
      <c r="JM163" s="21"/>
      <c r="JN163" s="36"/>
      <c r="JO163" s="21" t="str">
        <f t="shared" si="685"/>
        <v/>
      </c>
      <c r="JP163" s="22"/>
      <c r="JQ163" s="21"/>
      <c r="JR163" s="21"/>
      <c r="JS163" s="21"/>
      <c r="JT163" s="30"/>
      <c r="JU163" s="22"/>
      <c r="JV163" s="22"/>
      <c r="JW163" s="33"/>
      <c r="JX163" s="28" t="str">
        <f t="shared" si="686"/>
        <v/>
      </c>
      <c r="JY163" s="33"/>
      <c r="JZ163" s="28" t="str">
        <f t="shared" si="687"/>
        <v/>
      </c>
      <c r="KA163" s="21"/>
      <c r="KB163" s="21"/>
      <c r="KC163" s="21"/>
      <c r="KD163" s="37"/>
      <c r="KE163" s="28"/>
      <c r="KF163" s="28"/>
      <c r="KG163" s="28"/>
      <c r="KH163" s="39"/>
      <c r="KI163" s="39"/>
      <c r="KJ163" s="66"/>
      <c r="KK163" s="39"/>
      <c r="KL163" s="39"/>
      <c r="KM163" s="66"/>
      <c r="KN163" s="39"/>
      <c r="KO163" s="39"/>
      <c r="KP163" s="39"/>
      <c r="KQ163" s="39"/>
      <c r="KR163" s="39"/>
      <c r="KS163" s="39"/>
      <c r="KT163" s="39"/>
      <c r="KU163" s="38"/>
      <c r="KV163" s="38"/>
      <c r="KW163" s="38"/>
      <c r="KX163" s="38"/>
      <c r="KY163" s="38"/>
      <c r="KZ163" s="38"/>
      <c r="LA163" s="38"/>
      <c r="LB163" s="38"/>
      <c r="LC163" s="38"/>
      <c r="LD163" s="38"/>
      <c r="LE163" s="38"/>
      <c r="LF163" s="38"/>
      <c r="LG163" s="38"/>
      <c r="LH163" s="38"/>
      <c r="LI163" s="38"/>
      <c r="LJ163" s="38"/>
      <c r="LK163" s="38"/>
      <c r="LL163" s="38"/>
      <c r="LM163" s="38"/>
      <c r="LN163" s="38"/>
      <c r="LO163" s="38"/>
      <c r="LP163" s="38"/>
      <c r="LQ163" s="38"/>
      <c r="LR163" s="38"/>
      <c r="LS163" s="38"/>
      <c r="LT163" s="38"/>
      <c r="LU163" s="38"/>
      <c r="LV163" s="38"/>
      <c r="LW163" s="38"/>
      <c r="LX163" s="38"/>
      <c r="LY163" s="38"/>
      <c r="LZ163" s="38"/>
      <c r="MA163" s="38"/>
      <c r="MB163" s="38"/>
      <c r="MC163" s="38"/>
      <c r="MD163" s="38"/>
      <c r="ME163" s="38"/>
      <c r="MF163" s="38"/>
      <c r="MG163" s="38"/>
      <c r="MH163" s="43">
        <f t="shared" ref="MH163:MH193" si="697">SUM(COUNTIF(KU163,"PARTERO (A)"),COUNTIF(KY163,"PARTERO (A)"),COUNTIF(LC163,"PARTERO (A)"),COUNTIF(LG163,"PARTERO (A)"),COUNTIF(LK163,"PARTERO (A)"),COUNTIF(LO163,"PARTERO (A)"),COUNTIF(ME163,"PARTERO (A)"))</f>
        <v>0</v>
      </c>
      <c r="MI163" s="43" t="str">
        <f t="shared" ref="MI163:MI193" si="698">IF(AND(R163="",O163=""),"",IF(AND(OR(O163&gt;0,R163&gt;0),KT163&gt;0),SUM(KT163-RW163)/7,""))</f>
        <v/>
      </c>
      <c r="MJ163" s="43" t="str">
        <f t="shared" ref="MJ163:MJ193" si="699">IF(AND(MI163="",BT163=""),"",IF(AND(MI163&lt;&gt;"",BT163="SIN DATO"),"SIN DATO",IF(AND(MI163="",BT163&lt;&gt;""),"",IF(AND(MI163&lt;0,BT163&gt;0),"ERROR FUM O INGRESO",IF(MI163&lt;=13,"I TRIM",IF(MI163&lt;28,"II TRIM",IF(AND(MI163&gt;27,MI163&lt;45),"III TRIM","POR DEFINIR")))))))</f>
        <v/>
      </c>
      <c r="MK163" s="43">
        <f t="shared" ref="MK163:MK193" si="700">SUM(COUNTIF(KU163,"MEDICO (A) TRADICIONAL"),COUNTIF(KY163,"MEDICO (A) TRADICIONAL"),COUNTIF(LC163,"MEDICO (A) TRADICIONAL"),COUNTIF(LG163,"MEDICO (A) TRADICIONAL"),COUNTIF(LK163,"MEDICO (A) TRADICIONAL"),COUNTIF(LO163,"MEDICO (A) TRADICIONAL"),COUNTIF(ME163,"MEDICO (A) TRADICIONAL"))</f>
        <v>0</v>
      </c>
      <c r="ML16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63" s="43">
        <f t="shared" ref="MM163:MM193" si="701">IF(AND(O163&gt;0,RW163&gt;0),SUM(O163-RW163)/7,"")</f>
        <v>11.428571428571429</v>
      </c>
      <c r="MN163" s="43">
        <f t="shared" ref="MN163:MN193" si="702">IF(R163&gt;0,MONTH(R163),"")</f>
        <v>4</v>
      </c>
      <c r="MO163" s="43">
        <f t="shared" ref="MO163:MO193" si="703">IF(R163&gt;0,YEAR(R163),"")</f>
        <v>2023</v>
      </c>
      <c r="MP163" s="43" t="str">
        <f t="shared" ref="MP163:MP193" si="704">IF(AND(MN163&gt;=1,MN163&lt;=3),"I TRIMESTRE AÑO",IF(AND(MN163&gt;=4,MN163&lt;=6),"II TRIMESTRE AÑO",IF(AND(MN163&gt;=7,MN163&lt;=9),"III TRIMESTRE AÑO",IF(AND(MN163&gt;=10,MN163&lt;=12),"IV TRIMESTRE AÑO",""))))</f>
        <v>II TRIMESTRE AÑO</v>
      </c>
      <c r="MQ163" s="43">
        <f t="shared" ref="MQ163:MQ193" si="705">IF(AND(M163&gt;0,R163&gt;0),DAYS360(M163,R163)/30.44/12,IF(AND(M163&gt;0,O163&gt;0,R163=""),DAYS360(M163,O163)/30.44/12,""))</f>
        <v>16.54347349978099</v>
      </c>
      <c r="MR163" s="43">
        <f t="shared" ref="MR163:MR193" si="706">IF(AND(MQ163&gt;7,MQ163&lt;14),2,IF(MQ163&lt;16,1,IF(MQ163&lt;=35,0,IF(AND(MQ163&gt;35,MQ163&lt;50),2,""))))</f>
        <v>0</v>
      </c>
      <c r="MS163" s="43" t="str">
        <f t="shared" ref="MS163:MS193" si="707">+IF(MQ163="","",IF(MQ163&lt;14,"MENOR 14 AÑOS",IF(MQ163&lt;20,"DE 14 A 19AÑOS",IF(MQ163&lt;25," DE 20 A 24 AÑOS",IF(MQ163&lt;30," DE 25 A 29 AÑOS",IF(MQ163&lt;35," DE 30 A 34 AÑOS",IF(MQ163&lt;40," DE 35 A 39 AÑOS"," DE 40 Y MAS")))))))</f>
        <v>DE 14 A 19AÑOS</v>
      </c>
      <c r="MT163" s="43">
        <f t="shared" ref="MT163:MT193" si="708">IF(OR(AX163="SI",BA163="SI"),1,IF(AND(AX163="NO",BA163="NO"),0,""))</f>
        <v>0</v>
      </c>
      <c r="MU163" s="43">
        <f t="shared" ref="MU163:MU193" si="709">IF(AT163="","",IF(AT163=0,1,IF(AND(AT163&gt;=1,AT163&lt;=4),0,IF(AT163&gt;=5,2,"X"))))</f>
        <v>1</v>
      </c>
      <c r="MV163" s="43">
        <f t="shared" ref="MV163:MV193" si="710">IF(AW163="","",IF(AW163=0,0,IF(AW163=1,1,IF(OR(AW163=2,AW163="3 o MAS"),2,"X"))))</f>
        <v>0</v>
      </c>
      <c r="MW163" s="43">
        <f t="shared" ref="MW163:MW193" si="711">IF(AY163="SI",1,IF(AY163="NO",0,""))</f>
        <v>0</v>
      </c>
      <c r="MX163" s="43" t="str">
        <f t="shared" ref="MX163:MX193" si="712">IF(OR(AND(EM163&gt;0,EM163&lt;11),AND(ER163&gt;0,ER163&lt;10.5)),1,"")</f>
        <v/>
      </c>
      <c r="MY163" s="43" t="str">
        <f t="shared" ca="1" si="688"/>
        <v/>
      </c>
      <c r="MZ163" s="43" t="str">
        <f t="shared" ref="MZ163:MZ193" si="713">IF(AND(GJ163="",GL163="",BB163=""),"",IF(OR(OR(GJ163="P.R REACTIVA",GJ163="ELISA REACTIVA"),OR(BB163="SI",GL163="POSITIVA",GL163="NO CONCLUYENTE")),3,""))</f>
        <v/>
      </c>
      <c r="NA163" s="43" t="str">
        <f t="shared" ref="NA163:NA193" si="714">IF(CD163="","",IF(OR(CD163="CEFÁLICA",CD163="SD"),0,IF(OR(CD163="PODÁLICA",CD163="TRANSVERSA O DE FRENTE",CD163="OBLICUA"),3,"")))</f>
        <v/>
      </c>
      <c r="NB163" s="43" t="str">
        <f t="shared" ref="NB163:NB193" si="715">IF(GZ163="","",IF(GZ163="POSITIVO",2,"0"))</f>
        <v/>
      </c>
      <c r="NC163" s="43" t="str">
        <f t="shared" ref="NC163:NC193" si="716">IF(AND(HB163="",HD163=""),"",IF(OR(HB163="POSITIVO",HD163="POSITIVO"),3,0))</f>
        <v/>
      </c>
      <c r="ND163" s="43">
        <f t="shared" ref="ND163:ND193" ca="1" si="717">IF(AND(O163="",R163=""),"",IF(OR(O163&lt;&gt;"",R163&lt;&gt;""),SUM(COUNTIF(AL163:AR163,"SI"),COUNTIF(AV163,"SI"),COUNTIF(BC163,"SI, CONTROLADA"),COUNTIF(BI163,"SI"),COUNTIF(BM163,"SI"),SUM(COUNTIF(BC163,"SI, SIN MANEJO")*3),SUM(COUNTIF(BC163,"SI, NO CONTROLADA")*3),SUM(COUNTIF(BD163:BG163,"SI")*3),SUM(COUNTIF(CB163:CC163,"SI")*3),SUM(COUNTIF(AD163,"Consumo Actual")*3),SUM(COUNTIF(AD163,"Hasta Antes de la Gestación")*2),SUM(COUNTIF(BK163,"SI")*3),SUM(COUNTIF(BL163,"SI")*2),SUM(COUNTIF(CE163,"SI")*2),SUM(COUNTIF(BH163,"SI")*2),SUM(COUNTIF(FG163,"DIABETES, REMITIR")*2),SUM(MT163:NC163),SUM(MR163),SUM(NG163),SUM(COUNTIF(EZ163,"COOMBS C/MES Y RESUMAN SEM 28")*2),SUM(COUNTIF(EZ163,"TOMAR COOMBS CUANTITATIVO Y REMISIÓN")*3),SUM(COUNTIF(FU163,"SIFILIS GESTACIONAL")*3)),""))</f>
        <v>1</v>
      </c>
      <c r="NE163" s="43">
        <f>IF(OR(O163&gt;0,R163&gt;0),SUM(COUNTIF(Tabla1[[#This Row],[AÑOS AL INICIO5 CPN]],"&gt;=40"),COUNTIF(AS163,"0"),COUNTIF(AR163,"SI"),COUNTIF(CC163,"SI"),COUNTIF(BQ163,"&gt;119"),COUNTIF(CI163,"&gt;=35")),"")</f>
        <v>1</v>
      </c>
      <c r="NF163" s="43" t="str">
        <f t="shared" ref="NF163:NF193" si="718">IF(AND(R163="",O163=""),"",IF(AND(OR(O163&gt;0,R163&gt;0),RW163=""),"SD",IF(AND(OR(O163&gt;0,R163&gt;0),ID163&gt;0),SUM(ID163-RW163)/7,"")))</f>
        <v/>
      </c>
      <c r="NG163" s="43">
        <f t="shared" ref="NG163:NG193" si="719">IF(AND(AD163="",AE163="",AF163="",AG163="",AH163="",AI163="",AJ163=""),"",SUM(COUNTIF(AD163,"Hasta Antes de la Gestación")/2,SUM(COUNTIF(AE163,"NO")/2),COUNTIF(AF163,"NO"),SUM(COUNTIF(AG163,"SI")/2),COUNTIF(AH163,"SI"),SUM(COUNTIF(AJ163,"SI")*2),COUNTIF(AD163,"Consumo Actual"),COUNTIF(AI163,"HABITANTE DE CALLE"),COUNTIF(AI163,"DESPLAZADA"),COUNTIF(AI163,"MIGRATORIA"),COUNTIF(AI163,"DISCAPACIDAD FISICA"),COUNTIF(AI163,"DISCAPACIDAD CONDUCTUAL"),COUNTIF(AI163,"DISCAPACIDAD VISUAL"),COUNTIF(AI163,"DISCAPACIDAD AUDITIVA"),COUNTIF(AI163,"DISCAPACIDAD MULTIPLE"),COUNTIF(AI163,"DISCAPACIDAD SISTEMICA")))</f>
        <v>0</v>
      </c>
      <c r="NH163" s="43" t="str">
        <f t="shared" ref="NH163:NH193" si="720">IF(BX163&gt;0,BX163*7,"")</f>
        <v/>
      </c>
      <c r="NI16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CPN",P163="NO"),"Z",IF(AND(Tabla1[[#This Row],[CITA PROXIMO CONTROL]]="CITA MANUAL",Tabla1[[#This Row],[GESTANTES ACTUALES]]="ACTIVA INGRESO A CPN"),"W",IF(AND(Tabla1[[#This Row],[GESTANTES ACTUALES]]="SALIO PROGRAMA",IN163=""),"S",IF(AND(Tabla1[[#This Row],[CITA PROXIMO CONTROL]]&gt;0,IN163=""),(Tabla1[[#This Row],[CITA PROXIMO CONTROL]]-TODAY()),"SD"))))))))</f>
        <v>#REF!</v>
      </c>
      <c r="NJ163" s="43">
        <f>MONTH(Tabla1[[#This Row],[FECHA DE SALIDA  DEL PROGRAMA]])</f>
        <v>1</v>
      </c>
      <c r="NK163" s="43">
        <f>YEAR(Tabla1[[#This Row],[FECHA DE SALIDA  DEL PROGRAMA]])</f>
        <v>1900</v>
      </c>
      <c r="NL163" s="43" t="str">
        <f t="shared" ref="NL163:NL193" si="721">IF(AND(O163&gt;0,R163=""),"NO CPN",IF(AND(O163="",R163=""),"",IF(AND(R163&gt;0,EJ163&gt;0,EI163&gt;0),_xlfn.DAYS(EJ163,EI163),IF(AND(R163&gt;0,EJ163&gt;0,EI163=""),"NO CITA","X"))))</f>
        <v>X</v>
      </c>
      <c r="NM163" s="43" t="str">
        <f t="shared" si="695"/>
        <v>NO</v>
      </c>
      <c r="NN163" s="43" t="str">
        <f ca="1">IF(AND(O163&gt;0,R163=""),"NO CPN",IF(AND(O163="",R163=""),"",IF(AND(R163&gt;0,Tabla1[[#This Row],[SEMANAS DE GESTACION ACTUALIZADAS]]&lt;=12),"NO APLICA",IF(AND(FH163&lt;&gt;"",FN163&lt;&gt;""),"SI","NO"))))</f>
        <v>NO</v>
      </c>
      <c r="NO163" s="43" t="str">
        <f ca="1">IF(AND(O163&gt;0,R163=""),"NO CPN",IF(AND(O163="",R163=""),"",IF(AND(R163&gt;0,Tabla1[[#This Row],[SEMANAS DE GESTACION ACTUALIZADAS]]&lt;=27),"NO APLICA",IF(AND(ES163&lt;&gt;"",FQ163&lt;&gt;"",GF163&lt;&gt;""),"SI","NO"))))</f>
        <v>NO</v>
      </c>
      <c r="NP163" s="204" t="str">
        <f t="shared" ref="NP163:NP193" si="722">IF(AND(BS163="",IG163=""),"",IF(AND(BS163="",IG163="DEFINIR FPP POR ECO"),"SIN DATO",IF(BS163&lt;0,"ERROR FUM O INGRESO",IF(BP163="NO","DEFINIR CON ECO",IF(BS163&lt;12,"I TRIM",IF(BS163&lt;27,"II TRIM",IF(AND(BS163&gt;26,BS163&lt;45),"III TRIM","ERROR FUM O INGRESO")))))))</f>
        <v>DEFINIR CON ECO</v>
      </c>
      <c r="NQ163" s="21" t="str">
        <f t="shared" si="691"/>
        <v/>
      </c>
      <c r="NR163" s="21">
        <f t="shared" ca="1" si="689"/>
        <v>3</v>
      </c>
      <c r="NS163" s="205">
        <f t="shared" ref="NS163:NS193" ca="1" si="723">COUNT(FL163,FO163,FR163,FT163)</f>
        <v>1</v>
      </c>
      <c r="NT163" s="21">
        <f t="shared" ref="NT163:NT193" ca="1" si="724">COUNT(GA163,GD163,GG163,GI163)</f>
        <v>1</v>
      </c>
      <c r="NU163" s="21" t="str">
        <f t="shared" ref="NU163:NU193" ca="1" si="725">IF(NR163="","",IF(NR163="REVISAR FUM O FECHA SALIDA PROGRAMA","POR DEFINIR",IF(OR(NR163=NS163,NS163&gt;NR163),"COMPLETO",IF(NS163&lt;NR163,"INCOMPLETO",""))))</f>
        <v>INCOMPLETO</v>
      </c>
      <c r="NV163" s="21" t="str">
        <f t="shared" ref="NV163:NV193" ca="1" si="726">IF(NR163="","",IF(NR163="REVISAR FUM O FECHA SALIDA PROGRAMA","POR DEFINIR",IF(OR(NR163=NT163,NT163&gt;NR163),"COMPLETO",IF(NT163&lt;NR163,"INCOMPLETO",""))))</f>
        <v>INCOMPLETO</v>
      </c>
      <c r="NW163" s="206" t="str">
        <f>IF(AND(O163="",R163=""),"",IF(OR(AND(Tabla1[[#This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63" s="207" t="str">
        <f t="shared" ref="NX163:NX193" ca="1" si="727">IF(AND(O163="",R163=""),"",IF(OR(IE163="VACUNA APLICADA ENTRE SEMANA 20 Y SEMANA 26",IE163="VACUNA APLICADA ENTRE SEMANA 27 Y EL PARTO",IE163="VACUNA APLICADA ANTES SEMANA 20"),"VACUNADA","SIN VACUNAR"))</f>
        <v>SIN VACUNAR</v>
      </c>
      <c r="NY163" s="43">
        <f>ROW(Tabla1[[#This Row],['# DE TAMIZAJES SIFILIS TOMADOS ]])</f>
        <v>163</v>
      </c>
      <c r="NZ163" s="43">
        <f t="shared" si="502"/>
        <v>11</v>
      </c>
      <c r="OA163" s="43" t="str">
        <f t="shared" si="503"/>
        <v/>
      </c>
      <c r="OB163" s="43" t="str">
        <f t="shared" si="504"/>
        <v/>
      </c>
      <c r="OC163" s="43" t="str">
        <f t="shared" si="505"/>
        <v>NORMAL</v>
      </c>
      <c r="OD163" s="43" t="str">
        <f t="shared" si="506"/>
        <v/>
      </c>
      <c r="OE163" s="43" t="str">
        <f t="shared" si="507"/>
        <v/>
      </c>
      <c r="OF163" s="43" t="str">
        <f t="shared" si="508"/>
        <v/>
      </c>
      <c r="OG163" s="43" t="str">
        <f t="shared" si="509"/>
        <v/>
      </c>
      <c r="OH163" s="43" t="str">
        <f t="shared" si="510"/>
        <v/>
      </c>
      <c r="OI163" s="43" t="str">
        <f t="shared" si="511"/>
        <v/>
      </c>
      <c r="OJ163" s="43" t="str">
        <f t="shared" si="512"/>
        <v/>
      </c>
      <c r="OK163" s="43" t="str">
        <f t="shared" si="513"/>
        <v/>
      </c>
      <c r="OL163" s="43" t="str">
        <f t="shared" si="514"/>
        <v/>
      </c>
      <c r="OM163" s="43" t="str">
        <f t="shared" si="515"/>
        <v/>
      </c>
      <c r="ON163" s="43" t="str">
        <f t="shared" si="516"/>
        <v/>
      </c>
      <c r="OO163" s="43" t="str">
        <f t="shared" si="517"/>
        <v/>
      </c>
      <c r="OP163" s="43" t="str">
        <f t="shared" si="518"/>
        <v/>
      </c>
      <c r="OQ163" s="43" t="str">
        <f t="shared" si="519"/>
        <v/>
      </c>
      <c r="OR163" s="43" t="str">
        <f t="shared" si="520"/>
        <v/>
      </c>
      <c r="OS163" s="43" t="str">
        <f t="shared" si="521"/>
        <v/>
      </c>
      <c r="OT163" s="43" t="str">
        <f t="shared" si="522"/>
        <v/>
      </c>
      <c r="OU163" s="43" t="str">
        <f t="shared" si="523"/>
        <v/>
      </c>
      <c r="OV163" s="110" t="str">
        <f t="shared" si="524"/>
        <v/>
      </c>
      <c r="OW163" s="43" t="str">
        <f t="shared" si="525"/>
        <v/>
      </c>
      <c r="OX163" s="43" t="str">
        <f t="shared" si="526"/>
        <v/>
      </c>
      <c r="OY163" s="43" t="str">
        <f t="shared" si="527"/>
        <v/>
      </c>
      <c r="OZ163" s="43" t="str">
        <f t="shared" si="528"/>
        <v/>
      </c>
      <c r="PA163" s="43" t="str">
        <f t="shared" si="529"/>
        <v/>
      </c>
      <c r="PB163" s="43" t="str">
        <f t="shared" si="530"/>
        <v/>
      </c>
      <c r="PC163" s="43" t="str">
        <f t="shared" si="531"/>
        <v/>
      </c>
      <c r="PD163" s="43" t="str">
        <f t="shared" si="532"/>
        <v/>
      </c>
      <c r="PE163" s="43" t="str">
        <f t="shared" si="533"/>
        <v/>
      </c>
      <c r="PF163" s="43" t="str">
        <f t="shared" si="534"/>
        <v/>
      </c>
      <c r="PG163" s="43" t="str">
        <f t="shared" si="535"/>
        <v/>
      </c>
      <c r="PH163" s="43" t="str">
        <f t="shared" si="536"/>
        <v/>
      </c>
      <c r="PI163" s="43">
        <f t="shared" si="537"/>
        <v>24</v>
      </c>
      <c r="PJ163" s="43" t="str">
        <f t="shared" si="538"/>
        <v/>
      </c>
      <c r="PK163" s="43" t="str">
        <f t="shared" si="539"/>
        <v/>
      </c>
      <c r="PL163" s="43" t="str">
        <f t="shared" si="540"/>
        <v/>
      </c>
      <c r="PM163" s="43" t="str">
        <f t="shared" si="541"/>
        <v/>
      </c>
      <c r="PN163" s="43" t="str">
        <f t="shared" si="542"/>
        <v/>
      </c>
      <c r="PO163" s="43" t="str">
        <f t="shared" si="543"/>
        <v/>
      </c>
      <c r="PP163" s="43" t="str">
        <f t="shared" si="544"/>
        <v/>
      </c>
      <c r="PQ163" s="43" t="str">
        <f t="shared" si="545"/>
        <v/>
      </c>
      <c r="PR163" s="43" t="str">
        <f t="shared" si="546"/>
        <v/>
      </c>
      <c r="PS163" s="43" t="str">
        <f t="shared" si="547"/>
        <v/>
      </c>
      <c r="PT163" s="43" t="str">
        <f t="shared" si="548"/>
        <v/>
      </c>
      <c r="PU163" s="43" t="str">
        <f t="shared" si="549"/>
        <v/>
      </c>
      <c r="PV163" s="43" t="str">
        <f t="shared" si="550"/>
        <v/>
      </c>
      <c r="PW163" s="43" t="str">
        <f t="shared" si="551"/>
        <v/>
      </c>
      <c r="PX163" s="43" t="str">
        <f t="shared" si="552"/>
        <v/>
      </c>
      <c r="PY163" s="43" t="str">
        <f t="shared" si="553"/>
        <v>NORMAL</v>
      </c>
      <c r="PZ163" s="43" t="str">
        <f t="shared" si="554"/>
        <v/>
      </c>
      <c r="QA163" s="43" t="str">
        <f t="shared" si="555"/>
        <v/>
      </c>
      <c r="QB163" s="43" t="str">
        <f t="shared" si="556"/>
        <v/>
      </c>
      <c r="QC163" s="43" t="str">
        <f t="shared" si="557"/>
        <v/>
      </c>
      <c r="QD163" s="43" t="str">
        <f t="shared" si="558"/>
        <v/>
      </c>
      <c r="QE163" s="43" t="str">
        <f t="shared" si="559"/>
        <v/>
      </c>
      <c r="QF163" s="43" t="str">
        <f t="shared" si="560"/>
        <v/>
      </c>
      <c r="QG163" s="43" t="str">
        <f t="shared" si="561"/>
        <v/>
      </c>
      <c r="QH163" s="43" t="str">
        <f t="shared" si="562"/>
        <v/>
      </c>
      <c r="QI163" s="43" t="str">
        <f t="shared" si="563"/>
        <v/>
      </c>
      <c r="QJ163" s="43" t="str">
        <f t="shared" si="564"/>
        <v/>
      </c>
      <c r="QK163" s="43" t="str">
        <f t="shared" si="565"/>
        <v/>
      </c>
      <c r="QL163" s="43" t="str">
        <f t="shared" si="566"/>
        <v/>
      </c>
      <c r="QM163" s="43" t="str">
        <f t="shared" si="567"/>
        <v/>
      </c>
      <c r="QN163" s="43" t="str">
        <f t="shared" si="568"/>
        <v/>
      </c>
      <c r="QO163" s="43" t="str">
        <f t="shared" si="569"/>
        <v/>
      </c>
      <c r="QP163" s="43" t="str">
        <f t="shared" si="570"/>
        <v/>
      </c>
      <c r="QQ163" s="43" t="str">
        <f t="shared" si="571"/>
        <v/>
      </c>
      <c r="QR163" s="43">
        <f t="shared" si="672"/>
        <v>24</v>
      </c>
      <c r="QS163" s="43"/>
      <c r="QT163" s="21" t="str">
        <f t="shared" si="572"/>
        <v/>
      </c>
      <c r="QU163" s="21" t="str">
        <f t="shared" si="573"/>
        <v/>
      </c>
      <c r="QV163" s="21" t="str">
        <f t="shared" si="574"/>
        <v/>
      </c>
      <c r="QW163" s="21" t="str">
        <f t="shared" si="575"/>
        <v/>
      </c>
      <c r="QX163" s="21" t="str">
        <f t="shared" si="576"/>
        <v/>
      </c>
      <c r="QY163" s="21" t="str">
        <f t="shared" si="577"/>
        <v/>
      </c>
      <c r="QZ163" s="21" t="str">
        <f t="shared" si="578"/>
        <v/>
      </c>
      <c r="RA163" s="21" t="str">
        <f t="shared" si="579"/>
        <v/>
      </c>
      <c r="RB163" s="21" t="str">
        <f t="shared" si="580"/>
        <v/>
      </c>
      <c r="RC163" s="21" t="str">
        <f t="shared" si="581"/>
        <v/>
      </c>
      <c r="RD163" s="21" t="str">
        <f t="shared" si="582"/>
        <v/>
      </c>
      <c r="RE163" s="21" t="str">
        <f t="shared" si="583"/>
        <v>ALTO PARA EDAD GESTACIONAL</v>
      </c>
      <c r="RF163" s="21" t="str">
        <f t="shared" si="584"/>
        <v/>
      </c>
      <c r="RG163" s="21" t="str">
        <f t="shared" si="585"/>
        <v/>
      </c>
      <c r="RH163" s="21" t="str">
        <f t="shared" si="586"/>
        <v/>
      </c>
      <c r="RI163" s="21" t="str">
        <f t="shared" si="587"/>
        <v/>
      </c>
      <c r="RJ163" s="21" t="str">
        <f t="shared" si="588"/>
        <v/>
      </c>
      <c r="RK163" s="21" t="str">
        <f t="shared" si="589"/>
        <v/>
      </c>
      <c r="RL163" s="21" t="str">
        <f t="shared" si="590"/>
        <v/>
      </c>
      <c r="RM163" s="21" t="str">
        <f t="shared" si="591"/>
        <v/>
      </c>
      <c r="RN163" s="21" t="str">
        <f t="shared" si="592"/>
        <v/>
      </c>
      <c r="RO163" s="21" t="str">
        <f t="shared" si="593"/>
        <v/>
      </c>
      <c r="RP163" s="21" t="str">
        <f t="shared" si="594"/>
        <v/>
      </c>
      <c r="RQ163" s="21" t="str">
        <f t="shared" si="595"/>
        <v/>
      </c>
      <c r="RR163" s="21" t="str">
        <f t="shared" si="596"/>
        <v/>
      </c>
      <c r="RS163" s="21" t="str">
        <f t="shared" si="597"/>
        <v/>
      </c>
      <c r="RT163" s="21" t="str">
        <f t="shared" si="598"/>
        <v/>
      </c>
      <c r="RU163" s="21" t="str">
        <f t="shared" si="599"/>
        <v/>
      </c>
      <c r="RV163" s="21">
        <f t="shared" si="600"/>
        <v>11.428571428571429</v>
      </c>
      <c r="RW163" s="284">
        <f>IF(OR(Tabla1[[#This Row],[FUM FORMULA CONFIABLE]]="",Tabla1[[#This Row],[FUM FORMULA CONFIABLE]]="SD"),"",IF(Tabla1[[#This Row],[FUM FORMULA CONFIABLE]]="CORREGIDA",Tabla1[[#This Row],[FUM X ECO 1]],Tabla1[[#This Row],[FUM x AMENORREA]]))</f>
        <v>44962</v>
      </c>
      <c r="RX163" s="21" t="str">
        <f>IF(AND(Tabla1[[#This Row],[FUM X ECO 1]]="",Tabla1[[#This Row],[FUM x AMENORREA]]=""),"",IF(AND(Tabla1[[#This Row],[FUM X ECO 1]]="",Tabla1[[#This Row],[FUM x AMENORREA]]&lt;&gt;""),"X",SUM(Tabla1[[#This Row],[FUM X ECO 1]]-Tabla1[[#This Row],[FUM x AMENORREA]])))</f>
        <v>X</v>
      </c>
      <c r="RY163" s="21" t="str">
        <f t="shared" si="673"/>
        <v>x</v>
      </c>
    </row>
    <row r="164" spans="1:493" ht="45" customHeight="1" x14ac:dyDescent="0.25">
      <c r="A164" s="109"/>
      <c r="B164" s="43"/>
      <c r="C164" s="43" t="s">
        <v>845</v>
      </c>
      <c r="D164" s="124"/>
      <c r="E164" s="43" t="s">
        <v>1156</v>
      </c>
      <c r="F164" s="43" t="s">
        <v>883</v>
      </c>
      <c r="G164" s="43" t="s">
        <v>1157</v>
      </c>
      <c r="H164" s="43" t="s">
        <v>1466</v>
      </c>
      <c r="I164" s="109" t="s">
        <v>851</v>
      </c>
      <c r="J164" s="110">
        <v>1059594587</v>
      </c>
      <c r="K164" s="43" t="s">
        <v>852</v>
      </c>
      <c r="L164" s="175" t="s">
        <v>1509</v>
      </c>
      <c r="M164" s="22">
        <v>37873</v>
      </c>
      <c r="N164" s="213">
        <f t="shared" ca="1" si="601"/>
        <v>20.161643835616438</v>
      </c>
      <c r="O164" s="22">
        <v>45044</v>
      </c>
      <c r="P164" s="214" t="str">
        <f t="shared" si="675"/>
        <v>SI</v>
      </c>
      <c r="Q164" s="26" t="s">
        <v>855</v>
      </c>
      <c r="R164" s="22">
        <v>45044</v>
      </c>
      <c r="S164" s="21" t="s">
        <v>856</v>
      </c>
      <c r="T164" s="24" t="s">
        <v>690</v>
      </c>
      <c r="U164" s="21" t="s">
        <v>857</v>
      </c>
      <c r="V164" s="21" t="s">
        <v>858</v>
      </c>
      <c r="W164" s="21" t="s">
        <v>859</v>
      </c>
      <c r="X164" s="21"/>
      <c r="Y164" s="21"/>
      <c r="Z164" s="21"/>
      <c r="AA164" s="21" t="s">
        <v>860</v>
      </c>
      <c r="AB164" s="27" t="s">
        <v>861</v>
      </c>
      <c r="AC164" s="26" t="s">
        <v>888</v>
      </c>
      <c r="AD164" s="38" t="s">
        <v>1546</v>
      </c>
      <c r="AE164" s="26" t="s">
        <v>854</v>
      </c>
      <c r="AF164" s="26" t="s">
        <v>854</v>
      </c>
      <c r="AG164" s="23" t="s">
        <v>864</v>
      </c>
      <c r="AH164" s="23" t="s">
        <v>864</v>
      </c>
      <c r="AI164" s="24" t="s">
        <v>863</v>
      </c>
      <c r="AJ164" s="23" t="s">
        <v>864</v>
      </c>
      <c r="AK164" s="220" t="str">
        <f>IF(AND(AD164="",AE164="",AF164="",AG164="",AH164="",AI164="",AJ164=""),"",IF(OR(Tabla1[[#This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EVALUACIÓN",IF(AND(O164="",R164=""),"",IF(AND(OR(O164&gt;0,R164&gt;0),NG164&gt;=0,NG164&lt;2),"SIN RIESGO",IF(AND(OR(O164&gt;0,R164&gt;0),NG164&gt;=2),"CON RIESGO","ASD")))))</f>
        <v>SIN RIESGO</v>
      </c>
      <c r="AL164" s="23" t="s">
        <v>864</v>
      </c>
      <c r="AM164" s="26" t="s">
        <v>864</v>
      </c>
      <c r="AN164" s="26" t="s">
        <v>864</v>
      </c>
      <c r="AO164" s="26" t="s">
        <v>864</v>
      </c>
      <c r="AP164" s="26" t="s">
        <v>864</v>
      </c>
      <c r="AQ164" s="26" t="s">
        <v>864</v>
      </c>
      <c r="AR164" s="26" t="s">
        <v>864</v>
      </c>
      <c r="AS164" s="21">
        <v>1</v>
      </c>
      <c r="AT164" s="21">
        <v>0</v>
      </c>
      <c r="AU164" s="21">
        <v>1</v>
      </c>
      <c r="AV164" s="26" t="s">
        <v>864</v>
      </c>
      <c r="AW164" s="21">
        <v>0</v>
      </c>
      <c r="AX164" s="26" t="s">
        <v>864</v>
      </c>
      <c r="AY164" s="26" t="s">
        <v>864</v>
      </c>
      <c r="AZ164" s="26" t="s">
        <v>864</v>
      </c>
      <c r="BA164" s="26" t="s">
        <v>864</v>
      </c>
      <c r="BB164" s="26" t="s">
        <v>864</v>
      </c>
      <c r="BC164" s="26" t="s">
        <v>864</v>
      </c>
      <c r="BD164" s="26" t="s">
        <v>864</v>
      </c>
      <c r="BE164" s="26" t="s">
        <v>864</v>
      </c>
      <c r="BF164" s="26" t="s">
        <v>864</v>
      </c>
      <c r="BG164" s="26" t="s">
        <v>864</v>
      </c>
      <c r="BH164" s="26" t="s">
        <v>864</v>
      </c>
      <c r="BI164" s="26" t="s">
        <v>864</v>
      </c>
      <c r="BJ164" s="26" t="s">
        <v>864</v>
      </c>
      <c r="BK164" s="26" t="s">
        <v>864</v>
      </c>
      <c r="BL164" s="26" t="s">
        <v>864</v>
      </c>
      <c r="BM164" s="26" t="s">
        <v>864</v>
      </c>
      <c r="BN164" s="22"/>
      <c r="BO164" s="22">
        <v>44995</v>
      </c>
      <c r="BP164" s="21" t="s">
        <v>1380</v>
      </c>
      <c r="BQ164" s="222">
        <f t="shared" si="602"/>
        <v>0</v>
      </c>
      <c r="BR164" s="223">
        <f t="shared" si="603"/>
        <v>45001.8</v>
      </c>
      <c r="BS164" s="224">
        <f t="shared" si="604"/>
        <v>6.0285714285710128</v>
      </c>
      <c r="BT164" s="216" t="str">
        <f t="shared" si="605"/>
        <v>I TRIM</v>
      </c>
      <c r="BU164" s="214">
        <f t="shared" ca="1" si="606"/>
        <v>32.885714285713867</v>
      </c>
      <c r="BV164" s="25" t="s">
        <v>1478</v>
      </c>
      <c r="BW164" s="22">
        <v>45083</v>
      </c>
      <c r="BX164" s="28">
        <v>11.6</v>
      </c>
      <c r="BY164" s="28"/>
      <c r="BZ164" s="22"/>
      <c r="CA164" s="21"/>
      <c r="CB164" s="26"/>
      <c r="CC164" s="26"/>
      <c r="CD164" s="26"/>
      <c r="CE164" s="26"/>
      <c r="CF164" s="22" t="s">
        <v>1517</v>
      </c>
      <c r="CG164" s="21">
        <v>1.48</v>
      </c>
      <c r="CH164" s="21">
        <v>51.7</v>
      </c>
      <c r="CI164" s="214">
        <f t="shared" si="607"/>
        <v>23.602994886778674</v>
      </c>
      <c r="CJ164" s="225" t="str">
        <f>IF(AND(CI164&lt;10,CH164="SD"),"SIN DATO PESO PREGESTACION O I TRIM",IF(AND(OR(R164&gt;0,O164&gt;0),CI164="X"),"INGRESAR DATO DE PESO",IF(CI164="SD","INGRESAR DATO DE TALLA Y PESO",IF(AND(OR(Tabla1[[#This Row],[MOMENTO EN QUE SE REALIZA EL PESO AL INGRESO A CPN]]="PREGESTACIÓN",NZ164="Menor"),CI164&lt;18.5),"BAJO PESO",IF(AND(OR(Tabla1[[#This Row],[MOMENTO EN QUE SE REALIZA EL PESO AL INGRESO A CPN]]="PREGESTACIÓN",NZ164="Menor"),CI164&lt;25),"NORMAL",IF(AND(OR(Tabla1[[#This Row],[MOMENTO EN QUE SE REALIZA EL PESO AL INGRESO A CPN]]="PREGESTACIÓN",NZ164="Menor"),CI164&lt;30),"SOBREPESO",IF(AND(OR(Tabla1[[#This Row],[MOMENTO EN QUE SE REALIZA EL PESO AL INGRESO A CPN]]="PREGESTACIÓN",NZ164="Menor"),CI164&gt;=30,CI164&lt;50),"OBESIDAD",IF(AND(BS164&gt;0,Tabla1[[#This Row],[MOMENTO EN QUE SE REALIZA EL PESO AL INGRESO A CPN]]="GESTACIÓN"),HLOOKUP(NZ164,$OA$2:PH164,NY164),""))))))))</f>
        <v>NORMAL</v>
      </c>
      <c r="CK164" s="212">
        <f t="shared" si="608"/>
        <v>45114</v>
      </c>
      <c r="CL164" s="21">
        <v>53</v>
      </c>
      <c r="CM164" s="214">
        <f t="shared" si="609"/>
        <v>24.196493791088386</v>
      </c>
      <c r="CN164" s="216">
        <f t="shared" si="610"/>
        <v>16</v>
      </c>
      <c r="CO164" s="216" t="e">
        <f>IF(PI164="","",IF(PI164&gt;0,HLOOKUP(PI164,$PJ$2:QQ164,NY164),""))</f>
        <v>#REF!</v>
      </c>
      <c r="CP164" s="21">
        <v>18</v>
      </c>
      <c r="CQ164" s="216" t="e">
        <f>IF(QR164="Menor","NO APLICA-MENOR 13 SEM",IF(AND(CC164="SI",CN164&gt;23),"NO APLICA- GEMELAR",IF(QR164="","",IF(QR164&gt;0,HLOOKUP(QR164,$QS$2:RU164,NY164),""))))</f>
        <v>#REF!</v>
      </c>
      <c r="CR164" s="21">
        <v>100</v>
      </c>
      <c r="CS164" s="21">
        <v>60</v>
      </c>
      <c r="CT164" s="217" t="str">
        <f>IF(R164="","",IF(AND(BS164&gt;1,BS164&lt;12,Tabla1[[#This Row],[T.A. SISTOLICA - ANTES DE SEMANA 12]]="",Tabla1[[#This Row],[T.A. DIASTOLICA - ANTES DE SEMANA 12]]=""),"REGISTRE DATO TA ANTES SEMANA 12",IF(AND(BS164&gt;11,BS164&lt;43,Tabla1[[#This Row],[T.A. SISTOLICA - ANTES DE SEMANA 12]]="",Tabla1[[#This Row],[T.A. DIASTOLICA - ANTES DE SEMANA 12]]=""),"NO APLICA REGISTRO TA-INGRESO TARDIO",IF(AND(OR(O164&gt;0,R164&gt;0),OR(CR164&gt;=140,CS164&gt;=90)),"DEFINIR ESTADIO HTA",IF(AND(OR(O164&gt;0,R164&gt;0),AND(CR164&gt;120,CR164&lt;=139)),"PRE HTA SEGUIMIENTO",IF(AND(OR(O164&gt;0,R164&gt;0),AND(CS164&gt;80,CS164&lt;=89)),"PRE HTA SEGUIMIENTO",IF(AND(OR(O164&gt;0,R164&gt;0),AND(CR164&gt;=80,CR164&lt;=120)),"APARENTEMENTE NORMAL",IF(AND(OR(O164&gt;0,R164&gt;0),AND(CS164&gt;=50,CS164&lt;=80)),"APARENTEMENTE NORMAL",IF(AND(OR(O164&gt;0,R164&gt;0),AND(CR164&gt;1,CR164&lt;=70),AND(CS164&gt;1,CS164&lt;=40)),"HIPOTENSIÓN","")))))))))</f>
        <v>APARENTEMENTE NORMAL</v>
      </c>
      <c r="CU164" s="21"/>
      <c r="CV164" s="21"/>
      <c r="CW164" s="217" t="str">
        <f ca="1">IF(R164="","",IF(AND(CN164&gt;19,CN164&lt;27,Tabla1[[#This Row],[T.A. SISTOLICA (Entre semana 20 y 26)]]="",Tabla1[[#This Row],[T.A. DIATOLICA (Entre semana 20 y 26)]]=""),"ACUDE A CONTROL SEM 20 A 26 REGISTRE TA AHORA",IF(AND(BS164&gt;1,BS164&lt;27,BU164&gt;19,Tabla1[[#This Row],[T.A. SISTOLICA (Entre semana 20 y 26)]]="",Tabla1[[#This Row],[T.A. DIATOLICA (Entre semana 20 y 26)]]=""),"COMPLETE REGISTRO TA CONTROL SEM 20 A26 ",IF(AND(BS164&gt;26,BS164&lt;43,Tabla1[[#This Row],[T.A. SISTOLICA (Entre semana 20 y 26)]]="",Tabla1[[#This Row],[T.A. DIATOLICA (Entre semana 20 y 26)]]=""),"NO APLICA REGISTRO TA-INGRESO TARDIO",IF(AND(OR(O164&gt;0,R164&gt;0),OR(CU164&gt;=140,CV164&gt;=90)),"ALTO RIESGO PREECLAMPSIA,DEFINIR ESTADIO HTA",IF(AND(OR(O164&gt;0,R164&gt;0),AND(CU164&gt;120,CU164&lt;=139)),"PRE HTA SEGUIMIENTO,RIESGO HIPERTENSION INDUCIDA POR EL EMBARAZO",IF(AND(OR(O164&gt;0,R164&gt;0),AND(CV164&gt;80,CV164&lt;=89)),"PRE HTA SEGUIMIENTO, RIESGO HIPERTENSION INDUCIDA POR EL EMBARAZO",IF(AND(OR(O164&lt;&gt;"",R164&lt;&gt;""),CS164&lt;&gt;"",CV164&lt;&gt;"",CS164&lt;=CV164),"VIGILAR CIFRAS PRESION ARTERIAL",IF(AND(OR(O164&gt;0,R164&gt;0),AND(CU164&gt;120,CU164&lt;=139)),"PRE HTA SEGUIMIENTO",IF(AND(OR(O164&gt;0,R164&gt;0),AND(CU164&gt;1,CU164&lt;=70),AND(CV164&gt;1,CV164&lt;=40)),"HIPOTENSIÓN",IF(AND(OR(O164&lt;&gt;"",R164&lt;&gt;""),CS164&lt;&gt;"",CV164&lt;&gt;"",CS164&gt;CV164),"APARENTEMENTE NORMAL",IF(AND(OR(O164&gt;0,R164&gt;0),AND(CU164&gt;=80,CU164&lt;=120)),"APARENTEMENTE NORMAL",IF(AND(OR(O164&gt;0,R164&gt;0),AND(CV164&gt;=50,CV164&lt;=80)),"APARENTEMENTE NORMAL","")))))))))))))</f>
        <v xml:space="preserve">COMPLETE REGISTRO TA CONTROL SEM 20 A26 </v>
      </c>
      <c r="CX164" s="21"/>
      <c r="CY164" s="21"/>
      <c r="CZ164" s="216" t="str">
        <f t="shared" si="690"/>
        <v/>
      </c>
      <c r="DA164" s="21">
        <v>90</v>
      </c>
      <c r="DB164" s="21">
        <v>60</v>
      </c>
      <c r="DC164" s="217" t="str">
        <f t="shared" si="611"/>
        <v>APARENTEMENTE NORMAL</v>
      </c>
      <c r="DD164" s="22">
        <v>45044</v>
      </c>
      <c r="DE164" s="22">
        <v>45044</v>
      </c>
      <c r="DF164" s="22">
        <v>45084</v>
      </c>
      <c r="DG164" s="22">
        <v>45114</v>
      </c>
      <c r="DH164" s="22"/>
      <c r="DI164" s="22"/>
      <c r="DJ164" s="22"/>
      <c r="DK164" s="22"/>
      <c r="DL164" s="22"/>
      <c r="DM164" s="22"/>
      <c r="DN164" s="22"/>
      <c r="DO164" s="22"/>
      <c r="DP164" s="22"/>
      <c r="DQ164" s="22"/>
      <c r="DR164" s="28">
        <v>1</v>
      </c>
      <c r="DS164" s="22"/>
      <c r="DT164" s="22"/>
      <c r="DU164" s="216" t="str">
        <f t="shared" ca="1" si="676"/>
        <v>PLANEAR PLAN DE PARTO</v>
      </c>
      <c r="DV164" s="226" t="str">
        <f t="shared" si="677"/>
        <v>ACTIVA INGRESO A CPN</v>
      </c>
      <c r="DW16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64" s="216" t="e">
        <f t="shared" ca="1" si="612"/>
        <v>#REF!</v>
      </c>
      <c r="DY164" s="212">
        <f>IF(R164="","",IF(R164&gt;0,MAX(Tabla1[[#This Row],[FECHA C2]:[FECHA C13]],Tabla1[[#This Row],[FECHA CONSULTA PRIMERA VEZ PROGRAMA CPN ]])))</f>
        <v>45114</v>
      </c>
      <c r="DZ164" s="216">
        <f t="shared" si="613"/>
        <v>16</v>
      </c>
      <c r="EA164" s="222">
        <f>IF(R164&gt;0,SUM(COUNTA(DF164:DQ164)+COUNTA(Tabla1[[#This Row],[FECHA CONSULTA PRIMERA VEZ PROGRAMA CPN ]])),"")</f>
        <v>3</v>
      </c>
      <c r="EB164" s="222" t="str">
        <f t="shared" si="614"/>
        <v>NO</v>
      </c>
      <c r="EC164" s="214">
        <f t="shared" si="615"/>
        <v>10</v>
      </c>
      <c r="ED164" s="227">
        <f t="shared" si="616"/>
        <v>0.3</v>
      </c>
      <c r="EE164" s="22">
        <v>45105</v>
      </c>
      <c r="EF164" s="22">
        <v>45044</v>
      </c>
      <c r="EG164" s="22">
        <v>45105</v>
      </c>
      <c r="EH164" s="22" t="s">
        <v>1636</v>
      </c>
      <c r="EI164" s="22" t="s">
        <v>1467</v>
      </c>
      <c r="EJ164" s="22">
        <v>45083</v>
      </c>
      <c r="EK164" s="22"/>
      <c r="EL164" s="21"/>
      <c r="EM164" s="21">
        <v>13</v>
      </c>
      <c r="EN164" s="22">
        <v>45044</v>
      </c>
      <c r="EO164" s="222">
        <f t="shared" si="617"/>
        <v>6.0285714285710128</v>
      </c>
      <c r="EP164" s="214" t="str">
        <f t="shared" si="618"/>
        <v>NORMAL- SUMINISTRAR SULFATO FERROSO</v>
      </c>
      <c r="EQ164" s="216" t="str">
        <f t="shared" si="619"/>
        <v>I TRIM</v>
      </c>
      <c r="ER164" s="24"/>
      <c r="ES164" s="22"/>
      <c r="ET164" s="29" t="str">
        <f t="shared" ca="1" si="678"/>
        <v>TOMA DE HEMOGLOBINA TARDÍA</v>
      </c>
      <c r="EU164" s="25" t="str">
        <f t="shared" si="620"/>
        <v/>
      </c>
      <c r="EV164" s="24" t="s">
        <v>1510</v>
      </c>
      <c r="EW164" s="32">
        <v>45044</v>
      </c>
      <c r="EX164" s="22"/>
      <c r="EY164" s="29">
        <f t="shared" si="693"/>
        <v>6.0285714285710128</v>
      </c>
      <c r="EZ164" s="25" t="str">
        <f t="shared" si="694"/>
        <v>SIN RIESGO DE ISOINMUNIZACIÓN</v>
      </c>
      <c r="FA164" s="21">
        <v>76</v>
      </c>
      <c r="FB164" s="22">
        <v>45044</v>
      </c>
      <c r="FC164" s="29">
        <f t="shared" si="621"/>
        <v>6.0285714285710128</v>
      </c>
      <c r="FD164" s="29"/>
      <c r="FE164" s="29"/>
      <c r="FF164" s="29"/>
      <c r="FG164" s="21" t="str">
        <f t="shared" ca="1" si="622"/>
        <v>TOMAR PTOG</v>
      </c>
      <c r="FH164" s="31"/>
      <c r="FI164" s="29" t="str">
        <f t="shared" si="623"/>
        <v>TOMAR EXAMEN</v>
      </c>
      <c r="FJ164" s="22" t="s">
        <v>867</v>
      </c>
      <c r="FK164" s="22">
        <v>45044</v>
      </c>
      <c r="FL164" s="29">
        <f t="shared" ca="1" si="624"/>
        <v>6.0285714285710128</v>
      </c>
      <c r="FM164" s="22"/>
      <c r="FN164" s="32"/>
      <c r="FO164" s="29" t="str">
        <f t="shared" ca="1" si="679"/>
        <v>PIERDE TOMA DE TAMIZAJE</v>
      </c>
      <c r="FP164" s="22"/>
      <c r="FQ164" s="32"/>
      <c r="FR164" s="29" t="str">
        <f t="shared" ca="1" si="680"/>
        <v>EN RANGO PARA TOMAR EXAMEN</v>
      </c>
      <c r="FS164" s="22"/>
      <c r="FT164" s="32"/>
      <c r="FU164" s="29" t="str">
        <f>IF(AND(FJ164="",FM164="",FP164="",FS164=""),"",IF(OR(OR(Tabla1[[#This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64" s="28"/>
      <c r="FW164" s="22"/>
      <c r="FX164" s="29" t="str">
        <f t="shared" si="625"/>
        <v>TOMAR EXAMEN</v>
      </c>
      <c r="FY164" s="22">
        <v>45044</v>
      </c>
      <c r="FZ164" s="22">
        <v>45044</v>
      </c>
      <c r="GA164" s="29">
        <f t="shared" ca="1" si="692"/>
        <v>6.0285714285710128</v>
      </c>
      <c r="GB164" s="22"/>
      <c r="GC164" s="22"/>
      <c r="GD164" s="29" t="str">
        <f t="shared" ca="1" si="681"/>
        <v>PIERDE TOMA DE TAMIZAJE</v>
      </c>
      <c r="GE164" s="22"/>
      <c r="GF164" s="22"/>
      <c r="GG164" s="29" t="str">
        <f t="shared" ca="1" si="682"/>
        <v>EN RANGO PARA TOMAR EXAMEN</v>
      </c>
      <c r="GH164" s="22"/>
      <c r="GI164" s="29"/>
      <c r="GJ164" s="22"/>
      <c r="GK164" s="22"/>
      <c r="GL164" s="22"/>
      <c r="GM164" s="22"/>
      <c r="GN164" s="28" t="s">
        <v>869</v>
      </c>
      <c r="GO164" s="22">
        <v>45044</v>
      </c>
      <c r="GP164" s="29">
        <f t="shared" si="626"/>
        <v>6.0285714285710128</v>
      </c>
      <c r="GQ164" s="28" t="s">
        <v>869</v>
      </c>
      <c r="GR164" s="28" t="s">
        <v>869</v>
      </c>
      <c r="GS164" s="22" t="str">
        <f t="shared" si="696"/>
        <v>CONTROL Igm</v>
      </c>
      <c r="GT164" s="22">
        <v>45044</v>
      </c>
      <c r="GU164" s="29">
        <f t="shared" si="628"/>
        <v>7</v>
      </c>
      <c r="GV164" s="21" t="str">
        <f t="shared" si="629"/>
        <v>I TRIM</v>
      </c>
      <c r="GW164" s="28" t="s">
        <v>869</v>
      </c>
      <c r="GX164" s="30"/>
      <c r="GY164" s="21"/>
      <c r="GZ164" s="21"/>
      <c r="HA164" s="21"/>
      <c r="HB164" s="21"/>
      <c r="HC164" s="21"/>
      <c r="HD164" s="21"/>
      <c r="HE164" s="21"/>
      <c r="HF164" s="22"/>
      <c r="HG164" s="22" t="str">
        <f>IF(OR(O164&gt;0,R164&gt;0),CONCATENATE(IF(Tabla1[[#This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64" s="22" t="e">
        <f t="shared" si="630"/>
        <v>#REF!</v>
      </c>
      <c r="HI164" s="22" t="e">
        <f t="shared" ca="1" si="631"/>
        <v>#REF!</v>
      </c>
      <c r="HJ164" s="21" t="str">
        <f t="shared" ca="1" si="632"/>
        <v>**********************MULTIPARIDAD*****************</v>
      </c>
      <c r="HK164" s="21" t="str">
        <f t="shared" si="633"/>
        <v>SIN ANTECEDENTES DE RIESGO</v>
      </c>
      <c r="HL164" s="24" t="str">
        <f t="shared" si="634"/>
        <v>APARENTEMENTE NORMAL</v>
      </c>
      <c r="HM164" s="21" t="e">
        <f t="shared" ca="1" si="635"/>
        <v>#REF!</v>
      </c>
      <c r="HN164" s="30" t="str">
        <f t="shared" si="683"/>
        <v>ACTIVA INGRESO A CPN</v>
      </c>
      <c r="HO164" s="21"/>
      <c r="HP164" s="21"/>
      <c r="HQ164" s="349"/>
      <c r="HR164" s="21" t="str">
        <f>IF(R164="","",IF(Tabla1[[#This Row],[ALARMA FACTORES DE RIESGO COMPLICACIONES HIPERTENSIVAS3]]="SIN ANTECEDENTES DE RIESGO","No Aplica para suministro de ASA",IF(AND(Tabla1[[#This Row],[FECHA INICIO DE SUMINISTRO DE ASA]]&gt;0,RV164&lt;12),"Inicia ASA ANTES de Sem 12",IF(AND(RV164&gt;11,RV164&lt;17,OR(HK164="RIESGO ALTO DE COMPLICACIONES HIPERTENSIVAS VER MANEJO GUIA SUMINISTRO ASA Y CALCIO",HK164="RIESGO MODERADO (2 O MAS CRITERIOS) VER MANEJO GUIA SUMINISTRO ASA Y CALCIO")),"Inicio oportuno de ASA",IF(AND(RV164&gt;12,OR(HK164="RIESGO ALTO DE COMPLICACIONES HIPERTENSIVAS VER MANEJO GUIA SUMINISTRO ASA Y CALCIO",HK164="RIESGO MODERADO (2 O MAS CRITERIOS) VER MANEJO GUIA SUMINISTRO ASA Y CALCIO")),"Inicio no oportuno mayor a 16 semanas",IF(AND(BU164&lt;12,OR(HK164="RIESGO ALTO DE COMPLICACIONES HIPERTENSIVAS VER MANEJO GUIA SUMINISTRO ASA Y CALCIO",HK164="RIESGO MODERADO (2 O MAS CRITERIOS) VER MANEJO GUIA SUMINISTRO ASA Y CALCIO")),"Pendiente Inicio de ASA a la semana 12",IF(AND(BU164&gt;11,BU164&lt;17,OR(HK164="RIESGO ALTO DE COMPLICACIONES HIPERTENSIVAS VER MANEJO GUIA SUMINISTRO ASA Y CALCIO",HK164="RIESGO MODERADO (2 O MAS CRITERIOS) VER MANEJO GUIA SUMINISTRO ASA Y CALCIO")),"Iniciar de inmediato ASA",IF(AND(BU164&gt;16,OR(HK164="RIESGO ALTO DE COMPLICACIONES HIPERTENSIVAS VER MANEJO GUIA SUMINISTRO ASA Y CALCIO",HK164="RIESGO MODERADO (2 O MAS CRITERIOS) VER MANEJO GUIA SUMINISTRO ASA Y CALCIO")),"Pierde Oportunidad, Inicio tardío de ASA","XXXXX"))))))))</f>
        <v>No Aplica para suministro de ASA</v>
      </c>
      <c r="HS164" s="22"/>
      <c r="HT164" s="22"/>
      <c r="HU164" s="22">
        <v>45044</v>
      </c>
      <c r="HV164" s="22" t="s">
        <v>870</v>
      </c>
      <c r="HW164" s="22">
        <v>45044</v>
      </c>
      <c r="HX164" s="22" t="s">
        <v>870</v>
      </c>
      <c r="HY164" s="22">
        <v>45044</v>
      </c>
      <c r="HZ164" s="28">
        <f t="shared" si="636"/>
        <v>6.0285714285710128</v>
      </c>
      <c r="IA164" s="26"/>
      <c r="IB164" s="26"/>
      <c r="IC164" s="111"/>
      <c r="ID164" s="22"/>
      <c r="IE164" s="22" t="str">
        <f t="shared" ca="1" si="637"/>
        <v>INASISTENTE</v>
      </c>
      <c r="IF164" s="22"/>
      <c r="IG164" s="22">
        <f t="shared" si="638"/>
        <v>45281.8</v>
      </c>
      <c r="IH164" s="29">
        <f t="shared" ca="1" si="639"/>
        <v>49.80000000000291</v>
      </c>
      <c r="II164" s="22" t="str">
        <f t="shared" ca="1" si="640"/>
        <v>PENDIENTE</v>
      </c>
      <c r="IJ164" s="22"/>
      <c r="IK164" s="21"/>
      <c r="IL164" s="21"/>
      <c r="IM164" s="34"/>
      <c r="IN164" s="22"/>
      <c r="IO164" s="21"/>
      <c r="IP164" s="29" t="str">
        <f t="shared" si="674"/>
        <v/>
      </c>
      <c r="IQ164" s="35"/>
      <c r="IR164" s="21"/>
      <c r="IS164" s="21"/>
      <c r="IT164" s="21"/>
      <c r="IU164" s="21"/>
      <c r="IV164" s="21"/>
      <c r="IW164" s="21"/>
      <c r="IX164" s="21"/>
      <c r="IY164" s="21"/>
      <c r="IZ164" s="21"/>
      <c r="JA164" s="21"/>
      <c r="JB164" s="30"/>
      <c r="JC164" s="21"/>
      <c r="JD164" s="36"/>
      <c r="JE164" s="21" t="str">
        <f t="shared" si="684"/>
        <v/>
      </c>
      <c r="JF164" s="30"/>
      <c r="JG164" s="21"/>
      <c r="JH164" s="21"/>
      <c r="JI164" s="21"/>
      <c r="JJ164" s="30"/>
      <c r="JK164" s="22"/>
      <c r="JL164" s="22"/>
      <c r="JM164" s="21"/>
      <c r="JN164" s="36"/>
      <c r="JO164" s="21" t="str">
        <f t="shared" si="685"/>
        <v/>
      </c>
      <c r="JP164" s="22"/>
      <c r="JQ164" s="21"/>
      <c r="JR164" s="21"/>
      <c r="JS164" s="21"/>
      <c r="JT164" s="30"/>
      <c r="JU164" s="22"/>
      <c r="JV164" s="22"/>
      <c r="JW164" s="33"/>
      <c r="JX164" s="28" t="str">
        <f t="shared" si="686"/>
        <v/>
      </c>
      <c r="JY164" s="33"/>
      <c r="JZ164" s="28" t="str">
        <f t="shared" si="687"/>
        <v/>
      </c>
      <c r="KA164" s="21"/>
      <c r="KB164" s="21"/>
      <c r="KC164" s="21"/>
      <c r="KD164" s="37"/>
      <c r="KE164" s="28"/>
      <c r="KF164" s="28"/>
      <c r="KG164" s="28"/>
      <c r="KH164" s="39"/>
      <c r="KI164" s="39"/>
      <c r="KJ164" s="66"/>
      <c r="KK164" s="39"/>
      <c r="KL164" s="39"/>
      <c r="KM164" s="66"/>
      <c r="KN164" s="39"/>
      <c r="KO164" s="39"/>
      <c r="KP164" s="39"/>
      <c r="KQ164" s="39"/>
      <c r="KR164" s="39"/>
      <c r="KS164" s="39"/>
      <c r="KT164" s="39"/>
      <c r="KU164" s="38"/>
      <c r="KV164" s="38"/>
      <c r="KW164" s="38"/>
      <c r="KX164" s="38"/>
      <c r="KY164" s="38"/>
      <c r="KZ164" s="38"/>
      <c r="LA164" s="38"/>
      <c r="LB164" s="38"/>
      <c r="LC164" s="38"/>
      <c r="LD164" s="38"/>
      <c r="LE164" s="38"/>
      <c r="LF164" s="38"/>
      <c r="LG164" s="38"/>
      <c r="LH164" s="38"/>
      <c r="LI164" s="38"/>
      <c r="LJ164" s="38"/>
      <c r="LK164" s="38"/>
      <c r="LL164" s="38"/>
      <c r="LM164" s="38"/>
      <c r="LN164" s="38"/>
      <c r="LO164" s="38"/>
      <c r="LP164" s="38"/>
      <c r="LQ164" s="38"/>
      <c r="LR164" s="38"/>
      <c r="LS164" s="38"/>
      <c r="LT164" s="38"/>
      <c r="LU164" s="38"/>
      <c r="LV164" s="38"/>
      <c r="LW164" s="38"/>
      <c r="LX164" s="38"/>
      <c r="LY164" s="38"/>
      <c r="LZ164" s="38"/>
      <c r="MA164" s="38"/>
      <c r="MB164" s="38"/>
      <c r="MC164" s="38"/>
      <c r="MD164" s="38"/>
      <c r="ME164" s="38"/>
      <c r="MF164" s="38"/>
      <c r="MG164" s="38"/>
      <c r="MH164" s="43">
        <f t="shared" si="697"/>
        <v>0</v>
      </c>
      <c r="MI164" s="43" t="str">
        <f t="shared" si="698"/>
        <v/>
      </c>
      <c r="MJ164" s="43" t="str">
        <f t="shared" si="699"/>
        <v/>
      </c>
      <c r="MK164" s="43">
        <f t="shared" si="700"/>
        <v>0</v>
      </c>
      <c r="ML16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64" s="43">
        <f t="shared" si="701"/>
        <v>6.0285714285710128</v>
      </c>
      <c r="MN164" s="43">
        <f t="shared" si="702"/>
        <v>4</v>
      </c>
      <c r="MO164" s="43">
        <f t="shared" si="703"/>
        <v>2023</v>
      </c>
      <c r="MP164" s="43" t="str">
        <f t="shared" si="704"/>
        <v>II TRIMESTRE AÑO</v>
      </c>
      <c r="MQ164" s="43">
        <f t="shared" si="705"/>
        <v>19.352277704774419</v>
      </c>
      <c r="MR164" s="43">
        <f t="shared" si="706"/>
        <v>0</v>
      </c>
      <c r="MS164" s="43" t="str">
        <f t="shared" si="707"/>
        <v>DE 14 A 19AÑOS</v>
      </c>
      <c r="MT164" s="43">
        <f t="shared" si="708"/>
        <v>0</v>
      </c>
      <c r="MU164" s="43">
        <f t="shared" si="709"/>
        <v>1</v>
      </c>
      <c r="MV164" s="43">
        <f t="shared" si="710"/>
        <v>0</v>
      </c>
      <c r="MW164" s="43">
        <f t="shared" si="711"/>
        <v>0</v>
      </c>
      <c r="MX164" s="43" t="str">
        <f t="shared" si="712"/>
        <v/>
      </c>
      <c r="MY164" s="43" t="str">
        <f t="shared" ca="1" si="688"/>
        <v/>
      </c>
      <c r="MZ164" s="43" t="str">
        <f t="shared" si="713"/>
        <v/>
      </c>
      <c r="NA164" s="43" t="str">
        <f t="shared" si="714"/>
        <v/>
      </c>
      <c r="NB164" s="43" t="str">
        <f t="shared" si="715"/>
        <v/>
      </c>
      <c r="NC164" s="43" t="str">
        <f t="shared" si="716"/>
        <v/>
      </c>
      <c r="ND164" s="43">
        <f t="shared" ca="1" si="717"/>
        <v>1</v>
      </c>
      <c r="NE164" s="43">
        <f>IF(OR(O164&gt;0,R164&gt;0),SUM(COUNTIF(Tabla1[[#This Row],[AÑOS AL INICIO5 CPN]],"&gt;=40"),COUNTIF(AS164,"0"),COUNTIF(AR164,"SI"),COUNTIF(CC164,"SI"),COUNTIF(BQ164,"&gt;119"),COUNTIF(CI164,"&gt;=35")),"")</f>
        <v>0</v>
      </c>
      <c r="NF164" s="43" t="str">
        <f t="shared" si="718"/>
        <v/>
      </c>
      <c r="NG164" s="43">
        <f t="shared" si="719"/>
        <v>0</v>
      </c>
      <c r="NH164" s="43">
        <f t="shared" si="720"/>
        <v>81.2</v>
      </c>
      <c r="NI16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CPN",P164="NO"),"Z",IF(AND(Tabla1[[#This Row],[CITA PROXIMO CONTROL]]="CITA MANUAL",Tabla1[[#This Row],[GESTANTES ACTUALES]]="ACTIVA INGRESO A CPN"),"W",IF(AND(Tabla1[[#This Row],[GESTANTES ACTUALES]]="SALIO PROGRAMA",IN164=""),"S",IF(AND(Tabla1[[#This Row],[CITA PROXIMO CONTROL]]&gt;0,IN164=""),(Tabla1[[#This Row],[CITA PROXIMO CONTROL]]-TODAY()),"SD"))))))))</f>
        <v>#REF!</v>
      </c>
      <c r="NJ164" s="43">
        <f>MONTH(Tabla1[[#This Row],[FECHA DE SALIDA  DEL PROGRAMA]])</f>
        <v>1</v>
      </c>
      <c r="NK164" s="43">
        <f>YEAR(Tabla1[[#This Row],[FECHA DE SALIDA  DEL PROGRAMA]])</f>
        <v>1900</v>
      </c>
      <c r="NL164" s="43" t="e">
        <f t="shared" si="721"/>
        <v>#VALUE!</v>
      </c>
      <c r="NM164" s="43" t="str">
        <f t="shared" si="695"/>
        <v>NO</v>
      </c>
      <c r="NN164" s="43" t="str">
        <f ca="1">IF(AND(O164&gt;0,R164=""),"NO CPN",IF(AND(O164="",R164=""),"",IF(AND(R164&gt;0,Tabla1[[#This Row],[SEMANAS DE GESTACION ACTUALIZADAS]]&lt;=12),"NO APLICA",IF(AND(FH164&lt;&gt;"",FN164&lt;&gt;""),"SI","NO"))))</f>
        <v>NO</v>
      </c>
      <c r="NO164" s="43" t="str">
        <f ca="1">IF(AND(O164&gt;0,R164=""),"NO CPN",IF(AND(O164="",R164=""),"",IF(AND(R164&gt;0,Tabla1[[#This Row],[SEMANAS DE GESTACION ACTUALIZADAS]]&lt;=27),"NO APLICA",IF(AND(ES164&lt;&gt;"",FQ164&lt;&gt;"",GF164&lt;&gt;""),"SI","NO"))))</f>
        <v>NO</v>
      </c>
      <c r="NP164" s="204" t="str">
        <f t="shared" si="722"/>
        <v>I TRIM</v>
      </c>
      <c r="NQ164" s="21" t="str">
        <f t="shared" si="691"/>
        <v/>
      </c>
      <c r="NR164" s="21">
        <f t="shared" ca="1" si="689"/>
        <v>3</v>
      </c>
      <c r="NS164" s="205">
        <f t="shared" ca="1" si="723"/>
        <v>1</v>
      </c>
      <c r="NT164" s="21">
        <f t="shared" ca="1" si="724"/>
        <v>1</v>
      </c>
      <c r="NU164" s="21" t="str">
        <f t="shared" ca="1" si="725"/>
        <v>INCOMPLETO</v>
      </c>
      <c r="NV164" s="21" t="str">
        <f t="shared" ca="1" si="726"/>
        <v>INCOMPLETO</v>
      </c>
      <c r="NW164" s="206" t="str">
        <f>IF(AND(O164="",R164=""),"",IF(OR(AND(Tabla1[[#This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64" s="207" t="str">
        <f t="shared" ca="1" si="727"/>
        <v>SIN VACUNAR</v>
      </c>
      <c r="NY164" s="43">
        <f>ROW(Tabla1[[#This Row],['# DE TAMIZAJES SIFILIS TOMADOS ]])</f>
        <v>164</v>
      </c>
      <c r="NZ164" s="43" t="str">
        <f t="shared" si="502"/>
        <v>Menor</v>
      </c>
      <c r="OA164" s="43" t="str">
        <f t="shared" si="503"/>
        <v>NORMAL</v>
      </c>
      <c r="OB164" s="43" t="str">
        <f t="shared" si="504"/>
        <v/>
      </c>
      <c r="OC164" s="43" t="str">
        <f t="shared" si="505"/>
        <v/>
      </c>
      <c r="OD164" s="43" t="str">
        <f t="shared" si="506"/>
        <v/>
      </c>
      <c r="OE164" s="43" t="str">
        <f t="shared" si="507"/>
        <v/>
      </c>
      <c r="OF164" s="43" t="str">
        <f t="shared" si="508"/>
        <v/>
      </c>
      <c r="OG164" s="43" t="str">
        <f t="shared" si="509"/>
        <v/>
      </c>
      <c r="OH164" s="43" t="str">
        <f t="shared" si="510"/>
        <v/>
      </c>
      <c r="OI164" s="43" t="str">
        <f t="shared" si="511"/>
        <v/>
      </c>
      <c r="OJ164" s="43" t="str">
        <f t="shared" si="512"/>
        <v/>
      </c>
      <c r="OK164" s="43" t="str">
        <f t="shared" si="513"/>
        <v/>
      </c>
      <c r="OL164" s="43" t="str">
        <f t="shared" si="514"/>
        <v/>
      </c>
      <c r="OM164" s="43" t="str">
        <f t="shared" si="515"/>
        <v/>
      </c>
      <c r="ON164" s="43" t="str">
        <f t="shared" si="516"/>
        <v/>
      </c>
      <c r="OO164" s="43" t="str">
        <f t="shared" si="517"/>
        <v/>
      </c>
      <c r="OP164" s="43" t="str">
        <f t="shared" si="518"/>
        <v/>
      </c>
      <c r="OQ164" s="43" t="str">
        <f t="shared" si="519"/>
        <v/>
      </c>
      <c r="OR164" s="43" t="str">
        <f t="shared" si="520"/>
        <v/>
      </c>
      <c r="OS164" s="43" t="str">
        <f t="shared" si="521"/>
        <v/>
      </c>
      <c r="OT164" s="43" t="str">
        <f t="shared" si="522"/>
        <v/>
      </c>
      <c r="OU164" s="43" t="str">
        <f t="shared" si="523"/>
        <v/>
      </c>
      <c r="OV164" s="110" t="str">
        <f t="shared" si="524"/>
        <v/>
      </c>
      <c r="OW164" s="43" t="str">
        <f t="shared" si="525"/>
        <v/>
      </c>
      <c r="OX164" s="43" t="str">
        <f t="shared" si="526"/>
        <v/>
      </c>
      <c r="OY164" s="43" t="str">
        <f t="shared" si="527"/>
        <v/>
      </c>
      <c r="OZ164" s="43" t="str">
        <f t="shared" si="528"/>
        <v/>
      </c>
      <c r="PA164" s="43" t="str">
        <f t="shared" si="529"/>
        <v/>
      </c>
      <c r="PB164" s="43" t="str">
        <f t="shared" si="530"/>
        <v/>
      </c>
      <c r="PC164" s="43" t="str">
        <f t="shared" si="531"/>
        <v/>
      </c>
      <c r="PD164" s="43" t="str">
        <f t="shared" si="532"/>
        <v/>
      </c>
      <c r="PE164" s="43" t="str">
        <f t="shared" si="533"/>
        <v/>
      </c>
      <c r="PF164" s="43" t="str">
        <f t="shared" si="534"/>
        <v/>
      </c>
      <c r="PG164" s="43" t="str">
        <f t="shared" si="535"/>
        <v/>
      </c>
      <c r="PH164" s="43" t="str">
        <f t="shared" si="536"/>
        <v/>
      </c>
      <c r="PI164" s="43">
        <f t="shared" si="537"/>
        <v>16</v>
      </c>
      <c r="PJ164" s="43" t="str">
        <f t="shared" si="538"/>
        <v/>
      </c>
      <c r="PK164" s="43" t="str">
        <f t="shared" si="539"/>
        <v/>
      </c>
      <c r="PL164" s="43" t="str">
        <f t="shared" si="540"/>
        <v/>
      </c>
      <c r="PM164" s="43" t="str">
        <f t="shared" si="541"/>
        <v/>
      </c>
      <c r="PN164" s="43" t="str">
        <f t="shared" si="542"/>
        <v/>
      </c>
      <c r="PO164" s="43" t="str">
        <f t="shared" si="543"/>
        <v/>
      </c>
      <c r="PP164" s="43" t="str">
        <f t="shared" si="544"/>
        <v/>
      </c>
      <c r="PQ164" s="43" t="str">
        <f t="shared" si="545"/>
        <v>NORMAL</v>
      </c>
      <c r="PR164" s="43" t="str">
        <f t="shared" si="546"/>
        <v/>
      </c>
      <c r="PS164" s="43" t="str">
        <f t="shared" si="547"/>
        <v/>
      </c>
      <c r="PT164" s="43" t="str">
        <f t="shared" si="548"/>
        <v/>
      </c>
      <c r="PU164" s="43" t="str">
        <f t="shared" si="549"/>
        <v/>
      </c>
      <c r="PV164" s="43" t="str">
        <f t="shared" si="550"/>
        <v/>
      </c>
      <c r="PW164" s="43" t="str">
        <f t="shared" si="551"/>
        <v/>
      </c>
      <c r="PX164" s="43" t="str">
        <f t="shared" si="552"/>
        <v/>
      </c>
      <c r="PY164" s="43" t="str">
        <f t="shared" si="553"/>
        <v/>
      </c>
      <c r="PZ164" s="43" t="str">
        <f t="shared" si="554"/>
        <v/>
      </c>
      <c r="QA164" s="43" t="str">
        <f t="shared" si="555"/>
        <v/>
      </c>
      <c r="QB164" s="43" t="str">
        <f t="shared" si="556"/>
        <v/>
      </c>
      <c r="QC164" s="43" t="str">
        <f t="shared" si="557"/>
        <v/>
      </c>
      <c r="QD164" s="43" t="str">
        <f t="shared" si="558"/>
        <v/>
      </c>
      <c r="QE164" s="43" t="str">
        <f t="shared" si="559"/>
        <v/>
      </c>
      <c r="QF164" s="43" t="str">
        <f t="shared" si="560"/>
        <v/>
      </c>
      <c r="QG164" s="43" t="str">
        <f t="shared" si="561"/>
        <v/>
      </c>
      <c r="QH164" s="43" t="str">
        <f t="shared" si="562"/>
        <v/>
      </c>
      <c r="QI164" s="43" t="str">
        <f t="shared" si="563"/>
        <v/>
      </c>
      <c r="QJ164" s="43" t="str">
        <f t="shared" si="564"/>
        <v/>
      </c>
      <c r="QK164" s="43" t="str">
        <f t="shared" si="565"/>
        <v/>
      </c>
      <c r="QL164" s="43" t="str">
        <f t="shared" si="566"/>
        <v/>
      </c>
      <c r="QM164" s="43" t="str">
        <f t="shared" si="567"/>
        <v/>
      </c>
      <c r="QN164" s="43" t="str">
        <f t="shared" si="568"/>
        <v/>
      </c>
      <c r="QO164" s="43" t="str">
        <f t="shared" si="569"/>
        <v/>
      </c>
      <c r="QP164" s="43" t="str">
        <f t="shared" si="570"/>
        <v/>
      </c>
      <c r="QQ164" s="43" t="str">
        <f t="shared" si="571"/>
        <v/>
      </c>
      <c r="QR164" s="43">
        <f t="shared" si="672"/>
        <v>16</v>
      </c>
      <c r="QS164" s="43"/>
      <c r="QT164" s="21" t="str">
        <f t="shared" si="572"/>
        <v/>
      </c>
      <c r="QU164" s="21" t="str">
        <f t="shared" si="573"/>
        <v/>
      </c>
      <c r="QV164" s="21" t="str">
        <f t="shared" si="574"/>
        <v/>
      </c>
      <c r="QW164" s="21" t="str">
        <f t="shared" si="575"/>
        <v>ADECUADO PARA EDAD GESTACIONAL</v>
      </c>
      <c r="QX164" s="21" t="str">
        <f t="shared" si="576"/>
        <v/>
      </c>
      <c r="QY164" s="21" t="str">
        <f t="shared" si="577"/>
        <v/>
      </c>
      <c r="QZ164" s="21" t="str">
        <f t="shared" si="578"/>
        <v/>
      </c>
      <c r="RA164" s="21" t="str">
        <f t="shared" si="579"/>
        <v/>
      </c>
      <c r="RB164" s="21" t="str">
        <f t="shared" si="580"/>
        <v/>
      </c>
      <c r="RC164" s="21" t="str">
        <f t="shared" si="581"/>
        <v/>
      </c>
      <c r="RD164" s="21" t="str">
        <f t="shared" si="582"/>
        <v/>
      </c>
      <c r="RE164" s="21" t="str">
        <f t="shared" si="583"/>
        <v/>
      </c>
      <c r="RF164" s="21" t="str">
        <f t="shared" si="584"/>
        <v/>
      </c>
      <c r="RG164" s="21" t="str">
        <f t="shared" si="585"/>
        <v/>
      </c>
      <c r="RH164" s="21" t="str">
        <f t="shared" si="586"/>
        <v/>
      </c>
      <c r="RI164" s="21" t="str">
        <f t="shared" si="587"/>
        <v/>
      </c>
      <c r="RJ164" s="21" t="str">
        <f t="shared" si="588"/>
        <v/>
      </c>
      <c r="RK164" s="21" t="str">
        <f t="shared" si="589"/>
        <v/>
      </c>
      <c r="RL164" s="21" t="str">
        <f t="shared" si="590"/>
        <v/>
      </c>
      <c r="RM164" s="21" t="str">
        <f t="shared" si="591"/>
        <v/>
      </c>
      <c r="RN164" s="21" t="str">
        <f t="shared" si="592"/>
        <v/>
      </c>
      <c r="RO164" s="21" t="str">
        <f t="shared" si="593"/>
        <v/>
      </c>
      <c r="RP164" s="21" t="str">
        <f t="shared" si="594"/>
        <v/>
      </c>
      <c r="RQ164" s="21" t="str">
        <f t="shared" si="595"/>
        <v/>
      </c>
      <c r="RR164" s="21" t="str">
        <f t="shared" si="596"/>
        <v/>
      </c>
      <c r="RS164" s="21" t="str">
        <f t="shared" si="597"/>
        <v/>
      </c>
      <c r="RT164" s="21" t="str">
        <f t="shared" si="598"/>
        <v/>
      </c>
      <c r="RU164" s="21" t="str">
        <f t="shared" si="599"/>
        <v/>
      </c>
      <c r="RV164" s="21">
        <f t="shared" si="600"/>
        <v>-1</v>
      </c>
      <c r="RW164" s="284">
        <f>IF(OR(Tabla1[[#This Row],[FUM FORMULA CONFIABLE]]="",Tabla1[[#This Row],[FUM FORMULA CONFIABLE]]="SD"),"",IF(Tabla1[[#This Row],[FUM FORMULA CONFIABLE]]="CORREGIDA",Tabla1[[#This Row],[FUM X ECO 1]],Tabla1[[#This Row],[FUM x AMENORREA]]))</f>
        <v>45001.8</v>
      </c>
      <c r="RX164" s="21">
        <f>IF(AND(Tabla1[[#This Row],[FUM X ECO 1]]="",Tabla1[[#This Row],[FUM x AMENORREA]]=""),"",IF(AND(Tabla1[[#This Row],[FUM X ECO 1]]="",Tabla1[[#This Row],[FUM x AMENORREA]]&lt;&gt;""),"X",SUM(Tabla1[[#This Row],[FUM X ECO 1]]-Tabla1[[#This Row],[FUM x AMENORREA]])))</f>
        <v>6.8000000000029104</v>
      </c>
      <c r="RY164" s="21">
        <f t="shared" si="673"/>
        <v>1</v>
      </c>
    </row>
    <row r="165" spans="1:493" ht="45" customHeight="1" x14ac:dyDescent="0.25">
      <c r="A165" s="109"/>
      <c r="B165" s="43"/>
      <c r="C165" s="43" t="s">
        <v>845</v>
      </c>
      <c r="D165" s="124"/>
      <c r="E165" s="43" t="s">
        <v>943</v>
      </c>
      <c r="F165" s="43" t="s">
        <v>1144</v>
      </c>
      <c r="G165" s="43" t="s">
        <v>1468</v>
      </c>
      <c r="H165" s="43" t="s">
        <v>1281</v>
      </c>
      <c r="I165" s="109" t="s">
        <v>851</v>
      </c>
      <c r="J165" s="110">
        <v>1059607505</v>
      </c>
      <c r="K165" s="43" t="s">
        <v>852</v>
      </c>
      <c r="L165" s="175" t="s">
        <v>1509</v>
      </c>
      <c r="M165" s="22">
        <v>36347</v>
      </c>
      <c r="N165" s="213">
        <f t="shared" ca="1" si="601"/>
        <v>24.342465753424658</v>
      </c>
      <c r="O165" s="22">
        <v>45045</v>
      </c>
      <c r="P165" s="214" t="str">
        <f t="shared" si="675"/>
        <v>SI</v>
      </c>
      <c r="Q165" s="26" t="s">
        <v>855</v>
      </c>
      <c r="R165" s="22">
        <v>45045</v>
      </c>
      <c r="S165" s="21" t="s">
        <v>856</v>
      </c>
      <c r="T165" s="24" t="s">
        <v>690</v>
      </c>
      <c r="U165" s="21" t="s">
        <v>857</v>
      </c>
      <c r="V165" s="21" t="s">
        <v>858</v>
      </c>
      <c r="W165" s="21" t="s">
        <v>1469</v>
      </c>
      <c r="X165" s="21"/>
      <c r="Y165" s="21" t="s">
        <v>859</v>
      </c>
      <c r="Z165" s="21">
        <v>3153469684</v>
      </c>
      <c r="AA165" s="21" t="s">
        <v>860</v>
      </c>
      <c r="AB165" s="27" t="s">
        <v>861</v>
      </c>
      <c r="AC165" s="26" t="s">
        <v>888</v>
      </c>
      <c r="AD165" s="38" t="s">
        <v>1546</v>
      </c>
      <c r="AE165" s="26" t="s">
        <v>854</v>
      </c>
      <c r="AF165" s="26" t="s">
        <v>854</v>
      </c>
      <c r="AG165" s="23" t="s">
        <v>864</v>
      </c>
      <c r="AH165" s="23" t="s">
        <v>864</v>
      </c>
      <c r="AI165" s="24" t="s">
        <v>863</v>
      </c>
      <c r="AJ165" s="23" t="s">
        <v>864</v>
      </c>
      <c r="AK165" s="220" t="str">
        <f>IF(AND(AD165="",AE165="",AF165="",AG165="",AH165="",AI165="",AJ165=""),"",IF(OR(Tabla1[[#This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EVALUACIÓN",IF(AND(O165="",R165=""),"",IF(AND(OR(O165&gt;0,R165&gt;0),NG165&gt;=0,NG165&lt;2),"SIN RIESGO",IF(AND(OR(O165&gt;0,R165&gt;0),NG165&gt;=2),"CON RIESGO","ASD")))))</f>
        <v>SIN RIESGO</v>
      </c>
      <c r="AL165" s="23" t="s">
        <v>864</v>
      </c>
      <c r="AM165" s="26" t="s">
        <v>864</v>
      </c>
      <c r="AN165" s="26" t="s">
        <v>864</v>
      </c>
      <c r="AO165" s="26" t="s">
        <v>864</v>
      </c>
      <c r="AP165" s="26" t="s">
        <v>864</v>
      </c>
      <c r="AQ165" s="26" t="s">
        <v>864</v>
      </c>
      <c r="AR165" s="26" t="s">
        <v>864</v>
      </c>
      <c r="AS165" s="21">
        <v>1</v>
      </c>
      <c r="AT165" s="21">
        <v>1</v>
      </c>
      <c r="AU165" s="21">
        <v>0</v>
      </c>
      <c r="AV165" s="26" t="s">
        <v>864</v>
      </c>
      <c r="AW165" s="21">
        <v>0</v>
      </c>
      <c r="AX165" s="26" t="s">
        <v>864</v>
      </c>
      <c r="AY165" s="26" t="s">
        <v>864</v>
      </c>
      <c r="AZ165" s="26" t="s">
        <v>864</v>
      </c>
      <c r="BA165" s="26" t="s">
        <v>864</v>
      </c>
      <c r="BB165" s="26" t="s">
        <v>864</v>
      </c>
      <c r="BC165" s="26" t="s">
        <v>864</v>
      </c>
      <c r="BD165" s="26" t="s">
        <v>864</v>
      </c>
      <c r="BE165" s="26" t="s">
        <v>864</v>
      </c>
      <c r="BF165" s="26" t="s">
        <v>864</v>
      </c>
      <c r="BG165" s="26" t="s">
        <v>864</v>
      </c>
      <c r="BH165" s="26" t="s">
        <v>864</v>
      </c>
      <c r="BI165" s="26" t="s">
        <v>864</v>
      </c>
      <c r="BJ165" s="26" t="s">
        <v>864</v>
      </c>
      <c r="BK165" s="26" t="s">
        <v>864</v>
      </c>
      <c r="BL165" s="26" t="s">
        <v>864</v>
      </c>
      <c r="BM165" s="26" t="s">
        <v>864</v>
      </c>
      <c r="BN165" s="22">
        <v>43849</v>
      </c>
      <c r="BO165" s="22">
        <v>44944</v>
      </c>
      <c r="BP165" s="21" t="s">
        <v>1380</v>
      </c>
      <c r="BQ165" s="222">
        <f t="shared" si="602"/>
        <v>36.333333333333336</v>
      </c>
      <c r="BR165" s="223">
        <f t="shared" si="603"/>
        <v>44939</v>
      </c>
      <c r="BS165" s="224">
        <f t="shared" si="604"/>
        <v>15.142857142857142</v>
      </c>
      <c r="BT165" s="216" t="str">
        <f t="shared" si="605"/>
        <v>II TRIM</v>
      </c>
      <c r="BU165" s="214">
        <f t="shared" ca="1" si="606"/>
        <v>41.857142857142854</v>
      </c>
      <c r="BV165" s="25" t="s">
        <v>988</v>
      </c>
      <c r="BW165" s="22">
        <v>45121</v>
      </c>
      <c r="BX165" s="28">
        <v>26</v>
      </c>
      <c r="BY165" s="28"/>
      <c r="BZ165" s="22"/>
      <c r="CA165" s="21"/>
      <c r="CB165" s="26" t="s">
        <v>864</v>
      </c>
      <c r="CC165" s="26" t="s">
        <v>864</v>
      </c>
      <c r="CD165" s="26" t="s">
        <v>878</v>
      </c>
      <c r="CE165" s="26" t="s">
        <v>864</v>
      </c>
      <c r="CF165" s="22" t="s">
        <v>1517</v>
      </c>
      <c r="CG165" s="21">
        <v>1.46</v>
      </c>
      <c r="CH165" s="21">
        <v>48</v>
      </c>
      <c r="CI165" s="214">
        <f t="shared" si="607"/>
        <v>22.518296115593923</v>
      </c>
      <c r="CJ165" s="225" t="e">
        <f>IF(AND(CI165&lt;10,CH165="SD"),"SIN DATO PESO PREGESTACION O I TRIM",IF(AND(OR(R165&gt;0,O165&gt;0),CI165="X"),"INGRESAR DATO DE PESO",IF(CI165="SD","INGRESAR DATO DE TALLA Y PESO",IF(AND(OR(Tabla1[[#This Row],[MOMENTO EN QUE SE REALIZA EL PESO AL INGRESO A CPN]]="PREGESTACIÓN",NZ165="Menor"),CI165&lt;18.5),"BAJO PESO",IF(AND(OR(Tabla1[[#This Row],[MOMENTO EN QUE SE REALIZA EL PESO AL INGRESO A CPN]]="PREGESTACIÓN",NZ165="Menor"),CI165&lt;25),"NORMAL",IF(AND(OR(Tabla1[[#This Row],[MOMENTO EN QUE SE REALIZA EL PESO AL INGRESO A CPN]]="PREGESTACIÓN",NZ165="Menor"),CI165&lt;30),"SOBREPESO",IF(AND(OR(Tabla1[[#This Row],[MOMENTO EN QUE SE REALIZA EL PESO AL INGRESO A CPN]]="PREGESTACIÓN",NZ165="Menor"),CI165&gt;=30,CI165&lt;50),"OBESIDAD",IF(AND(BS165&gt;0,Tabla1[[#This Row],[MOMENTO EN QUE SE REALIZA EL PESO AL INGRESO A CPN]]="GESTACIÓN"),HLOOKUP(NZ165,$OA$2:PH165,NY165),""))))))))</f>
        <v>#REF!</v>
      </c>
      <c r="CK165" s="212">
        <f t="shared" si="608"/>
        <v>45118</v>
      </c>
      <c r="CL165" s="21">
        <v>54.2</v>
      </c>
      <c r="CM165" s="214">
        <f t="shared" si="609"/>
        <v>25.42690936385814</v>
      </c>
      <c r="CN165" s="216">
        <f t="shared" si="610"/>
        <v>25</v>
      </c>
      <c r="CO165" s="216" t="e">
        <f>IF(PI165="","",IF(PI165&gt;0,HLOOKUP(PI165,$PJ$2:QQ165,NY165),""))</f>
        <v>#REF!</v>
      </c>
      <c r="CP165" s="21">
        <v>26</v>
      </c>
      <c r="CQ165" s="216" t="e">
        <f>IF(QR165="Menor","NO APLICA-MENOR 13 SEM",IF(AND(CC165="SI",CN165&gt;23),"NO APLICA- GEMELAR",IF(QR165="","",IF(QR165&gt;0,HLOOKUP(QR165,$QS$2:RU165,NY165),""))))</f>
        <v>#REF!</v>
      </c>
      <c r="CR165" s="21"/>
      <c r="CS165" s="21"/>
      <c r="CT165" s="217" t="str">
        <f>IF(R165="","",IF(AND(BS165&gt;1,BS165&lt;12,Tabla1[[#This Row],[T.A. SISTOLICA - ANTES DE SEMANA 12]]="",Tabla1[[#This Row],[T.A. DIASTOLICA - ANTES DE SEMANA 12]]=""),"REGISTRE DATO TA ANTES SEMANA 12",IF(AND(BS165&gt;11,BS165&lt;43,Tabla1[[#This Row],[T.A. SISTOLICA - ANTES DE SEMANA 12]]="",Tabla1[[#This Row],[T.A. DIASTOLICA - ANTES DE SEMANA 12]]=""),"NO APLICA REGISTRO TA-INGRESO TARDIO",IF(AND(OR(O165&gt;0,R165&gt;0),OR(CR165&gt;=140,CS165&gt;=90)),"DEFINIR ESTADIO HTA",IF(AND(OR(O165&gt;0,R165&gt;0),AND(CR165&gt;120,CR165&lt;=139)),"PRE HTA SEGUIMIENTO",IF(AND(OR(O165&gt;0,R165&gt;0),AND(CS165&gt;80,CS165&lt;=89)),"PRE HTA SEGUIMIENTO",IF(AND(OR(O165&gt;0,R165&gt;0),AND(CR165&gt;=80,CR165&lt;=120)),"APARENTEMENTE NORMAL",IF(AND(OR(O165&gt;0,R165&gt;0),AND(CS165&gt;=50,CS165&lt;=80)),"APARENTEMENTE NORMAL",IF(AND(OR(O165&gt;0,R165&gt;0),AND(CR165&gt;1,CR165&lt;=70),AND(CS165&gt;1,CS165&lt;=40)),"HIPOTENSIÓN","")))))))))</f>
        <v>NO APLICA REGISTRO TA-INGRESO TARDIO</v>
      </c>
      <c r="CU165" s="21">
        <v>90</v>
      </c>
      <c r="CV165" s="21">
        <v>60</v>
      </c>
      <c r="CW165" s="217" t="str">
        <f ca="1">IF(R165="","",IF(AND(CN165&gt;19,CN165&lt;27,Tabla1[[#This Row],[T.A. SISTOLICA (Entre semana 20 y 26)]]="",Tabla1[[#This Row],[T.A. DIATOLICA (Entre semana 20 y 26)]]=""),"ACUDE A CONTROL SEM 20 A 26 REGISTRE TA AHORA",IF(AND(BS165&gt;1,BS165&lt;27,BU165&gt;19,Tabla1[[#This Row],[T.A. SISTOLICA (Entre semana 20 y 26)]]="",Tabla1[[#This Row],[T.A. DIATOLICA (Entre semana 20 y 26)]]=""),"COMPLETE REGISTRO TA CONTROL SEM 20 A26 ",IF(AND(BS165&gt;26,BS165&lt;43,Tabla1[[#This Row],[T.A. SISTOLICA (Entre semana 20 y 26)]]="",Tabla1[[#This Row],[T.A. DIATOLICA (Entre semana 20 y 26)]]=""),"NO APLICA REGISTRO TA-INGRESO TARDIO",IF(AND(OR(O165&gt;0,R165&gt;0),OR(CU165&gt;=140,CV165&gt;=90)),"ALTO RIESGO PREECLAMPSIA,DEFINIR ESTADIO HTA",IF(AND(OR(O165&gt;0,R165&gt;0),AND(CU165&gt;120,CU165&lt;=139)),"PRE HTA SEGUIMIENTO,RIESGO HIPERTENSION INDUCIDA POR EL EMBARAZO",IF(AND(OR(O165&gt;0,R165&gt;0),AND(CV165&gt;80,CV165&lt;=89)),"PRE HTA SEGUIMIENTO, RIESGO HIPERTENSION INDUCIDA POR EL EMBARAZO",IF(AND(OR(O165&lt;&gt;"",R165&lt;&gt;""),CS165&lt;&gt;"",CV165&lt;&gt;"",CS165&lt;=CV165),"VIGILAR CIFRAS PRESION ARTERIAL",IF(AND(OR(O165&gt;0,R165&gt;0),AND(CU165&gt;120,CU165&lt;=139)),"PRE HTA SEGUIMIENTO",IF(AND(OR(O165&gt;0,R165&gt;0),AND(CU165&gt;1,CU165&lt;=70),AND(CV165&gt;1,CV165&lt;=40)),"HIPOTENSIÓN",IF(AND(OR(O165&lt;&gt;"",R165&lt;&gt;""),CS165&lt;&gt;"",CV165&lt;&gt;"",CS165&gt;CV165),"APARENTEMENTE NORMAL",IF(AND(OR(O165&gt;0,R165&gt;0),AND(CU165&gt;=80,CU165&lt;=120)),"APARENTEMENTE NORMAL",IF(AND(OR(O165&gt;0,R165&gt;0),AND(CV165&gt;=50,CV165&lt;=80)),"APARENTEMENTE NORMAL","")))))))))))))</f>
        <v>APARENTEMENTE NORMAL</v>
      </c>
      <c r="CX165" s="21"/>
      <c r="CY165" s="21"/>
      <c r="CZ165" s="216" t="str">
        <f t="shared" si="690"/>
        <v/>
      </c>
      <c r="DA165" s="21">
        <v>100</v>
      </c>
      <c r="DB165" s="21">
        <v>60</v>
      </c>
      <c r="DC165" s="217" t="str">
        <f t="shared" si="611"/>
        <v>APARENTEMENTE NORMAL</v>
      </c>
      <c r="DD165" s="22">
        <v>45045</v>
      </c>
      <c r="DE165" s="22">
        <v>45045</v>
      </c>
      <c r="DF165" s="22">
        <v>45118</v>
      </c>
      <c r="DG165" s="22"/>
      <c r="DH165" s="22"/>
      <c r="DI165" s="22"/>
      <c r="DJ165" s="22"/>
      <c r="DK165" s="22"/>
      <c r="DL165" s="22"/>
      <c r="DM165" s="22"/>
      <c r="DN165" s="22"/>
      <c r="DO165" s="22"/>
      <c r="DP165" s="22"/>
      <c r="DQ165" s="22"/>
      <c r="DR165" s="28">
        <v>1</v>
      </c>
      <c r="DS165" s="22"/>
      <c r="DT165" s="22"/>
      <c r="DU165" s="216" t="str">
        <f t="shared" ca="1" si="676"/>
        <v>CONCERTAR PLAN DE PARTO INMEDIATO</v>
      </c>
      <c r="DV165" s="226" t="str">
        <f t="shared" si="677"/>
        <v>ACTIVA INGRESO A CPN</v>
      </c>
      <c r="DW16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65" s="216" t="e">
        <f t="shared" ca="1" si="612"/>
        <v>#REF!</v>
      </c>
      <c r="DY165" s="212">
        <f>IF(R165="","",IF(R165&gt;0,MAX(Tabla1[[#This Row],[FECHA C2]:[FECHA C13]],Tabla1[[#This Row],[FECHA CONSULTA PRIMERA VEZ PROGRAMA CPN ]])))</f>
        <v>45118</v>
      </c>
      <c r="DZ165" s="216">
        <f t="shared" si="613"/>
        <v>25</v>
      </c>
      <c r="EA165" s="222">
        <f>IF(R165&gt;0,SUM(COUNTA(DF165:DQ165)+COUNTA(Tabla1[[#This Row],[FECHA CONSULTA PRIMERA VEZ PROGRAMA CPN ]])),"")</f>
        <v>2</v>
      </c>
      <c r="EB165" s="222" t="str">
        <f t="shared" si="614"/>
        <v>NO</v>
      </c>
      <c r="EC165" s="214">
        <f t="shared" si="615"/>
        <v>8</v>
      </c>
      <c r="ED165" s="227">
        <f t="shared" si="616"/>
        <v>0.25</v>
      </c>
      <c r="EE165" s="22">
        <v>45045</v>
      </c>
      <c r="EF165" s="22"/>
      <c r="EG165" s="22">
        <v>45045</v>
      </c>
      <c r="EH165" s="22"/>
      <c r="EI165" s="22">
        <v>45045</v>
      </c>
      <c r="EJ165" s="22"/>
      <c r="EK165" s="22"/>
      <c r="EL165" s="21"/>
      <c r="EM165" s="21">
        <v>11.6</v>
      </c>
      <c r="EN165" s="22">
        <v>45121</v>
      </c>
      <c r="EO165" s="222">
        <f t="shared" si="617"/>
        <v>26</v>
      </c>
      <c r="EP165" s="214" t="str">
        <f t="shared" si="618"/>
        <v>NORMAL- SUMINISTRAR SULFATO FERROSO</v>
      </c>
      <c r="EQ165" s="216" t="str">
        <f t="shared" si="619"/>
        <v>II TRIM</v>
      </c>
      <c r="ER165" s="24"/>
      <c r="ES165" s="22"/>
      <c r="ET165" s="29" t="str">
        <f t="shared" ca="1" si="678"/>
        <v>TOMA DE HEMOGLOBINA TARDÍA</v>
      </c>
      <c r="EU165" s="25" t="str">
        <f t="shared" si="620"/>
        <v/>
      </c>
      <c r="EV165" s="24"/>
      <c r="EW165" s="24"/>
      <c r="EX165" s="22"/>
      <c r="EY165" s="29" t="str">
        <f t="shared" si="693"/>
        <v>TOMAR EXAMEN</v>
      </c>
      <c r="EZ165" s="25" t="str">
        <f t="shared" ca="1" si="694"/>
        <v/>
      </c>
      <c r="FA165" s="21"/>
      <c r="FB165" s="22"/>
      <c r="FC165" s="29" t="str">
        <f t="shared" si="621"/>
        <v>TOMAR EXAMEN</v>
      </c>
      <c r="FD165" s="29"/>
      <c r="FE165" s="29"/>
      <c r="FF165" s="29"/>
      <c r="FG165" s="21" t="str">
        <f t="shared" ca="1" si="622"/>
        <v>TOMAR PTOG</v>
      </c>
      <c r="FH165" s="31"/>
      <c r="FI165" s="29" t="str">
        <f t="shared" si="623"/>
        <v>TOMAR EXAMEN</v>
      </c>
      <c r="FJ165" s="22"/>
      <c r="FK165" s="22"/>
      <c r="FL165" s="29" t="str">
        <f t="shared" ca="1" si="624"/>
        <v>NO APLICA-INGRESO TARDIO</v>
      </c>
      <c r="FM165" s="22"/>
      <c r="FN165" s="32"/>
      <c r="FO165" s="29" t="str">
        <f t="shared" ca="1" si="679"/>
        <v>PIERDE TOMA DE TAMIZAJE</v>
      </c>
      <c r="FP165" s="22"/>
      <c r="FQ165" s="32"/>
      <c r="FR165" s="29" t="str">
        <f t="shared" ca="1" si="680"/>
        <v>TOMA INMEDIATA DE TAMIZAJE</v>
      </c>
      <c r="FS165" s="22"/>
      <c r="FT165" s="32"/>
      <c r="FU165" s="29" t="str">
        <f>IF(AND(FJ165="",FM165="",FP165="",FS165=""),"",IF(OR(OR(Tabla1[[#This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65" s="28"/>
      <c r="FW165" s="22"/>
      <c r="FX165" s="29" t="str">
        <f t="shared" si="625"/>
        <v>TOMAR EXAMEN</v>
      </c>
      <c r="FY165" s="22"/>
      <c r="FZ165" s="22"/>
      <c r="GA165" s="29" t="str">
        <f t="shared" ca="1" si="692"/>
        <v>NO APLICA-INGRESO TARDIO</v>
      </c>
      <c r="GB165" s="22"/>
      <c r="GC165" s="22"/>
      <c r="GD165" s="29" t="str">
        <f t="shared" ca="1" si="681"/>
        <v>PIERDE TOMA DE TAMIZAJE</v>
      </c>
      <c r="GE165" s="22"/>
      <c r="GF165" s="22"/>
      <c r="GG165" s="29" t="str">
        <f t="shared" ca="1" si="682"/>
        <v>TOMA INMEDIATA DE TAMIZAJE</v>
      </c>
      <c r="GH165" s="22"/>
      <c r="GI165" s="29"/>
      <c r="GJ165" s="22"/>
      <c r="GK165" s="22"/>
      <c r="GL165" s="22"/>
      <c r="GM165" s="22"/>
      <c r="GN165" s="28"/>
      <c r="GO165" s="22"/>
      <c r="GP165" s="29" t="str">
        <f t="shared" si="626"/>
        <v>TOMAR EXAMEN</v>
      </c>
      <c r="GQ165" s="28"/>
      <c r="GR165" s="28"/>
      <c r="GS165" s="22"/>
      <c r="GT165" s="22"/>
      <c r="GU165" s="29" t="str">
        <f t="shared" si="628"/>
        <v>TOMAR EXAMEN</v>
      </c>
      <c r="GV165" s="21" t="str">
        <f t="shared" si="629"/>
        <v>POR DEFINIR</v>
      </c>
      <c r="GW165" s="28"/>
      <c r="GX165" s="30"/>
      <c r="GY165" s="21"/>
      <c r="GZ165" s="21"/>
      <c r="HA165" s="21"/>
      <c r="HB165" s="21"/>
      <c r="HC165" s="21"/>
      <c r="HD165" s="21"/>
      <c r="HE165" s="21"/>
      <c r="HF165" s="22"/>
      <c r="HG165" s="22" t="str">
        <f>IF(OR(O165&gt;0,R165&gt;0),CONCATENATE(IF(Tabla1[[#This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65" s="22" t="e">
        <f t="shared" si="630"/>
        <v>#REF!</v>
      </c>
      <c r="HI165" s="22" t="e">
        <f t="shared" ca="1" si="631"/>
        <v>#REF!</v>
      </c>
      <c r="HJ165" s="21" t="str">
        <f t="shared" ca="1" si="632"/>
        <v>***************************EMBARAZO PROLONGADO************</v>
      </c>
      <c r="HK165" s="21" t="str">
        <f t="shared" si="633"/>
        <v>SIN ANTECEDENTES DE RIESGO</v>
      </c>
      <c r="HL165" s="24" t="str">
        <f t="shared" si="634"/>
        <v>APARENTEMENTE NORMAL</v>
      </c>
      <c r="HM165" s="21" t="e">
        <f t="shared" ca="1" si="635"/>
        <v>#REF!</v>
      </c>
      <c r="HN165" s="30" t="str">
        <f t="shared" si="683"/>
        <v>ACTIVA INGRESO A CPN</v>
      </c>
      <c r="HO165" s="21"/>
      <c r="HP165" s="21"/>
      <c r="HQ165" s="349"/>
      <c r="HR165" s="21" t="str">
        <f>IF(R165="","",IF(Tabla1[[#This Row],[ALARMA FACTORES DE RIESGO COMPLICACIONES HIPERTENSIVAS3]]="SIN ANTECEDENTES DE RIESGO","No Aplica para suministro de ASA",IF(AND(Tabla1[[#This Row],[FECHA INICIO DE SUMINISTRO DE ASA]]&gt;0,RV165&lt;12),"Inicia ASA ANTES de Sem 12",IF(AND(RV165&gt;11,RV165&lt;17,OR(HK165="RIESGO ALTO DE COMPLICACIONES HIPERTENSIVAS VER MANEJO GUIA SUMINISTRO ASA Y CALCIO",HK165="RIESGO MODERADO (2 O MAS CRITERIOS) VER MANEJO GUIA SUMINISTRO ASA Y CALCIO")),"Inicio oportuno de ASA",IF(AND(RV165&gt;12,OR(HK165="RIESGO ALTO DE COMPLICACIONES HIPERTENSIVAS VER MANEJO GUIA SUMINISTRO ASA Y CALCIO",HK165="RIESGO MODERADO (2 O MAS CRITERIOS) VER MANEJO GUIA SUMINISTRO ASA Y CALCIO")),"Inicio no oportuno mayor a 16 semanas",IF(AND(BU165&lt;12,OR(HK165="RIESGO ALTO DE COMPLICACIONES HIPERTENSIVAS VER MANEJO GUIA SUMINISTRO ASA Y CALCIO",HK165="RIESGO MODERADO (2 O MAS CRITERIOS) VER MANEJO GUIA SUMINISTRO ASA Y CALCIO")),"Pendiente Inicio de ASA a la semana 12",IF(AND(BU165&gt;11,BU165&lt;17,OR(HK165="RIESGO ALTO DE COMPLICACIONES HIPERTENSIVAS VER MANEJO GUIA SUMINISTRO ASA Y CALCIO",HK165="RIESGO MODERADO (2 O MAS CRITERIOS) VER MANEJO GUIA SUMINISTRO ASA Y CALCIO")),"Iniciar de inmediato ASA",IF(AND(BU165&gt;16,OR(HK165="RIESGO ALTO DE COMPLICACIONES HIPERTENSIVAS VER MANEJO GUIA SUMINISTRO ASA Y CALCIO",HK165="RIESGO MODERADO (2 O MAS CRITERIOS) VER MANEJO GUIA SUMINISTRO ASA Y CALCIO")),"Pierde Oportunidad, Inicio tardío de ASA","XXXXX"))))))))</f>
        <v>No Aplica para suministro de ASA</v>
      </c>
      <c r="HS165" s="22"/>
      <c r="HT165" s="22"/>
      <c r="HU165" s="22">
        <v>45045</v>
      </c>
      <c r="HV165" s="22" t="s">
        <v>870</v>
      </c>
      <c r="HW165" s="22">
        <v>45045</v>
      </c>
      <c r="HX165" s="22" t="s">
        <v>870</v>
      </c>
      <c r="HY165" s="22"/>
      <c r="HZ165" s="28" t="str">
        <f t="shared" si="636"/>
        <v>PENDIENTE CONSULTA</v>
      </c>
      <c r="IA165" s="26"/>
      <c r="IB165" s="26"/>
      <c r="IC165" s="111">
        <v>45118</v>
      </c>
      <c r="ID165" s="111">
        <v>45118</v>
      </c>
      <c r="IE165" s="22" t="str">
        <f t="shared" ca="1" si="637"/>
        <v>VACUNA APLICADA ENTRE SEMANA 20 Y SEMANA 26</v>
      </c>
      <c r="IF165" s="22"/>
      <c r="IG165" s="22">
        <f t="shared" si="638"/>
        <v>45219</v>
      </c>
      <c r="IH165" s="29">
        <f t="shared" ca="1" si="639"/>
        <v>-13</v>
      </c>
      <c r="II165" s="22" t="str">
        <f t="shared" ca="1" si="640"/>
        <v>POSIBLEMENTE NACIO</v>
      </c>
      <c r="IJ165" s="22"/>
      <c r="IK165" s="21"/>
      <c r="IL165" s="21"/>
      <c r="IM165" s="34"/>
      <c r="IN165" s="22"/>
      <c r="IO165" s="21"/>
      <c r="IP165" s="29" t="str">
        <f t="shared" si="674"/>
        <v/>
      </c>
      <c r="IQ165" s="35"/>
      <c r="IR165" s="21"/>
      <c r="IS165" s="21"/>
      <c r="IT165" s="21"/>
      <c r="IU165" s="21"/>
      <c r="IV165" s="21"/>
      <c r="IW165" s="21"/>
      <c r="IX165" s="21"/>
      <c r="IY165" s="21"/>
      <c r="IZ165" s="21"/>
      <c r="JA165" s="21"/>
      <c r="JB165" s="30"/>
      <c r="JC165" s="21"/>
      <c r="JD165" s="36"/>
      <c r="JE165" s="21" t="str">
        <f t="shared" si="684"/>
        <v/>
      </c>
      <c r="JF165" s="30"/>
      <c r="JG165" s="21"/>
      <c r="JH165" s="21"/>
      <c r="JI165" s="21"/>
      <c r="JJ165" s="30"/>
      <c r="JK165" s="22"/>
      <c r="JL165" s="22"/>
      <c r="JM165" s="21"/>
      <c r="JN165" s="36"/>
      <c r="JO165" s="21" t="str">
        <f t="shared" si="685"/>
        <v/>
      </c>
      <c r="JP165" s="22"/>
      <c r="JQ165" s="21"/>
      <c r="JR165" s="21"/>
      <c r="JS165" s="21"/>
      <c r="JT165" s="30"/>
      <c r="JU165" s="22"/>
      <c r="JV165" s="22"/>
      <c r="JW165" s="33"/>
      <c r="JX165" s="28" t="str">
        <f t="shared" si="686"/>
        <v/>
      </c>
      <c r="JY165" s="33"/>
      <c r="JZ165" s="28" t="str">
        <f t="shared" si="687"/>
        <v/>
      </c>
      <c r="KA165" s="21"/>
      <c r="KB165" s="21"/>
      <c r="KC165" s="21"/>
      <c r="KD165" s="37"/>
      <c r="KE165" s="28"/>
      <c r="KF165" s="28"/>
      <c r="KG165" s="28"/>
      <c r="KH165" s="39"/>
      <c r="KI165" s="39"/>
      <c r="KJ165" s="66"/>
      <c r="KK165" s="39"/>
      <c r="KL165" s="39"/>
      <c r="KM165" s="66"/>
      <c r="KN165" s="39"/>
      <c r="KO165" s="39"/>
      <c r="KP165" s="39"/>
      <c r="KQ165" s="39"/>
      <c r="KR165" s="39"/>
      <c r="KS165" s="39"/>
      <c r="KT165" s="39"/>
      <c r="KU165" s="38"/>
      <c r="KV165" s="38"/>
      <c r="KW165" s="38"/>
      <c r="KX165" s="38"/>
      <c r="KY165" s="38"/>
      <c r="KZ165" s="38"/>
      <c r="LA165" s="38"/>
      <c r="LB165" s="38"/>
      <c r="LC165" s="38"/>
      <c r="LD165" s="38"/>
      <c r="LE165" s="38"/>
      <c r="LF165" s="38"/>
      <c r="LG165" s="38"/>
      <c r="LH165" s="38"/>
      <c r="LI165" s="38"/>
      <c r="LJ165" s="38"/>
      <c r="LK165" s="38"/>
      <c r="LL165" s="38"/>
      <c r="LM165" s="38"/>
      <c r="LN165" s="38"/>
      <c r="LO165" s="38"/>
      <c r="LP165" s="38"/>
      <c r="LQ165" s="38"/>
      <c r="LR165" s="38"/>
      <c r="LS165" s="38"/>
      <c r="LT165" s="38"/>
      <c r="LU165" s="38"/>
      <c r="LV165" s="38"/>
      <c r="LW165" s="38"/>
      <c r="LX165" s="38"/>
      <c r="LY165" s="38"/>
      <c r="LZ165" s="38"/>
      <c r="MA165" s="38"/>
      <c r="MB165" s="38"/>
      <c r="MC165" s="38"/>
      <c r="MD165" s="38"/>
      <c r="ME165" s="38"/>
      <c r="MF165" s="38"/>
      <c r="MG165" s="38"/>
      <c r="MH165" s="43">
        <f t="shared" si="697"/>
        <v>0</v>
      </c>
      <c r="MI165" s="43" t="str">
        <f t="shared" si="698"/>
        <v/>
      </c>
      <c r="MJ165" s="43" t="str">
        <f t="shared" si="699"/>
        <v/>
      </c>
      <c r="MK165" s="43">
        <f t="shared" si="700"/>
        <v>0</v>
      </c>
      <c r="ML16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65" s="43">
        <f t="shared" si="701"/>
        <v>15.142857142857142</v>
      </c>
      <c r="MN165" s="43">
        <f t="shared" si="702"/>
        <v>4</v>
      </c>
      <c r="MO165" s="43">
        <f t="shared" si="703"/>
        <v>2023</v>
      </c>
      <c r="MP165" s="43" t="str">
        <f t="shared" si="704"/>
        <v>II TRIMESTRE AÑO</v>
      </c>
      <c r="MQ165" s="43">
        <f t="shared" si="705"/>
        <v>23.469667104686817</v>
      </c>
      <c r="MR165" s="43">
        <f t="shared" si="706"/>
        <v>0</v>
      </c>
      <c r="MS165" s="43" t="str">
        <f t="shared" si="707"/>
        <v xml:space="preserve"> DE 20 A 24 AÑOS</v>
      </c>
      <c r="MT165" s="43">
        <f t="shared" si="708"/>
        <v>0</v>
      </c>
      <c r="MU165" s="43">
        <f t="shared" si="709"/>
        <v>0</v>
      </c>
      <c r="MV165" s="43">
        <f t="shared" si="710"/>
        <v>0</v>
      </c>
      <c r="MW165" s="43">
        <f t="shared" si="711"/>
        <v>0</v>
      </c>
      <c r="MX165" s="43" t="str">
        <f t="shared" si="712"/>
        <v/>
      </c>
      <c r="MY165" s="43">
        <f t="shared" ca="1" si="688"/>
        <v>1</v>
      </c>
      <c r="MZ165" s="43" t="str">
        <f t="shared" si="713"/>
        <v/>
      </c>
      <c r="NA165" s="43">
        <f t="shared" si="714"/>
        <v>0</v>
      </c>
      <c r="NB165" s="43" t="str">
        <f t="shared" si="715"/>
        <v/>
      </c>
      <c r="NC165" s="43" t="str">
        <f t="shared" si="716"/>
        <v/>
      </c>
      <c r="ND165" s="43">
        <f t="shared" ca="1" si="717"/>
        <v>1</v>
      </c>
      <c r="NE165" s="43">
        <f>IF(OR(O165&gt;0,R165&gt;0),SUM(COUNTIF(Tabla1[[#This Row],[AÑOS AL INICIO5 CPN]],"&gt;=40"),COUNTIF(AS165,"0"),COUNTIF(AR165,"SI"),COUNTIF(CC165,"SI"),COUNTIF(BQ165,"&gt;119"),COUNTIF(CI165,"&gt;=35")),"")</f>
        <v>0</v>
      </c>
      <c r="NF165" s="43">
        <f t="shared" si="718"/>
        <v>25.571428571428573</v>
      </c>
      <c r="NG165" s="43">
        <f t="shared" si="719"/>
        <v>0</v>
      </c>
      <c r="NH165" s="43">
        <f t="shared" si="720"/>
        <v>182</v>
      </c>
      <c r="NI16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CPN",P165="NO"),"Z",IF(AND(Tabla1[[#This Row],[CITA PROXIMO CONTROL]]="CITA MANUAL",Tabla1[[#This Row],[GESTANTES ACTUALES]]="ACTIVA INGRESO A CPN"),"W",IF(AND(Tabla1[[#This Row],[GESTANTES ACTUALES]]="SALIO PROGRAMA",IN165=""),"S",IF(AND(Tabla1[[#This Row],[CITA PROXIMO CONTROL]]&gt;0,IN165=""),(Tabla1[[#This Row],[CITA PROXIMO CONTROL]]-TODAY()),"SD"))))))))</f>
        <v>#REF!</v>
      </c>
      <c r="NJ165" s="43">
        <f>MONTH(Tabla1[[#This Row],[FECHA DE SALIDA  DEL PROGRAMA]])</f>
        <v>1</v>
      </c>
      <c r="NK165" s="43">
        <f>YEAR(Tabla1[[#This Row],[FECHA DE SALIDA  DEL PROGRAMA]])</f>
        <v>1900</v>
      </c>
      <c r="NL165" s="43" t="str">
        <f t="shared" si="721"/>
        <v>X</v>
      </c>
      <c r="NM165" s="43" t="str">
        <f t="shared" si="695"/>
        <v>NO</v>
      </c>
      <c r="NN165" s="43" t="str">
        <f ca="1">IF(AND(O165&gt;0,R165=""),"NO CPN",IF(AND(O165="",R165=""),"",IF(AND(R165&gt;0,Tabla1[[#This Row],[SEMANAS DE GESTACION ACTUALIZADAS]]&lt;=12),"NO APLICA",IF(AND(FH165&lt;&gt;"",FN165&lt;&gt;""),"SI","NO"))))</f>
        <v>NO</v>
      </c>
      <c r="NO165" s="43" t="str">
        <f ca="1">IF(AND(O165&gt;0,R165=""),"NO CPN",IF(AND(O165="",R165=""),"",IF(AND(R165&gt;0,Tabla1[[#This Row],[SEMANAS DE GESTACION ACTUALIZADAS]]&lt;=27),"NO APLICA",IF(AND(ES165&lt;&gt;"",FQ165&lt;&gt;"",GF165&lt;&gt;""),"SI","NO"))))</f>
        <v>NO</v>
      </c>
      <c r="NP165" s="204" t="str">
        <f t="shared" si="722"/>
        <v>II TRIM</v>
      </c>
      <c r="NQ165" s="21">
        <f t="shared" si="691"/>
        <v>10</v>
      </c>
      <c r="NR165" s="21">
        <f t="shared" ca="1" si="689"/>
        <v>2</v>
      </c>
      <c r="NS165" s="205">
        <f t="shared" ca="1" si="723"/>
        <v>0</v>
      </c>
      <c r="NT165" s="21">
        <f t="shared" ca="1" si="724"/>
        <v>0</v>
      </c>
      <c r="NU165" s="21" t="str">
        <f t="shared" ca="1" si="725"/>
        <v>INCOMPLETO</v>
      </c>
      <c r="NV165" s="21" t="str">
        <f t="shared" ca="1" si="726"/>
        <v>INCOMPLETO</v>
      </c>
      <c r="NW165" s="206" t="str">
        <f>IF(AND(O165="",R165=""),"",IF(OR(AND(Tabla1[[#This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65" s="207" t="str">
        <f t="shared" ca="1" si="727"/>
        <v>VACUNADA</v>
      </c>
      <c r="NY165" s="43">
        <f>ROW(Tabla1[[#This Row],['# DE TAMIZAJES SIFILIS TOMADOS ]])</f>
        <v>165</v>
      </c>
      <c r="NZ165" s="43">
        <f t="shared" si="502"/>
        <v>15</v>
      </c>
      <c r="OA165" s="43" t="str">
        <f t="shared" si="503"/>
        <v/>
      </c>
      <c r="OB165" s="43" t="str">
        <f t="shared" si="504"/>
        <v/>
      </c>
      <c r="OC165" s="43" t="str">
        <f t="shared" si="505"/>
        <v/>
      </c>
      <c r="OD165" s="43" t="str">
        <f t="shared" si="506"/>
        <v/>
      </c>
      <c r="OE165" s="43" t="str">
        <f t="shared" si="507"/>
        <v/>
      </c>
      <c r="OF165" s="43" t="str">
        <f t="shared" si="508"/>
        <v/>
      </c>
      <c r="OG165" s="43" t="str">
        <f t="shared" si="509"/>
        <v>NORMAL</v>
      </c>
      <c r="OH165" s="43" t="str">
        <f t="shared" si="510"/>
        <v/>
      </c>
      <c r="OI165" s="43" t="str">
        <f t="shared" si="511"/>
        <v/>
      </c>
      <c r="OJ165" s="43" t="str">
        <f t="shared" si="512"/>
        <v/>
      </c>
      <c r="OK165" s="43" t="str">
        <f t="shared" si="513"/>
        <v/>
      </c>
      <c r="OL165" s="43" t="str">
        <f t="shared" si="514"/>
        <v/>
      </c>
      <c r="OM165" s="43" t="str">
        <f t="shared" si="515"/>
        <v/>
      </c>
      <c r="ON165" s="43" t="str">
        <f t="shared" si="516"/>
        <v/>
      </c>
      <c r="OO165" s="43" t="str">
        <f t="shared" si="517"/>
        <v/>
      </c>
      <c r="OP165" s="43" t="str">
        <f t="shared" si="518"/>
        <v/>
      </c>
      <c r="OQ165" s="43" t="str">
        <f t="shared" si="519"/>
        <v/>
      </c>
      <c r="OR165" s="43" t="str">
        <f t="shared" si="520"/>
        <v/>
      </c>
      <c r="OS165" s="43" t="str">
        <f t="shared" si="521"/>
        <v/>
      </c>
      <c r="OT165" s="43" t="str">
        <f t="shared" si="522"/>
        <v/>
      </c>
      <c r="OU165" s="43" t="str">
        <f t="shared" si="523"/>
        <v/>
      </c>
      <c r="OV165" s="110" t="str">
        <f t="shared" si="524"/>
        <v/>
      </c>
      <c r="OW165" s="43" t="str">
        <f t="shared" si="525"/>
        <v/>
      </c>
      <c r="OX165" s="43" t="str">
        <f t="shared" si="526"/>
        <v/>
      </c>
      <c r="OY165" s="43" t="str">
        <f t="shared" si="527"/>
        <v/>
      </c>
      <c r="OZ165" s="43" t="str">
        <f t="shared" si="528"/>
        <v/>
      </c>
      <c r="PA165" s="43" t="str">
        <f t="shared" si="529"/>
        <v/>
      </c>
      <c r="PB165" s="43" t="str">
        <f t="shared" si="530"/>
        <v/>
      </c>
      <c r="PC165" s="43" t="str">
        <f t="shared" si="531"/>
        <v/>
      </c>
      <c r="PD165" s="43" t="str">
        <f t="shared" si="532"/>
        <v/>
      </c>
      <c r="PE165" s="43" t="str">
        <f t="shared" si="533"/>
        <v/>
      </c>
      <c r="PF165" s="43" t="str">
        <f t="shared" si="534"/>
        <v/>
      </c>
      <c r="PG165" s="43" t="str">
        <f t="shared" si="535"/>
        <v/>
      </c>
      <c r="PH165" s="43" t="str">
        <f t="shared" si="536"/>
        <v/>
      </c>
      <c r="PI165" s="43">
        <f t="shared" si="537"/>
        <v>25</v>
      </c>
      <c r="PJ165" s="43" t="str">
        <f t="shared" si="538"/>
        <v/>
      </c>
      <c r="PK165" s="43" t="str">
        <f t="shared" si="539"/>
        <v/>
      </c>
      <c r="PL165" s="43" t="str">
        <f t="shared" si="540"/>
        <v/>
      </c>
      <c r="PM165" s="43" t="str">
        <f t="shared" si="541"/>
        <v/>
      </c>
      <c r="PN165" s="43" t="str">
        <f t="shared" si="542"/>
        <v/>
      </c>
      <c r="PO165" s="43" t="str">
        <f t="shared" si="543"/>
        <v/>
      </c>
      <c r="PP165" s="43" t="str">
        <f t="shared" si="544"/>
        <v/>
      </c>
      <c r="PQ165" s="43" t="str">
        <f t="shared" si="545"/>
        <v/>
      </c>
      <c r="PR165" s="43" t="str">
        <f t="shared" si="546"/>
        <v/>
      </c>
      <c r="PS165" s="43" t="str">
        <f t="shared" si="547"/>
        <v/>
      </c>
      <c r="PT165" s="43" t="str">
        <f t="shared" si="548"/>
        <v/>
      </c>
      <c r="PU165" s="43" t="str">
        <f t="shared" si="549"/>
        <v/>
      </c>
      <c r="PV165" s="43" t="str">
        <f t="shared" si="550"/>
        <v/>
      </c>
      <c r="PW165" s="43" t="str">
        <f t="shared" si="551"/>
        <v/>
      </c>
      <c r="PX165" s="43" t="str">
        <f t="shared" si="552"/>
        <v/>
      </c>
      <c r="PY165" s="43" t="str">
        <f t="shared" si="553"/>
        <v/>
      </c>
      <c r="PZ165" s="43" t="str">
        <f t="shared" si="554"/>
        <v>NORMAL</v>
      </c>
      <c r="QA165" s="43" t="str">
        <f t="shared" si="555"/>
        <v/>
      </c>
      <c r="QB165" s="43" t="str">
        <f t="shared" si="556"/>
        <v/>
      </c>
      <c r="QC165" s="43" t="str">
        <f t="shared" si="557"/>
        <v/>
      </c>
      <c r="QD165" s="43" t="str">
        <f t="shared" si="558"/>
        <v/>
      </c>
      <c r="QE165" s="43" t="str">
        <f t="shared" si="559"/>
        <v/>
      </c>
      <c r="QF165" s="43" t="str">
        <f t="shared" si="560"/>
        <v/>
      </c>
      <c r="QG165" s="43" t="str">
        <f t="shared" si="561"/>
        <v/>
      </c>
      <c r="QH165" s="43" t="str">
        <f t="shared" si="562"/>
        <v/>
      </c>
      <c r="QI165" s="43" t="str">
        <f t="shared" si="563"/>
        <v/>
      </c>
      <c r="QJ165" s="43" t="str">
        <f t="shared" si="564"/>
        <v/>
      </c>
      <c r="QK165" s="43" t="str">
        <f t="shared" si="565"/>
        <v/>
      </c>
      <c r="QL165" s="43" t="str">
        <f t="shared" si="566"/>
        <v/>
      </c>
      <c r="QM165" s="43" t="str">
        <f t="shared" si="567"/>
        <v/>
      </c>
      <c r="QN165" s="43" t="str">
        <f t="shared" si="568"/>
        <v/>
      </c>
      <c r="QO165" s="43" t="str">
        <f t="shared" si="569"/>
        <v/>
      </c>
      <c r="QP165" s="43" t="str">
        <f t="shared" si="570"/>
        <v/>
      </c>
      <c r="QQ165" s="43" t="str">
        <f t="shared" si="571"/>
        <v/>
      </c>
      <c r="QR165" s="43">
        <f t="shared" si="672"/>
        <v>25</v>
      </c>
      <c r="QS165" s="43"/>
      <c r="QT165" s="21" t="str">
        <f t="shared" si="572"/>
        <v/>
      </c>
      <c r="QU165" s="21" t="str">
        <f t="shared" si="573"/>
        <v/>
      </c>
      <c r="QV165" s="21" t="str">
        <f t="shared" si="574"/>
        <v/>
      </c>
      <c r="QW165" s="21" t="str">
        <f t="shared" si="575"/>
        <v/>
      </c>
      <c r="QX165" s="21" t="str">
        <f t="shared" si="576"/>
        <v/>
      </c>
      <c r="QY165" s="21" t="str">
        <f t="shared" si="577"/>
        <v/>
      </c>
      <c r="QZ165" s="21" t="str">
        <f t="shared" si="578"/>
        <v/>
      </c>
      <c r="RA165" s="21" t="str">
        <f t="shared" si="579"/>
        <v/>
      </c>
      <c r="RB165" s="21" t="str">
        <f t="shared" si="580"/>
        <v/>
      </c>
      <c r="RC165" s="21" t="str">
        <f t="shared" si="581"/>
        <v/>
      </c>
      <c r="RD165" s="21" t="str">
        <f t="shared" si="582"/>
        <v/>
      </c>
      <c r="RE165" s="21" t="str">
        <f t="shared" si="583"/>
        <v/>
      </c>
      <c r="RF165" s="21" t="str">
        <f t="shared" si="584"/>
        <v>ALTO PARA EDAD GESTACIONAL</v>
      </c>
      <c r="RG165" s="21" t="str">
        <f t="shared" si="585"/>
        <v/>
      </c>
      <c r="RH165" s="21" t="str">
        <f t="shared" si="586"/>
        <v/>
      </c>
      <c r="RI165" s="21" t="str">
        <f t="shared" si="587"/>
        <v/>
      </c>
      <c r="RJ165" s="21" t="str">
        <f t="shared" si="588"/>
        <v/>
      </c>
      <c r="RK165" s="21" t="str">
        <f t="shared" si="589"/>
        <v/>
      </c>
      <c r="RL165" s="21" t="str">
        <f t="shared" si="590"/>
        <v/>
      </c>
      <c r="RM165" s="21" t="str">
        <f t="shared" si="591"/>
        <v/>
      </c>
      <c r="RN165" s="21" t="str">
        <f t="shared" si="592"/>
        <v/>
      </c>
      <c r="RO165" s="21" t="str">
        <f t="shared" si="593"/>
        <v/>
      </c>
      <c r="RP165" s="21" t="str">
        <f t="shared" si="594"/>
        <v/>
      </c>
      <c r="RQ165" s="21" t="str">
        <f t="shared" si="595"/>
        <v/>
      </c>
      <c r="RR165" s="21" t="str">
        <f t="shared" si="596"/>
        <v/>
      </c>
      <c r="RS165" s="21" t="str">
        <f t="shared" si="597"/>
        <v/>
      </c>
      <c r="RT165" s="21" t="str">
        <f t="shared" si="598"/>
        <v/>
      </c>
      <c r="RU165" s="21" t="str">
        <f t="shared" si="599"/>
        <v/>
      </c>
      <c r="RV165" s="21">
        <f t="shared" si="600"/>
        <v>-1</v>
      </c>
      <c r="RW165" s="284">
        <f>IF(OR(Tabla1[[#This Row],[FUM FORMULA CONFIABLE]]="",Tabla1[[#This Row],[FUM FORMULA CONFIABLE]]="SD"),"",IF(Tabla1[[#This Row],[FUM FORMULA CONFIABLE]]="CORREGIDA",Tabla1[[#This Row],[FUM X ECO 1]],Tabla1[[#This Row],[FUM x AMENORREA]]))</f>
        <v>44939</v>
      </c>
      <c r="RX165" s="21">
        <f>IF(AND(Tabla1[[#This Row],[FUM X ECO 1]]="",Tabla1[[#This Row],[FUM x AMENORREA]]=""),"",IF(AND(Tabla1[[#This Row],[FUM X ECO 1]]="",Tabla1[[#This Row],[FUM x AMENORREA]]&lt;&gt;""),"X",SUM(Tabla1[[#This Row],[FUM X ECO 1]]-Tabla1[[#This Row],[FUM x AMENORREA]])))</f>
        <v>-5</v>
      </c>
      <c r="RY165" s="21">
        <f t="shared" si="673"/>
        <v>0</v>
      </c>
    </row>
    <row r="166" spans="1:493" ht="45" customHeight="1" x14ac:dyDescent="0.25">
      <c r="A166" s="109"/>
      <c r="B166" s="43"/>
      <c r="C166" s="43" t="s">
        <v>845</v>
      </c>
      <c r="D166" s="124"/>
      <c r="E166" s="43" t="s">
        <v>1470</v>
      </c>
      <c r="F166" s="43" t="s">
        <v>874</v>
      </c>
      <c r="G166" s="43" t="s">
        <v>1217</v>
      </c>
      <c r="H166" s="43" t="s">
        <v>1471</v>
      </c>
      <c r="I166" s="109" t="s">
        <v>851</v>
      </c>
      <c r="J166" s="110">
        <v>1059600344</v>
      </c>
      <c r="K166" s="43" t="s">
        <v>852</v>
      </c>
      <c r="L166" s="175" t="s">
        <v>1509</v>
      </c>
      <c r="M166" s="22">
        <v>33562</v>
      </c>
      <c r="N166" s="213">
        <f t="shared" ca="1" si="601"/>
        <v>31.972602739726028</v>
      </c>
      <c r="O166" s="22">
        <v>45044</v>
      </c>
      <c r="P166" s="214" t="str">
        <f t="shared" si="675"/>
        <v>SI</v>
      </c>
      <c r="Q166" s="26" t="s">
        <v>855</v>
      </c>
      <c r="R166" s="22">
        <v>45044</v>
      </c>
      <c r="S166" s="21" t="s">
        <v>856</v>
      </c>
      <c r="T166" s="24" t="s">
        <v>690</v>
      </c>
      <c r="U166" s="21" t="s">
        <v>857</v>
      </c>
      <c r="V166" s="21" t="s">
        <v>858</v>
      </c>
      <c r="W166" s="21" t="s">
        <v>859</v>
      </c>
      <c r="X166" s="21"/>
      <c r="Y166" s="21"/>
      <c r="Z166" s="21"/>
      <c r="AA166" s="21" t="s">
        <v>860</v>
      </c>
      <c r="AB166" s="27" t="s">
        <v>861</v>
      </c>
      <c r="AC166" s="26" t="s">
        <v>862</v>
      </c>
      <c r="AD166" s="38" t="s">
        <v>846</v>
      </c>
      <c r="AE166" s="26" t="s">
        <v>854</v>
      </c>
      <c r="AF166" s="26" t="s">
        <v>854</v>
      </c>
      <c r="AG166" s="23" t="s">
        <v>864</v>
      </c>
      <c r="AH166" s="23" t="s">
        <v>864</v>
      </c>
      <c r="AI166" s="24" t="s">
        <v>863</v>
      </c>
      <c r="AJ166" s="23" t="s">
        <v>864</v>
      </c>
      <c r="AK166" s="220" t="str">
        <f>IF(AND(AD166="",AE166="",AF166="",AG166="",AH166="",AI166="",AJ166=""),"",IF(OR(Tabla1[[#This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EVALUACIÓN",IF(AND(O166="",R166=""),"",IF(AND(OR(O166&gt;0,R166&gt;0),NG166&gt;=0,NG166&lt;2),"SIN RIESGO",IF(AND(OR(O166&gt;0,R166&gt;0),NG166&gt;=2),"CON RIESGO","ASD")))))</f>
        <v>SIN RIESGO</v>
      </c>
      <c r="AL166" s="23" t="s">
        <v>864</v>
      </c>
      <c r="AM166" s="26" t="s">
        <v>864</v>
      </c>
      <c r="AN166" s="26" t="s">
        <v>864</v>
      </c>
      <c r="AO166" s="26" t="s">
        <v>864</v>
      </c>
      <c r="AP166" s="26" t="s">
        <v>864</v>
      </c>
      <c r="AQ166" s="26" t="s">
        <v>864</v>
      </c>
      <c r="AR166" s="26" t="s">
        <v>864</v>
      </c>
      <c r="AS166" s="21">
        <v>5</v>
      </c>
      <c r="AT166" s="21">
        <v>5</v>
      </c>
      <c r="AU166" s="21">
        <v>0</v>
      </c>
      <c r="AV166" s="26" t="s">
        <v>864</v>
      </c>
      <c r="AW166" s="21">
        <v>0</v>
      </c>
      <c r="AX166" s="26" t="s">
        <v>864</v>
      </c>
      <c r="AY166" s="26" t="s">
        <v>864</v>
      </c>
      <c r="AZ166" s="26" t="s">
        <v>864</v>
      </c>
      <c r="BA166" s="26" t="s">
        <v>864</v>
      </c>
      <c r="BB166" s="26" t="s">
        <v>864</v>
      </c>
      <c r="BC166" s="26" t="s">
        <v>864</v>
      </c>
      <c r="BD166" s="26" t="s">
        <v>864</v>
      </c>
      <c r="BE166" s="26" t="s">
        <v>864</v>
      </c>
      <c r="BF166" s="26" t="s">
        <v>864</v>
      </c>
      <c r="BG166" s="26" t="s">
        <v>864</v>
      </c>
      <c r="BH166" s="26" t="s">
        <v>864</v>
      </c>
      <c r="BI166" s="26" t="s">
        <v>864</v>
      </c>
      <c r="BJ166" s="26"/>
      <c r="BK166" s="26"/>
      <c r="BL166" s="26" t="s">
        <v>864</v>
      </c>
      <c r="BM166" s="26" t="s">
        <v>864</v>
      </c>
      <c r="BN166" s="22">
        <v>43301</v>
      </c>
      <c r="BO166" s="22">
        <v>44864</v>
      </c>
      <c r="BP166" s="21" t="s">
        <v>854</v>
      </c>
      <c r="BQ166" s="222">
        <f t="shared" si="602"/>
        <v>52.1</v>
      </c>
      <c r="BR166" s="223" t="str">
        <f t="shared" si="603"/>
        <v/>
      </c>
      <c r="BS166" s="224">
        <f t="shared" si="604"/>
        <v>25.714285714285715</v>
      </c>
      <c r="BT166" s="216" t="str">
        <f t="shared" si="605"/>
        <v>II TRIM</v>
      </c>
      <c r="BU166" s="214" t="str">
        <f t="shared" ca="1" si="606"/>
        <v/>
      </c>
      <c r="BV166" s="25"/>
      <c r="BW166" s="22"/>
      <c r="BX166" s="28"/>
      <c r="BY166" s="28"/>
      <c r="BZ166" s="22"/>
      <c r="CA166" s="21"/>
      <c r="CB166" s="26"/>
      <c r="CC166" s="26"/>
      <c r="CD166" s="26"/>
      <c r="CE166" s="26"/>
      <c r="CF166" s="22" t="s">
        <v>1517</v>
      </c>
      <c r="CG166" s="21">
        <v>1.46</v>
      </c>
      <c r="CH166" s="21">
        <v>60.1</v>
      </c>
      <c r="CI166" s="214">
        <f t="shared" si="607"/>
        <v>28.194783261399891</v>
      </c>
      <c r="CJ166" s="225" t="e">
        <f>IF(AND(CI166&lt;10,CH166="SD"),"SIN DATO PESO PREGESTACION O I TRIM",IF(AND(OR(R166&gt;0,O166&gt;0),CI166="X"),"INGRESAR DATO DE PESO",IF(CI166="SD","INGRESAR DATO DE TALLA Y PESO",IF(AND(OR(Tabla1[[#This Row],[MOMENTO EN QUE SE REALIZA EL PESO AL INGRESO A CPN]]="PREGESTACIÓN",NZ166="Menor"),CI166&lt;18.5),"BAJO PESO",IF(AND(OR(Tabla1[[#This Row],[MOMENTO EN QUE SE REALIZA EL PESO AL INGRESO A CPN]]="PREGESTACIÓN",NZ166="Menor"),CI166&lt;25),"NORMAL",IF(AND(OR(Tabla1[[#This Row],[MOMENTO EN QUE SE REALIZA EL PESO AL INGRESO A CPN]]="PREGESTACIÓN",NZ166="Menor"),CI166&lt;30),"SOBREPESO",IF(AND(OR(Tabla1[[#This Row],[MOMENTO EN QUE SE REALIZA EL PESO AL INGRESO A CPN]]="PREGESTACIÓN",NZ166="Menor"),CI166&gt;=30,CI166&lt;50),"OBESIDAD",IF(AND(BS166&gt;0,Tabla1[[#This Row],[MOMENTO EN QUE SE REALIZA EL PESO AL INGRESO A CPN]]="GESTACIÓN"),HLOOKUP(NZ166,$OA$2:PH166,NY166),""))))))))</f>
        <v>#REF!</v>
      </c>
      <c r="CK166" s="212">
        <f t="shared" si="608"/>
        <v>45044</v>
      </c>
      <c r="CL166" s="21"/>
      <c r="CM166" s="214">
        <f t="shared" si="609"/>
        <v>0</v>
      </c>
      <c r="CN166" s="216">
        <f t="shared" si="610"/>
        <v>25</v>
      </c>
      <c r="CO166" s="216" t="e">
        <f>IF(PI166="","",IF(PI166&gt;0,HLOOKUP(PI166,$PJ$2:QQ166,NY166),""))</f>
        <v>#REF!</v>
      </c>
      <c r="CP166" s="21"/>
      <c r="CQ166" s="216" t="e">
        <f>IF(QR166="Menor","NO APLICA-MENOR 13 SEM",IF(AND(CC166="SI",CN166&gt;23),"NO APLICA- GEMELAR",IF(QR166="","",IF(QR166&gt;0,HLOOKUP(QR166,$QS$2:RU166,NY166),""))))</f>
        <v>#REF!</v>
      </c>
      <c r="CR166" s="21"/>
      <c r="CS166" s="21"/>
      <c r="CT166" s="217" t="str">
        <f>IF(R166="","",IF(AND(BS166&gt;1,BS166&lt;12,Tabla1[[#This Row],[T.A. SISTOLICA - ANTES DE SEMANA 12]]="",Tabla1[[#This Row],[T.A. DIASTOLICA - ANTES DE SEMANA 12]]=""),"REGISTRE DATO TA ANTES SEMANA 12",IF(AND(BS166&gt;11,BS166&lt;43,Tabla1[[#This Row],[T.A. SISTOLICA - ANTES DE SEMANA 12]]="",Tabla1[[#This Row],[T.A. DIASTOLICA - ANTES DE SEMANA 12]]=""),"NO APLICA REGISTRO TA-INGRESO TARDIO",IF(AND(OR(O166&gt;0,R166&gt;0),OR(CR166&gt;=140,CS166&gt;=90)),"DEFINIR ESTADIO HTA",IF(AND(OR(O166&gt;0,R166&gt;0),AND(CR166&gt;120,CR166&lt;=139)),"PRE HTA SEGUIMIENTO",IF(AND(OR(O166&gt;0,R166&gt;0),AND(CS166&gt;80,CS166&lt;=89)),"PRE HTA SEGUIMIENTO",IF(AND(OR(O166&gt;0,R166&gt;0),AND(CR166&gt;=80,CR166&lt;=120)),"APARENTEMENTE NORMAL",IF(AND(OR(O166&gt;0,R166&gt;0),AND(CS166&gt;=50,CS166&lt;=80)),"APARENTEMENTE NORMAL",IF(AND(OR(O166&gt;0,R166&gt;0),AND(CR166&gt;1,CR166&lt;=70),AND(CS166&gt;1,CS166&lt;=40)),"HIPOTENSIÓN","")))))))))</f>
        <v>NO APLICA REGISTRO TA-INGRESO TARDIO</v>
      </c>
      <c r="CU166" s="21"/>
      <c r="CV166" s="21"/>
      <c r="CW166" s="217" t="str">
        <f>IF(R166="","",IF(AND(CN166&gt;19,CN166&lt;27,Tabla1[[#This Row],[T.A. SISTOLICA (Entre semana 20 y 26)]]="",Tabla1[[#This Row],[T.A. DIATOLICA (Entre semana 20 y 26)]]=""),"ACUDE A CONTROL SEM 20 A 26 REGISTRE TA AHORA",IF(AND(BS166&gt;1,BS166&lt;27,BU166&gt;19,Tabla1[[#This Row],[T.A. SISTOLICA (Entre semana 20 y 26)]]="",Tabla1[[#This Row],[T.A. DIATOLICA (Entre semana 20 y 26)]]=""),"COMPLETE REGISTRO TA CONTROL SEM 20 A26 ",IF(AND(BS166&gt;26,BS166&lt;43,Tabla1[[#This Row],[T.A. SISTOLICA (Entre semana 20 y 26)]]="",Tabla1[[#This Row],[T.A. DIATOLICA (Entre semana 20 y 26)]]=""),"NO APLICA REGISTRO TA-INGRESO TARDIO",IF(AND(OR(O166&gt;0,R166&gt;0),OR(CU166&gt;=140,CV166&gt;=90)),"ALTO RIESGO PREECLAMPSIA,DEFINIR ESTADIO HTA",IF(AND(OR(O166&gt;0,R166&gt;0),AND(CU166&gt;120,CU166&lt;=139)),"PRE HTA SEGUIMIENTO,RIESGO HIPERTENSION INDUCIDA POR EL EMBARAZO",IF(AND(OR(O166&gt;0,R166&gt;0),AND(CV166&gt;80,CV166&lt;=89)),"PRE HTA SEGUIMIENTO, RIESGO HIPERTENSION INDUCIDA POR EL EMBARAZO",IF(AND(OR(O166&lt;&gt;"",R166&lt;&gt;""),CS166&lt;&gt;"",CV166&lt;&gt;"",CS166&lt;=CV166),"VIGILAR CIFRAS PRESION ARTERIAL",IF(AND(OR(O166&gt;0,R166&gt;0),AND(CU166&gt;120,CU166&lt;=139)),"PRE HTA SEGUIMIENTO",IF(AND(OR(O166&gt;0,R166&gt;0),AND(CU166&gt;1,CU166&lt;=70),AND(CV166&gt;1,CV166&lt;=40)),"HIPOTENSIÓN",IF(AND(OR(O166&lt;&gt;"",R166&lt;&gt;""),CS166&lt;&gt;"",CV166&lt;&gt;"",CS166&gt;CV166),"APARENTEMENTE NORMAL",IF(AND(OR(O166&gt;0,R166&gt;0),AND(CU166&gt;=80,CU166&lt;=120)),"APARENTEMENTE NORMAL",IF(AND(OR(O166&gt;0,R166&gt;0),AND(CV166&gt;=50,CV166&lt;=80)),"APARENTEMENTE NORMAL","")))))))))))))</f>
        <v>ACUDE A CONTROL SEM 20 A 26 REGISTRE TA AHORA</v>
      </c>
      <c r="CX166" s="21"/>
      <c r="CY166" s="21"/>
      <c r="CZ166" s="216" t="str">
        <f t="shared" si="690"/>
        <v/>
      </c>
      <c r="DA166" s="21"/>
      <c r="DB166" s="21"/>
      <c r="DC166" s="217" t="str">
        <f t="shared" si="611"/>
        <v>REGISTRE DATO PRESIÓN ARTERIAL MENSUAL</v>
      </c>
      <c r="DD166" s="22">
        <v>44995</v>
      </c>
      <c r="DE166" s="22">
        <v>44995</v>
      </c>
      <c r="DF166" s="22">
        <v>45044</v>
      </c>
      <c r="DG166" s="22"/>
      <c r="DH166" s="22"/>
      <c r="DI166" s="22"/>
      <c r="DJ166" s="22"/>
      <c r="DK166" s="22"/>
      <c r="DL166" s="22"/>
      <c r="DM166" s="22"/>
      <c r="DN166" s="22"/>
      <c r="DO166" s="22"/>
      <c r="DP166" s="22"/>
      <c r="DQ166" s="22"/>
      <c r="DR166" s="28">
        <v>1</v>
      </c>
      <c r="DS166" s="22"/>
      <c r="DT166" s="22"/>
      <c r="DU166" s="216" t="str">
        <f t="shared" ca="1" si="676"/>
        <v>SALE SIN PLAN DE PARTO</v>
      </c>
      <c r="DV166" s="226" t="str">
        <f t="shared" si="677"/>
        <v>SALIO PROGRAMA</v>
      </c>
      <c r="DW166"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66" s="216" t="str">
        <f t="shared" ca="1" si="612"/>
        <v/>
      </c>
      <c r="DY166" s="212">
        <f>IF(R166="","",IF(R166&gt;0,MAX(Tabla1[[#This Row],[FECHA C2]:[FECHA C13]],Tabla1[[#This Row],[FECHA CONSULTA PRIMERA VEZ PROGRAMA CPN ]])))</f>
        <v>45044</v>
      </c>
      <c r="DZ166" s="216">
        <f t="shared" si="613"/>
        <v>25</v>
      </c>
      <c r="EA166" s="222">
        <f>IF(R166&gt;0,SUM(COUNTA(DF166:DQ166)+COUNTA(Tabla1[[#This Row],[FECHA CONSULTA PRIMERA VEZ PROGRAMA CPN ]])),"")</f>
        <v>2</v>
      </c>
      <c r="EB166" s="222" t="str">
        <f t="shared" si="614"/>
        <v>NO</v>
      </c>
      <c r="EC166" s="214">
        <f t="shared" si="615"/>
        <v>5</v>
      </c>
      <c r="ED166" s="227">
        <f t="shared" si="616"/>
        <v>0.4</v>
      </c>
      <c r="EE166" s="22">
        <v>44995</v>
      </c>
      <c r="EF166" s="22">
        <v>44995</v>
      </c>
      <c r="EG166" s="22">
        <v>44995</v>
      </c>
      <c r="EH166" s="22"/>
      <c r="EI166" s="22">
        <v>44995</v>
      </c>
      <c r="EJ166" s="22"/>
      <c r="EK166" s="22"/>
      <c r="EL166" s="21"/>
      <c r="EM166" s="21"/>
      <c r="EN166" s="22"/>
      <c r="EO166" s="222" t="str">
        <f t="shared" si="617"/>
        <v>TOMAR EXAMEN</v>
      </c>
      <c r="EP166" s="214" t="str">
        <f t="shared" si="618"/>
        <v/>
      </c>
      <c r="EQ166" s="216" t="str">
        <f t="shared" si="619"/>
        <v>POR DEFINIR</v>
      </c>
      <c r="ER166" s="24"/>
      <c r="ES166" s="22"/>
      <c r="ET166" s="29" t="str">
        <f t="shared" ca="1" si="678"/>
        <v>SALE SIN TAMIZAJE HEMOGLOBINA SEM 28</v>
      </c>
      <c r="EU166" s="25" t="str">
        <f t="shared" si="620"/>
        <v/>
      </c>
      <c r="EV166" s="24"/>
      <c r="EW166" s="24"/>
      <c r="EX166" s="22"/>
      <c r="EY166" s="29" t="str">
        <f t="shared" si="693"/>
        <v>TOMAR EXAMEN</v>
      </c>
      <c r="EZ166" s="25" t="str">
        <f t="shared" ca="1" si="694"/>
        <v/>
      </c>
      <c r="FA166" s="21"/>
      <c r="FB166" s="22"/>
      <c r="FC166" s="29" t="str">
        <f t="shared" si="621"/>
        <v>PIERDE TOMA TAMIZAJE- INGRESO TARDIO</v>
      </c>
      <c r="FD166" s="29"/>
      <c r="FE166" s="29"/>
      <c r="FF166" s="29"/>
      <c r="FG166" s="21" t="str">
        <f t="shared" ca="1" si="622"/>
        <v/>
      </c>
      <c r="FH166" s="31"/>
      <c r="FI166" s="29" t="str">
        <f t="shared" si="623"/>
        <v>TOMAR EXAMEN</v>
      </c>
      <c r="FJ166" s="22"/>
      <c r="FK166" s="22"/>
      <c r="FL166" s="29" t="str">
        <f t="shared" ca="1" si="624"/>
        <v>NO APLICA-INGRESO TARDIO</v>
      </c>
      <c r="FM166" s="22"/>
      <c r="FN166" s="32"/>
      <c r="FO166" s="29" t="str">
        <f t="shared" ca="1" si="679"/>
        <v>PIERDE TOMA DE TAMIZAJE</v>
      </c>
      <c r="FP166" s="22"/>
      <c r="FQ166" s="32"/>
      <c r="FR166" s="29" t="str">
        <f t="shared" ca="1" si="680"/>
        <v>PIERDE TOMA DE TAMIZAJE</v>
      </c>
      <c r="FS166" s="22"/>
      <c r="FT166" s="32"/>
      <c r="FU166" s="29" t="str">
        <f>IF(AND(FJ166="",FM166="",FP166="",FS166=""),"",IF(OR(OR(Tabla1[[#This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66" s="28"/>
      <c r="FW166" s="22"/>
      <c r="FX166" s="29" t="str">
        <f t="shared" si="625"/>
        <v>TOMAR EXAMEN</v>
      </c>
      <c r="FY166" s="22"/>
      <c r="FZ166" s="22"/>
      <c r="GA166" s="29" t="str">
        <f t="shared" ca="1" si="692"/>
        <v>NO APLICA-INGRESO TARDIO</v>
      </c>
      <c r="GB166" s="22"/>
      <c r="GC166" s="22"/>
      <c r="GD166" s="29" t="str">
        <f t="shared" ca="1" si="681"/>
        <v>PIERDE TOMA DE TAMIZAJE</v>
      </c>
      <c r="GE166" s="22"/>
      <c r="GF166" s="22"/>
      <c r="GG166" s="29" t="str">
        <f t="shared" ca="1" si="682"/>
        <v>PIERDE TOMA DE TAMIZAJE</v>
      </c>
      <c r="GH166" s="22"/>
      <c r="GI166" s="29"/>
      <c r="GJ166" s="22"/>
      <c r="GK166" s="22"/>
      <c r="GL166" s="22"/>
      <c r="GM166" s="22"/>
      <c r="GN166" s="28"/>
      <c r="GO166" s="22"/>
      <c r="GP166" s="29" t="str">
        <f t="shared" si="626"/>
        <v>TOMAR EXAMEN</v>
      </c>
      <c r="GQ166" s="28"/>
      <c r="GR166" s="28"/>
      <c r="GS166" s="22" t="str">
        <f t="shared" ref="GS166:GS224" si="728">IF(GQ166="NEGATIVO","CONTROL Igm",IF(AND(GQ166="POSITIVO",GR166="NEGATIVO"),"SE EXCLUYE INFECCION",IF(AND(GQ166="POSITIVO",GR166="POSITIVO"),"TOXOPLASMOSIS, REMITIR PARA MANEJO","")))</f>
        <v/>
      </c>
      <c r="GT166" s="22"/>
      <c r="GU166" s="29" t="str">
        <f t="shared" si="628"/>
        <v>TOMAR EXAMEN</v>
      </c>
      <c r="GV166" s="21" t="str">
        <f t="shared" si="629"/>
        <v>POR DEFINIR</v>
      </c>
      <c r="GW166" s="28"/>
      <c r="GX166" s="30"/>
      <c r="GY166" s="21"/>
      <c r="GZ166" s="21"/>
      <c r="HA166" s="21"/>
      <c r="HB166" s="21"/>
      <c r="HC166" s="21"/>
      <c r="HD166" s="21"/>
      <c r="HE166" s="21"/>
      <c r="HF166" s="22"/>
      <c r="HG166" s="22" t="str">
        <f>IF(OR(O166&gt;0,R166&gt;0),CONCATENATE(IF(Tabla1[[#This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66" s="22" t="e">
        <f t="shared" si="630"/>
        <v>#REF!</v>
      </c>
      <c r="HI166" s="22" t="e">
        <f t="shared" ca="1" si="631"/>
        <v>#REF!</v>
      </c>
      <c r="HJ166" s="21" t="str">
        <f t="shared" ca="1" si="632"/>
        <v>*********************MULTIPARIDAD******************</v>
      </c>
      <c r="HK166" s="21" t="str">
        <f t="shared" si="633"/>
        <v>SIN ANTECEDENTES DE RIESGO</v>
      </c>
      <c r="HL166" s="24" t="str">
        <f t="shared" si="634"/>
        <v>REGISTRE DATO PRESIÓN ARTERIAL MENSUAL</v>
      </c>
      <c r="HM166" s="21" t="str">
        <f t="shared" ca="1" si="635"/>
        <v/>
      </c>
      <c r="HN166" s="30" t="str">
        <f t="shared" si="683"/>
        <v>SALIO PROGRAMA</v>
      </c>
      <c r="HO166" s="21"/>
      <c r="HP166" s="21"/>
      <c r="HQ166" s="21">
        <v>45052</v>
      </c>
      <c r="HR166" s="21" t="str">
        <f>IF(R166="","",IF(Tabla1[[#This Row],[ALARMA FACTORES DE RIESGO COMPLICACIONES HIPERTENSIVAS3]]="SIN ANTECEDENTES DE RIESGO","No Aplica para suministro de ASA",IF(AND(Tabla1[[#This Row],[FECHA INICIO DE SUMINISTRO DE ASA]]&gt;0,RV166&lt;12),"Inicia ASA ANTES de Sem 12",IF(AND(RV166&gt;11,RV166&lt;17,OR(HK166="RIESGO ALTO DE COMPLICACIONES HIPERTENSIVAS VER MANEJO GUIA SUMINISTRO ASA Y CALCIO",HK166="RIESGO MODERADO (2 O MAS CRITERIOS) VER MANEJO GUIA SUMINISTRO ASA Y CALCIO")),"Inicio oportuno de ASA",IF(AND(RV166&gt;12,OR(HK166="RIESGO ALTO DE COMPLICACIONES HIPERTENSIVAS VER MANEJO GUIA SUMINISTRO ASA Y CALCIO",HK166="RIESGO MODERADO (2 O MAS CRITERIOS) VER MANEJO GUIA SUMINISTRO ASA Y CALCIO")),"Inicio no oportuno mayor a 16 semanas",IF(AND(BU166&lt;12,OR(HK166="RIESGO ALTO DE COMPLICACIONES HIPERTENSIVAS VER MANEJO GUIA SUMINISTRO ASA Y CALCIO",HK166="RIESGO MODERADO (2 O MAS CRITERIOS) VER MANEJO GUIA SUMINISTRO ASA Y CALCIO")),"Pendiente Inicio de ASA a la semana 12",IF(AND(BU166&gt;11,BU166&lt;17,OR(HK166="RIESGO ALTO DE COMPLICACIONES HIPERTENSIVAS VER MANEJO GUIA SUMINISTRO ASA Y CALCIO",HK166="RIESGO MODERADO (2 O MAS CRITERIOS) VER MANEJO GUIA SUMINISTRO ASA Y CALCIO")),"Iniciar de inmediato ASA",IF(AND(BU166&gt;16,OR(HK166="RIESGO ALTO DE COMPLICACIONES HIPERTENSIVAS VER MANEJO GUIA SUMINISTRO ASA Y CALCIO",HK166="RIESGO MODERADO (2 O MAS CRITERIOS) VER MANEJO GUIA SUMINISTRO ASA Y CALCIO")),"Pierde Oportunidad, Inicio tardío de ASA","XXXXX"))))))))</f>
        <v>No Aplica para suministro de ASA</v>
      </c>
      <c r="HS166" s="22">
        <v>45052</v>
      </c>
      <c r="HT166" s="22" t="s">
        <v>870</v>
      </c>
      <c r="HU166" s="22"/>
      <c r="HV166" s="22"/>
      <c r="HW166" s="22">
        <v>45052</v>
      </c>
      <c r="HX166" s="22" t="s">
        <v>870</v>
      </c>
      <c r="HY166" s="22"/>
      <c r="HZ166" s="28" t="str">
        <f t="shared" si="636"/>
        <v>PENDIENTE CONSULTA</v>
      </c>
      <c r="IA166" s="26"/>
      <c r="IB166" s="26"/>
      <c r="IC166" s="111"/>
      <c r="ID166" s="22"/>
      <c r="IE166" s="22" t="str">
        <f t="shared" ca="1" si="637"/>
        <v>SALE SIN VACUNA</v>
      </c>
      <c r="IF166" s="22"/>
      <c r="IG166" s="22">
        <f t="shared" si="638"/>
        <v>45144</v>
      </c>
      <c r="IH166" s="29">
        <f t="shared" ca="1" si="639"/>
        <v>-88</v>
      </c>
      <c r="II166" s="22" t="str">
        <f t="shared" ca="1" si="640"/>
        <v>POSIBLEMENTE NACIO</v>
      </c>
      <c r="IJ166" s="22"/>
      <c r="IK166" s="21" t="s">
        <v>898</v>
      </c>
      <c r="IL166" s="21"/>
      <c r="IM166" s="34"/>
      <c r="IN166" s="349">
        <v>45111</v>
      </c>
      <c r="IO166" s="21" t="s">
        <v>1186</v>
      </c>
      <c r="IP166" s="29">
        <f t="shared" si="674"/>
        <v>35.285714285714285</v>
      </c>
      <c r="IQ166" s="35" t="s">
        <v>1650</v>
      </c>
      <c r="IR166" s="21" t="s">
        <v>1651</v>
      </c>
      <c r="IS166" s="21" t="s">
        <v>1646</v>
      </c>
      <c r="IT166" s="21" t="s">
        <v>1642</v>
      </c>
      <c r="IU166" s="21"/>
      <c r="IV166" s="21"/>
      <c r="IW166" s="21"/>
      <c r="IX166" s="21"/>
      <c r="IY166" s="21"/>
      <c r="IZ166" s="21"/>
      <c r="JA166" s="21"/>
      <c r="JB166" s="30">
        <v>1</v>
      </c>
      <c r="JC166" s="21" t="s">
        <v>1647</v>
      </c>
      <c r="JD166" s="36">
        <v>2880</v>
      </c>
      <c r="JE166" s="21" t="str">
        <f t="shared" si="684"/>
        <v>ERROR VERIFICAR DATO EDAD GESTACIONAL VS PESO</v>
      </c>
      <c r="JF166" s="30"/>
      <c r="JG166" s="21"/>
      <c r="JH166" s="21"/>
      <c r="JI166" s="309" t="s">
        <v>854</v>
      </c>
      <c r="JJ166" s="329" t="s">
        <v>866</v>
      </c>
      <c r="JK166" s="22"/>
      <c r="JL166" s="22"/>
      <c r="JM166" s="21"/>
      <c r="JN166" s="36"/>
      <c r="JO166" s="21" t="str">
        <f t="shared" si="685"/>
        <v/>
      </c>
      <c r="JP166" s="22"/>
      <c r="JQ166" s="21"/>
      <c r="JR166" s="21"/>
      <c r="JS166" s="21"/>
      <c r="JT166" s="30"/>
      <c r="JU166" s="22"/>
      <c r="JV166" s="22"/>
      <c r="JW166" s="33"/>
      <c r="JX166" s="28" t="str">
        <f t="shared" si="686"/>
        <v>INASISTENTE</v>
      </c>
      <c r="JY166" s="33"/>
      <c r="JZ166" s="28" t="str">
        <f t="shared" si="687"/>
        <v>INASISTENTE</v>
      </c>
      <c r="KA166" s="21"/>
      <c r="KB166" s="21"/>
      <c r="KC166" s="21"/>
      <c r="KD166" s="37"/>
      <c r="KE166" s="28"/>
      <c r="KF166" s="28"/>
      <c r="KG166" s="28"/>
      <c r="KH166" s="39"/>
      <c r="KI166" s="39"/>
      <c r="KJ166" s="66"/>
      <c r="KK166" s="39"/>
      <c r="KL166" s="39"/>
      <c r="KM166" s="66"/>
      <c r="KN166" s="39"/>
      <c r="KO166" s="39"/>
      <c r="KP166" s="39"/>
      <c r="KQ166" s="39"/>
      <c r="KR166" s="39"/>
      <c r="KS166" s="39"/>
      <c r="KT166" s="39"/>
      <c r="KU166" s="38"/>
      <c r="KV166" s="38"/>
      <c r="KW166" s="38"/>
      <c r="KX166" s="38"/>
      <c r="KY166" s="38"/>
      <c r="KZ166" s="38"/>
      <c r="LA166" s="38"/>
      <c r="LB166" s="38"/>
      <c r="LC166" s="38"/>
      <c r="LD166" s="38"/>
      <c r="LE166" s="38"/>
      <c r="LF166" s="38"/>
      <c r="LG166" s="38"/>
      <c r="LH166" s="38"/>
      <c r="LI166" s="38"/>
      <c r="LJ166" s="38"/>
      <c r="LK166" s="38"/>
      <c r="LL166" s="38"/>
      <c r="LM166" s="38"/>
      <c r="LN166" s="38"/>
      <c r="LO166" s="38"/>
      <c r="LP166" s="38"/>
      <c r="LQ166" s="38"/>
      <c r="LR166" s="38"/>
      <c r="LS166" s="38"/>
      <c r="LT166" s="38"/>
      <c r="LU166" s="38"/>
      <c r="LV166" s="38"/>
      <c r="LW166" s="38"/>
      <c r="LX166" s="38"/>
      <c r="LY166" s="38"/>
      <c r="LZ166" s="38"/>
      <c r="MA166" s="38"/>
      <c r="MB166" s="38"/>
      <c r="MC166" s="38"/>
      <c r="MD166" s="38"/>
      <c r="ME166" s="38"/>
      <c r="MF166" s="38"/>
      <c r="MG166" s="38"/>
      <c r="MH166" s="43">
        <f t="shared" si="697"/>
        <v>0</v>
      </c>
      <c r="MI166" s="43" t="str">
        <f t="shared" si="698"/>
        <v/>
      </c>
      <c r="MJ166" s="43" t="str">
        <f t="shared" si="699"/>
        <v/>
      </c>
      <c r="MK166" s="43">
        <f t="shared" si="700"/>
        <v>0</v>
      </c>
      <c r="ML16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66" s="43">
        <f t="shared" si="701"/>
        <v>25.714285714285715</v>
      </c>
      <c r="MN166" s="43">
        <f t="shared" si="702"/>
        <v>4</v>
      </c>
      <c r="MO166" s="43">
        <f t="shared" si="703"/>
        <v>2023</v>
      </c>
      <c r="MP166" s="43" t="str">
        <f t="shared" si="704"/>
        <v>II TRIMESTRE AÑO</v>
      </c>
      <c r="MQ166" s="43">
        <f t="shared" si="705"/>
        <v>30.984450284713095</v>
      </c>
      <c r="MR166" s="43">
        <f t="shared" si="706"/>
        <v>0</v>
      </c>
      <c r="MS166" s="43" t="str">
        <f t="shared" si="707"/>
        <v xml:space="preserve"> DE 30 A 34 AÑOS</v>
      </c>
      <c r="MT166" s="43">
        <f t="shared" si="708"/>
        <v>0</v>
      </c>
      <c r="MU166" s="43">
        <f t="shared" si="709"/>
        <v>2</v>
      </c>
      <c r="MV166" s="43">
        <f t="shared" si="710"/>
        <v>0</v>
      </c>
      <c r="MW166" s="43">
        <f t="shared" si="711"/>
        <v>0</v>
      </c>
      <c r="MX166" s="43" t="str">
        <f t="shared" si="712"/>
        <v/>
      </c>
      <c r="MY166" s="43" t="str">
        <f t="shared" ca="1" si="688"/>
        <v/>
      </c>
      <c r="MZ166" s="43" t="str">
        <f t="shared" si="713"/>
        <v/>
      </c>
      <c r="NA166" s="43" t="str">
        <f t="shared" si="714"/>
        <v/>
      </c>
      <c r="NB166" s="43" t="str">
        <f t="shared" si="715"/>
        <v/>
      </c>
      <c r="NC166" s="43" t="str">
        <f t="shared" si="716"/>
        <v/>
      </c>
      <c r="ND166" s="43">
        <f t="shared" ca="1" si="717"/>
        <v>2</v>
      </c>
      <c r="NE166" s="43">
        <f>IF(OR(O166&gt;0,R166&gt;0),SUM(COUNTIF(Tabla1[[#This Row],[AÑOS AL INICIO5 CPN]],"&gt;=40"),COUNTIF(AS166,"0"),COUNTIF(AR166,"SI"),COUNTIF(CC166,"SI"),COUNTIF(BQ166,"&gt;119"),COUNTIF(CI166,"&gt;=35")),"")</f>
        <v>0</v>
      </c>
      <c r="NF166" s="43" t="str">
        <f t="shared" si="718"/>
        <v/>
      </c>
      <c r="NG166" s="43">
        <f t="shared" si="719"/>
        <v>0</v>
      </c>
      <c r="NH166" s="43" t="str">
        <f t="shared" si="720"/>
        <v/>
      </c>
      <c r="NI166"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CPN",P166="NO"),"Z",IF(AND(Tabla1[[#This Row],[CITA PROXIMO CONTROL]]="CITA MANUAL",Tabla1[[#This Row],[GESTANTES ACTUALES]]="ACTIVA INGRESO A CPN"),"W",IF(AND(Tabla1[[#This Row],[GESTANTES ACTUALES]]="SALIO PROGRAMA",IN166=""),"S",IF(AND(Tabla1[[#This Row],[CITA PROXIMO CONTROL]]&gt;0,IN166=""),(Tabla1[[#This Row],[CITA PROXIMO CONTROL]]-TODAY()),"SD"))))))))</f>
        <v>SD</v>
      </c>
      <c r="NJ166" s="43">
        <f>MONTH(Tabla1[[#This Row],[FECHA DE SALIDA  DEL PROGRAMA]])</f>
        <v>7</v>
      </c>
      <c r="NK166" s="43">
        <f>YEAR(Tabla1[[#This Row],[FECHA DE SALIDA  DEL PROGRAMA]])</f>
        <v>2023</v>
      </c>
      <c r="NL166" s="43" t="str">
        <f t="shared" si="721"/>
        <v>X</v>
      </c>
      <c r="NM166" s="43" t="str">
        <f t="shared" si="695"/>
        <v>NO</v>
      </c>
      <c r="NN166" s="43" t="str">
        <f ca="1">IF(AND(O166&gt;0,R166=""),"NO CPN",IF(AND(O166="",R166=""),"",IF(AND(R166&gt;0,Tabla1[[#This Row],[SEMANAS DE GESTACION ACTUALIZADAS]]&lt;=12),"NO APLICA",IF(AND(FH166&lt;&gt;"",FN166&lt;&gt;""),"SI","NO"))))</f>
        <v>NO</v>
      </c>
      <c r="NO166" s="43" t="str">
        <f ca="1">IF(AND(O166&gt;0,R166=""),"NO CPN",IF(AND(O166="",R166=""),"",IF(AND(R166&gt;0,Tabla1[[#This Row],[SEMANAS DE GESTACION ACTUALIZADAS]]&lt;=27),"NO APLICA",IF(AND(ES166&lt;&gt;"",FQ166&lt;&gt;"",GF166&lt;&gt;""),"SI","NO"))))</f>
        <v>NO</v>
      </c>
      <c r="NP166" s="204" t="str">
        <f t="shared" si="722"/>
        <v>II TRIM</v>
      </c>
      <c r="NQ166" s="21">
        <f t="shared" si="691"/>
        <v>10</v>
      </c>
      <c r="NR166" s="21">
        <f t="shared" si="689"/>
        <v>2</v>
      </c>
      <c r="NS166" s="205">
        <f t="shared" ca="1" si="723"/>
        <v>0</v>
      </c>
      <c r="NT166" s="21">
        <f t="shared" ca="1" si="724"/>
        <v>0</v>
      </c>
      <c r="NU166" s="21" t="str">
        <f t="shared" ca="1" si="725"/>
        <v>INCOMPLETO</v>
      </c>
      <c r="NV166" s="21" t="str">
        <f t="shared" ca="1" si="726"/>
        <v>INCOMPLETO</v>
      </c>
      <c r="NW166" s="206" t="str">
        <f>IF(AND(O166="",R166=""),"",IF(OR(AND(Tabla1[[#This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66" s="207" t="str">
        <f t="shared" ca="1" si="727"/>
        <v>SIN VACUNAR</v>
      </c>
      <c r="NY166" s="43">
        <f>ROW(Tabla1[[#This Row],['# DE TAMIZAJES SIFILIS TOMADOS ]])</f>
        <v>166</v>
      </c>
      <c r="NZ166" s="43">
        <f t="shared" si="502"/>
        <v>25</v>
      </c>
      <c r="OA166" s="43" t="str">
        <f t="shared" si="503"/>
        <v/>
      </c>
      <c r="OB166" s="43" t="str">
        <f t="shared" si="504"/>
        <v/>
      </c>
      <c r="OC166" s="43" t="str">
        <f t="shared" si="505"/>
        <v/>
      </c>
      <c r="OD166" s="43" t="str">
        <f t="shared" si="506"/>
        <v/>
      </c>
      <c r="OE166" s="43" t="str">
        <f t="shared" si="507"/>
        <v/>
      </c>
      <c r="OF166" s="43" t="str">
        <f t="shared" si="508"/>
        <v/>
      </c>
      <c r="OG166" s="43" t="str">
        <f t="shared" si="509"/>
        <v/>
      </c>
      <c r="OH166" s="43" t="str">
        <f t="shared" si="510"/>
        <v/>
      </c>
      <c r="OI166" s="43" t="str">
        <f t="shared" si="511"/>
        <v/>
      </c>
      <c r="OJ166" s="43" t="str">
        <f t="shared" si="512"/>
        <v/>
      </c>
      <c r="OK166" s="43" t="str">
        <f t="shared" si="513"/>
        <v/>
      </c>
      <c r="OL166" s="43" t="str">
        <f t="shared" si="514"/>
        <v/>
      </c>
      <c r="OM166" s="43" t="str">
        <f t="shared" si="515"/>
        <v/>
      </c>
      <c r="ON166" s="43" t="str">
        <f t="shared" si="516"/>
        <v/>
      </c>
      <c r="OO166" s="43" t="str">
        <f t="shared" si="517"/>
        <v/>
      </c>
      <c r="OP166" s="43" t="str">
        <f t="shared" si="518"/>
        <v/>
      </c>
      <c r="OQ166" s="43" t="str">
        <f t="shared" si="519"/>
        <v>SOBREPESO</v>
      </c>
      <c r="OR166" s="43" t="str">
        <f t="shared" si="520"/>
        <v/>
      </c>
      <c r="OS166" s="43" t="str">
        <f t="shared" si="521"/>
        <v/>
      </c>
      <c r="OT166" s="43" t="str">
        <f t="shared" si="522"/>
        <v/>
      </c>
      <c r="OU166" s="43" t="str">
        <f t="shared" si="523"/>
        <v/>
      </c>
      <c r="OV166" s="110" t="str">
        <f t="shared" si="524"/>
        <v/>
      </c>
      <c r="OW166" s="43" t="str">
        <f t="shared" si="525"/>
        <v/>
      </c>
      <c r="OX166" s="43" t="str">
        <f t="shared" si="526"/>
        <v/>
      </c>
      <c r="OY166" s="43" t="str">
        <f t="shared" si="527"/>
        <v/>
      </c>
      <c r="OZ166" s="43" t="str">
        <f t="shared" si="528"/>
        <v/>
      </c>
      <c r="PA166" s="43" t="str">
        <f t="shared" si="529"/>
        <v/>
      </c>
      <c r="PB166" s="43" t="str">
        <f t="shared" si="530"/>
        <v/>
      </c>
      <c r="PC166" s="43" t="str">
        <f t="shared" si="531"/>
        <v/>
      </c>
      <c r="PD166" s="43" t="str">
        <f t="shared" si="532"/>
        <v/>
      </c>
      <c r="PE166" s="43" t="str">
        <f t="shared" si="533"/>
        <v/>
      </c>
      <c r="PF166" s="43" t="str">
        <f t="shared" si="534"/>
        <v/>
      </c>
      <c r="PG166" s="43" t="str">
        <f t="shared" si="535"/>
        <v/>
      </c>
      <c r="PH166" s="43" t="str">
        <f t="shared" si="536"/>
        <v/>
      </c>
      <c r="PI166" s="43">
        <f t="shared" si="537"/>
        <v>25</v>
      </c>
      <c r="PJ166" s="43" t="str">
        <f t="shared" si="538"/>
        <v/>
      </c>
      <c r="PK166" s="43" t="str">
        <f t="shared" si="539"/>
        <v/>
      </c>
      <c r="PL166" s="43" t="str">
        <f t="shared" si="540"/>
        <v/>
      </c>
      <c r="PM166" s="43" t="str">
        <f t="shared" si="541"/>
        <v/>
      </c>
      <c r="PN166" s="43" t="str">
        <f t="shared" si="542"/>
        <v/>
      </c>
      <c r="PO166" s="43" t="str">
        <f t="shared" si="543"/>
        <v/>
      </c>
      <c r="PP166" s="43" t="str">
        <f t="shared" si="544"/>
        <v/>
      </c>
      <c r="PQ166" s="43" t="str">
        <f t="shared" si="545"/>
        <v/>
      </c>
      <c r="PR166" s="43" t="str">
        <f t="shared" si="546"/>
        <v/>
      </c>
      <c r="PS166" s="43" t="str">
        <f t="shared" si="547"/>
        <v/>
      </c>
      <c r="PT166" s="43" t="str">
        <f t="shared" si="548"/>
        <v/>
      </c>
      <c r="PU166" s="43" t="str">
        <f t="shared" si="549"/>
        <v/>
      </c>
      <c r="PV166" s="43" t="str">
        <f t="shared" si="550"/>
        <v/>
      </c>
      <c r="PW166" s="43" t="str">
        <f t="shared" si="551"/>
        <v/>
      </c>
      <c r="PX166" s="43" t="str">
        <f t="shared" si="552"/>
        <v/>
      </c>
      <c r="PY166" s="43" t="str">
        <f t="shared" si="553"/>
        <v/>
      </c>
      <c r="PZ166" s="43" t="str">
        <f t="shared" si="554"/>
        <v/>
      </c>
      <c r="QA166" s="43" t="str">
        <f t="shared" si="555"/>
        <v/>
      </c>
      <c r="QB166" s="43" t="str">
        <f t="shared" si="556"/>
        <v/>
      </c>
      <c r="QC166" s="43" t="str">
        <f t="shared" si="557"/>
        <v/>
      </c>
      <c r="QD166" s="43" t="str">
        <f t="shared" si="558"/>
        <v/>
      </c>
      <c r="QE166" s="43" t="str">
        <f t="shared" si="559"/>
        <v/>
      </c>
      <c r="QF166" s="43" t="str">
        <f t="shared" si="560"/>
        <v/>
      </c>
      <c r="QG166" s="43" t="str">
        <f t="shared" si="561"/>
        <v/>
      </c>
      <c r="QH166" s="43" t="str">
        <f t="shared" si="562"/>
        <v/>
      </c>
      <c r="QI166" s="43" t="str">
        <f t="shared" si="563"/>
        <v/>
      </c>
      <c r="QJ166" s="43" t="str">
        <f t="shared" si="564"/>
        <v/>
      </c>
      <c r="QK166" s="43" t="str">
        <f t="shared" si="565"/>
        <v/>
      </c>
      <c r="QL166" s="43" t="str">
        <f t="shared" si="566"/>
        <v/>
      </c>
      <c r="QM166" s="43" t="str">
        <f t="shared" si="567"/>
        <v/>
      </c>
      <c r="QN166" s="43" t="str">
        <f t="shared" si="568"/>
        <v/>
      </c>
      <c r="QO166" s="43" t="str">
        <f t="shared" si="569"/>
        <v/>
      </c>
      <c r="QP166" s="43" t="str">
        <f t="shared" si="570"/>
        <v/>
      </c>
      <c r="QQ166" s="43" t="str">
        <f t="shared" si="571"/>
        <v/>
      </c>
      <c r="QR166" s="43">
        <f t="shared" si="672"/>
        <v>25</v>
      </c>
      <c r="QS166" s="43"/>
      <c r="QT166" s="21" t="str">
        <f t="shared" si="572"/>
        <v/>
      </c>
      <c r="QU166" s="21" t="str">
        <f t="shared" si="573"/>
        <v/>
      </c>
      <c r="QV166" s="21" t="str">
        <f t="shared" si="574"/>
        <v/>
      </c>
      <c r="QW166" s="21" t="str">
        <f t="shared" si="575"/>
        <v/>
      </c>
      <c r="QX166" s="21" t="str">
        <f t="shared" si="576"/>
        <v/>
      </c>
      <c r="QY166" s="21" t="str">
        <f t="shared" si="577"/>
        <v/>
      </c>
      <c r="QZ166" s="21" t="str">
        <f t="shared" si="578"/>
        <v/>
      </c>
      <c r="RA166" s="21" t="str">
        <f t="shared" si="579"/>
        <v/>
      </c>
      <c r="RB166" s="21" t="str">
        <f t="shared" si="580"/>
        <v/>
      </c>
      <c r="RC166" s="21" t="str">
        <f t="shared" si="581"/>
        <v/>
      </c>
      <c r="RD166" s="21" t="str">
        <f t="shared" si="582"/>
        <v/>
      </c>
      <c r="RE166" s="21" t="str">
        <f t="shared" si="583"/>
        <v/>
      </c>
      <c r="RF166" s="21" t="str">
        <f t="shared" si="584"/>
        <v/>
      </c>
      <c r="RG166" s="21" t="str">
        <f t="shared" si="585"/>
        <v/>
      </c>
      <c r="RH166" s="21" t="str">
        <f t="shared" si="586"/>
        <v/>
      </c>
      <c r="RI166" s="21" t="str">
        <f t="shared" si="587"/>
        <v/>
      </c>
      <c r="RJ166" s="21" t="str">
        <f t="shared" si="588"/>
        <v/>
      </c>
      <c r="RK166" s="21" t="str">
        <f t="shared" si="589"/>
        <v/>
      </c>
      <c r="RL166" s="21" t="str">
        <f t="shared" si="590"/>
        <v/>
      </c>
      <c r="RM166" s="21" t="str">
        <f t="shared" si="591"/>
        <v/>
      </c>
      <c r="RN166" s="21" t="str">
        <f t="shared" si="592"/>
        <v/>
      </c>
      <c r="RO166" s="21" t="str">
        <f t="shared" si="593"/>
        <v/>
      </c>
      <c r="RP166" s="21" t="str">
        <f t="shared" si="594"/>
        <v/>
      </c>
      <c r="RQ166" s="21" t="str">
        <f t="shared" si="595"/>
        <v/>
      </c>
      <c r="RR166" s="21" t="str">
        <f t="shared" si="596"/>
        <v/>
      </c>
      <c r="RS166" s="21" t="str">
        <f t="shared" si="597"/>
        <v/>
      </c>
      <c r="RT166" s="21" t="str">
        <f t="shared" si="598"/>
        <v/>
      </c>
      <c r="RU166" s="21" t="str">
        <f t="shared" si="599"/>
        <v/>
      </c>
      <c r="RV166" s="21">
        <f t="shared" si="600"/>
        <v>26.857142857142858</v>
      </c>
      <c r="RW166" s="284">
        <f>IF(OR(Tabla1[[#This Row],[FUM FORMULA CONFIABLE]]="",Tabla1[[#This Row],[FUM FORMULA CONFIABLE]]="SD"),"",IF(Tabla1[[#This Row],[FUM FORMULA CONFIABLE]]="CORREGIDA",Tabla1[[#This Row],[FUM X ECO 1]],Tabla1[[#This Row],[FUM x AMENORREA]]))</f>
        <v>44864</v>
      </c>
      <c r="RX166" s="21" t="str">
        <f>IF(AND(Tabla1[[#This Row],[FUM X ECO 1]]="",Tabla1[[#This Row],[FUM x AMENORREA]]=""),"",IF(AND(Tabla1[[#This Row],[FUM X ECO 1]]="",Tabla1[[#This Row],[FUM x AMENORREA]]&lt;&gt;""),"X",SUM(Tabla1[[#This Row],[FUM X ECO 1]]-Tabla1[[#This Row],[FUM x AMENORREA]])))</f>
        <v>X</v>
      </c>
      <c r="RY166" s="21" t="str">
        <f t="shared" si="673"/>
        <v>x</v>
      </c>
    </row>
    <row r="167" spans="1:493" ht="45" customHeight="1" x14ac:dyDescent="0.25">
      <c r="A167" s="109"/>
      <c r="B167" s="43"/>
      <c r="C167" s="43" t="s">
        <v>845</v>
      </c>
      <c r="D167" s="124"/>
      <c r="E167" s="43" t="s">
        <v>1425</v>
      </c>
      <c r="F167" s="43" t="s">
        <v>1365</v>
      </c>
      <c r="G167" s="43" t="s">
        <v>1472</v>
      </c>
      <c r="H167" s="43"/>
      <c r="I167" s="109" t="s">
        <v>851</v>
      </c>
      <c r="J167" s="110">
        <v>1002848150</v>
      </c>
      <c r="K167" s="43" t="s">
        <v>852</v>
      </c>
      <c r="L167" s="175" t="s">
        <v>1509</v>
      </c>
      <c r="M167" s="22">
        <v>37854</v>
      </c>
      <c r="N167" s="213">
        <f t="shared" ca="1" si="601"/>
        <v>20.213698630136985</v>
      </c>
      <c r="O167" s="22">
        <v>45001</v>
      </c>
      <c r="P167" s="214" t="str">
        <f t="shared" si="675"/>
        <v>SI</v>
      </c>
      <c r="Q167" s="26" t="s">
        <v>855</v>
      </c>
      <c r="R167" s="22">
        <v>45001</v>
      </c>
      <c r="S167" s="21" t="s">
        <v>856</v>
      </c>
      <c r="T167" s="24" t="s">
        <v>690</v>
      </c>
      <c r="U167" s="21" t="s">
        <v>857</v>
      </c>
      <c r="V167" s="21" t="s">
        <v>858</v>
      </c>
      <c r="W167" s="21" t="s">
        <v>1473</v>
      </c>
      <c r="X167" s="21"/>
      <c r="Y167" s="21"/>
      <c r="Z167" s="21">
        <v>3146794495</v>
      </c>
      <c r="AA167" s="21" t="s">
        <v>860</v>
      </c>
      <c r="AB167" s="27" t="s">
        <v>861</v>
      </c>
      <c r="AC167" s="26" t="s">
        <v>1434</v>
      </c>
      <c r="AD167" s="38" t="s">
        <v>846</v>
      </c>
      <c r="AE167" s="26" t="s">
        <v>854</v>
      </c>
      <c r="AF167" s="26" t="s">
        <v>854</v>
      </c>
      <c r="AG167" s="23" t="s">
        <v>864</v>
      </c>
      <c r="AH167" s="23" t="s">
        <v>864</v>
      </c>
      <c r="AI167" s="24" t="s">
        <v>863</v>
      </c>
      <c r="AJ167" s="23" t="s">
        <v>864</v>
      </c>
      <c r="AK167" s="220" t="str">
        <f>IF(AND(AD167="",AE167="",AF167="",AG167="",AH167="",AI167="",AJ167=""),"",IF(OR(Tabla1[[#This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EVALUACIÓN",IF(AND(O167="",R167=""),"",IF(AND(OR(O167&gt;0,R167&gt;0),NG167&gt;=0,NG167&lt;2),"SIN RIESGO",IF(AND(OR(O167&gt;0,R167&gt;0),NG167&gt;=2),"CON RIESGO","ASD")))))</f>
        <v>SIN RIESGO</v>
      </c>
      <c r="AL167" s="23" t="s">
        <v>864</v>
      </c>
      <c r="AM167" s="26" t="s">
        <v>864</v>
      </c>
      <c r="AN167" s="26" t="s">
        <v>864</v>
      </c>
      <c r="AO167" s="26" t="s">
        <v>864</v>
      </c>
      <c r="AP167" s="26" t="s">
        <v>864</v>
      </c>
      <c r="AQ167" s="26" t="s">
        <v>864</v>
      </c>
      <c r="AR167" s="26" t="s">
        <v>864</v>
      </c>
      <c r="AS167" s="21">
        <v>0</v>
      </c>
      <c r="AT167" s="21">
        <v>0</v>
      </c>
      <c r="AU167" s="21">
        <v>0</v>
      </c>
      <c r="AV167" s="26" t="s">
        <v>864</v>
      </c>
      <c r="AW167" s="21">
        <v>0</v>
      </c>
      <c r="AX167" s="26" t="s">
        <v>864</v>
      </c>
      <c r="AY167" s="26" t="s">
        <v>864</v>
      </c>
      <c r="AZ167" s="26" t="s">
        <v>864</v>
      </c>
      <c r="BA167" s="26" t="s">
        <v>864</v>
      </c>
      <c r="BB167" s="26" t="s">
        <v>864</v>
      </c>
      <c r="BC167" s="26" t="s">
        <v>864</v>
      </c>
      <c r="BD167" s="26" t="s">
        <v>864</v>
      </c>
      <c r="BE167" s="26" t="s">
        <v>864</v>
      </c>
      <c r="BF167" s="26" t="s">
        <v>864</v>
      </c>
      <c r="BG167" s="26" t="s">
        <v>864</v>
      </c>
      <c r="BH167" s="26" t="s">
        <v>864</v>
      </c>
      <c r="BI167" s="26" t="s">
        <v>864</v>
      </c>
      <c r="BJ167" s="26"/>
      <c r="BK167" s="26"/>
      <c r="BL167" s="26" t="s">
        <v>864</v>
      </c>
      <c r="BM167" s="26" t="s">
        <v>864</v>
      </c>
      <c r="BN167" s="22"/>
      <c r="BO167" s="22">
        <v>44860</v>
      </c>
      <c r="BP167" s="21" t="s">
        <v>864</v>
      </c>
      <c r="BQ167" s="222">
        <f t="shared" si="602"/>
        <v>0</v>
      </c>
      <c r="BR167" s="223" t="str">
        <f t="shared" si="603"/>
        <v/>
      </c>
      <c r="BS167" s="224">
        <f t="shared" si="604"/>
        <v>20.142857142857142</v>
      </c>
      <c r="BT167" s="216" t="str">
        <f t="shared" si="605"/>
        <v>DEFINIR CON ECO</v>
      </c>
      <c r="BU167" s="214" t="str">
        <f t="shared" ca="1" si="606"/>
        <v/>
      </c>
      <c r="BV167" s="25"/>
      <c r="BW167" s="22"/>
      <c r="BX167" s="28"/>
      <c r="BY167" s="28"/>
      <c r="BZ167" s="22"/>
      <c r="CA167" s="21"/>
      <c r="CB167" s="26"/>
      <c r="CC167" s="26"/>
      <c r="CD167" s="26"/>
      <c r="CE167" s="26"/>
      <c r="CF167" s="22" t="s">
        <v>1517</v>
      </c>
      <c r="CG167" s="21">
        <v>1.47</v>
      </c>
      <c r="CH167" s="21">
        <v>49.8</v>
      </c>
      <c r="CI167" s="214">
        <f t="shared" si="607"/>
        <v>23.045953075107594</v>
      </c>
      <c r="CJ167" s="225" t="e">
        <f>IF(AND(CI167&lt;10,CH167="SD"),"SIN DATO PESO PREGESTACION O I TRIM",IF(AND(OR(R167&gt;0,O167&gt;0),CI167="X"),"INGRESAR DATO DE PESO",IF(CI167="SD","INGRESAR DATO DE TALLA Y PESO",IF(AND(OR(Tabla1[[#This Row],[MOMENTO EN QUE SE REALIZA EL PESO AL INGRESO A CPN]]="PREGESTACIÓN",NZ167="Menor"),CI167&lt;18.5),"BAJO PESO",IF(AND(OR(Tabla1[[#This Row],[MOMENTO EN QUE SE REALIZA EL PESO AL INGRESO A CPN]]="PREGESTACIÓN",NZ167="Menor"),CI167&lt;25),"NORMAL",IF(AND(OR(Tabla1[[#This Row],[MOMENTO EN QUE SE REALIZA EL PESO AL INGRESO A CPN]]="PREGESTACIÓN",NZ167="Menor"),CI167&lt;30),"SOBREPESO",IF(AND(OR(Tabla1[[#This Row],[MOMENTO EN QUE SE REALIZA EL PESO AL INGRESO A CPN]]="PREGESTACIÓN",NZ167="Menor"),CI167&gt;=30,CI167&lt;50),"OBESIDAD",IF(AND(BS167&gt;0,Tabla1[[#This Row],[MOMENTO EN QUE SE REALIZA EL PESO AL INGRESO A CPN]]="GESTACIÓN"),HLOOKUP(NZ167,$OA$2:PH167,NY167),""))))))))</f>
        <v>#REF!</v>
      </c>
      <c r="CK167" s="212">
        <f t="shared" si="608"/>
        <v>45099</v>
      </c>
      <c r="CL167" s="21">
        <v>51.5</v>
      </c>
      <c r="CM167" s="214">
        <f t="shared" si="609"/>
        <v>23.832662316627331</v>
      </c>
      <c r="CN167" s="216">
        <f t="shared" si="610"/>
        <v>34</v>
      </c>
      <c r="CO167" s="216" t="e">
        <f>IF(PI167="","",IF(PI167&gt;0,HLOOKUP(PI167,$PJ$2:QQ167,NY167),""))</f>
        <v>#REF!</v>
      </c>
      <c r="CP167" s="21">
        <v>26</v>
      </c>
      <c r="CQ167" s="216" t="e">
        <f>IF(QR167="Menor","NO APLICA-MENOR 13 SEM",IF(AND(CC167="SI",CN167&gt;23),"NO APLICA- GEMELAR",IF(QR167="","",IF(QR167&gt;0,HLOOKUP(QR167,$QS$2:RU167,NY167),""))))</f>
        <v>#REF!</v>
      </c>
      <c r="CR167" s="21"/>
      <c r="CS167" s="21"/>
      <c r="CT167" s="217" t="str">
        <f>IF(R167="","",IF(AND(BS167&gt;1,BS167&lt;12,Tabla1[[#This Row],[T.A. SISTOLICA - ANTES DE SEMANA 12]]="",Tabla1[[#This Row],[T.A. DIASTOLICA - ANTES DE SEMANA 12]]=""),"REGISTRE DATO TA ANTES SEMANA 12",IF(AND(BS167&gt;11,BS167&lt;43,Tabla1[[#This Row],[T.A. SISTOLICA - ANTES DE SEMANA 12]]="",Tabla1[[#This Row],[T.A. DIASTOLICA - ANTES DE SEMANA 12]]=""),"NO APLICA REGISTRO TA-INGRESO TARDIO",IF(AND(OR(O167&gt;0,R167&gt;0),OR(CR167&gt;=140,CS167&gt;=90)),"DEFINIR ESTADIO HTA",IF(AND(OR(O167&gt;0,R167&gt;0),AND(CR167&gt;120,CR167&lt;=139)),"PRE HTA SEGUIMIENTO",IF(AND(OR(O167&gt;0,R167&gt;0),AND(CS167&gt;80,CS167&lt;=89)),"PRE HTA SEGUIMIENTO",IF(AND(OR(O167&gt;0,R167&gt;0),AND(CR167&gt;=80,CR167&lt;=120)),"APARENTEMENTE NORMAL",IF(AND(OR(O167&gt;0,R167&gt;0),AND(CS167&gt;=50,CS167&lt;=80)),"APARENTEMENTE NORMAL",IF(AND(OR(O167&gt;0,R167&gt;0),AND(CR167&gt;1,CR167&lt;=70),AND(CS167&gt;1,CS167&lt;=40)),"HIPOTENSIÓN","")))))))))</f>
        <v>NO APLICA REGISTRO TA-INGRESO TARDIO</v>
      </c>
      <c r="CU167" s="21">
        <v>120</v>
      </c>
      <c r="CV167" s="21">
        <v>80</v>
      </c>
      <c r="CW167" s="217" t="str">
        <f ca="1">IF(R167="","",IF(AND(CN167&gt;19,CN167&lt;27,Tabla1[[#This Row],[T.A. SISTOLICA (Entre semana 20 y 26)]]="",Tabla1[[#This Row],[T.A. DIATOLICA (Entre semana 20 y 26)]]=""),"ACUDE A CONTROL SEM 20 A 26 REGISTRE TA AHORA",IF(AND(BS167&gt;1,BS167&lt;27,BU167&gt;19,Tabla1[[#This Row],[T.A. SISTOLICA (Entre semana 20 y 26)]]="",Tabla1[[#This Row],[T.A. DIATOLICA (Entre semana 20 y 26)]]=""),"COMPLETE REGISTRO TA CONTROL SEM 20 A26 ",IF(AND(BS167&gt;26,BS167&lt;43,Tabla1[[#This Row],[T.A. SISTOLICA (Entre semana 20 y 26)]]="",Tabla1[[#This Row],[T.A. DIATOLICA (Entre semana 20 y 26)]]=""),"NO APLICA REGISTRO TA-INGRESO TARDIO",IF(AND(OR(O167&gt;0,R167&gt;0),OR(CU167&gt;=140,CV167&gt;=90)),"ALTO RIESGO PREECLAMPSIA,DEFINIR ESTADIO HTA",IF(AND(OR(O167&gt;0,R167&gt;0),AND(CU167&gt;120,CU167&lt;=139)),"PRE HTA SEGUIMIENTO,RIESGO HIPERTENSION INDUCIDA POR EL EMBARAZO",IF(AND(OR(O167&gt;0,R167&gt;0),AND(CV167&gt;80,CV167&lt;=89)),"PRE HTA SEGUIMIENTO, RIESGO HIPERTENSION INDUCIDA POR EL EMBARAZO",IF(AND(OR(O167&lt;&gt;"",R167&lt;&gt;""),CS167&lt;&gt;"",CV167&lt;&gt;"",CS167&lt;=CV167),"VIGILAR CIFRAS PRESION ARTERIAL",IF(AND(OR(O167&gt;0,R167&gt;0),AND(CU167&gt;120,CU167&lt;=139)),"PRE HTA SEGUIMIENTO",IF(AND(OR(O167&gt;0,R167&gt;0),AND(CU167&gt;1,CU167&lt;=70),AND(CV167&gt;1,CV167&lt;=40)),"HIPOTENSIÓN",IF(AND(OR(O167&lt;&gt;"",R167&lt;&gt;""),CS167&lt;&gt;"",CV167&lt;&gt;"",CS167&gt;CV167),"APARENTEMENTE NORMAL",IF(AND(OR(O167&gt;0,R167&gt;0),AND(CU167&gt;=80,CU167&lt;=120)),"APARENTEMENTE NORMAL",IF(AND(OR(O167&gt;0,R167&gt;0),AND(CV167&gt;=50,CV167&lt;=80)),"APARENTEMENTE NORMAL","")))))))))))))</f>
        <v>APARENTEMENTE NORMAL</v>
      </c>
      <c r="CX167" s="21"/>
      <c r="CY167" s="21"/>
      <c r="CZ167" s="216" t="str">
        <f t="shared" si="690"/>
        <v>ACUDE A CONTROL SEM 30 A 34- REGISTRE AHORA</v>
      </c>
      <c r="DA167" s="21">
        <v>90</v>
      </c>
      <c r="DB167" s="21">
        <v>60</v>
      </c>
      <c r="DC167" s="217" t="str">
        <f t="shared" si="611"/>
        <v>APARENTEMENTE NORMAL</v>
      </c>
      <c r="DD167" s="22">
        <v>45001</v>
      </c>
      <c r="DE167" s="22">
        <v>45001</v>
      </c>
      <c r="DF167" s="22">
        <v>45044</v>
      </c>
      <c r="DG167" s="22">
        <v>45062</v>
      </c>
      <c r="DH167" s="22">
        <v>45099</v>
      </c>
      <c r="DI167" s="22"/>
      <c r="DJ167" s="22"/>
      <c r="DK167" s="22"/>
      <c r="DL167" s="22"/>
      <c r="DM167" s="22"/>
      <c r="DN167" s="22"/>
      <c r="DO167" s="22"/>
      <c r="DP167" s="22"/>
      <c r="DQ167" s="22"/>
      <c r="DR167" s="28">
        <v>1</v>
      </c>
      <c r="DS167" s="22"/>
      <c r="DT167" s="22"/>
      <c r="DU167" s="216" t="str">
        <f t="shared" ca="1" si="676"/>
        <v>SALE SIN PLAN DE PARTO</v>
      </c>
      <c r="DV167" s="226" t="str">
        <f t="shared" si="677"/>
        <v>SALIO PROGRAMA</v>
      </c>
      <c r="DW167"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67" s="216" t="str">
        <f t="shared" ca="1" si="612"/>
        <v/>
      </c>
      <c r="DY167" s="212">
        <f>IF(R167="","",IF(R167&gt;0,MAX(Tabla1[[#This Row],[FECHA C2]:[FECHA C13]],Tabla1[[#This Row],[FECHA CONSULTA PRIMERA VEZ PROGRAMA CPN ]])))</f>
        <v>45099</v>
      </c>
      <c r="DZ167" s="216">
        <f t="shared" si="613"/>
        <v>34</v>
      </c>
      <c r="EA167" s="222">
        <f>IF(R167&gt;0,SUM(COUNTA(DF167:DQ167)+COUNTA(Tabla1[[#This Row],[FECHA CONSULTA PRIMERA VEZ PROGRAMA CPN ]])),"")</f>
        <v>4</v>
      </c>
      <c r="EB167" s="222" t="str">
        <f t="shared" si="614"/>
        <v>SI</v>
      </c>
      <c r="EC167" s="214">
        <f t="shared" si="615"/>
        <v>6</v>
      </c>
      <c r="ED167" s="227">
        <f t="shared" si="616"/>
        <v>0.66666666666666663</v>
      </c>
      <c r="EE167" s="22">
        <v>45001</v>
      </c>
      <c r="EF167" s="22"/>
      <c r="EG167" s="22">
        <v>45001</v>
      </c>
      <c r="EH167" s="22"/>
      <c r="EI167" s="22">
        <v>45001</v>
      </c>
      <c r="EJ167" s="22"/>
      <c r="EK167" s="22"/>
      <c r="EL167" s="21"/>
      <c r="EM167" s="21">
        <v>11.2</v>
      </c>
      <c r="EN167" s="22">
        <v>45002</v>
      </c>
      <c r="EO167" s="222">
        <f t="shared" si="617"/>
        <v>20.285714285714285</v>
      </c>
      <c r="EP167" s="214" t="str">
        <f t="shared" si="618"/>
        <v>NORMAL- SUMINISTRAR SULFATO FERROSO</v>
      </c>
      <c r="EQ167" s="216" t="str">
        <f t="shared" si="619"/>
        <v>II TRIM</v>
      </c>
      <c r="ER167" s="24"/>
      <c r="ES167" s="22"/>
      <c r="ET167" s="29" t="str">
        <f t="shared" ca="1" si="678"/>
        <v>SALE SIN TAMIZAJE HEMOGLOBINA SEM 28</v>
      </c>
      <c r="EU167" s="25" t="str">
        <f t="shared" si="620"/>
        <v/>
      </c>
      <c r="EV167" s="24" t="s">
        <v>1510</v>
      </c>
      <c r="EW167" s="24">
        <v>45002</v>
      </c>
      <c r="EX167" s="22"/>
      <c r="EY167" s="29">
        <f t="shared" si="693"/>
        <v>20.285714285714285</v>
      </c>
      <c r="EZ167" s="25" t="str">
        <f t="shared" si="694"/>
        <v>SIN RIESGO DE ISOINMUNIZACIÓN</v>
      </c>
      <c r="FA167" s="21">
        <v>60</v>
      </c>
      <c r="FB167" s="22">
        <v>45002</v>
      </c>
      <c r="FC167" s="29">
        <f t="shared" si="621"/>
        <v>20.285714285714285</v>
      </c>
      <c r="FD167" s="29">
        <v>71</v>
      </c>
      <c r="FE167" s="29">
        <v>116</v>
      </c>
      <c r="FF167" s="29">
        <v>151</v>
      </c>
      <c r="FG167" s="21" t="str">
        <f t="shared" ca="1" si="622"/>
        <v>NORMAL</v>
      </c>
      <c r="FH167" s="31">
        <v>45056</v>
      </c>
      <c r="FI167" s="29">
        <f t="shared" si="623"/>
        <v>28</v>
      </c>
      <c r="FJ167" s="22"/>
      <c r="FK167" s="22"/>
      <c r="FL167" s="29" t="str">
        <f t="shared" ca="1" si="624"/>
        <v>NO APLICA-INGRESO TARDIO</v>
      </c>
      <c r="FM167" s="22"/>
      <c r="FN167" s="32"/>
      <c r="FO167" s="29" t="str">
        <f t="shared" ca="1" si="679"/>
        <v>PIERDE TOMA DE TAMIZAJE</v>
      </c>
      <c r="FP167" s="22"/>
      <c r="FQ167" s="32"/>
      <c r="FR167" s="29" t="str">
        <f t="shared" ca="1" si="680"/>
        <v>PIERDE TOMA DE TAMIZAJE</v>
      </c>
      <c r="FS167" s="22"/>
      <c r="FT167" s="32"/>
      <c r="FU167" s="29" t="str">
        <f>IF(AND(FJ167="",FM167="",FP167="",FS167=""),"",IF(OR(OR(Tabla1[[#This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67" s="28"/>
      <c r="FW167" s="22"/>
      <c r="FX167" s="29" t="str">
        <f t="shared" si="625"/>
        <v>TOMAR EXAMEN</v>
      </c>
      <c r="FY167" s="22">
        <v>45001</v>
      </c>
      <c r="FZ167" s="22">
        <v>45001</v>
      </c>
      <c r="GA167" s="29" t="str">
        <f t="shared" si="692"/>
        <v>REGISTRAR EN II TRIMESTRE</v>
      </c>
      <c r="GB167" s="22" t="s">
        <v>868</v>
      </c>
      <c r="GC167" s="22">
        <v>45002</v>
      </c>
      <c r="GD167" s="29">
        <f t="shared" ca="1" si="681"/>
        <v>20.285714285714285</v>
      </c>
      <c r="GE167" s="22"/>
      <c r="GF167" s="22"/>
      <c r="GG167" s="29" t="str">
        <f t="shared" ca="1" si="682"/>
        <v>PIERDE TOMA DE TAMIZAJE</v>
      </c>
      <c r="GH167" s="22"/>
      <c r="GI167" s="29"/>
      <c r="GJ167" s="22"/>
      <c r="GK167" s="22"/>
      <c r="GL167" s="22"/>
      <c r="GM167" s="22"/>
      <c r="GN167" s="28"/>
      <c r="GO167" s="22"/>
      <c r="GP167" s="29" t="str">
        <f t="shared" si="626"/>
        <v>TOMAR EXAMEN</v>
      </c>
      <c r="GQ167" s="28" t="s">
        <v>869</v>
      </c>
      <c r="GR167" s="28" t="s">
        <v>846</v>
      </c>
      <c r="GS167" s="22" t="str">
        <f t="shared" si="728"/>
        <v>CONTROL Igm</v>
      </c>
      <c r="GT167" s="22">
        <v>45002</v>
      </c>
      <c r="GU167" s="29">
        <f t="shared" si="628"/>
        <v>20.285714285714285</v>
      </c>
      <c r="GV167" s="21" t="str">
        <f t="shared" si="629"/>
        <v>II TRIM</v>
      </c>
      <c r="GW167" s="28" t="s">
        <v>846</v>
      </c>
      <c r="GX167" s="30"/>
      <c r="GY167" s="21"/>
      <c r="GZ167" s="21"/>
      <c r="HA167" s="21"/>
      <c r="HB167" s="21"/>
      <c r="HC167" s="21"/>
      <c r="HD167" s="21"/>
      <c r="HE167" s="21"/>
      <c r="HF167" s="22"/>
      <c r="HG167" s="22" t="str">
        <f>IF(OR(O167&gt;0,R167&gt;0),CONCATENATE(IF(Tabla1[[#This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67" s="22" t="e">
        <f t="shared" si="630"/>
        <v>#REF!</v>
      </c>
      <c r="HI167" s="22" t="e">
        <f t="shared" ca="1" si="631"/>
        <v>#REF!</v>
      </c>
      <c r="HJ167" s="21" t="str">
        <f t="shared" ca="1" si="632"/>
        <v>**********************MULTIPARIDAD*****************</v>
      </c>
      <c r="HK167" s="21" t="str">
        <f t="shared" si="633"/>
        <v>SIN ANTECEDENTES DE RIESGO</v>
      </c>
      <c r="HL167" s="24" t="str">
        <f t="shared" si="634"/>
        <v>APARENTEMENTE NORMAL</v>
      </c>
      <c r="HM167" s="21" t="str">
        <f t="shared" ca="1" si="635"/>
        <v/>
      </c>
      <c r="HN167" s="30" t="str">
        <f t="shared" si="683"/>
        <v>SALIO PROGRAMA</v>
      </c>
      <c r="HO167" s="21"/>
      <c r="HP167" s="21"/>
      <c r="HQ167" s="21">
        <v>45044</v>
      </c>
      <c r="HR167" s="21" t="str">
        <f>IF(R167="","",IF(Tabla1[[#This Row],[ALARMA FACTORES DE RIESGO COMPLICACIONES HIPERTENSIVAS3]]="SIN ANTECEDENTES DE RIESGO","No Aplica para suministro de ASA",IF(AND(Tabla1[[#This Row],[FECHA INICIO DE SUMINISTRO DE ASA]]&gt;0,RV167&lt;12),"Inicia ASA ANTES de Sem 12",IF(AND(RV167&gt;11,RV167&lt;17,OR(HK167="RIESGO ALTO DE COMPLICACIONES HIPERTENSIVAS VER MANEJO GUIA SUMINISTRO ASA Y CALCIO",HK167="RIESGO MODERADO (2 O MAS CRITERIOS) VER MANEJO GUIA SUMINISTRO ASA Y CALCIO")),"Inicio oportuno de ASA",IF(AND(RV167&gt;12,OR(HK167="RIESGO ALTO DE COMPLICACIONES HIPERTENSIVAS VER MANEJO GUIA SUMINISTRO ASA Y CALCIO",HK167="RIESGO MODERADO (2 O MAS CRITERIOS) VER MANEJO GUIA SUMINISTRO ASA Y CALCIO")),"Inicio no oportuno mayor a 16 semanas",IF(AND(BU167&lt;12,OR(HK167="RIESGO ALTO DE COMPLICACIONES HIPERTENSIVAS VER MANEJO GUIA SUMINISTRO ASA Y CALCIO",HK167="RIESGO MODERADO (2 O MAS CRITERIOS) VER MANEJO GUIA SUMINISTRO ASA Y CALCIO")),"Pendiente Inicio de ASA a la semana 12",IF(AND(BU167&gt;11,BU167&lt;17,OR(HK167="RIESGO ALTO DE COMPLICACIONES HIPERTENSIVAS VER MANEJO GUIA SUMINISTRO ASA Y CALCIO",HK167="RIESGO MODERADO (2 O MAS CRITERIOS) VER MANEJO GUIA SUMINISTRO ASA Y CALCIO")),"Iniciar de inmediato ASA",IF(AND(BU167&gt;16,OR(HK167="RIESGO ALTO DE COMPLICACIONES HIPERTENSIVAS VER MANEJO GUIA SUMINISTRO ASA Y CALCIO",HK167="RIESGO MODERADO (2 O MAS CRITERIOS) VER MANEJO GUIA SUMINISTRO ASA Y CALCIO")),"Pierde Oportunidad, Inicio tardío de ASA","XXXXX"))))))))</f>
        <v>No Aplica para suministro de ASA</v>
      </c>
      <c r="HS167" s="22">
        <v>45044</v>
      </c>
      <c r="HT167" s="22" t="s">
        <v>870</v>
      </c>
      <c r="HU167" s="22">
        <v>45044</v>
      </c>
      <c r="HV167" s="22" t="s">
        <v>870</v>
      </c>
      <c r="HW167" s="22">
        <v>45044</v>
      </c>
      <c r="HX167" s="22" t="s">
        <v>870</v>
      </c>
      <c r="HY167" s="22"/>
      <c r="HZ167" s="28" t="str">
        <f t="shared" si="636"/>
        <v>PENDIENTE CONSULTA</v>
      </c>
      <c r="IA167" s="26"/>
      <c r="IB167" s="26"/>
      <c r="IC167" s="111"/>
      <c r="ID167" s="22">
        <v>45001</v>
      </c>
      <c r="IE167" s="22" t="str">
        <f t="shared" ca="1" si="637"/>
        <v>VACUNA APLICADA ENTRE SEMANA 20 Y SEMANA 26</v>
      </c>
      <c r="IF167" s="22"/>
      <c r="IG167" s="22">
        <f t="shared" si="638"/>
        <v>45140</v>
      </c>
      <c r="IH167" s="29">
        <f t="shared" ca="1" si="639"/>
        <v>-92</v>
      </c>
      <c r="II167" s="22" t="str">
        <f t="shared" ca="1" si="640"/>
        <v>POSIBLEMENTE NACIO</v>
      </c>
      <c r="IJ167" s="22"/>
      <c r="IK167" s="21" t="s">
        <v>898</v>
      </c>
      <c r="IL167" s="21"/>
      <c r="IM167" s="34"/>
      <c r="IN167" s="349">
        <v>45116</v>
      </c>
      <c r="IO167" s="21" t="s">
        <v>1186</v>
      </c>
      <c r="IP167" s="29">
        <f t="shared" si="674"/>
        <v>36.571428571428569</v>
      </c>
      <c r="IQ167" s="35" t="s">
        <v>1650</v>
      </c>
      <c r="IR167" s="21" t="s">
        <v>1651</v>
      </c>
      <c r="IS167" s="21" t="s">
        <v>1646</v>
      </c>
      <c r="IT167" s="21" t="s">
        <v>1642</v>
      </c>
      <c r="IU167" s="21"/>
      <c r="IV167" s="21"/>
      <c r="IW167" s="21"/>
      <c r="IX167" s="21"/>
      <c r="IY167" s="21"/>
      <c r="IZ167" s="21"/>
      <c r="JA167" s="21"/>
      <c r="JB167" s="30">
        <v>1</v>
      </c>
      <c r="JC167" s="21" t="s">
        <v>1647</v>
      </c>
      <c r="JD167" s="36">
        <v>2320</v>
      </c>
      <c r="JE167" s="21" t="str">
        <f t="shared" si="684"/>
        <v>BAJO PESO AL NACER</v>
      </c>
      <c r="JF167" s="30"/>
      <c r="JG167" s="21"/>
      <c r="JH167" s="21"/>
      <c r="JI167" s="309" t="s">
        <v>854</v>
      </c>
      <c r="JJ167" s="329" t="s">
        <v>866</v>
      </c>
      <c r="JK167" s="22"/>
      <c r="JL167" s="22"/>
      <c r="JM167" s="21"/>
      <c r="JN167" s="36"/>
      <c r="JO167" s="21" t="str">
        <f t="shared" si="685"/>
        <v/>
      </c>
      <c r="JP167" s="22"/>
      <c r="JQ167" s="21"/>
      <c r="JR167" s="21"/>
      <c r="JS167" s="21"/>
      <c r="JT167" s="30"/>
      <c r="JU167" s="22"/>
      <c r="JV167" s="22"/>
      <c r="JW167" s="33"/>
      <c r="JX167" s="28" t="str">
        <f t="shared" si="686"/>
        <v>INASISTENTE</v>
      </c>
      <c r="JY167" s="33"/>
      <c r="JZ167" s="28" t="str">
        <f t="shared" si="687"/>
        <v>INASISTENTE</v>
      </c>
      <c r="KA167" s="21"/>
      <c r="KB167" s="21"/>
      <c r="KC167" s="21"/>
      <c r="KD167" s="37"/>
      <c r="KE167" s="28"/>
      <c r="KF167" s="28"/>
      <c r="KG167" s="28"/>
      <c r="KH167" s="39"/>
      <c r="KI167" s="39"/>
      <c r="KJ167" s="66"/>
      <c r="KK167" s="39"/>
      <c r="KL167" s="39"/>
      <c r="KM167" s="66"/>
      <c r="KN167" s="39"/>
      <c r="KO167" s="39"/>
      <c r="KP167" s="39"/>
      <c r="KQ167" s="39"/>
      <c r="KR167" s="39"/>
      <c r="KS167" s="39"/>
      <c r="KT167" s="39"/>
      <c r="KU167" s="38"/>
      <c r="KV167" s="38"/>
      <c r="KW167" s="38"/>
      <c r="KX167" s="38"/>
      <c r="KY167" s="38"/>
      <c r="KZ167" s="38"/>
      <c r="LA167" s="38"/>
      <c r="LB167" s="38"/>
      <c r="LC167" s="38"/>
      <c r="LD167" s="38"/>
      <c r="LE167" s="38"/>
      <c r="LF167" s="38"/>
      <c r="LG167" s="38"/>
      <c r="LH167" s="38"/>
      <c r="LI167" s="38"/>
      <c r="LJ167" s="38"/>
      <c r="LK167" s="38"/>
      <c r="LL167" s="38"/>
      <c r="LM167" s="38"/>
      <c r="LN167" s="38"/>
      <c r="LO167" s="38"/>
      <c r="LP167" s="38"/>
      <c r="LQ167" s="38"/>
      <c r="LR167" s="38"/>
      <c r="LS167" s="38"/>
      <c r="LT167" s="38"/>
      <c r="LU167" s="38"/>
      <c r="LV167" s="38"/>
      <c r="LW167" s="38"/>
      <c r="LX167" s="38"/>
      <c r="LY167" s="38"/>
      <c r="LZ167" s="38"/>
      <c r="MA167" s="38"/>
      <c r="MB167" s="38"/>
      <c r="MC167" s="38"/>
      <c r="MD167" s="38"/>
      <c r="ME167" s="38"/>
      <c r="MF167" s="38"/>
      <c r="MG167" s="38"/>
      <c r="MH167" s="43">
        <f t="shared" si="697"/>
        <v>0</v>
      </c>
      <c r="MI167" s="43" t="str">
        <f t="shared" si="698"/>
        <v/>
      </c>
      <c r="MJ167" s="43" t="str">
        <f t="shared" si="699"/>
        <v/>
      </c>
      <c r="MK167" s="43">
        <f t="shared" si="700"/>
        <v>0</v>
      </c>
      <c r="ML16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67" s="43">
        <f t="shared" si="701"/>
        <v>20.142857142857142</v>
      </c>
      <c r="MN167" s="43">
        <f t="shared" si="702"/>
        <v>3</v>
      </c>
      <c r="MO167" s="43">
        <f t="shared" si="703"/>
        <v>2023</v>
      </c>
      <c r="MP167" s="43" t="str">
        <f t="shared" si="704"/>
        <v>I TRIMESTRE AÑO</v>
      </c>
      <c r="MQ167" s="43">
        <f t="shared" si="705"/>
        <v>19.28657468243539</v>
      </c>
      <c r="MR167" s="43">
        <f t="shared" si="706"/>
        <v>0</v>
      </c>
      <c r="MS167" s="43" t="str">
        <f t="shared" si="707"/>
        <v>DE 14 A 19AÑOS</v>
      </c>
      <c r="MT167" s="43">
        <f t="shared" si="708"/>
        <v>0</v>
      </c>
      <c r="MU167" s="43">
        <f t="shared" si="709"/>
        <v>1</v>
      </c>
      <c r="MV167" s="43">
        <f t="shared" si="710"/>
        <v>0</v>
      </c>
      <c r="MW167" s="43">
        <f t="shared" si="711"/>
        <v>0</v>
      </c>
      <c r="MX167" s="43" t="str">
        <f t="shared" si="712"/>
        <v/>
      </c>
      <c r="MY167" s="43" t="str">
        <f t="shared" ca="1" si="688"/>
        <v/>
      </c>
      <c r="MZ167" s="43" t="str">
        <f t="shared" si="713"/>
        <v/>
      </c>
      <c r="NA167" s="43" t="str">
        <f t="shared" si="714"/>
        <v/>
      </c>
      <c r="NB167" s="43" t="str">
        <f t="shared" si="715"/>
        <v/>
      </c>
      <c r="NC167" s="43" t="str">
        <f t="shared" si="716"/>
        <v/>
      </c>
      <c r="ND167" s="43">
        <f t="shared" ca="1" si="717"/>
        <v>1</v>
      </c>
      <c r="NE167" s="43">
        <f>IF(OR(O167&gt;0,R167&gt;0),SUM(COUNTIF(Tabla1[[#This Row],[AÑOS AL INICIO5 CPN]],"&gt;=40"),COUNTIF(AS167,"0"),COUNTIF(AR167,"SI"),COUNTIF(CC167,"SI"),COUNTIF(BQ167,"&gt;119"),COUNTIF(CI167,"&gt;=35")),"")</f>
        <v>1</v>
      </c>
      <c r="NF167" s="43">
        <f t="shared" si="718"/>
        <v>20.142857142857142</v>
      </c>
      <c r="NG167" s="43">
        <f t="shared" si="719"/>
        <v>0</v>
      </c>
      <c r="NH167" s="43" t="str">
        <f t="shared" si="720"/>
        <v/>
      </c>
      <c r="NI167"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CPN",P167="NO"),"Z",IF(AND(Tabla1[[#This Row],[CITA PROXIMO CONTROL]]="CITA MANUAL",Tabla1[[#This Row],[GESTANTES ACTUALES]]="ACTIVA INGRESO A CPN"),"W",IF(AND(Tabla1[[#This Row],[GESTANTES ACTUALES]]="SALIO PROGRAMA",IN167=""),"S",IF(AND(Tabla1[[#This Row],[CITA PROXIMO CONTROL]]&gt;0,IN167=""),(Tabla1[[#This Row],[CITA PROXIMO CONTROL]]-TODAY()),"SD"))))))))</f>
        <v>SD</v>
      </c>
      <c r="NJ167" s="43">
        <f>MONTH(Tabla1[[#This Row],[FECHA DE SALIDA  DEL PROGRAMA]])</f>
        <v>7</v>
      </c>
      <c r="NK167" s="43">
        <f>YEAR(Tabla1[[#This Row],[FECHA DE SALIDA  DEL PROGRAMA]])</f>
        <v>2023</v>
      </c>
      <c r="NL167" s="43" t="str">
        <f t="shared" si="721"/>
        <v>X</v>
      </c>
      <c r="NM167" s="43" t="str">
        <f t="shared" si="695"/>
        <v>NO</v>
      </c>
      <c r="NN167" s="43" t="str">
        <f ca="1">IF(AND(O167&gt;0,R167=""),"NO CPN",IF(AND(O167="",R167=""),"",IF(AND(R167&gt;0,Tabla1[[#This Row],[SEMANAS DE GESTACION ACTUALIZADAS]]&lt;=12),"NO APLICA",IF(AND(FH167&lt;&gt;"",FN167&lt;&gt;""),"SI","NO"))))</f>
        <v>NO</v>
      </c>
      <c r="NO167" s="43" t="str">
        <f ca="1">IF(AND(O167&gt;0,R167=""),"NO CPN",IF(AND(O167="",R167=""),"",IF(AND(R167&gt;0,Tabla1[[#This Row],[SEMANAS DE GESTACION ACTUALIZADAS]]&lt;=27),"NO APLICA",IF(AND(ES167&lt;&gt;"",FQ167&lt;&gt;"",GF167&lt;&gt;""),"SI","NO"))))</f>
        <v>NO</v>
      </c>
      <c r="NP167" s="204" t="str">
        <f t="shared" si="722"/>
        <v>DEFINIR CON ECO</v>
      </c>
      <c r="NQ167" s="21" t="str">
        <f t="shared" si="691"/>
        <v/>
      </c>
      <c r="NR167" s="21">
        <f t="shared" si="689"/>
        <v>2</v>
      </c>
      <c r="NS167" s="205">
        <f t="shared" ca="1" si="723"/>
        <v>0</v>
      </c>
      <c r="NT167" s="21">
        <f t="shared" ca="1" si="724"/>
        <v>1</v>
      </c>
      <c r="NU167" s="21" t="str">
        <f t="shared" ca="1" si="725"/>
        <v>INCOMPLETO</v>
      </c>
      <c r="NV167" s="21" t="str">
        <f t="shared" ca="1" si="726"/>
        <v>INCOMPLETO</v>
      </c>
      <c r="NW167" s="206" t="str">
        <f>IF(AND(O167="",R167=""),"",IF(OR(AND(Tabla1[[#This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67" s="207" t="str">
        <f t="shared" ca="1" si="727"/>
        <v>VACUNADA</v>
      </c>
      <c r="NY167" s="43">
        <f>ROW(Tabla1[[#This Row],['# DE TAMIZAJES SIFILIS TOMADOS ]])</f>
        <v>167</v>
      </c>
      <c r="NZ167" s="43">
        <f t="shared" si="502"/>
        <v>20</v>
      </c>
      <c r="OA167" s="43" t="str">
        <f t="shared" si="503"/>
        <v/>
      </c>
      <c r="OB167" s="43" t="str">
        <f t="shared" si="504"/>
        <v/>
      </c>
      <c r="OC167" s="43" t="str">
        <f t="shared" si="505"/>
        <v/>
      </c>
      <c r="OD167" s="43" t="str">
        <f t="shared" si="506"/>
        <v/>
      </c>
      <c r="OE167" s="43" t="str">
        <f t="shared" si="507"/>
        <v/>
      </c>
      <c r="OF167" s="43" t="str">
        <f t="shared" si="508"/>
        <v/>
      </c>
      <c r="OG167" s="43" t="str">
        <f t="shared" si="509"/>
        <v/>
      </c>
      <c r="OH167" s="43" t="str">
        <f t="shared" si="510"/>
        <v/>
      </c>
      <c r="OI167" s="43" t="str">
        <f t="shared" si="511"/>
        <v/>
      </c>
      <c r="OJ167" s="43" t="str">
        <f t="shared" si="512"/>
        <v/>
      </c>
      <c r="OK167" s="43" t="str">
        <f t="shared" si="513"/>
        <v/>
      </c>
      <c r="OL167" s="43" t="str">
        <f t="shared" si="514"/>
        <v>NORMAL</v>
      </c>
      <c r="OM167" s="43" t="str">
        <f t="shared" si="515"/>
        <v/>
      </c>
      <c r="ON167" s="43" t="str">
        <f t="shared" si="516"/>
        <v/>
      </c>
      <c r="OO167" s="43" t="str">
        <f t="shared" si="517"/>
        <v/>
      </c>
      <c r="OP167" s="43" t="str">
        <f t="shared" si="518"/>
        <v/>
      </c>
      <c r="OQ167" s="43" t="str">
        <f t="shared" si="519"/>
        <v/>
      </c>
      <c r="OR167" s="43" t="str">
        <f t="shared" si="520"/>
        <v/>
      </c>
      <c r="OS167" s="43" t="str">
        <f t="shared" si="521"/>
        <v/>
      </c>
      <c r="OT167" s="43" t="str">
        <f t="shared" si="522"/>
        <v/>
      </c>
      <c r="OU167" s="43" t="str">
        <f t="shared" si="523"/>
        <v/>
      </c>
      <c r="OV167" s="110" t="str">
        <f t="shared" si="524"/>
        <v/>
      </c>
      <c r="OW167" s="43" t="str">
        <f t="shared" si="525"/>
        <v/>
      </c>
      <c r="OX167" s="43" t="str">
        <f t="shared" si="526"/>
        <v/>
      </c>
      <c r="OY167" s="43" t="str">
        <f t="shared" si="527"/>
        <v/>
      </c>
      <c r="OZ167" s="43" t="str">
        <f t="shared" si="528"/>
        <v/>
      </c>
      <c r="PA167" s="43" t="str">
        <f t="shared" si="529"/>
        <v/>
      </c>
      <c r="PB167" s="43" t="str">
        <f t="shared" si="530"/>
        <v/>
      </c>
      <c r="PC167" s="43" t="str">
        <f t="shared" si="531"/>
        <v/>
      </c>
      <c r="PD167" s="43" t="str">
        <f t="shared" si="532"/>
        <v/>
      </c>
      <c r="PE167" s="43" t="str">
        <f t="shared" si="533"/>
        <v/>
      </c>
      <c r="PF167" s="43" t="str">
        <f t="shared" si="534"/>
        <v/>
      </c>
      <c r="PG167" s="43" t="str">
        <f t="shared" si="535"/>
        <v/>
      </c>
      <c r="PH167" s="43" t="str">
        <f t="shared" si="536"/>
        <v/>
      </c>
      <c r="PI167" s="43">
        <f t="shared" si="537"/>
        <v>34</v>
      </c>
      <c r="PJ167" s="43" t="str">
        <f t="shared" si="538"/>
        <v/>
      </c>
      <c r="PK167" s="43" t="str">
        <f t="shared" si="539"/>
        <v/>
      </c>
      <c r="PL167" s="43" t="str">
        <f t="shared" si="540"/>
        <v/>
      </c>
      <c r="PM167" s="43" t="str">
        <f t="shared" si="541"/>
        <v/>
      </c>
      <c r="PN167" s="43" t="str">
        <f t="shared" si="542"/>
        <v/>
      </c>
      <c r="PO167" s="43" t="str">
        <f t="shared" si="543"/>
        <v/>
      </c>
      <c r="PP167" s="43" t="str">
        <f t="shared" si="544"/>
        <v/>
      </c>
      <c r="PQ167" s="43" t="str">
        <f t="shared" si="545"/>
        <v/>
      </c>
      <c r="PR167" s="43" t="str">
        <f t="shared" si="546"/>
        <v/>
      </c>
      <c r="PS167" s="43" t="str">
        <f t="shared" si="547"/>
        <v/>
      </c>
      <c r="PT167" s="43" t="str">
        <f t="shared" si="548"/>
        <v/>
      </c>
      <c r="PU167" s="43" t="str">
        <f t="shared" si="549"/>
        <v/>
      </c>
      <c r="PV167" s="43" t="str">
        <f t="shared" si="550"/>
        <v/>
      </c>
      <c r="PW167" s="43" t="str">
        <f t="shared" si="551"/>
        <v/>
      </c>
      <c r="PX167" s="43" t="str">
        <f t="shared" si="552"/>
        <v/>
      </c>
      <c r="PY167" s="43" t="str">
        <f t="shared" si="553"/>
        <v/>
      </c>
      <c r="PZ167" s="43" t="str">
        <f t="shared" si="554"/>
        <v/>
      </c>
      <c r="QA167" s="43" t="str">
        <f t="shared" si="555"/>
        <v/>
      </c>
      <c r="QB167" s="43" t="str">
        <f t="shared" si="556"/>
        <v/>
      </c>
      <c r="QC167" s="43" t="str">
        <f t="shared" si="557"/>
        <v/>
      </c>
      <c r="QD167" s="43" t="str">
        <f t="shared" si="558"/>
        <v/>
      </c>
      <c r="QE167" s="43" t="str">
        <f t="shared" si="559"/>
        <v/>
      </c>
      <c r="QF167" s="43" t="str">
        <f t="shared" si="560"/>
        <v/>
      </c>
      <c r="QG167" s="43" t="str">
        <f t="shared" si="561"/>
        <v/>
      </c>
      <c r="QH167" s="43" t="str">
        <f t="shared" si="562"/>
        <v/>
      </c>
      <c r="QI167" s="43" t="str">
        <f t="shared" si="563"/>
        <v>BAJO PESO</v>
      </c>
      <c r="QJ167" s="43" t="str">
        <f t="shared" si="564"/>
        <v/>
      </c>
      <c r="QK167" s="43" t="str">
        <f t="shared" si="565"/>
        <v/>
      </c>
      <c r="QL167" s="43" t="str">
        <f t="shared" si="566"/>
        <v/>
      </c>
      <c r="QM167" s="43" t="str">
        <f t="shared" si="567"/>
        <v/>
      </c>
      <c r="QN167" s="43" t="str">
        <f t="shared" si="568"/>
        <v/>
      </c>
      <c r="QO167" s="43" t="str">
        <f t="shared" si="569"/>
        <v/>
      </c>
      <c r="QP167" s="43" t="str">
        <f t="shared" si="570"/>
        <v/>
      </c>
      <c r="QQ167" s="43" t="str">
        <f t="shared" si="571"/>
        <v/>
      </c>
      <c r="QR167" s="43">
        <f t="shared" si="672"/>
        <v>34</v>
      </c>
      <c r="QS167" s="43"/>
      <c r="QT167" s="21" t="str">
        <f t="shared" si="572"/>
        <v/>
      </c>
      <c r="QU167" s="21" t="str">
        <f t="shared" si="573"/>
        <v/>
      </c>
      <c r="QV167" s="21" t="str">
        <f t="shared" si="574"/>
        <v/>
      </c>
      <c r="QW167" s="21" t="str">
        <f t="shared" si="575"/>
        <v/>
      </c>
      <c r="QX167" s="21" t="str">
        <f t="shared" si="576"/>
        <v/>
      </c>
      <c r="QY167" s="21" t="str">
        <f t="shared" si="577"/>
        <v/>
      </c>
      <c r="QZ167" s="21" t="str">
        <f t="shared" si="578"/>
        <v/>
      </c>
      <c r="RA167" s="21" t="str">
        <f t="shared" si="579"/>
        <v/>
      </c>
      <c r="RB167" s="21" t="str">
        <f t="shared" si="580"/>
        <v/>
      </c>
      <c r="RC167" s="21" t="str">
        <f t="shared" si="581"/>
        <v/>
      </c>
      <c r="RD167" s="21" t="str">
        <f t="shared" si="582"/>
        <v/>
      </c>
      <c r="RE167" s="21" t="str">
        <f t="shared" si="583"/>
        <v/>
      </c>
      <c r="RF167" s="21" t="str">
        <f t="shared" si="584"/>
        <v/>
      </c>
      <c r="RG167" s="21" t="str">
        <f t="shared" si="585"/>
        <v/>
      </c>
      <c r="RH167" s="21" t="str">
        <f t="shared" si="586"/>
        <v/>
      </c>
      <c r="RI167" s="21" t="str">
        <f t="shared" si="587"/>
        <v/>
      </c>
      <c r="RJ167" s="21" t="str">
        <f t="shared" si="588"/>
        <v/>
      </c>
      <c r="RK167" s="21" t="str">
        <f t="shared" si="589"/>
        <v/>
      </c>
      <c r="RL167" s="21" t="str">
        <f t="shared" si="590"/>
        <v/>
      </c>
      <c r="RM167" s="21" t="str">
        <f t="shared" si="591"/>
        <v/>
      </c>
      <c r="RN167" s="21" t="str">
        <f t="shared" si="592"/>
        <v/>
      </c>
      <c r="RO167" s="21" t="str">
        <f t="shared" si="593"/>
        <v>ADECUADO PARA EDAD GESTACIONAL</v>
      </c>
      <c r="RP167" s="21" t="str">
        <f t="shared" si="594"/>
        <v/>
      </c>
      <c r="RQ167" s="21" t="str">
        <f t="shared" si="595"/>
        <v/>
      </c>
      <c r="RR167" s="21" t="str">
        <f t="shared" si="596"/>
        <v/>
      </c>
      <c r="RS167" s="21" t="str">
        <f t="shared" si="597"/>
        <v/>
      </c>
      <c r="RT167" s="21" t="str">
        <f t="shared" si="598"/>
        <v/>
      </c>
      <c r="RU167" s="21" t="str">
        <f t="shared" si="599"/>
        <v/>
      </c>
      <c r="RV167" s="21">
        <f t="shared" si="600"/>
        <v>26.285714285714285</v>
      </c>
      <c r="RW167" s="284">
        <f>IF(OR(Tabla1[[#This Row],[FUM FORMULA CONFIABLE]]="",Tabla1[[#This Row],[FUM FORMULA CONFIABLE]]="SD"),"",IF(Tabla1[[#This Row],[FUM FORMULA CONFIABLE]]="CORREGIDA",Tabla1[[#This Row],[FUM X ECO 1]],Tabla1[[#This Row],[FUM x AMENORREA]]))</f>
        <v>44860</v>
      </c>
      <c r="RX167" s="21" t="str">
        <f>IF(AND(Tabla1[[#This Row],[FUM X ECO 1]]="",Tabla1[[#This Row],[FUM x AMENORREA]]=""),"",IF(AND(Tabla1[[#This Row],[FUM X ECO 1]]="",Tabla1[[#This Row],[FUM x AMENORREA]]&lt;&gt;""),"X",SUM(Tabla1[[#This Row],[FUM X ECO 1]]-Tabla1[[#This Row],[FUM x AMENORREA]])))</f>
        <v>X</v>
      </c>
      <c r="RY167" s="21" t="str">
        <f t="shared" si="673"/>
        <v>x</v>
      </c>
    </row>
    <row r="168" spans="1:493" ht="45" customHeight="1" x14ac:dyDescent="0.25">
      <c r="A168" s="109"/>
      <c r="B168" s="43"/>
      <c r="C168" s="43" t="s">
        <v>845</v>
      </c>
      <c r="D168" s="124"/>
      <c r="E168" s="43" t="s">
        <v>1014</v>
      </c>
      <c r="F168" s="43" t="s">
        <v>1474</v>
      </c>
      <c r="G168" s="43" t="s">
        <v>1475</v>
      </c>
      <c r="H168" s="43"/>
      <c r="I168" s="109" t="s">
        <v>851</v>
      </c>
      <c r="J168" s="110">
        <v>1002846252</v>
      </c>
      <c r="K168" s="43" t="s">
        <v>852</v>
      </c>
      <c r="L168" s="175" t="s">
        <v>853</v>
      </c>
      <c r="M168" s="22">
        <v>34837</v>
      </c>
      <c r="N168" s="213">
        <f t="shared" ca="1" si="601"/>
        <v>28.479452054794521</v>
      </c>
      <c r="O168" s="22">
        <v>44991</v>
      </c>
      <c r="P168" s="214" t="str">
        <f t="shared" si="675"/>
        <v>SI</v>
      </c>
      <c r="Q168" s="26" t="s">
        <v>855</v>
      </c>
      <c r="R168" s="22">
        <v>44991</v>
      </c>
      <c r="S168" s="21" t="s">
        <v>856</v>
      </c>
      <c r="T168" s="24" t="s">
        <v>690</v>
      </c>
      <c r="U168" s="21" t="s">
        <v>857</v>
      </c>
      <c r="V168" s="21" t="s">
        <v>858</v>
      </c>
      <c r="W168" s="21" t="s">
        <v>933</v>
      </c>
      <c r="X168" s="21"/>
      <c r="Y168" s="21" t="s">
        <v>859</v>
      </c>
      <c r="Z168" s="21">
        <v>3222081161</v>
      </c>
      <c r="AA168" s="21" t="s">
        <v>860</v>
      </c>
      <c r="AB168" s="27" t="s">
        <v>861</v>
      </c>
      <c r="AC168" s="26" t="s">
        <v>888</v>
      </c>
      <c r="AD168" s="38" t="s">
        <v>1546</v>
      </c>
      <c r="AE168" s="26" t="s">
        <v>854</v>
      </c>
      <c r="AF168" s="26" t="s">
        <v>854</v>
      </c>
      <c r="AG168" s="23" t="s">
        <v>864</v>
      </c>
      <c r="AH168" s="23" t="s">
        <v>864</v>
      </c>
      <c r="AI168" s="24" t="s">
        <v>863</v>
      </c>
      <c r="AJ168" s="23" t="s">
        <v>864</v>
      </c>
      <c r="AK168" s="220" t="str">
        <f>IF(AND(AD168="",AE168="",AF168="",AG168="",AH168="",AI168="",AJ168=""),"",IF(OR(Tabla1[[#This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EVALUACIÓN",IF(AND(O168="",R168=""),"",IF(AND(OR(O168&gt;0,R168&gt;0),NG168&gt;=0,NG168&lt;2),"SIN RIESGO",IF(AND(OR(O168&gt;0,R168&gt;0),NG168&gt;=2),"CON RIESGO","ASD")))))</f>
        <v>SIN RIESGO</v>
      </c>
      <c r="AL168" s="23" t="s">
        <v>864</v>
      </c>
      <c r="AM168" s="26" t="s">
        <v>864</v>
      </c>
      <c r="AN168" s="26" t="s">
        <v>864</v>
      </c>
      <c r="AO168" s="26" t="s">
        <v>864</v>
      </c>
      <c r="AP168" s="26" t="s">
        <v>864</v>
      </c>
      <c r="AQ168" s="26" t="s">
        <v>864</v>
      </c>
      <c r="AR168" s="26" t="s">
        <v>864</v>
      </c>
      <c r="AS168" s="21">
        <v>2</v>
      </c>
      <c r="AT168" s="21">
        <v>0</v>
      </c>
      <c r="AU168" s="21">
        <v>0</v>
      </c>
      <c r="AV168" s="26" t="s">
        <v>864</v>
      </c>
      <c r="AW168" s="21">
        <v>2</v>
      </c>
      <c r="AX168" s="26" t="s">
        <v>864</v>
      </c>
      <c r="AY168" s="26" t="s">
        <v>864</v>
      </c>
      <c r="AZ168" s="26" t="s">
        <v>864</v>
      </c>
      <c r="BA168" s="26" t="s">
        <v>864</v>
      </c>
      <c r="BB168" s="26" t="s">
        <v>864</v>
      </c>
      <c r="BC168" s="26" t="s">
        <v>864</v>
      </c>
      <c r="BD168" s="26" t="s">
        <v>864</v>
      </c>
      <c r="BE168" s="26" t="s">
        <v>864</v>
      </c>
      <c r="BF168" s="26" t="s">
        <v>864</v>
      </c>
      <c r="BG168" s="26" t="s">
        <v>864</v>
      </c>
      <c r="BH168" s="26" t="s">
        <v>864</v>
      </c>
      <c r="BI168" s="26" t="s">
        <v>864</v>
      </c>
      <c r="BJ168" s="26" t="s">
        <v>864</v>
      </c>
      <c r="BK168" s="26" t="s">
        <v>864</v>
      </c>
      <c r="BL168" s="26" t="s">
        <v>864</v>
      </c>
      <c r="BM168" s="26" t="s">
        <v>864</v>
      </c>
      <c r="BN168" s="22">
        <v>42776</v>
      </c>
      <c r="BO168" s="22">
        <v>44875</v>
      </c>
      <c r="BP168" s="21" t="s">
        <v>1380</v>
      </c>
      <c r="BQ168" s="222">
        <f t="shared" si="602"/>
        <v>70.11666666666666</v>
      </c>
      <c r="BR168" s="223">
        <f t="shared" si="603"/>
        <v>44879.5</v>
      </c>
      <c r="BS168" s="224">
        <f t="shared" si="604"/>
        <v>15.928571428571429</v>
      </c>
      <c r="BT168" s="216" t="str">
        <f t="shared" si="605"/>
        <v>II TRIM</v>
      </c>
      <c r="BU168" s="214" t="str">
        <f t="shared" ca="1" si="606"/>
        <v/>
      </c>
      <c r="BV168" s="25" t="s">
        <v>1525</v>
      </c>
      <c r="BW168" s="22">
        <v>44960</v>
      </c>
      <c r="BX168" s="28">
        <v>11.5</v>
      </c>
      <c r="BY168" s="28"/>
      <c r="BZ168" s="22"/>
      <c r="CA168" s="21"/>
      <c r="CB168" s="26" t="s">
        <v>864</v>
      </c>
      <c r="CC168" s="26" t="s">
        <v>864</v>
      </c>
      <c r="CD168" s="26"/>
      <c r="CE168" s="26" t="s">
        <v>864</v>
      </c>
      <c r="CF168" s="22" t="s">
        <v>1517</v>
      </c>
      <c r="CG168" s="21">
        <v>1.68</v>
      </c>
      <c r="CH168" s="21">
        <v>72</v>
      </c>
      <c r="CI168" s="214">
        <f t="shared" si="607"/>
        <v>25.510204081632658</v>
      </c>
      <c r="CJ168" s="225" t="e">
        <f>IF(AND(CI168&lt;10,CH168="SD"),"SIN DATO PESO PREGESTACION O I TRIM",IF(AND(OR(R168&gt;0,O168&gt;0),CI168="X"),"INGRESAR DATO DE PESO",IF(CI168="SD","INGRESAR DATO DE TALLA Y PESO",IF(AND(OR(Tabla1[[#This Row],[MOMENTO EN QUE SE REALIZA EL PESO AL INGRESO A CPN]]="PREGESTACIÓN",NZ168="Menor"),CI168&lt;18.5),"BAJO PESO",IF(AND(OR(Tabla1[[#This Row],[MOMENTO EN QUE SE REALIZA EL PESO AL INGRESO A CPN]]="PREGESTACIÓN",NZ168="Menor"),CI168&lt;25),"NORMAL",IF(AND(OR(Tabla1[[#This Row],[MOMENTO EN QUE SE REALIZA EL PESO AL INGRESO A CPN]]="PREGESTACIÓN",NZ168="Menor"),CI168&lt;30),"SOBREPESO",IF(AND(OR(Tabla1[[#This Row],[MOMENTO EN QUE SE REALIZA EL PESO AL INGRESO A CPN]]="PREGESTACIÓN",NZ168="Menor"),CI168&gt;=30,CI168&lt;50),"OBESIDAD",IF(AND(BS168&gt;0,Tabla1[[#This Row],[MOMENTO EN QUE SE REALIZA EL PESO AL INGRESO A CPN]]="GESTACIÓN"),HLOOKUP(NZ168,$OA$2:PH168,NY168),""))))))))</f>
        <v>#REF!</v>
      </c>
      <c r="CK168" s="212">
        <f t="shared" si="608"/>
        <v>45136</v>
      </c>
      <c r="CL168" s="21">
        <v>86.6</v>
      </c>
      <c r="CM168" s="214">
        <f t="shared" si="609"/>
        <v>30.68310657596372</v>
      </c>
      <c r="CN168" s="216">
        <f t="shared" si="610"/>
        <v>36</v>
      </c>
      <c r="CO168" s="216" t="e">
        <f>IF(PI168="","",IF(PI168&gt;0,HLOOKUP(PI168,$PJ$2:QQ168,NY168),""))</f>
        <v>#REF!</v>
      </c>
      <c r="CP168" s="21">
        <v>36</v>
      </c>
      <c r="CQ168" s="216" t="e">
        <f>IF(QR168="Menor","NO APLICA-MENOR 13 SEM",IF(AND(CC168="SI",CN168&gt;23),"NO APLICA- GEMELAR",IF(QR168="","",IF(QR168&gt;0,HLOOKUP(QR168,$QS$2:RU168,NY168),""))))</f>
        <v>#REF!</v>
      </c>
      <c r="CR168" s="21"/>
      <c r="CS168" s="21"/>
      <c r="CT168" s="217" t="str">
        <f>IF(R168="","",IF(AND(BS168&gt;1,BS168&lt;12,Tabla1[[#This Row],[T.A. SISTOLICA - ANTES DE SEMANA 12]]="",Tabla1[[#This Row],[T.A. DIASTOLICA - ANTES DE SEMANA 12]]=""),"REGISTRE DATO TA ANTES SEMANA 12",IF(AND(BS168&gt;11,BS168&lt;43,Tabla1[[#This Row],[T.A. SISTOLICA - ANTES DE SEMANA 12]]="",Tabla1[[#This Row],[T.A. DIASTOLICA - ANTES DE SEMANA 12]]=""),"NO APLICA REGISTRO TA-INGRESO TARDIO",IF(AND(OR(O168&gt;0,R168&gt;0),OR(CR168&gt;=140,CS168&gt;=90)),"DEFINIR ESTADIO HTA",IF(AND(OR(O168&gt;0,R168&gt;0),AND(CR168&gt;120,CR168&lt;=139)),"PRE HTA SEGUIMIENTO",IF(AND(OR(O168&gt;0,R168&gt;0),AND(CS168&gt;80,CS168&lt;=89)),"PRE HTA SEGUIMIENTO",IF(AND(OR(O168&gt;0,R168&gt;0),AND(CR168&gt;=80,CR168&lt;=120)),"APARENTEMENTE NORMAL",IF(AND(OR(O168&gt;0,R168&gt;0),AND(CS168&gt;=50,CS168&lt;=80)),"APARENTEMENTE NORMAL",IF(AND(OR(O168&gt;0,R168&gt;0),AND(CR168&gt;1,CR168&lt;=70),AND(CS168&gt;1,CS168&lt;=40)),"HIPOTENSIÓN","")))))))))</f>
        <v>NO APLICA REGISTRO TA-INGRESO TARDIO</v>
      </c>
      <c r="CU168" s="21">
        <v>110</v>
      </c>
      <c r="CV168" s="21">
        <v>70</v>
      </c>
      <c r="CW168" s="217" t="str">
        <f ca="1">IF(R168="","",IF(AND(CN168&gt;19,CN168&lt;27,Tabla1[[#This Row],[T.A. SISTOLICA (Entre semana 20 y 26)]]="",Tabla1[[#This Row],[T.A. DIATOLICA (Entre semana 20 y 26)]]=""),"ACUDE A CONTROL SEM 20 A 26 REGISTRE TA AHORA",IF(AND(BS168&gt;1,BS168&lt;27,BU168&gt;19,Tabla1[[#This Row],[T.A. SISTOLICA (Entre semana 20 y 26)]]="",Tabla1[[#This Row],[T.A. DIATOLICA (Entre semana 20 y 26)]]=""),"COMPLETE REGISTRO TA CONTROL SEM 20 A26 ",IF(AND(BS168&gt;26,BS168&lt;43,Tabla1[[#This Row],[T.A. SISTOLICA (Entre semana 20 y 26)]]="",Tabla1[[#This Row],[T.A. DIATOLICA (Entre semana 20 y 26)]]=""),"NO APLICA REGISTRO TA-INGRESO TARDIO",IF(AND(OR(O168&gt;0,R168&gt;0),OR(CU168&gt;=140,CV168&gt;=90)),"ALTO RIESGO PREECLAMPSIA,DEFINIR ESTADIO HTA",IF(AND(OR(O168&gt;0,R168&gt;0),AND(CU168&gt;120,CU168&lt;=139)),"PRE HTA SEGUIMIENTO,RIESGO HIPERTENSION INDUCIDA POR EL EMBARAZO",IF(AND(OR(O168&gt;0,R168&gt;0),AND(CV168&gt;80,CV168&lt;=89)),"PRE HTA SEGUIMIENTO, RIESGO HIPERTENSION INDUCIDA POR EL EMBARAZO",IF(AND(OR(O168&lt;&gt;"",R168&lt;&gt;""),CS168&lt;&gt;"",CV168&lt;&gt;"",CS168&lt;=CV168),"VIGILAR CIFRAS PRESION ARTERIAL",IF(AND(OR(O168&gt;0,R168&gt;0),AND(CU168&gt;120,CU168&lt;=139)),"PRE HTA SEGUIMIENTO",IF(AND(OR(O168&gt;0,R168&gt;0),AND(CU168&gt;1,CU168&lt;=70),AND(CV168&gt;1,CV168&lt;=40)),"HIPOTENSIÓN",IF(AND(OR(O168&lt;&gt;"",R168&lt;&gt;""),CS168&lt;&gt;"",CV168&lt;&gt;"",CS168&gt;CV168),"APARENTEMENTE NORMAL",IF(AND(OR(O168&gt;0,R168&gt;0),AND(CU168&gt;=80,CU168&lt;=120)),"APARENTEMENTE NORMAL",IF(AND(OR(O168&gt;0,R168&gt;0),AND(CV168&gt;=50,CV168&lt;=80)),"APARENTEMENTE NORMAL","")))))))))))))</f>
        <v>APARENTEMENTE NORMAL</v>
      </c>
      <c r="CX168" s="21"/>
      <c r="CY168" s="21"/>
      <c r="CZ168" s="216" t="str">
        <f t="shared" si="690"/>
        <v/>
      </c>
      <c r="DA168" s="21">
        <v>100</v>
      </c>
      <c r="DB168" s="21">
        <v>60</v>
      </c>
      <c r="DC168" s="217" t="str">
        <f t="shared" si="611"/>
        <v>VIGILAR CIFRAS PRESION ARTERIAL</v>
      </c>
      <c r="DD168" s="22">
        <v>44991</v>
      </c>
      <c r="DE168" s="22">
        <v>44991</v>
      </c>
      <c r="DF168" s="22">
        <v>45045</v>
      </c>
      <c r="DG168" s="22">
        <v>45079</v>
      </c>
      <c r="DH168" s="22">
        <v>45113</v>
      </c>
      <c r="DI168" s="22">
        <v>45126</v>
      </c>
      <c r="DJ168" s="22">
        <v>45136</v>
      </c>
      <c r="DK168" s="22"/>
      <c r="DL168" s="22"/>
      <c r="DM168" s="22"/>
      <c r="DN168" s="22"/>
      <c r="DO168" s="22"/>
      <c r="DP168" s="22"/>
      <c r="DQ168" s="22"/>
      <c r="DR168" s="28"/>
      <c r="DS168" s="22"/>
      <c r="DT168" s="22"/>
      <c r="DU168" s="216" t="str">
        <f t="shared" ca="1" si="676"/>
        <v>CONCERTAR PLAN DE PARTO INMEDIATO</v>
      </c>
      <c r="DV168" s="226" t="str">
        <f t="shared" si="677"/>
        <v>ACTIVA INGRESO A CPN</v>
      </c>
      <c r="DW16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68" s="216" t="e">
        <f t="shared" ca="1" si="612"/>
        <v>#REF!</v>
      </c>
      <c r="DY168" s="212">
        <f>IF(R168="","",IF(R168&gt;0,MAX(Tabla1[[#This Row],[FECHA C2]:[FECHA C13]],Tabla1[[#This Row],[FECHA CONSULTA PRIMERA VEZ PROGRAMA CPN ]])))</f>
        <v>45136</v>
      </c>
      <c r="DZ168" s="216">
        <f t="shared" si="613"/>
        <v>36</v>
      </c>
      <c r="EA168" s="222">
        <f>IF(R168&gt;0,SUM(COUNTA(DF168:DQ168)+COUNTA(Tabla1[[#This Row],[FECHA CONSULTA PRIMERA VEZ PROGRAMA CPN ]])),"")</f>
        <v>6</v>
      </c>
      <c r="EB168" s="222" t="str">
        <f t="shared" si="614"/>
        <v>SI</v>
      </c>
      <c r="EC168" s="214">
        <f t="shared" si="615"/>
        <v>8</v>
      </c>
      <c r="ED168" s="227">
        <f t="shared" si="616"/>
        <v>0.75</v>
      </c>
      <c r="EE168" s="22">
        <v>44991</v>
      </c>
      <c r="EF168" s="22"/>
      <c r="EG168" s="22">
        <v>44991</v>
      </c>
      <c r="EH168" s="22"/>
      <c r="EI168" s="22">
        <v>44991</v>
      </c>
      <c r="EJ168" s="22"/>
      <c r="EK168" s="22"/>
      <c r="EL168" s="21"/>
      <c r="EM168" s="21">
        <v>11.2</v>
      </c>
      <c r="EN168" s="22">
        <v>45037</v>
      </c>
      <c r="EO168" s="222">
        <f t="shared" si="617"/>
        <v>22.5</v>
      </c>
      <c r="EP168" s="214" t="str">
        <f t="shared" si="618"/>
        <v>NORMAL- SUMINISTRAR SULFATO FERROSO</v>
      </c>
      <c r="EQ168" s="216" t="str">
        <f t="shared" si="619"/>
        <v>II TRIM</v>
      </c>
      <c r="ER168" s="24">
        <v>12.6</v>
      </c>
      <c r="ES168" s="22">
        <v>45072</v>
      </c>
      <c r="ET168" s="29">
        <f t="shared" ca="1" si="678"/>
        <v>27.5</v>
      </c>
      <c r="EU168" s="25" t="str">
        <f t="shared" si="620"/>
        <v>NORMAL- SUMINISTRAR SULFATO FERROSO</v>
      </c>
      <c r="EV168" s="24" t="s">
        <v>1510</v>
      </c>
      <c r="EW168" s="32">
        <v>45014</v>
      </c>
      <c r="EX168" s="22"/>
      <c r="EY168" s="29">
        <f t="shared" si="693"/>
        <v>19.214285714285715</v>
      </c>
      <c r="EZ168" s="25" t="str">
        <f t="shared" si="694"/>
        <v>SIN RIESGO DE ISOINMUNIZACIÓN</v>
      </c>
      <c r="FA168" s="21">
        <v>83</v>
      </c>
      <c r="FB168" s="22">
        <v>45014</v>
      </c>
      <c r="FC168" s="29">
        <f t="shared" si="621"/>
        <v>19.214285714285715</v>
      </c>
      <c r="FD168" s="29">
        <v>63</v>
      </c>
      <c r="FE168" s="29">
        <v>143</v>
      </c>
      <c r="FF168" s="29">
        <v>124</v>
      </c>
      <c r="FG168" s="21" t="str">
        <f t="shared" ca="1" si="622"/>
        <v>NORMAL</v>
      </c>
      <c r="FH168" s="31">
        <v>45072</v>
      </c>
      <c r="FI168" s="29">
        <f t="shared" si="623"/>
        <v>27.5</v>
      </c>
      <c r="FJ168" s="22"/>
      <c r="FK168" s="22"/>
      <c r="FL168" s="29" t="str">
        <f t="shared" ca="1" si="624"/>
        <v>NO APLICA-INGRESO TARDIO</v>
      </c>
      <c r="FM168" s="22" t="s">
        <v>867</v>
      </c>
      <c r="FN168" s="32">
        <v>45014</v>
      </c>
      <c r="FO168" s="29">
        <f t="shared" ca="1" si="679"/>
        <v>19.214285714285715</v>
      </c>
      <c r="FP168" s="22" t="s">
        <v>867</v>
      </c>
      <c r="FQ168" s="32">
        <v>45072</v>
      </c>
      <c r="FR168" s="29">
        <f t="shared" ca="1" si="680"/>
        <v>27.5</v>
      </c>
      <c r="FS168" s="22"/>
      <c r="FT168" s="32"/>
      <c r="FU168" s="29" t="str">
        <f>IF(AND(FJ168="",FM168="",FP168="",FS168=""),"",IF(OR(OR(Tabla1[[#This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68" s="28"/>
      <c r="FW168" s="22"/>
      <c r="FX168" s="29" t="str">
        <f t="shared" si="625"/>
        <v>TOMAR EXAMEN</v>
      </c>
      <c r="FY168" s="22">
        <v>44991</v>
      </c>
      <c r="FZ168" s="22">
        <v>44991</v>
      </c>
      <c r="GA168" s="29" t="str">
        <f t="shared" si="692"/>
        <v>REGISTRAR EN II TRIMESTRE</v>
      </c>
      <c r="GB168" s="22" t="s">
        <v>868</v>
      </c>
      <c r="GC168" s="22">
        <v>45014</v>
      </c>
      <c r="GD168" s="29">
        <f t="shared" ca="1" si="681"/>
        <v>19.214285714285715</v>
      </c>
      <c r="GE168" s="22" t="s">
        <v>868</v>
      </c>
      <c r="GF168" s="22">
        <v>45072</v>
      </c>
      <c r="GG168" s="29">
        <f t="shared" ca="1" si="682"/>
        <v>27.5</v>
      </c>
      <c r="GH168" s="22"/>
      <c r="GI168" s="29"/>
      <c r="GJ168" s="22"/>
      <c r="GK168" s="22"/>
      <c r="GL168" s="22"/>
      <c r="GM168" s="22"/>
      <c r="GN168" s="28" t="s">
        <v>869</v>
      </c>
      <c r="GO168" s="22">
        <v>45014</v>
      </c>
      <c r="GP168" s="29">
        <f t="shared" si="626"/>
        <v>19.214285714285715</v>
      </c>
      <c r="GQ168" s="28" t="s">
        <v>869</v>
      </c>
      <c r="GR168" s="28" t="s">
        <v>846</v>
      </c>
      <c r="GS168" s="22" t="str">
        <f t="shared" si="728"/>
        <v>CONTROL Igm</v>
      </c>
      <c r="GT168" s="22">
        <v>45014</v>
      </c>
      <c r="GU168" s="29">
        <f t="shared" si="628"/>
        <v>19.857142857142858</v>
      </c>
      <c r="GV168" s="21" t="str">
        <f t="shared" si="629"/>
        <v>II TRIM</v>
      </c>
      <c r="GW168" s="28" t="s">
        <v>846</v>
      </c>
      <c r="GX168" s="30"/>
      <c r="GY168" s="21"/>
      <c r="GZ168" s="21"/>
      <c r="HA168" s="21"/>
      <c r="HB168" s="21"/>
      <c r="HC168" s="21"/>
      <c r="HD168" s="21"/>
      <c r="HE168" s="21"/>
      <c r="HF168" s="22"/>
      <c r="HG168" s="22" t="str">
        <f>IF(OR(O168&gt;0,R168&gt;0),CONCATENATE(IF(Tabla1[[#This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68" s="22" t="e">
        <f t="shared" si="630"/>
        <v>#REF!</v>
      </c>
      <c r="HI168" s="22" t="e">
        <f t="shared" ca="1" si="631"/>
        <v>#REF!</v>
      </c>
      <c r="HJ168" s="21" t="str">
        <f t="shared" ca="1" si="632"/>
        <v>**********************MULTIPARIDAD***CESAREAS PREVIAS**************</v>
      </c>
      <c r="HK168" s="21" t="str">
        <f t="shared" si="633"/>
        <v>SIN ANTECEDENTES DE RIESGO</v>
      </c>
      <c r="HL168" s="24" t="str">
        <f t="shared" si="634"/>
        <v>VIGILAR CIFRAS PRESION ARTERIAL</v>
      </c>
      <c r="HM168" s="21" t="e">
        <f t="shared" ca="1" si="635"/>
        <v>#REF!</v>
      </c>
      <c r="HN168" s="30" t="str">
        <f t="shared" si="683"/>
        <v>ACTIVA INGRESO A CPN</v>
      </c>
      <c r="HO168" s="21"/>
      <c r="HP168" s="21"/>
      <c r="HQ168" s="21">
        <v>44991</v>
      </c>
      <c r="HR168" s="21" t="str">
        <f>IF(R168="","",IF(Tabla1[[#This Row],[ALARMA FACTORES DE RIESGO COMPLICACIONES HIPERTENSIVAS3]]="SIN ANTECEDENTES DE RIESGO","No Aplica para suministro de ASA",IF(AND(Tabla1[[#This Row],[FECHA INICIO DE SUMINISTRO DE ASA]]&gt;0,RV168&lt;12),"Inicia ASA ANTES de Sem 12",IF(AND(RV168&gt;11,RV168&lt;17,OR(HK168="RIESGO ALTO DE COMPLICACIONES HIPERTENSIVAS VER MANEJO GUIA SUMINISTRO ASA Y CALCIO",HK168="RIESGO MODERADO (2 O MAS CRITERIOS) VER MANEJO GUIA SUMINISTRO ASA Y CALCIO")),"Inicio oportuno de ASA",IF(AND(RV168&gt;12,OR(HK168="RIESGO ALTO DE COMPLICACIONES HIPERTENSIVAS VER MANEJO GUIA SUMINISTRO ASA Y CALCIO",HK168="RIESGO MODERADO (2 O MAS CRITERIOS) VER MANEJO GUIA SUMINISTRO ASA Y CALCIO")),"Inicio no oportuno mayor a 16 semanas",IF(AND(BU168&lt;12,OR(HK168="RIESGO ALTO DE COMPLICACIONES HIPERTENSIVAS VER MANEJO GUIA SUMINISTRO ASA Y CALCIO",HK168="RIESGO MODERADO (2 O MAS CRITERIOS) VER MANEJO GUIA SUMINISTRO ASA Y CALCIO")),"Pendiente Inicio de ASA a la semana 12",IF(AND(BU168&gt;11,BU168&lt;17,OR(HK168="RIESGO ALTO DE COMPLICACIONES HIPERTENSIVAS VER MANEJO GUIA SUMINISTRO ASA Y CALCIO",HK168="RIESGO MODERADO (2 O MAS CRITERIOS) VER MANEJO GUIA SUMINISTRO ASA Y CALCIO")),"Iniciar de inmediato ASA",IF(AND(BU168&gt;16,OR(HK168="RIESGO ALTO DE COMPLICACIONES HIPERTENSIVAS VER MANEJO GUIA SUMINISTRO ASA Y CALCIO",HK168="RIESGO MODERADO (2 O MAS CRITERIOS) VER MANEJO GUIA SUMINISTRO ASA Y CALCIO")),"Pierde Oportunidad, Inicio tardío de ASA","XXXXX"))))))))</f>
        <v>No Aplica para suministro de ASA</v>
      </c>
      <c r="HS168" s="22">
        <v>44991</v>
      </c>
      <c r="HT168" s="22" t="s">
        <v>870</v>
      </c>
      <c r="HU168" s="22"/>
      <c r="HV168" s="22"/>
      <c r="HW168" s="22"/>
      <c r="HX168" s="22"/>
      <c r="HY168" s="22"/>
      <c r="HZ168" s="28" t="str">
        <f t="shared" si="636"/>
        <v>PENDIENTE CONSULTA</v>
      </c>
      <c r="IA168" s="26"/>
      <c r="IB168" s="26"/>
      <c r="IC168" s="111"/>
      <c r="ID168" s="22"/>
      <c r="IE168" s="22" t="str">
        <f t="shared" ca="1" si="637"/>
        <v/>
      </c>
      <c r="IF168" s="22"/>
      <c r="IG168" s="22">
        <f t="shared" si="638"/>
        <v>45159.5</v>
      </c>
      <c r="IH168" s="29">
        <f t="shared" ca="1" si="639"/>
        <v>-72.5</v>
      </c>
      <c r="II168" s="22" t="str">
        <f t="shared" ca="1" si="640"/>
        <v>POSIBLEMENTE NACIO</v>
      </c>
      <c r="IJ168" s="22"/>
      <c r="IK168" s="21"/>
      <c r="IL168" s="21"/>
      <c r="IM168" s="34"/>
      <c r="IN168" s="349"/>
      <c r="IO168" s="21"/>
      <c r="IP168" s="29" t="str">
        <f t="shared" si="674"/>
        <v/>
      </c>
      <c r="IQ168" s="35"/>
      <c r="IR168" s="21"/>
      <c r="IS168" s="21"/>
      <c r="IT168" s="21"/>
      <c r="IU168" s="21"/>
      <c r="IV168" s="21"/>
      <c r="IW168" s="21"/>
      <c r="IX168" s="21"/>
      <c r="IY168" s="21"/>
      <c r="IZ168" s="21"/>
      <c r="JA168" s="21"/>
      <c r="JB168" s="30"/>
      <c r="JC168" s="21"/>
      <c r="JD168" s="36"/>
      <c r="JE168" s="21" t="str">
        <f t="shared" si="684"/>
        <v/>
      </c>
      <c r="JF168" s="30"/>
      <c r="JG168" s="21"/>
      <c r="JH168" s="21"/>
      <c r="JI168" s="21"/>
      <c r="JJ168" s="30"/>
      <c r="JK168" s="22"/>
      <c r="JL168" s="22"/>
      <c r="JM168" s="21"/>
      <c r="JN168" s="36"/>
      <c r="JO168" s="21" t="str">
        <f t="shared" si="685"/>
        <v/>
      </c>
      <c r="JP168" s="22"/>
      <c r="JQ168" s="21"/>
      <c r="JR168" s="21"/>
      <c r="JS168" s="21"/>
      <c r="JT168" s="30"/>
      <c r="JU168" s="22"/>
      <c r="JV168" s="22"/>
      <c r="JW168" s="33"/>
      <c r="JX168" s="28" t="str">
        <f t="shared" si="686"/>
        <v/>
      </c>
      <c r="JY168" s="33"/>
      <c r="JZ168" s="28" t="str">
        <f t="shared" si="687"/>
        <v/>
      </c>
      <c r="KA168" s="21"/>
      <c r="KB168" s="21"/>
      <c r="KC168" s="21"/>
      <c r="KD168" s="37"/>
      <c r="KE168" s="28"/>
      <c r="KF168" s="28"/>
      <c r="KG168" s="28"/>
      <c r="KH168" s="39"/>
      <c r="KI168" s="39"/>
      <c r="KJ168" s="66"/>
      <c r="KK168" s="39"/>
      <c r="KL168" s="39"/>
      <c r="KM168" s="66"/>
      <c r="KN168" s="39"/>
      <c r="KO168" s="39"/>
      <c r="KP168" s="39"/>
      <c r="KQ168" s="39"/>
      <c r="KR168" s="39"/>
      <c r="KS168" s="39"/>
      <c r="KT168" s="39"/>
      <c r="KU168" s="38"/>
      <c r="KV168" s="38"/>
      <c r="KW168" s="38"/>
      <c r="KX168" s="38"/>
      <c r="KY168" s="38"/>
      <c r="KZ168" s="38"/>
      <c r="LA168" s="38"/>
      <c r="LB168" s="38"/>
      <c r="LC168" s="38"/>
      <c r="LD168" s="38"/>
      <c r="LE168" s="38"/>
      <c r="LF168" s="38"/>
      <c r="LG168" s="38"/>
      <c r="LH168" s="38"/>
      <c r="LI168" s="38"/>
      <c r="LJ168" s="38"/>
      <c r="LK168" s="38"/>
      <c r="LL168" s="38"/>
      <c r="LM168" s="38"/>
      <c r="LN168" s="38"/>
      <c r="LO168" s="38"/>
      <c r="LP168" s="38"/>
      <c r="LQ168" s="38"/>
      <c r="LR168" s="38"/>
      <c r="LS168" s="38"/>
      <c r="LT168" s="38"/>
      <c r="LU168" s="38"/>
      <c r="LV168" s="38"/>
      <c r="LW168" s="38"/>
      <c r="LX168" s="38"/>
      <c r="LY168" s="38"/>
      <c r="LZ168" s="38"/>
      <c r="MA168" s="38"/>
      <c r="MB168" s="38"/>
      <c r="MC168" s="38"/>
      <c r="MD168" s="38"/>
      <c r="ME168" s="38"/>
      <c r="MF168" s="38"/>
      <c r="MG168" s="38"/>
      <c r="MH168" s="43">
        <f t="shared" si="697"/>
        <v>0</v>
      </c>
      <c r="MI168" s="43" t="str">
        <f t="shared" si="698"/>
        <v/>
      </c>
      <c r="MJ168" s="43" t="str">
        <f t="shared" si="699"/>
        <v/>
      </c>
      <c r="MK168" s="43">
        <f t="shared" si="700"/>
        <v>0</v>
      </c>
      <c r="ML16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68" s="43">
        <f t="shared" si="701"/>
        <v>15.928571428571429</v>
      </c>
      <c r="MN168" s="43">
        <f t="shared" si="702"/>
        <v>3</v>
      </c>
      <c r="MO168" s="43">
        <f t="shared" si="703"/>
        <v>2023</v>
      </c>
      <c r="MP168" s="43" t="str">
        <f t="shared" si="704"/>
        <v>I TRIMESTRE AÑO</v>
      </c>
      <c r="MQ168" s="43">
        <f t="shared" si="705"/>
        <v>27.398160315374508</v>
      </c>
      <c r="MR168" s="43">
        <f t="shared" si="706"/>
        <v>0</v>
      </c>
      <c r="MS168" s="43" t="str">
        <f t="shared" si="707"/>
        <v xml:space="preserve"> DE 25 A 29 AÑOS</v>
      </c>
      <c r="MT168" s="43">
        <f t="shared" si="708"/>
        <v>0</v>
      </c>
      <c r="MU168" s="43">
        <f t="shared" si="709"/>
        <v>1</v>
      </c>
      <c r="MV168" s="43">
        <f t="shared" si="710"/>
        <v>2</v>
      </c>
      <c r="MW168" s="43">
        <f t="shared" si="711"/>
        <v>0</v>
      </c>
      <c r="MX168" s="43" t="str">
        <f t="shared" si="712"/>
        <v/>
      </c>
      <c r="MY168" s="43" t="str">
        <f t="shared" ca="1" si="688"/>
        <v/>
      </c>
      <c r="MZ168" s="43" t="str">
        <f t="shared" si="713"/>
        <v/>
      </c>
      <c r="NA168" s="43" t="str">
        <f t="shared" si="714"/>
        <v/>
      </c>
      <c r="NB168" s="43" t="str">
        <f t="shared" si="715"/>
        <v/>
      </c>
      <c r="NC168" s="43" t="str">
        <f t="shared" si="716"/>
        <v/>
      </c>
      <c r="ND168" s="43">
        <f t="shared" ca="1" si="717"/>
        <v>3</v>
      </c>
      <c r="NE168" s="43">
        <f>IF(OR(O168&gt;0,R168&gt;0),SUM(COUNTIF(Tabla1[[#This Row],[AÑOS AL INICIO5 CPN]],"&gt;=40"),COUNTIF(AS168,"0"),COUNTIF(AR168,"SI"),COUNTIF(CC168,"SI"),COUNTIF(BQ168,"&gt;119"),COUNTIF(CI168,"&gt;=35")),"")</f>
        <v>0</v>
      </c>
      <c r="NF168" s="43" t="str">
        <f t="shared" si="718"/>
        <v/>
      </c>
      <c r="NG168" s="43">
        <f t="shared" si="719"/>
        <v>0</v>
      </c>
      <c r="NH168" s="43">
        <f t="shared" si="720"/>
        <v>80.5</v>
      </c>
      <c r="NI16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CPN",P168="NO"),"Z",IF(AND(Tabla1[[#This Row],[CITA PROXIMO CONTROL]]="CITA MANUAL",Tabla1[[#This Row],[GESTANTES ACTUALES]]="ACTIVA INGRESO A CPN"),"W",IF(AND(Tabla1[[#This Row],[GESTANTES ACTUALES]]="SALIO PROGRAMA",IN168=""),"S",IF(AND(Tabla1[[#This Row],[CITA PROXIMO CONTROL]]&gt;0,IN168=""),(Tabla1[[#This Row],[CITA PROXIMO CONTROL]]-TODAY()),"SD"))))))))</f>
        <v>#REF!</v>
      </c>
      <c r="NJ168" s="43">
        <f>MONTH(Tabla1[[#This Row],[FECHA DE SALIDA  DEL PROGRAMA]])</f>
        <v>1</v>
      </c>
      <c r="NK168" s="43">
        <f>YEAR(Tabla1[[#This Row],[FECHA DE SALIDA  DEL PROGRAMA]])</f>
        <v>1900</v>
      </c>
      <c r="NL168" s="43" t="str">
        <f t="shared" si="721"/>
        <v>X</v>
      </c>
      <c r="NM168" s="43" t="str">
        <f t="shared" si="695"/>
        <v>NO</v>
      </c>
      <c r="NN168" s="43" t="str">
        <f ca="1">IF(AND(O168&gt;0,R168=""),"NO CPN",IF(AND(O168="",R168=""),"",IF(AND(R168&gt;0,Tabla1[[#This Row],[SEMANAS DE GESTACION ACTUALIZADAS]]&lt;=12),"NO APLICA",IF(AND(FH168&lt;&gt;"",FN168&lt;&gt;""),"SI","NO"))))</f>
        <v>SI</v>
      </c>
      <c r="NO168" s="43" t="str">
        <f ca="1">IF(AND(O168&gt;0,R168=""),"NO CPN",IF(AND(O168="",R168=""),"",IF(AND(R168&gt;0,Tabla1[[#This Row],[SEMANAS DE GESTACION ACTUALIZADAS]]&lt;=27),"NO APLICA",IF(AND(ES168&lt;&gt;"",FQ168&lt;&gt;"",GF168&lt;&gt;""),"SI","NO"))))</f>
        <v>SI</v>
      </c>
      <c r="NP168" s="204" t="str">
        <f t="shared" si="722"/>
        <v>II TRIM</v>
      </c>
      <c r="NQ168" s="21" t="str">
        <f t="shared" si="691"/>
        <v/>
      </c>
      <c r="NR168" s="21" t="str">
        <f t="shared" ca="1" si="689"/>
        <v>REVISAR FUM O FECHA SALIDA PROGRAMA</v>
      </c>
      <c r="NS168" s="205">
        <f t="shared" ca="1" si="723"/>
        <v>2</v>
      </c>
      <c r="NT168" s="21">
        <f t="shared" ca="1" si="724"/>
        <v>2</v>
      </c>
      <c r="NU168" s="21" t="str">
        <f t="shared" ca="1" si="725"/>
        <v>POR DEFINIR</v>
      </c>
      <c r="NV168" s="21" t="str">
        <f t="shared" ca="1" si="726"/>
        <v>POR DEFINIR</v>
      </c>
      <c r="NW168" s="206" t="str">
        <f>IF(AND(O168="",R168=""),"",IF(OR(AND(Tabla1[[#This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68" s="207" t="str">
        <f t="shared" ca="1" si="727"/>
        <v>SIN VACUNAR</v>
      </c>
      <c r="NY168" s="43">
        <f>ROW(Tabla1[[#This Row],['# DE TAMIZAJES SIFILIS TOMADOS ]])</f>
        <v>168</v>
      </c>
      <c r="NZ168" s="43">
        <f t="shared" si="502"/>
        <v>15</v>
      </c>
      <c r="OA168" s="43" t="str">
        <f t="shared" si="503"/>
        <v/>
      </c>
      <c r="OB168" s="43" t="str">
        <f t="shared" si="504"/>
        <v/>
      </c>
      <c r="OC168" s="43" t="str">
        <f t="shared" si="505"/>
        <v/>
      </c>
      <c r="OD168" s="43" t="str">
        <f t="shared" si="506"/>
        <v/>
      </c>
      <c r="OE168" s="43" t="str">
        <f t="shared" si="507"/>
        <v/>
      </c>
      <c r="OF168" s="43" t="str">
        <f t="shared" si="508"/>
        <v/>
      </c>
      <c r="OG168" s="43" t="str">
        <f t="shared" si="509"/>
        <v>NORMAL</v>
      </c>
      <c r="OH168" s="43" t="str">
        <f t="shared" si="510"/>
        <v/>
      </c>
      <c r="OI168" s="43" t="str">
        <f t="shared" si="511"/>
        <v/>
      </c>
      <c r="OJ168" s="43" t="str">
        <f t="shared" si="512"/>
        <v/>
      </c>
      <c r="OK168" s="43" t="str">
        <f t="shared" si="513"/>
        <v/>
      </c>
      <c r="OL168" s="43" t="str">
        <f t="shared" si="514"/>
        <v/>
      </c>
      <c r="OM168" s="43" t="str">
        <f t="shared" si="515"/>
        <v/>
      </c>
      <c r="ON168" s="43" t="str">
        <f t="shared" si="516"/>
        <v/>
      </c>
      <c r="OO168" s="43" t="str">
        <f t="shared" si="517"/>
        <v/>
      </c>
      <c r="OP168" s="43" t="str">
        <f t="shared" si="518"/>
        <v/>
      </c>
      <c r="OQ168" s="43" t="str">
        <f t="shared" si="519"/>
        <v/>
      </c>
      <c r="OR168" s="43" t="str">
        <f t="shared" si="520"/>
        <v/>
      </c>
      <c r="OS168" s="43" t="str">
        <f t="shared" si="521"/>
        <v/>
      </c>
      <c r="OT168" s="43" t="str">
        <f t="shared" si="522"/>
        <v/>
      </c>
      <c r="OU168" s="43" t="str">
        <f t="shared" si="523"/>
        <v/>
      </c>
      <c r="OV168" s="110" t="str">
        <f t="shared" si="524"/>
        <v/>
      </c>
      <c r="OW168" s="43" t="str">
        <f t="shared" si="525"/>
        <v/>
      </c>
      <c r="OX168" s="43" t="str">
        <f t="shared" si="526"/>
        <v/>
      </c>
      <c r="OY168" s="43" t="str">
        <f t="shared" si="527"/>
        <v/>
      </c>
      <c r="OZ168" s="43" t="str">
        <f t="shared" si="528"/>
        <v/>
      </c>
      <c r="PA168" s="43" t="str">
        <f t="shared" si="529"/>
        <v/>
      </c>
      <c r="PB168" s="43" t="str">
        <f t="shared" si="530"/>
        <v/>
      </c>
      <c r="PC168" s="43" t="str">
        <f t="shared" si="531"/>
        <v/>
      </c>
      <c r="PD168" s="43" t="str">
        <f t="shared" si="532"/>
        <v/>
      </c>
      <c r="PE168" s="43" t="str">
        <f t="shared" si="533"/>
        <v/>
      </c>
      <c r="PF168" s="43" t="str">
        <f t="shared" si="534"/>
        <v/>
      </c>
      <c r="PG168" s="43" t="str">
        <f t="shared" si="535"/>
        <v/>
      </c>
      <c r="PH168" s="43" t="str">
        <f t="shared" si="536"/>
        <v/>
      </c>
      <c r="PI168" s="43">
        <f t="shared" si="537"/>
        <v>36</v>
      </c>
      <c r="PJ168" s="43" t="str">
        <f t="shared" si="538"/>
        <v/>
      </c>
      <c r="PK168" s="43" t="str">
        <f t="shared" si="539"/>
        <v/>
      </c>
      <c r="PL168" s="43" t="str">
        <f t="shared" si="540"/>
        <v/>
      </c>
      <c r="PM168" s="43" t="str">
        <f t="shared" si="541"/>
        <v/>
      </c>
      <c r="PN168" s="43" t="str">
        <f t="shared" si="542"/>
        <v/>
      </c>
      <c r="PO168" s="43" t="str">
        <f t="shared" si="543"/>
        <v/>
      </c>
      <c r="PP168" s="43" t="str">
        <f t="shared" si="544"/>
        <v/>
      </c>
      <c r="PQ168" s="43" t="str">
        <f t="shared" si="545"/>
        <v/>
      </c>
      <c r="PR168" s="43" t="str">
        <f t="shared" si="546"/>
        <v/>
      </c>
      <c r="PS168" s="43" t="str">
        <f t="shared" si="547"/>
        <v/>
      </c>
      <c r="PT168" s="43" t="str">
        <f t="shared" si="548"/>
        <v/>
      </c>
      <c r="PU168" s="43" t="str">
        <f t="shared" si="549"/>
        <v/>
      </c>
      <c r="PV168" s="43" t="str">
        <f t="shared" si="550"/>
        <v/>
      </c>
      <c r="PW168" s="43" t="str">
        <f t="shared" si="551"/>
        <v/>
      </c>
      <c r="PX168" s="43" t="str">
        <f t="shared" si="552"/>
        <v/>
      </c>
      <c r="PY168" s="43" t="str">
        <f t="shared" si="553"/>
        <v/>
      </c>
      <c r="PZ168" s="43" t="str">
        <f t="shared" si="554"/>
        <v/>
      </c>
      <c r="QA168" s="43" t="str">
        <f t="shared" si="555"/>
        <v/>
      </c>
      <c r="QB168" s="43" t="str">
        <f t="shared" si="556"/>
        <v/>
      </c>
      <c r="QC168" s="43" t="str">
        <f t="shared" si="557"/>
        <v/>
      </c>
      <c r="QD168" s="43" t="str">
        <f t="shared" si="558"/>
        <v/>
      </c>
      <c r="QE168" s="43" t="str">
        <f t="shared" si="559"/>
        <v/>
      </c>
      <c r="QF168" s="43" t="str">
        <f t="shared" si="560"/>
        <v/>
      </c>
      <c r="QG168" s="43" t="str">
        <f t="shared" si="561"/>
        <v/>
      </c>
      <c r="QH168" s="43" t="str">
        <f t="shared" si="562"/>
        <v/>
      </c>
      <c r="QI168" s="43" t="str">
        <f t="shared" si="563"/>
        <v/>
      </c>
      <c r="QJ168" s="43" t="str">
        <f t="shared" si="564"/>
        <v/>
      </c>
      <c r="QK168" s="43" t="str">
        <f t="shared" si="565"/>
        <v>SOBREPESO</v>
      </c>
      <c r="QL168" s="43" t="str">
        <f t="shared" si="566"/>
        <v/>
      </c>
      <c r="QM168" s="43" t="str">
        <f t="shared" si="567"/>
        <v/>
      </c>
      <c r="QN168" s="43" t="str">
        <f t="shared" si="568"/>
        <v/>
      </c>
      <c r="QO168" s="43" t="str">
        <f t="shared" si="569"/>
        <v/>
      </c>
      <c r="QP168" s="43" t="str">
        <f t="shared" si="570"/>
        <v/>
      </c>
      <c r="QQ168" s="43" t="str">
        <f t="shared" si="571"/>
        <v/>
      </c>
      <c r="QR168" s="43">
        <f t="shared" si="672"/>
        <v>36</v>
      </c>
      <c r="QS168" s="43"/>
      <c r="QT168" s="21" t="str">
        <f t="shared" si="572"/>
        <v/>
      </c>
      <c r="QU168" s="21" t="str">
        <f t="shared" si="573"/>
        <v/>
      </c>
      <c r="QV168" s="21" t="str">
        <f t="shared" si="574"/>
        <v/>
      </c>
      <c r="QW168" s="21" t="str">
        <f t="shared" si="575"/>
        <v/>
      </c>
      <c r="QX168" s="21" t="str">
        <f t="shared" si="576"/>
        <v/>
      </c>
      <c r="QY168" s="21" t="str">
        <f t="shared" si="577"/>
        <v/>
      </c>
      <c r="QZ168" s="21" t="str">
        <f t="shared" si="578"/>
        <v/>
      </c>
      <c r="RA168" s="21" t="str">
        <f t="shared" si="579"/>
        <v/>
      </c>
      <c r="RB168" s="21" t="str">
        <f t="shared" si="580"/>
        <v/>
      </c>
      <c r="RC168" s="21" t="str">
        <f t="shared" si="581"/>
        <v/>
      </c>
      <c r="RD168" s="21" t="str">
        <f t="shared" si="582"/>
        <v/>
      </c>
      <c r="RE168" s="21" t="str">
        <f t="shared" si="583"/>
        <v/>
      </c>
      <c r="RF168" s="21" t="str">
        <f t="shared" si="584"/>
        <v/>
      </c>
      <c r="RG168" s="21" t="str">
        <f t="shared" si="585"/>
        <v/>
      </c>
      <c r="RH168" s="21" t="str">
        <f t="shared" si="586"/>
        <v/>
      </c>
      <c r="RI168" s="21" t="str">
        <f t="shared" si="587"/>
        <v/>
      </c>
      <c r="RJ168" s="21" t="str">
        <f t="shared" si="588"/>
        <v/>
      </c>
      <c r="RK168" s="21" t="str">
        <f t="shared" si="589"/>
        <v/>
      </c>
      <c r="RL168" s="21" t="str">
        <f t="shared" si="590"/>
        <v/>
      </c>
      <c r="RM168" s="21" t="str">
        <f t="shared" si="591"/>
        <v/>
      </c>
      <c r="RN168" s="21" t="str">
        <f t="shared" si="592"/>
        <v/>
      </c>
      <c r="RO168" s="21" t="str">
        <f t="shared" si="593"/>
        <v/>
      </c>
      <c r="RP168" s="21" t="str">
        <f t="shared" si="594"/>
        <v/>
      </c>
      <c r="RQ168" s="21" t="str">
        <f t="shared" si="595"/>
        <v>ALTO PARA EDAD GESTACIONAL</v>
      </c>
      <c r="RR168" s="21" t="str">
        <f t="shared" si="596"/>
        <v/>
      </c>
      <c r="RS168" s="21" t="str">
        <f t="shared" si="597"/>
        <v/>
      </c>
      <c r="RT168" s="21" t="str">
        <f t="shared" si="598"/>
        <v/>
      </c>
      <c r="RU168" s="21" t="str">
        <f t="shared" si="599"/>
        <v/>
      </c>
      <c r="RV168" s="21">
        <f t="shared" si="600"/>
        <v>15.928571428571429</v>
      </c>
      <c r="RW168" s="284">
        <f>IF(OR(Tabla1[[#This Row],[FUM FORMULA CONFIABLE]]="",Tabla1[[#This Row],[FUM FORMULA CONFIABLE]]="SD"),"",IF(Tabla1[[#This Row],[FUM FORMULA CONFIABLE]]="CORREGIDA",Tabla1[[#This Row],[FUM X ECO 1]],Tabla1[[#This Row],[FUM x AMENORREA]]))</f>
        <v>44879.5</v>
      </c>
      <c r="RX168" s="21">
        <f>IF(AND(Tabla1[[#This Row],[FUM X ECO 1]]="",Tabla1[[#This Row],[FUM x AMENORREA]]=""),"",IF(AND(Tabla1[[#This Row],[FUM X ECO 1]]="",Tabla1[[#This Row],[FUM x AMENORREA]]&lt;&gt;""),"X",SUM(Tabla1[[#This Row],[FUM X ECO 1]]-Tabla1[[#This Row],[FUM x AMENORREA]])))</f>
        <v>4.5</v>
      </c>
      <c r="RY168" s="21">
        <f t="shared" si="673"/>
        <v>0</v>
      </c>
    </row>
    <row r="169" spans="1:493" ht="45" customHeight="1" x14ac:dyDescent="0.25">
      <c r="A169" s="109"/>
      <c r="B169" s="43"/>
      <c r="C169" s="43" t="s">
        <v>845</v>
      </c>
      <c r="D169" s="124"/>
      <c r="E169" s="43" t="s">
        <v>883</v>
      </c>
      <c r="F169" s="43" t="s">
        <v>1290</v>
      </c>
      <c r="G169" s="43" t="s">
        <v>1476</v>
      </c>
      <c r="H169" s="43"/>
      <c r="I169" s="109" t="s">
        <v>851</v>
      </c>
      <c r="J169" s="110">
        <v>1059604081</v>
      </c>
      <c r="K169" s="43" t="s">
        <v>852</v>
      </c>
      <c r="L169" s="175" t="s">
        <v>853</v>
      </c>
      <c r="M169" s="22">
        <v>35165</v>
      </c>
      <c r="N169" s="213">
        <f t="shared" ca="1" si="601"/>
        <v>27.580821917808219</v>
      </c>
      <c r="O169" s="22">
        <v>45048</v>
      </c>
      <c r="P169" s="214" t="str">
        <f t="shared" si="675"/>
        <v>SI</v>
      </c>
      <c r="Q169" s="26" t="s">
        <v>855</v>
      </c>
      <c r="R169" s="22">
        <v>45048</v>
      </c>
      <c r="S169" s="21" t="s">
        <v>856</v>
      </c>
      <c r="T169" s="24" t="s">
        <v>690</v>
      </c>
      <c r="U169" s="21" t="s">
        <v>857</v>
      </c>
      <c r="V169" s="21" t="s">
        <v>858</v>
      </c>
      <c r="W169" s="21" t="s">
        <v>1236</v>
      </c>
      <c r="X169" s="21"/>
      <c r="Y169" s="21" t="s">
        <v>1477</v>
      </c>
      <c r="Z169" s="21">
        <v>3228465937</v>
      </c>
      <c r="AA169" s="21" t="s">
        <v>860</v>
      </c>
      <c r="AB169" s="27" t="s">
        <v>861</v>
      </c>
      <c r="AC169" s="26" t="s">
        <v>888</v>
      </c>
      <c r="AD169" s="38" t="s">
        <v>1546</v>
      </c>
      <c r="AE169" s="26" t="s">
        <v>854</v>
      </c>
      <c r="AF169" s="26" t="s">
        <v>854</v>
      </c>
      <c r="AG169" s="23" t="s">
        <v>864</v>
      </c>
      <c r="AH169" s="23" t="s">
        <v>864</v>
      </c>
      <c r="AI169" s="24" t="s">
        <v>863</v>
      </c>
      <c r="AJ169" s="23" t="s">
        <v>864</v>
      </c>
      <c r="AK169" s="220" t="str">
        <f>IF(AND(AD169="",AE169="",AF169="",AG169="",AH169="",AI169="",AJ169=""),"",IF(OR(Tabla1[[#This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EVALUACIÓN",IF(AND(O169="",R169=""),"",IF(AND(OR(O169&gt;0,R169&gt;0),NG169&gt;=0,NG169&lt;2),"SIN RIESGO",IF(AND(OR(O169&gt;0,R169&gt;0),NG169&gt;=2),"CON RIESGO","ASD")))))</f>
        <v>SIN RIESGO</v>
      </c>
      <c r="AL169" s="23" t="s">
        <v>864</v>
      </c>
      <c r="AM169" s="26" t="s">
        <v>864</v>
      </c>
      <c r="AN169" s="26" t="s">
        <v>864</v>
      </c>
      <c r="AO169" s="26" t="s">
        <v>864</v>
      </c>
      <c r="AP169" s="26" t="s">
        <v>864</v>
      </c>
      <c r="AQ169" s="26" t="s">
        <v>864</v>
      </c>
      <c r="AR169" s="26" t="s">
        <v>864</v>
      </c>
      <c r="AS169" s="21">
        <v>1</v>
      </c>
      <c r="AT169" s="21">
        <v>1</v>
      </c>
      <c r="AU169" s="21">
        <v>0</v>
      </c>
      <c r="AV169" s="26" t="s">
        <v>864</v>
      </c>
      <c r="AW169" s="21">
        <v>0</v>
      </c>
      <c r="AX169" s="26" t="s">
        <v>864</v>
      </c>
      <c r="AY169" s="26" t="s">
        <v>864</v>
      </c>
      <c r="AZ169" s="26" t="s">
        <v>864</v>
      </c>
      <c r="BA169" s="26" t="s">
        <v>864</v>
      </c>
      <c r="BB169" s="26" t="s">
        <v>864</v>
      </c>
      <c r="BC169" s="26" t="s">
        <v>864</v>
      </c>
      <c r="BD169" s="26" t="s">
        <v>864</v>
      </c>
      <c r="BE169" s="26" t="s">
        <v>864</v>
      </c>
      <c r="BF169" s="26" t="s">
        <v>864</v>
      </c>
      <c r="BG169" s="26" t="s">
        <v>864</v>
      </c>
      <c r="BH169" s="26" t="s">
        <v>864</v>
      </c>
      <c r="BI169" s="26" t="s">
        <v>864</v>
      </c>
      <c r="BJ169" s="26" t="s">
        <v>864</v>
      </c>
      <c r="BK169" s="26" t="s">
        <v>864</v>
      </c>
      <c r="BL169" s="26" t="s">
        <v>864</v>
      </c>
      <c r="BM169" s="26" t="s">
        <v>864</v>
      </c>
      <c r="BN169" s="22">
        <v>41303</v>
      </c>
      <c r="BO169" s="22">
        <v>45013</v>
      </c>
      <c r="BP169" s="21" t="s">
        <v>1380</v>
      </c>
      <c r="BQ169" s="222">
        <f t="shared" si="602"/>
        <v>123.69666666666672</v>
      </c>
      <c r="BR169" s="223">
        <f t="shared" si="603"/>
        <v>45013.9</v>
      </c>
      <c r="BS169" s="224">
        <f t="shared" si="604"/>
        <v>4.8714285714283632</v>
      </c>
      <c r="BT169" s="216" t="str">
        <f t="shared" si="605"/>
        <v>I TRIM</v>
      </c>
      <c r="BU169" s="214">
        <f t="shared" ca="1" si="606"/>
        <v>31.157142857142649</v>
      </c>
      <c r="BV169" s="25" t="s">
        <v>1478</v>
      </c>
      <c r="BW169" s="22">
        <v>45058</v>
      </c>
      <c r="BX169" s="28">
        <v>6.3</v>
      </c>
      <c r="BY169" s="28" t="s">
        <v>988</v>
      </c>
      <c r="BZ169" s="22">
        <v>45106</v>
      </c>
      <c r="CA169" s="21">
        <v>12.3</v>
      </c>
      <c r="CB169" s="26" t="s">
        <v>864</v>
      </c>
      <c r="CC169" s="26" t="s">
        <v>864</v>
      </c>
      <c r="CD169" s="26"/>
      <c r="CE169" s="26" t="s">
        <v>864</v>
      </c>
      <c r="CF169" s="22" t="s">
        <v>1517</v>
      </c>
      <c r="CG169" s="21">
        <v>1.5</v>
      </c>
      <c r="CH169" s="21">
        <v>62.8</v>
      </c>
      <c r="CI169" s="214">
        <f t="shared" si="607"/>
        <v>27.911111111111111</v>
      </c>
      <c r="CJ169" s="225" t="str">
        <f>IF(AND(CI169&lt;10,CH169="SD"),"SIN DATO PESO PREGESTACION O I TRIM",IF(AND(OR(R169&gt;0,O169&gt;0),CI169="X"),"INGRESAR DATO DE PESO",IF(CI169="SD","INGRESAR DATO DE TALLA Y PESO",IF(AND(OR(Tabla1[[#This Row],[MOMENTO EN QUE SE REALIZA EL PESO AL INGRESO A CPN]]="PREGESTACIÓN",NZ169="Menor"),CI169&lt;18.5),"BAJO PESO",IF(AND(OR(Tabla1[[#This Row],[MOMENTO EN QUE SE REALIZA EL PESO AL INGRESO A CPN]]="PREGESTACIÓN",NZ169="Menor"),CI169&lt;25),"NORMAL",IF(AND(OR(Tabla1[[#This Row],[MOMENTO EN QUE SE REALIZA EL PESO AL INGRESO A CPN]]="PREGESTACIÓN",NZ169="Menor"),CI169&lt;30),"SOBREPESO",IF(AND(OR(Tabla1[[#This Row],[MOMENTO EN QUE SE REALIZA EL PESO AL INGRESO A CPN]]="PREGESTACIÓN",NZ169="Menor"),CI169&gt;=30,CI169&lt;50),"OBESIDAD",IF(AND(BS169&gt;0,Tabla1[[#This Row],[MOMENTO EN QUE SE REALIZA EL PESO AL INGRESO A CPN]]="GESTACIÓN"),HLOOKUP(NZ169,$OA$2:PH169,NY169),""))))))))</f>
        <v>SOBREPESO</v>
      </c>
      <c r="CK169" s="212">
        <f t="shared" si="608"/>
        <v>45143</v>
      </c>
      <c r="CL169" s="21">
        <v>61.7</v>
      </c>
      <c r="CM169" s="214">
        <f t="shared" si="609"/>
        <v>27.422222222222224</v>
      </c>
      <c r="CN169" s="216">
        <f t="shared" si="610"/>
        <v>18</v>
      </c>
      <c r="CO169" s="216" t="e">
        <f>IF(PI169="","",IF(PI169&gt;0,HLOOKUP(PI169,$PJ$2:QQ169,NY169),""))</f>
        <v>#REF!</v>
      </c>
      <c r="CP169" s="21"/>
      <c r="CQ169" s="216" t="e">
        <f>IF(QR169="Menor","NO APLICA-MENOR 13 SEM",IF(AND(CC169="SI",CN169&gt;23),"NO APLICA- GEMELAR",IF(QR169="","",IF(QR169&gt;0,HLOOKUP(QR169,$QS$2:RU169,NY169),""))))</f>
        <v>#REF!</v>
      </c>
      <c r="CR169" s="21">
        <v>100</v>
      </c>
      <c r="CS169" s="21">
        <v>60</v>
      </c>
      <c r="CT169" s="217" t="str">
        <f>IF(R169="","",IF(AND(BS169&gt;1,BS169&lt;12,Tabla1[[#This Row],[T.A. SISTOLICA - ANTES DE SEMANA 12]]="",Tabla1[[#This Row],[T.A. DIASTOLICA - ANTES DE SEMANA 12]]=""),"REGISTRE DATO TA ANTES SEMANA 12",IF(AND(BS169&gt;11,BS169&lt;43,Tabla1[[#This Row],[T.A. SISTOLICA - ANTES DE SEMANA 12]]="",Tabla1[[#This Row],[T.A. DIASTOLICA - ANTES DE SEMANA 12]]=""),"NO APLICA REGISTRO TA-INGRESO TARDIO",IF(AND(OR(O169&gt;0,R169&gt;0),OR(CR169&gt;=140,CS169&gt;=90)),"DEFINIR ESTADIO HTA",IF(AND(OR(O169&gt;0,R169&gt;0),AND(CR169&gt;120,CR169&lt;=139)),"PRE HTA SEGUIMIENTO",IF(AND(OR(O169&gt;0,R169&gt;0),AND(CS169&gt;80,CS169&lt;=89)),"PRE HTA SEGUIMIENTO",IF(AND(OR(O169&gt;0,R169&gt;0),AND(CR169&gt;=80,CR169&lt;=120)),"APARENTEMENTE NORMAL",IF(AND(OR(O169&gt;0,R169&gt;0),AND(CS169&gt;=50,CS169&lt;=80)),"APARENTEMENTE NORMAL",IF(AND(OR(O169&gt;0,R169&gt;0),AND(CR169&gt;1,CR169&lt;=70),AND(CS169&gt;1,CS169&lt;=40)),"HIPOTENSIÓN","")))))))))</f>
        <v>APARENTEMENTE NORMAL</v>
      </c>
      <c r="CU169" s="21"/>
      <c r="CV169" s="21"/>
      <c r="CW169" s="217" t="str">
        <f ca="1">IF(R169="","",IF(AND(CN169&gt;19,CN169&lt;27,Tabla1[[#This Row],[T.A. SISTOLICA (Entre semana 20 y 26)]]="",Tabla1[[#This Row],[T.A. DIATOLICA (Entre semana 20 y 26)]]=""),"ACUDE A CONTROL SEM 20 A 26 REGISTRE TA AHORA",IF(AND(BS169&gt;1,BS169&lt;27,BU169&gt;19,Tabla1[[#This Row],[T.A. SISTOLICA (Entre semana 20 y 26)]]="",Tabla1[[#This Row],[T.A. DIATOLICA (Entre semana 20 y 26)]]=""),"COMPLETE REGISTRO TA CONTROL SEM 20 A26 ",IF(AND(BS169&gt;26,BS169&lt;43,Tabla1[[#This Row],[T.A. SISTOLICA (Entre semana 20 y 26)]]="",Tabla1[[#This Row],[T.A. DIATOLICA (Entre semana 20 y 26)]]=""),"NO APLICA REGISTRO TA-INGRESO TARDIO",IF(AND(OR(O169&gt;0,R169&gt;0),OR(CU169&gt;=140,CV169&gt;=90)),"ALTO RIESGO PREECLAMPSIA,DEFINIR ESTADIO HTA",IF(AND(OR(O169&gt;0,R169&gt;0),AND(CU169&gt;120,CU169&lt;=139)),"PRE HTA SEGUIMIENTO,RIESGO HIPERTENSION INDUCIDA POR EL EMBARAZO",IF(AND(OR(O169&gt;0,R169&gt;0),AND(CV169&gt;80,CV169&lt;=89)),"PRE HTA SEGUIMIENTO, RIESGO HIPERTENSION INDUCIDA POR EL EMBARAZO",IF(AND(OR(O169&lt;&gt;"",R169&lt;&gt;""),CS169&lt;&gt;"",CV169&lt;&gt;"",CS169&lt;=CV169),"VIGILAR CIFRAS PRESION ARTERIAL",IF(AND(OR(O169&gt;0,R169&gt;0),AND(CU169&gt;120,CU169&lt;=139)),"PRE HTA SEGUIMIENTO",IF(AND(OR(O169&gt;0,R169&gt;0),AND(CU169&gt;1,CU169&lt;=70),AND(CV169&gt;1,CV169&lt;=40)),"HIPOTENSIÓN",IF(AND(OR(O169&lt;&gt;"",R169&lt;&gt;""),CS169&lt;&gt;"",CV169&lt;&gt;"",CS169&gt;CV169),"APARENTEMENTE NORMAL",IF(AND(OR(O169&gt;0,R169&gt;0),AND(CU169&gt;=80,CU169&lt;=120)),"APARENTEMENTE NORMAL",IF(AND(OR(O169&gt;0,R169&gt;0),AND(CV169&gt;=50,CV169&lt;=80)),"APARENTEMENTE NORMAL","")))))))))))))</f>
        <v xml:space="preserve">COMPLETE REGISTRO TA CONTROL SEM 20 A26 </v>
      </c>
      <c r="CX169" s="21"/>
      <c r="CY169" s="21"/>
      <c r="CZ169" s="216" t="str">
        <f t="shared" si="690"/>
        <v/>
      </c>
      <c r="DA169" s="21">
        <v>90</v>
      </c>
      <c r="DB169" s="21">
        <v>60</v>
      </c>
      <c r="DC169" s="217" t="str">
        <f t="shared" si="611"/>
        <v>APARENTEMENTE NORMAL</v>
      </c>
      <c r="DD169" s="22">
        <v>45048</v>
      </c>
      <c r="DE169" s="22">
        <v>45048</v>
      </c>
      <c r="DF169" s="22">
        <v>45079</v>
      </c>
      <c r="DG169" s="22">
        <v>45108</v>
      </c>
      <c r="DH169" s="22">
        <v>45143</v>
      </c>
      <c r="DI169" s="22"/>
      <c r="DJ169" s="22"/>
      <c r="DK169" s="22"/>
      <c r="DL169" s="22"/>
      <c r="DM169" s="22"/>
      <c r="DN169" s="22"/>
      <c r="DO169" s="22"/>
      <c r="DP169" s="22"/>
      <c r="DQ169" s="22"/>
      <c r="DR169" s="28"/>
      <c r="DS169" s="22"/>
      <c r="DT169" s="22"/>
      <c r="DU169" s="216" t="str">
        <f t="shared" ca="1" si="676"/>
        <v>PLANEAR PLAN DE PARTO</v>
      </c>
      <c r="DV169" s="226" t="str">
        <f t="shared" si="677"/>
        <v>ACTIVA INGRESO A CPN</v>
      </c>
      <c r="DW169"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69" s="216" t="e">
        <f t="shared" ca="1" si="612"/>
        <v>#REF!</v>
      </c>
      <c r="DY169" s="212">
        <f>IF(R169="","",IF(R169&gt;0,MAX(Tabla1[[#This Row],[FECHA C2]:[FECHA C13]],Tabla1[[#This Row],[FECHA CONSULTA PRIMERA VEZ PROGRAMA CPN ]])))</f>
        <v>45143</v>
      </c>
      <c r="DZ169" s="216">
        <f t="shared" si="613"/>
        <v>18</v>
      </c>
      <c r="EA169" s="222">
        <f>IF(R169&gt;0,SUM(COUNTA(DF169:DQ169)+COUNTA(Tabla1[[#This Row],[FECHA CONSULTA PRIMERA VEZ PROGRAMA CPN ]])),"")</f>
        <v>4</v>
      </c>
      <c r="EB169" s="222" t="str">
        <f t="shared" si="614"/>
        <v>SI</v>
      </c>
      <c r="EC169" s="214">
        <f t="shared" si="615"/>
        <v>10</v>
      </c>
      <c r="ED169" s="227">
        <f t="shared" si="616"/>
        <v>0.4</v>
      </c>
      <c r="EE169" s="22">
        <v>45048</v>
      </c>
      <c r="EF169" s="22">
        <v>45048</v>
      </c>
      <c r="EG169" s="22">
        <v>45048</v>
      </c>
      <c r="EH169" s="22">
        <v>45059</v>
      </c>
      <c r="EI169" s="22">
        <v>45048</v>
      </c>
      <c r="EJ169" s="22">
        <v>45086</v>
      </c>
      <c r="EK169" s="22"/>
      <c r="EL169" s="21"/>
      <c r="EM169" s="21">
        <v>14.3</v>
      </c>
      <c r="EN169" s="22">
        <v>45049</v>
      </c>
      <c r="EO169" s="222">
        <f t="shared" si="617"/>
        <v>5.0142857142855064</v>
      </c>
      <c r="EP169" s="214" t="str">
        <f t="shared" si="618"/>
        <v>NO DAR SULFATO FERROSO</v>
      </c>
      <c r="EQ169" s="216" t="str">
        <f t="shared" si="619"/>
        <v>I TRIM</v>
      </c>
      <c r="ER169" s="24"/>
      <c r="ES169" s="22"/>
      <c r="ET169" s="29" t="str">
        <f t="shared" ca="1" si="678"/>
        <v>TOMA DE HEMOGLOBINA TARDÍA</v>
      </c>
      <c r="EU169" s="25" t="str">
        <f t="shared" si="620"/>
        <v/>
      </c>
      <c r="EV169" s="24" t="s">
        <v>1510</v>
      </c>
      <c r="EW169" s="24">
        <v>45049</v>
      </c>
      <c r="EX169" s="22"/>
      <c r="EY169" s="29">
        <f t="shared" si="693"/>
        <v>5.0142857142855064</v>
      </c>
      <c r="EZ169" s="25" t="str">
        <f t="shared" si="694"/>
        <v>SIN RIESGO DE ISOINMUNIZACIÓN</v>
      </c>
      <c r="FA169" s="21">
        <v>79</v>
      </c>
      <c r="FB169" s="22">
        <v>45049</v>
      </c>
      <c r="FC169" s="29">
        <f t="shared" si="621"/>
        <v>5.0142857142855064</v>
      </c>
      <c r="FD169" s="29"/>
      <c r="FE169" s="29"/>
      <c r="FF169" s="29"/>
      <c r="FG169" s="21" t="str">
        <f t="shared" ca="1" si="622"/>
        <v>TOMAR PTOG</v>
      </c>
      <c r="FH169" s="31"/>
      <c r="FI169" s="29" t="str">
        <f t="shared" si="623"/>
        <v>TOMAR EXAMEN</v>
      </c>
      <c r="FJ169" s="22" t="s">
        <v>867</v>
      </c>
      <c r="FK169" s="22">
        <v>45049</v>
      </c>
      <c r="FL169" s="29">
        <f t="shared" ca="1" si="624"/>
        <v>5.0142857142855064</v>
      </c>
      <c r="FM169" s="22"/>
      <c r="FN169" s="32"/>
      <c r="FO169" s="29" t="str">
        <f t="shared" ca="1" si="679"/>
        <v>PIERDE TOMA DE TAMIZAJE</v>
      </c>
      <c r="FP169" s="22"/>
      <c r="FQ169" s="32"/>
      <c r="FR169" s="29" t="str">
        <f t="shared" ca="1" si="680"/>
        <v>EN RANGO PARA TOMAR EXAMEN</v>
      </c>
      <c r="FS169" s="22"/>
      <c r="FT169" s="32"/>
      <c r="FU169" s="29" t="str">
        <f>IF(AND(FJ169="",FM169="",FP169="",FS169=""),"",IF(OR(OR(Tabla1[[#This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69" s="28"/>
      <c r="FW169" s="22"/>
      <c r="FX169" s="29" t="str">
        <f t="shared" si="625"/>
        <v>TOMAR EXAMEN</v>
      </c>
      <c r="FY169" s="22">
        <v>45049</v>
      </c>
      <c r="FZ169" s="22">
        <v>45049</v>
      </c>
      <c r="GA169" s="29">
        <f t="shared" ca="1" si="692"/>
        <v>5.0142857142855064</v>
      </c>
      <c r="GB169" s="22"/>
      <c r="GC169" s="22"/>
      <c r="GD169" s="29" t="str">
        <f t="shared" ca="1" si="681"/>
        <v>PIERDE TOMA DE TAMIZAJE</v>
      </c>
      <c r="GE169" s="22"/>
      <c r="GF169" s="22"/>
      <c r="GG169" s="29" t="str">
        <f t="shared" ca="1" si="682"/>
        <v>EN RANGO PARA TOMAR EXAMEN</v>
      </c>
      <c r="GH169" s="22"/>
      <c r="GI169" s="29"/>
      <c r="GJ169" s="22"/>
      <c r="GK169" s="22"/>
      <c r="GL169" s="22"/>
      <c r="GM169" s="22"/>
      <c r="GN169" s="28" t="s">
        <v>869</v>
      </c>
      <c r="GO169" s="22">
        <v>45049</v>
      </c>
      <c r="GP169" s="29">
        <f t="shared" si="626"/>
        <v>5.0142857142855064</v>
      </c>
      <c r="GQ169" s="28" t="s">
        <v>869</v>
      </c>
      <c r="GR169" s="28" t="s">
        <v>869</v>
      </c>
      <c r="GS169" s="22" t="str">
        <f t="shared" si="728"/>
        <v>CONTROL Igm</v>
      </c>
      <c r="GT169" s="22">
        <v>45049</v>
      </c>
      <c r="GU169" s="29">
        <f t="shared" si="628"/>
        <v>5.1428571428571432</v>
      </c>
      <c r="GV169" s="21" t="str">
        <f t="shared" si="629"/>
        <v>I TRIM</v>
      </c>
      <c r="GW169" s="28" t="s">
        <v>869</v>
      </c>
      <c r="GX169" s="30"/>
      <c r="GY169" s="21"/>
      <c r="GZ169" s="21"/>
      <c r="HA169" s="21"/>
      <c r="HB169" s="21"/>
      <c r="HC169" s="21"/>
      <c r="HD169" s="21"/>
      <c r="HE169" s="21"/>
      <c r="HF169" s="22"/>
      <c r="HG169" s="22" t="str">
        <f>IF(OR(O169&gt;0,R169&gt;0),CONCATENATE(IF(Tabla1[[#This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69" s="22" t="e">
        <f t="shared" si="630"/>
        <v>#REF!</v>
      </c>
      <c r="HI169" s="22" t="e">
        <f t="shared" ca="1" si="631"/>
        <v>#REF!</v>
      </c>
      <c r="HJ169" s="21" t="str">
        <f t="shared" ca="1" si="632"/>
        <v>***************************************</v>
      </c>
      <c r="HK169" s="21" t="str">
        <f t="shared" si="633"/>
        <v>SIN ANTECEDENTES DE RIESGO</v>
      </c>
      <c r="HL169" s="24" t="str">
        <f t="shared" si="634"/>
        <v>APARENTEMENTE NORMAL</v>
      </c>
      <c r="HM169" s="21" t="e">
        <f t="shared" ca="1" si="635"/>
        <v>#REF!</v>
      </c>
      <c r="HN169" s="30" t="str">
        <f t="shared" si="683"/>
        <v>ACTIVA INGRESO A CPN</v>
      </c>
      <c r="HO169" s="21"/>
      <c r="HP169" s="21"/>
      <c r="HQ169" s="349">
        <v>45048</v>
      </c>
      <c r="HR169" s="21" t="str">
        <f>IF(R169="","",IF(Tabla1[[#This Row],[ALARMA FACTORES DE RIESGO COMPLICACIONES HIPERTENSIVAS3]]="SIN ANTECEDENTES DE RIESGO","No Aplica para suministro de ASA",IF(AND(Tabla1[[#This Row],[FECHA INICIO DE SUMINISTRO DE ASA]]&gt;0,RV169&lt;12),"Inicia ASA ANTES de Sem 12",IF(AND(RV169&gt;11,RV169&lt;17,OR(HK169="RIESGO ALTO DE COMPLICACIONES HIPERTENSIVAS VER MANEJO GUIA SUMINISTRO ASA Y CALCIO",HK169="RIESGO MODERADO (2 O MAS CRITERIOS) VER MANEJO GUIA SUMINISTRO ASA Y CALCIO")),"Inicio oportuno de ASA",IF(AND(RV169&gt;12,OR(HK169="RIESGO ALTO DE COMPLICACIONES HIPERTENSIVAS VER MANEJO GUIA SUMINISTRO ASA Y CALCIO",HK169="RIESGO MODERADO (2 O MAS CRITERIOS) VER MANEJO GUIA SUMINISTRO ASA Y CALCIO")),"Inicio no oportuno mayor a 16 semanas",IF(AND(BU169&lt;12,OR(HK169="RIESGO ALTO DE COMPLICACIONES HIPERTENSIVAS VER MANEJO GUIA SUMINISTRO ASA Y CALCIO",HK169="RIESGO MODERADO (2 O MAS CRITERIOS) VER MANEJO GUIA SUMINISTRO ASA Y CALCIO")),"Pendiente Inicio de ASA a la semana 12",IF(AND(BU169&gt;11,BU169&lt;17,OR(HK169="RIESGO ALTO DE COMPLICACIONES HIPERTENSIVAS VER MANEJO GUIA SUMINISTRO ASA Y CALCIO",HK169="RIESGO MODERADO (2 O MAS CRITERIOS) VER MANEJO GUIA SUMINISTRO ASA Y CALCIO")),"Iniciar de inmediato ASA",IF(AND(BU169&gt;16,OR(HK169="RIESGO ALTO DE COMPLICACIONES HIPERTENSIVAS VER MANEJO GUIA SUMINISTRO ASA Y CALCIO",HK169="RIESGO MODERADO (2 O MAS CRITERIOS) VER MANEJO GUIA SUMINISTRO ASA Y CALCIO")),"Pierde Oportunidad, Inicio tardío de ASA","XXXXX"))))))))</f>
        <v>No Aplica para suministro de ASA</v>
      </c>
      <c r="HS169" s="22">
        <v>45048</v>
      </c>
      <c r="HT169" s="22" t="s">
        <v>870</v>
      </c>
      <c r="HU169" s="22">
        <v>45048</v>
      </c>
      <c r="HV169" s="22" t="s">
        <v>870</v>
      </c>
      <c r="HW169" s="22"/>
      <c r="HX169" s="22"/>
      <c r="HY169" s="22">
        <v>45048</v>
      </c>
      <c r="HZ169" s="28">
        <f t="shared" si="636"/>
        <v>4.8714285714283632</v>
      </c>
      <c r="IA169" s="26" t="s">
        <v>864</v>
      </c>
      <c r="IB169" s="26"/>
      <c r="IC169" s="111"/>
      <c r="ID169" s="22"/>
      <c r="IE169" s="22" t="str">
        <f t="shared" ca="1" si="637"/>
        <v>INASISTENTE</v>
      </c>
      <c r="IF169" s="22"/>
      <c r="IG169" s="22">
        <f t="shared" si="638"/>
        <v>45293.9</v>
      </c>
      <c r="IH169" s="29">
        <f t="shared" ca="1" si="639"/>
        <v>61.900000000001455</v>
      </c>
      <c r="II169" s="22" t="str">
        <f t="shared" ca="1" si="640"/>
        <v>PENDIENTE</v>
      </c>
      <c r="IJ169" s="22"/>
      <c r="IK169" s="21"/>
      <c r="IL169" s="21"/>
      <c r="IM169" s="34"/>
      <c r="IN169" s="22"/>
      <c r="IO169" s="21"/>
      <c r="IP169" s="29" t="str">
        <f t="shared" si="674"/>
        <v/>
      </c>
      <c r="IQ169" s="35"/>
      <c r="IR169" s="21"/>
      <c r="IS169" s="21"/>
      <c r="IT169" s="21"/>
      <c r="IU169" s="21"/>
      <c r="IV169" s="21"/>
      <c r="IW169" s="21"/>
      <c r="IX169" s="21"/>
      <c r="IY169" s="21"/>
      <c r="IZ169" s="21"/>
      <c r="JA169" s="21"/>
      <c r="JB169" s="30"/>
      <c r="JC169" s="21"/>
      <c r="JD169" s="36"/>
      <c r="JE169" s="21" t="str">
        <f t="shared" si="684"/>
        <v/>
      </c>
      <c r="JF169" s="30"/>
      <c r="JG169" s="21"/>
      <c r="JH169" s="21"/>
      <c r="JI169" s="21"/>
      <c r="JJ169" s="30"/>
      <c r="JK169" s="22"/>
      <c r="JL169" s="22"/>
      <c r="JM169" s="21"/>
      <c r="JN169" s="36"/>
      <c r="JO169" s="21" t="str">
        <f t="shared" si="685"/>
        <v/>
      </c>
      <c r="JP169" s="22"/>
      <c r="JQ169" s="21"/>
      <c r="JR169" s="21"/>
      <c r="JS169" s="21"/>
      <c r="JT169" s="30"/>
      <c r="JU169" s="22"/>
      <c r="JV169" s="22"/>
      <c r="JW169" s="33"/>
      <c r="JX169" s="28" t="str">
        <f t="shared" si="686"/>
        <v/>
      </c>
      <c r="JY169" s="33"/>
      <c r="JZ169" s="28" t="str">
        <f t="shared" si="687"/>
        <v/>
      </c>
      <c r="KA169" s="21"/>
      <c r="KB169" s="21"/>
      <c r="KC169" s="21"/>
      <c r="KD169" s="37"/>
      <c r="KE169" s="28"/>
      <c r="KF169" s="28"/>
      <c r="KG169" s="28"/>
      <c r="KH169" s="39"/>
      <c r="KI169" s="39"/>
      <c r="KJ169" s="66"/>
      <c r="KK169" s="39"/>
      <c r="KL169" s="39"/>
      <c r="KM169" s="66"/>
      <c r="KN169" s="39"/>
      <c r="KO169" s="39"/>
      <c r="KP169" s="39"/>
      <c r="KQ169" s="39"/>
      <c r="KR169" s="39"/>
      <c r="KS169" s="39"/>
      <c r="KT169" s="39"/>
      <c r="KU169" s="38"/>
      <c r="KV169" s="38"/>
      <c r="KW169" s="38"/>
      <c r="KX169" s="38"/>
      <c r="KY169" s="38"/>
      <c r="KZ169" s="38"/>
      <c r="LA169" s="38"/>
      <c r="LB169" s="38"/>
      <c r="LC169" s="38"/>
      <c r="LD169" s="38"/>
      <c r="LE169" s="38"/>
      <c r="LF169" s="38"/>
      <c r="LG169" s="38"/>
      <c r="LH169" s="38"/>
      <c r="LI169" s="38"/>
      <c r="LJ169" s="38"/>
      <c r="LK169" s="38"/>
      <c r="LL169" s="38"/>
      <c r="LM169" s="38"/>
      <c r="LN169" s="38"/>
      <c r="LO169" s="38"/>
      <c r="LP169" s="38"/>
      <c r="LQ169" s="38"/>
      <c r="LR169" s="38"/>
      <c r="LS169" s="38"/>
      <c r="LT169" s="38"/>
      <c r="LU169" s="38"/>
      <c r="LV169" s="38"/>
      <c r="LW169" s="38"/>
      <c r="LX169" s="38"/>
      <c r="LY169" s="38"/>
      <c r="LZ169" s="38"/>
      <c r="MA169" s="38"/>
      <c r="MB169" s="38"/>
      <c r="MC169" s="38"/>
      <c r="MD169" s="38"/>
      <c r="ME169" s="38"/>
      <c r="MF169" s="38"/>
      <c r="MG169" s="38"/>
      <c r="MH169" s="43">
        <f t="shared" si="697"/>
        <v>0</v>
      </c>
      <c r="MI169" s="43" t="str">
        <f t="shared" si="698"/>
        <v/>
      </c>
      <c r="MJ169" s="43" t="str">
        <f t="shared" si="699"/>
        <v/>
      </c>
      <c r="MK169" s="43">
        <f t="shared" si="700"/>
        <v>0</v>
      </c>
      <c r="ML16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69" s="43">
        <f t="shared" si="701"/>
        <v>4.8714285714283632</v>
      </c>
      <c r="MN169" s="43">
        <f t="shared" si="702"/>
        <v>5</v>
      </c>
      <c r="MO169" s="43">
        <f t="shared" si="703"/>
        <v>2023</v>
      </c>
      <c r="MP169" s="43" t="str">
        <f t="shared" si="704"/>
        <v>II TRIMESTRE AÑO</v>
      </c>
      <c r="MQ169" s="43">
        <f t="shared" si="705"/>
        <v>26.669951817783616</v>
      </c>
      <c r="MR169" s="43">
        <f t="shared" si="706"/>
        <v>0</v>
      </c>
      <c r="MS169" s="43" t="str">
        <f t="shared" si="707"/>
        <v xml:space="preserve"> DE 25 A 29 AÑOS</v>
      </c>
      <c r="MT169" s="43">
        <f t="shared" si="708"/>
        <v>0</v>
      </c>
      <c r="MU169" s="43">
        <f t="shared" si="709"/>
        <v>0</v>
      </c>
      <c r="MV169" s="43">
        <f t="shared" si="710"/>
        <v>0</v>
      </c>
      <c r="MW169" s="43">
        <f t="shared" si="711"/>
        <v>0</v>
      </c>
      <c r="MX169" s="43" t="str">
        <f t="shared" si="712"/>
        <v/>
      </c>
      <c r="MY169" s="43" t="str">
        <f t="shared" ca="1" si="688"/>
        <v/>
      </c>
      <c r="MZ169" s="43" t="str">
        <f t="shared" si="713"/>
        <v/>
      </c>
      <c r="NA169" s="43" t="str">
        <f t="shared" si="714"/>
        <v/>
      </c>
      <c r="NB169" s="43" t="str">
        <f t="shared" si="715"/>
        <v/>
      </c>
      <c r="NC169" s="43" t="str">
        <f t="shared" si="716"/>
        <v/>
      </c>
      <c r="ND169" s="43">
        <f t="shared" ca="1" si="717"/>
        <v>0</v>
      </c>
      <c r="NE169" s="43">
        <f>IF(OR(O169&gt;0,R169&gt;0),SUM(COUNTIF(Tabla1[[#This Row],[AÑOS AL INICIO5 CPN]],"&gt;=40"),COUNTIF(AS169,"0"),COUNTIF(AR169,"SI"),COUNTIF(CC169,"SI"),COUNTIF(BQ169,"&gt;119"),COUNTIF(CI169,"&gt;=35")),"")</f>
        <v>1</v>
      </c>
      <c r="NF169" s="43" t="str">
        <f t="shared" si="718"/>
        <v/>
      </c>
      <c r="NG169" s="43">
        <f t="shared" si="719"/>
        <v>0</v>
      </c>
      <c r="NH169" s="43">
        <f t="shared" si="720"/>
        <v>44.1</v>
      </c>
      <c r="NI169"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CPN",P169="NO"),"Z",IF(AND(Tabla1[[#This Row],[CITA PROXIMO CONTROL]]="CITA MANUAL",Tabla1[[#This Row],[GESTANTES ACTUALES]]="ACTIVA INGRESO A CPN"),"W",IF(AND(Tabla1[[#This Row],[GESTANTES ACTUALES]]="SALIO PROGRAMA",IN169=""),"S",IF(AND(Tabla1[[#This Row],[CITA PROXIMO CONTROL]]&gt;0,IN169=""),(Tabla1[[#This Row],[CITA PROXIMO CONTROL]]-TODAY()),"SD"))))))))</f>
        <v>#REF!</v>
      </c>
      <c r="NJ169" s="43">
        <f>MONTH(Tabla1[[#This Row],[FECHA DE SALIDA  DEL PROGRAMA]])</f>
        <v>1</v>
      </c>
      <c r="NK169" s="43">
        <f>YEAR(Tabla1[[#This Row],[FECHA DE SALIDA  DEL PROGRAMA]])</f>
        <v>1900</v>
      </c>
      <c r="NL169" s="43">
        <f t="shared" si="721"/>
        <v>38</v>
      </c>
      <c r="NM169" s="43" t="str">
        <f t="shared" si="695"/>
        <v>NO</v>
      </c>
      <c r="NN169" s="43" t="str">
        <f ca="1">IF(AND(O169&gt;0,R169=""),"NO CPN",IF(AND(O169="",R169=""),"",IF(AND(R169&gt;0,Tabla1[[#This Row],[SEMANAS DE GESTACION ACTUALIZADAS]]&lt;=12),"NO APLICA",IF(AND(FH169&lt;&gt;"",FN169&lt;&gt;""),"SI","NO"))))</f>
        <v>NO</v>
      </c>
      <c r="NO169" s="43" t="str">
        <f ca="1">IF(AND(O169&gt;0,R169=""),"NO CPN",IF(AND(O169="",R169=""),"",IF(AND(R169&gt;0,Tabla1[[#This Row],[SEMANAS DE GESTACION ACTUALIZADAS]]&lt;=27),"NO APLICA",IF(AND(ES169&lt;&gt;"",FQ169&lt;&gt;"",GF169&lt;&gt;""),"SI","NO"))))</f>
        <v>NO</v>
      </c>
      <c r="NP169" s="204" t="str">
        <f t="shared" si="722"/>
        <v>I TRIM</v>
      </c>
      <c r="NQ169" s="21" t="str">
        <f t="shared" si="691"/>
        <v/>
      </c>
      <c r="NR169" s="21">
        <f t="shared" ca="1" si="689"/>
        <v>3</v>
      </c>
      <c r="NS169" s="205">
        <f t="shared" ca="1" si="723"/>
        <v>1</v>
      </c>
      <c r="NT169" s="21">
        <f t="shared" ca="1" si="724"/>
        <v>1</v>
      </c>
      <c r="NU169" s="21" t="str">
        <f t="shared" ca="1" si="725"/>
        <v>INCOMPLETO</v>
      </c>
      <c r="NV169" s="21" t="str">
        <f t="shared" ca="1" si="726"/>
        <v>INCOMPLETO</v>
      </c>
      <c r="NW169" s="206" t="str">
        <f>IF(AND(O169="",R169=""),"",IF(OR(AND(Tabla1[[#This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69" s="207" t="str">
        <f t="shared" ca="1" si="727"/>
        <v>SIN VACUNAR</v>
      </c>
      <c r="NY169" s="43">
        <f>ROW(Tabla1[[#This Row],['# DE TAMIZAJES SIFILIS TOMADOS ]])</f>
        <v>169</v>
      </c>
      <c r="NZ169" s="43" t="str">
        <f t="shared" si="502"/>
        <v>Menor</v>
      </c>
      <c r="OA169" s="43" t="str">
        <f t="shared" si="503"/>
        <v>SOBREPESO</v>
      </c>
      <c r="OB169" s="43" t="str">
        <f t="shared" si="504"/>
        <v/>
      </c>
      <c r="OC169" s="43" t="str">
        <f t="shared" si="505"/>
        <v/>
      </c>
      <c r="OD169" s="43" t="str">
        <f t="shared" si="506"/>
        <v/>
      </c>
      <c r="OE169" s="43" t="str">
        <f t="shared" si="507"/>
        <v/>
      </c>
      <c r="OF169" s="43" t="str">
        <f t="shared" si="508"/>
        <v/>
      </c>
      <c r="OG169" s="43" t="str">
        <f t="shared" si="509"/>
        <v/>
      </c>
      <c r="OH169" s="43" t="str">
        <f t="shared" si="510"/>
        <v/>
      </c>
      <c r="OI169" s="43" t="str">
        <f t="shared" si="511"/>
        <v/>
      </c>
      <c r="OJ169" s="43" t="str">
        <f t="shared" si="512"/>
        <v/>
      </c>
      <c r="OK169" s="43" t="str">
        <f t="shared" si="513"/>
        <v/>
      </c>
      <c r="OL169" s="43" t="str">
        <f t="shared" si="514"/>
        <v/>
      </c>
      <c r="OM169" s="43" t="str">
        <f t="shared" si="515"/>
        <v/>
      </c>
      <c r="ON169" s="43" t="str">
        <f t="shared" si="516"/>
        <v/>
      </c>
      <c r="OO169" s="43" t="str">
        <f t="shared" si="517"/>
        <v/>
      </c>
      <c r="OP169" s="43" t="str">
        <f t="shared" si="518"/>
        <v/>
      </c>
      <c r="OQ169" s="43" t="str">
        <f t="shared" si="519"/>
        <v/>
      </c>
      <c r="OR169" s="43" t="str">
        <f t="shared" si="520"/>
        <v/>
      </c>
      <c r="OS169" s="43" t="str">
        <f t="shared" si="521"/>
        <v/>
      </c>
      <c r="OT169" s="43" t="str">
        <f t="shared" si="522"/>
        <v/>
      </c>
      <c r="OU169" s="43" t="str">
        <f t="shared" si="523"/>
        <v/>
      </c>
      <c r="OV169" s="110" t="str">
        <f t="shared" si="524"/>
        <v/>
      </c>
      <c r="OW169" s="43" t="str">
        <f t="shared" si="525"/>
        <v/>
      </c>
      <c r="OX169" s="43" t="str">
        <f t="shared" si="526"/>
        <v/>
      </c>
      <c r="OY169" s="43" t="str">
        <f t="shared" si="527"/>
        <v/>
      </c>
      <c r="OZ169" s="43" t="str">
        <f t="shared" si="528"/>
        <v/>
      </c>
      <c r="PA169" s="43" t="str">
        <f t="shared" si="529"/>
        <v/>
      </c>
      <c r="PB169" s="43" t="str">
        <f t="shared" si="530"/>
        <v/>
      </c>
      <c r="PC169" s="43" t="str">
        <f t="shared" si="531"/>
        <v/>
      </c>
      <c r="PD169" s="43" t="str">
        <f t="shared" si="532"/>
        <v/>
      </c>
      <c r="PE169" s="43" t="str">
        <f t="shared" si="533"/>
        <v/>
      </c>
      <c r="PF169" s="43" t="str">
        <f t="shared" si="534"/>
        <v/>
      </c>
      <c r="PG169" s="43" t="str">
        <f t="shared" si="535"/>
        <v/>
      </c>
      <c r="PH169" s="43" t="str">
        <f t="shared" si="536"/>
        <v/>
      </c>
      <c r="PI169" s="43">
        <f t="shared" si="537"/>
        <v>18</v>
      </c>
      <c r="PJ169" s="43" t="str">
        <f t="shared" si="538"/>
        <v/>
      </c>
      <c r="PK169" s="43" t="str">
        <f t="shared" si="539"/>
        <v/>
      </c>
      <c r="PL169" s="43" t="str">
        <f t="shared" si="540"/>
        <v/>
      </c>
      <c r="PM169" s="43" t="str">
        <f t="shared" si="541"/>
        <v/>
      </c>
      <c r="PN169" s="43" t="str">
        <f t="shared" si="542"/>
        <v/>
      </c>
      <c r="PO169" s="43" t="str">
        <f t="shared" si="543"/>
        <v/>
      </c>
      <c r="PP169" s="43" t="str">
        <f t="shared" si="544"/>
        <v/>
      </c>
      <c r="PQ169" s="43" t="str">
        <f t="shared" si="545"/>
        <v/>
      </c>
      <c r="PR169" s="43" t="str">
        <f t="shared" si="546"/>
        <v/>
      </c>
      <c r="PS169" s="43" t="str">
        <f t="shared" si="547"/>
        <v>SOBREPESO</v>
      </c>
      <c r="PT169" s="43" t="str">
        <f t="shared" si="548"/>
        <v/>
      </c>
      <c r="PU169" s="43" t="str">
        <f t="shared" si="549"/>
        <v/>
      </c>
      <c r="PV169" s="43" t="str">
        <f t="shared" si="550"/>
        <v/>
      </c>
      <c r="PW169" s="43" t="str">
        <f t="shared" si="551"/>
        <v/>
      </c>
      <c r="PX169" s="43" t="str">
        <f t="shared" si="552"/>
        <v/>
      </c>
      <c r="PY169" s="43" t="str">
        <f t="shared" si="553"/>
        <v/>
      </c>
      <c r="PZ169" s="43" t="str">
        <f t="shared" si="554"/>
        <v/>
      </c>
      <c r="QA169" s="43" t="str">
        <f t="shared" si="555"/>
        <v/>
      </c>
      <c r="QB169" s="43" t="str">
        <f t="shared" si="556"/>
        <v/>
      </c>
      <c r="QC169" s="43" t="str">
        <f t="shared" si="557"/>
        <v/>
      </c>
      <c r="QD169" s="43" t="str">
        <f t="shared" si="558"/>
        <v/>
      </c>
      <c r="QE169" s="43" t="str">
        <f t="shared" si="559"/>
        <v/>
      </c>
      <c r="QF169" s="43" t="str">
        <f t="shared" si="560"/>
        <v/>
      </c>
      <c r="QG169" s="43" t="str">
        <f t="shared" si="561"/>
        <v/>
      </c>
      <c r="QH169" s="43" t="str">
        <f t="shared" si="562"/>
        <v/>
      </c>
      <c r="QI169" s="43" t="str">
        <f t="shared" si="563"/>
        <v/>
      </c>
      <c r="QJ169" s="43" t="str">
        <f t="shared" si="564"/>
        <v/>
      </c>
      <c r="QK169" s="43" t="str">
        <f t="shared" si="565"/>
        <v/>
      </c>
      <c r="QL169" s="43" t="str">
        <f t="shared" si="566"/>
        <v/>
      </c>
      <c r="QM169" s="43" t="str">
        <f t="shared" si="567"/>
        <v/>
      </c>
      <c r="QN169" s="43" t="str">
        <f t="shared" si="568"/>
        <v/>
      </c>
      <c r="QO169" s="43" t="str">
        <f t="shared" si="569"/>
        <v/>
      </c>
      <c r="QP169" s="43" t="str">
        <f t="shared" si="570"/>
        <v/>
      </c>
      <c r="QQ169" s="43" t="str">
        <f t="shared" si="571"/>
        <v/>
      </c>
      <c r="QR169" s="43">
        <f t="shared" si="672"/>
        <v>18</v>
      </c>
      <c r="QS169" s="43"/>
      <c r="QT169" s="21" t="str">
        <f t="shared" si="572"/>
        <v/>
      </c>
      <c r="QU169" s="21" t="str">
        <f t="shared" si="573"/>
        <v/>
      </c>
      <c r="QV169" s="21" t="str">
        <f t="shared" si="574"/>
        <v/>
      </c>
      <c r="QW169" s="21" t="str">
        <f t="shared" si="575"/>
        <v/>
      </c>
      <c r="QX169" s="21" t="str">
        <f t="shared" si="576"/>
        <v/>
      </c>
      <c r="QY169" s="21" t="str">
        <f t="shared" si="577"/>
        <v/>
      </c>
      <c r="QZ169" s="21" t="str">
        <f t="shared" si="578"/>
        <v/>
      </c>
      <c r="RA169" s="21" t="str">
        <f t="shared" si="579"/>
        <v/>
      </c>
      <c r="RB169" s="21" t="str">
        <f t="shared" si="580"/>
        <v/>
      </c>
      <c r="RC169" s="21" t="str">
        <f t="shared" si="581"/>
        <v/>
      </c>
      <c r="RD169" s="21" t="str">
        <f t="shared" si="582"/>
        <v/>
      </c>
      <c r="RE169" s="21" t="str">
        <f t="shared" si="583"/>
        <v/>
      </c>
      <c r="RF169" s="21" t="str">
        <f t="shared" si="584"/>
        <v/>
      </c>
      <c r="RG169" s="21" t="str">
        <f t="shared" si="585"/>
        <v/>
      </c>
      <c r="RH169" s="21" t="str">
        <f t="shared" si="586"/>
        <v/>
      </c>
      <c r="RI169" s="21" t="str">
        <f t="shared" si="587"/>
        <v/>
      </c>
      <c r="RJ169" s="21" t="str">
        <f t="shared" si="588"/>
        <v/>
      </c>
      <c r="RK169" s="21" t="str">
        <f t="shared" si="589"/>
        <v/>
      </c>
      <c r="RL169" s="21" t="str">
        <f t="shared" si="590"/>
        <v/>
      </c>
      <c r="RM169" s="21" t="str">
        <f t="shared" si="591"/>
        <v/>
      </c>
      <c r="RN169" s="21" t="str">
        <f t="shared" si="592"/>
        <v/>
      </c>
      <c r="RO169" s="21" t="str">
        <f t="shared" si="593"/>
        <v/>
      </c>
      <c r="RP169" s="21" t="str">
        <f t="shared" si="594"/>
        <v/>
      </c>
      <c r="RQ169" s="21" t="str">
        <f t="shared" si="595"/>
        <v/>
      </c>
      <c r="RR169" s="21" t="str">
        <f t="shared" si="596"/>
        <v/>
      </c>
      <c r="RS169" s="21" t="str">
        <f t="shared" si="597"/>
        <v/>
      </c>
      <c r="RT169" s="21" t="str">
        <f t="shared" si="598"/>
        <v/>
      </c>
      <c r="RU169" s="21" t="str">
        <f t="shared" si="599"/>
        <v/>
      </c>
      <c r="RV169" s="21">
        <f t="shared" si="600"/>
        <v>4.8714285714283632</v>
      </c>
      <c r="RW169" s="284">
        <f>IF(OR(Tabla1[[#This Row],[FUM FORMULA CONFIABLE]]="",Tabla1[[#This Row],[FUM FORMULA CONFIABLE]]="SD"),"",IF(Tabla1[[#This Row],[FUM FORMULA CONFIABLE]]="CORREGIDA",Tabla1[[#This Row],[FUM X ECO 1]],Tabla1[[#This Row],[FUM x AMENORREA]]))</f>
        <v>45013.9</v>
      </c>
      <c r="RX169" s="21">
        <f>IF(AND(Tabla1[[#This Row],[FUM X ECO 1]]="",Tabla1[[#This Row],[FUM x AMENORREA]]=""),"",IF(AND(Tabla1[[#This Row],[FUM X ECO 1]]="",Tabla1[[#This Row],[FUM x AMENORREA]]&lt;&gt;""),"X",SUM(Tabla1[[#This Row],[FUM X ECO 1]]-Tabla1[[#This Row],[FUM x AMENORREA]])))</f>
        <v>0.90000000000145519</v>
      </c>
      <c r="RY169" s="21">
        <f t="shared" si="673"/>
        <v>0</v>
      </c>
    </row>
    <row r="170" spans="1:493" ht="45" customHeight="1" x14ac:dyDescent="0.25">
      <c r="A170" s="109"/>
      <c r="B170" s="43"/>
      <c r="C170" s="43" t="s">
        <v>845</v>
      </c>
      <c r="D170" s="124"/>
      <c r="E170" s="43" t="s">
        <v>884</v>
      </c>
      <c r="F170" s="43" t="s">
        <v>914</v>
      </c>
      <c r="G170" s="43" t="s">
        <v>1479</v>
      </c>
      <c r="H170" s="43" t="s">
        <v>1480</v>
      </c>
      <c r="I170" s="109" t="s">
        <v>851</v>
      </c>
      <c r="J170" s="110">
        <v>1002847894</v>
      </c>
      <c r="K170" s="43" t="s">
        <v>1274</v>
      </c>
      <c r="L170" s="175" t="s">
        <v>846</v>
      </c>
      <c r="M170" s="22">
        <v>36893</v>
      </c>
      <c r="N170" s="213">
        <f t="shared" ca="1" si="601"/>
        <v>22.846575342465755</v>
      </c>
      <c r="O170" s="22">
        <v>45050</v>
      </c>
      <c r="P170" s="214" t="str">
        <f t="shared" si="675"/>
        <v>SI</v>
      </c>
      <c r="Q170" s="26" t="s">
        <v>855</v>
      </c>
      <c r="R170" s="22">
        <v>45050</v>
      </c>
      <c r="S170" s="21" t="s">
        <v>856</v>
      </c>
      <c r="T170" s="24" t="s">
        <v>690</v>
      </c>
      <c r="U170" s="21" t="s">
        <v>857</v>
      </c>
      <c r="V170" s="21" t="s">
        <v>858</v>
      </c>
      <c r="W170" s="21" t="s">
        <v>1618</v>
      </c>
      <c r="X170" s="21"/>
      <c r="Y170" s="21"/>
      <c r="Z170" s="21"/>
      <c r="AA170" s="21" t="s">
        <v>860</v>
      </c>
      <c r="AB170" s="27" t="s">
        <v>861</v>
      </c>
      <c r="AC170" s="26"/>
      <c r="AD170" s="38" t="s">
        <v>1546</v>
      </c>
      <c r="AE170" s="26" t="s">
        <v>854</v>
      </c>
      <c r="AF170" s="26" t="s">
        <v>854</v>
      </c>
      <c r="AG170" s="23" t="s">
        <v>864</v>
      </c>
      <c r="AH170" s="23" t="s">
        <v>864</v>
      </c>
      <c r="AI170" s="24" t="s">
        <v>863</v>
      </c>
      <c r="AJ170" s="23" t="s">
        <v>864</v>
      </c>
      <c r="AK170" s="220" t="str">
        <f>IF(AND(AD170="",AE170="",AF170="",AG170="",AH170="",AI170="",AJ170=""),"",IF(OR(Tabla1[[#This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EVALUACIÓN",IF(AND(O170="",R170=""),"",IF(AND(OR(O170&gt;0,R170&gt;0),NG170&gt;=0,NG170&lt;2),"SIN RIESGO",IF(AND(OR(O170&gt;0,R170&gt;0),NG170&gt;=2),"CON RIESGO","ASD")))))</f>
        <v>SIN RIESGO</v>
      </c>
      <c r="AL170" s="23" t="s">
        <v>864</v>
      </c>
      <c r="AM170" s="26" t="s">
        <v>864</v>
      </c>
      <c r="AN170" s="26" t="s">
        <v>864</v>
      </c>
      <c r="AO170" s="26" t="s">
        <v>864</v>
      </c>
      <c r="AP170" s="26" t="s">
        <v>864</v>
      </c>
      <c r="AQ170" s="26" t="s">
        <v>864</v>
      </c>
      <c r="AR170" s="26" t="s">
        <v>864</v>
      </c>
      <c r="AS170" s="21">
        <v>0</v>
      </c>
      <c r="AT170" s="21">
        <v>0</v>
      </c>
      <c r="AU170" s="21">
        <v>0</v>
      </c>
      <c r="AV170" s="26" t="s">
        <v>864</v>
      </c>
      <c r="AW170" s="21">
        <v>0</v>
      </c>
      <c r="AX170" s="26" t="s">
        <v>864</v>
      </c>
      <c r="AY170" s="26" t="s">
        <v>864</v>
      </c>
      <c r="AZ170" s="26" t="s">
        <v>864</v>
      </c>
      <c r="BA170" s="26" t="s">
        <v>864</v>
      </c>
      <c r="BB170" s="26" t="s">
        <v>864</v>
      </c>
      <c r="BC170" s="26" t="s">
        <v>864</v>
      </c>
      <c r="BD170" s="26" t="s">
        <v>864</v>
      </c>
      <c r="BE170" s="26" t="s">
        <v>864</v>
      </c>
      <c r="BF170" s="26" t="s">
        <v>864</v>
      </c>
      <c r="BG170" s="26" t="s">
        <v>864</v>
      </c>
      <c r="BH170" s="26" t="s">
        <v>864</v>
      </c>
      <c r="BI170" s="26" t="s">
        <v>864</v>
      </c>
      <c r="BJ170" s="26" t="s">
        <v>864</v>
      </c>
      <c r="BK170" s="26" t="s">
        <v>864</v>
      </c>
      <c r="BL170" s="26" t="s">
        <v>864</v>
      </c>
      <c r="BM170" s="26" t="s">
        <v>864</v>
      </c>
      <c r="BN170" s="22"/>
      <c r="BO170" s="22">
        <v>44911</v>
      </c>
      <c r="BP170" s="21" t="s">
        <v>1380</v>
      </c>
      <c r="BQ170" s="222">
        <f t="shared" si="602"/>
        <v>0</v>
      </c>
      <c r="BR170" s="223">
        <f t="shared" si="603"/>
        <v>44911</v>
      </c>
      <c r="BS170" s="224">
        <f t="shared" si="604"/>
        <v>19.857142857142858</v>
      </c>
      <c r="BT170" s="216" t="str">
        <f t="shared" si="605"/>
        <v>II TRIM</v>
      </c>
      <c r="BU170" s="214" t="str">
        <f t="shared" ca="1" si="606"/>
        <v/>
      </c>
      <c r="BV170" s="25" t="s">
        <v>988</v>
      </c>
      <c r="BW170" s="22">
        <v>45149</v>
      </c>
      <c r="BX170" s="28">
        <v>34</v>
      </c>
      <c r="BY170" s="28"/>
      <c r="BZ170" s="22"/>
      <c r="CA170" s="21"/>
      <c r="CB170" s="26" t="s">
        <v>864</v>
      </c>
      <c r="CC170" s="26" t="s">
        <v>864</v>
      </c>
      <c r="CD170" s="26" t="s">
        <v>878</v>
      </c>
      <c r="CE170" s="26" t="s">
        <v>864</v>
      </c>
      <c r="CF170" s="22" t="s">
        <v>1517</v>
      </c>
      <c r="CG170" s="21">
        <v>1.58</v>
      </c>
      <c r="CH170" s="21">
        <v>66.900000000000006</v>
      </c>
      <c r="CI170" s="214">
        <f t="shared" si="607"/>
        <v>26.798589969556158</v>
      </c>
      <c r="CJ170" s="225" t="e">
        <f>IF(AND(CI170&lt;10,CH170="SD"),"SIN DATO PESO PREGESTACION O I TRIM",IF(AND(OR(R170&gt;0,O170&gt;0),CI170="X"),"INGRESAR DATO DE PESO",IF(CI170="SD","INGRESAR DATO DE TALLA Y PESO",IF(AND(OR(Tabla1[[#This Row],[MOMENTO EN QUE SE REALIZA EL PESO AL INGRESO A CPN]]="PREGESTACIÓN",NZ170="Menor"),CI170&lt;18.5),"BAJO PESO",IF(AND(OR(Tabla1[[#This Row],[MOMENTO EN QUE SE REALIZA EL PESO AL INGRESO A CPN]]="PREGESTACIÓN",NZ170="Menor"),CI170&lt;25),"NORMAL",IF(AND(OR(Tabla1[[#This Row],[MOMENTO EN QUE SE REALIZA EL PESO AL INGRESO A CPN]]="PREGESTACIÓN",NZ170="Menor"),CI170&lt;30),"SOBREPESO",IF(AND(OR(Tabla1[[#This Row],[MOMENTO EN QUE SE REALIZA EL PESO AL INGRESO A CPN]]="PREGESTACIÓN",NZ170="Menor"),CI170&gt;=30,CI170&lt;50),"OBESIDAD",IF(AND(BS170&gt;0,Tabla1[[#This Row],[MOMENTO EN QUE SE REALIZA EL PESO AL INGRESO A CPN]]="GESTACIÓN"),HLOOKUP(NZ170,$OA$2:PH170,NY170),""))))))))</f>
        <v>#REF!</v>
      </c>
      <c r="CK170" s="212">
        <f t="shared" si="608"/>
        <v>45149</v>
      </c>
      <c r="CL170" s="21">
        <v>72.5</v>
      </c>
      <c r="CM170" s="214">
        <f t="shared" si="609"/>
        <v>29.041820221118407</v>
      </c>
      <c r="CN170" s="216">
        <f t="shared" si="610"/>
        <v>34</v>
      </c>
      <c r="CO170" s="216" t="e">
        <f>IF(PI170="","",IF(PI170&gt;0,HLOOKUP(PI170,$PJ$2:QQ170,NY170),""))</f>
        <v>#REF!</v>
      </c>
      <c r="CP170" s="21">
        <v>30</v>
      </c>
      <c r="CQ170" s="216" t="e">
        <f>IF(QR170="Menor","NO APLICA-MENOR 13 SEM",IF(AND(CC170="SI",CN170&gt;23),"NO APLICA- GEMELAR",IF(QR170="","",IF(QR170&gt;0,HLOOKUP(QR170,$QS$2:RU170,NY170),""))))</f>
        <v>#REF!</v>
      </c>
      <c r="CR170" s="21"/>
      <c r="CS170" s="21"/>
      <c r="CT170" s="217" t="str">
        <f>IF(R170="","",IF(AND(BS170&gt;1,BS170&lt;12,Tabla1[[#This Row],[T.A. SISTOLICA - ANTES DE SEMANA 12]]="",Tabla1[[#This Row],[T.A. DIASTOLICA - ANTES DE SEMANA 12]]=""),"REGISTRE DATO TA ANTES SEMANA 12",IF(AND(BS170&gt;11,BS170&lt;43,Tabla1[[#This Row],[T.A. SISTOLICA - ANTES DE SEMANA 12]]="",Tabla1[[#This Row],[T.A. DIASTOLICA - ANTES DE SEMANA 12]]=""),"NO APLICA REGISTRO TA-INGRESO TARDIO",IF(AND(OR(O170&gt;0,R170&gt;0),OR(CR170&gt;=140,CS170&gt;=90)),"DEFINIR ESTADIO HTA",IF(AND(OR(O170&gt;0,R170&gt;0),AND(CR170&gt;120,CR170&lt;=139)),"PRE HTA SEGUIMIENTO",IF(AND(OR(O170&gt;0,R170&gt;0),AND(CS170&gt;80,CS170&lt;=89)),"PRE HTA SEGUIMIENTO",IF(AND(OR(O170&gt;0,R170&gt;0),AND(CR170&gt;=80,CR170&lt;=120)),"APARENTEMENTE NORMAL",IF(AND(OR(O170&gt;0,R170&gt;0),AND(CS170&gt;=50,CS170&lt;=80)),"APARENTEMENTE NORMAL",IF(AND(OR(O170&gt;0,R170&gt;0),AND(CR170&gt;1,CR170&lt;=70),AND(CS170&gt;1,CS170&lt;=40)),"HIPOTENSIÓN","")))))))))</f>
        <v>NO APLICA REGISTRO TA-INGRESO TARDIO</v>
      </c>
      <c r="CU170" s="21">
        <v>90</v>
      </c>
      <c r="CV170" s="21">
        <v>60</v>
      </c>
      <c r="CW170" s="217" t="str">
        <f ca="1">IF(R170="","",IF(AND(CN170&gt;19,CN170&lt;27,Tabla1[[#This Row],[T.A. SISTOLICA (Entre semana 20 y 26)]]="",Tabla1[[#This Row],[T.A. DIATOLICA (Entre semana 20 y 26)]]=""),"ACUDE A CONTROL SEM 20 A 26 REGISTRE TA AHORA",IF(AND(BS170&gt;1,BS170&lt;27,BU170&gt;19,Tabla1[[#This Row],[T.A. SISTOLICA (Entre semana 20 y 26)]]="",Tabla1[[#This Row],[T.A. DIATOLICA (Entre semana 20 y 26)]]=""),"COMPLETE REGISTRO TA CONTROL SEM 20 A26 ",IF(AND(BS170&gt;26,BS170&lt;43,Tabla1[[#This Row],[T.A. SISTOLICA (Entre semana 20 y 26)]]="",Tabla1[[#This Row],[T.A. DIATOLICA (Entre semana 20 y 26)]]=""),"NO APLICA REGISTRO TA-INGRESO TARDIO",IF(AND(OR(O170&gt;0,R170&gt;0),OR(CU170&gt;=140,CV170&gt;=90)),"ALTO RIESGO PREECLAMPSIA,DEFINIR ESTADIO HTA",IF(AND(OR(O170&gt;0,R170&gt;0),AND(CU170&gt;120,CU170&lt;=139)),"PRE HTA SEGUIMIENTO,RIESGO HIPERTENSION INDUCIDA POR EL EMBARAZO",IF(AND(OR(O170&gt;0,R170&gt;0),AND(CV170&gt;80,CV170&lt;=89)),"PRE HTA SEGUIMIENTO, RIESGO HIPERTENSION INDUCIDA POR EL EMBARAZO",IF(AND(OR(O170&lt;&gt;"",R170&lt;&gt;""),CS170&lt;&gt;"",CV170&lt;&gt;"",CS170&lt;=CV170),"VIGILAR CIFRAS PRESION ARTERIAL",IF(AND(OR(O170&gt;0,R170&gt;0),AND(CU170&gt;120,CU170&lt;=139)),"PRE HTA SEGUIMIENTO",IF(AND(OR(O170&gt;0,R170&gt;0),AND(CU170&gt;1,CU170&lt;=70),AND(CV170&gt;1,CV170&lt;=40)),"HIPOTENSIÓN",IF(AND(OR(O170&lt;&gt;"",R170&lt;&gt;""),CS170&lt;&gt;"",CV170&lt;&gt;"",CS170&gt;CV170),"APARENTEMENTE NORMAL",IF(AND(OR(O170&gt;0,R170&gt;0),AND(CU170&gt;=80,CU170&lt;=120)),"APARENTEMENTE NORMAL",IF(AND(OR(O170&gt;0,R170&gt;0),AND(CV170&gt;=50,CV170&lt;=80)),"APARENTEMENTE NORMAL","")))))))))))))</f>
        <v>APARENTEMENTE NORMAL</v>
      </c>
      <c r="CX170" s="21"/>
      <c r="CY170" s="21"/>
      <c r="CZ170" s="216" t="str">
        <f>IF(R170="","",IF(AND(CN170&gt;31,CN170&lt;35,CX170="",CY170=""),"ACUDE A CONTROL SEM 30 A 34- REGISTRE AHORA",IF(AND(BS170&gt;34,BS170&lt;43,#REF!="",#REF!=""),"NO APLICA-INGRESO TARDIO",IF(AND(OR(O170&gt;0,R170&gt;0),OR(CX170&gt;=140,CY170&gt;=90)),"ESTUDIO INMEDIATO HTA PARA DESCARTAR PREECLAMSIA",IF(AND(OR(O170&gt;0,R170&gt;0),AND(CX170&gt;=130,CX170&lt;=139)),"PRE HTA,RIESGO ALTO PREECLAMPSIA",IF(AND(OR(O170&gt;0,R170&gt;0),AND(CY170&gt;80,CY170&lt;=89)),"PRE HTA,RIESGO ALTO PREECLAMPSIA",IF(AND(OR(O170&gt;0,R170&gt;0),AND(CX170&gt;120,CX170&lt;=129)),"RANGO PREHIPERTENSIVO SEGUIMIENTO HTA",IF(AND(OR(O170&lt;&gt;"",R170&lt;&gt;""),CS170&lt;&gt;"",CY170&lt;&gt;"",CS170&lt;CY170),"VIGILAR CIFRAS PRESION ARTERIAL",IF(AND(OR(O170&lt;&gt;"",R170&lt;&gt;""),CS170&lt;&gt;"",CY170&lt;&gt;"",CS170=CY170),"APARENTEMENTE NORMAL",IF(AND(OR(O170&gt;0,R170&gt;0),CX170&gt;=80,CX170&lt;=120),"APARENTEMENTE NORMAL",IF(AND(OR(O170&gt;0,R170&gt;0),CY170&gt;=50,CY170&lt;=80),"APARENTEMENTE NORMAL","")))))))))))</f>
        <v>ACUDE A CONTROL SEM 30 A 34- REGISTRE AHORA</v>
      </c>
      <c r="DA170" s="21">
        <v>90</v>
      </c>
      <c r="DB170" s="21">
        <v>60</v>
      </c>
      <c r="DC170" s="217" t="str">
        <f t="shared" si="611"/>
        <v>APARENTEMENTE NORMAL</v>
      </c>
      <c r="DD170" s="22">
        <v>45050</v>
      </c>
      <c r="DE170" s="22">
        <v>45050</v>
      </c>
      <c r="DF170" s="22">
        <v>45050</v>
      </c>
      <c r="DG170" s="22">
        <v>45124</v>
      </c>
      <c r="DH170" s="22">
        <v>45149</v>
      </c>
      <c r="DI170" s="22"/>
      <c r="DJ170" s="22"/>
      <c r="DK170" s="22"/>
      <c r="DL170" s="22"/>
      <c r="DM170" s="22"/>
      <c r="DN170" s="22"/>
      <c r="DO170" s="22"/>
      <c r="DP170" s="22"/>
      <c r="DQ170" s="22"/>
      <c r="DR170" s="28"/>
      <c r="DS170" s="22"/>
      <c r="DT170" s="22"/>
      <c r="DU170" s="216" t="str">
        <f t="shared" ca="1" si="676"/>
        <v>CONCERTAR PLAN DE PARTO INMEDIATO</v>
      </c>
      <c r="DV170" s="226" t="str">
        <f t="shared" si="677"/>
        <v>ACTIVA INGRESO A CPN</v>
      </c>
      <c r="DW170"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70" s="216" t="e">
        <f t="shared" ca="1" si="612"/>
        <v>#REF!</v>
      </c>
      <c r="DY170" s="212">
        <f>IF(R170="","",IF(R170&gt;0,MAX(Tabla1[[#This Row],[FECHA C2]:[FECHA C13]],Tabla1[[#This Row],[FECHA CONSULTA PRIMERA VEZ PROGRAMA CPN ]])))</f>
        <v>45149</v>
      </c>
      <c r="DZ170" s="216">
        <f t="shared" si="613"/>
        <v>34</v>
      </c>
      <c r="EA170" s="222">
        <f>IF(R170&gt;0,SUM(COUNTA(DF170:DQ170)+COUNTA(Tabla1[[#This Row],[FECHA CONSULTA PRIMERA VEZ PROGRAMA CPN ]])),"")</f>
        <v>4</v>
      </c>
      <c r="EB170" s="222" t="str">
        <f t="shared" si="614"/>
        <v>SI</v>
      </c>
      <c r="EC170" s="214">
        <f t="shared" si="615"/>
        <v>7</v>
      </c>
      <c r="ED170" s="227">
        <f t="shared" si="616"/>
        <v>0.5714285714285714</v>
      </c>
      <c r="EE170" s="22">
        <v>45050</v>
      </c>
      <c r="EF170" s="22">
        <v>45149</v>
      </c>
      <c r="EG170" s="22">
        <v>45050</v>
      </c>
      <c r="EH170" s="22"/>
      <c r="EI170" s="22">
        <v>45050</v>
      </c>
      <c r="EJ170" s="22"/>
      <c r="EK170" s="22"/>
      <c r="EL170" s="21"/>
      <c r="EM170" s="21">
        <v>12.8</v>
      </c>
      <c r="EN170" s="22">
        <v>45128</v>
      </c>
      <c r="EO170" s="222">
        <f t="shared" si="617"/>
        <v>31</v>
      </c>
      <c r="EP170" s="214" t="str">
        <f t="shared" si="618"/>
        <v>NORMAL- SUMINISTRAR SULFATO FERROSO</v>
      </c>
      <c r="EQ170" s="216" t="str">
        <f t="shared" si="619"/>
        <v>III TRIM</v>
      </c>
      <c r="ER170" s="24"/>
      <c r="ES170" s="22"/>
      <c r="ET170" s="29" t="str">
        <f t="shared" ca="1" si="678"/>
        <v>TOMA DE HEMOGLOBINA TARDÍA</v>
      </c>
      <c r="EU170" s="25" t="str">
        <f t="shared" si="620"/>
        <v/>
      </c>
      <c r="EV170" s="24" t="s">
        <v>1510</v>
      </c>
      <c r="EW170" s="32">
        <v>45134</v>
      </c>
      <c r="EX170" s="22"/>
      <c r="EY170" s="29">
        <f t="shared" si="693"/>
        <v>31.857142857142858</v>
      </c>
      <c r="EZ170" s="25" t="str">
        <f t="shared" si="694"/>
        <v>SIN RIESGO DE ISOINMUNIZACIÓN</v>
      </c>
      <c r="FA170" s="21"/>
      <c r="FB170" s="22"/>
      <c r="FC170" s="29" t="str">
        <f t="shared" si="621"/>
        <v>TOMAR EXAMEN</v>
      </c>
      <c r="FD170" s="29"/>
      <c r="FE170" s="29"/>
      <c r="FF170" s="29"/>
      <c r="FG170" s="21" t="str">
        <f t="shared" ca="1" si="622"/>
        <v/>
      </c>
      <c r="FH170" s="31"/>
      <c r="FI170" s="29" t="str">
        <f t="shared" si="623"/>
        <v>TOMAR EXAMEN</v>
      </c>
      <c r="FJ170" s="22"/>
      <c r="FK170" s="22"/>
      <c r="FL170" s="29" t="str">
        <f t="shared" ca="1" si="624"/>
        <v>NO APLICA-INGRESO TARDIO</v>
      </c>
      <c r="FM170" s="22"/>
      <c r="FN170" s="22"/>
      <c r="FO170" s="29" t="str">
        <f t="shared" ca="1" si="679"/>
        <v>PIERDE TOMA DE TAMIZAJE</v>
      </c>
      <c r="FP170" s="22" t="s">
        <v>867</v>
      </c>
      <c r="FQ170" s="22">
        <v>45128</v>
      </c>
      <c r="FR170" s="29">
        <f t="shared" ca="1" si="680"/>
        <v>31</v>
      </c>
      <c r="FS170" s="22"/>
      <c r="FT170" s="32"/>
      <c r="FU170" s="29" t="str">
        <f>IF(AND(FJ170="",FM170="",FP170="",FS170=""),"",IF(OR(OR(Tabla1[[#This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70" s="28"/>
      <c r="FW170" s="22"/>
      <c r="FX170" s="29" t="str">
        <f t="shared" si="625"/>
        <v>TOMAR EXAMEN</v>
      </c>
      <c r="FY170" s="22"/>
      <c r="FZ170" s="22"/>
      <c r="GA170" s="29" t="str">
        <f t="shared" ca="1" si="692"/>
        <v>NO APLICA-INGRESO TARDIO</v>
      </c>
      <c r="GB170" s="22"/>
      <c r="GC170" s="22"/>
      <c r="GD170" s="29" t="str">
        <f t="shared" ca="1" si="681"/>
        <v>PIERDE TOMA DE TAMIZAJE</v>
      </c>
      <c r="GE170" s="22" t="s">
        <v>868</v>
      </c>
      <c r="GF170" s="22">
        <v>45134</v>
      </c>
      <c r="GG170" s="29">
        <f t="shared" ca="1" si="682"/>
        <v>31.857142857142858</v>
      </c>
      <c r="GH170" s="22"/>
      <c r="GI170" s="29"/>
      <c r="GJ170" s="22"/>
      <c r="GK170" s="22"/>
      <c r="GL170" s="22"/>
      <c r="GM170" s="22"/>
      <c r="GN170" s="28" t="s">
        <v>869</v>
      </c>
      <c r="GO170" s="22">
        <v>45128</v>
      </c>
      <c r="GP170" s="29">
        <f t="shared" si="626"/>
        <v>31</v>
      </c>
      <c r="GQ170" s="28" t="s">
        <v>869</v>
      </c>
      <c r="GR170" s="28" t="s">
        <v>869</v>
      </c>
      <c r="GS170" s="22" t="str">
        <f t="shared" si="728"/>
        <v>CONTROL Igm</v>
      </c>
      <c r="GT170" s="22">
        <v>45134</v>
      </c>
      <c r="GU170" s="29">
        <f t="shared" si="628"/>
        <v>31.857142857142858</v>
      </c>
      <c r="GV170" s="21" t="str">
        <f t="shared" si="629"/>
        <v>III TRIM</v>
      </c>
      <c r="GW170" s="28"/>
      <c r="GX170" s="30"/>
      <c r="GY170" s="21"/>
      <c r="GZ170" s="21"/>
      <c r="HA170" s="21"/>
      <c r="HB170" s="21"/>
      <c r="HC170" s="21"/>
      <c r="HD170" s="21"/>
      <c r="HE170" s="21"/>
      <c r="HF170" s="22"/>
      <c r="HG170" s="22" t="str">
        <f>IF(OR(O170&gt;0,R170&gt;0),CONCATENATE(IF(Tabla1[[#This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70" s="22" t="e">
        <f t="shared" si="630"/>
        <v>#REF!</v>
      </c>
      <c r="HI170" s="22" t="e">
        <f t="shared" ca="1" si="631"/>
        <v>#REF!</v>
      </c>
      <c r="HJ170" s="21" t="str">
        <f t="shared" ca="1" si="632"/>
        <v>**********************MULTIPARIDAD*****************</v>
      </c>
      <c r="HK170" s="21" t="str">
        <f t="shared" si="633"/>
        <v>SIN ANTECEDENTES DE RIESGO</v>
      </c>
      <c r="HL170" s="24" t="str">
        <f t="shared" si="634"/>
        <v>APARENTEMENTE NORMAL</v>
      </c>
      <c r="HM170" s="21" t="e">
        <f t="shared" ca="1" si="635"/>
        <v>#REF!</v>
      </c>
      <c r="HN170" s="30" t="str">
        <f t="shared" si="683"/>
        <v>ACTIVA INGRESO A CPN</v>
      </c>
      <c r="HO170" s="21"/>
      <c r="HP170" s="21"/>
      <c r="HQ170" s="349">
        <v>45050</v>
      </c>
      <c r="HR170" s="21" t="str">
        <f>IF(R170="","",IF(Tabla1[[#This Row],[ALARMA FACTORES DE RIESGO COMPLICACIONES HIPERTENSIVAS3]]="SIN ANTECEDENTES DE RIESGO","No Aplica para suministro de ASA",IF(AND(Tabla1[[#This Row],[FECHA INICIO DE SUMINISTRO DE ASA]]&gt;0,RV170&lt;12),"Inicia ASA ANTES de Sem 12",IF(AND(RV170&gt;11,RV170&lt;17,OR(HK170="RIESGO ALTO DE COMPLICACIONES HIPERTENSIVAS VER MANEJO GUIA SUMINISTRO ASA Y CALCIO",HK170="RIESGO MODERADO (2 O MAS CRITERIOS) VER MANEJO GUIA SUMINISTRO ASA Y CALCIO")),"Inicio oportuno de ASA",IF(AND(RV170&gt;12,OR(HK170="RIESGO ALTO DE COMPLICACIONES HIPERTENSIVAS VER MANEJO GUIA SUMINISTRO ASA Y CALCIO",HK170="RIESGO MODERADO (2 O MAS CRITERIOS) VER MANEJO GUIA SUMINISTRO ASA Y CALCIO")),"Inicio no oportuno mayor a 16 semanas",IF(AND(BU170&lt;12,OR(HK170="RIESGO ALTO DE COMPLICACIONES HIPERTENSIVAS VER MANEJO GUIA SUMINISTRO ASA Y CALCIO",HK170="RIESGO MODERADO (2 O MAS CRITERIOS) VER MANEJO GUIA SUMINISTRO ASA Y CALCIO")),"Pendiente Inicio de ASA a la semana 12",IF(AND(BU170&gt;11,BU170&lt;17,OR(HK170="RIESGO ALTO DE COMPLICACIONES HIPERTENSIVAS VER MANEJO GUIA SUMINISTRO ASA Y CALCIO",HK170="RIESGO MODERADO (2 O MAS CRITERIOS) VER MANEJO GUIA SUMINISTRO ASA Y CALCIO")),"Iniciar de inmediato ASA",IF(AND(BU170&gt;16,OR(HK170="RIESGO ALTO DE COMPLICACIONES HIPERTENSIVAS VER MANEJO GUIA SUMINISTRO ASA Y CALCIO",HK170="RIESGO MODERADO (2 O MAS CRITERIOS) VER MANEJO GUIA SUMINISTRO ASA Y CALCIO")),"Pierde Oportunidad, Inicio tardío de ASA","XXXXX"))))))))</f>
        <v>No Aplica para suministro de ASA</v>
      </c>
      <c r="HS170" s="22">
        <v>45050</v>
      </c>
      <c r="HT170" s="22" t="s">
        <v>870</v>
      </c>
      <c r="HU170" s="22"/>
      <c r="HV170" s="22"/>
      <c r="HW170" s="22">
        <v>45050</v>
      </c>
      <c r="HX170" s="22" t="s">
        <v>870</v>
      </c>
      <c r="HY170" s="22"/>
      <c r="HZ170" s="28" t="str">
        <f t="shared" si="636"/>
        <v>PENDIENTE CONSULTA</v>
      </c>
      <c r="IA170" s="26"/>
      <c r="IB170" s="26"/>
      <c r="IC170" s="111">
        <v>45063</v>
      </c>
      <c r="ID170" s="111">
        <v>45063</v>
      </c>
      <c r="IE170" s="22" t="str">
        <f t="shared" ca="1" si="637"/>
        <v>VACUNA APLICADA ENTRE SEMANA 20 Y SEMANA 26</v>
      </c>
      <c r="IF170" s="22">
        <v>45098</v>
      </c>
      <c r="IG170" s="22">
        <f t="shared" si="638"/>
        <v>45191</v>
      </c>
      <c r="IH170" s="29">
        <f t="shared" ca="1" si="639"/>
        <v>-41</v>
      </c>
      <c r="II170" s="22" t="str">
        <f t="shared" ca="1" si="640"/>
        <v>POSIBLEMENTE NACIO</v>
      </c>
      <c r="IJ170" s="22"/>
      <c r="IK170" s="21"/>
      <c r="IL170" s="21"/>
      <c r="IM170" s="34"/>
      <c r="IN170" s="22"/>
      <c r="IO170" s="21"/>
      <c r="IP170" s="29" t="str">
        <f t="shared" si="674"/>
        <v/>
      </c>
      <c r="IQ170" s="35"/>
      <c r="IR170" s="21"/>
      <c r="IS170" s="21"/>
      <c r="IT170" s="21"/>
      <c r="IU170" s="21"/>
      <c r="IV170" s="21"/>
      <c r="IW170" s="21"/>
      <c r="IX170" s="21"/>
      <c r="IY170" s="21"/>
      <c r="IZ170" s="21"/>
      <c r="JA170" s="21"/>
      <c r="JB170" s="30"/>
      <c r="JC170" s="21"/>
      <c r="JD170" s="36"/>
      <c r="JE170" s="21" t="str">
        <f t="shared" si="684"/>
        <v/>
      </c>
      <c r="JF170" s="30"/>
      <c r="JG170" s="21"/>
      <c r="JH170" s="21"/>
      <c r="JI170" s="21"/>
      <c r="JJ170" s="30"/>
      <c r="JK170" s="22"/>
      <c r="JL170" s="22"/>
      <c r="JM170" s="21"/>
      <c r="JN170" s="36"/>
      <c r="JO170" s="21" t="str">
        <f t="shared" si="685"/>
        <v/>
      </c>
      <c r="JP170" s="22"/>
      <c r="JQ170" s="21"/>
      <c r="JR170" s="21"/>
      <c r="JS170" s="21"/>
      <c r="JT170" s="30"/>
      <c r="JU170" s="22"/>
      <c r="JV170" s="22"/>
      <c r="JW170" s="33"/>
      <c r="JX170" s="28" t="str">
        <f t="shared" si="686"/>
        <v/>
      </c>
      <c r="JY170" s="33"/>
      <c r="JZ170" s="28" t="str">
        <f t="shared" si="687"/>
        <v/>
      </c>
      <c r="KA170" s="21"/>
      <c r="KB170" s="21"/>
      <c r="KC170" s="21"/>
      <c r="KD170" s="37"/>
      <c r="KE170" s="28"/>
      <c r="KF170" s="28"/>
      <c r="KG170" s="28"/>
      <c r="KH170" s="39"/>
      <c r="KI170" s="39"/>
      <c r="KJ170" s="66"/>
      <c r="KK170" s="39"/>
      <c r="KL170" s="39"/>
      <c r="KM170" s="66"/>
      <c r="KN170" s="39"/>
      <c r="KO170" s="39"/>
      <c r="KP170" s="39"/>
      <c r="KQ170" s="39"/>
      <c r="KR170" s="39"/>
      <c r="KS170" s="39"/>
      <c r="KT170" s="39"/>
      <c r="KU170" s="38"/>
      <c r="KV170" s="38"/>
      <c r="KW170" s="38"/>
      <c r="KX170" s="38"/>
      <c r="KY170" s="38"/>
      <c r="KZ170" s="38"/>
      <c r="LA170" s="38"/>
      <c r="LB170" s="38"/>
      <c r="LC170" s="38"/>
      <c r="LD170" s="38"/>
      <c r="LE170" s="38"/>
      <c r="LF170" s="38"/>
      <c r="LG170" s="38"/>
      <c r="LH170" s="38"/>
      <c r="LI170" s="38"/>
      <c r="LJ170" s="38"/>
      <c r="LK170" s="38"/>
      <c r="LL170" s="38"/>
      <c r="LM170" s="38"/>
      <c r="LN170" s="38"/>
      <c r="LO170" s="38"/>
      <c r="LP170" s="38"/>
      <c r="LQ170" s="38"/>
      <c r="LR170" s="38"/>
      <c r="LS170" s="38"/>
      <c r="LT170" s="38"/>
      <c r="LU170" s="38"/>
      <c r="LV170" s="38"/>
      <c r="LW170" s="38"/>
      <c r="LX170" s="38"/>
      <c r="LY170" s="38"/>
      <c r="LZ170" s="38"/>
      <c r="MA170" s="38"/>
      <c r="MB170" s="38"/>
      <c r="MC170" s="38"/>
      <c r="MD170" s="38"/>
      <c r="ME170" s="38"/>
      <c r="MF170" s="38"/>
      <c r="MG170" s="38"/>
      <c r="MH170" s="43">
        <f t="shared" si="697"/>
        <v>0</v>
      </c>
      <c r="MI170" s="43" t="str">
        <f t="shared" si="698"/>
        <v/>
      </c>
      <c r="MJ170" s="43" t="str">
        <f t="shared" si="699"/>
        <v/>
      </c>
      <c r="MK170" s="43">
        <f t="shared" si="700"/>
        <v>0</v>
      </c>
      <c r="ML17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70" s="43">
        <f t="shared" si="701"/>
        <v>19.857142857142858</v>
      </c>
      <c r="MN170" s="43">
        <f t="shared" si="702"/>
        <v>5</v>
      </c>
      <c r="MO170" s="43">
        <f t="shared" si="703"/>
        <v>2023</v>
      </c>
      <c r="MP170" s="43" t="str">
        <f t="shared" si="704"/>
        <v>II TRIMESTRE AÑO</v>
      </c>
      <c r="MQ170" s="43">
        <f t="shared" si="705"/>
        <v>22.015987735435829</v>
      </c>
      <c r="MR170" s="43">
        <f t="shared" si="706"/>
        <v>0</v>
      </c>
      <c r="MS170" s="43" t="str">
        <f t="shared" si="707"/>
        <v xml:space="preserve"> DE 20 A 24 AÑOS</v>
      </c>
      <c r="MT170" s="43">
        <f t="shared" si="708"/>
        <v>0</v>
      </c>
      <c r="MU170" s="43">
        <f t="shared" si="709"/>
        <v>1</v>
      </c>
      <c r="MV170" s="43">
        <f t="shared" si="710"/>
        <v>0</v>
      </c>
      <c r="MW170" s="43">
        <f t="shared" si="711"/>
        <v>0</v>
      </c>
      <c r="MX170" s="43" t="str">
        <f t="shared" si="712"/>
        <v/>
      </c>
      <c r="MY170" s="43" t="str">
        <f t="shared" ca="1" si="688"/>
        <v/>
      </c>
      <c r="MZ170" s="43" t="str">
        <f t="shared" si="713"/>
        <v/>
      </c>
      <c r="NA170" s="43">
        <f t="shared" si="714"/>
        <v>0</v>
      </c>
      <c r="NB170" s="43" t="str">
        <f t="shared" si="715"/>
        <v/>
      </c>
      <c r="NC170" s="43" t="str">
        <f t="shared" si="716"/>
        <v/>
      </c>
      <c r="ND170" s="43">
        <f t="shared" ca="1" si="717"/>
        <v>1</v>
      </c>
      <c r="NE170" s="43">
        <f>IF(OR(O170&gt;0,R170&gt;0),SUM(COUNTIF(Tabla1[[#This Row],[AÑOS AL INICIO5 CPN]],"&gt;=40"),COUNTIF(AS170,"0"),COUNTIF(AR170,"SI"),COUNTIF(CC170,"SI"),COUNTIF(BQ170,"&gt;119"),COUNTIF(CI170,"&gt;=35")),"")</f>
        <v>1</v>
      </c>
      <c r="NF170" s="43">
        <f t="shared" si="718"/>
        <v>21.714285714285715</v>
      </c>
      <c r="NG170" s="43">
        <f t="shared" si="719"/>
        <v>0</v>
      </c>
      <c r="NH170" s="43">
        <f t="shared" si="720"/>
        <v>238</v>
      </c>
      <c r="NI170"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CPN",P170="NO"),"Z",IF(AND(Tabla1[[#This Row],[CITA PROXIMO CONTROL]]="CITA MANUAL",Tabla1[[#This Row],[GESTANTES ACTUALES]]="ACTIVA INGRESO A CPN"),"W",IF(AND(Tabla1[[#This Row],[GESTANTES ACTUALES]]="SALIO PROGRAMA",IN170=""),"S",IF(AND(Tabla1[[#This Row],[CITA PROXIMO CONTROL]]&gt;0,IN170=""),(Tabla1[[#This Row],[CITA PROXIMO CONTROL]]-TODAY()),"SD"))))))))</f>
        <v>#REF!</v>
      </c>
      <c r="NJ170" s="43">
        <f>MONTH(Tabla1[[#This Row],[FECHA DE SALIDA  DEL PROGRAMA]])</f>
        <v>1</v>
      </c>
      <c r="NK170" s="43">
        <f>YEAR(Tabla1[[#This Row],[FECHA DE SALIDA  DEL PROGRAMA]])</f>
        <v>1900</v>
      </c>
      <c r="NL170" s="43" t="str">
        <f t="shared" si="721"/>
        <v>X</v>
      </c>
      <c r="NM170" s="43" t="str">
        <f t="shared" si="695"/>
        <v>NO</v>
      </c>
      <c r="NN170" s="43" t="str">
        <f ca="1">IF(AND(O170&gt;0,R170=""),"NO CPN",IF(AND(O170="",R170=""),"",IF(AND(R170&gt;0,Tabla1[[#This Row],[SEMANAS DE GESTACION ACTUALIZADAS]]&lt;=12),"NO APLICA",IF(AND(FH170&lt;&gt;"",FN170&lt;&gt;""),"SI","NO"))))</f>
        <v>NO</v>
      </c>
      <c r="NO170" s="43" t="str">
        <f ca="1">IF(AND(O170&gt;0,R170=""),"NO CPN",IF(AND(O170="",R170=""),"",IF(AND(R170&gt;0,Tabla1[[#This Row],[SEMANAS DE GESTACION ACTUALIZADAS]]&lt;=27),"NO APLICA",IF(AND(ES170&lt;&gt;"",FQ170&lt;&gt;"",GF170&lt;&gt;""),"SI","NO"))))</f>
        <v>NO</v>
      </c>
      <c r="NP170" s="204" t="str">
        <f t="shared" si="722"/>
        <v>II TRIM</v>
      </c>
      <c r="NQ170"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170" s="21" t="str">
        <f t="shared" ca="1" si="689"/>
        <v>REVISAR FUM O FECHA SALIDA PROGRAMA</v>
      </c>
      <c r="NS170" s="205">
        <f t="shared" ca="1" si="723"/>
        <v>1</v>
      </c>
      <c r="NT170" s="21">
        <f t="shared" ca="1" si="724"/>
        <v>1</v>
      </c>
      <c r="NU170" s="21" t="str">
        <f t="shared" ca="1" si="725"/>
        <v>POR DEFINIR</v>
      </c>
      <c r="NV170" s="21" t="str">
        <f t="shared" ca="1" si="726"/>
        <v>POR DEFINIR</v>
      </c>
      <c r="NW170" s="206" t="str">
        <f>IF(AND(O170="",R170=""),"",IF(OR(AND(Tabla1[[#This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70" s="207" t="str">
        <f t="shared" ca="1" si="727"/>
        <v>VACUNADA</v>
      </c>
      <c r="NY170" s="43">
        <f>ROW(Tabla1[[#This Row],['# DE TAMIZAJES SIFILIS TOMADOS ]])</f>
        <v>170</v>
      </c>
      <c r="NZ170" s="43">
        <f t="shared" si="502"/>
        <v>19</v>
      </c>
      <c r="OA170" s="43" t="str">
        <f t="shared" si="503"/>
        <v/>
      </c>
      <c r="OB170" s="43" t="str">
        <f t="shared" si="504"/>
        <v/>
      </c>
      <c r="OC170" s="43" t="str">
        <f t="shared" si="505"/>
        <v/>
      </c>
      <c r="OD170" s="43" t="str">
        <f t="shared" si="506"/>
        <v/>
      </c>
      <c r="OE170" s="43" t="str">
        <f t="shared" si="507"/>
        <v/>
      </c>
      <c r="OF170" s="43" t="str">
        <f t="shared" si="508"/>
        <v/>
      </c>
      <c r="OG170" s="43" t="str">
        <f t="shared" si="509"/>
        <v/>
      </c>
      <c r="OH170" s="43" t="str">
        <f t="shared" si="510"/>
        <v/>
      </c>
      <c r="OI170" s="43" t="str">
        <f t="shared" si="511"/>
        <v/>
      </c>
      <c r="OJ170" s="43" t="str">
        <f t="shared" si="512"/>
        <v/>
      </c>
      <c r="OK170" s="43" t="str">
        <f t="shared" si="513"/>
        <v>SOBREPESO</v>
      </c>
      <c r="OL170" s="43" t="str">
        <f t="shared" si="514"/>
        <v/>
      </c>
      <c r="OM170" s="43" t="str">
        <f t="shared" si="515"/>
        <v/>
      </c>
      <c r="ON170" s="43" t="str">
        <f t="shared" si="516"/>
        <v/>
      </c>
      <c r="OO170" s="43" t="str">
        <f t="shared" si="517"/>
        <v/>
      </c>
      <c r="OP170" s="43" t="str">
        <f t="shared" si="518"/>
        <v/>
      </c>
      <c r="OQ170" s="43" t="str">
        <f t="shared" si="519"/>
        <v/>
      </c>
      <c r="OR170" s="43" t="str">
        <f t="shared" si="520"/>
        <v/>
      </c>
      <c r="OS170" s="43" t="str">
        <f t="shared" si="521"/>
        <v/>
      </c>
      <c r="OT170" s="43" t="str">
        <f t="shared" si="522"/>
        <v/>
      </c>
      <c r="OU170" s="43" t="str">
        <f t="shared" si="523"/>
        <v/>
      </c>
      <c r="OV170" s="110" t="str">
        <f t="shared" si="524"/>
        <v/>
      </c>
      <c r="OW170" s="43" t="str">
        <f t="shared" si="525"/>
        <v/>
      </c>
      <c r="OX170" s="43" t="str">
        <f t="shared" si="526"/>
        <v/>
      </c>
      <c r="OY170" s="43" t="str">
        <f t="shared" si="527"/>
        <v/>
      </c>
      <c r="OZ170" s="43" t="str">
        <f t="shared" si="528"/>
        <v/>
      </c>
      <c r="PA170" s="43" t="str">
        <f t="shared" si="529"/>
        <v/>
      </c>
      <c r="PB170" s="43" t="str">
        <f t="shared" si="530"/>
        <v/>
      </c>
      <c r="PC170" s="43" t="str">
        <f t="shared" si="531"/>
        <v/>
      </c>
      <c r="PD170" s="43" t="str">
        <f t="shared" si="532"/>
        <v/>
      </c>
      <c r="PE170" s="43" t="str">
        <f t="shared" si="533"/>
        <v/>
      </c>
      <c r="PF170" s="43" t="str">
        <f t="shared" si="534"/>
        <v/>
      </c>
      <c r="PG170" s="43" t="str">
        <f t="shared" si="535"/>
        <v/>
      </c>
      <c r="PH170" s="43" t="str">
        <f t="shared" si="536"/>
        <v/>
      </c>
      <c r="PI170" s="43">
        <f t="shared" si="537"/>
        <v>34</v>
      </c>
      <c r="PJ170" s="43" t="str">
        <f t="shared" si="538"/>
        <v/>
      </c>
      <c r="PK170" s="43" t="str">
        <f t="shared" si="539"/>
        <v/>
      </c>
      <c r="PL170" s="43" t="str">
        <f t="shared" si="540"/>
        <v/>
      </c>
      <c r="PM170" s="43" t="str">
        <f t="shared" si="541"/>
        <v/>
      </c>
      <c r="PN170" s="43" t="str">
        <f t="shared" si="542"/>
        <v/>
      </c>
      <c r="PO170" s="43" t="str">
        <f t="shared" si="543"/>
        <v/>
      </c>
      <c r="PP170" s="43" t="str">
        <f t="shared" si="544"/>
        <v/>
      </c>
      <c r="PQ170" s="43" t="str">
        <f t="shared" si="545"/>
        <v/>
      </c>
      <c r="PR170" s="43" t="str">
        <f t="shared" si="546"/>
        <v/>
      </c>
      <c r="PS170" s="43" t="str">
        <f t="shared" si="547"/>
        <v/>
      </c>
      <c r="PT170" s="43" t="str">
        <f t="shared" si="548"/>
        <v/>
      </c>
      <c r="PU170" s="43" t="str">
        <f t="shared" si="549"/>
        <v/>
      </c>
      <c r="PV170" s="43" t="str">
        <f t="shared" si="550"/>
        <v/>
      </c>
      <c r="PW170" s="43" t="str">
        <f t="shared" si="551"/>
        <v/>
      </c>
      <c r="PX170" s="43" t="str">
        <f t="shared" si="552"/>
        <v/>
      </c>
      <c r="PY170" s="43" t="str">
        <f t="shared" si="553"/>
        <v/>
      </c>
      <c r="PZ170" s="43" t="str">
        <f t="shared" si="554"/>
        <v/>
      </c>
      <c r="QA170" s="43" t="str">
        <f t="shared" si="555"/>
        <v/>
      </c>
      <c r="QB170" s="43" t="str">
        <f t="shared" si="556"/>
        <v/>
      </c>
      <c r="QC170" s="43" t="str">
        <f t="shared" si="557"/>
        <v/>
      </c>
      <c r="QD170" s="43" t="str">
        <f t="shared" si="558"/>
        <v/>
      </c>
      <c r="QE170" s="43" t="str">
        <f t="shared" si="559"/>
        <v/>
      </c>
      <c r="QF170" s="43" t="str">
        <f t="shared" si="560"/>
        <v/>
      </c>
      <c r="QG170" s="43" t="str">
        <f t="shared" si="561"/>
        <v/>
      </c>
      <c r="QH170" s="43" t="str">
        <f t="shared" si="562"/>
        <v/>
      </c>
      <c r="QI170" s="43" t="str">
        <f t="shared" si="563"/>
        <v>SOBREPESO</v>
      </c>
      <c r="QJ170" s="43" t="str">
        <f t="shared" si="564"/>
        <v/>
      </c>
      <c r="QK170" s="43" t="str">
        <f t="shared" si="565"/>
        <v/>
      </c>
      <c r="QL170" s="43" t="str">
        <f t="shared" si="566"/>
        <v/>
      </c>
      <c r="QM170" s="43" t="str">
        <f t="shared" si="567"/>
        <v/>
      </c>
      <c r="QN170" s="43" t="str">
        <f t="shared" si="568"/>
        <v/>
      </c>
      <c r="QO170" s="43" t="str">
        <f t="shared" si="569"/>
        <v/>
      </c>
      <c r="QP170" s="43" t="str">
        <f t="shared" si="570"/>
        <v/>
      </c>
      <c r="QQ170" s="43" t="str">
        <f t="shared" si="571"/>
        <v/>
      </c>
      <c r="QR170" s="43">
        <f t="shared" si="672"/>
        <v>34</v>
      </c>
      <c r="QS170" s="43"/>
      <c r="QT170" s="21" t="str">
        <f t="shared" si="572"/>
        <v/>
      </c>
      <c r="QU170" s="21" t="str">
        <f t="shared" si="573"/>
        <v/>
      </c>
      <c r="QV170" s="21" t="str">
        <f t="shared" si="574"/>
        <v/>
      </c>
      <c r="QW170" s="21" t="str">
        <f t="shared" si="575"/>
        <v/>
      </c>
      <c r="QX170" s="21" t="str">
        <f t="shared" si="576"/>
        <v/>
      </c>
      <c r="QY170" s="21" t="str">
        <f t="shared" si="577"/>
        <v/>
      </c>
      <c r="QZ170" s="21" t="str">
        <f t="shared" si="578"/>
        <v/>
      </c>
      <c r="RA170" s="21" t="str">
        <f t="shared" si="579"/>
        <v/>
      </c>
      <c r="RB170" s="21" t="str">
        <f t="shared" si="580"/>
        <v/>
      </c>
      <c r="RC170" s="21" t="str">
        <f t="shared" si="581"/>
        <v/>
      </c>
      <c r="RD170" s="21" t="str">
        <f t="shared" si="582"/>
        <v/>
      </c>
      <c r="RE170" s="21" t="str">
        <f t="shared" si="583"/>
        <v/>
      </c>
      <c r="RF170" s="21" t="str">
        <f t="shared" si="584"/>
        <v/>
      </c>
      <c r="RG170" s="21" t="str">
        <f t="shared" si="585"/>
        <v/>
      </c>
      <c r="RH170" s="21" t="str">
        <f t="shared" si="586"/>
        <v/>
      </c>
      <c r="RI170" s="21" t="str">
        <f t="shared" si="587"/>
        <v/>
      </c>
      <c r="RJ170" s="21" t="str">
        <f t="shared" si="588"/>
        <v/>
      </c>
      <c r="RK170" s="21" t="str">
        <f t="shared" si="589"/>
        <v/>
      </c>
      <c r="RL170" s="21" t="str">
        <f t="shared" si="590"/>
        <v/>
      </c>
      <c r="RM170" s="21" t="str">
        <f t="shared" si="591"/>
        <v/>
      </c>
      <c r="RN170" s="21" t="str">
        <f t="shared" si="592"/>
        <v/>
      </c>
      <c r="RO170" s="21" t="str">
        <f t="shared" si="593"/>
        <v>ADECUADO PARA EDAD GESTACIONAL</v>
      </c>
      <c r="RP170" s="21" t="str">
        <f t="shared" si="594"/>
        <v/>
      </c>
      <c r="RQ170" s="21" t="str">
        <f t="shared" si="595"/>
        <v/>
      </c>
      <c r="RR170" s="21" t="str">
        <f t="shared" si="596"/>
        <v/>
      </c>
      <c r="RS170" s="21" t="str">
        <f t="shared" si="597"/>
        <v/>
      </c>
      <c r="RT170" s="21" t="str">
        <f t="shared" si="598"/>
        <v/>
      </c>
      <c r="RU170" s="21" t="str">
        <f t="shared" si="599"/>
        <v/>
      </c>
      <c r="RV170" s="21">
        <f t="shared" si="600"/>
        <v>19.857142857142858</v>
      </c>
      <c r="RW170" s="284">
        <f>IF(OR(Tabla1[[#This Row],[FUM FORMULA CONFIABLE]]="",Tabla1[[#This Row],[FUM FORMULA CONFIABLE]]="SD"),"",IF(Tabla1[[#This Row],[FUM FORMULA CONFIABLE]]="CORREGIDA",Tabla1[[#This Row],[FUM X ECO 1]],Tabla1[[#This Row],[FUM x AMENORREA]]))</f>
        <v>44911</v>
      </c>
      <c r="RX170" s="21">
        <f>IF(AND(Tabla1[[#This Row],[FUM X ECO 1]]="",Tabla1[[#This Row],[FUM x AMENORREA]]=""),"",IF(AND(Tabla1[[#This Row],[FUM X ECO 1]]="",Tabla1[[#This Row],[FUM x AMENORREA]]&lt;&gt;""),"X",SUM(Tabla1[[#This Row],[FUM X ECO 1]]-Tabla1[[#This Row],[FUM x AMENORREA]])))</f>
        <v>0</v>
      </c>
      <c r="RY170" s="21">
        <f t="shared" si="673"/>
        <v>0</v>
      </c>
    </row>
    <row r="171" spans="1:493" ht="45" customHeight="1" x14ac:dyDescent="0.25">
      <c r="A171" s="109"/>
      <c r="B171" s="43"/>
      <c r="C171" s="43" t="s">
        <v>845</v>
      </c>
      <c r="D171" s="124"/>
      <c r="E171" s="43" t="s">
        <v>914</v>
      </c>
      <c r="F171" s="43" t="s">
        <v>1276</v>
      </c>
      <c r="G171" s="43" t="s">
        <v>938</v>
      </c>
      <c r="H171" s="43" t="s">
        <v>1484</v>
      </c>
      <c r="I171" s="109" t="s">
        <v>851</v>
      </c>
      <c r="J171" s="110">
        <v>1002846249</v>
      </c>
      <c r="K171" s="43" t="s">
        <v>852</v>
      </c>
      <c r="L171" s="175" t="s">
        <v>1509</v>
      </c>
      <c r="M171" s="22">
        <v>31760</v>
      </c>
      <c r="N171" s="213">
        <f t="shared" ca="1" si="601"/>
        <v>36.909589041095892</v>
      </c>
      <c r="O171" s="22">
        <v>45056</v>
      </c>
      <c r="P171" s="214" t="str">
        <f t="shared" si="675"/>
        <v>SI</v>
      </c>
      <c r="Q171" s="26" t="s">
        <v>855</v>
      </c>
      <c r="R171" s="22">
        <v>45056</v>
      </c>
      <c r="S171" s="21" t="s">
        <v>856</v>
      </c>
      <c r="T171" s="24" t="s">
        <v>690</v>
      </c>
      <c r="U171" s="21" t="s">
        <v>857</v>
      </c>
      <c r="V171" s="21" t="s">
        <v>858</v>
      </c>
      <c r="W171" s="21" t="s">
        <v>893</v>
      </c>
      <c r="X171" s="21"/>
      <c r="Y171" s="21" t="s">
        <v>859</v>
      </c>
      <c r="Z171" s="21" t="s">
        <v>894</v>
      </c>
      <c r="AA171" s="21" t="s">
        <v>860</v>
      </c>
      <c r="AB171" s="27" t="s">
        <v>861</v>
      </c>
      <c r="AC171" s="26" t="s">
        <v>846</v>
      </c>
      <c r="AD171" s="38" t="s">
        <v>1546</v>
      </c>
      <c r="AE171" s="26" t="s">
        <v>854</v>
      </c>
      <c r="AF171" s="26" t="s">
        <v>854</v>
      </c>
      <c r="AG171" s="23" t="s">
        <v>864</v>
      </c>
      <c r="AH171" s="23" t="s">
        <v>864</v>
      </c>
      <c r="AI171" s="24" t="s">
        <v>863</v>
      </c>
      <c r="AJ171" s="23" t="s">
        <v>864</v>
      </c>
      <c r="AK171" s="220" t="str">
        <f>IF(AND(AD171="",AE171="",AF171="",AG171="",AH171="",AI171="",AJ171=""),"",IF(OR(Tabla1[[#This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EVALUACIÓN",IF(AND(O171="",R171=""),"",IF(AND(OR(O171&gt;0,R171&gt;0),NG171&gt;=0,NG171&lt;2),"SIN RIESGO",IF(AND(OR(O171&gt;0,R171&gt;0),NG171&gt;=2),"CON RIESGO","ASD")))))</f>
        <v>SIN RIESGO</v>
      </c>
      <c r="AL171" s="23" t="s">
        <v>864</v>
      </c>
      <c r="AM171" s="26" t="s">
        <v>864</v>
      </c>
      <c r="AN171" s="26" t="s">
        <v>864</v>
      </c>
      <c r="AO171" s="26" t="s">
        <v>864</v>
      </c>
      <c r="AP171" s="26" t="s">
        <v>864</v>
      </c>
      <c r="AQ171" s="26" t="s">
        <v>864</v>
      </c>
      <c r="AR171" s="26" t="s">
        <v>864</v>
      </c>
      <c r="AS171" s="21">
        <v>3</v>
      </c>
      <c r="AT171" s="21">
        <v>3</v>
      </c>
      <c r="AU171" s="21">
        <v>0</v>
      </c>
      <c r="AV171" s="26" t="s">
        <v>864</v>
      </c>
      <c r="AW171" s="21">
        <v>0</v>
      </c>
      <c r="AX171" s="26" t="s">
        <v>864</v>
      </c>
      <c r="AY171" s="26" t="s">
        <v>864</v>
      </c>
      <c r="AZ171" s="26" t="s">
        <v>864</v>
      </c>
      <c r="BA171" s="26" t="s">
        <v>864</v>
      </c>
      <c r="BB171" s="26" t="s">
        <v>864</v>
      </c>
      <c r="BC171" s="26" t="s">
        <v>864</v>
      </c>
      <c r="BD171" s="26" t="s">
        <v>864</v>
      </c>
      <c r="BE171" s="26" t="s">
        <v>864</v>
      </c>
      <c r="BF171" s="26" t="s">
        <v>864</v>
      </c>
      <c r="BG171" s="26" t="s">
        <v>864</v>
      </c>
      <c r="BH171" s="26" t="s">
        <v>864</v>
      </c>
      <c r="BI171" s="26" t="s">
        <v>864</v>
      </c>
      <c r="BJ171" s="26" t="s">
        <v>864</v>
      </c>
      <c r="BK171" s="26" t="s">
        <v>864</v>
      </c>
      <c r="BL171" s="26" t="s">
        <v>864</v>
      </c>
      <c r="BM171" s="26" t="s">
        <v>864</v>
      </c>
      <c r="BN171" s="22">
        <v>44508</v>
      </c>
      <c r="BO171" s="22">
        <v>44916</v>
      </c>
      <c r="BP171" s="21" t="s">
        <v>854</v>
      </c>
      <c r="BQ171" s="222">
        <f t="shared" si="602"/>
        <v>13.6</v>
      </c>
      <c r="BR171" s="223">
        <f t="shared" si="603"/>
        <v>44915.9</v>
      </c>
      <c r="BS171" s="224">
        <f t="shared" si="604"/>
        <v>20</v>
      </c>
      <c r="BT171" s="216" t="str">
        <f t="shared" si="605"/>
        <v>II TRIM</v>
      </c>
      <c r="BU171" s="214" t="str">
        <f t="shared" ca="1" si="606"/>
        <v/>
      </c>
      <c r="BV171" s="25" t="s">
        <v>988</v>
      </c>
      <c r="BW171" s="22">
        <v>45121</v>
      </c>
      <c r="BX171" s="28">
        <v>29.3</v>
      </c>
      <c r="BY171" s="28"/>
      <c r="BZ171" s="22"/>
      <c r="CA171" s="21"/>
      <c r="CB171" s="26" t="s">
        <v>864</v>
      </c>
      <c r="CC171" s="26" t="s">
        <v>864</v>
      </c>
      <c r="CD171" s="26"/>
      <c r="CE171" s="26" t="s">
        <v>864</v>
      </c>
      <c r="CF171" s="22" t="s">
        <v>1517</v>
      </c>
      <c r="CG171" s="21">
        <v>1.49</v>
      </c>
      <c r="CH171" s="21">
        <v>58.5</v>
      </c>
      <c r="CI171" s="214">
        <f t="shared" si="607"/>
        <v>26.350164407008695</v>
      </c>
      <c r="CJ171" s="225" t="e">
        <f>IF(AND(CI171&lt;10,CH171="SD"),"SIN DATO PESO PREGESTACION O I TRIM",IF(AND(OR(R171&gt;0,O171&gt;0),CI171="X"),"INGRESAR DATO DE PESO",IF(CI171="SD","INGRESAR DATO DE TALLA Y PESO",IF(AND(OR(Tabla1[[#This Row],[MOMENTO EN QUE SE REALIZA EL PESO AL INGRESO A CPN]]="PREGESTACIÓN",NZ171="Menor"),CI171&lt;18.5),"BAJO PESO",IF(AND(OR(Tabla1[[#This Row],[MOMENTO EN QUE SE REALIZA EL PESO AL INGRESO A CPN]]="PREGESTACIÓN",NZ171="Menor"),CI171&lt;25),"NORMAL",IF(AND(OR(Tabla1[[#This Row],[MOMENTO EN QUE SE REALIZA EL PESO AL INGRESO A CPN]]="PREGESTACIÓN",NZ171="Menor"),CI171&lt;30),"SOBREPESO",IF(AND(OR(Tabla1[[#This Row],[MOMENTO EN QUE SE REALIZA EL PESO AL INGRESO A CPN]]="PREGESTACIÓN",NZ171="Menor"),CI171&gt;=30,CI171&lt;50),"OBESIDAD",IF(AND(BS171&gt;0,Tabla1[[#This Row],[MOMENTO EN QUE SE REALIZA EL PESO AL INGRESO A CPN]]="GESTACIÓN"),HLOOKUP(NZ171,$OA$2:PH171,NY171),""))))))))</f>
        <v>#REF!</v>
      </c>
      <c r="CK171" s="212">
        <f t="shared" si="608"/>
        <v>45149</v>
      </c>
      <c r="CL171" s="21">
        <v>62</v>
      </c>
      <c r="CM171" s="214">
        <f t="shared" si="609"/>
        <v>27.92666996982118</v>
      </c>
      <c r="CN171" s="216">
        <f t="shared" si="610"/>
        <v>33</v>
      </c>
      <c r="CO171" s="216" t="e">
        <f>IF(PI171="","",IF(PI171&gt;0,HLOOKUP(PI171,$PJ$2:QQ171,NY171),""))</f>
        <v>#REF!</v>
      </c>
      <c r="CP171" s="21">
        <v>33</v>
      </c>
      <c r="CQ171" s="216" t="e">
        <f>IF(QR171="Menor","NO APLICA-MENOR 13 SEM",IF(AND(CC171="SI",CN171&gt;23),"NO APLICA- GEMELAR",IF(QR171="","",IF(QR171&gt;0,HLOOKUP(QR171,$QS$2:RU171,NY171),""))))</f>
        <v>#REF!</v>
      </c>
      <c r="CR171" s="21"/>
      <c r="CS171" s="21"/>
      <c r="CT171" s="217" t="str">
        <f>IF(R171="","",IF(AND(BS171&gt;1,BS171&lt;12,Tabla1[[#This Row],[T.A. SISTOLICA - ANTES DE SEMANA 12]]="",Tabla1[[#This Row],[T.A. DIASTOLICA - ANTES DE SEMANA 12]]=""),"REGISTRE DATO TA ANTES SEMANA 12",IF(AND(BS171&gt;11,BS171&lt;43,Tabla1[[#This Row],[T.A. SISTOLICA - ANTES DE SEMANA 12]]="",Tabla1[[#This Row],[T.A. DIASTOLICA - ANTES DE SEMANA 12]]=""),"NO APLICA REGISTRO TA-INGRESO TARDIO",IF(AND(OR(O171&gt;0,R171&gt;0),OR(CR171&gt;=140,CS171&gt;=90)),"DEFINIR ESTADIO HTA",IF(AND(OR(O171&gt;0,R171&gt;0),AND(CR171&gt;120,CR171&lt;=139)),"PRE HTA SEGUIMIENTO",IF(AND(OR(O171&gt;0,R171&gt;0),AND(CS171&gt;80,CS171&lt;=89)),"PRE HTA SEGUIMIENTO",IF(AND(OR(O171&gt;0,R171&gt;0),AND(CR171&gt;=80,CR171&lt;=120)),"APARENTEMENTE NORMAL",IF(AND(OR(O171&gt;0,R171&gt;0),AND(CS171&gt;=50,CS171&lt;=80)),"APARENTEMENTE NORMAL",IF(AND(OR(O171&gt;0,R171&gt;0),AND(CR171&gt;1,CR171&lt;=70),AND(CS171&gt;1,CS171&lt;=40)),"HIPOTENSIÓN","")))))))))</f>
        <v>NO APLICA REGISTRO TA-INGRESO TARDIO</v>
      </c>
      <c r="CU171" s="21">
        <v>100</v>
      </c>
      <c r="CV171" s="21">
        <v>60</v>
      </c>
      <c r="CW171" s="217" t="str">
        <f ca="1">IF(R171="","",IF(AND(CN171&gt;19,CN171&lt;27,Tabla1[[#This Row],[T.A. SISTOLICA (Entre semana 20 y 26)]]="",Tabla1[[#This Row],[T.A. DIATOLICA (Entre semana 20 y 26)]]=""),"ACUDE A CONTROL SEM 20 A 26 REGISTRE TA AHORA",IF(AND(BS171&gt;1,BS171&lt;27,BU171&gt;19,Tabla1[[#This Row],[T.A. SISTOLICA (Entre semana 20 y 26)]]="",Tabla1[[#This Row],[T.A. DIATOLICA (Entre semana 20 y 26)]]=""),"COMPLETE REGISTRO TA CONTROL SEM 20 A26 ",IF(AND(BS171&gt;26,BS171&lt;43,Tabla1[[#This Row],[T.A. SISTOLICA (Entre semana 20 y 26)]]="",Tabla1[[#This Row],[T.A. DIATOLICA (Entre semana 20 y 26)]]=""),"NO APLICA REGISTRO TA-INGRESO TARDIO",IF(AND(OR(O171&gt;0,R171&gt;0),OR(CU171&gt;=140,CV171&gt;=90)),"ALTO RIESGO PREECLAMPSIA,DEFINIR ESTADIO HTA",IF(AND(OR(O171&gt;0,R171&gt;0),AND(CU171&gt;120,CU171&lt;=139)),"PRE HTA SEGUIMIENTO,RIESGO HIPERTENSION INDUCIDA POR EL EMBARAZO",IF(AND(OR(O171&gt;0,R171&gt;0),AND(CV171&gt;80,CV171&lt;=89)),"PRE HTA SEGUIMIENTO, RIESGO HIPERTENSION INDUCIDA POR EL EMBARAZO",IF(AND(OR(O171&lt;&gt;"",R171&lt;&gt;""),CS171&lt;&gt;"",CV171&lt;&gt;"",CS171&lt;=CV171),"VIGILAR CIFRAS PRESION ARTERIAL",IF(AND(OR(O171&gt;0,R171&gt;0),AND(CU171&gt;120,CU171&lt;=139)),"PRE HTA SEGUIMIENTO",IF(AND(OR(O171&gt;0,R171&gt;0),AND(CU171&gt;1,CU171&lt;=70),AND(CV171&gt;1,CV171&lt;=40)),"HIPOTENSIÓN",IF(AND(OR(O171&lt;&gt;"",R171&lt;&gt;""),CS171&lt;&gt;"",CV171&lt;&gt;"",CS171&gt;CV171),"APARENTEMENTE NORMAL",IF(AND(OR(O171&gt;0,R171&gt;0),AND(CU171&gt;=80,CU171&lt;=120)),"APARENTEMENTE NORMAL",IF(AND(OR(O171&gt;0,R171&gt;0),AND(CV171&gt;=50,CV171&lt;=80)),"APARENTEMENTE NORMAL","")))))))))))))</f>
        <v>APARENTEMENTE NORMAL</v>
      </c>
      <c r="CX171" s="21">
        <v>100</v>
      </c>
      <c r="CY171" s="21">
        <v>60</v>
      </c>
      <c r="CZ171" s="216" t="str">
        <f t="shared" ref="CZ171:CZ198" si="729">IF(R171="","",IF(AND(CN171&gt;31,CN171&lt;35,CX171="",CY171=""),"ACUDE A CONTROL SEM 30 A 34- REGISTRE AHORA",IF(AND(BS171&gt;34,BS171&lt;43,CX172="",CY172=""),"NO APLICA-INGRESO TARDIO",IF(AND(OR(O171&gt;0,R171&gt;0),OR(CX171&gt;=140,CY171&gt;=90)),"ESTUDIO INMEDIATO HTA PARA DESCARTAR PREECLAMSIA",IF(AND(OR(O171&gt;0,R171&gt;0),AND(CX171&gt;=130,CX171&lt;=139)),"PRE HTA,RIESGO ALTO PREECLAMPSIA",IF(AND(OR(O171&gt;0,R171&gt;0),AND(CY171&gt;80,CY171&lt;=89)),"PRE HTA,RIESGO ALTO PREECLAMPSIA",IF(AND(OR(O171&gt;0,R171&gt;0),AND(CX171&gt;120,CX171&lt;=129)),"RANGO PREHIPERTENSIVO SEGUIMIENTO HTA",IF(AND(OR(O171&lt;&gt;"",R171&lt;&gt;""),CS171&lt;&gt;"",CY171&lt;&gt;"",CS171&lt;CY171),"VIGILAR CIFRAS PRESION ARTERIAL",IF(AND(OR(O171&lt;&gt;"",R171&lt;&gt;""),CS171&lt;&gt;"",CY171&lt;&gt;"",CS171=CY171),"APARENTEMENTE NORMAL",IF(AND(OR(O171&gt;0,R171&gt;0),CX171&gt;=80,CX171&lt;=120),"APARENTEMENTE NORMAL",IF(AND(OR(O171&gt;0,R171&gt;0),CY171&gt;=50,CY171&lt;=80),"APARENTEMENTE NORMAL","")))))))))))</f>
        <v>APARENTEMENTE NORMAL</v>
      </c>
      <c r="DA171" s="21">
        <v>100</v>
      </c>
      <c r="DB171" s="21">
        <v>60</v>
      </c>
      <c r="DC171" s="217" t="str">
        <f t="shared" si="611"/>
        <v>APARENTEMENTE NORMAL</v>
      </c>
      <c r="DD171" s="22">
        <v>45056</v>
      </c>
      <c r="DE171" s="22">
        <v>45056</v>
      </c>
      <c r="DF171" s="22">
        <v>45121</v>
      </c>
      <c r="DG171" s="22">
        <v>45149</v>
      </c>
      <c r="DH171" s="22"/>
      <c r="DI171" s="22"/>
      <c r="DJ171" s="22"/>
      <c r="DK171" s="22"/>
      <c r="DL171" s="22"/>
      <c r="DM171" s="22"/>
      <c r="DN171" s="22"/>
      <c r="DO171" s="22"/>
      <c r="DP171" s="22"/>
      <c r="DQ171" s="22"/>
      <c r="DR171" s="28">
        <v>0</v>
      </c>
      <c r="DS171" s="22"/>
      <c r="DT171" s="22"/>
      <c r="DU171" s="216" t="str">
        <f t="shared" ca="1" si="676"/>
        <v>CONCERTAR PLAN DE PARTO INMEDIATO</v>
      </c>
      <c r="DV171" s="226" t="str">
        <f t="shared" si="677"/>
        <v>ACTIVA INGRESO A CPN</v>
      </c>
      <c r="DW17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71" s="216" t="e">
        <f t="shared" ca="1" si="612"/>
        <v>#REF!</v>
      </c>
      <c r="DY171" s="212">
        <f>IF(R171="","",IF(R171&gt;0,MAX(Tabla1[[#This Row],[FECHA C2]:[FECHA C13]],Tabla1[[#This Row],[FECHA CONSULTA PRIMERA VEZ PROGRAMA CPN ]])))</f>
        <v>45149</v>
      </c>
      <c r="DZ171" s="216">
        <f t="shared" si="613"/>
        <v>33</v>
      </c>
      <c r="EA171" s="222">
        <f>IF(R171&gt;0,SUM(COUNTA(DF171:DQ171)+COUNTA(Tabla1[[#This Row],[FECHA CONSULTA PRIMERA VEZ PROGRAMA CPN ]])),"")</f>
        <v>3</v>
      </c>
      <c r="EB171" s="222" t="str">
        <f t="shared" si="614"/>
        <v>NO</v>
      </c>
      <c r="EC171" s="214">
        <f t="shared" si="615"/>
        <v>7</v>
      </c>
      <c r="ED171" s="227">
        <f t="shared" si="616"/>
        <v>0.42857142857142855</v>
      </c>
      <c r="EE171" s="22">
        <v>45056</v>
      </c>
      <c r="EF171" s="22">
        <v>45121</v>
      </c>
      <c r="EG171" s="22">
        <v>45056</v>
      </c>
      <c r="EH171" s="22"/>
      <c r="EI171" s="22">
        <v>45056</v>
      </c>
      <c r="EJ171" s="22"/>
      <c r="EK171" s="22"/>
      <c r="EL171" s="21"/>
      <c r="EM171" s="21">
        <v>12.1</v>
      </c>
      <c r="EN171" s="22">
        <v>45056</v>
      </c>
      <c r="EO171" s="222">
        <f t="shared" si="617"/>
        <v>20</v>
      </c>
      <c r="EP171" s="214" t="str">
        <f t="shared" si="618"/>
        <v>NORMAL- SUMINISTRAR SULFATO FERROSO</v>
      </c>
      <c r="EQ171" s="216" t="str">
        <f t="shared" si="619"/>
        <v>II TRIM</v>
      </c>
      <c r="ER171" s="24"/>
      <c r="ES171" s="22"/>
      <c r="ET171" s="29" t="str">
        <f t="shared" ca="1" si="678"/>
        <v>TOMA DE HEMOGLOBINA TARDÍA</v>
      </c>
      <c r="EU171" s="25" t="str">
        <f t="shared" si="620"/>
        <v/>
      </c>
      <c r="EV171" s="24" t="s">
        <v>1510</v>
      </c>
      <c r="EW171" s="32">
        <v>45056</v>
      </c>
      <c r="EX171" s="22"/>
      <c r="EY171" s="29">
        <f t="shared" si="693"/>
        <v>20</v>
      </c>
      <c r="EZ171" s="25" t="str">
        <f t="shared" si="694"/>
        <v>SIN RIESGO DE ISOINMUNIZACIÓN</v>
      </c>
      <c r="FA171" s="21">
        <v>63</v>
      </c>
      <c r="FB171" s="22">
        <v>45056</v>
      </c>
      <c r="FC171" s="29">
        <f t="shared" si="621"/>
        <v>20</v>
      </c>
      <c r="FD171" s="29"/>
      <c r="FE171" s="29"/>
      <c r="FF171" s="29"/>
      <c r="FG171" s="21" t="str">
        <f t="shared" ca="1" si="622"/>
        <v/>
      </c>
      <c r="FH171" s="31"/>
      <c r="FI171" s="29" t="str">
        <f t="shared" si="623"/>
        <v>TOMAR EXAMEN</v>
      </c>
      <c r="FJ171" s="22"/>
      <c r="FK171" s="32"/>
      <c r="FL171" s="29" t="str">
        <f t="shared" ca="1" si="624"/>
        <v>NO APLICA-INGRESO TARDIO</v>
      </c>
      <c r="FM171" s="22" t="s">
        <v>867</v>
      </c>
      <c r="FN171" s="32">
        <v>45056</v>
      </c>
      <c r="FO171" s="29">
        <f t="shared" ca="1" si="679"/>
        <v>20</v>
      </c>
      <c r="FP171" s="22"/>
      <c r="FQ171" s="32"/>
      <c r="FR171" s="29" t="str">
        <f t="shared" ca="1" si="680"/>
        <v>TOMA INMEDIATA DE TAMIZAJE</v>
      </c>
      <c r="FS171" s="22"/>
      <c r="FT171" s="32"/>
      <c r="FU171" s="29" t="str">
        <f>IF(AND(FJ171="",FM171="",FP171="",FS171=""),"",IF(OR(OR(Tabla1[[#This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71" s="28"/>
      <c r="FW171" s="22"/>
      <c r="FX171" s="29" t="str">
        <f t="shared" si="625"/>
        <v>TOMAR EXAMEN</v>
      </c>
      <c r="FY171" s="22"/>
      <c r="FZ171" s="22"/>
      <c r="GA171" s="29" t="str">
        <f t="shared" ca="1" si="692"/>
        <v>NO APLICA-INGRESO TARDIO</v>
      </c>
      <c r="GB171" s="22" t="s">
        <v>868</v>
      </c>
      <c r="GC171" s="22">
        <v>45056</v>
      </c>
      <c r="GD171" s="29">
        <f t="shared" ca="1" si="681"/>
        <v>20</v>
      </c>
      <c r="GE171" s="22"/>
      <c r="GF171" s="22"/>
      <c r="GG171" s="29" t="str">
        <f t="shared" ca="1" si="682"/>
        <v>TOMA INMEDIATA DE TAMIZAJE</v>
      </c>
      <c r="GH171" s="22"/>
      <c r="GI171" s="29"/>
      <c r="GJ171" s="22"/>
      <c r="GK171" s="22"/>
      <c r="GL171" s="22"/>
      <c r="GM171" s="22"/>
      <c r="GN171" s="28" t="s">
        <v>869</v>
      </c>
      <c r="GO171" s="22">
        <v>45056</v>
      </c>
      <c r="GP171" s="29">
        <f t="shared" si="626"/>
        <v>20</v>
      </c>
      <c r="GQ171" s="28" t="s">
        <v>869</v>
      </c>
      <c r="GR171" s="28" t="s">
        <v>869</v>
      </c>
      <c r="GS171" s="22" t="str">
        <f t="shared" si="728"/>
        <v>CONTROL Igm</v>
      </c>
      <c r="GT171" s="22">
        <v>45056</v>
      </c>
      <c r="GU171" s="29">
        <f t="shared" si="628"/>
        <v>20</v>
      </c>
      <c r="GV171" s="21" t="str">
        <f t="shared" si="629"/>
        <v>II TRIM</v>
      </c>
      <c r="GW171" s="28" t="s">
        <v>869</v>
      </c>
      <c r="GX171" s="30"/>
      <c r="GY171" s="21"/>
      <c r="GZ171" s="21"/>
      <c r="HA171" s="21"/>
      <c r="HB171" s="21"/>
      <c r="HC171" s="21"/>
      <c r="HD171" s="21"/>
      <c r="HE171" s="21"/>
      <c r="HF171" s="22"/>
      <c r="HG171" s="22" t="str">
        <f>IF(OR(O171&gt;0,R171&gt;0),CONCATENATE(IF(Tabla1[[#This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71" s="22" t="e">
        <f t="shared" si="630"/>
        <v>#REF!</v>
      </c>
      <c r="HI171" s="22" t="e">
        <f t="shared" ca="1" si="631"/>
        <v>#REF!</v>
      </c>
      <c r="HJ171" s="21" t="str">
        <f t="shared" ca="1" si="632"/>
        <v>************************RIESGO POR EDAD***************</v>
      </c>
      <c r="HK171" s="21" t="str">
        <f t="shared" si="633"/>
        <v>SIN ANTECEDENTES DE RIESGO</v>
      </c>
      <c r="HL171" s="24" t="str">
        <f t="shared" si="634"/>
        <v>APARENTEMENTE NORMAL</v>
      </c>
      <c r="HM171" s="21" t="e">
        <f t="shared" ca="1" si="635"/>
        <v>#REF!</v>
      </c>
      <c r="HN171" s="30" t="str">
        <f t="shared" si="683"/>
        <v>ACTIVA INGRESO A CPN</v>
      </c>
      <c r="HO171" s="21"/>
      <c r="HP171" s="21"/>
      <c r="HQ171" s="349">
        <v>45056</v>
      </c>
      <c r="HR171" s="21" t="str">
        <f>IF(R171="","",IF(Tabla1[[#This Row],[ALARMA FACTORES DE RIESGO COMPLICACIONES HIPERTENSIVAS3]]="SIN ANTECEDENTES DE RIESGO","No Aplica para suministro de ASA",IF(AND(Tabla1[[#This Row],[FECHA INICIO DE SUMINISTRO DE ASA]]&gt;0,RV171&lt;12),"Inicia ASA ANTES de Sem 12",IF(AND(RV171&gt;11,RV171&lt;17,OR(HK171="RIESGO ALTO DE COMPLICACIONES HIPERTENSIVAS VER MANEJO GUIA SUMINISTRO ASA Y CALCIO",HK171="RIESGO MODERADO (2 O MAS CRITERIOS) VER MANEJO GUIA SUMINISTRO ASA Y CALCIO")),"Inicio oportuno de ASA",IF(AND(RV171&gt;12,OR(HK171="RIESGO ALTO DE COMPLICACIONES HIPERTENSIVAS VER MANEJO GUIA SUMINISTRO ASA Y CALCIO",HK171="RIESGO MODERADO (2 O MAS CRITERIOS) VER MANEJO GUIA SUMINISTRO ASA Y CALCIO")),"Inicio no oportuno mayor a 16 semanas",IF(AND(BU171&lt;12,OR(HK171="RIESGO ALTO DE COMPLICACIONES HIPERTENSIVAS VER MANEJO GUIA SUMINISTRO ASA Y CALCIO",HK171="RIESGO MODERADO (2 O MAS CRITERIOS) VER MANEJO GUIA SUMINISTRO ASA Y CALCIO")),"Pendiente Inicio de ASA a la semana 12",IF(AND(BU171&gt;11,BU171&lt;17,OR(HK171="RIESGO ALTO DE COMPLICACIONES HIPERTENSIVAS VER MANEJO GUIA SUMINISTRO ASA Y CALCIO",HK171="RIESGO MODERADO (2 O MAS CRITERIOS) VER MANEJO GUIA SUMINISTRO ASA Y CALCIO")),"Iniciar de inmediato ASA",IF(AND(BU171&gt;16,OR(HK171="RIESGO ALTO DE COMPLICACIONES HIPERTENSIVAS VER MANEJO GUIA SUMINISTRO ASA Y CALCIO",HK171="RIESGO MODERADO (2 O MAS CRITERIOS) VER MANEJO GUIA SUMINISTRO ASA Y CALCIO")),"Pierde Oportunidad, Inicio tardío de ASA","XXXXX"))))))))</f>
        <v>No Aplica para suministro de ASA</v>
      </c>
      <c r="HS171" s="22">
        <v>45056</v>
      </c>
      <c r="HT171" s="22" t="s">
        <v>870</v>
      </c>
      <c r="HU171" s="22">
        <v>45056</v>
      </c>
      <c r="HV171" s="22" t="s">
        <v>870</v>
      </c>
      <c r="HW171" s="22">
        <v>45056</v>
      </c>
      <c r="HX171" s="22" t="s">
        <v>870</v>
      </c>
      <c r="HY171" s="22">
        <v>45056</v>
      </c>
      <c r="HZ171" s="28">
        <f t="shared" si="636"/>
        <v>20</v>
      </c>
      <c r="IA171" s="26"/>
      <c r="IB171" s="26"/>
      <c r="IC171" s="111">
        <v>45121</v>
      </c>
      <c r="ID171" s="111">
        <v>45121</v>
      </c>
      <c r="IE171" s="22" t="str">
        <f t="shared" ca="1" si="637"/>
        <v>VACUNA APLICADA ENTRE SEMANA 27 Y EL PARTO</v>
      </c>
      <c r="IF171" s="22"/>
      <c r="IG171" s="22">
        <f t="shared" si="638"/>
        <v>45196</v>
      </c>
      <c r="IH171" s="29">
        <f t="shared" ca="1" si="639"/>
        <v>-36</v>
      </c>
      <c r="II171" s="22" t="str">
        <f t="shared" ca="1" si="640"/>
        <v>POSIBLEMENTE NACIO</v>
      </c>
      <c r="IJ171" s="22"/>
      <c r="IK171" s="21"/>
      <c r="IL171" s="21"/>
      <c r="IM171" s="34"/>
      <c r="IN171" s="22"/>
      <c r="IO171" s="21"/>
      <c r="IP171" s="29" t="str">
        <f t="shared" ref="IP171:IP193" si="730">IF(AND(IN171&gt;0,IK171&lt;&gt;""),SUM(IN171-RW171)/7,"")</f>
        <v/>
      </c>
      <c r="IQ171" s="35"/>
      <c r="IR171" s="21"/>
      <c r="IS171" s="21"/>
      <c r="IT171" s="21"/>
      <c r="IU171" s="21"/>
      <c r="IV171" s="21"/>
      <c r="IW171" s="21"/>
      <c r="IX171" s="21"/>
      <c r="IY171" s="21"/>
      <c r="IZ171" s="21"/>
      <c r="JA171" s="21"/>
      <c r="JB171" s="30"/>
      <c r="JC171" s="21"/>
      <c r="JD171" s="36"/>
      <c r="JE171" s="21" t="str">
        <f t="shared" si="684"/>
        <v/>
      </c>
      <c r="JF171" s="30"/>
      <c r="JG171" s="21"/>
      <c r="JH171" s="21"/>
      <c r="JI171" s="21"/>
      <c r="JJ171" s="30"/>
      <c r="JK171" s="22"/>
      <c r="JL171" s="22"/>
      <c r="JM171" s="21"/>
      <c r="JN171" s="36"/>
      <c r="JO171" s="21" t="str">
        <f t="shared" si="685"/>
        <v/>
      </c>
      <c r="JP171" s="22"/>
      <c r="JQ171" s="21"/>
      <c r="JR171" s="21"/>
      <c r="JS171" s="21"/>
      <c r="JT171" s="30"/>
      <c r="JU171" s="22"/>
      <c r="JV171" s="22"/>
      <c r="JW171" s="33"/>
      <c r="JX171" s="28" t="str">
        <f t="shared" si="686"/>
        <v/>
      </c>
      <c r="JY171" s="33"/>
      <c r="JZ171" s="28" t="str">
        <f t="shared" si="687"/>
        <v/>
      </c>
      <c r="KA171" s="21"/>
      <c r="KB171" s="21"/>
      <c r="KC171" s="21"/>
      <c r="KD171" s="37"/>
      <c r="KE171" s="28"/>
      <c r="KF171" s="28"/>
      <c r="KG171" s="28"/>
      <c r="KH171" s="39"/>
      <c r="KI171" s="39"/>
      <c r="KJ171" s="66"/>
      <c r="KK171" s="39"/>
      <c r="KL171" s="39"/>
      <c r="KM171" s="66"/>
      <c r="KN171" s="39"/>
      <c r="KO171" s="39"/>
      <c r="KP171" s="39"/>
      <c r="KQ171" s="39"/>
      <c r="KR171" s="39"/>
      <c r="KS171" s="39"/>
      <c r="KT171" s="39"/>
      <c r="KU171" s="38"/>
      <c r="KV171" s="38"/>
      <c r="KW171" s="38"/>
      <c r="KX171" s="38"/>
      <c r="KY171" s="38"/>
      <c r="KZ171" s="38"/>
      <c r="LA171" s="38"/>
      <c r="LB171" s="38"/>
      <c r="LC171" s="38"/>
      <c r="LD171" s="38"/>
      <c r="LE171" s="38"/>
      <c r="LF171" s="38"/>
      <c r="LG171" s="38"/>
      <c r="LH171" s="38"/>
      <c r="LI171" s="38"/>
      <c r="LJ171" s="38"/>
      <c r="LK171" s="38"/>
      <c r="LL171" s="38"/>
      <c r="LM171" s="38"/>
      <c r="LN171" s="38"/>
      <c r="LO171" s="38"/>
      <c r="LP171" s="38"/>
      <c r="LQ171" s="38"/>
      <c r="LR171" s="38"/>
      <c r="LS171" s="38"/>
      <c r="LT171" s="38"/>
      <c r="LU171" s="38"/>
      <c r="LV171" s="38"/>
      <c r="LW171" s="38"/>
      <c r="LX171" s="38"/>
      <c r="LY171" s="38"/>
      <c r="LZ171" s="38"/>
      <c r="MA171" s="38"/>
      <c r="MB171" s="38"/>
      <c r="MC171" s="38"/>
      <c r="MD171" s="38"/>
      <c r="ME171" s="38"/>
      <c r="MF171" s="38"/>
      <c r="MG171" s="38"/>
      <c r="MH171" s="43">
        <f t="shared" si="697"/>
        <v>0</v>
      </c>
      <c r="MI171" s="43" t="str">
        <f t="shared" si="698"/>
        <v/>
      </c>
      <c r="MJ171" s="43" t="str">
        <f t="shared" si="699"/>
        <v/>
      </c>
      <c r="MK171" s="43">
        <f t="shared" si="700"/>
        <v>0</v>
      </c>
      <c r="ML17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71" s="43">
        <f t="shared" si="701"/>
        <v>20</v>
      </c>
      <c r="MN171" s="43">
        <f t="shared" si="702"/>
        <v>5</v>
      </c>
      <c r="MO171" s="43">
        <f t="shared" si="703"/>
        <v>2023</v>
      </c>
      <c r="MP171" s="43" t="str">
        <f t="shared" si="704"/>
        <v>II TRIMESTRE AÑO</v>
      </c>
      <c r="MQ171" s="43">
        <f t="shared" si="705"/>
        <v>35.879325448970654</v>
      </c>
      <c r="MR171" s="43">
        <f t="shared" si="706"/>
        <v>2</v>
      </c>
      <c r="MS171" s="43" t="str">
        <f t="shared" si="707"/>
        <v xml:space="preserve"> DE 35 A 39 AÑOS</v>
      </c>
      <c r="MT171" s="43">
        <f t="shared" si="708"/>
        <v>0</v>
      </c>
      <c r="MU171" s="43">
        <f t="shared" si="709"/>
        <v>0</v>
      </c>
      <c r="MV171" s="43">
        <f t="shared" si="710"/>
        <v>0</v>
      </c>
      <c r="MW171" s="43">
        <f t="shared" si="711"/>
        <v>0</v>
      </c>
      <c r="MX171" s="43" t="str">
        <f t="shared" si="712"/>
        <v/>
      </c>
      <c r="MY171" s="43" t="str">
        <f t="shared" ca="1" si="688"/>
        <v/>
      </c>
      <c r="MZ171" s="43" t="str">
        <f t="shared" si="713"/>
        <v/>
      </c>
      <c r="NA171" s="43" t="str">
        <f t="shared" si="714"/>
        <v/>
      </c>
      <c r="NB171" s="43" t="str">
        <f t="shared" si="715"/>
        <v/>
      </c>
      <c r="NC171" s="43" t="str">
        <f t="shared" si="716"/>
        <v/>
      </c>
      <c r="ND171" s="43">
        <f t="shared" ca="1" si="717"/>
        <v>2</v>
      </c>
      <c r="NE171" s="43">
        <f>IF(OR(O171&gt;0,R171&gt;0),SUM(COUNTIF(Tabla1[[#This Row],[AÑOS AL INICIO5 CPN]],"&gt;=40"),COUNTIF(AS171,"0"),COUNTIF(AR171,"SI"),COUNTIF(CC171,"SI"),COUNTIF(BQ171,"&gt;119"),COUNTIF(CI171,"&gt;=35")),"")</f>
        <v>0</v>
      </c>
      <c r="NF171" s="43">
        <f t="shared" si="718"/>
        <v>29.285714285714285</v>
      </c>
      <c r="NG171" s="43">
        <f t="shared" si="719"/>
        <v>0</v>
      </c>
      <c r="NH171" s="43">
        <f t="shared" si="720"/>
        <v>205.1</v>
      </c>
      <c r="NI17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CPN",P171="NO"),"Z",IF(AND(Tabla1[[#This Row],[CITA PROXIMO CONTROL]]="CITA MANUAL",Tabla1[[#This Row],[GESTANTES ACTUALES]]="ACTIVA INGRESO A CPN"),"W",IF(AND(Tabla1[[#This Row],[GESTANTES ACTUALES]]="SALIO PROGRAMA",IN171=""),"S",IF(AND(Tabla1[[#This Row],[CITA PROXIMO CONTROL]]&gt;0,IN171=""),(Tabla1[[#This Row],[CITA PROXIMO CONTROL]]-TODAY()),"SD"))))))))</f>
        <v>#REF!</v>
      </c>
      <c r="NJ171" s="43">
        <f>MONTH(Tabla1[[#This Row],[FECHA DE SALIDA  DEL PROGRAMA]])</f>
        <v>1</v>
      </c>
      <c r="NK171" s="43">
        <f>YEAR(Tabla1[[#This Row],[FECHA DE SALIDA  DEL PROGRAMA]])</f>
        <v>1900</v>
      </c>
      <c r="NL171" s="43" t="str">
        <f t="shared" si="721"/>
        <v>X</v>
      </c>
      <c r="NM171" s="43" t="str">
        <f t="shared" si="695"/>
        <v>NO</v>
      </c>
      <c r="NN171" s="43" t="str">
        <f ca="1">IF(AND(O171&gt;0,R171=""),"NO CPN",IF(AND(O171="",R171=""),"",IF(AND(R171&gt;0,Tabla1[[#This Row],[SEMANAS DE GESTACION ACTUALIZADAS]]&lt;=12),"NO APLICA",IF(AND(FH171&lt;&gt;"",FN171&lt;&gt;""),"SI","NO"))))</f>
        <v>NO</v>
      </c>
      <c r="NO171" s="43" t="str">
        <f ca="1">IF(AND(O171&gt;0,R171=""),"NO CPN",IF(AND(O171="",R171=""),"",IF(AND(R171&gt;0,Tabla1[[#This Row],[SEMANAS DE GESTACION ACTUALIZADAS]]&lt;=27),"NO APLICA",IF(AND(ES171&lt;&gt;"",FQ171&lt;&gt;"",GF171&lt;&gt;""),"SI","NO"))))</f>
        <v>NO</v>
      </c>
      <c r="NP171" s="204" t="str">
        <f t="shared" si="722"/>
        <v>II TRIM</v>
      </c>
      <c r="NQ171" s="21" t="str">
        <f t="shared" ref="NQ171:NQ193" si="731">IF(AND(IP172&gt;0,IP172&lt;37),10,IF(OR(CD172="Transversa",CD172="Oblicua"),9,IF(CC172="SI",8,IF(AND(AT172=0,AW172=0,CC172="NO",CD172="Cefálica",IP172&gt;=37,IT172="INICIO ESPONTÁNEO"),1,IF(AND(AND(AT172=0,AW172=0,CC172="NO",CD172="Cefálica",IP172&gt;=37),OR(IT172="LE HACEN INDUCCIÓN",IT172="LE HACEN CESÁREA SIN INICIO TRABAJO DE PARTO")),2,IF(AND(AT172&gt;=1,AW172=0,CC172="NO",CD172="Cefálica",IP172&gt;=37,IT172="INICIO ESPONTÁNEO"),3,IF(AND(AND(AT172&gt;=1,AW172=0,CC172="NO",CD172="Cefálica",IP172&gt;=37),OR(IT172="LE HACEN INDUCCIÓN",IT172="LE HACEN CESÁREA SIN INICIO TRABAJO DE PARTO")),4,IF(AND(AND(AT172&gt;=1,AW172&gt;=1,CC172="NO",CD172="Cefálica",IP172&gt;=37),OR(IT172="LE HACEN INDUCCIÓN",IT172="LE HACEN CESÁREA SIN INICIO TRABAJO DE PARTO",IT172="INICIO ESPONTÁNEO")),5,IF(AND(AND(AT172=0,AW172=0,CC172="NO",CD172="Podálica",IP172&gt;=1),OR(IT172="LE HACEN INDUCCIÓN",IT172="LE HACEN CESÁREA SIN INICIO TRABAJO DE PARTO",IT172="INICIO ESPONTÁNEO")),6,IF(AND(AND(AT172&gt;=1,CC172="NO",CD172="Podálica",IP172&gt;=1),OR(IT172="LE HACEN INDUCCIÓN",IT172="LE HACEN CESÁREA SIN INICIO TRABAJO DE PARTO",IT172="INICIO ESPONTÁNEO"),OR(AW172=0,AW172&gt;=1)),7,""))))))))))</f>
        <v/>
      </c>
      <c r="NR171" s="21" t="str">
        <f t="shared" ca="1" si="689"/>
        <v>REVISAR FUM O FECHA SALIDA PROGRAMA</v>
      </c>
      <c r="NS171" s="205">
        <f t="shared" ca="1" si="723"/>
        <v>1</v>
      </c>
      <c r="NT171" s="21">
        <f t="shared" ca="1" si="724"/>
        <v>1</v>
      </c>
      <c r="NU171" s="21" t="str">
        <f t="shared" ca="1" si="725"/>
        <v>POR DEFINIR</v>
      </c>
      <c r="NV171" s="21" t="str">
        <f t="shared" ca="1" si="726"/>
        <v>POR DEFINIR</v>
      </c>
      <c r="NW171" s="206" t="str">
        <f>IF(AND(O171="",R171=""),"",IF(OR(AND(Tabla1[[#This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71" s="207" t="str">
        <f t="shared" ca="1" si="727"/>
        <v>VACUNADA</v>
      </c>
      <c r="NY171" s="43">
        <f>ROW(Tabla1[[#This Row],['# DE TAMIZAJES SIFILIS TOMADOS ]])</f>
        <v>171</v>
      </c>
      <c r="NZ171" s="43">
        <f t="shared" si="502"/>
        <v>20</v>
      </c>
      <c r="OA171" s="43" t="str">
        <f t="shared" si="503"/>
        <v/>
      </c>
      <c r="OB171" s="43" t="str">
        <f t="shared" si="504"/>
        <v/>
      </c>
      <c r="OC171" s="43" t="str">
        <f t="shared" si="505"/>
        <v/>
      </c>
      <c r="OD171" s="43" t="str">
        <f t="shared" si="506"/>
        <v/>
      </c>
      <c r="OE171" s="43" t="str">
        <f t="shared" si="507"/>
        <v/>
      </c>
      <c r="OF171" s="43" t="str">
        <f t="shared" si="508"/>
        <v/>
      </c>
      <c r="OG171" s="43" t="str">
        <f t="shared" si="509"/>
        <v/>
      </c>
      <c r="OH171" s="43" t="str">
        <f t="shared" si="510"/>
        <v/>
      </c>
      <c r="OI171" s="43" t="str">
        <f t="shared" si="511"/>
        <v/>
      </c>
      <c r="OJ171" s="43" t="str">
        <f t="shared" si="512"/>
        <v/>
      </c>
      <c r="OK171" s="43" t="str">
        <f t="shared" si="513"/>
        <v/>
      </c>
      <c r="OL171" s="43" t="str">
        <f t="shared" si="514"/>
        <v>NORMAL</v>
      </c>
      <c r="OM171" s="43" t="str">
        <f t="shared" si="515"/>
        <v/>
      </c>
      <c r="ON171" s="43" t="str">
        <f t="shared" si="516"/>
        <v/>
      </c>
      <c r="OO171" s="43" t="str">
        <f t="shared" si="517"/>
        <v/>
      </c>
      <c r="OP171" s="43" t="str">
        <f t="shared" si="518"/>
        <v/>
      </c>
      <c r="OQ171" s="43" t="str">
        <f t="shared" si="519"/>
        <v/>
      </c>
      <c r="OR171" s="43" t="str">
        <f t="shared" si="520"/>
        <v/>
      </c>
      <c r="OS171" s="43" t="str">
        <f t="shared" si="521"/>
        <v/>
      </c>
      <c r="OT171" s="43" t="str">
        <f t="shared" si="522"/>
        <v/>
      </c>
      <c r="OU171" s="43" t="str">
        <f t="shared" si="523"/>
        <v/>
      </c>
      <c r="OV171" s="110" t="str">
        <f t="shared" si="524"/>
        <v/>
      </c>
      <c r="OW171" s="43" t="str">
        <f t="shared" si="525"/>
        <v/>
      </c>
      <c r="OX171" s="43" t="str">
        <f t="shared" si="526"/>
        <v/>
      </c>
      <c r="OY171" s="43" t="str">
        <f t="shared" si="527"/>
        <v/>
      </c>
      <c r="OZ171" s="43" t="str">
        <f t="shared" si="528"/>
        <v/>
      </c>
      <c r="PA171" s="43" t="str">
        <f t="shared" si="529"/>
        <v/>
      </c>
      <c r="PB171" s="43" t="str">
        <f t="shared" si="530"/>
        <v/>
      </c>
      <c r="PC171" s="43" t="str">
        <f t="shared" si="531"/>
        <v/>
      </c>
      <c r="PD171" s="43" t="str">
        <f t="shared" si="532"/>
        <v/>
      </c>
      <c r="PE171" s="43" t="str">
        <f t="shared" si="533"/>
        <v/>
      </c>
      <c r="PF171" s="43" t="str">
        <f t="shared" si="534"/>
        <v/>
      </c>
      <c r="PG171" s="43" t="str">
        <f t="shared" si="535"/>
        <v/>
      </c>
      <c r="PH171" s="43" t="str">
        <f t="shared" si="536"/>
        <v/>
      </c>
      <c r="PI171" s="43">
        <f t="shared" si="537"/>
        <v>33</v>
      </c>
      <c r="PJ171" s="43" t="str">
        <f t="shared" si="538"/>
        <v/>
      </c>
      <c r="PK171" s="43" t="str">
        <f t="shared" si="539"/>
        <v/>
      </c>
      <c r="PL171" s="43" t="str">
        <f t="shared" si="540"/>
        <v/>
      </c>
      <c r="PM171" s="43" t="str">
        <f t="shared" si="541"/>
        <v/>
      </c>
      <c r="PN171" s="43" t="str">
        <f t="shared" si="542"/>
        <v/>
      </c>
      <c r="PO171" s="43" t="str">
        <f t="shared" si="543"/>
        <v/>
      </c>
      <c r="PP171" s="43" t="str">
        <f t="shared" si="544"/>
        <v/>
      </c>
      <c r="PQ171" s="43" t="str">
        <f t="shared" si="545"/>
        <v/>
      </c>
      <c r="PR171" s="43" t="str">
        <f t="shared" si="546"/>
        <v/>
      </c>
      <c r="PS171" s="43" t="str">
        <f t="shared" si="547"/>
        <v/>
      </c>
      <c r="PT171" s="43" t="str">
        <f t="shared" si="548"/>
        <v/>
      </c>
      <c r="PU171" s="43" t="str">
        <f t="shared" si="549"/>
        <v/>
      </c>
      <c r="PV171" s="43" t="str">
        <f t="shared" si="550"/>
        <v/>
      </c>
      <c r="PW171" s="43" t="str">
        <f t="shared" si="551"/>
        <v/>
      </c>
      <c r="PX171" s="43" t="str">
        <f t="shared" si="552"/>
        <v/>
      </c>
      <c r="PY171" s="43" t="str">
        <f t="shared" si="553"/>
        <v/>
      </c>
      <c r="PZ171" s="43" t="str">
        <f t="shared" si="554"/>
        <v/>
      </c>
      <c r="QA171" s="43" t="str">
        <f t="shared" si="555"/>
        <v/>
      </c>
      <c r="QB171" s="43" t="str">
        <f t="shared" si="556"/>
        <v/>
      </c>
      <c r="QC171" s="43" t="str">
        <f t="shared" si="557"/>
        <v/>
      </c>
      <c r="QD171" s="43" t="str">
        <f t="shared" si="558"/>
        <v/>
      </c>
      <c r="QE171" s="43" t="str">
        <f t="shared" si="559"/>
        <v/>
      </c>
      <c r="QF171" s="43" t="str">
        <f t="shared" si="560"/>
        <v/>
      </c>
      <c r="QG171" s="43" t="str">
        <f t="shared" si="561"/>
        <v/>
      </c>
      <c r="QH171" s="43" t="str">
        <f t="shared" si="562"/>
        <v>NORMAL</v>
      </c>
      <c r="QI171" s="43" t="str">
        <f t="shared" si="563"/>
        <v/>
      </c>
      <c r="QJ171" s="43" t="str">
        <f t="shared" si="564"/>
        <v/>
      </c>
      <c r="QK171" s="43" t="str">
        <f t="shared" si="565"/>
        <v/>
      </c>
      <c r="QL171" s="43" t="str">
        <f t="shared" si="566"/>
        <v/>
      </c>
      <c r="QM171" s="43" t="str">
        <f t="shared" si="567"/>
        <v/>
      </c>
      <c r="QN171" s="43" t="str">
        <f t="shared" si="568"/>
        <v/>
      </c>
      <c r="QO171" s="43" t="str">
        <f t="shared" si="569"/>
        <v/>
      </c>
      <c r="QP171" s="43" t="str">
        <f t="shared" si="570"/>
        <v/>
      </c>
      <c r="QQ171" s="43" t="str">
        <f t="shared" si="571"/>
        <v/>
      </c>
      <c r="QR171" s="43">
        <f t="shared" si="672"/>
        <v>33</v>
      </c>
      <c r="QS171" s="43"/>
      <c r="QT171" s="21" t="str">
        <f t="shared" si="572"/>
        <v/>
      </c>
      <c r="QU171" s="21" t="str">
        <f t="shared" si="573"/>
        <v/>
      </c>
      <c r="QV171" s="21" t="str">
        <f t="shared" si="574"/>
        <v/>
      </c>
      <c r="QW171" s="21" t="str">
        <f t="shared" si="575"/>
        <v/>
      </c>
      <c r="QX171" s="21" t="str">
        <f t="shared" si="576"/>
        <v/>
      </c>
      <c r="QY171" s="21" t="str">
        <f t="shared" si="577"/>
        <v/>
      </c>
      <c r="QZ171" s="21" t="str">
        <f t="shared" si="578"/>
        <v/>
      </c>
      <c r="RA171" s="21" t="str">
        <f t="shared" si="579"/>
        <v/>
      </c>
      <c r="RB171" s="21" t="str">
        <f t="shared" si="580"/>
        <v/>
      </c>
      <c r="RC171" s="21" t="str">
        <f t="shared" si="581"/>
        <v/>
      </c>
      <c r="RD171" s="21" t="str">
        <f t="shared" si="582"/>
        <v/>
      </c>
      <c r="RE171" s="21" t="str">
        <f t="shared" si="583"/>
        <v/>
      </c>
      <c r="RF171" s="21" t="str">
        <f t="shared" si="584"/>
        <v/>
      </c>
      <c r="RG171" s="21" t="str">
        <f t="shared" si="585"/>
        <v/>
      </c>
      <c r="RH171" s="21" t="str">
        <f t="shared" si="586"/>
        <v/>
      </c>
      <c r="RI171" s="21" t="str">
        <f t="shared" si="587"/>
        <v/>
      </c>
      <c r="RJ171" s="21" t="str">
        <f t="shared" si="588"/>
        <v/>
      </c>
      <c r="RK171" s="21" t="str">
        <f t="shared" si="589"/>
        <v/>
      </c>
      <c r="RL171" s="21" t="str">
        <f t="shared" si="590"/>
        <v/>
      </c>
      <c r="RM171" s="21" t="str">
        <f t="shared" si="591"/>
        <v/>
      </c>
      <c r="RN171" s="21" t="str">
        <f t="shared" si="592"/>
        <v>ALTO PARA EDAD GESTACIONAL</v>
      </c>
      <c r="RO171" s="21" t="str">
        <f t="shared" si="593"/>
        <v/>
      </c>
      <c r="RP171" s="21" t="str">
        <f t="shared" si="594"/>
        <v/>
      </c>
      <c r="RQ171" s="21" t="str">
        <f t="shared" si="595"/>
        <v/>
      </c>
      <c r="RR171" s="21" t="str">
        <f t="shared" si="596"/>
        <v/>
      </c>
      <c r="RS171" s="21" t="str">
        <f t="shared" si="597"/>
        <v/>
      </c>
      <c r="RT171" s="21" t="str">
        <f t="shared" si="598"/>
        <v/>
      </c>
      <c r="RU171" s="21" t="str">
        <f t="shared" si="599"/>
        <v/>
      </c>
      <c r="RV171" s="21">
        <f t="shared" si="600"/>
        <v>20</v>
      </c>
      <c r="RW171" s="284">
        <f>IF(OR(Tabla1[[#This Row],[FUM FORMULA CONFIABLE]]="",Tabla1[[#This Row],[FUM FORMULA CONFIABLE]]="SD"),"",IF(Tabla1[[#This Row],[FUM FORMULA CONFIABLE]]="CORREGIDA",Tabla1[[#This Row],[FUM X ECO 1]],Tabla1[[#This Row],[FUM x AMENORREA]]))</f>
        <v>44916</v>
      </c>
      <c r="RX171" s="21">
        <f>IF(AND(Tabla1[[#This Row],[FUM X ECO 1]]="",Tabla1[[#This Row],[FUM x AMENORREA]]=""),"",IF(AND(Tabla1[[#This Row],[FUM X ECO 1]]="",Tabla1[[#This Row],[FUM x AMENORREA]]&lt;&gt;""),"X",SUM(Tabla1[[#This Row],[FUM X ECO 1]]-Tabla1[[#This Row],[FUM x AMENORREA]])))</f>
        <v>-9.9999999998544808E-2</v>
      </c>
      <c r="RY171" s="21">
        <f t="shared" si="673"/>
        <v>0</v>
      </c>
    </row>
    <row r="172" spans="1:493" ht="45" customHeight="1" x14ac:dyDescent="0.25">
      <c r="A172" s="109" t="s">
        <v>1563</v>
      </c>
      <c r="B172" s="43"/>
      <c r="C172" s="43" t="s">
        <v>845</v>
      </c>
      <c r="D172" s="124"/>
      <c r="E172" s="43" t="s">
        <v>914</v>
      </c>
      <c r="F172" s="43" t="s">
        <v>848</v>
      </c>
      <c r="G172" s="43" t="s">
        <v>1485</v>
      </c>
      <c r="H172" s="43" t="s">
        <v>1285</v>
      </c>
      <c r="I172" s="109" t="s">
        <v>851</v>
      </c>
      <c r="J172" s="110" t="s">
        <v>1486</v>
      </c>
      <c r="K172" s="43" t="s">
        <v>852</v>
      </c>
      <c r="L172" s="175" t="s">
        <v>853</v>
      </c>
      <c r="M172" s="22">
        <v>35991</v>
      </c>
      <c r="N172" s="213">
        <f t="shared" ca="1" si="601"/>
        <v>25.317808219178083</v>
      </c>
      <c r="O172" s="22">
        <v>45062</v>
      </c>
      <c r="P172" s="214" t="str">
        <f t="shared" si="675"/>
        <v>SI</v>
      </c>
      <c r="Q172" s="26" t="s">
        <v>855</v>
      </c>
      <c r="R172" s="22">
        <v>45062</v>
      </c>
      <c r="S172" s="21" t="s">
        <v>856</v>
      </c>
      <c r="T172" s="24" t="s">
        <v>690</v>
      </c>
      <c r="U172" s="21" t="s">
        <v>857</v>
      </c>
      <c r="V172" s="21" t="s">
        <v>858</v>
      </c>
      <c r="W172" s="21" t="s">
        <v>1200</v>
      </c>
      <c r="X172" s="21"/>
      <c r="Y172" s="21"/>
      <c r="Z172" s="21" t="s">
        <v>894</v>
      </c>
      <c r="AA172" s="21" t="s">
        <v>860</v>
      </c>
      <c r="AB172" s="27" t="s">
        <v>861</v>
      </c>
      <c r="AC172" s="26" t="s">
        <v>846</v>
      </c>
      <c r="AD172" s="38" t="s">
        <v>1546</v>
      </c>
      <c r="AE172" s="26" t="s">
        <v>854</v>
      </c>
      <c r="AF172" s="26" t="s">
        <v>854</v>
      </c>
      <c r="AG172" s="23" t="s">
        <v>864</v>
      </c>
      <c r="AH172" s="23" t="s">
        <v>864</v>
      </c>
      <c r="AI172" s="24" t="s">
        <v>863</v>
      </c>
      <c r="AJ172" s="23" t="s">
        <v>864</v>
      </c>
      <c r="AK172" s="220" t="str">
        <f>IF(AND(AD172="",AE172="",AF172="",AG172="",AH172="",AI172="",AJ172=""),"",IF(OR(Tabla1[[#This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EVALUACIÓN",IF(AND(O172="",R172=""),"",IF(AND(OR(O172&gt;0,R172&gt;0),NG172&gt;=0,NG172&lt;2),"SIN RIESGO",IF(AND(OR(O172&gt;0,R172&gt;0),NG172&gt;=2),"CON RIESGO","ASD")))))</f>
        <v>SIN RIESGO</v>
      </c>
      <c r="AL172" s="23" t="s">
        <v>864</v>
      </c>
      <c r="AM172" s="26" t="s">
        <v>864</v>
      </c>
      <c r="AN172" s="26" t="s">
        <v>864</v>
      </c>
      <c r="AO172" s="26" t="s">
        <v>864</v>
      </c>
      <c r="AP172" s="26" t="s">
        <v>864</v>
      </c>
      <c r="AQ172" s="26" t="s">
        <v>864</v>
      </c>
      <c r="AR172" s="26" t="s">
        <v>864</v>
      </c>
      <c r="AS172" s="21">
        <v>2</v>
      </c>
      <c r="AT172" s="21">
        <v>2</v>
      </c>
      <c r="AU172" s="21">
        <v>0</v>
      </c>
      <c r="AV172" s="26" t="s">
        <v>864</v>
      </c>
      <c r="AW172" s="21">
        <v>0</v>
      </c>
      <c r="AX172" s="26" t="s">
        <v>864</v>
      </c>
      <c r="AY172" s="26" t="s">
        <v>864</v>
      </c>
      <c r="AZ172" s="26" t="s">
        <v>864</v>
      </c>
      <c r="BA172" s="26" t="s">
        <v>864</v>
      </c>
      <c r="BB172" s="26" t="s">
        <v>864</v>
      </c>
      <c r="BC172" s="26" t="s">
        <v>864</v>
      </c>
      <c r="BD172" s="26" t="s">
        <v>864</v>
      </c>
      <c r="BE172" s="26" t="s">
        <v>864</v>
      </c>
      <c r="BF172" s="26" t="s">
        <v>864</v>
      </c>
      <c r="BG172" s="26" t="s">
        <v>864</v>
      </c>
      <c r="BH172" s="26" t="s">
        <v>864</v>
      </c>
      <c r="BI172" s="26" t="s">
        <v>864</v>
      </c>
      <c r="BJ172" s="26" t="s">
        <v>864</v>
      </c>
      <c r="BK172" s="26" t="s">
        <v>865</v>
      </c>
      <c r="BL172" s="26" t="s">
        <v>864</v>
      </c>
      <c r="BM172" s="26" t="s">
        <v>864</v>
      </c>
      <c r="BN172" s="22">
        <v>44554</v>
      </c>
      <c r="BO172" s="22">
        <v>44969</v>
      </c>
      <c r="BP172" s="21" t="s">
        <v>1380</v>
      </c>
      <c r="BQ172" s="222">
        <f t="shared" si="602"/>
        <v>12.296666666666715</v>
      </c>
      <c r="BR172" s="223">
        <f t="shared" si="603"/>
        <v>44922.9</v>
      </c>
      <c r="BS172" s="224">
        <f t="shared" si="604"/>
        <v>19.871428571428364</v>
      </c>
      <c r="BT172" s="216" t="str">
        <f t="shared" si="605"/>
        <v>II TRIM</v>
      </c>
      <c r="BU172" s="214" t="str">
        <f t="shared" ca="1" si="606"/>
        <v/>
      </c>
      <c r="BV172" s="25" t="s">
        <v>988</v>
      </c>
      <c r="BW172" s="22">
        <v>45121</v>
      </c>
      <c r="BX172" s="28">
        <v>28.3</v>
      </c>
      <c r="BY172" s="28"/>
      <c r="BZ172" s="22"/>
      <c r="CA172" s="21"/>
      <c r="CB172" s="26" t="s">
        <v>864</v>
      </c>
      <c r="CC172" s="26" t="s">
        <v>864</v>
      </c>
      <c r="CD172" s="26"/>
      <c r="CE172" s="26" t="s">
        <v>854</v>
      </c>
      <c r="CF172" s="22" t="s">
        <v>1517</v>
      </c>
      <c r="CG172" s="21">
        <v>1.47</v>
      </c>
      <c r="CH172" s="21">
        <v>53</v>
      </c>
      <c r="CI172" s="214">
        <f t="shared" si="607"/>
        <v>24.526817529732984</v>
      </c>
      <c r="CJ172" s="225" t="e">
        <f>IF(AND(CI172&lt;10,CH172="SD"),"SIN DATO PESO PREGESTACION O I TRIM",IF(AND(OR(R172&gt;0,O172&gt;0),CI172="X"),"INGRESAR DATO DE PESO",IF(CI172="SD","INGRESAR DATO DE TALLA Y PESO",IF(AND(OR(Tabla1[[#This Row],[MOMENTO EN QUE SE REALIZA EL PESO AL INGRESO A CPN]]="PREGESTACIÓN",NZ172="Menor"),CI172&lt;18.5),"BAJO PESO",IF(AND(OR(Tabla1[[#This Row],[MOMENTO EN QUE SE REALIZA EL PESO AL INGRESO A CPN]]="PREGESTACIÓN",NZ172="Menor"),CI172&lt;25),"NORMAL",IF(AND(OR(Tabla1[[#This Row],[MOMENTO EN QUE SE REALIZA EL PESO AL INGRESO A CPN]]="PREGESTACIÓN",NZ172="Menor"),CI172&lt;30),"SOBREPESO",IF(AND(OR(Tabla1[[#This Row],[MOMENTO EN QUE SE REALIZA EL PESO AL INGRESO A CPN]]="PREGESTACIÓN",NZ172="Menor"),CI172&gt;=30,CI172&lt;50),"OBESIDAD",IF(AND(BS172&gt;0,Tabla1[[#This Row],[MOMENTO EN QUE SE REALIZA EL PESO AL INGRESO A CPN]]="GESTACIÓN"),HLOOKUP(NZ172,$OA$2:PH172,NY172),""))))))))</f>
        <v>#REF!</v>
      </c>
      <c r="CK172" s="212">
        <f t="shared" si="608"/>
        <v>45140</v>
      </c>
      <c r="CL172" s="21">
        <v>55.7</v>
      </c>
      <c r="CM172" s="214">
        <f t="shared" si="609"/>
        <v>25.776296913323154</v>
      </c>
      <c r="CN172" s="216">
        <f t="shared" si="610"/>
        <v>31</v>
      </c>
      <c r="CO172" s="216" t="e">
        <f>IF(PI172="","",IF(PI172&gt;0,HLOOKUP(PI172,$PJ$2:QQ172,NY172),""))</f>
        <v>#REF!</v>
      </c>
      <c r="CP172" s="21">
        <v>32</v>
      </c>
      <c r="CQ172" s="216" t="e">
        <f>IF(QR172="Menor","NO APLICA-MENOR 13 SEM",IF(AND(CC172="SI",CN172&gt;23),"NO APLICA- GEMELAR",IF(QR172="","",IF(QR172&gt;0,HLOOKUP(QR172,$QS$2:RU172,NY172),""))))</f>
        <v>#REF!</v>
      </c>
      <c r="CR172" s="21"/>
      <c r="CS172" s="21"/>
      <c r="CT172" s="217" t="str">
        <f>IF(R172="","",IF(AND(BS172&gt;1,BS172&lt;12,Tabla1[[#This Row],[T.A. SISTOLICA - ANTES DE SEMANA 12]]="",Tabla1[[#This Row],[T.A. DIASTOLICA - ANTES DE SEMANA 12]]=""),"REGISTRE DATO TA ANTES SEMANA 12",IF(AND(BS172&gt;11,BS172&lt;43,Tabla1[[#This Row],[T.A. SISTOLICA - ANTES DE SEMANA 12]]="",Tabla1[[#This Row],[T.A. DIASTOLICA - ANTES DE SEMANA 12]]=""),"NO APLICA REGISTRO TA-INGRESO TARDIO",IF(AND(OR(O172&gt;0,R172&gt;0),OR(CR172&gt;=140,CS172&gt;=90)),"DEFINIR ESTADIO HTA",IF(AND(OR(O172&gt;0,R172&gt;0),AND(CR172&gt;120,CR172&lt;=139)),"PRE HTA SEGUIMIENTO",IF(AND(OR(O172&gt;0,R172&gt;0),AND(CS172&gt;80,CS172&lt;=89)),"PRE HTA SEGUIMIENTO",IF(AND(OR(O172&gt;0,R172&gt;0),AND(CR172&gt;=80,CR172&lt;=120)),"APARENTEMENTE NORMAL",IF(AND(OR(O172&gt;0,R172&gt;0),AND(CS172&gt;=50,CS172&lt;=80)),"APARENTEMENTE NORMAL",IF(AND(OR(O172&gt;0,R172&gt;0),AND(CR172&gt;1,CR172&lt;=70),AND(CS172&gt;1,CS172&lt;=40)),"HIPOTENSIÓN","")))))))))</f>
        <v>NO APLICA REGISTRO TA-INGRESO TARDIO</v>
      </c>
      <c r="CU172" s="21">
        <v>90</v>
      </c>
      <c r="CV172" s="21">
        <v>60</v>
      </c>
      <c r="CW172" s="217" t="str">
        <f ca="1">IF(R172="","",IF(AND(CN172&gt;19,CN172&lt;27,Tabla1[[#This Row],[T.A. SISTOLICA (Entre semana 20 y 26)]]="",Tabla1[[#This Row],[T.A. DIATOLICA (Entre semana 20 y 26)]]=""),"ACUDE A CONTROL SEM 20 A 26 REGISTRE TA AHORA",IF(AND(BS172&gt;1,BS172&lt;27,BU172&gt;19,Tabla1[[#This Row],[T.A. SISTOLICA (Entre semana 20 y 26)]]="",Tabla1[[#This Row],[T.A. DIATOLICA (Entre semana 20 y 26)]]=""),"COMPLETE REGISTRO TA CONTROL SEM 20 A26 ",IF(AND(BS172&gt;26,BS172&lt;43,Tabla1[[#This Row],[T.A. SISTOLICA (Entre semana 20 y 26)]]="",Tabla1[[#This Row],[T.A. DIATOLICA (Entre semana 20 y 26)]]=""),"NO APLICA REGISTRO TA-INGRESO TARDIO",IF(AND(OR(O172&gt;0,R172&gt;0),OR(CU172&gt;=140,CV172&gt;=90)),"ALTO RIESGO PREECLAMPSIA,DEFINIR ESTADIO HTA",IF(AND(OR(O172&gt;0,R172&gt;0),AND(CU172&gt;120,CU172&lt;=139)),"PRE HTA SEGUIMIENTO,RIESGO HIPERTENSION INDUCIDA POR EL EMBARAZO",IF(AND(OR(O172&gt;0,R172&gt;0),AND(CV172&gt;80,CV172&lt;=89)),"PRE HTA SEGUIMIENTO, RIESGO HIPERTENSION INDUCIDA POR EL EMBARAZO",IF(AND(OR(O172&lt;&gt;"",R172&lt;&gt;""),CS172&lt;&gt;"",CV172&lt;&gt;"",CS172&lt;=CV172),"VIGILAR CIFRAS PRESION ARTERIAL",IF(AND(OR(O172&gt;0,R172&gt;0),AND(CU172&gt;120,CU172&lt;=139)),"PRE HTA SEGUIMIENTO",IF(AND(OR(O172&gt;0,R172&gt;0),AND(CU172&gt;1,CU172&lt;=70),AND(CV172&gt;1,CV172&lt;=40)),"HIPOTENSIÓN",IF(AND(OR(O172&lt;&gt;"",R172&lt;&gt;""),CS172&lt;&gt;"",CV172&lt;&gt;"",CS172&gt;CV172),"APARENTEMENTE NORMAL",IF(AND(OR(O172&gt;0,R172&gt;0),AND(CU172&gt;=80,CU172&lt;=120)),"APARENTEMENTE NORMAL",IF(AND(OR(O172&gt;0,R172&gt;0),AND(CV172&gt;=50,CV172&lt;=80)),"APARENTEMENTE NORMAL","")))))))))))))</f>
        <v>APARENTEMENTE NORMAL</v>
      </c>
      <c r="CX172" s="21">
        <v>90</v>
      </c>
      <c r="CY172" s="21">
        <v>60</v>
      </c>
      <c r="CZ172" s="216" t="str">
        <f t="shared" si="729"/>
        <v>APARENTEMENTE NORMAL</v>
      </c>
      <c r="DA172" s="21">
        <v>90</v>
      </c>
      <c r="DB172" s="21">
        <v>60</v>
      </c>
      <c r="DC172" s="217" t="str">
        <f t="shared" si="611"/>
        <v>APARENTEMENTE NORMAL</v>
      </c>
      <c r="DD172" s="22">
        <v>45062</v>
      </c>
      <c r="DE172" s="22">
        <v>45062</v>
      </c>
      <c r="DF172" s="22">
        <v>45140</v>
      </c>
      <c r="DG172" s="22"/>
      <c r="DH172" s="22"/>
      <c r="DI172" s="22"/>
      <c r="DJ172" s="22"/>
      <c r="DK172" s="22"/>
      <c r="DL172" s="22"/>
      <c r="DM172" s="22"/>
      <c r="DN172" s="22"/>
      <c r="DO172" s="22"/>
      <c r="DP172" s="22"/>
      <c r="DQ172" s="22"/>
      <c r="DR172" s="28">
        <v>0</v>
      </c>
      <c r="DS172" s="22"/>
      <c r="DT172" s="22"/>
      <c r="DU172" s="216" t="str">
        <f t="shared" ca="1" si="676"/>
        <v>CONCERTAR PLAN DE PARTO INMEDIATO</v>
      </c>
      <c r="DV172" s="226" t="str">
        <f t="shared" si="677"/>
        <v>ACTIVA INGRESO A CPN</v>
      </c>
      <c r="DW172"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72" s="216" t="e">
        <f t="shared" ca="1" si="612"/>
        <v>#REF!</v>
      </c>
      <c r="DY172" s="212">
        <f>IF(R172="","",IF(R172&gt;0,MAX(Tabla1[[#This Row],[FECHA C2]:[FECHA C13]],Tabla1[[#This Row],[FECHA CONSULTA PRIMERA VEZ PROGRAMA CPN ]])))</f>
        <v>45140</v>
      </c>
      <c r="DZ172" s="216">
        <f t="shared" si="613"/>
        <v>31</v>
      </c>
      <c r="EA172" s="222">
        <f>IF(R172&gt;0,SUM(COUNTA(DF172:DQ172)+COUNTA(Tabla1[[#This Row],[FECHA CONSULTA PRIMERA VEZ PROGRAMA CPN ]])),"")</f>
        <v>2</v>
      </c>
      <c r="EB172" s="222" t="str">
        <f t="shared" si="614"/>
        <v>NO</v>
      </c>
      <c r="EC172" s="214">
        <f t="shared" si="615"/>
        <v>7</v>
      </c>
      <c r="ED172" s="227">
        <f t="shared" si="616"/>
        <v>0.2857142857142857</v>
      </c>
      <c r="EE172" s="22">
        <v>45062</v>
      </c>
      <c r="EF172" s="22">
        <v>45121</v>
      </c>
      <c r="EG172" s="22">
        <v>45062</v>
      </c>
      <c r="EH172" s="22"/>
      <c r="EI172" s="22">
        <v>45062</v>
      </c>
      <c r="EJ172" s="22"/>
      <c r="EK172" s="22"/>
      <c r="EL172" s="21"/>
      <c r="EM172" s="21">
        <v>11.1</v>
      </c>
      <c r="EN172" s="22">
        <v>45066</v>
      </c>
      <c r="EO172" s="222">
        <f t="shared" si="617"/>
        <v>20.442857142856933</v>
      </c>
      <c r="EP172" s="214" t="str">
        <f t="shared" si="618"/>
        <v>NORMAL- SUMINISTRAR SULFATO FERROSO</v>
      </c>
      <c r="EQ172" s="216" t="str">
        <f t="shared" si="619"/>
        <v>II TRIM</v>
      </c>
      <c r="ER172" s="24"/>
      <c r="ES172" s="22"/>
      <c r="ET172" s="29" t="str">
        <f t="shared" ca="1" si="678"/>
        <v>TOMA DE HEMOGLOBINA TARDÍA</v>
      </c>
      <c r="EU172" s="25" t="str">
        <f t="shared" si="620"/>
        <v/>
      </c>
      <c r="EV172" s="24" t="s">
        <v>1510</v>
      </c>
      <c r="EW172" s="24">
        <v>45066</v>
      </c>
      <c r="EX172" s="22"/>
      <c r="EY172" s="29">
        <f t="shared" si="693"/>
        <v>20.442857142856933</v>
      </c>
      <c r="EZ172" s="25" t="str">
        <f t="shared" si="694"/>
        <v>SIN RIESGO DE ISOINMUNIZACIÓN</v>
      </c>
      <c r="FA172" s="21">
        <v>76</v>
      </c>
      <c r="FB172" s="22">
        <v>45066</v>
      </c>
      <c r="FC172" s="29">
        <f t="shared" si="621"/>
        <v>20.442857142856933</v>
      </c>
      <c r="FD172" s="29"/>
      <c r="FE172" s="29"/>
      <c r="FF172" s="29"/>
      <c r="FG172" s="21" t="str">
        <f t="shared" ca="1" si="622"/>
        <v/>
      </c>
      <c r="FH172" s="31"/>
      <c r="FI172" s="29" t="str">
        <f t="shared" si="623"/>
        <v>TOMAR EXAMEN</v>
      </c>
      <c r="FJ172" s="22"/>
      <c r="FK172" s="22"/>
      <c r="FL172" s="29" t="str">
        <f t="shared" ca="1" si="624"/>
        <v>NO APLICA-INGRESO TARDIO</v>
      </c>
      <c r="FM172" s="22" t="s">
        <v>867</v>
      </c>
      <c r="FN172" s="32">
        <v>45066</v>
      </c>
      <c r="FO172" s="29">
        <f t="shared" ca="1" si="679"/>
        <v>20.442857142856933</v>
      </c>
      <c r="FP172" s="22"/>
      <c r="FQ172" s="32"/>
      <c r="FR172" s="29" t="str">
        <f t="shared" ca="1" si="680"/>
        <v>TOMA INMEDIATA DE TAMIZAJE</v>
      </c>
      <c r="FS172" s="22"/>
      <c r="FT172" s="32"/>
      <c r="FU172" s="29" t="str">
        <f>IF(AND(FJ172="",FM172="",FP172="",FS172=""),"",IF(OR(OR(Tabla1[[#This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72" s="28"/>
      <c r="FW172" s="22"/>
      <c r="FX172" s="29" t="str">
        <f t="shared" si="625"/>
        <v>TOMAR EXAMEN</v>
      </c>
      <c r="FY172" s="22"/>
      <c r="FZ172" s="22"/>
      <c r="GA172" s="29" t="str">
        <f t="shared" ca="1" si="692"/>
        <v>NO APLICA-INGRESO TARDIO</v>
      </c>
      <c r="GB172" s="22" t="s">
        <v>868</v>
      </c>
      <c r="GC172" s="22">
        <v>45066</v>
      </c>
      <c r="GD172" s="29">
        <f t="shared" ca="1" si="681"/>
        <v>20.442857142856933</v>
      </c>
      <c r="GE172" s="22"/>
      <c r="GF172" s="22"/>
      <c r="GG172" s="29" t="str">
        <f t="shared" ca="1" si="682"/>
        <v>TOMA INMEDIATA DE TAMIZAJE</v>
      </c>
      <c r="GH172" s="22"/>
      <c r="GI172" s="29"/>
      <c r="GJ172" s="22"/>
      <c r="GK172" s="22"/>
      <c r="GL172" s="22"/>
      <c r="GM172" s="22"/>
      <c r="GN172" s="28" t="s">
        <v>869</v>
      </c>
      <c r="GO172" s="22">
        <v>45066</v>
      </c>
      <c r="GP172" s="29">
        <f t="shared" si="626"/>
        <v>20.442857142856933</v>
      </c>
      <c r="GQ172" s="28" t="s">
        <v>869</v>
      </c>
      <c r="GR172" s="28" t="s">
        <v>869</v>
      </c>
      <c r="GS172" s="22" t="str">
        <f t="shared" si="728"/>
        <v>CONTROL Igm</v>
      </c>
      <c r="GT172" s="22">
        <v>45066</v>
      </c>
      <c r="GU172" s="29">
        <f t="shared" si="628"/>
        <v>13.857142857142858</v>
      </c>
      <c r="GV172" s="21" t="str">
        <f t="shared" si="629"/>
        <v>II TRIM</v>
      </c>
      <c r="GW172" s="28" t="s">
        <v>869</v>
      </c>
      <c r="GX172" s="30"/>
      <c r="GY172" s="21"/>
      <c r="GZ172" s="21"/>
      <c r="HA172" s="21"/>
      <c r="HB172" s="21"/>
      <c r="HC172" s="21"/>
      <c r="HD172" s="21"/>
      <c r="HE172" s="21"/>
      <c r="HF172" s="22"/>
      <c r="HG172" s="22" t="str">
        <f>IF(OR(O172&gt;0,R172&gt;0),CONCATENATE(IF(Tabla1[[#This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72" s="22" t="e">
        <f t="shared" si="630"/>
        <v>#REF!</v>
      </c>
      <c r="HI172" s="22" t="e">
        <f t="shared" ca="1" si="631"/>
        <v>#REF!</v>
      </c>
      <c r="HJ172" s="21" t="str">
        <f t="shared" ca="1" si="632"/>
        <v>****************POLIHIDRAMNIOS***********************</v>
      </c>
      <c r="HK172" s="21" t="str">
        <f t="shared" si="633"/>
        <v>SIN ANTECEDENTES DE RIESGO</v>
      </c>
      <c r="HL172" s="24" t="str">
        <f t="shared" si="634"/>
        <v>APARENTEMENTE NORMAL</v>
      </c>
      <c r="HM172" s="21" t="e">
        <f t="shared" ca="1" si="635"/>
        <v>#REF!</v>
      </c>
      <c r="HN172" s="30" t="str">
        <f t="shared" si="683"/>
        <v>ACTIVA INGRESO A CPN</v>
      </c>
      <c r="HO172" s="21"/>
      <c r="HP172" s="21"/>
      <c r="HQ172" s="349">
        <v>45062</v>
      </c>
      <c r="HR172" s="21" t="str">
        <f>IF(R172="","",IF(Tabla1[[#This Row],[ALARMA FACTORES DE RIESGO COMPLICACIONES HIPERTENSIVAS3]]="SIN ANTECEDENTES DE RIESGO","No Aplica para suministro de ASA",IF(AND(Tabla1[[#This Row],[FECHA INICIO DE SUMINISTRO DE ASA]]&gt;0,RV172&lt;12),"Inicia ASA ANTES de Sem 12",IF(AND(RV172&gt;11,RV172&lt;17,OR(HK172="RIESGO ALTO DE COMPLICACIONES HIPERTENSIVAS VER MANEJO GUIA SUMINISTRO ASA Y CALCIO",HK172="RIESGO MODERADO (2 O MAS CRITERIOS) VER MANEJO GUIA SUMINISTRO ASA Y CALCIO")),"Inicio oportuno de ASA",IF(AND(RV172&gt;12,OR(HK172="RIESGO ALTO DE COMPLICACIONES HIPERTENSIVAS VER MANEJO GUIA SUMINISTRO ASA Y CALCIO",HK172="RIESGO MODERADO (2 O MAS CRITERIOS) VER MANEJO GUIA SUMINISTRO ASA Y CALCIO")),"Inicio no oportuno mayor a 16 semanas",IF(AND(BU172&lt;12,OR(HK172="RIESGO ALTO DE COMPLICACIONES HIPERTENSIVAS VER MANEJO GUIA SUMINISTRO ASA Y CALCIO",HK172="RIESGO MODERADO (2 O MAS CRITERIOS) VER MANEJO GUIA SUMINISTRO ASA Y CALCIO")),"Pendiente Inicio de ASA a la semana 12",IF(AND(BU172&gt;11,BU172&lt;17,OR(HK172="RIESGO ALTO DE COMPLICACIONES HIPERTENSIVAS VER MANEJO GUIA SUMINISTRO ASA Y CALCIO",HK172="RIESGO MODERADO (2 O MAS CRITERIOS) VER MANEJO GUIA SUMINISTRO ASA Y CALCIO")),"Iniciar de inmediato ASA",IF(AND(BU172&gt;16,OR(HK172="RIESGO ALTO DE COMPLICACIONES HIPERTENSIVAS VER MANEJO GUIA SUMINISTRO ASA Y CALCIO",HK172="RIESGO MODERADO (2 O MAS CRITERIOS) VER MANEJO GUIA SUMINISTRO ASA Y CALCIO")),"Pierde Oportunidad, Inicio tardío de ASA","XXXXX"))))))))</f>
        <v>No Aplica para suministro de ASA</v>
      </c>
      <c r="HS172" s="22">
        <v>45062</v>
      </c>
      <c r="HT172" s="22" t="s">
        <v>870</v>
      </c>
      <c r="HU172" s="22">
        <v>45062</v>
      </c>
      <c r="HV172" s="22" t="s">
        <v>870</v>
      </c>
      <c r="HW172" s="22">
        <v>45062</v>
      </c>
      <c r="HX172" s="22" t="s">
        <v>870</v>
      </c>
      <c r="HY172" s="22">
        <v>45065</v>
      </c>
      <c r="HZ172" s="28">
        <f t="shared" si="636"/>
        <v>20.299999999999791</v>
      </c>
      <c r="IA172" s="26" t="s">
        <v>854</v>
      </c>
      <c r="IB172" s="26"/>
      <c r="IC172" s="111"/>
      <c r="ID172" s="22"/>
      <c r="IE172" s="22" t="str">
        <f t="shared" ca="1" si="637"/>
        <v/>
      </c>
      <c r="IF172" s="22"/>
      <c r="IG172" s="22">
        <f t="shared" si="638"/>
        <v>45202.9</v>
      </c>
      <c r="IH172" s="29">
        <f t="shared" ca="1" si="639"/>
        <v>-29.099999999998545</v>
      </c>
      <c r="II172" s="22" t="str">
        <f t="shared" ca="1" si="640"/>
        <v>POSIBLEMENTE NACIO</v>
      </c>
      <c r="IJ172" s="22"/>
      <c r="IK172" s="21"/>
      <c r="IL172" s="21"/>
      <c r="IM172" s="34"/>
      <c r="IN172" s="22"/>
      <c r="IO172" s="21"/>
      <c r="IP172" s="29" t="str">
        <f t="shared" si="730"/>
        <v/>
      </c>
      <c r="IQ172" s="35"/>
      <c r="IR172" s="21"/>
      <c r="IS172" s="21"/>
      <c r="IT172" s="21"/>
      <c r="IU172" s="21"/>
      <c r="IV172" s="21"/>
      <c r="IW172" s="21"/>
      <c r="IX172" s="21"/>
      <c r="IY172" s="21"/>
      <c r="IZ172" s="21"/>
      <c r="JA172" s="21"/>
      <c r="JB172" s="30"/>
      <c r="JC172" s="21"/>
      <c r="JD172" s="36"/>
      <c r="JE172" s="21" t="str">
        <f t="shared" si="684"/>
        <v/>
      </c>
      <c r="JF172" s="30"/>
      <c r="JG172" s="21"/>
      <c r="JH172" s="21"/>
      <c r="JI172" s="21"/>
      <c r="JJ172" s="30"/>
      <c r="JK172" s="22"/>
      <c r="JL172" s="22"/>
      <c r="JM172" s="21"/>
      <c r="JN172" s="36"/>
      <c r="JO172" s="21" t="str">
        <f t="shared" si="685"/>
        <v/>
      </c>
      <c r="JP172" s="22"/>
      <c r="JQ172" s="21"/>
      <c r="JR172" s="21"/>
      <c r="JS172" s="21"/>
      <c r="JT172" s="30"/>
      <c r="JU172" s="22"/>
      <c r="JV172" s="22"/>
      <c r="JW172" s="33"/>
      <c r="JX172" s="28" t="str">
        <f t="shared" si="686"/>
        <v/>
      </c>
      <c r="JY172" s="33"/>
      <c r="JZ172" s="28" t="str">
        <f t="shared" si="687"/>
        <v/>
      </c>
      <c r="KA172" s="21"/>
      <c r="KB172" s="21"/>
      <c r="KC172" s="21"/>
      <c r="KD172" s="37"/>
      <c r="KE172" s="28"/>
      <c r="KF172" s="28"/>
      <c r="KG172" s="28"/>
      <c r="KH172" s="39"/>
      <c r="KI172" s="39"/>
      <c r="KJ172" s="66"/>
      <c r="KK172" s="39"/>
      <c r="KL172" s="39"/>
      <c r="KM172" s="66"/>
      <c r="KN172" s="39"/>
      <c r="KO172" s="39"/>
      <c r="KP172" s="39"/>
      <c r="KQ172" s="39"/>
      <c r="KR172" s="39"/>
      <c r="KS172" s="39"/>
      <c r="KT172" s="39"/>
      <c r="KU172" s="38"/>
      <c r="KV172" s="38"/>
      <c r="KW172" s="38"/>
      <c r="KX172" s="38"/>
      <c r="KY172" s="38"/>
      <c r="KZ172" s="38"/>
      <c r="LA172" s="38"/>
      <c r="LB172" s="38"/>
      <c r="LC172" s="38"/>
      <c r="LD172" s="38"/>
      <c r="LE172" s="38"/>
      <c r="LF172" s="38"/>
      <c r="LG172" s="38"/>
      <c r="LH172" s="38"/>
      <c r="LI172" s="38"/>
      <c r="LJ172" s="38"/>
      <c r="LK172" s="38"/>
      <c r="LL172" s="38"/>
      <c r="LM172" s="38"/>
      <c r="LN172" s="38"/>
      <c r="LO172" s="38"/>
      <c r="LP172" s="38"/>
      <c r="LQ172" s="38"/>
      <c r="LR172" s="38"/>
      <c r="LS172" s="38"/>
      <c r="LT172" s="38"/>
      <c r="LU172" s="38"/>
      <c r="LV172" s="38"/>
      <c r="LW172" s="38"/>
      <c r="LX172" s="38"/>
      <c r="LY172" s="38"/>
      <c r="LZ172" s="38"/>
      <c r="MA172" s="38"/>
      <c r="MB172" s="38"/>
      <c r="MC172" s="38"/>
      <c r="MD172" s="38"/>
      <c r="ME172" s="38"/>
      <c r="MF172" s="38"/>
      <c r="MG172" s="38"/>
      <c r="MH172" s="43">
        <f t="shared" si="697"/>
        <v>0</v>
      </c>
      <c r="MI172" s="43" t="str">
        <f t="shared" si="698"/>
        <v/>
      </c>
      <c r="MJ172" s="43" t="str">
        <f t="shared" si="699"/>
        <v/>
      </c>
      <c r="MK172" s="43">
        <f t="shared" si="700"/>
        <v>0</v>
      </c>
      <c r="ML17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72" s="43">
        <f t="shared" si="701"/>
        <v>19.871428571428364</v>
      </c>
      <c r="MN172" s="43">
        <f t="shared" si="702"/>
        <v>5</v>
      </c>
      <c r="MO172" s="43">
        <f t="shared" si="703"/>
        <v>2023</v>
      </c>
      <c r="MP172" s="43" t="str">
        <f t="shared" si="704"/>
        <v>II TRIMESTRE AÑO</v>
      </c>
      <c r="MQ172" s="43">
        <f t="shared" si="705"/>
        <v>24.477113447218571</v>
      </c>
      <c r="MR172" s="43">
        <f t="shared" si="706"/>
        <v>0</v>
      </c>
      <c r="MS172" s="43" t="str">
        <f t="shared" si="707"/>
        <v xml:space="preserve"> DE 20 A 24 AÑOS</v>
      </c>
      <c r="MT172" s="43">
        <f t="shared" si="708"/>
        <v>0</v>
      </c>
      <c r="MU172" s="43">
        <f t="shared" si="709"/>
        <v>0</v>
      </c>
      <c r="MV172" s="43">
        <f t="shared" si="710"/>
        <v>0</v>
      </c>
      <c r="MW172" s="43">
        <f t="shared" si="711"/>
        <v>0</v>
      </c>
      <c r="MX172" s="43" t="str">
        <f t="shared" si="712"/>
        <v/>
      </c>
      <c r="MY172" s="43" t="str">
        <f t="shared" ca="1" si="688"/>
        <v/>
      </c>
      <c r="MZ172" s="43" t="str">
        <f t="shared" si="713"/>
        <v/>
      </c>
      <c r="NA172" s="43" t="str">
        <f t="shared" si="714"/>
        <v/>
      </c>
      <c r="NB172" s="43" t="str">
        <f t="shared" si="715"/>
        <v/>
      </c>
      <c r="NC172" s="43" t="str">
        <f t="shared" si="716"/>
        <v/>
      </c>
      <c r="ND172" s="43">
        <f t="shared" ca="1" si="717"/>
        <v>2</v>
      </c>
      <c r="NE172" s="43">
        <f>IF(OR(O172&gt;0,R172&gt;0),SUM(COUNTIF(Tabla1[[#This Row],[AÑOS AL INICIO5 CPN]],"&gt;=40"),COUNTIF(AS172,"0"),COUNTIF(AR172,"SI"),COUNTIF(CC172,"SI"),COUNTIF(BQ172,"&gt;119"),COUNTIF(CI172,"&gt;=35")),"")</f>
        <v>0</v>
      </c>
      <c r="NF172" s="43" t="str">
        <f t="shared" si="718"/>
        <v/>
      </c>
      <c r="NG172" s="43">
        <f t="shared" si="719"/>
        <v>0</v>
      </c>
      <c r="NH172" s="43">
        <f t="shared" si="720"/>
        <v>198.1</v>
      </c>
      <c r="NI17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CPN",P172="NO"),"Z",IF(AND(Tabla1[[#This Row],[CITA PROXIMO CONTROL]]="CITA MANUAL",Tabla1[[#This Row],[GESTANTES ACTUALES]]="ACTIVA INGRESO A CPN"),"W",IF(AND(Tabla1[[#This Row],[GESTANTES ACTUALES]]="SALIO PROGRAMA",IN172=""),"S",IF(AND(Tabla1[[#This Row],[CITA PROXIMO CONTROL]]&gt;0,IN172=""),(Tabla1[[#This Row],[CITA PROXIMO CONTROL]]-TODAY()),"SD"))))))))</f>
        <v>#REF!</v>
      </c>
      <c r="NJ172" s="43">
        <f>MONTH(Tabla1[[#This Row],[FECHA DE SALIDA  DEL PROGRAMA]])</f>
        <v>1</v>
      </c>
      <c r="NK172" s="43">
        <f>YEAR(Tabla1[[#This Row],[FECHA DE SALIDA  DEL PROGRAMA]])</f>
        <v>1900</v>
      </c>
      <c r="NL172" s="43" t="str">
        <f t="shared" si="721"/>
        <v>X</v>
      </c>
      <c r="NM172" s="43" t="str">
        <f t="shared" si="695"/>
        <v>NO</v>
      </c>
      <c r="NN172" s="43" t="str">
        <f ca="1">IF(AND(O172&gt;0,R172=""),"NO CPN",IF(AND(O172="",R172=""),"",IF(AND(R172&gt;0,Tabla1[[#This Row],[SEMANAS DE GESTACION ACTUALIZADAS]]&lt;=12),"NO APLICA",IF(AND(FH172&lt;&gt;"",FN172&lt;&gt;""),"SI","NO"))))</f>
        <v>NO</v>
      </c>
      <c r="NO172" s="43" t="str">
        <f ca="1">IF(AND(O172&gt;0,R172=""),"NO CPN",IF(AND(O172="",R172=""),"",IF(AND(R172&gt;0,Tabla1[[#This Row],[SEMANAS DE GESTACION ACTUALIZADAS]]&lt;=27),"NO APLICA",IF(AND(ES172&lt;&gt;"",FQ172&lt;&gt;"",GF172&lt;&gt;""),"SI","NO"))))</f>
        <v>NO</v>
      </c>
      <c r="NP172" s="204" t="str">
        <f t="shared" si="722"/>
        <v>II TRIM</v>
      </c>
      <c r="NQ172" s="21" t="str">
        <f t="shared" si="731"/>
        <v/>
      </c>
      <c r="NR172" s="21" t="str">
        <f t="shared" ca="1" si="689"/>
        <v>REVISAR FUM O FECHA SALIDA PROGRAMA</v>
      </c>
      <c r="NS172" s="205">
        <f t="shared" ca="1" si="723"/>
        <v>1</v>
      </c>
      <c r="NT172" s="21">
        <f t="shared" ca="1" si="724"/>
        <v>1</v>
      </c>
      <c r="NU172" s="21" t="str">
        <f t="shared" ca="1" si="725"/>
        <v>POR DEFINIR</v>
      </c>
      <c r="NV172" s="21" t="str">
        <f t="shared" ca="1" si="726"/>
        <v>POR DEFINIR</v>
      </c>
      <c r="NW172" s="206" t="str">
        <f>IF(AND(O172="",R172=""),"",IF(OR(AND(Tabla1[[#This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72" s="207" t="str">
        <f t="shared" ca="1" si="727"/>
        <v>SIN VACUNAR</v>
      </c>
      <c r="NY172" s="43">
        <f>ROW(Tabla1[[#This Row],['# DE TAMIZAJES SIFILIS TOMADOS ]])</f>
        <v>172</v>
      </c>
      <c r="NZ172" s="43">
        <f t="shared" si="502"/>
        <v>19</v>
      </c>
      <c r="OA172" s="43" t="str">
        <f t="shared" si="503"/>
        <v/>
      </c>
      <c r="OB172" s="43" t="str">
        <f t="shared" si="504"/>
        <v/>
      </c>
      <c r="OC172" s="43" t="str">
        <f t="shared" si="505"/>
        <v/>
      </c>
      <c r="OD172" s="43" t="str">
        <f t="shared" si="506"/>
        <v/>
      </c>
      <c r="OE172" s="43" t="str">
        <f t="shared" si="507"/>
        <v/>
      </c>
      <c r="OF172" s="43" t="str">
        <f t="shared" si="508"/>
        <v/>
      </c>
      <c r="OG172" s="43" t="str">
        <f t="shared" si="509"/>
        <v/>
      </c>
      <c r="OH172" s="43" t="str">
        <f t="shared" si="510"/>
        <v/>
      </c>
      <c r="OI172" s="43" t="str">
        <f t="shared" si="511"/>
        <v/>
      </c>
      <c r="OJ172" s="43" t="str">
        <f t="shared" si="512"/>
        <v/>
      </c>
      <c r="OK172" s="43" t="str">
        <f t="shared" si="513"/>
        <v>NORMAL</v>
      </c>
      <c r="OL172" s="43" t="str">
        <f t="shared" si="514"/>
        <v/>
      </c>
      <c r="OM172" s="43" t="str">
        <f t="shared" si="515"/>
        <v/>
      </c>
      <c r="ON172" s="43" t="str">
        <f t="shared" si="516"/>
        <v/>
      </c>
      <c r="OO172" s="43" t="str">
        <f t="shared" si="517"/>
        <v/>
      </c>
      <c r="OP172" s="43" t="str">
        <f t="shared" si="518"/>
        <v/>
      </c>
      <c r="OQ172" s="43" t="str">
        <f t="shared" si="519"/>
        <v/>
      </c>
      <c r="OR172" s="43" t="str">
        <f t="shared" si="520"/>
        <v/>
      </c>
      <c r="OS172" s="43" t="str">
        <f t="shared" si="521"/>
        <v/>
      </c>
      <c r="OT172" s="43" t="str">
        <f t="shared" si="522"/>
        <v/>
      </c>
      <c r="OU172" s="43" t="str">
        <f t="shared" si="523"/>
        <v/>
      </c>
      <c r="OV172" s="110" t="str">
        <f t="shared" si="524"/>
        <v/>
      </c>
      <c r="OW172" s="43" t="str">
        <f t="shared" si="525"/>
        <v/>
      </c>
      <c r="OX172" s="43" t="str">
        <f t="shared" si="526"/>
        <v/>
      </c>
      <c r="OY172" s="43" t="str">
        <f t="shared" si="527"/>
        <v/>
      </c>
      <c r="OZ172" s="43" t="str">
        <f t="shared" si="528"/>
        <v/>
      </c>
      <c r="PA172" s="43" t="str">
        <f t="shared" si="529"/>
        <v/>
      </c>
      <c r="PB172" s="43" t="str">
        <f t="shared" si="530"/>
        <v/>
      </c>
      <c r="PC172" s="43" t="str">
        <f t="shared" si="531"/>
        <v/>
      </c>
      <c r="PD172" s="43" t="str">
        <f t="shared" si="532"/>
        <v/>
      </c>
      <c r="PE172" s="43" t="str">
        <f t="shared" si="533"/>
        <v/>
      </c>
      <c r="PF172" s="43" t="str">
        <f t="shared" si="534"/>
        <v/>
      </c>
      <c r="PG172" s="43" t="str">
        <f t="shared" si="535"/>
        <v/>
      </c>
      <c r="PH172" s="43" t="str">
        <f t="shared" si="536"/>
        <v/>
      </c>
      <c r="PI172" s="43">
        <f t="shared" si="537"/>
        <v>31</v>
      </c>
      <c r="PJ172" s="43" t="str">
        <f t="shared" si="538"/>
        <v/>
      </c>
      <c r="PK172" s="43" t="str">
        <f t="shared" si="539"/>
        <v/>
      </c>
      <c r="PL172" s="43" t="str">
        <f t="shared" si="540"/>
        <v/>
      </c>
      <c r="PM172" s="43" t="str">
        <f t="shared" si="541"/>
        <v/>
      </c>
      <c r="PN172" s="43" t="str">
        <f t="shared" si="542"/>
        <v/>
      </c>
      <c r="PO172" s="43" t="str">
        <f t="shared" si="543"/>
        <v/>
      </c>
      <c r="PP172" s="43" t="str">
        <f t="shared" si="544"/>
        <v/>
      </c>
      <c r="PQ172" s="43" t="str">
        <f t="shared" si="545"/>
        <v/>
      </c>
      <c r="PR172" s="43" t="str">
        <f t="shared" si="546"/>
        <v/>
      </c>
      <c r="PS172" s="43" t="str">
        <f t="shared" si="547"/>
        <v/>
      </c>
      <c r="PT172" s="43" t="str">
        <f t="shared" si="548"/>
        <v/>
      </c>
      <c r="PU172" s="43" t="str">
        <f t="shared" si="549"/>
        <v/>
      </c>
      <c r="PV172" s="43" t="str">
        <f t="shared" si="550"/>
        <v/>
      </c>
      <c r="PW172" s="43" t="str">
        <f t="shared" si="551"/>
        <v/>
      </c>
      <c r="PX172" s="43" t="str">
        <f t="shared" si="552"/>
        <v/>
      </c>
      <c r="PY172" s="43" t="str">
        <f t="shared" si="553"/>
        <v/>
      </c>
      <c r="PZ172" s="43" t="str">
        <f t="shared" si="554"/>
        <v/>
      </c>
      <c r="QA172" s="43" t="str">
        <f t="shared" si="555"/>
        <v/>
      </c>
      <c r="QB172" s="43" t="str">
        <f t="shared" si="556"/>
        <v/>
      </c>
      <c r="QC172" s="43" t="str">
        <f t="shared" si="557"/>
        <v/>
      </c>
      <c r="QD172" s="43" t="str">
        <f t="shared" si="558"/>
        <v/>
      </c>
      <c r="QE172" s="43" t="str">
        <f t="shared" si="559"/>
        <v/>
      </c>
      <c r="QF172" s="43" t="str">
        <f t="shared" si="560"/>
        <v>NORMAL</v>
      </c>
      <c r="QG172" s="43" t="str">
        <f t="shared" si="561"/>
        <v/>
      </c>
      <c r="QH172" s="43" t="str">
        <f t="shared" si="562"/>
        <v/>
      </c>
      <c r="QI172" s="43" t="str">
        <f t="shared" si="563"/>
        <v/>
      </c>
      <c r="QJ172" s="43" t="str">
        <f t="shared" si="564"/>
        <v/>
      </c>
      <c r="QK172" s="43" t="str">
        <f t="shared" si="565"/>
        <v/>
      </c>
      <c r="QL172" s="43" t="str">
        <f t="shared" si="566"/>
        <v/>
      </c>
      <c r="QM172" s="43" t="str">
        <f t="shared" si="567"/>
        <v/>
      </c>
      <c r="QN172" s="43" t="str">
        <f t="shared" si="568"/>
        <v/>
      </c>
      <c r="QO172" s="43" t="str">
        <f t="shared" si="569"/>
        <v/>
      </c>
      <c r="QP172" s="43" t="str">
        <f t="shared" si="570"/>
        <v/>
      </c>
      <c r="QQ172" s="43" t="str">
        <f t="shared" si="571"/>
        <v/>
      </c>
      <c r="QR172" s="43">
        <f t="shared" si="672"/>
        <v>31</v>
      </c>
      <c r="QS172" s="43"/>
      <c r="QT172" s="21" t="str">
        <f t="shared" si="572"/>
        <v/>
      </c>
      <c r="QU172" s="21" t="str">
        <f t="shared" si="573"/>
        <v/>
      </c>
      <c r="QV172" s="21" t="str">
        <f t="shared" si="574"/>
        <v/>
      </c>
      <c r="QW172" s="21" t="str">
        <f t="shared" si="575"/>
        <v/>
      </c>
      <c r="QX172" s="21" t="str">
        <f t="shared" si="576"/>
        <v/>
      </c>
      <c r="QY172" s="21" t="str">
        <f t="shared" si="577"/>
        <v/>
      </c>
      <c r="QZ172" s="21" t="str">
        <f t="shared" si="578"/>
        <v/>
      </c>
      <c r="RA172" s="21" t="str">
        <f t="shared" si="579"/>
        <v/>
      </c>
      <c r="RB172" s="21" t="str">
        <f t="shared" si="580"/>
        <v/>
      </c>
      <c r="RC172" s="21" t="str">
        <f t="shared" si="581"/>
        <v/>
      </c>
      <c r="RD172" s="21" t="str">
        <f t="shared" si="582"/>
        <v/>
      </c>
      <c r="RE172" s="21" t="str">
        <f t="shared" si="583"/>
        <v/>
      </c>
      <c r="RF172" s="21" t="str">
        <f t="shared" si="584"/>
        <v/>
      </c>
      <c r="RG172" s="21" t="str">
        <f t="shared" si="585"/>
        <v/>
      </c>
      <c r="RH172" s="21" t="str">
        <f t="shared" si="586"/>
        <v/>
      </c>
      <c r="RI172" s="21" t="str">
        <f t="shared" si="587"/>
        <v/>
      </c>
      <c r="RJ172" s="21" t="str">
        <f t="shared" si="588"/>
        <v/>
      </c>
      <c r="RK172" s="21" t="str">
        <f t="shared" si="589"/>
        <v/>
      </c>
      <c r="RL172" s="21" t="str">
        <f t="shared" si="590"/>
        <v>ALTO PARA EDAD GESTACIONAL</v>
      </c>
      <c r="RM172" s="21" t="str">
        <f t="shared" si="591"/>
        <v/>
      </c>
      <c r="RN172" s="21" t="str">
        <f t="shared" si="592"/>
        <v/>
      </c>
      <c r="RO172" s="21" t="str">
        <f t="shared" si="593"/>
        <v/>
      </c>
      <c r="RP172" s="21" t="str">
        <f t="shared" si="594"/>
        <v/>
      </c>
      <c r="RQ172" s="21" t="str">
        <f t="shared" si="595"/>
        <v/>
      </c>
      <c r="RR172" s="21" t="str">
        <f t="shared" si="596"/>
        <v/>
      </c>
      <c r="RS172" s="21" t="str">
        <f t="shared" si="597"/>
        <v/>
      </c>
      <c r="RT172" s="21" t="str">
        <f t="shared" si="598"/>
        <v/>
      </c>
      <c r="RU172" s="21" t="str">
        <f t="shared" si="599"/>
        <v/>
      </c>
      <c r="RV172" s="21">
        <f t="shared" si="600"/>
        <v>19.871428571428364</v>
      </c>
      <c r="RW172" s="284">
        <f>IF(OR(Tabla1[[#This Row],[FUM FORMULA CONFIABLE]]="",Tabla1[[#This Row],[FUM FORMULA CONFIABLE]]="SD"),"",IF(Tabla1[[#This Row],[FUM FORMULA CONFIABLE]]="CORREGIDA",Tabla1[[#This Row],[FUM X ECO 1]],Tabla1[[#This Row],[FUM x AMENORREA]]))</f>
        <v>44922.9</v>
      </c>
      <c r="RX172" s="21">
        <f>IF(AND(Tabla1[[#This Row],[FUM X ECO 1]]="",Tabla1[[#This Row],[FUM x AMENORREA]]=""),"",IF(AND(Tabla1[[#This Row],[FUM X ECO 1]]="",Tabla1[[#This Row],[FUM x AMENORREA]]&lt;&gt;""),"X",SUM(Tabla1[[#This Row],[FUM X ECO 1]]-Tabla1[[#This Row],[FUM x AMENORREA]])))</f>
        <v>-46.099999999998545</v>
      </c>
      <c r="RY172" s="21">
        <f t="shared" si="673"/>
        <v>1</v>
      </c>
    </row>
    <row r="173" spans="1:493" ht="45" customHeight="1" x14ac:dyDescent="0.25">
      <c r="A173" s="109"/>
      <c r="B173" s="43"/>
      <c r="C173" s="43" t="s">
        <v>845</v>
      </c>
      <c r="D173" s="124"/>
      <c r="E173" s="43" t="s">
        <v>1365</v>
      </c>
      <c r="F173" s="43" t="s">
        <v>857</v>
      </c>
      <c r="G173" s="43" t="s">
        <v>1217</v>
      </c>
      <c r="H173" s="43" t="s">
        <v>1487</v>
      </c>
      <c r="I173" s="109" t="s">
        <v>851</v>
      </c>
      <c r="J173" s="110" t="s">
        <v>1488</v>
      </c>
      <c r="K173" s="43" t="s">
        <v>852</v>
      </c>
      <c r="L173" s="175"/>
      <c r="M173" s="22">
        <v>32971</v>
      </c>
      <c r="N173" s="213">
        <f t="shared" ca="1" si="601"/>
        <v>33.591780821917808</v>
      </c>
      <c r="O173" s="22">
        <v>45063</v>
      </c>
      <c r="P173" s="214" t="str">
        <f t="shared" si="675"/>
        <v>SI</v>
      </c>
      <c r="Q173" s="26" t="s">
        <v>855</v>
      </c>
      <c r="R173" s="22">
        <v>45063</v>
      </c>
      <c r="S173" s="21" t="s">
        <v>856</v>
      </c>
      <c r="T173" s="24" t="s">
        <v>690</v>
      </c>
      <c r="U173" s="21" t="s">
        <v>857</v>
      </c>
      <c r="V173" s="21" t="s">
        <v>858</v>
      </c>
      <c r="W173" s="21" t="s">
        <v>887</v>
      </c>
      <c r="X173" s="21"/>
      <c r="Y173" s="21"/>
      <c r="Z173" s="21">
        <v>3127048251</v>
      </c>
      <c r="AA173" s="21" t="s">
        <v>860</v>
      </c>
      <c r="AB173" s="27" t="s">
        <v>861</v>
      </c>
      <c r="AC173" s="26" t="s">
        <v>888</v>
      </c>
      <c r="AD173" s="38" t="s">
        <v>846</v>
      </c>
      <c r="AE173" s="26" t="s">
        <v>854</v>
      </c>
      <c r="AF173" s="26" t="s">
        <v>854</v>
      </c>
      <c r="AG173" s="23" t="s">
        <v>864</v>
      </c>
      <c r="AH173" s="23" t="s">
        <v>864</v>
      </c>
      <c r="AI173" s="24" t="s">
        <v>863</v>
      </c>
      <c r="AJ173" s="23" t="s">
        <v>864</v>
      </c>
      <c r="AK173" s="220" t="str">
        <f>IF(AND(AD173="",AE173="",AF173="",AG173="",AH173="",AI173="",AJ173=""),"",IF(OR(Tabla1[[#This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EVALUACIÓN",IF(AND(O173="",R173=""),"",IF(AND(OR(O173&gt;0,R173&gt;0),NG173&gt;=0,NG173&lt;2),"SIN RIESGO",IF(AND(OR(O173&gt;0,R173&gt;0),NG173&gt;=2),"CON RIESGO","ASD")))))</f>
        <v>SIN RIESGO</v>
      </c>
      <c r="AL173" s="23" t="s">
        <v>864</v>
      </c>
      <c r="AM173" s="26" t="s">
        <v>864</v>
      </c>
      <c r="AN173" s="26" t="s">
        <v>864</v>
      </c>
      <c r="AO173" s="26" t="s">
        <v>864</v>
      </c>
      <c r="AP173" s="26" t="s">
        <v>864</v>
      </c>
      <c r="AQ173" s="26" t="s">
        <v>864</v>
      </c>
      <c r="AR173" s="26" t="s">
        <v>864</v>
      </c>
      <c r="AS173" s="21">
        <v>2</v>
      </c>
      <c r="AT173" s="21">
        <v>2</v>
      </c>
      <c r="AU173" s="21">
        <v>0</v>
      </c>
      <c r="AV173" s="26" t="s">
        <v>864</v>
      </c>
      <c r="AW173" s="21">
        <v>0</v>
      </c>
      <c r="AX173" s="26" t="s">
        <v>864</v>
      </c>
      <c r="AY173" s="26" t="s">
        <v>864</v>
      </c>
      <c r="AZ173" s="26" t="s">
        <v>864</v>
      </c>
      <c r="BA173" s="26" t="s">
        <v>864</v>
      </c>
      <c r="BB173" s="26" t="s">
        <v>864</v>
      </c>
      <c r="BC173" s="26" t="s">
        <v>864</v>
      </c>
      <c r="BD173" s="26" t="s">
        <v>864</v>
      </c>
      <c r="BE173" s="26" t="s">
        <v>864</v>
      </c>
      <c r="BF173" s="26" t="s">
        <v>864</v>
      </c>
      <c r="BG173" s="26" t="s">
        <v>864</v>
      </c>
      <c r="BH173" s="26" t="s">
        <v>864</v>
      </c>
      <c r="BI173" s="26" t="s">
        <v>864</v>
      </c>
      <c r="BJ173" s="26"/>
      <c r="BK173" s="26" t="s">
        <v>864</v>
      </c>
      <c r="BL173" s="26" t="s">
        <v>864</v>
      </c>
      <c r="BM173" s="26" t="s">
        <v>864</v>
      </c>
      <c r="BN173" s="22"/>
      <c r="BO173" s="22">
        <v>44942</v>
      </c>
      <c r="BP173" s="21" t="s">
        <v>1380</v>
      </c>
      <c r="BQ173" s="222">
        <f t="shared" si="602"/>
        <v>0</v>
      </c>
      <c r="BR173" s="223">
        <f t="shared" si="603"/>
        <v>44839.8</v>
      </c>
      <c r="BS173" s="224">
        <f t="shared" si="604"/>
        <v>31.88571428571387</v>
      </c>
      <c r="BT173" s="216" t="str">
        <f t="shared" si="605"/>
        <v>III TRIM</v>
      </c>
      <c r="BU173" s="214" t="str">
        <f t="shared" ca="1" si="606"/>
        <v/>
      </c>
      <c r="BV173" s="25" t="s">
        <v>988</v>
      </c>
      <c r="BW173" s="22">
        <v>44942</v>
      </c>
      <c r="BX173" s="28">
        <v>14.6</v>
      </c>
      <c r="BY173" s="28" t="s">
        <v>988</v>
      </c>
      <c r="BZ173" s="22">
        <v>45051</v>
      </c>
      <c r="CA173" s="21">
        <v>14.3</v>
      </c>
      <c r="CB173" s="26" t="s">
        <v>864</v>
      </c>
      <c r="CC173" s="26" t="s">
        <v>864</v>
      </c>
      <c r="CD173" s="26"/>
      <c r="CE173" s="26" t="s">
        <v>864</v>
      </c>
      <c r="CF173" s="22" t="s">
        <v>1517</v>
      </c>
      <c r="CG173" s="21">
        <v>1.4</v>
      </c>
      <c r="CH173" s="21">
        <v>39.200000000000003</v>
      </c>
      <c r="CI173" s="214">
        <f t="shared" si="607"/>
        <v>20.000000000000004</v>
      </c>
      <c r="CJ173" s="225" t="e">
        <f>IF(AND(CI173&lt;10,CH173="SD"),"SIN DATO PESO PREGESTACION O I TRIM",IF(AND(OR(R173&gt;0,O173&gt;0),CI173="X"),"INGRESAR DATO DE PESO",IF(CI173="SD","INGRESAR DATO DE TALLA Y PESO",IF(AND(OR(Tabla1[[#This Row],[MOMENTO EN QUE SE REALIZA EL PESO AL INGRESO A CPN]]="PREGESTACIÓN",NZ173="Menor"),CI173&lt;18.5),"BAJO PESO",IF(AND(OR(Tabla1[[#This Row],[MOMENTO EN QUE SE REALIZA EL PESO AL INGRESO A CPN]]="PREGESTACIÓN",NZ173="Menor"),CI173&lt;25),"NORMAL",IF(AND(OR(Tabla1[[#This Row],[MOMENTO EN QUE SE REALIZA EL PESO AL INGRESO A CPN]]="PREGESTACIÓN",NZ173="Menor"),CI173&lt;30),"SOBREPESO",IF(AND(OR(Tabla1[[#This Row],[MOMENTO EN QUE SE REALIZA EL PESO AL INGRESO A CPN]]="PREGESTACIÓN",NZ173="Menor"),CI173&gt;=30,CI173&lt;50),"OBESIDAD",IF(AND(BS173&gt;0,Tabla1[[#This Row],[MOMENTO EN QUE SE REALIZA EL PESO AL INGRESO A CPN]]="GESTACIÓN"),HLOOKUP(NZ173,$OA$2:PH173,NY173),""))))))))</f>
        <v>#REF!</v>
      </c>
      <c r="CK173" s="212">
        <f t="shared" si="608"/>
        <v>45155</v>
      </c>
      <c r="CL173" s="21">
        <v>43</v>
      </c>
      <c r="CM173" s="214">
        <f t="shared" si="609"/>
        <v>21.938775510204085</v>
      </c>
      <c r="CN173" s="216">
        <f t="shared" si="610"/>
        <v>45</v>
      </c>
      <c r="CO173" s="216" t="e">
        <f>IF(PI173="","",IF(PI173&gt;0,HLOOKUP(PI173,$PJ$2:QQ173,NY173),""))</f>
        <v>#REF!</v>
      </c>
      <c r="CP173" s="21"/>
      <c r="CQ173" s="216" t="e">
        <f>IF(QR173="Menor","NO APLICA-MENOR 13 SEM",IF(AND(CC173="SI",CN173&gt;23),"NO APLICA- GEMELAR",IF(QR173="","",IF(QR173&gt;0,HLOOKUP(QR173,$QS$2:RU173,NY173),""))))</f>
        <v>#REF!</v>
      </c>
      <c r="CR173" s="21"/>
      <c r="CS173" s="21"/>
      <c r="CT173" s="217" t="str">
        <f>IF(R173="","",IF(AND(BS173&gt;1,BS173&lt;12,Tabla1[[#This Row],[T.A. SISTOLICA - ANTES DE SEMANA 12]]="",Tabla1[[#This Row],[T.A. DIASTOLICA - ANTES DE SEMANA 12]]=""),"REGISTRE DATO TA ANTES SEMANA 12",IF(AND(BS173&gt;11,BS173&lt;43,Tabla1[[#This Row],[T.A. SISTOLICA - ANTES DE SEMANA 12]]="",Tabla1[[#This Row],[T.A. DIASTOLICA - ANTES DE SEMANA 12]]=""),"NO APLICA REGISTRO TA-INGRESO TARDIO",IF(AND(OR(O173&gt;0,R173&gt;0),OR(CR173&gt;=140,CS173&gt;=90)),"DEFINIR ESTADIO HTA",IF(AND(OR(O173&gt;0,R173&gt;0),AND(CR173&gt;120,CR173&lt;=139)),"PRE HTA SEGUIMIENTO",IF(AND(OR(O173&gt;0,R173&gt;0),AND(CS173&gt;80,CS173&lt;=89)),"PRE HTA SEGUIMIENTO",IF(AND(OR(O173&gt;0,R173&gt;0),AND(CR173&gt;=80,CR173&lt;=120)),"APARENTEMENTE NORMAL",IF(AND(OR(O173&gt;0,R173&gt;0),AND(CS173&gt;=50,CS173&lt;=80)),"APARENTEMENTE NORMAL",IF(AND(OR(O173&gt;0,R173&gt;0),AND(CR173&gt;1,CR173&lt;=70),AND(CS173&gt;1,CS173&lt;=40)),"HIPOTENSIÓN","")))))))))</f>
        <v>NO APLICA REGISTRO TA-INGRESO TARDIO</v>
      </c>
      <c r="CU173" s="21"/>
      <c r="CV173" s="21"/>
      <c r="CW173" s="217" t="str">
        <f ca="1">IF(R173="","",IF(AND(CN173&gt;19,CN173&lt;27,Tabla1[[#This Row],[T.A. SISTOLICA (Entre semana 20 y 26)]]="",Tabla1[[#This Row],[T.A. DIATOLICA (Entre semana 20 y 26)]]=""),"ACUDE A CONTROL SEM 20 A 26 REGISTRE TA AHORA",IF(AND(BS173&gt;1,BS173&lt;27,BU173&gt;19,Tabla1[[#This Row],[T.A. SISTOLICA (Entre semana 20 y 26)]]="",Tabla1[[#This Row],[T.A. DIATOLICA (Entre semana 20 y 26)]]=""),"COMPLETE REGISTRO TA CONTROL SEM 20 A26 ",IF(AND(BS173&gt;26,BS173&lt;43,Tabla1[[#This Row],[T.A. SISTOLICA (Entre semana 20 y 26)]]="",Tabla1[[#This Row],[T.A. DIATOLICA (Entre semana 20 y 26)]]=""),"NO APLICA REGISTRO TA-INGRESO TARDIO",IF(AND(OR(O173&gt;0,R173&gt;0),OR(CU173&gt;=140,CV173&gt;=90)),"ALTO RIESGO PREECLAMPSIA,DEFINIR ESTADIO HTA",IF(AND(OR(O173&gt;0,R173&gt;0),AND(CU173&gt;120,CU173&lt;=139)),"PRE HTA SEGUIMIENTO,RIESGO HIPERTENSION INDUCIDA POR EL EMBARAZO",IF(AND(OR(O173&gt;0,R173&gt;0),AND(CV173&gt;80,CV173&lt;=89)),"PRE HTA SEGUIMIENTO, RIESGO HIPERTENSION INDUCIDA POR EL EMBARAZO",IF(AND(OR(O173&lt;&gt;"",R173&lt;&gt;""),CS173&lt;&gt;"",CV173&lt;&gt;"",CS173&lt;=CV173),"VIGILAR CIFRAS PRESION ARTERIAL",IF(AND(OR(O173&gt;0,R173&gt;0),AND(CU173&gt;120,CU173&lt;=139)),"PRE HTA SEGUIMIENTO",IF(AND(OR(O173&gt;0,R173&gt;0),AND(CU173&gt;1,CU173&lt;=70),AND(CV173&gt;1,CV173&lt;=40)),"HIPOTENSIÓN",IF(AND(OR(O173&lt;&gt;"",R173&lt;&gt;""),CS173&lt;&gt;"",CV173&lt;&gt;"",CS173&gt;CV173),"APARENTEMENTE NORMAL",IF(AND(OR(O173&gt;0,R173&gt;0),AND(CU173&gt;=80,CU173&lt;=120)),"APARENTEMENTE NORMAL",IF(AND(OR(O173&gt;0,R173&gt;0),AND(CV173&gt;=50,CV173&lt;=80)),"APARENTEMENTE NORMAL","")))))))))))))</f>
        <v>NO APLICA REGISTRO TA-INGRESO TARDIO</v>
      </c>
      <c r="CX173" s="21"/>
      <c r="CY173" s="21"/>
      <c r="CZ173" s="216" t="str">
        <f t="shared" si="729"/>
        <v/>
      </c>
      <c r="DA173" s="21">
        <v>90</v>
      </c>
      <c r="DB173" s="21">
        <v>60</v>
      </c>
      <c r="DC173" s="217" t="str">
        <f t="shared" si="611"/>
        <v>APARENTEMENTE NORMAL</v>
      </c>
      <c r="DD173" s="22">
        <v>45063</v>
      </c>
      <c r="DE173" s="22">
        <v>45063</v>
      </c>
      <c r="DF173" s="22">
        <v>45155</v>
      </c>
      <c r="DG173" s="22"/>
      <c r="DH173" s="22"/>
      <c r="DI173" s="22"/>
      <c r="DJ173" s="22"/>
      <c r="DK173" s="22"/>
      <c r="DL173" s="22"/>
      <c r="DM173" s="22"/>
      <c r="DN173" s="22"/>
      <c r="DO173" s="22"/>
      <c r="DP173" s="22"/>
      <c r="DQ173" s="22"/>
      <c r="DR173" s="28">
        <v>0</v>
      </c>
      <c r="DS173" s="22"/>
      <c r="DT173" s="22"/>
      <c r="DU173" s="216" t="str">
        <f t="shared" ca="1" si="676"/>
        <v>CONCERTAR PLAN DE PARTO INMEDIATO</v>
      </c>
      <c r="DV173" s="226" t="str">
        <f t="shared" si="677"/>
        <v>ACTIVA INGRESO A CPN</v>
      </c>
      <c r="DW173"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
      </c>
      <c r="DX173" s="216" t="e">
        <f t="shared" ca="1" si="612"/>
        <v>#VALUE!</v>
      </c>
      <c r="DY173" s="212">
        <f>IF(R173="","",IF(R173&gt;0,MAX(Tabla1[[#This Row],[FECHA C2]:[FECHA C13]],Tabla1[[#This Row],[FECHA CONSULTA PRIMERA VEZ PROGRAMA CPN ]])))</f>
        <v>45155</v>
      </c>
      <c r="DZ173" s="216">
        <f t="shared" si="613"/>
        <v>45</v>
      </c>
      <c r="EA173" s="222">
        <f>IF(R173&gt;0,SUM(COUNTA(DF173:DQ173)+COUNTA(Tabla1[[#This Row],[FECHA CONSULTA PRIMERA VEZ PROGRAMA CPN ]])),"")</f>
        <v>2</v>
      </c>
      <c r="EB173" s="222" t="str">
        <f t="shared" si="614"/>
        <v>NO</v>
      </c>
      <c r="EC173" s="214">
        <f t="shared" si="615"/>
        <v>4</v>
      </c>
      <c r="ED173" s="227">
        <f t="shared" si="616"/>
        <v>0.5</v>
      </c>
      <c r="EE173" s="22">
        <v>45063</v>
      </c>
      <c r="EF173" s="22"/>
      <c r="EG173" s="22">
        <v>45063</v>
      </c>
      <c r="EH173" s="22"/>
      <c r="EI173" s="22">
        <v>45063</v>
      </c>
      <c r="EJ173" s="22"/>
      <c r="EK173" s="22"/>
      <c r="EL173" s="21"/>
      <c r="EM173" s="21">
        <v>11.1</v>
      </c>
      <c r="EN173" s="22">
        <v>45063</v>
      </c>
      <c r="EO173" s="222">
        <f t="shared" si="617"/>
        <v>31.88571428571387</v>
      </c>
      <c r="EP173" s="214" t="str">
        <f t="shared" si="618"/>
        <v>NORMAL- SUMINISTRAR SULFATO FERROSO</v>
      </c>
      <c r="EQ173" s="216" t="str">
        <f t="shared" si="619"/>
        <v>III TRIM</v>
      </c>
      <c r="ER173" s="24"/>
      <c r="ES173" s="22"/>
      <c r="ET173" s="29" t="str">
        <f t="shared" ca="1" si="678"/>
        <v>TOMA DE HEMOGLOBINA TARDÍA</v>
      </c>
      <c r="EU173" s="25" t="str">
        <f t="shared" si="620"/>
        <v/>
      </c>
      <c r="EV173" s="24" t="s">
        <v>866</v>
      </c>
      <c r="EW173" s="24">
        <v>45063</v>
      </c>
      <c r="EX173" s="22"/>
      <c r="EY173" s="29">
        <f t="shared" si="693"/>
        <v>31.88571428571387</v>
      </c>
      <c r="EZ173" s="25" t="str">
        <f t="shared" ca="1" si="694"/>
        <v/>
      </c>
      <c r="FA173" s="21">
        <v>71</v>
      </c>
      <c r="FB173" s="22">
        <v>45063</v>
      </c>
      <c r="FC173" s="29" t="str">
        <f t="shared" si="621"/>
        <v>NO APLICA &gt; 23 SEM -TOMAR PTOG</v>
      </c>
      <c r="FD173" s="29"/>
      <c r="FE173" s="29"/>
      <c r="FF173" s="29"/>
      <c r="FG173" s="21" t="str">
        <f t="shared" ca="1" si="622"/>
        <v/>
      </c>
      <c r="FH173" s="31"/>
      <c r="FI173" s="29" t="str">
        <f t="shared" si="623"/>
        <v>TOMAR EXAMEN</v>
      </c>
      <c r="FJ173" s="22"/>
      <c r="FK173" s="22"/>
      <c r="FL173" s="29" t="str">
        <f t="shared" ca="1" si="624"/>
        <v>NO APLICA-INGRESO TARDIO</v>
      </c>
      <c r="FM173" s="22" t="s">
        <v>867</v>
      </c>
      <c r="FN173" s="32">
        <v>45063</v>
      </c>
      <c r="FO173" s="29" t="str">
        <f t="shared" ca="1" si="679"/>
        <v>REGISTRAR EN III TRIMESTRE</v>
      </c>
      <c r="FP173" s="22"/>
      <c r="FQ173" s="32"/>
      <c r="FR173" s="29" t="str">
        <f t="shared" ca="1" si="680"/>
        <v>TOMA INMEDIATA DE TAMIZAJE</v>
      </c>
      <c r="FS173" s="22"/>
      <c r="FT173" s="32"/>
      <c r="FU173" s="29" t="str">
        <f>IF(AND(FJ173="",FM173="",FP173="",FS173=""),"",IF(OR(OR(Tabla1[[#This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73" s="28"/>
      <c r="FW173" s="22"/>
      <c r="FX173" s="29" t="str">
        <f t="shared" si="625"/>
        <v>TOMAR EXAMEN</v>
      </c>
      <c r="FY173" s="22">
        <v>45063</v>
      </c>
      <c r="FZ173" s="22" t="s">
        <v>1489</v>
      </c>
      <c r="GA173" s="29" t="e">
        <f t="shared" si="692"/>
        <v>#VALUE!</v>
      </c>
      <c r="GB173" s="22" t="s">
        <v>868</v>
      </c>
      <c r="GC173" s="22">
        <v>45063</v>
      </c>
      <c r="GD173" s="29" t="str">
        <f t="shared" ca="1" si="681"/>
        <v>REGISTRAR EN III TRIMESTRE</v>
      </c>
      <c r="GE173" s="22"/>
      <c r="GF173" s="22"/>
      <c r="GG173" s="29" t="str">
        <f t="shared" ca="1" si="682"/>
        <v>TOMA INMEDIATA DE TAMIZAJE</v>
      </c>
      <c r="GH173" s="22"/>
      <c r="GI173" s="29"/>
      <c r="GJ173" s="22"/>
      <c r="GK173" s="22"/>
      <c r="GL173" s="22"/>
      <c r="GM173" s="22"/>
      <c r="GN173" s="28" t="s">
        <v>869</v>
      </c>
      <c r="GO173" s="22">
        <v>45063</v>
      </c>
      <c r="GP173" s="29">
        <f t="shared" si="626"/>
        <v>31.88571428571387</v>
      </c>
      <c r="GQ173" s="28" t="s">
        <v>869</v>
      </c>
      <c r="GR173" s="28" t="s">
        <v>869</v>
      </c>
      <c r="GS173" s="22" t="str">
        <f t="shared" si="728"/>
        <v>CONTROL Igm</v>
      </c>
      <c r="GT173" s="22">
        <v>45063</v>
      </c>
      <c r="GU173" s="29">
        <f t="shared" si="628"/>
        <v>17.285714285714285</v>
      </c>
      <c r="GV173" s="21" t="str">
        <f t="shared" si="629"/>
        <v>II TRIM</v>
      </c>
      <c r="GW173" s="28" t="s">
        <v>869</v>
      </c>
      <c r="GX173" s="30"/>
      <c r="GY173" s="21"/>
      <c r="GZ173" s="21"/>
      <c r="HA173" s="21"/>
      <c r="HB173" s="21"/>
      <c r="HC173" s="21"/>
      <c r="HD173" s="21"/>
      <c r="HE173" s="21"/>
      <c r="HF173" s="22"/>
      <c r="HG173" s="22" t="str">
        <f>IF(OR(O173&gt;0,R173&gt;0),CONCATENATE(IF(Tabla1[[#This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73" s="22" t="e">
        <f t="shared" si="630"/>
        <v>#REF!</v>
      </c>
      <c r="HI173" s="22" t="e">
        <f t="shared" ca="1" si="631"/>
        <v>#REF!</v>
      </c>
      <c r="HJ173" s="21" t="str">
        <f t="shared" ca="1" si="632"/>
        <v>***************************************</v>
      </c>
      <c r="HK173" s="21" t="str">
        <f t="shared" si="633"/>
        <v>SIN ANTECEDENTES DE RIESGO</v>
      </c>
      <c r="HL173" s="24" t="str">
        <f t="shared" si="634"/>
        <v>APARENTEMENTE NORMAL</v>
      </c>
      <c r="HM173" s="21" t="e">
        <f t="shared" ca="1" si="635"/>
        <v>#VALUE!</v>
      </c>
      <c r="HN173" s="30" t="str">
        <f t="shared" si="683"/>
        <v>ACTIVA INGRESO A CPN</v>
      </c>
      <c r="HO173" s="21"/>
      <c r="HP173" s="21"/>
      <c r="HQ173" s="21">
        <v>45063</v>
      </c>
      <c r="HR173" s="21" t="str">
        <f>IF(R173="","",IF(Tabla1[[#This Row],[ALARMA FACTORES DE RIESGO COMPLICACIONES HIPERTENSIVAS3]]="SIN ANTECEDENTES DE RIESGO","No Aplica para suministro de ASA",IF(AND(Tabla1[[#This Row],[FECHA INICIO DE SUMINISTRO DE ASA]]&gt;0,RV173&lt;12),"Inicia ASA ANTES de Sem 12",IF(AND(RV173&gt;11,RV173&lt;17,OR(HK173="RIESGO ALTO DE COMPLICACIONES HIPERTENSIVAS VER MANEJO GUIA SUMINISTRO ASA Y CALCIO",HK173="RIESGO MODERADO (2 O MAS CRITERIOS) VER MANEJO GUIA SUMINISTRO ASA Y CALCIO")),"Inicio oportuno de ASA",IF(AND(RV173&gt;12,OR(HK173="RIESGO ALTO DE COMPLICACIONES HIPERTENSIVAS VER MANEJO GUIA SUMINISTRO ASA Y CALCIO",HK173="RIESGO MODERADO (2 O MAS CRITERIOS) VER MANEJO GUIA SUMINISTRO ASA Y CALCIO")),"Inicio no oportuno mayor a 16 semanas",IF(AND(BU173&lt;12,OR(HK173="RIESGO ALTO DE COMPLICACIONES HIPERTENSIVAS VER MANEJO GUIA SUMINISTRO ASA Y CALCIO",HK173="RIESGO MODERADO (2 O MAS CRITERIOS) VER MANEJO GUIA SUMINISTRO ASA Y CALCIO")),"Pendiente Inicio de ASA a la semana 12",IF(AND(BU173&gt;11,BU173&lt;17,OR(HK173="RIESGO ALTO DE COMPLICACIONES HIPERTENSIVAS VER MANEJO GUIA SUMINISTRO ASA Y CALCIO",HK173="RIESGO MODERADO (2 O MAS CRITERIOS) VER MANEJO GUIA SUMINISTRO ASA Y CALCIO")),"Iniciar de inmediato ASA",IF(AND(BU173&gt;16,OR(HK173="RIESGO ALTO DE COMPLICACIONES HIPERTENSIVAS VER MANEJO GUIA SUMINISTRO ASA Y CALCIO",HK173="RIESGO MODERADO (2 O MAS CRITERIOS) VER MANEJO GUIA SUMINISTRO ASA Y CALCIO")),"Pierde Oportunidad, Inicio tardío de ASA","XXXXX"))))))))</f>
        <v>No Aplica para suministro de ASA</v>
      </c>
      <c r="HS173" s="22">
        <v>45063</v>
      </c>
      <c r="HT173" s="22" t="s">
        <v>870</v>
      </c>
      <c r="HU173" s="22"/>
      <c r="HV173" s="22"/>
      <c r="HW173" s="22">
        <v>45063</v>
      </c>
      <c r="HX173" s="22" t="s">
        <v>870</v>
      </c>
      <c r="HY173" s="22">
        <v>45063</v>
      </c>
      <c r="HZ173" s="28">
        <f t="shared" si="636"/>
        <v>31.88571428571387</v>
      </c>
      <c r="IA173" s="26"/>
      <c r="IB173" s="26"/>
      <c r="IC173" s="111"/>
      <c r="ID173" s="22"/>
      <c r="IE173" s="22" t="str">
        <f t="shared" ca="1" si="637"/>
        <v/>
      </c>
      <c r="IF173" s="22"/>
      <c r="IG173" s="22">
        <f t="shared" si="638"/>
        <v>45119.8</v>
      </c>
      <c r="IH173" s="29">
        <f t="shared" ca="1" si="639"/>
        <v>-112.19999999999709</v>
      </c>
      <c r="II173" s="22" t="str">
        <f t="shared" ca="1" si="640"/>
        <v>POSIBLEMENTE NACIO</v>
      </c>
      <c r="IJ173" s="22"/>
      <c r="IK173" s="21"/>
      <c r="IL173" s="21"/>
      <c r="IM173" s="34"/>
      <c r="IN173" s="349"/>
      <c r="IO173" s="21"/>
      <c r="IP173" s="29" t="str">
        <f t="shared" si="730"/>
        <v/>
      </c>
      <c r="IQ173" s="35"/>
      <c r="IR173" s="21"/>
      <c r="IS173" s="21"/>
      <c r="IT173" s="21"/>
      <c r="IU173" s="21"/>
      <c r="IV173" s="21"/>
      <c r="IW173" s="21"/>
      <c r="IX173" s="21"/>
      <c r="IY173" s="21"/>
      <c r="IZ173" s="21"/>
      <c r="JA173" s="21"/>
      <c r="JB173" s="30"/>
      <c r="JC173" s="21"/>
      <c r="JD173" s="36"/>
      <c r="JE173" s="21" t="str">
        <f t="shared" si="684"/>
        <v/>
      </c>
      <c r="JF173" s="30"/>
      <c r="JG173" s="21"/>
      <c r="JH173" s="21"/>
      <c r="JI173" s="21"/>
      <c r="JJ173" s="30"/>
      <c r="JK173" s="22"/>
      <c r="JL173" s="22"/>
      <c r="JM173" s="21"/>
      <c r="JN173" s="36"/>
      <c r="JO173" s="21" t="str">
        <f t="shared" si="685"/>
        <v/>
      </c>
      <c r="JP173" s="22"/>
      <c r="JQ173" s="21"/>
      <c r="JR173" s="21"/>
      <c r="JS173" s="21"/>
      <c r="JT173" s="30"/>
      <c r="JU173" s="22"/>
      <c r="JV173" s="22"/>
      <c r="JW173" s="33"/>
      <c r="JX173" s="28" t="str">
        <f t="shared" si="686"/>
        <v/>
      </c>
      <c r="JY173" s="33"/>
      <c r="JZ173" s="28" t="str">
        <f t="shared" si="687"/>
        <v/>
      </c>
      <c r="KA173" s="21"/>
      <c r="KB173" s="21"/>
      <c r="KC173" s="21"/>
      <c r="KD173" s="37"/>
      <c r="KE173" s="28"/>
      <c r="KF173" s="28"/>
      <c r="KG173" s="28"/>
      <c r="KH173" s="39"/>
      <c r="KI173" s="39"/>
      <c r="KJ173" s="66"/>
      <c r="KK173" s="39"/>
      <c r="KL173" s="39"/>
      <c r="KM173" s="66"/>
      <c r="KN173" s="39"/>
      <c r="KO173" s="39"/>
      <c r="KP173" s="39"/>
      <c r="KQ173" s="39"/>
      <c r="KR173" s="39"/>
      <c r="KS173" s="39"/>
      <c r="KT173" s="39"/>
      <c r="KU173" s="38"/>
      <c r="KV173" s="38"/>
      <c r="KW173" s="38"/>
      <c r="KX173" s="38"/>
      <c r="KY173" s="38"/>
      <c r="KZ173" s="38"/>
      <c r="LA173" s="38"/>
      <c r="LB173" s="38"/>
      <c r="LC173" s="38"/>
      <c r="LD173" s="38"/>
      <c r="LE173" s="38"/>
      <c r="LF173" s="38"/>
      <c r="LG173" s="38"/>
      <c r="LH173" s="38"/>
      <c r="LI173" s="38"/>
      <c r="LJ173" s="38"/>
      <c r="LK173" s="38"/>
      <c r="LL173" s="38"/>
      <c r="LM173" s="38"/>
      <c r="LN173" s="38"/>
      <c r="LO173" s="38"/>
      <c r="LP173" s="38"/>
      <c r="LQ173" s="38"/>
      <c r="LR173" s="38"/>
      <c r="LS173" s="38"/>
      <c r="LT173" s="38"/>
      <c r="LU173" s="38"/>
      <c r="LV173" s="38"/>
      <c r="LW173" s="38"/>
      <c r="LX173" s="38"/>
      <c r="LY173" s="38"/>
      <c r="LZ173" s="38"/>
      <c r="MA173" s="38"/>
      <c r="MB173" s="38"/>
      <c r="MC173" s="38"/>
      <c r="MD173" s="38"/>
      <c r="ME173" s="38"/>
      <c r="MF173" s="38"/>
      <c r="MG173" s="38"/>
      <c r="MH173" s="43">
        <f t="shared" si="697"/>
        <v>0</v>
      </c>
      <c r="MI173" s="43" t="str">
        <f t="shared" si="698"/>
        <v/>
      </c>
      <c r="MJ173" s="43" t="str">
        <f t="shared" si="699"/>
        <v/>
      </c>
      <c r="MK173" s="43">
        <f t="shared" si="700"/>
        <v>0</v>
      </c>
      <c r="ML17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73" s="43">
        <f t="shared" si="701"/>
        <v>31.88571428571387</v>
      </c>
      <c r="MN173" s="43">
        <f t="shared" si="702"/>
        <v>5</v>
      </c>
      <c r="MO173" s="43">
        <f t="shared" si="703"/>
        <v>2023</v>
      </c>
      <c r="MP173" s="43" t="str">
        <f t="shared" si="704"/>
        <v>II TRIMESTRE AÑO</v>
      </c>
      <c r="MQ173" s="43">
        <f t="shared" si="705"/>
        <v>32.629763469119574</v>
      </c>
      <c r="MR173" s="43">
        <f t="shared" si="706"/>
        <v>0</v>
      </c>
      <c r="MS173" s="43" t="str">
        <f t="shared" si="707"/>
        <v xml:space="preserve"> DE 30 A 34 AÑOS</v>
      </c>
      <c r="MT173" s="43">
        <f t="shared" si="708"/>
        <v>0</v>
      </c>
      <c r="MU173" s="43">
        <f t="shared" si="709"/>
        <v>0</v>
      </c>
      <c r="MV173" s="43">
        <f t="shared" si="710"/>
        <v>0</v>
      </c>
      <c r="MW173" s="43">
        <f t="shared" si="711"/>
        <v>0</v>
      </c>
      <c r="MX173" s="43" t="str">
        <f t="shared" si="712"/>
        <v/>
      </c>
      <c r="MY173" s="43" t="str">
        <f t="shared" ca="1" si="688"/>
        <v/>
      </c>
      <c r="MZ173" s="43" t="str">
        <f t="shared" si="713"/>
        <v/>
      </c>
      <c r="NA173" s="43" t="str">
        <f t="shared" si="714"/>
        <v/>
      </c>
      <c r="NB173" s="43" t="str">
        <f t="shared" si="715"/>
        <v/>
      </c>
      <c r="NC173" s="43" t="str">
        <f t="shared" si="716"/>
        <v/>
      </c>
      <c r="ND173" s="43">
        <f t="shared" ca="1" si="717"/>
        <v>0</v>
      </c>
      <c r="NE173" s="43">
        <f>IF(OR(O173&gt;0,R173&gt;0),SUM(COUNTIF(Tabla1[[#This Row],[AÑOS AL INICIO5 CPN]],"&gt;=40"),COUNTIF(AS173,"0"),COUNTIF(AR173,"SI"),COUNTIF(CC173,"SI"),COUNTIF(BQ173,"&gt;119"),COUNTIF(CI173,"&gt;=35")),"")</f>
        <v>0</v>
      </c>
      <c r="NF173" s="43" t="str">
        <f t="shared" si="718"/>
        <v/>
      </c>
      <c r="NG173" s="43">
        <f t="shared" si="719"/>
        <v>0</v>
      </c>
      <c r="NH173" s="43">
        <f t="shared" si="720"/>
        <v>102.2</v>
      </c>
      <c r="NI17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CPN",P173="NO"),"Z",IF(AND(Tabla1[[#This Row],[CITA PROXIMO CONTROL]]="CITA MANUAL",Tabla1[[#This Row],[GESTANTES ACTUALES]]="ACTIVA INGRESO A CPN"),"W",IF(AND(Tabla1[[#This Row],[GESTANTES ACTUALES]]="SALIO PROGRAMA",IN173=""),"S",IF(AND(Tabla1[[#This Row],[CITA PROXIMO CONTROL]]&gt;0,IN173=""),(Tabla1[[#This Row],[CITA PROXIMO CONTROL]]-TODAY()),"SD"))))))))</f>
        <v>#VALUE!</v>
      </c>
      <c r="NJ173" s="43">
        <f>MONTH(Tabla1[[#This Row],[FECHA DE SALIDA  DEL PROGRAMA]])</f>
        <v>1</v>
      </c>
      <c r="NK173" s="43">
        <f>YEAR(Tabla1[[#This Row],[FECHA DE SALIDA  DEL PROGRAMA]])</f>
        <v>1900</v>
      </c>
      <c r="NL173" s="43" t="str">
        <f t="shared" si="721"/>
        <v>X</v>
      </c>
      <c r="NM173" s="43" t="str">
        <f t="shared" si="695"/>
        <v>NO</v>
      </c>
      <c r="NN173" s="43" t="str">
        <f ca="1">IF(AND(O173&gt;0,R173=""),"NO CPN",IF(AND(O173="",R173=""),"",IF(AND(R173&gt;0,Tabla1[[#This Row],[SEMANAS DE GESTACION ACTUALIZADAS]]&lt;=12),"NO APLICA",IF(AND(FH173&lt;&gt;"",FN173&lt;&gt;""),"SI","NO"))))</f>
        <v>NO</v>
      </c>
      <c r="NO173" s="43" t="str">
        <f ca="1">IF(AND(O173&gt;0,R173=""),"NO CPN",IF(AND(O173="",R173=""),"",IF(AND(R173&gt;0,Tabla1[[#This Row],[SEMANAS DE GESTACION ACTUALIZADAS]]&lt;=27),"NO APLICA",IF(AND(ES173&lt;&gt;"",FQ173&lt;&gt;"",GF173&lt;&gt;""),"SI","NO"))))</f>
        <v>NO</v>
      </c>
      <c r="NP173" s="204" t="str">
        <f t="shared" si="722"/>
        <v>III TRIM</v>
      </c>
      <c r="NQ173" s="21" t="str">
        <f t="shared" si="731"/>
        <v/>
      </c>
      <c r="NR173" s="21">
        <f t="shared" si="689"/>
        <v>1</v>
      </c>
      <c r="NS173" s="205">
        <f t="shared" ca="1" si="723"/>
        <v>0</v>
      </c>
      <c r="NT173" s="21">
        <f t="shared" ca="1" si="724"/>
        <v>0</v>
      </c>
      <c r="NU173" s="21" t="str">
        <f t="shared" ca="1" si="725"/>
        <v>INCOMPLETO</v>
      </c>
      <c r="NV173" s="21" t="str">
        <f t="shared" ca="1" si="726"/>
        <v>INCOMPLETO</v>
      </c>
      <c r="NW173" s="206" t="str">
        <f>IF(AND(O173="",R173=""),"",IF(OR(AND(Tabla1[[#This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73" s="207" t="str">
        <f t="shared" ca="1" si="727"/>
        <v>SIN VACUNAR</v>
      </c>
      <c r="NY173" s="43">
        <f>ROW(Tabla1[[#This Row],['# DE TAMIZAJES SIFILIS TOMADOS ]])</f>
        <v>173</v>
      </c>
      <c r="NZ173" s="43">
        <f t="shared" si="502"/>
        <v>31</v>
      </c>
      <c r="OA173" s="43" t="str">
        <f t="shared" si="503"/>
        <v/>
      </c>
      <c r="OB173" s="43" t="str">
        <f t="shared" si="504"/>
        <v/>
      </c>
      <c r="OC173" s="43" t="str">
        <f t="shared" si="505"/>
        <v/>
      </c>
      <c r="OD173" s="43" t="str">
        <f t="shared" si="506"/>
        <v/>
      </c>
      <c r="OE173" s="43" t="str">
        <f t="shared" si="507"/>
        <v/>
      </c>
      <c r="OF173" s="43" t="str">
        <f t="shared" si="508"/>
        <v/>
      </c>
      <c r="OG173" s="43" t="str">
        <f t="shared" si="509"/>
        <v/>
      </c>
      <c r="OH173" s="43" t="str">
        <f t="shared" si="510"/>
        <v/>
      </c>
      <c r="OI173" s="43" t="str">
        <f t="shared" si="511"/>
        <v/>
      </c>
      <c r="OJ173" s="43" t="str">
        <f t="shared" si="512"/>
        <v/>
      </c>
      <c r="OK173" s="43" t="str">
        <f t="shared" si="513"/>
        <v/>
      </c>
      <c r="OL173" s="43" t="str">
        <f t="shared" si="514"/>
        <v/>
      </c>
      <c r="OM173" s="43" t="str">
        <f t="shared" si="515"/>
        <v/>
      </c>
      <c r="ON173" s="43" t="str">
        <f t="shared" si="516"/>
        <v/>
      </c>
      <c r="OO173" s="43" t="str">
        <f t="shared" si="517"/>
        <v/>
      </c>
      <c r="OP173" s="43" t="str">
        <f t="shared" si="518"/>
        <v/>
      </c>
      <c r="OQ173" s="43" t="str">
        <f t="shared" si="519"/>
        <v/>
      </c>
      <c r="OR173" s="43" t="str">
        <f t="shared" si="520"/>
        <v/>
      </c>
      <c r="OS173" s="43" t="str">
        <f t="shared" si="521"/>
        <v/>
      </c>
      <c r="OT173" s="43" t="str">
        <f t="shared" si="522"/>
        <v/>
      </c>
      <c r="OU173" s="43" t="str">
        <f t="shared" si="523"/>
        <v/>
      </c>
      <c r="OV173" s="110" t="str">
        <f t="shared" si="524"/>
        <v/>
      </c>
      <c r="OW173" s="43" t="str">
        <f t="shared" si="525"/>
        <v>BAJO PESO</v>
      </c>
      <c r="OX173" s="43" t="str">
        <f t="shared" si="526"/>
        <v/>
      </c>
      <c r="OY173" s="43" t="str">
        <f t="shared" si="527"/>
        <v/>
      </c>
      <c r="OZ173" s="43" t="str">
        <f t="shared" si="528"/>
        <v/>
      </c>
      <c r="PA173" s="43" t="str">
        <f t="shared" si="529"/>
        <v/>
      </c>
      <c r="PB173" s="43" t="str">
        <f t="shared" si="530"/>
        <v/>
      </c>
      <c r="PC173" s="43" t="str">
        <f t="shared" si="531"/>
        <v/>
      </c>
      <c r="PD173" s="43" t="str">
        <f t="shared" si="532"/>
        <v/>
      </c>
      <c r="PE173" s="43" t="str">
        <f t="shared" si="533"/>
        <v/>
      </c>
      <c r="PF173" s="43" t="str">
        <f t="shared" si="534"/>
        <v/>
      </c>
      <c r="PG173" s="43" t="str">
        <f t="shared" si="535"/>
        <v/>
      </c>
      <c r="PH173" s="43" t="str">
        <f t="shared" si="536"/>
        <v/>
      </c>
      <c r="PI173" s="43">
        <f t="shared" si="537"/>
        <v>45</v>
      </c>
      <c r="PJ173" s="43" t="str">
        <f t="shared" si="538"/>
        <v/>
      </c>
      <c r="PK173" s="43" t="str">
        <f t="shared" si="539"/>
        <v/>
      </c>
      <c r="PL173" s="43" t="str">
        <f t="shared" si="540"/>
        <v/>
      </c>
      <c r="PM173" s="43" t="str">
        <f t="shared" si="541"/>
        <v/>
      </c>
      <c r="PN173" s="43" t="str">
        <f t="shared" si="542"/>
        <v/>
      </c>
      <c r="PO173" s="43" t="str">
        <f t="shared" si="543"/>
        <v/>
      </c>
      <c r="PP173" s="43" t="str">
        <f t="shared" si="544"/>
        <v/>
      </c>
      <c r="PQ173" s="43" t="str">
        <f t="shared" si="545"/>
        <v/>
      </c>
      <c r="PR173" s="43" t="str">
        <f t="shared" si="546"/>
        <v/>
      </c>
      <c r="PS173" s="43" t="str">
        <f t="shared" si="547"/>
        <v/>
      </c>
      <c r="PT173" s="43" t="str">
        <f t="shared" si="548"/>
        <v/>
      </c>
      <c r="PU173" s="43" t="str">
        <f t="shared" si="549"/>
        <v/>
      </c>
      <c r="PV173" s="43" t="str">
        <f t="shared" si="550"/>
        <v/>
      </c>
      <c r="PW173" s="43" t="str">
        <f t="shared" si="551"/>
        <v/>
      </c>
      <c r="PX173" s="43" t="str">
        <f t="shared" si="552"/>
        <v/>
      </c>
      <c r="PY173" s="43" t="str">
        <f t="shared" si="553"/>
        <v/>
      </c>
      <c r="PZ173" s="43" t="str">
        <f t="shared" si="554"/>
        <v/>
      </c>
      <c r="QA173" s="43" t="str">
        <f t="shared" si="555"/>
        <v/>
      </c>
      <c r="QB173" s="43" t="str">
        <f t="shared" si="556"/>
        <v/>
      </c>
      <c r="QC173" s="43" t="str">
        <f t="shared" si="557"/>
        <v/>
      </c>
      <c r="QD173" s="43" t="str">
        <f t="shared" si="558"/>
        <v/>
      </c>
      <c r="QE173" s="43" t="str">
        <f t="shared" si="559"/>
        <v/>
      </c>
      <c r="QF173" s="43" t="str">
        <f t="shared" si="560"/>
        <v/>
      </c>
      <c r="QG173" s="43" t="str">
        <f t="shared" si="561"/>
        <v/>
      </c>
      <c r="QH173" s="43" t="str">
        <f t="shared" si="562"/>
        <v/>
      </c>
      <c r="QI173" s="43" t="str">
        <f t="shared" si="563"/>
        <v/>
      </c>
      <c r="QJ173" s="43" t="str">
        <f t="shared" si="564"/>
        <v/>
      </c>
      <c r="QK173" s="43" t="str">
        <f t="shared" si="565"/>
        <v/>
      </c>
      <c r="QL173" s="43" t="str">
        <f t="shared" si="566"/>
        <v/>
      </c>
      <c r="QM173" s="43" t="str">
        <f t="shared" si="567"/>
        <v/>
      </c>
      <c r="QN173" s="43" t="str">
        <f t="shared" si="568"/>
        <v/>
      </c>
      <c r="QO173" s="43" t="str">
        <f t="shared" si="569"/>
        <v/>
      </c>
      <c r="QP173" s="43" t="str">
        <f t="shared" si="570"/>
        <v/>
      </c>
      <c r="QQ173" s="43" t="str">
        <f t="shared" si="571"/>
        <v/>
      </c>
      <c r="QR173" s="43" t="str">
        <f t="shared" si="672"/>
        <v>Mayor</v>
      </c>
      <c r="QS173" s="43"/>
      <c r="QT173" s="21" t="str">
        <f t="shared" si="572"/>
        <v/>
      </c>
      <c r="QU173" s="21" t="str">
        <f t="shared" si="573"/>
        <v/>
      </c>
      <c r="QV173" s="21" t="str">
        <f t="shared" si="574"/>
        <v/>
      </c>
      <c r="QW173" s="21" t="str">
        <f t="shared" si="575"/>
        <v/>
      </c>
      <c r="QX173" s="21" t="str">
        <f t="shared" si="576"/>
        <v/>
      </c>
      <c r="QY173" s="21" t="str">
        <f t="shared" si="577"/>
        <v/>
      </c>
      <c r="QZ173" s="21" t="str">
        <f t="shared" si="578"/>
        <v/>
      </c>
      <c r="RA173" s="21" t="str">
        <f t="shared" si="579"/>
        <v/>
      </c>
      <c r="RB173" s="21" t="str">
        <f t="shared" si="580"/>
        <v/>
      </c>
      <c r="RC173" s="21" t="str">
        <f t="shared" si="581"/>
        <v/>
      </c>
      <c r="RD173" s="21" t="str">
        <f t="shared" si="582"/>
        <v/>
      </c>
      <c r="RE173" s="21" t="str">
        <f t="shared" si="583"/>
        <v/>
      </c>
      <c r="RF173" s="21" t="str">
        <f t="shared" si="584"/>
        <v/>
      </c>
      <c r="RG173" s="21" t="str">
        <f t="shared" si="585"/>
        <v/>
      </c>
      <c r="RH173" s="21" t="str">
        <f t="shared" si="586"/>
        <v/>
      </c>
      <c r="RI173" s="21" t="str">
        <f t="shared" si="587"/>
        <v/>
      </c>
      <c r="RJ173" s="21" t="str">
        <f t="shared" si="588"/>
        <v/>
      </c>
      <c r="RK173" s="21" t="str">
        <f t="shared" si="589"/>
        <v/>
      </c>
      <c r="RL173" s="21" t="str">
        <f t="shared" si="590"/>
        <v/>
      </c>
      <c r="RM173" s="21" t="str">
        <f t="shared" si="591"/>
        <v/>
      </c>
      <c r="RN173" s="21" t="str">
        <f t="shared" si="592"/>
        <v/>
      </c>
      <c r="RO173" s="21" t="str">
        <f t="shared" si="593"/>
        <v/>
      </c>
      <c r="RP173" s="21" t="str">
        <f t="shared" si="594"/>
        <v/>
      </c>
      <c r="RQ173" s="21" t="str">
        <f t="shared" si="595"/>
        <v/>
      </c>
      <c r="RR173" s="21" t="str">
        <f t="shared" si="596"/>
        <v/>
      </c>
      <c r="RS173" s="21" t="str">
        <f t="shared" si="597"/>
        <v/>
      </c>
      <c r="RT173" s="21" t="str">
        <f t="shared" si="598"/>
        <v/>
      </c>
      <c r="RU173" s="21" t="str">
        <f t="shared" si="599"/>
        <v/>
      </c>
      <c r="RV173" s="21">
        <f t="shared" si="600"/>
        <v>31.88571428571387</v>
      </c>
      <c r="RW173" s="284">
        <f>IF(OR(Tabla1[[#This Row],[FUM FORMULA CONFIABLE]]="",Tabla1[[#This Row],[FUM FORMULA CONFIABLE]]="SD"),"",IF(Tabla1[[#This Row],[FUM FORMULA CONFIABLE]]="CORREGIDA",Tabla1[[#This Row],[FUM X ECO 1]],Tabla1[[#This Row],[FUM x AMENORREA]]))</f>
        <v>44839.8</v>
      </c>
      <c r="RX173" s="21">
        <f>IF(AND(Tabla1[[#This Row],[FUM X ECO 1]]="",Tabla1[[#This Row],[FUM x AMENORREA]]=""),"",IF(AND(Tabla1[[#This Row],[FUM X ECO 1]]="",Tabla1[[#This Row],[FUM x AMENORREA]]&lt;&gt;""),"X",SUM(Tabla1[[#This Row],[FUM X ECO 1]]-Tabla1[[#This Row],[FUM x AMENORREA]])))</f>
        <v>-102.19999999999709</v>
      </c>
      <c r="RY173" s="21">
        <f t="shared" si="673"/>
        <v>1</v>
      </c>
    </row>
    <row r="174" spans="1:493" ht="45" customHeight="1" x14ac:dyDescent="0.25">
      <c r="A174" s="109"/>
      <c r="B174" s="43"/>
      <c r="C174" s="43" t="s">
        <v>845</v>
      </c>
      <c r="D174" s="124"/>
      <c r="E174" s="43" t="s">
        <v>974</v>
      </c>
      <c r="F174" s="43" t="s">
        <v>943</v>
      </c>
      <c r="G174" s="43" t="s">
        <v>1217</v>
      </c>
      <c r="H174" s="43" t="s">
        <v>1490</v>
      </c>
      <c r="I174" s="109" t="s">
        <v>851</v>
      </c>
      <c r="J174" s="110" t="s">
        <v>1491</v>
      </c>
      <c r="K174" s="43" t="s">
        <v>852</v>
      </c>
      <c r="L174" s="175" t="s">
        <v>1509</v>
      </c>
      <c r="M174" s="22">
        <v>31149</v>
      </c>
      <c r="N174" s="213">
        <f t="shared" ca="1" si="601"/>
        <v>38.583561643835615</v>
      </c>
      <c r="O174" s="22">
        <v>45065</v>
      </c>
      <c r="P174" s="214" t="str">
        <f t="shared" si="675"/>
        <v>SI</v>
      </c>
      <c r="Q174" s="26" t="s">
        <v>855</v>
      </c>
      <c r="R174" s="22">
        <v>45065</v>
      </c>
      <c r="S174" s="21" t="s">
        <v>856</v>
      </c>
      <c r="T174" s="24" t="s">
        <v>690</v>
      </c>
      <c r="U174" s="21" t="s">
        <v>857</v>
      </c>
      <c r="V174" s="21" t="s">
        <v>858</v>
      </c>
      <c r="W174" s="21" t="s">
        <v>846</v>
      </c>
      <c r="X174" s="21"/>
      <c r="Y174" s="21"/>
      <c r="Z174" s="21">
        <v>3233082485</v>
      </c>
      <c r="AA174" s="21" t="s">
        <v>860</v>
      </c>
      <c r="AB174" s="27" t="s">
        <v>861</v>
      </c>
      <c r="AC174" s="26" t="s">
        <v>846</v>
      </c>
      <c r="AD174" s="38" t="s">
        <v>1546</v>
      </c>
      <c r="AE174" s="26" t="s">
        <v>854</v>
      </c>
      <c r="AF174" s="26" t="s">
        <v>854</v>
      </c>
      <c r="AG174" s="23" t="s">
        <v>864</v>
      </c>
      <c r="AH174" s="23" t="s">
        <v>864</v>
      </c>
      <c r="AI174" s="24" t="s">
        <v>863</v>
      </c>
      <c r="AJ174" s="23" t="s">
        <v>864</v>
      </c>
      <c r="AK174" s="220" t="str">
        <f>IF(AND(AD174="",AE174="",AF174="",AG174="",AH174="",AI174="",AJ174=""),"",IF(OR(Tabla1[[#This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EVALUACIÓN",IF(AND(O174="",R174=""),"",IF(AND(OR(O174&gt;0,R174&gt;0),NG174&gt;=0,NG174&lt;2),"SIN RIESGO",IF(AND(OR(O174&gt;0,R174&gt;0),NG174&gt;=2),"CON RIESGO","ASD")))))</f>
        <v>SIN RIESGO</v>
      </c>
      <c r="AL174" s="23" t="s">
        <v>864</v>
      </c>
      <c r="AM174" s="26" t="s">
        <v>864</v>
      </c>
      <c r="AN174" s="26" t="s">
        <v>864</v>
      </c>
      <c r="AO174" s="26" t="s">
        <v>864</v>
      </c>
      <c r="AP174" s="26" t="s">
        <v>864</v>
      </c>
      <c r="AQ174" s="26" t="s">
        <v>864</v>
      </c>
      <c r="AR174" s="26" t="s">
        <v>864</v>
      </c>
      <c r="AS174" s="21">
        <v>6</v>
      </c>
      <c r="AT174" s="21">
        <v>5</v>
      </c>
      <c r="AU174" s="21">
        <v>1</v>
      </c>
      <c r="AV174" s="26" t="s">
        <v>864</v>
      </c>
      <c r="AW174" s="21">
        <v>0</v>
      </c>
      <c r="AX174" s="26" t="s">
        <v>864</v>
      </c>
      <c r="AY174" s="26" t="s">
        <v>864</v>
      </c>
      <c r="AZ174" s="26" t="s">
        <v>864</v>
      </c>
      <c r="BA174" s="26" t="s">
        <v>864</v>
      </c>
      <c r="BB174" s="26" t="s">
        <v>864</v>
      </c>
      <c r="BC174" s="26" t="s">
        <v>864</v>
      </c>
      <c r="BD174" s="26" t="s">
        <v>864</v>
      </c>
      <c r="BE174" s="26" t="s">
        <v>864</v>
      </c>
      <c r="BF174" s="26" t="s">
        <v>864</v>
      </c>
      <c r="BG174" s="26" t="s">
        <v>864</v>
      </c>
      <c r="BH174" s="26" t="s">
        <v>864</v>
      </c>
      <c r="BI174" s="26" t="s">
        <v>864</v>
      </c>
      <c r="BJ174" s="26" t="s">
        <v>864</v>
      </c>
      <c r="BK174" s="26" t="s">
        <v>864</v>
      </c>
      <c r="BL174" s="26" t="s">
        <v>864</v>
      </c>
      <c r="BM174" s="26" t="s">
        <v>864</v>
      </c>
      <c r="BN174" s="22">
        <v>42097</v>
      </c>
      <c r="BO174" s="22">
        <v>44995</v>
      </c>
      <c r="BP174" s="21" t="s">
        <v>854</v>
      </c>
      <c r="BQ174" s="222">
        <f t="shared" si="602"/>
        <v>96.6</v>
      </c>
      <c r="BR174" s="223">
        <f t="shared" si="603"/>
        <v>44829.8</v>
      </c>
      <c r="BS174" s="224">
        <f t="shared" si="604"/>
        <v>10</v>
      </c>
      <c r="BT174" s="216" t="str">
        <f t="shared" si="605"/>
        <v>II TRIM</v>
      </c>
      <c r="BU174" s="214">
        <f t="shared" ca="1" si="606"/>
        <v>33.857142857142854</v>
      </c>
      <c r="BV174" s="25" t="s">
        <v>988</v>
      </c>
      <c r="BW174" s="22">
        <v>44995</v>
      </c>
      <c r="BX174" s="28">
        <v>23.6</v>
      </c>
      <c r="BY174" s="28"/>
      <c r="BZ174" s="22"/>
      <c r="CA174" s="21"/>
      <c r="CB174" s="26" t="s">
        <v>864</v>
      </c>
      <c r="CC174" s="26" t="s">
        <v>864</v>
      </c>
      <c r="CD174" s="26"/>
      <c r="CE174" s="26" t="s">
        <v>864</v>
      </c>
      <c r="CF174" s="22" t="s">
        <v>1517</v>
      </c>
      <c r="CG174" s="21">
        <v>1.51</v>
      </c>
      <c r="CH174" s="21">
        <v>60</v>
      </c>
      <c r="CI174" s="214">
        <f t="shared" si="607"/>
        <v>26.314635323012148</v>
      </c>
      <c r="CJ174" s="225" t="e">
        <f>IF(AND(CI174&lt;10,CH174="SD"),"SIN DATO PESO PREGESTACION O I TRIM",IF(AND(OR(R174&gt;0,O174&gt;0),CI174="X"),"INGRESAR DATO DE PESO",IF(CI174="SD","INGRESAR DATO DE TALLA Y PESO",IF(AND(OR(Tabla1[[#This Row],[MOMENTO EN QUE SE REALIZA EL PESO AL INGRESO A CPN]]="PREGESTACIÓN",NZ174="Menor"),CI174&lt;18.5),"BAJO PESO",IF(AND(OR(Tabla1[[#This Row],[MOMENTO EN QUE SE REALIZA EL PESO AL INGRESO A CPN]]="PREGESTACIÓN",NZ174="Menor"),CI174&lt;25),"NORMAL",IF(AND(OR(Tabla1[[#This Row],[MOMENTO EN QUE SE REALIZA EL PESO AL INGRESO A CPN]]="PREGESTACIÓN",NZ174="Menor"),CI174&lt;30),"SOBREPESO",IF(AND(OR(Tabla1[[#This Row],[MOMENTO EN QUE SE REALIZA EL PESO AL INGRESO A CPN]]="PREGESTACIÓN",NZ174="Menor"),CI174&gt;=30,CI174&lt;50),"OBESIDAD",IF(AND(BS174&gt;0,Tabla1[[#This Row],[MOMENTO EN QUE SE REALIZA EL PESO AL INGRESO A CPN]]="GESTACIÓN"),HLOOKUP(NZ174,$OA$2:PH174,NY174),""))))))))</f>
        <v>#REF!</v>
      </c>
      <c r="CK174" s="212">
        <f t="shared" si="608"/>
        <v>45154</v>
      </c>
      <c r="CL174" s="21">
        <v>63.5</v>
      </c>
      <c r="CM174" s="214">
        <f t="shared" si="609"/>
        <v>27.849655716854524</v>
      </c>
      <c r="CN174" s="216">
        <f t="shared" si="610"/>
        <v>22</v>
      </c>
      <c r="CO174" s="216" t="e">
        <f>IF(PI174="","",IF(PI174&gt;0,HLOOKUP(PI174,$PJ$2:QQ174,NY174),""))</f>
        <v>#REF!</v>
      </c>
      <c r="CP174" s="21">
        <v>24</v>
      </c>
      <c r="CQ174" s="216" t="e">
        <f>IF(QR174="Menor","NO APLICA-MENOR 13 SEM",IF(AND(CC174="SI",CN174&gt;23),"NO APLICA- GEMELAR",IF(QR174="","",IF(QR174&gt;0,HLOOKUP(QR174,$QS$2:RU174,NY174),""))))</f>
        <v>#REF!</v>
      </c>
      <c r="CR174" s="21">
        <v>100</v>
      </c>
      <c r="CS174" s="21">
        <v>70</v>
      </c>
      <c r="CT174" s="217" t="str">
        <f>IF(R174="","",IF(AND(BS174&gt;1,BS174&lt;12,Tabla1[[#This Row],[T.A. SISTOLICA - ANTES DE SEMANA 12]]="",Tabla1[[#This Row],[T.A. DIASTOLICA - ANTES DE SEMANA 12]]=""),"REGISTRE DATO TA ANTES SEMANA 12",IF(AND(BS174&gt;11,BS174&lt;43,Tabla1[[#This Row],[T.A. SISTOLICA - ANTES DE SEMANA 12]]="",Tabla1[[#This Row],[T.A. DIASTOLICA - ANTES DE SEMANA 12]]=""),"NO APLICA REGISTRO TA-INGRESO TARDIO",IF(AND(OR(O174&gt;0,R174&gt;0),OR(CR174&gt;=140,CS174&gt;=90)),"DEFINIR ESTADIO HTA",IF(AND(OR(O174&gt;0,R174&gt;0),AND(CR174&gt;120,CR174&lt;=139)),"PRE HTA SEGUIMIENTO",IF(AND(OR(O174&gt;0,R174&gt;0),AND(CS174&gt;80,CS174&lt;=89)),"PRE HTA SEGUIMIENTO",IF(AND(OR(O174&gt;0,R174&gt;0),AND(CR174&gt;=80,CR174&lt;=120)),"APARENTEMENTE NORMAL",IF(AND(OR(O174&gt;0,R174&gt;0),AND(CS174&gt;=50,CS174&lt;=80)),"APARENTEMENTE NORMAL",IF(AND(OR(O174&gt;0,R174&gt;0),AND(CR174&gt;1,CR174&lt;=70),AND(CS174&gt;1,CS174&lt;=40)),"HIPOTENSIÓN","")))))))))</f>
        <v>APARENTEMENTE NORMAL</v>
      </c>
      <c r="CU174" s="21">
        <v>100</v>
      </c>
      <c r="CV174" s="21">
        <v>60</v>
      </c>
      <c r="CW174" s="217" t="str">
        <f ca="1">IF(R174="","",IF(AND(CN174&gt;19,CN174&lt;27,Tabla1[[#This Row],[T.A. SISTOLICA (Entre semana 20 y 26)]]="",Tabla1[[#This Row],[T.A. DIATOLICA (Entre semana 20 y 26)]]=""),"ACUDE A CONTROL SEM 20 A 26 REGISTRE TA AHORA",IF(AND(BS174&gt;1,BS174&lt;27,BU174&gt;19,Tabla1[[#This Row],[T.A. SISTOLICA (Entre semana 20 y 26)]]="",Tabla1[[#This Row],[T.A. DIATOLICA (Entre semana 20 y 26)]]=""),"COMPLETE REGISTRO TA CONTROL SEM 20 A26 ",IF(AND(BS174&gt;26,BS174&lt;43,Tabla1[[#This Row],[T.A. SISTOLICA (Entre semana 20 y 26)]]="",Tabla1[[#This Row],[T.A. DIATOLICA (Entre semana 20 y 26)]]=""),"NO APLICA REGISTRO TA-INGRESO TARDIO",IF(AND(OR(O174&gt;0,R174&gt;0),OR(CU174&gt;=140,CV174&gt;=90)),"ALTO RIESGO PREECLAMPSIA,DEFINIR ESTADIO HTA",IF(AND(OR(O174&gt;0,R174&gt;0),AND(CU174&gt;120,CU174&lt;=139)),"PRE HTA SEGUIMIENTO,RIESGO HIPERTENSION INDUCIDA POR EL EMBARAZO",IF(AND(OR(O174&gt;0,R174&gt;0),AND(CV174&gt;80,CV174&lt;=89)),"PRE HTA SEGUIMIENTO, RIESGO HIPERTENSION INDUCIDA POR EL EMBARAZO",IF(AND(OR(O174&lt;&gt;"",R174&lt;&gt;""),CS174&lt;&gt;"",CV174&lt;&gt;"",CS174&lt;=CV174),"VIGILAR CIFRAS PRESION ARTERIAL",IF(AND(OR(O174&gt;0,R174&gt;0),AND(CU174&gt;120,CU174&lt;=139)),"PRE HTA SEGUIMIENTO",IF(AND(OR(O174&gt;0,R174&gt;0),AND(CU174&gt;1,CU174&lt;=70),AND(CV174&gt;1,CV174&lt;=40)),"HIPOTENSIÓN",IF(AND(OR(O174&lt;&gt;"",R174&lt;&gt;""),CS174&lt;&gt;"",CV174&lt;&gt;"",CS174&gt;CV174),"APARENTEMENTE NORMAL",IF(AND(OR(O174&gt;0,R174&gt;0),AND(CU174&gt;=80,CU174&lt;=120)),"APARENTEMENTE NORMAL",IF(AND(OR(O174&gt;0,R174&gt;0),AND(CV174&gt;=50,CV174&lt;=80)),"APARENTEMENTE NORMAL","")))))))))))))</f>
        <v>APARENTEMENTE NORMAL</v>
      </c>
      <c r="CX174" s="21"/>
      <c r="CY174" s="21"/>
      <c r="CZ174" s="216" t="str">
        <f t="shared" si="729"/>
        <v/>
      </c>
      <c r="DA174" s="21">
        <v>100</v>
      </c>
      <c r="DB174" s="21">
        <v>60</v>
      </c>
      <c r="DC174" s="217" t="str">
        <f t="shared" si="611"/>
        <v>APARENTEMENTE NORMAL</v>
      </c>
      <c r="DD174" s="22">
        <v>45065</v>
      </c>
      <c r="DE174" s="22">
        <v>45065</v>
      </c>
      <c r="DF174" s="22">
        <v>45110</v>
      </c>
      <c r="DG174" s="22">
        <v>45154</v>
      </c>
      <c r="DH174" s="22"/>
      <c r="DI174" s="22"/>
      <c r="DJ174" s="22"/>
      <c r="DK174" s="22"/>
      <c r="DL174" s="22"/>
      <c r="DM174" s="22"/>
      <c r="DN174" s="22"/>
      <c r="DO174" s="22"/>
      <c r="DP174" s="22"/>
      <c r="DQ174" s="22"/>
      <c r="DR174" s="28">
        <v>0</v>
      </c>
      <c r="DS174" s="22"/>
      <c r="DT174" s="22"/>
      <c r="DU174" s="216" t="str">
        <f t="shared" ca="1" si="676"/>
        <v>PLANEAR PLAN DE PARTO</v>
      </c>
      <c r="DV174" s="226" t="str">
        <f t="shared" si="677"/>
        <v>ACTIVA INGRESO A CPN</v>
      </c>
      <c r="DW17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74" s="216" t="e">
        <f t="shared" ca="1" si="612"/>
        <v>#REF!</v>
      </c>
      <c r="DY174" s="212">
        <f>IF(R174="","",IF(R174&gt;0,MAX(Tabla1[[#This Row],[FECHA C2]:[FECHA C13]],Tabla1[[#This Row],[FECHA CONSULTA PRIMERA VEZ PROGRAMA CPN ]])))</f>
        <v>45154</v>
      </c>
      <c r="DZ174" s="216">
        <f t="shared" si="613"/>
        <v>22</v>
      </c>
      <c r="EA174" s="222">
        <f>IF(R174&gt;0,SUM(COUNTA(DF174:DQ174)+COUNTA(Tabla1[[#This Row],[FECHA CONSULTA PRIMERA VEZ PROGRAMA CPN ]])),"")</f>
        <v>3</v>
      </c>
      <c r="EB174" s="222" t="str">
        <f t="shared" si="614"/>
        <v>NO</v>
      </c>
      <c r="EC174" s="214">
        <f t="shared" si="615"/>
        <v>9</v>
      </c>
      <c r="ED174" s="227">
        <f t="shared" si="616"/>
        <v>0.33333333333333331</v>
      </c>
      <c r="EE174" s="22">
        <v>45065</v>
      </c>
      <c r="EF174" s="22"/>
      <c r="EG174" s="22">
        <v>45065</v>
      </c>
      <c r="EH174" s="22"/>
      <c r="EI174" s="22">
        <v>45065</v>
      </c>
      <c r="EJ174" s="22"/>
      <c r="EK174" s="22"/>
      <c r="EL174" s="21"/>
      <c r="EM174" s="21">
        <v>16.100000000000001</v>
      </c>
      <c r="EN174" s="22">
        <v>45066</v>
      </c>
      <c r="EO174" s="222">
        <f t="shared" si="617"/>
        <v>10.142857142857142</v>
      </c>
      <c r="EP174" s="214" t="str">
        <f t="shared" si="618"/>
        <v>NO DAR SULFATO FERROSO</v>
      </c>
      <c r="EQ174" s="216" t="str">
        <f t="shared" si="619"/>
        <v>I TRIM</v>
      </c>
      <c r="ER174" s="24"/>
      <c r="ES174" s="22"/>
      <c r="ET174" s="29" t="str">
        <f t="shared" ca="1" si="678"/>
        <v>TOMA DE HEMOGLOBINA TARDÍA</v>
      </c>
      <c r="EU174" s="25" t="str">
        <f t="shared" si="620"/>
        <v/>
      </c>
      <c r="EV174" s="24" t="s">
        <v>1510</v>
      </c>
      <c r="EW174" s="24">
        <v>45066</v>
      </c>
      <c r="EX174" s="22"/>
      <c r="EY174" s="29">
        <f t="shared" si="693"/>
        <v>10.142857142857142</v>
      </c>
      <c r="EZ174" s="25" t="str">
        <f t="shared" si="694"/>
        <v>SIN RIESGO DE ISOINMUNIZACIÓN</v>
      </c>
      <c r="FA174" s="21">
        <v>72</v>
      </c>
      <c r="FB174" s="22">
        <v>45066</v>
      </c>
      <c r="FC174" s="29">
        <f t="shared" si="621"/>
        <v>10.142857142857142</v>
      </c>
      <c r="FD174" s="29"/>
      <c r="FE174" s="29"/>
      <c r="FF174" s="29"/>
      <c r="FG174" s="21" t="str">
        <f t="shared" ca="1" si="622"/>
        <v>TOMAR PTOG</v>
      </c>
      <c r="FH174" s="31"/>
      <c r="FI174" s="29" t="str">
        <f t="shared" si="623"/>
        <v>TOMAR EXAMEN</v>
      </c>
      <c r="FJ174" s="22" t="s">
        <v>867</v>
      </c>
      <c r="FK174" s="22">
        <v>45066</v>
      </c>
      <c r="FL174" s="29">
        <f t="shared" ca="1" si="624"/>
        <v>10.142857142857142</v>
      </c>
      <c r="FM174" s="22"/>
      <c r="FN174" s="32"/>
      <c r="FO174" s="29" t="str">
        <f t="shared" ca="1" si="679"/>
        <v>PIERDE TOMA DE TAMIZAJE</v>
      </c>
      <c r="FP174" s="22"/>
      <c r="FQ174" s="32"/>
      <c r="FR174" s="29" t="str">
        <f t="shared" ca="1" si="680"/>
        <v>EN RANGO PARA TOMAR EXAMEN</v>
      </c>
      <c r="FS174" s="22"/>
      <c r="FT174" s="32"/>
      <c r="FU174" s="29" t="str">
        <f>IF(AND(FJ174="",FM174="",FP174="",FS174=""),"",IF(OR(OR(Tabla1[[#This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74" s="28"/>
      <c r="FW174" s="22"/>
      <c r="FX174" s="29" t="str">
        <f t="shared" si="625"/>
        <v>TOMAR EXAMEN</v>
      </c>
      <c r="FY174" s="22">
        <v>45066</v>
      </c>
      <c r="FZ174" s="22">
        <v>45066</v>
      </c>
      <c r="GA174" s="29">
        <f t="shared" ca="1" si="692"/>
        <v>10.142857142857142</v>
      </c>
      <c r="GB174" s="22"/>
      <c r="GC174" s="22"/>
      <c r="GD174" s="29" t="str">
        <f t="shared" ref="GD174:GD203" ca="1" si="732">IF(AND(BT174="ERROR FUM O INGRESO",GC174&gt;0),"ERROR FUM O INGRESO",IF(AND(GC174="",R174="",O174=""),"",IF(AND(GC174&lt;&gt;"",GC174&lt;RW174), "INCOHERENCIA FUM Y FECHA TAMIZAJE",IF(AND(GC174="",DV174="ACTIVA INGRESO A CPN",AND(BU174&gt;0,BU174&lt;13)),"EN ESPERA-ESTÁ I TRIM", IF(AND(GC174="",AND(BS174&gt;0, BS174&lt;12),OR(O174&gt;0,R174&gt;0),AND(IP174&gt;0,IP174&lt;13)),"NO APLICA-SALIO DEL PROGRAMA I TRIM",IF(AND(GC174&lt;&gt;"",AND(SUM((GC174-RW174)/7)&gt;0,SUM((GC174-RW174)/7)&lt;13)),"REGISTRAR EN I TRIMESTRE",IF(AND(GC174&lt;&gt;"",AND(SUM((GC174-RW174)/7)&gt;=27,SUM((GC174-RW174)/7)&lt;44)),"REGISTRAR EN III TRIMESTRE",IF(AND(GC174="",OR(O174&gt;0,R174&gt;0),AND(BU174&gt;=12,BU174&lt;25),DV174="ACTIVA INGRESO A CPN"),"EN RANGO PARA TOMAR EXAMEN",IF(AND(GC174="",OR(O174&gt;0,R174&gt;0),AND(BU174&gt;=25,BU174&lt;27),DV174="ACTIVA INGRESO A CPN"),"TOMA INMEDIATA DE TAMIZAJE",IF(AND(GC174="",OR(O174&gt;0,R174&gt;0),AND(BS174&gt;=27,BS174&lt;43)),"NO APLICA-INGRESO TARDIO",IF(AND(GC174="",BS174&lt;27),"PIERDE TOMA DE TAMIZAJE",IF(GC174&gt;0,SUM(GC174-RW174)/7,""))))))))))))</f>
        <v>PIERDE TOMA DE TAMIZAJE</v>
      </c>
      <c r="GE174" s="22"/>
      <c r="GF174" s="22"/>
      <c r="GG174" s="29" t="str">
        <f t="shared" ca="1" si="682"/>
        <v>EN RANGO PARA TOMAR EXAMEN</v>
      </c>
      <c r="GH174" s="22"/>
      <c r="GI174" s="29"/>
      <c r="GJ174" s="22"/>
      <c r="GK174" s="22"/>
      <c r="GL174" s="22"/>
      <c r="GM174" s="22"/>
      <c r="GN174" s="28" t="s">
        <v>869</v>
      </c>
      <c r="GO174" s="22">
        <v>45066</v>
      </c>
      <c r="GP174" s="29">
        <f t="shared" si="626"/>
        <v>10.142857142857142</v>
      </c>
      <c r="GQ174" s="28" t="s">
        <v>869</v>
      </c>
      <c r="GR174" s="28" t="s">
        <v>869</v>
      </c>
      <c r="GS174" s="22" t="str">
        <f t="shared" si="728"/>
        <v>CONTROL Igm</v>
      </c>
      <c r="GT174" s="22">
        <v>45066</v>
      </c>
      <c r="GU174" s="29">
        <f t="shared" si="628"/>
        <v>10.142857142857142</v>
      </c>
      <c r="GV174" s="21" t="str">
        <f t="shared" si="629"/>
        <v>I TRIM</v>
      </c>
      <c r="GW174" s="28" t="s">
        <v>869</v>
      </c>
      <c r="GX174" s="30"/>
      <c r="GY174" s="21"/>
      <c r="GZ174" s="21"/>
      <c r="HA174" s="21"/>
      <c r="HB174" s="21"/>
      <c r="HC174" s="21"/>
      <c r="HD174" s="21"/>
      <c r="HE174" s="21"/>
      <c r="HF174" s="22"/>
      <c r="HG174" s="22" t="str">
        <f>IF(OR(O174&gt;0,R174&gt;0),CONCATENATE(IF(Tabla1[[#This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74" s="22" t="e">
        <f t="shared" si="630"/>
        <v>#REF!</v>
      </c>
      <c r="HI174" s="22" t="e">
        <f t="shared" ca="1" si="631"/>
        <v>#REF!</v>
      </c>
      <c r="HJ174" s="21" t="str">
        <f t="shared" ca="1" si="632"/>
        <v>*********************MULTIPARIDAD***RIESGO POR EDAD***************</v>
      </c>
      <c r="HK174" s="21" t="str">
        <f t="shared" si="633"/>
        <v>SIN ANTECEDENTES DE RIESGO</v>
      </c>
      <c r="HL174" s="24" t="str">
        <f t="shared" si="634"/>
        <v>APARENTEMENTE NORMAL</v>
      </c>
      <c r="HM174" s="21" t="e">
        <f t="shared" ca="1" si="635"/>
        <v>#REF!</v>
      </c>
      <c r="HN174" s="30" t="str">
        <f t="shared" si="683"/>
        <v>ACTIVA INGRESO A CPN</v>
      </c>
      <c r="HO174" s="21"/>
      <c r="HP174" s="21"/>
      <c r="HQ174" s="349">
        <v>45065</v>
      </c>
      <c r="HR174" s="21" t="str">
        <f>IF(R174="","",IF(Tabla1[[#This Row],[ALARMA FACTORES DE RIESGO COMPLICACIONES HIPERTENSIVAS3]]="SIN ANTECEDENTES DE RIESGO","No Aplica para suministro de ASA",IF(AND(Tabla1[[#This Row],[FECHA INICIO DE SUMINISTRO DE ASA]]&gt;0,RV174&lt;12),"Inicia ASA ANTES de Sem 12",IF(AND(RV174&gt;11,RV174&lt;17,OR(HK174="RIESGO ALTO DE COMPLICACIONES HIPERTENSIVAS VER MANEJO GUIA SUMINISTRO ASA Y CALCIO",HK174="RIESGO MODERADO (2 O MAS CRITERIOS) VER MANEJO GUIA SUMINISTRO ASA Y CALCIO")),"Inicio oportuno de ASA",IF(AND(RV174&gt;12,OR(HK174="RIESGO ALTO DE COMPLICACIONES HIPERTENSIVAS VER MANEJO GUIA SUMINISTRO ASA Y CALCIO",HK174="RIESGO MODERADO (2 O MAS CRITERIOS) VER MANEJO GUIA SUMINISTRO ASA Y CALCIO")),"Inicio no oportuno mayor a 16 semanas",IF(AND(BU174&lt;12,OR(HK174="RIESGO ALTO DE COMPLICACIONES HIPERTENSIVAS VER MANEJO GUIA SUMINISTRO ASA Y CALCIO",HK174="RIESGO MODERADO (2 O MAS CRITERIOS) VER MANEJO GUIA SUMINISTRO ASA Y CALCIO")),"Pendiente Inicio de ASA a la semana 12",IF(AND(BU174&gt;11,BU174&lt;17,OR(HK174="RIESGO ALTO DE COMPLICACIONES HIPERTENSIVAS VER MANEJO GUIA SUMINISTRO ASA Y CALCIO",HK174="RIESGO MODERADO (2 O MAS CRITERIOS) VER MANEJO GUIA SUMINISTRO ASA Y CALCIO")),"Iniciar de inmediato ASA",IF(AND(BU174&gt;16,OR(HK174="RIESGO ALTO DE COMPLICACIONES HIPERTENSIVAS VER MANEJO GUIA SUMINISTRO ASA Y CALCIO",HK174="RIESGO MODERADO (2 O MAS CRITERIOS) VER MANEJO GUIA SUMINISTRO ASA Y CALCIO")),"Pierde Oportunidad, Inicio tardío de ASA","XXXXX"))))))))</f>
        <v>No Aplica para suministro de ASA</v>
      </c>
      <c r="HS174" s="22">
        <v>45065</v>
      </c>
      <c r="HT174" s="22" t="s">
        <v>870</v>
      </c>
      <c r="HU174" s="22">
        <v>45065</v>
      </c>
      <c r="HV174" s="22" t="s">
        <v>870</v>
      </c>
      <c r="HW174" s="22">
        <v>45065</v>
      </c>
      <c r="HX174" s="22" t="s">
        <v>870</v>
      </c>
      <c r="HY174" s="22">
        <v>45154</v>
      </c>
      <c r="HZ174" s="28">
        <f t="shared" si="636"/>
        <v>22.714285714285715</v>
      </c>
      <c r="IA174" s="26"/>
      <c r="IB174" s="26"/>
      <c r="IC174" s="111"/>
      <c r="ID174" s="22"/>
      <c r="IE174" s="22" t="str">
        <f t="shared" ca="1" si="637"/>
        <v>INASISTENTE</v>
      </c>
      <c r="IF174" s="22"/>
      <c r="IG174" s="22">
        <f t="shared" si="638"/>
        <v>45275</v>
      </c>
      <c r="IH174" s="29">
        <f t="shared" ca="1" si="639"/>
        <v>43</v>
      </c>
      <c r="II174" s="22" t="str">
        <f t="shared" ca="1" si="640"/>
        <v>PENDIENTE</v>
      </c>
      <c r="IJ174" s="22"/>
      <c r="IK174" s="21"/>
      <c r="IL174" s="21"/>
      <c r="IM174" s="34"/>
      <c r="IN174" s="22"/>
      <c r="IO174" s="21"/>
      <c r="IP174" s="29" t="str">
        <f t="shared" si="730"/>
        <v/>
      </c>
      <c r="IQ174" s="35"/>
      <c r="IR174" s="21"/>
      <c r="IS174" s="21"/>
      <c r="IT174" s="21"/>
      <c r="IU174" s="21"/>
      <c r="IV174" s="21"/>
      <c r="IW174" s="21"/>
      <c r="IX174" s="21"/>
      <c r="IY174" s="21"/>
      <c r="IZ174" s="21"/>
      <c r="JA174" s="21"/>
      <c r="JB174" s="30"/>
      <c r="JC174" s="21"/>
      <c r="JD174" s="36"/>
      <c r="JE174" s="21" t="str">
        <f t="shared" ref="JE174:JE193" si="733">IF(AND(JD174&gt;700,JD174&lt;2500,IP174&gt;36),"BAJO PESO AL NACER",IF(AND(JD174&gt;500,JD174&lt;2500,IP174&lt;37),"PREMATURO",IF(AND(JD174&gt;2499,JD174&lt;5000,IP174&lt;37),"ERROR VERIFICAR DATO EDAD GESTACIONAL VS PESO",IF(AND(JD174&gt;2499,JD174&lt;4000,IP174&gt;36),"PESO ADECUADO EDAD GESTACIONAL",IF(AND(JD174&gt;3999,JD174&lt;6000,IP174&gt;36),"PESO GRANDE EDAD GESTACIONAL","")))))</f>
        <v/>
      </c>
      <c r="JF174" s="30"/>
      <c r="JG174" s="21"/>
      <c r="JH174" s="21"/>
      <c r="JI174" s="21"/>
      <c r="JJ174" s="30"/>
      <c r="JK174" s="22"/>
      <c r="JL174" s="22"/>
      <c r="JM174" s="21"/>
      <c r="JN174" s="36"/>
      <c r="JO174" s="21" t="str">
        <f t="shared" ref="JO174:JO193" si="734">IF(AND(JN174&gt;700,JN174&lt;2500,IP174&gt;36,IP174&lt;43),"BAJO PESO AL NACER",IF(AND(JN174&gt;700,JN174&lt;2500,IP174&lt;37),"PREMATURO",IF(AND(JN174&gt;2499,JN174&lt;5000,IP174&lt;37),"ERROR VERIFICAR DATO EDAD GESTACIONAL VS PESO",IF(AND(JN174&gt;2499,JN174&lt;4000,IP174&gt;36,IP174&lt;43),"PESO ADECUADO EDAD GESTACIONAL",IF(AND(JN174&gt;3999,JN174&lt;6000,IP174&gt;36,IP174&lt;43),"PESO GRANDE EDAD GESTACIONAL","")))))</f>
        <v/>
      </c>
      <c r="JP174" s="22"/>
      <c r="JQ174" s="21"/>
      <c r="JR174" s="21"/>
      <c r="JS174" s="21"/>
      <c r="JT174" s="30"/>
      <c r="JU174" s="22"/>
      <c r="JV174" s="22"/>
      <c r="JW174" s="33"/>
      <c r="JX174" s="28" t="str">
        <f t="shared" ref="JX174:JX193" si="735">IF(AND(JW174&lt;&gt;"",JW174&lt;IN174),"INCONSISTENCIA FECHA CONTROL",IF(AND(OR(IK174="Parto",IK174="Cesarea"),JW174&gt;0,IN174&gt;0),SUM(JW174-IN174),IF(AND(OR(IK174="Parto",IK174="Cesarea"),JW174="",IN174&gt;0),"INASISTENTE","")))</f>
        <v/>
      </c>
      <c r="JY174" s="33"/>
      <c r="JZ174" s="28" t="str">
        <f t="shared" ref="JZ174:JZ193" si="736">IF(AND(JY174&lt;&gt;"",JY174&lt;IN174),"INCONSISTENCIA FECHA CONTROL",IF(AND(OR(IK174="Parto",IK174="Cesarea",IK174="Aborto Espontaneo",IK174="Aborto Inducido",IK174="IVE"),JY174&gt;0,IN174&gt;0),SUM(JY174-IN174),IF(AND(JY174&lt;&gt;"",JY174&lt;IN174),"INCONSISTENCIA FECHA CONTROL",IF(AND(OR(IK174="Parto",IK174="Cesarea",IK174="Aborto Espontaneo",IK174="Aborto Inducido",IK174="IVE"),JY174="",IN174&gt;0),"INASISTENTE",""))))</f>
        <v/>
      </c>
      <c r="KA174" s="21"/>
      <c r="KB174" s="21"/>
      <c r="KC174" s="21"/>
      <c r="KD174" s="37"/>
      <c r="KE174" s="28"/>
      <c r="KF174" s="28"/>
      <c r="KG174" s="28"/>
      <c r="KH174" s="39"/>
      <c r="KI174" s="39"/>
      <c r="KJ174" s="66"/>
      <c r="KK174" s="39"/>
      <c r="KL174" s="39"/>
      <c r="KM174" s="66"/>
      <c r="KN174" s="39"/>
      <c r="KO174" s="39"/>
      <c r="KP174" s="39"/>
      <c r="KQ174" s="39"/>
      <c r="KR174" s="39"/>
      <c r="KS174" s="39"/>
      <c r="KT174" s="39"/>
      <c r="KU174" s="38"/>
      <c r="KV174" s="38"/>
      <c r="KW174" s="38"/>
      <c r="KX174" s="38"/>
      <c r="KY174" s="38"/>
      <c r="KZ174" s="38"/>
      <c r="LA174" s="38"/>
      <c r="LB174" s="38"/>
      <c r="LC174" s="38"/>
      <c r="LD174" s="38"/>
      <c r="LE174" s="38"/>
      <c r="LF174" s="38"/>
      <c r="LG174" s="38"/>
      <c r="LH174" s="38"/>
      <c r="LI174" s="38"/>
      <c r="LJ174" s="38"/>
      <c r="LK174" s="38"/>
      <c r="LL174" s="38"/>
      <c r="LM174" s="38"/>
      <c r="LN174" s="38"/>
      <c r="LO174" s="38"/>
      <c r="LP174" s="38"/>
      <c r="LQ174" s="38"/>
      <c r="LR174" s="38"/>
      <c r="LS174" s="38"/>
      <c r="LT174" s="38"/>
      <c r="LU174" s="38"/>
      <c r="LV174" s="38"/>
      <c r="LW174" s="38"/>
      <c r="LX174" s="38"/>
      <c r="LY174" s="38"/>
      <c r="LZ174" s="38"/>
      <c r="MA174" s="38"/>
      <c r="MB174" s="38"/>
      <c r="MC174" s="38"/>
      <c r="MD174" s="38"/>
      <c r="ME174" s="38"/>
      <c r="MF174" s="38"/>
      <c r="MG174" s="38"/>
      <c r="MH174" s="43">
        <f t="shared" si="697"/>
        <v>0</v>
      </c>
      <c r="MI174" s="43" t="str">
        <f t="shared" si="698"/>
        <v/>
      </c>
      <c r="MJ174" s="43" t="str">
        <f t="shared" si="699"/>
        <v/>
      </c>
      <c r="MK174" s="43">
        <f t="shared" si="700"/>
        <v>0</v>
      </c>
      <c r="ML17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74" s="43">
        <f t="shared" si="701"/>
        <v>10</v>
      </c>
      <c r="MN174" s="43">
        <f t="shared" si="702"/>
        <v>5</v>
      </c>
      <c r="MO174" s="43">
        <f t="shared" si="703"/>
        <v>2023</v>
      </c>
      <c r="MP174" s="43" t="str">
        <f t="shared" si="704"/>
        <v>II TRIMESTRE AÑO</v>
      </c>
      <c r="MQ174" s="43">
        <f t="shared" si="705"/>
        <v>37.552014892685058</v>
      </c>
      <c r="MR174" s="43">
        <f t="shared" si="706"/>
        <v>2</v>
      </c>
      <c r="MS174" s="43" t="str">
        <f t="shared" si="707"/>
        <v xml:space="preserve"> DE 35 A 39 AÑOS</v>
      </c>
      <c r="MT174" s="43">
        <f t="shared" si="708"/>
        <v>0</v>
      </c>
      <c r="MU174" s="43">
        <f t="shared" si="709"/>
        <v>2</v>
      </c>
      <c r="MV174" s="43">
        <f t="shared" si="710"/>
        <v>0</v>
      </c>
      <c r="MW174" s="43">
        <f t="shared" si="711"/>
        <v>0</v>
      </c>
      <c r="MX174" s="43" t="str">
        <f t="shared" si="712"/>
        <v/>
      </c>
      <c r="MY174" s="43" t="str">
        <f t="shared" ref="MY174:MY193" ca="1" si="737">IF(AND(AND(BU174&gt;40.9,BU174&lt;43),IN174=""),1,"")</f>
        <v/>
      </c>
      <c r="MZ174" s="43" t="str">
        <f t="shared" si="713"/>
        <v/>
      </c>
      <c r="NA174" s="43" t="str">
        <f t="shared" si="714"/>
        <v/>
      </c>
      <c r="NB174" s="43" t="str">
        <f t="shared" si="715"/>
        <v/>
      </c>
      <c r="NC174" s="43" t="str">
        <f t="shared" si="716"/>
        <v/>
      </c>
      <c r="ND174" s="43">
        <f t="shared" ca="1" si="717"/>
        <v>4</v>
      </c>
      <c r="NE174" s="43">
        <f>IF(OR(O174&gt;0,R174&gt;0),SUM(COUNTIF(Tabla1[[#This Row],[AÑOS AL INICIO5 CPN]],"&gt;=40"),COUNTIF(AS174,"0"),COUNTIF(AR174,"SI"),COUNTIF(CC174,"SI"),COUNTIF(BQ174,"&gt;119"),COUNTIF(CI174,"&gt;=35")),"")</f>
        <v>0</v>
      </c>
      <c r="NF174" s="43" t="str">
        <f t="shared" si="718"/>
        <v/>
      </c>
      <c r="NG174" s="43">
        <f t="shared" si="719"/>
        <v>0</v>
      </c>
      <c r="NH174" s="43">
        <f t="shared" si="720"/>
        <v>165.20000000000002</v>
      </c>
      <c r="NI17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CPN",P174="NO"),"Z",IF(AND(Tabla1[[#This Row],[CITA PROXIMO CONTROL]]="CITA MANUAL",Tabla1[[#This Row],[GESTANTES ACTUALES]]="ACTIVA INGRESO A CPN"),"W",IF(AND(Tabla1[[#This Row],[GESTANTES ACTUALES]]="SALIO PROGRAMA",IN174=""),"S",IF(AND(Tabla1[[#This Row],[CITA PROXIMO CONTROL]]&gt;0,IN174=""),(Tabla1[[#This Row],[CITA PROXIMO CONTROL]]-TODAY()),"SD"))))))))</f>
        <v>#REF!</v>
      </c>
      <c r="NJ174" s="43">
        <f>MONTH(Tabla1[[#This Row],[FECHA DE SALIDA  DEL PROGRAMA]])</f>
        <v>1</v>
      </c>
      <c r="NK174" s="43">
        <f>YEAR(Tabla1[[#This Row],[FECHA DE SALIDA  DEL PROGRAMA]])</f>
        <v>1900</v>
      </c>
      <c r="NL174" s="43" t="str">
        <f t="shared" si="721"/>
        <v>X</v>
      </c>
      <c r="NM174" s="43" t="str">
        <f t="shared" si="695"/>
        <v>NO</v>
      </c>
      <c r="NN174" s="43" t="str">
        <f ca="1">IF(AND(O174&gt;0,R174=""),"NO CPN",IF(AND(O174="",R174=""),"",IF(AND(R174&gt;0,Tabla1[[#This Row],[SEMANAS DE GESTACION ACTUALIZADAS]]&lt;=12),"NO APLICA",IF(AND(FH174&lt;&gt;"",FN174&lt;&gt;""),"SI","NO"))))</f>
        <v>NO</v>
      </c>
      <c r="NO174" s="43" t="str">
        <f ca="1">IF(AND(O174&gt;0,R174=""),"NO CPN",IF(AND(O174="",R174=""),"",IF(AND(R174&gt;0,Tabla1[[#This Row],[SEMANAS DE GESTACION ACTUALIZADAS]]&lt;=27),"NO APLICA",IF(AND(ES174&lt;&gt;"",FQ174&lt;&gt;"",GF174&lt;&gt;""),"SI","NO"))))</f>
        <v>NO</v>
      </c>
      <c r="NP174" s="204" t="str">
        <f t="shared" si="722"/>
        <v>I TRIM</v>
      </c>
      <c r="NQ174" s="21" t="str">
        <f t="shared" si="731"/>
        <v/>
      </c>
      <c r="NR174" s="21">
        <f t="shared" ref="NR174:NR193" ca="1" si="738">IF(AND(O174="",R174=""),"",IF(AND(BS174&gt;0,BS174&lt;12,IP174&gt;28,IP174&lt;44),3, IF(OR(AND(BS174&gt;=12,BS174&lt;28,IP174&gt;=28,IP174&lt;44),AND(BS174&gt;0,BS174&lt;12,IP174&gt;=12,IP174&lt;29)),2,IF(OR(AND(BS174&gt;=28,BS174&lt;44),AND(BS174&gt;0,BS174&lt;12,IP174&gt;0,IP174&lt;12),AND(BS174&gt;=12,BS174&lt;28,IP174&gt;=12,IP174&lt;28)),1,IF(AND(BS174&gt;0,BS174&lt;12,BU174&gt;=28,BU174&lt;44,DV174="ACTIVA INGRESO A CPN"),3,IF(OR(AND(BS174&gt;0,BS174&lt;12,BU174&gt;=12,BU174&lt;28,DV174="ACTIVA INGRESO A CPN"),AND(BS174&gt;=12,BS174&lt;28,BU174&gt;=28,BU174&lt;44,DV174="ACTIVA INGRESO A CPN")),2,IF(OR(AND(BS174&gt;0,BS174&lt;12,BU174&gt;0,BU174&lt;12,DV174="ACTIVA INGRESO A CPN"),AND(BS174&gt;=12,BS174&lt;28,BU174&gt;=12,BU174&lt;28,DV174="ACTIVA INGRESO A CPN")),1,"REVISAR FUM O FECHA SALIDA PROGRAMA")))))))</f>
        <v>3</v>
      </c>
      <c r="NS174" s="205">
        <f t="shared" ca="1" si="723"/>
        <v>1</v>
      </c>
      <c r="NT174" s="21">
        <f t="shared" ca="1" si="724"/>
        <v>1</v>
      </c>
      <c r="NU174" s="21" t="str">
        <f t="shared" ca="1" si="725"/>
        <v>INCOMPLETO</v>
      </c>
      <c r="NV174" s="21" t="str">
        <f t="shared" ca="1" si="726"/>
        <v>INCOMPLETO</v>
      </c>
      <c r="NW174" s="206" t="str">
        <f>IF(AND(O174="",R174=""),"",IF(OR(AND(Tabla1[[#This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74" s="207" t="str">
        <f t="shared" ca="1" si="727"/>
        <v>SIN VACUNAR</v>
      </c>
      <c r="NY174" s="43">
        <f>ROW(Tabla1[[#This Row],['# DE TAMIZAJES SIFILIS TOMADOS ]])</f>
        <v>174</v>
      </c>
      <c r="NZ174" s="43">
        <f t="shared" si="502"/>
        <v>10</v>
      </c>
      <c r="OA174" s="43" t="str">
        <f t="shared" si="503"/>
        <v/>
      </c>
      <c r="OB174" s="43" t="str">
        <f t="shared" si="504"/>
        <v>SOBREPESO</v>
      </c>
      <c r="OC174" s="43" t="str">
        <f t="shared" si="505"/>
        <v/>
      </c>
      <c r="OD174" s="43" t="str">
        <f t="shared" si="506"/>
        <v/>
      </c>
      <c r="OE174" s="43" t="str">
        <f t="shared" si="507"/>
        <v/>
      </c>
      <c r="OF174" s="43" t="str">
        <f t="shared" si="508"/>
        <v/>
      </c>
      <c r="OG174" s="43" t="str">
        <f t="shared" si="509"/>
        <v/>
      </c>
      <c r="OH174" s="43" t="str">
        <f t="shared" si="510"/>
        <v/>
      </c>
      <c r="OI174" s="43" t="str">
        <f t="shared" si="511"/>
        <v/>
      </c>
      <c r="OJ174" s="43" t="str">
        <f t="shared" si="512"/>
        <v/>
      </c>
      <c r="OK174" s="43" t="str">
        <f t="shared" si="513"/>
        <v/>
      </c>
      <c r="OL174" s="43" t="str">
        <f t="shared" si="514"/>
        <v/>
      </c>
      <c r="OM174" s="43" t="str">
        <f t="shared" si="515"/>
        <v/>
      </c>
      <c r="ON174" s="43" t="str">
        <f t="shared" si="516"/>
        <v/>
      </c>
      <c r="OO174" s="43" t="str">
        <f t="shared" si="517"/>
        <v/>
      </c>
      <c r="OP174" s="43" t="str">
        <f t="shared" si="518"/>
        <v/>
      </c>
      <c r="OQ174" s="43" t="str">
        <f t="shared" si="519"/>
        <v/>
      </c>
      <c r="OR174" s="43" t="str">
        <f t="shared" si="520"/>
        <v/>
      </c>
      <c r="OS174" s="43" t="str">
        <f t="shared" si="521"/>
        <v/>
      </c>
      <c r="OT174" s="43" t="str">
        <f t="shared" si="522"/>
        <v/>
      </c>
      <c r="OU174" s="43" t="str">
        <f t="shared" si="523"/>
        <v/>
      </c>
      <c r="OV174" s="110" t="str">
        <f t="shared" si="524"/>
        <v/>
      </c>
      <c r="OW174" s="43" t="str">
        <f t="shared" si="525"/>
        <v/>
      </c>
      <c r="OX174" s="43" t="str">
        <f t="shared" si="526"/>
        <v/>
      </c>
      <c r="OY174" s="43" t="str">
        <f t="shared" si="527"/>
        <v/>
      </c>
      <c r="OZ174" s="43" t="str">
        <f t="shared" si="528"/>
        <v/>
      </c>
      <c r="PA174" s="43" t="str">
        <f t="shared" si="529"/>
        <v/>
      </c>
      <c r="PB174" s="43" t="str">
        <f t="shared" si="530"/>
        <v/>
      </c>
      <c r="PC174" s="43" t="str">
        <f t="shared" si="531"/>
        <v/>
      </c>
      <c r="PD174" s="43" t="str">
        <f t="shared" si="532"/>
        <v/>
      </c>
      <c r="PE174" s="43" t="str">
        <f t="shared" si="533"/>
        <v/>
      </c>
      <c r="PF174" s="43" t="str">
        <f t="shared" si="534"/>
        <v/>
      </c>
      <c r="PG174" s="43" t="str">
        <f t="shared" si="535"/>
        <v/>
      </c>
      <c r="PH174" s="43" t="str">
        <f t="shared" si="536"/>
        <v/>
      </c>
      <c r="PI174" s="43">
        <f t="shared" si="537"/>
        <v>22</v>
      </c>
      <c r="PJ174" s="43" t="str">
        <f t="shared" si="538"/>
        <v/>
      </c>
      <c r="PK174" s="43" t="str">
        <f t="shared" si="539"/>
        <v/>
      </c>
      <c r="PL174" s="43" t="str">
        <f t="shared" si="540"/>
        <v/>
      </c>
      <c r="PM174" s="43" t="str">
        <f t="shared" si="541"/>
        <v/>
      </c>
      <c r="PN174" s="43" t="str">
        <f t="shared" si="542"/>
        <v/>
      </c>
      <c r="PO174" s="43" t="str">
        <f t="shared" si="543"/>
        <v/>
      </c>
      <c r="PP174" s="43" t="str">
        <f t="shared" si="544"/>
        <v/>
      </c>
      <c r="PQ174" s="43" t="str">
        <f t="shared" si="545"/>
        <v/>
      </c>
      <c r="PR174" s="43" t="str">
        <f t="shared" si="546"/>
        <v/>
      </c>
      <c r="PS174" s="43" t="str">
        <f t="shared" si="547"/>
        <v/>
      </c>
      <c r="PT174" s="43" t="str">
        <f t="shared" si="548"/>
        <v/>
      </c>
      <c r="PU174" s="43" t="str">
        <f t="shared" si="549"/>
        <v/>
      </c>
      <c r="PV174" s="43" t="str">
        <f t="shared" si="550"/>
        <v/>
      </c>
      <c r="PW174" s="43" t="str">
        <f t="shared" si="551"/>
        <v>SOBREPESO</v>
      </c>
      <c r="PX174" s="43" t="str">
        <f t="shared" si="552"/>
        <v/>
      </c>
      <c r="PY174" s="43" t="str">
        <f t="shared" si="553"/>
        <v/>
      </c>
      <c r="PZ174" s="43" t="str">
        <f t="shared" si="554"/>
        <v/>
      </c>
      <c r="QA174" s="43" t="str">
        <f t="shared" si="555"/>
        <v/>
      </c>
      <c r="QB174" s="43" t="str">
        <f t="shared" si="556"/>
        <v/>
      </c>
      <c r="QC174" s="43" t="str">
        <f t="shared" si="557"/>
        <v/>
      </c>
      <c r="QD174" s="43" t="str">
        <f t="shared" si="558"/>
        <v/>
      </c>
      <c r="QE174" s="43" t="str">
        <f t="shared" si="559"/>
        <v/>
      </c>
      <c r="QF174" s="43" t="str">
        <f t="shared" si="560"/>
        <v/>
      </c>
      <c r="QG174" s="43" t="str">
        <f t="shared" si="561"/>
        <v/>
      </c>
      <c r="QH174" s="43" t="str">
        <f t="shared" si="562"/>
        <v/>
      </c>
      <c r="QI174" s="43" t="str">
        <f t="shared" si="563"/>
        <v/>
      </c>
      <c r="QJ174" s="43" t="str">
        <f t="shared" si="564"/>
        <v/>
      </c>
      <c r="QK174" s="43" t="str">
        <f t="shared" si="565"/>
        <v/>
      </c>
      <c r="QL174" s="43" t="str">
        <f t="shared" si="566"/>
        <v/>
      </c>
      <c r="QM174" s="43" t="str">
        <f t="shared" si="567"/>
        <v/>
      </c>
      <c r="QN174" s="43" t="str">
        <f t="shared" si="568"/>
        <v/>
      </c>
      <c r="QO174" s="43" t="str">
        <f t="shared" si="569"/>
        <v/>
      </c>
      <c r="QP174" s="43" t="str">
        <f t="shared" si="570"/>
        <v/>
      </c>
      <c r="QQ174" s="43" t="str">
        <f t="shared" si="571"/>
        <v/>
      </c>
      <c r="QR174" s="43">
        <f t="shared" si="672"/>
        <v>22</v>
      </c>
      <c r="QS174" s="43"/>
      <c r="QT174" s="21" t="str">
        <f t="shared" si="572"/>
        <v/>
      </c>
      <c r="QU174" s="21" t="str">
        <f t="shared" si="573"/>
        <v/>
      </c>
      <c r="QV174" s="21" t="str">
        <f t="shared" si="574"/>
        <v/>
      </c>
      <c r="QW174" s="21" t="str">
        <f t="shared" si="575"/>
        <v/>
      </c>
      <c r="QX174" s="21" t="str">
        <f t="shared" si="576"/>
        <v/>
      </c>
      <c r="QY174" s="21" t="str">
        <f t="shared" si="577"/>
        <v/>
      </c>
      <c r="QZ174" s="21" t="str">
        <f t="shared" si="578"/>
        <v/>
      </c>
      <c r="RA174" s="21" t="str">
        <f t="shared" si="579"/>
        <v/>
      </c>
      <c r="RB174" s="21" t="str">
        <f t="shared" si="580"/>
        <v/>
      </c>
      <c r="RC174" s="21" t="str">
        <f t="shared" si="581"/>
        <v>ALTO PARA EDAD GESTACIONAL</v>
      </c>
      <c r="RD174" s="21" t="str">
        <f t="shared" si="582"/>
        <v/>
      </c>
      <c r="RE174" s="21" t="str">
        <f t="shared" si="583"/>
        <v/>
      </c>
      <c r="RF174" s="21" t="str">
        <f t="shared" si="584"/>
        <v/>
      </c>
      <c r="RG174" s="21" t="str">
        <f t="shared" si="585"/>
        <v/>
      </c>
      <c r="RH174" s="21" t="str">
        <f t="shared" si="586"/>
        <v/>
      </c>
      <c r="RI174" s="21" t="str">
        <f t="shared" si="587"/>
        <v/>
      </c>
      <c r="RJ174" s="21" t="str">
        <f t="shared" si="588"/>
        <v/>
      </c>
      <c r="RK174" s="21" t="str">
        <f t="shared" si="589"/>
        <v/>
      </c>
      <c r="RL174" s="21" t="str">
        <f t="shared" si="590"/>
        <v/>
      </c>
      <c r="RM174" s="21" t="str">
        <f t="shared" si="591"/>
        <v/>
      </c>
      <c r="RN174" s="21" t="str">
        <f t="shared" si="592"/>
        <v/>
      </c>
      <c r="RO174" s="21" t="str">
        <f t="shared" si="593"/>
        <v/>
      </c>
      <c r="RP174" s="21" t="str">
        <f t="shared" si="594"/>
        <v/>
      </c>
      <c r="RQ174" s="21" t="str">
        <f t="shared" si="595"/>
        <v/>
      </c>
      <c r="RR174" s="21" t="str">
        <f t="shared" si="596"/>
        <v/>
      </c>
      <c r="RS174" s="21" t="str">
        <f t="shared" si="597"/>
        <v/>
      </c>
      <c r="RT174" s="21" t="str">
        <f t="shared" si="598"/>
        <v/>
      </c>
      <c r="RU174" s="21" t="str">
        <f t="shared" si="599"/>
        <v/>
      </c>
      <c r="RV174" s="21">
        <f t="shared" si="600"/>
        <v>10</v>
      </c>
      <c r="RW174" s="284">
        <f>IF(OR(Tabla1[[#This Row],[FUM FORMULA CONFIABLE]]="",Tabla1[[#This Row],[FUM FORMULA CONFIABLE]]="SD"),"",IF(Tabla1[[#This Row],[FUM FORMULA CONFIABLE]]="CORREGIDA",Tabla1[[#This Row],[FUM X ECO 1]],Tabla1[[#This Row],[FUM x AMENORREA]]))</f>
        <v>44995</v>
      </c>
      <c r="RX174" s="21">
        <f>IF(AND(Tabla1[[#This Row],[FUM X ECO 1]]="",Tabla1[[#This Row],[FUM x AMENORREA]]=""),"",IF(AND(Tabla1[[#This Row],[FUM X ECO 1]]="",Tabla1[[#This Row],[FUM x AMENORREA]]&lt;&gt;""),"X",SUM(Tabla1[[#This Row],[FUM X ECO 1]]-Tabla1[[#This Row],[FUM x AMENORREA]])))</f>
        <v>-165.19999999999709</v>
      </c>
      <c r="RY174" s="21">
        <f t="shared" si="673"/>
        <v>1</v>
      </c>
    </row>
    <row r="175" spans="1:493" ht="45" customHeight="1" x14ac:dyDescent="0.25">
      <c r="A175" s="109"/>
      <c r="B175" s="43"/>
      <c r="C175" s="43" t="s">
        <v>845</v>
      </c>
      <c r="D175" s="124"/>
      <c r="E175" s="43" t="s">
        <v>967</v>
      </c>
      <c r="F175" s="43" t="s">
        <v>980</v>
      </c>
      <c r="G175" s="43" t="s">
        <v>1492</v>
      </c>
      <c r="H175" s="43"/>
      <c r="I175" s="109" t="s">
        <v>851</v>
      </c>
      <c r="J175" s="110" t="s">
        <v>1493</v>
      </c>
      <c r="K175" s="43" t="s">
        <v>852</v>
      </c>
      <c r="L175" s="175"/>
      <c r="M175" s="22">
        <v>31948</v>
      </c>
      <c r="N175" s="213">
        <f t="shared" ca="1" si="601"/>
        <v>36.394520547945206</v>
      </c>
      <c r="O175" s="22">
        <v>45065</v>
      </c>
      <c r="P175" s="214" t="str">
        <f t="shared" si="675"/>
        <v>SI</v>
      </c>
      <c r="Q175" s="26" t="s">
        <v>855</v>
      </c>
      <c r="R175" s="22">
        <v>45065</v>
      </c>
      <c r="S175" s="21" t="s">
        <v>856</v>
      </c>
      <c r="T175" s="24" t="s">
        <v>690</v>
      </c>
      <c r="U175" s="21" t="s">
        <v>857</v>
      </c>
      <c r="V175" s="21" t="s">
        <v>858</v>
      </c>
      <c r="W175" s="21" t="s">
        <v>846</v>
      </c>
      <c r="X175" s="21"/>
      <c r="Y175" s="21"/>
      <c r="Z175" s="21" t="s">
        <v>894</v>
      </c>
      <c r="AA175" s="21" t="s">
        <v>860</v>
      </c>
      <c r="AB175" s="27" t="s">
        <v>861</v>
      </c>
      <c r="AC175" s="26" t="s">
        <v>846</v>
      </c>
      <c r="AD175" s="38" t="s">
        <v>1546</v>
      </c>
      <c r="AE175" s="26" t="s">
        <v>854</v>
      </c>
      <c r="AF175" s="26" t="s">
        <v>854</v>
      </c>
      <c r="AG175" s="23" t="s">
        <v>864</v>
      </c>
      <c r="AH175" s="23" t="s">
        <v>864</v>
      </c>
      <c r="AI175" s="24" t="s">
        <v>863</v>
      </c>
      <c r="AJ175" s="23" t="s">
        <v>864</v>
      </c>
      <c r="AK175" s="220" t="str">
        <f>IF(AND(AD175="",AE175="",AF175="",AG175="",AH175="",AI175="",AJ175=""),"",IF(OR(Tabla1[[#This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EVALUACIÓN",IF(AND(O175="",R175=""),"",IF(AND(OR(O175&gt;0,R175&gt;0),NG175&gt;=0,NG175&lt;2),"SIN RIESGO",IF(AND(OR(O175&gt;0,R175&gt;0),NG175&gt;=2),"CON RIESGO","ASD")))))</f>
        <v>SIN RIESGO</v>
      </c>
      <c r="AL175" s="23" t="s">
        <v>864</v>
      </c>
      <c r="AM175" s="26" t="s">
        <v>864</v>
      </c>
      <c r="AN175" s="26" t="s">
        <v>864</v>
      </c>
      <c r="AO175" s="26" t="s">
        <v>864</v>
      </c>
      <c r="AP175" s="26" t="s">
        <v>864</v>
      </c>
      <c r="AQ175" s="26" t="s">
        <v>864</v>
      </c>
      <c r="AR175" s="26" t="s">
        <v>864</v>
      </c>
      <c r="AS175" s="21">
        <v>5</v>
      </c>
      <c r="AT175" s="21">
        <v>5</v>
      </c>
      <c r="AU175" s="21">
        <v>0</v>
      </c>
      <c r="AV175" s="26" t="s">
        <v>864</v>
      </c>
      <c r="AW175" s="21">
        <v>0</v>
      </c>
      <c r="AX175" s="26" t="s">
        <v>864</v>
      </c>
      <c r="AY175" s="26" t="s">
        <v>864</v>
      </c>
      <c r="AZ175" s="26" t="s">
        <v>864</v>
      </c>
      <c r="BA175" s="26" t="s">
        <v>864</v>
      </c>
      <c r="BB175" s="26" t="s">
        <v>864</v>
      </c>
      <c r="BC175" s="26" t="s">
        <v>864</v>
      </c>
      <c r="BD175" s="26" t="s">
        <v>864</v>
      </c>
      <c r="BE175" s="26" t="s">
        <v>864</v>
      </c>
      <c r="BF175" s="26" t="s">
        <v>864</v>
      </c>
      <c r="BG175" s="26" t="s">
        <v>864</v>
      </c>
      <c r="BH175" s="26" t="s">
        <v>864</v>
      </c>
      <c r="BI175" s="26" t="s">
        <v>864</v>
      </c>
      <c r="BJ175" s="26" t="s">
        <v>864</v>
      </c>
      <c r="BK175" s="26" t="s">
        <v>865</v>
      </c>
      <c r="BL175" s="26" t="s">
        <v>864</v>
      </c>
      <c r="BM175" s="26" t="s">
        <v>864</v>
      </c>
      <c r="BN175" s="22">
        <v>43918</v>
      </c>
      <c r="BO175" s="22">
        <v>45030</v>
      </c>
      <c r="BP175" s="21" t="s">
        <v>854</v>
      </c>
      <c r="BQ175" s="222">
        <f t="shared" si="602"/>
        <v>37.06666666666667</v>
      </c>
      <c r="BR175" s="223">
        <f t="shared" si="603"/>
        <v>45029.3</v>
      </c>
      <c r="BS175" s="224">
        <f t="shared" si="604"/>
        <v>5</v>
      </c>
      <c r="BT175" s="216" t="str">
        <f t="shared" si="605"/>
        <v>I TRIM</v>
      </c>
      <c r="BU175" s="214">
        <f t="shared" ca="1" si="606"/>
        <v>28.857142857142858</v>
      </c>
      <c r="BV175" s="25" t="s">
        <v>1478</v>
      </c>
      <c r="BW175" s="22">
        <v>45072</v>
      </c>
      <c r="BX175" s="28">
        <v>6.1</v>
      </c>
      <c r="BY175" s="28"/>
      <c r="BZ175" s="22"/>
      <c r="CA175" s="21"/>
      <c r="CB175" s="26"/>
      <c r="CC175" s="26"/>
      <c r="CD175" s="26"/>
      <c r="CE175" s="26"/>
      <c r="CF175" s="22" t="s">
        <v>1517</v>
      </c>
      <c r="CG175" s="21">
        <v>1.54</v>
      </c>
      <c r="CH175" s="21">
        <v>60</v>
      </c>
      <c r="CI175" s="214">
        <f t="shared" si="607"/>
        <v>25.299375948726599</v>
      </c>
      <c r="CJ175" s="225" t="str">
        <f>IF(AND(CI175&lt;10,CH175="SD"),"SIN DATO PESO PREGESTACION O I TRIM",IF(AND(OR(R175&gt;0,O175&gt;0),CI175="X"),"INGRESAR DATO DE PESO",IF(CI175="SD","INGRESAR DATO DE TALLA Y PESO",IF(AND(OR(Tabla1[[#This Row],[MOMENTO EN QUE SE REALIZA EL PESO AL INGRESO A CPN]]="PREGESTACIÓN",NZ175="Menor"),CI175&lt;18.5),"BAJO PESO",IF(AND(OR(Tabla1[[#This Row],[MOMENTO EN QUE SE REALIZA EL PESO AL INGRESO A CPN]]="PREGESTACIÓN",NZ175="Menor"),CI175&lt;25),"NORMAL",IF(AND(OR(Tabla1[[#This Row],[MOMENTO EN QUE SE REALIZA EL PESO AL INGRESO A CPN]]="PREGESTACIÓN",NZ175="Menor"),CI175&lt;30),"SOBREPESO",IF(AND(OR(Tabla1[[#This Row],[MOMENTO EN QUE SE REALIZA EL PESO AL INGRESO A CPN]]="PREGESTACIÓN",NZ175="Menor"),CI175&gt;=30,CI175&lt;50),"OBESIDAD",IF(AND(BS175&gt;0,Tabla1[[#This Row],[MOMENTO EN QUE SE REALIZA EL PESO AL INGRESO A CPN]]="GESTACIÓN"),HLOOKUP(NZ175,$OA$2:PH175,NY175),""))))))))</f>
        <v>SOBREPESO</v>
      </c>
      <c r="CK175" s="212">
        <f t="shared" si="608"/>
        <v>45139</v>
      </c>
      <c r="CL175" s="21">
        <v>63</v>
      </c>
      <c r="CM175" s="214">
        <f t="shared" si="609"/>
        <v>26.564344746162927</v>
      </c>
      <c r="CN175" s="216">
        <f t="shared" si="610"/>
        <v>15</v>
      </c>
      <c r="CO175" s="216" t="e">
        <f>IF(PI175="","",IF(PI175&gt;0,HLOOKUP(PI175,$PJ$2:QQ175,NY175),""))</f>
        <v>#REF!</v>
      </c>
      <c r="CP175" s="21">
        <v>18</v>
      </c>
      <c r="CQ175" s="216" t="e">
        <f>IF(QR175="Menor","NO APLICA-MENOR 13 SEM",IF(AND(CC175="SI",CN175&gt;23),"NO APLICA- GEMELAR",IF(QR175="","",IF(QR175&gt;0,HLOOKUP(QR175,$QS$2:RU175,NY175),""))))</f>
        <v>#REF!</v>
      </c>
      <c r="CR175" s="21">
        <v>90</v>
      </c>
      <c r="CS175" s="21">
        <v>60</v>
      </c>
      <c r="CT175" s="217" t="str">
        <f>IF(R175="","",IF(AND(BS175&gt;1,BS175&lt;12,Tabla1[[#This Row],[T.A. SISTOLICA - ANTES DE SEMANA 12]]="",Tabla1[[#This Row],[T.A. DIASTOLICA - ANTES DE SEMANA 12]]=""),"REGISTRE DATO TA ANTES SEMANA 12",IF(AND(BS175&gt;11,BS175&lt;43,Tabla1[[#This Row],[T.A. SISTOLICA - ANTES DE SEMANA 12]]="",Tabla1[[#This Row],[T.A. DIASTOLICA - ANTES DE SEMANA 12]]=""),"NO APLICA REGISTRO TA-INGRESO TARDIO",IF(AND(OR(O175&gt;0,R175&gt;0),OR(CR175&gt;=140,CS175&gt;=90)),"DEFINIR ESTADIO HTA",IF(AND(OR(O175&gt;0,R175&gt;0),AND(CR175&gt;120,CR175&lt;=139)),"PRE HTA SEGUIMIENTO",IF(AND(OR(O175&gt;0,R175&gt;0),AND(CS175&gt;80,CS175&lt;=89)),"PRE HTA SEGUIMIENTO",IF(AND(OR(O175&gt;0,R175&gt;0),AND(CR175&gt;=80,CR175&lt;=120)),"APARENTEMENTE NORMAL",IF(AND(OR(O175&gt;0,R175&gt;0),AND(CS175&gt;=50,CS175&lt;=80)),"APARENTEMENTE NORMAL",IF(AND(OR(O175&gt;0,R175&gt;0),AND(CR175&gt;1,CR175&lt;=70),AND(CS175&gt;1,CS175&lt;=40)),"HIPOTENSIÓN","")))))))))</f>
        <v>APARENTEMENTE NORMAL</v>
      </c>
      <c r="CU175" s="21"/>
      <c r="CV175" s="21"/>
      <c r="CW175" s="217" t="str">
        <f ca="1">IF(R175="","",IF(AND(CN175&gt;19,CN175&lt;27,Tabla1[[#This Row],[T.A. SISTOLICA (Entre semana 20 y 26)]]="",Tabla1[[#This Row],[T.A. DIATOLICA (Entre semana 20 y 26)]]=""),"ACUDE A CONTROL SEM 20 A 26 REGISTRE TA AHORA",IF(AND(BS175&gt;1,BS175&lt;27,BU175&gt;19,Tabla1[[#This Row],[T.A. SISTOLICA (Entre semana 20 y 26)]]="",Tabla1[[#This Row],[T.A. DIATOLICA (Entre semana 20 y 26)]]=""),"COMPLETE REGISTRO TA CONTROL SEM 20 A26 ",IF(AND(BS175&gt;26,BS175&lt;43,Tabla1[[#This Row],[T.A. SISTOLICA (Entre semana 20 y 26)]]="",Tabla1[[#This Row],[T.A. DIATOLICA (Entre semana 20 y 26)]]=""),"NO APLICA REGISTRO TA-INGRESO TARDIO",IF(AND(OR(O175&gt;0,R175&gt;0),OR(CU175&gt;=140,CV175&gt;=90)),"ALTO RIESGO PREECLAMPSIA,DEFINIR ESTADIO HTA",IF(AND(OR(O175&gt;0,R175&gt;0),AND(CU175&gt;120,CU175&lt;=139)),"PRE HTA SEGUIMIENTO,RIESGO HIPERTENSION INDUCIDA POR EL EMBARAZO",IF(AND(OR(O175&gt;0,R175&gt;0),AND(CV175&gt;80,CV175&lt;=89)),"PRE HTA SEGUIMIENTO, RIESGO HIPERTENSION INDUCIDA POR EL EMBARAZO",IF(AND(OR(O175&lt;&gt;"",R175&lt;&gt;""),CS175&lt;&gt;"",CV175&lt;&gt;"",CS175&lt;=CV175),"VIGILAR CIFRAS PRESION ARTERIAL",IF(AND(OR(O175&gt;0,R175&gt;0),AND(CU175&gt;120,CU175&lt;=139)),"PRE HTA SEGUIMIENTO",IF(AND(OR(O175&gt;0,R175&gt;0),AND(CU175&gt;1,CU175&lt;=70),AND(CV175&gt;1,CV175&lt;=40)),"HIPOTENSIÓN",IF(AND(OR(O175&lt;&gt;"",R175&lt;&gt;""),CS175&lt;&gt;"",CV175&lt;&gt;"",CS175&gt;CV175),"APARENTEMENTE NORMAL",IF(AND(OR(O175&gt;0,R175&gt;0),AND(CU175&gt;=80,CU175&lt;=120)),"APARENTEMENTE NORMAL",IF(AND(OR(O175&gt;0,R175&gt;0),AND(CV175&gt;=50,CV175&lt;=80)),"APARENTEMENTE NORMAL","")))))))))))))</f>
        <v xml:space="preserve">COMPLETE REGISTRO TA CONTROL SEM 20 A26 </v>
      </c>
      <c r="CX175" s="21"/>
      <c r="CY175" s="21"/>
      <c r="CZ175" s="216" t="str">
        <f t="shared" si="729"/>
        <v/>
      </c>
      <c r="DA175" s="21">
        <v>100</v>
      </c>
      <c r="DB175" s="21">
        <v>60</v>
      </c>
      <c r="DC175" s="217" t="str">
        <f t="shared" si="611"/>
        <v>APARENTEMENTE NORMAL</v>
      </c>
      <c r="DD175" s="22">
        <v>45065</v>
      </c>
      <c r="DE175" s="22">
        <v>45065</v>
      </c>
      <c r="DF175" s="22">
        <v>45098</v>
      </c>
      <c r="DG175" s="22">
        <v>45139</v>
      </c>
      <c r="DH175" s="22"/>
      <c r="DI175" s="22"/>
      <c r="DJ175" s="22"/>
      <c r="DK175" s="22"/>
      <c r="DL175" s="22"/>
      <c r="DM175" s="22"/>
      <c r="DN175" s="22"/>
      <c r="DO175" s="22"/>
      <c r="DP175" s="22"/>
      <c r="DQ175" s="22"/>
      <c r="DR175" s="28">
        <v>0</v>
      </c>
      <c r="DS175" s="22"/>
      <c r="DT175" s="22"/>
      <c r="DU175" s="216" t="str">
        <f t="shared" ca="1" si="676"/>
        <v>PLANEAR PLAN DE PARTO</v>
      </c>
      <c r="DV175" s="226" t="str">
        <f t="shared" si="677"/>
        <v>ACTIVA INGRESO A CPN</v>
      </c>
      <c r="DW17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75" s="216" t="e">
        <f t="shared" ca="1" si="612"/>
        <v>#REF!</v>
      </c>
      <c r="DY175" s="212">
        <f>IF(R175="","",IF(R175&gt;0,MAX(Tabla1[[#This Row],[FECHA C2]:[FECHA C13]],Tabla1[[#This Row],[FECHA CONSULTA PRIMERA VEZ PROGRAMA CPN ]])))</f>
        <v>45139</v>
      </c>
      <c r="DZ175" s="216">
        <f t="shared" si="613"/>
        <v>15</v>
      </c>
      <c r="EA175" s="222">
        <f>IF(R175&gt;0,SUM(COUNTA(DF175:DQ175)+COUNTA(Tabla1[[#This Row],[FECHA CONSULTA PRIMERA VEZ PROGRAMA CPN ]])),"")</f>
        <v>3</v>
      </c>
      <c r="EB175" s="222" t="str">
        <f t="shared" si="614"/>
        <v>NO</v>
      </c>
      <c r="EC175" s="214">
        <f t="shared" si="615"/>
        <v>10</v>
      </c>
      <c r="ED175" s="227">
        <f t="shared" si="616"/>
        <v>0.3</v>
      </c>
      <c r="EE175" s="22">
        <v>45065</v>
      </c>
      <c r="EF175" s="22">
        <v>45065</v>
      </c>
      <c r="EG175" s="22">
        <v>45065</v>
      </c>
      <c r="EH175" s="22"/>
      <c r="EI175" s="22">
        <v>45065</v>
      </c>
      <c r="EJ175" s="22"/>
      <c r="EK175" s="22"/>
      <c r="EL175" s="21"/>
      <c r="EM175" s="21">
        <v>14.1</v>
      </c>
      <c r="EN175" s="22">
        <v>45065</v>
      </c>
      <c r="EO175" s="222">
        <f t="shared" si="617"/>
        <v>5</v>
      </c>
      <c r="EP175" s="214" t="str">
        <f t="shared" si="618"/>
        <v>NO DAR SULFATO FERROSO</v>
      </c>
      <c r="EQ175" s="216" t="str">
        <f t="shared" si="619"/>
        <v>I TRIM</v>
      </c>
      <c r="ER175" s="24"/>
      <c r="ES175" s="22"/>
      <c r="ET175" s="29" t="str">
        <f t="shared" ca="1" si="678"/>
        <v>EN SEMANA 28 TOMA INMEDIATA DE EXAMEN</v>
      </c>
      <c r="EU175" s="25" t="str">
        <f t="shared" si="620"/>
        <v/>
      </c>
      <c r="EV175" s="24" t="s">
        <v>1510</v>
      </c>
      <c r="EW175" s="32">
        <v>45066</v>
      </c>
      <c r="EX175" s="22"/>
      <c r="EY175" s="29">
        <f t="shared" si="693"/>
        <v>5.1428571428571432</v>
      </c>
      <c r="EZ175" s="25" t="str">
        <f t="shared" si="694"/>
        <v>SIN RIESGO DE ISOINMUNIZACIÓN</v>
      </c>
      <c r="FA175" s="21">
        <v>80</v>
      </c>
      <c r="FB175" s="22">
        <v>45066</v>
      </c>
      <c r="FC175" s="29">
        <f t="shared" si="621"/>
        <v>5.1428571428571432</v>
      </c>
      <c r="FD175" s="29"/>
      <c r="FE175" s="29"/>
      <c r="FF175" s="29"/>
      <c r="FG175" s="21" t="str">
        <f t="shared" ca="1" si="622"/>
        <v>TOMAR PTOG</v>
      </c>
      <c r="FH175" s="31"/>
      <c r="FI175" s="29" t="str">
        <f t="shared" si="623"/>
        <v>TOMAR EXAMEN</v>
      </c>
      <c r="FJ175" s="22" t="s">
        <v>867</v>
      </c>
      <c r="FK175" s="22">
        <v>45066</v>
      </c>
      <c r="FL175" s="29">
        <f t="shared" ca="1" si="624"/>
        <v>5.1428571428571432</v>
      </c>
      <c r="FM175" s="22"/>
      <c r="FN175" s="32"/>
      <c r="FO175" s="29" t="str">
        <f t="shared" ca="1" si="679"/>
        <v>PIERDE TOMA DE TAMIZAJE</v>
      </c>
      <c r="FP175" s="22"/>
      <c r="FQ175" s="32"/>
      <c r="FR175" s="29" t="str">
        <f t="shared" ca="1" si="680"/>
        <v>EN RANGO PARA TOMAR EXAMEN</v>
      </c>
      <c r="FS175" s="22"/>
      <c r="FT175" s="32"/>
      <c r="FU175" s="29" t="str">
        <f>IF(AND(FJ175="",FM175="",FP175="",FS175=""),"",IF(OR(OR(Tabla1[[#This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75" s="28"/>
      <c r="FW175" s="22"/>
      <c r="FX175" s="29" t="str">
        <f t="shared" si="625"/>
        <v>TOMAR EXAMEN</v>
      </c>
      <c r="FY175" s="22">
        <v>45066</v>
      </c>
      <c r="FZ175" s="22">
        <v>45066</v>
      </c>
      <c r="GA175" s="29">
        <f t="shared" ca="1" si="692"/>
        <v>5.1428571428571432</v>
      </c>
      <c r="GB175" s="22"/>
      <c r="GC175" s="22"/>
      <c r="GD175" s="29" t="str">
        <f t="shared" ca="1" si="732"/>
        <v>PIERDE TOMA DE TAMIZAJE</v>
      </c>
      <c r="GE175" s="22"/>
      <c r="GF175" s="22"/>
      <c r="GG175" s="29" t="str">
        <f t="shared" ca="1" si="682"/>
        <v>EN RANGO PARA TOMAR EXAMEN</v>
      </c>
      <c r="GH175" s="22"/>
      <c r="GI175" s="29"/>
      <c r="GJ175" s="22"/>
      <c r="GK175" s="22"/>
      <c r="GL175" s="22"/>
      <c r="GM175" s="22"/>
      <c r="GN175" s="28" t="s">
        <v>869</v>
      </c>
      <c r="GO175" s="22">
        <v>45066</v>
      </c>
      <c r="GP175" s="29">
        <f t="shared" si="626"/>
        <v>5.1428571428571432</v>
      </c>
      <c r="GQ175" s="28" t="s">
        <v>869</v>
      </c>
      <c r="GR175" s="28" t="s">
        <v>869</v>
      </c>
      <c r="GS175" s="22" t="str">
        <f t="shared" si="728"/>
        <v>CONTROL Igm</v>
      </c>
      <c r="GT175" s="22">
        <v>45066</v>
      </c>
      <c r="GU175" s="29">
        <f t="shared" si="628"/>
        <v>5.1428571428571432</v>
      </c>
      <c r="GV175" s="21" t="str">
        <f t="shared" si="629"/>
        <v>I TRIM</v>
      </c>
      <c r="GW175" s="28" t="s">
        <v>869</v>
      </c>
      <c r="GX175" s="30"/>
      <c r="GY175" s="21"/>
      <c r="GZ175" s="21"/>
      <c r="HA175" s="21"/>
      <c r="HB175" s="21"/>
      <c r="HC175" s="21"/>
      <c r="HD175" s="21"/>
      <c r="HE175" s="21"/>
      <c r="HF175" s="22"/>
      <c r="HG175" s="22" t="str">
        <f>IF(OR(O175&gt;0,R175&gt;0),CONCATENATE(IF(Tabla1[[#This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75" s="22" t="e">
        <f t="shared" si="630"/>
        <v>#REF!</v>
      </c>
      <c r="HI175" s="22" t="e">
        <f t="shared" ca="1" si="631"/>
        <v>#REF!</v>
      </c>
      <c r="HJ175" s="21" t="str">
        <f t="shared" ca="1" si="632"/>
        <v>*********************MULTIPARIDAD***RIESGO POR EDAD***************</v>
      </c>
      <c r="HK175" s="21" t="str">
        <f t="shared" si="633"/>
        <v>SIN ANTECEDENTES DE RIESGO</v>
      </c>
      <c r="HL175" s="24" t="str">
        <f t="shared" si="634"/>
        <v>APARENTEMENTE NORMAL</v>
      </c>
      <c r="HM175" s="21" t="e">
        <f t="shared" ca="1" si="635"/>
        <v>#REF!</v>
      </c>
      <c r="HN175" s="30" t="str">
        <f t="shared" si="683"/>
        <v>ACTIVA INGRESO A CPN</v>
      </c>
      <c r="HO175" s="21"/>
      <c r="HP175" s="21"/>
      <c r="HQ175" s="349">
        <v>45065</v>
      </c>
      <c r="HR175" s="21" t="str">
        <f>IF(R175="","",IF(Tabla1[[#This Row],[ALARMA FACTORES DE RIESGO COMPLICACIONES HIPERTENSIVAS3]]="SIN ANTECEDENTES DE RIESGO","No Aplica para suministro de ASA",IF(AND(Tabla1[[#This Row],[FECHA INICIO DE SUMINISTRO DE ASA]]&gt;0,RV175&lt;12),"Inicia ASA ANTES de Sem 12",IF(AND(RV175&gt;11,RV175&lt;17,OR(HK175="RIESGO ALTO DE COMPLICACIONES HIPERTENSIVAS VER MANEJO GUIA SUMINISTRO ASA Y CALCIO",HK175="RIESGO MODERADO (2 O MAS CRITERIOS) VER MANEJO GUIA SUMINISTRO ASA Y CALCIO")),"Inicio oportuno de ASA",IF(AND(RV175&gt;12,OR(HK175="RIESGO ALTO DE COMPLICACIONES HIPERTENSIVAS VER MANEJO GUIA SUMINISTRO ASA Y CALCIO",HK175="RIESGO MODERADO (2 O MAS CRITERIOS) VER MANEJO GUIA SUMINISTRO ASA Y CALCIO")),"Inicio no oportuno mayor a 16 semanas",IF(AND(BU175&lt;12,OR(HK175="RIESGO ALTO DE COMPLICACIONES HIPERTENSIVAS VER MANEJO GUIA SUMINISTRO ASA Y CALCIO",HK175="RIESGO MODERADO (2 O MAS CRITERIOS) VER MANEJO GUIA SUMINISTRO ASA Y CALCIO")),"Pendiente Inicio de ASA a la semana 12",IF(AND(BU175&gt;11,BU175&lt;17,OR(HK175="RIESGO ALTO DE COMPLICACIONES HIPERTENSIVAS VER MANEJO GUIA SUMINISTRO ASA Y CALCIO",HK175="RIESGO MODERADO (2 O MAS CRITERIOS) VER MANEJO GUIA SUMINISTRO ASA Y CALCIO")),"Iniciar de inmediato ASA",IF(AND(BU175&gt;16,OR(HK175="RIESGO ALTO DE COMPLICACIONES HIPERTENSIVAS VER MANEJO GUIA SUMINISTRO ASA Y CALCIO",HK175="RIESGO MODERADO (2 O MAS CRITERIOS) VER MANEJO GUIA SUMINISTRO ASA Y CALCIO")),"Pierde Oportunidad, Inicio tardío de ASA","XXXXX"))))))))</f>
        <v>No Aplica para suministro de ASA</v>
      </c>
      <c r="HS175" s="22">
        <v>45065</v>
      </c>
      <c r="HT175" s="22" t="s">
        <v>870</v>
      </c>
      <c r="HU175" s="22">
        <v>45065</v>
      </c>
      <c r="HV175" s="22" t="s">
        <v>870</v>
      </c>
      <c r="HW175" s="22">
        <v>45065</v>
      </c>
      <c r="HX175" s="22" t="s">
        <v>870</v>
      </c>
      <c r="HY175" s="22">
        <v>45071</v>
      </c>
      <c r="HZ175" s="28">
        <f t="shared" si="636"/>
        <v>5.8571428571428568</v>
      </c>
      <c r="IA175" s="26"/>
      <c r="IB175" s="26"/>
      <c r="IC175" s="111"/>
      <c r="ID175" s="22"/>
      <c r="IE175" s="22" t="str">
        <f t="shared" ca="1" si="637"/>
        <v>INASISTENTE</v>
      </c>
      <c r="IF175" s="22"/>
      <c r="IG175" s="22">
        <f t="shared" si="638"/>
        <v>45310</v>
      </c>
      <c r="IH175" s="29">
        <f t="shared" ca="1" si="639"/>
        <v>78</v>
      </c>
      <c r="II175" s="22" t="str">
        <f t="shared" ca="1" si="640"/>
        <v>PENDIENTE</v>
      </c>
      <c r="IJ175" s="22"/>
      <c r="IK175" s="21"/>
      <c r="IL175" s="21"/>
      <c r="IM175" s="34"/>
      <c r="IN175" s="22"/>
      <c r="IO175" s="21"/>
      <c r="IP175" s="29" t="str">
        <f t="shared" si="730"/>
        <v/>
      </c>
      <c r="IQ175" s="35"/>
      <c r="IR175" s="21"/>
      <c r="IS175" s="21"/>
      <c r="IT175" s="21"/>
      <c r="IU175" s="21"/>
      <c r="IV175" s="21"/>
      <c r="IW175" s="21"/>
      <c r="IX175" s="21"/>
      <c r="IY175" s="21"/>
      <c r="IZ175" s="21"/>
      <c r="JA175" s="21"/>
      <c r="JB175" s="30"/>
      <c r="JC175" s="21"/>
      <c r="JD175" s="36"/>
      <c r="JE175" s="21" t="str">
        <f t="shared" si="733"/>
        <v/>
      </c>
      <c r="JF175" s="30"/>
      <c r="JG175" s="21"/>
      <c r="JH175" s="21"/>
      <c r="JI175" s="21"/>
      <c r="JJ175" s="30"/>
      <c r="JK175" s="22"/>
      <c r="JL175" s="22"/>
      <c r="JM175" s="21"/>
      <c r="JN175" s="36"/>
      <c r="JO175" s="21" t="str">
        <f t="shared" si="734"/>
        <v/>
      </c>
      <c r="JP175" s="22"/>
      <c r="JQ175" s="21"/>
      <c r="JR175" s="21"/>
      <c r="JS175" s="21"/>
      <c r="JT175" s="30"/>
      <c r="JU175" s="22"/>
      <c r="JV175" s="22"/>
      <c r="JW175" s="33"/>
      <c r="JX175" s="28" t="str">
        <f t="shared" si="735"/>
        <v/>
      </c>
      <c r="JY175" s="33"/>
      <c r="JZ175" s="28" t="str">
        <f t="shared" si="736"/>
        <v/>
      </c>
      <c r="KA175" s="21"/>
      <c r="KB175" s="21"/>
      <c r="KC175" s="21"/>
      <c r="KD175" s="37"/>
      <c r="KE175" s="28"/>
      <c r="KF175" s="28"/>
      <c r="KG175" s="28"/>
      <c r="KH175" s="39"/>
      <c r="KI175" s="39"/>
      <c r="KJ175" s="66"/>
      <c r="KK175" s="39"/>
      <c r="KL175" s="39"/>
      <c r="KM175" s="66"/>
      <c r="KN175" s="39"/>
      <c r="KO175" s="39"/>
      <c r="KP175" s="39"/>
      <c r="KQ175" s="39"/>
      <c r="KR175" s="39"/>
      <c r="KS175" s="39"/>
      <c r="KT175" s="39"/>
      <c r="KU175" s="38"/>
      <c r="KV175" s="38"/>
      <c r="KW175" s="38"/>
      <c r="KX175" s="38"/>
      <c r="KY175" s="38"/>
      <c r="KZ175" s="38"/>
      <c r="LA175" s="38"/>
      <c r="LB175" s="38"/>
      <c r="LC175" s="38"/>
      <c r="LD175" s="38"/>
      <c r="LE175" s="38"/>
      <c r="LF175" s="38"/>
      <c r="LG175" s="38"/>
      <c r="LH175" s="38"/>
      <c r="LI175" s="38"/>
      <c r="LJ175" s="38"/>
      <c r="LK175" s="38"/>
      <c r="LL175" s="38"/>
      <c r="LM175" s="38"/>
      <c r="LN175" s="38"/>
      <c r="LO175" s="38"/>
      <c r="LP175" s="38"/>
      <c r="LQ175" s="38"/>
      <c r="LR175" s="38"/>
      <c r="LS175" s="38"/>
      <c r="LT175" s="38"/>
      <c r="LU175" s="38"/>
      <c r="LV175" s="38"/>
      <c r="LW175" s="38"/>
      <c r="LX175" s="38"/>
      <c r="LY175" s="38"/>
      <c r="LZ175" s="38"/>
      <c r="MA175" s="38"/>
      <c r="MB175" s="38"/>
      <c r="MC175" s="38"/>
      <c r="MD175" s="38"/>
      <c r="ME175" s="38"/>
      <c r="MF175" s="38"/>
      <c r="MG175" s="38"/>
      <c r="MH175" s="43">
        <f t="shared" si="697"/>
        <v>0</v>
      </c>
      <c r="MI175" s="43" t="str">
        <f t="shared" si="698"/>
        <v/>
      </c>
      <c r="MJ175" s="43" t="str">
        <f t="shared" si="699"/>
        <v/>
      </c>
      <c r="MK175" s="43">
        <f t="shared" si="700"/>
        <v>0</v>
      </c>
      <c r="ML17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75" s="43">
        <f t="shared" si="701"/>
        <v>5</v>
      </c>
      <c r="MN175" s="43">
        <f t="shared" si="702"/>
        <v>5</v>
      </c>
      <c r="MO175" s="43">
        <f t="shared" si="703"/>
        <v>2023</v>
      </c>
      <c r="MP175" s="43" t="str">
        <f t="shared" si="704"/>
        <v>II TRIMESTRE AÑO</v>
      </c>
      <c r="MQ175" s="43">
        <f t="shared" si="705"/>
        <v>35.394765659220319</v>
      </c>
      <c r="MR175" s="43">
        <f t="shared" si="706"/>
        <v>2</v>
      </c>
      <c r="MS175" s="43" t="str">
        <f t="shared" si="707"/>
        <v xml:space="preserve"> DE 35 A 39 AÑOS</v>
      </c>
      <c r="MT175" s="43">
        <f t="shared" si="708"/>
        <v>0</v>
      </c>
      <c r="MU175" s="43">
        <f t="shared" si="709"/>
        <v>2</v>
      </c>
      <c r="MV175" s="43">
        <f t="shared" si="710"/>
        <v>0</v>
      </c>
      <c r="MW175" s="43">
        <f t="shared" si="711"/>
        <v>0</v>
      </c>
      <c r="MX175" s="43" t="str">
        <f t="shared" si="712"/>
        <v/>
      </c>
      <c r="MY175" s="43" t="str">
        <f t="shared" ca="1" si="737"/>
        <v/>
      </c>
      <c r="MZ175" s="43" t="str">
        <f t="shared" si="713"/>
        <v/>
      </c>
      <c r="NA175" s="43" t="str">
        <f t="shared" si="714"/>
        <v/>
      </c>
      <c r="NB175" s="43" t="str">
        <f t="shared" si="715"/>
        <v/>
      </c>
      <c r="NC175" s="43" t="str">
        <f t="shared" si="716"/>
        <v/>
      </c>
      <c r="ND175" s="43">
        <f t="shared" ca="1" si="717"/>
        <v>4</v>
      </c>
      <c r="NE175" s="43">
        <f>IF(OR(O175&gt;0,R175&gt;0),SUM(COUNTIF(Tabla1[[#This Row],[AÑOS AL INICIO5 CPN]],"&gt;=40"),COUNTIF(AS175,"0"),COUNTIF(AR175,"SI"),COUNTIF(CC175,"SI"),COUNTIF(BQ175,"&gt;119"),COUNTIF(CI175,"&gt;=35")),"")</f>
        <v>0</v>
      </c>
      <c r="NF175" s="43" t="str">
        <f t="shared" si="718"/>
        <v/>
      </c>
      <c r="NG175" s="43">
        <f t="shared" si="719"/>
        <v>0</v>
      </c>
      <c r="NH175" s="43">
        <f t="shared" si="720"/>
        <v>42.699999999999996</v>
      </c>
      <c r="NI17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CPN",P175="NO"),"Z",IF(AND(Tabla1[[#This Row],[CITA PROXIMO CONTROL]]="CITA MANUAL",Tabla1[[#This Row],[GESTANTES ACTUALES]]="ACTIVA INGRESO A CPN"),"W",IF(AND(Tabla1[[#This Row],[GESTANTES ACTUALES]]="SALIO PROGRAMA",IN175=""),"S",IF(AND(Tabla1[[#This Row],[CITA PROXIMO CONTROL]]&gt;0,IN175=""),(Tabla1[[#This Row],[CITA PROXIMO CONTROL]]-TODAY()),"SD"))))))))</f>
        <v>#REF!</v>
      </c>
      <c r="NJ175" s="43">
        <f>MONTH(Tabla1[[#This Row],[FECHA DE SALIDA  DEL PROGRAMA]])</f>
        <v>1</v>
      </c>
      <c r="NK175" s="43">
        <f>YEAR(Tabla1[[#This Row],[FECHA DE SALIDA  DEL PROGRAMA]])</f>
        <v>1900</v>
      </c>
      <c r="NL175" s="43" t="str">
        <f t="shared" si="721"/>
        <v>X</v>
      </c>
      <c r="NM175" s="43" t="str">
        <f t="shared" si="695"/>
        <v>NO</v>
      </c>
      <c r="NN175" s="43" t="str">
        <f ca="1">IF(AND(O175&gt;0,R175=""),"NO CPN",IF(AND(O175="",R175=""),"",IF(AND(R175&gt;0,Tabla1[[#This Row],[SEMANAS DE GESTACION ACTUALIZADAS]]&lt;=12),"NO APLICA",IF(AND(FH175&lt;&gt;"",FN175&lt;&gt;""),"SI","NO"))))</f>
        <v>NO</v>
      </c>
      <c r="NO175" s="43" t="str">
        <f ca="1">IF(AND(O175&gt;0,R175=""),"NO CPN",IF(AND(O175="",R175=""),"",IF(AND(R175&gt;0,Tabla1[[#This Row],[SEMANAS DE GESTACION ACTUALIZADAS]]&lt;=27),"NO APLICA",IF(AND(ES175&lt;&gt;"",FQ175&lt;&gt;"",GF175&lt;&gt;""),"SI","NO"))))</f>
        <v>NO</v>
      </c>
      <c r="NP175" s="204" t="str">
        <f t="shared" si="722"/>
        <v>I TRIM</v>
      </c>
      <c r="NQ175" s="21" t="str">
        <f t="shared" si="731"/>
        <v/>
      </c>
      <c r="NR175" s="21">
        <f t="shared" ca="1" si="738"/>
        <v>3</v>
      </c>
      <c r="NS175" s="205">
        <f t="shared" ca="1" si="723"/>
        <v>1</v>
      </c>
      <c r="NT175" s="21">
        <f t="shared" ca="1" si="724"/>
        <v>1</v>
      </c>
      <c r="NU175" s="21" t="str">
        <f t="shared" ca="1" si="725"/>
        <v>INCOMPLETO</v>
      </c>
      <c r="NV175" s="21" t="str">
        <f t="shared" ca="1" si="726"/>
        <v>INCOMPLETO</v>
      </c>
      <c r="NW175" s="206" t="str">
        <f>IF(AND(O175="",R175=""),"",IF(OR(AND(Tabla1[[#This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75" s="207" t="str">
        <f t="shared" ca="1" si="727"/>
        <v>SIN VACUNAR</v>
      </c>
      <c r="NY175" s="43">
        <f>ROW(Tabla1[[#This Row],['# DE TAMIZAJES SIFILIS TOMADOS ]])</f>
        <v>175</v>
      </c>
      <c r="NZ175" s="43" t="str">
        <f t="shared" si="502"/>
        <v>Menor</v>
      </c>
      <c r="OA175" s="43" t="str">
        <f t="shared" si="503"/>
        <v>SOBREPESO</v>
      </c>
      <c r="OB175" s="43" t="str">
        <f t="shared" si="504"/>
        <v/>
      </c>
      <c r="OC175" s="43" t="str">
        <f t="shared" si="505"/>
        <v/>
      </c>
      <c r="OD175" s="43" t="str">
        <f t="shared" si="506"/>
        <v/>
      </c>
      <c r="OE175" s="43" t="str">
        <f t="shared" si="507"/>
        <v/>
      </c>
      <c r="OF175" s="43" t="str">
        <f t="shared" si="508"/>
        <v/>
      </c>
      <c r="OG175" s="43" t="str">
        <f t="shared" si="509"/>
        <v/>
      </c>
      <c r="OH175" s="43" t="str">
        <f t="shared" si="510"/>
        <v/>
      </c>
      <c r="OI175" s="43" t="str">
        <f t="shared" si="511"/>
        <v/>
      </c>
      <c r="OJ175" s="43" t="str">
        <f t="shared" si="512"/>
        <v/>
      </c>
      <c r="OK175" s="43" t="str">
        <f t="shared" si="513"/>
        <v/>
      </c>
      <c r="OL175" s="43" t="str">
        <f t="shared" si="514"/>
        <v/>
      </c>
      <c r="OM175" s="43" t="str">
        <f t="shared" si="515"/>
        <v/>
      </c>
      <c r="ON175" s="43" t="str">
        <f t="shared" si="516"/>
        <v/>
      </c>
      <c r="OO175" s="43" t="str">
        <f t="shared" si="517"/>
        <v/>
      </c>
      <c r="OP175" s="43" t="str">
        <f t="shared" si="518"/>
        <v/>
      </c>
      <c r="OQ175" s="43" t="str">
        <f t="shared" si="519"/>
        <v/>
      </c>
      <c r="OR175" s="43" t="str">
        <f t="shared" si="520"/>
        <v/>
      </c>
      <c r="OS175" s="43" t="str">
        <f t="shared" si="521"/>
        <v/>
      </c>
      <c r="OT175" s="43" t="str">
        <f t="shared" si="522"/>
        <v/>
      </c>
      <c r="OU175" s="43" t="str">
        <f t="shared" si="523"/>
        <v/>
      </c>
      <c r="OV175" s="110" t="str">
        <f t="shared" si="524"/>
        <v/>
      </c>
      <c r="OW175" s="43" t="str">
        <f t="shared" si="525"/>
        <v/>
      </c>
      <c r="OX175" s="43" t="str">
        <f t="shared" si="526"/>
        <v/>
      </c>
      <c r="OY175" s="43" t="str">
        <f t="shared" si="527"/>
        <v/>
      </c>
      <c r="OZ175" s="43" t="str">
        <f t="shared" si="528"/>
        <v/>
      </c>
      <c r="PA175" s="43" t="str">
        <f t="shared" si="529"/>
        <v/>
      </c>
      <c r="PB175" s="43" t="str">
        <f t="shared" si="530"/>
        <v/>
      </c>
      <c r="PC175" s="43" t="str">
        <f t="shared" si="531"/>
        <v/>
      </c>
      <c r="PD175" s="43" t="str">
        <f t="shared" si="532"/>
        <v/>
      </c>
      <c r="PE175" s="43" t="str">
        <f t="shared" si="533"/>
        <v/>
      </c>
      <c r="PF175" s="43" t="str">
        <f t="shared" si="534"/>
        <v/>
      </c>
      <c r="PG175" s="43" t="str">
        <f t="shared" si="535"/>
        <v/>
      </c>
      <c r="PH175" s="43" t="str">
        <f t="shared" si="536"/>
        <v/>
      </c>
      <c r="PI175" s="43">
        <f t="shared" si="537"/>
        <v>15</v>
      </c>
      <c r="PJ175" s="43" t="str">
        <f t="shared" si="538"/>
        <v/>
      </c>
      <c r="PK175" s="43" t="str">
        <f t="shared" si="539"/>
        <v/>
      </c>
      <c r="PL175" s="43" t="str">
        <f t="shared" si="540"/>
        <v/>
      </c>
      <c r="PM175" s="43" t="str">
        <f t="shared" si="541"/>
        <v/>
      </c>
      <c r="PN175" s="43" t="str">
        <f t="shared" si="542"/>
        <v/>
      </c>
      <c r="PO175" s="43" t="str">
        <f t="shared" si="543"/>
        <v/>
      </c>
      <c r="PP175" s="43" t="str">
        <f t="shared" si="544"/>
        <v>SOBREPESO</v>
      </c>
      <c r="PQ175" s="43" t="str">
        <f t="shared" si="545"/>
        <v/>
      </c>
      <c r="PR175" s="43" t="str">
        <f t="shared" si="546"/>
        <v/>
      </c>
      <c r="PS175" s="43" t="str">
        <f t="shared" si="547"/>
        <v/>
      </c>
      <c r="PT175" s="43" t="str">
        <f t="shared" si="548"/>
        <v/>
      </c>
      <c r="PU175" s="43" t="str">
        <f t="shared" si="549"/>
        <v/>
      </c>
      <c r="PV175" s="43" t="str">
        <f t="shared" si="550"/>
        <v/>
      </c>
      <c r="PW175" s="43" t="str">
        <f t="shared" si="551"/>
        <v/>
      </c>
      <c r="PX175" s="43" t="str">
        <f t="shared" si="552"/>
        <v/>
      </c>
      <c r="PY175" s="43" t="str">
        <f t="shared" si="553"/>
        <v/>
      </c>
      <c r="PZ175" s="43" t="str">
        <f t="shared" si="554"/>
        <v/>
      </c>
      <c r="QA175" s="43" t="str">
        <f t="shared" si="555"/>
        <v/>
      </c>
      <c r="QB175" s="43" t="str">
        <f t="shared" si="556"/>
        <v/>
      </c>
      <c r="QC175" s="43" t="str">
        <f t="shared" si="557"/>
        <v/>
      </c>
      <c r="QD175" s="43" t="str">
        <f t="shared" si="558"/>
        <v/>
      </c>
      <c r="QE175" s="43" t="str">
        <f t="shared" si="559"/>
        <v/>
      </c>
      <c r="QF175" s="43" t="str">
        <f t="shared" si="560"/>
        <v/>
      </c>
      <c r="QG175" s="43" t="str">
        <f t="shared" si="561"/>
        <v/>
      </c>
      <c r="QH175" s="43" t="str">
        <f t="shared" si="562"/>
        <v/>
      </c>
      <c r="QI175" s="43" t="str">
        <f t="shared" si="563"/>
        <v/>
      </c>
      <c r="QJ175" s="43" t="str">
        <f t="shared" si="564"/>
        <v/>
      </c>
      <c r="QK175" s="43" t="str">
        <f t="shared" si="565"/>
        <v/>
      </c>
      <c r="QL175" s="43" t="str">
        <f t="shared" si="566"/>
        <v/>
      </c>
      <c r="QM175" s="43" t="str">
        <f t="shared" si="567"/>
        <v/>
      </c>
      <c r="QN175" s="43" t="str">
        <f t="shared" si="568"/>
        <v/>
      </c>
      <c r="QO175" s="43" t="str">
        <f t="shared" si="569"/>
        <v/>
      </c>
      <c r="QP175" s="43" t="str">
        <f t="shared" si="570"/>
        <v/>
      </c>
      <c r="QQ175" s="43" t="str">
        <f t="shared" si="571"/>
        <v/>
      </c>
      <c r="QR175" s="43">
        <f t="shared" si="672"/>
        <v>15</v>
      </c>
      <c r="QS175" s="43"/>
      <c r="QT175" s="21" t="str">
        <f t="shared" si="572"/>
        <v/>
      </c>
      <c r="QU175" s="21" t="str">
        <f t="shared" si="573"/>
        <v/>
      </c>
      <c r="QV175" s="21" t="str">
        <f t="shared" si="574"/>
        <v>ALTO PARA EDAD GESTACIONAL</v>
      </c>
      <c r="QW175" s="21" t="str">
        <f t="shared" si="575"/>
        <v/>
      </c>
      <c r="QX175" s="21" t="str">
        <f t="shared" si="576"/>
        <v/>
      </c>
      <c r="QY175" s="21" t="str">
        <f t="shared" si="577"/>
        <v/>
      </c>
      <c r="QZ175" s="21" t="str">
        <f t="shared" si="578"/>
        <v/>
      </c>
      <c r="RA175" s="21" t="str">
        <f t="shared" si="579"/>
        <v/>
      </c>
      <c r="RB175" s="21" t="str">
        <f t="shared" si="580"/>
        <v/>
      </c>
      <c r="RC175" s="21" t="str">
        <f t="shared" si="581"/>
        <v/>
      </c>
      <c r="RD175" s="21" t="str">
        <f t="shared" si="582"/>
        <v/>
      </c>
      <c r="RE175" s="21" t="str">
        <f t="shared" si="583"/>
        <v/>
      </c>
      <c r="RF175" s="21" t="str">
        <f t="shared" si="584"/>
        <v/>
      </c>
      <c r="RG175" s="21" t="str">
        <f t="shared" si="585"/>
        <v/>
      </c>
      <c r="RH175" s="21" t="str">
        <f t="shared" si="586"/>
        <v/>
      </c>
      <c r="RI175" s="21" t="str">
        <f t="shared" si="587"/>
        <v/>
      </c>
      <c r="RJ175" s="21" t="str">
        <f t="shared" si="588"/>
        <v/>
      </c>
      <c r="RK175" s="21" t="str">
        <f t="shared" si="589"/>
        <v/>
      </c>
      <c r="RL175" s="21" t="str">
        <f t="shared" si="590"/>
        <v/>
      </c>
      <c r="RM175" s="21" t="str">
        <f t="shared" si="591"/>
        <v/>
      </c>
      <c r="RN175" s="21" t="str">
        <f t="shared" si="592"/>
        <v/>
      </c>
      <c r="RO175" s="21" t="str">
        <f t="shared" si="593"/>
        <v/>
      </c>
      <c r="RP175" s="21" t="str">
        <f t="shared" si="594"/>
        <v/>
      </c>
      <c r="RQ175" s="21" t="str">
        <f t="shared" si="595"/>
        <v/>
      </c>
      <c r="RR175" s="21" t="str">
        <f t="shared" si="596"/>
        <v/>
      </c>
      <c r="RS175" s="21" t="str">
        <f t="shared" si="597"/>
        <v/>
      </c>
      <c r="RT175" s="21" t="str">
        <f t="shared" si="598"/>
        <v/>
      </c>
      <c r="RU175" s="21" t="str">
        <f t="shared" si="599"/>
        <v/>
      </c>
      <c r="RV175" s="21">
        <f t="shared" si="600"/>
        <v>5</v>
      </c>
      <c r="RW175" s="284">
        <f>IF(OR(Tabla1[[#This Row],[FUM FORMULA CONFIABLE]]="",Tabla1[[#This Row],[FUM FORMULA CONFIABLE]]="SD"),"",IF(Tabla1[[#This Row],[FUM FORMULA CONFIABLE]]="CORREGIDA",Tabla1[[#This Row],[FUM X ECO 1]],Tabla1[[#This Row],[FUM x AMENORREA]]))</f>
        <v>45030</v>
      </c>
      <c r="RX175" s="21">
        <f>IF(AND(Tabla1[[#This Row],[FUM X ECO 1]]="",Tabla1[[#This Row],[FUM x AMENORREA]]=""),"",IF(AND(Tabla1[[#This Row],[FUM X ECO 1]]="",Tabla1[[#This Row],[FUM x AMENORREA]]&lt;&gt;""),"X",SUM(Tabla1[[#This Row],[FUM X ECO 1]]-Tabla1[[#This Row],[FUM x AMENORREA]])))</f>
        <v>-0.69999999999708962</v>
      </c>
      <c r="RY175" s="21">
        <f t="shared" si="673"/>
        <v>0</v>
      </c>
    </row>
    <row r="176" spans="1:493" ht="45" customHeight="1" x14ac:dyDescent="0.25">
      <c r="A176" s="109"/>
      <c r="B176" s="43"/>
      <c r="C176" s="43" t="s">
        <v>845</v>
      </c>
      <c r="D176" s="124"/>
      <c r="E176" s="43" t="s">
        <v>884</v>
      </c>
      <c r="F176" s="43" t="s">
        <v>1378</v>
      </c>
      <c r="G176" s="43" t="s">
        <v>1494</v>
      </c>
      <c r="H176" s="43" t="s">
        <v>1495</v>
      </c>
      <c r="I176" s="109" t="s">
        <v>851</v>
      </c>
      <c r="J176" s="110" t="s">
        <v>1496</v>
      </c>
      <c r="K176" s="43" t="s">
        <v>852</v>
      </c>
      <c r="L176" s="175" t="s">
        <v>1509</v>
      </c>
      <c r="M176" s="22">
        <v>34472</v>
      </c>
      <c r="N176" s="213">
        <f t="shared" ca="1" si="601"/>
        <v>29.479452054794521</v>
      </c>
      <c r="O176" s="22">
        <v>45065</v>
      </c>
      <c r="P176" s="214" t="str">
        <f t="shared" si="675"/>
        <v>SI</v>
      </c>
      <c r="Q176" s="26" t="s">
        <v>855</v>
      </c>
      <c r="R176" s="22">
        <v>45065</v>
      </c>
      <c r="S176" s="21" t="s">
        <v>856</v>
      </c>
      <c r="T176" s="24" t="s">
        <v>690</v>
      </c>
      <c r="U176" s="21" t="s">
        <v>857</v>
      </c>
      <c r="V176" s="21" t="s">
        <v>858</v>
      </c>
      <c r="W176" s="21" t="s">
        <v>1497</v>
      </c>
      <c r="X176" s="21"/>
      <c r="Y176" s="21" t="s">
        <v>859</v>
      </c>
      <c r="Z176" s="21">
        <v>3226055618</v>
      </c>
      <c r="AA176" s="21" t="s">
        <v>860</v>
      </c>
      <c r="AB176" s="27" t="s">
        <v>861</v>
      </c>
      <c r="AC176" s="26" t="s">
        <v>846</v>
      </c>
      <c r="AD176" s="38" t="s">
        <v>1546</v>
      </c>
      <c r="AE176" s="26" t="s">
        <v>854</v>
      </c>
      <c r="AF176" s="26" t="s">
        <v>854</v>
      </c>
      <c r="AG176" s="23" t="s">
        <v>864</v>
      </c>
      <c r="AH176" s="23" t="s">
        <v>864</v>
      </c>
      <c r="AI176" s="24" t="s">
        <v>863</v>
      </c>
      <c r="AJ176" s="23" t="s">
        <v>864</v>
      </c>
      <c r="AK176" s="220" t="str">
        <f>IF(AND(AD176="",AE176="",AF176="",AG176="",AH176="",AI176="",AJ176=""),"",IF(OR(Tabla1[[#This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EVALUACIÓN",IF(AND(O176="",R176=""),"",IF(AND(OR(O176&gt;0,R176&gt;0),NG176&gt;=0,NG176&lt;2),"SIN RIESGO",IF(AND(OR(O176&gt;0,R176&gt;0),NG176&gt;=2),"CON RIESGO","ASD")))))</f>
        <v>SIN RIESGO</v>
      </c>
      <c r="AL176" s="23" t="s">
        <v>864</v>
      </c>
      <c r="AM176" s="26" t="s">
        <v>864</v>
      </c>
      <c r="AN176" s="26" t="s">
        <v>864</v>
      </c>
      <c r="AO176" s="26" t="s">
        <v>864</v>
      </c>
      <c r="AP176" s="26" t="s">
        <v>864</v>
      </c>
      <c r="AQ176" s="26" t="s">
        <v>864</v>
      </c>
      <c r="AR176" s="26" t="s">
        <v>864</v>
      </c>
      <c r="AS176" s="21">
        <v>1</v>
      </c>
      <c r="AT176" s="21">
        <v>0</v>
      </c>
      <c r="AU176" s="21">
        <v>1</v>
      </c>
      <c r="AV176" s="26" t="s">
        <v>864</v>
      </c>
      <c r="AW176" s="21">
        <v>0</v>
      </c>
      <c r="AX176" s="26" t="s">
        <v>864</v>
      </c>
      <c r="AY176" s="26" t="s">
        <v>864</v>
      </c>
      <c r="AZ176" s="26" t="s">
        <v>864</v>
      </c>
      <c r="BA176" s="26" t="s">
        <v>864</v>
      </c>
      <c r="BB176" s="26" t="s">
        <v>864</v>
      </c>
      <c r="BC176" s="26" t="s">
        <v>864</v>
      </c>
      <c r="BD176" s="26" t="s">
        <v>864</v>
      </c>
      <c r="BE176" s="26" t="s">
        <v>864</v>
      </c>
      <c r="BF176" s="26" t="s">
        <v>864</v>
      </c>
      <c r="BG176" s="26" t="s">
        <v>864</v>
      </c>
      <c r="BH176" s="26" t="s">
        <v>864</v>
      </c>
      <c r="BI176" s="26" t="s">
        <v>864</v>
      </c>
      <c r="BJ176" s="26" t="s">
        <v>864</v>
      </c>
      <c r="BK176" s="26" t="s">
        <v>864</v>
      </c>
      <c r="BL176" s="26" t="s">
        <v>864</v>
      </c>
      <c r="BM176" s="26" t="s">
        <v>864</v>
      </c>
      <c r="BN176" s="22">
        <v>43228</v>
      </c>
      <c r="BO176" s="22">
        <v>45018</v>
      </c>
      <c r="BP176" s="21" t="s">
        <v>854</v>
      </c>
      <c r="BQ176" s="222">
        <f t="shared" si="602"/>
        <v>59.666666666666664</v>
      </c>
      <c r="BR176" s="223">
        <f t="shared" si="603"/>
        <v>45011.6</v>
      </c>
      <c r="BS176" s="224">
        <f t="shared" si="604"/>
        <v>6.7142857142857144</v>
      </c>
      <c r="BT176" s="216" t="str">
        <f t="shared" si="605"/>
        <v>I TRIM</v>
      </c>
      <c r="BU176" s="214">
        <f t="shared" ca="1" si="606"/>
        <v>30.571428571428573</v>
      </c>
      <c r="BV176" s="25" t="s">
        <v>1478</v>
      </c>
      <c r="BW176" s="22">
        <v>45083</v>
      </c>
      <c r="BX176" s="28">
        <v>10.199999999999999</v>
      </c>
      <c r="BY176" s="28"/>
      <c r="BZ176" s="22"/>
      <c r="CA176" s="21"/>
      <c r="CB176" s="26" t="s">
        <v>864</v>
      </c>
      <c r="CC176" s="26" t="s">
        <v>864</v>
      </c>
      <c r="CD176" s="26"/>
      <c r="CE176" s="26" t="s">
        <v>864</v>
      </c>
      <c r="CF176" s="22" t="s">
        <v>1517</v>
      </c>
      <c r="CG176" s="21">
        <v>1.57</v>
      </c>
      <c r="CH176" s="21">
        <v>67</v>
      </c>
      <c r="CI176" s="214">
        <f t="shared" si="607"/>
        <v>27.181630086413239</v>
      </c>
      <c r="CJ176" s="225" t="str">
        <f>IF(AND(CI176&lt;10,CH176="SD"),"SIN DATO PESO PREGESTACION O I TRIM",IF(AND(OR(R176&gt;0,O176&gt;0),CI176="X"),"INGRESAR DATO DE PESO",IF(CI176="SD","INGRESAR DATO DE TALLA Y PESO",IF(AND(OR(Tabla1[[#This Row],[MOMENTO EN QUE SE REALIZA EL PESO AL INGRESO A CPN]]="PREGESTACIÓN",NZ176="Menor"),CI176&lt;18.5),"BAJO PESO",IF(AND(OR(Tabla1[[#This Row],[MOMENTO EN QUE SE REALIZA EL PESO AL INGRESO A CPN]]="PREGESTACIÓN",NZ176="Menor"),CI176&lt;25),"NORMAL",IF(AND(OR(Tabla1[[#This Row],[MOMENTO EN QUE SE REALIZA EL PESO AL INGRESO A CPN]]="PREGESTACIÓN",NZ176="Menor"),CI176&lt;30),"SOBREPESO",IF(AND(OR(Tabla1[[#This Row],[MOMENTO EN QUE SE REALIZA EL PESO AL INGRESO A CPN]]="PREGESTACIÓN",NZ176="Menor"),CI176&gt;=30,CI176&lt;50),"OBESIDAD",IF(AND(BS176&gt;0,Tabla1[[#This Row],[MOMENTO EN QUE SE REALIZA EL PESO AL INGRESO A CPN]]="GESTACIÓN"),HLOOKUP(NZ176,$OA$2:PH176,NY176),""))))))))</f>
        <v>SOBREPESO</v>
      </c>
      <c r="CK176" s="212">
        <f t="shared" si="608"/>
        <v>45153</v>
      </c>
      <c r="CL176" s="21">
        <v>67.5</v>
      </c>
      <c r="CM176" s="214">
        <f t="shared" si="609"/>
        <v>27.384478072132744</v>
      </c>
      <c r="CN176" s="216">
        <f t="shared" si="610"/>
        <v>19</v>
      </c>
      <c r="CO176" s="216" t="e">
        <f>IF(PI176="","",IF(PI176&gt;0,HLOOKUP(PI176,$PJ$2:QQ176,NY176),""))</f>
        <v>#REF!</v>
      </c>
      <c r="CP176" s="21">
        <v>22</v>
      </c>
      <c r="CQ176" s="216" t="e">
        <f>IF(QR176="Menor","NO APLICA-MENOR 13 SEM",IF(AND(CC176="SI",CN176&gt;23),"NO APLICA- GEMELAR",IF(QR176="","",IF(QR176&gt;0,HLOOKUP(QR176,$QS$2:RU176,NY176),""))))</f>
        <v>#REF!</v>
      </c>
      <c r="CR176" s="21">
        <v>100</v>
      </c>
      <c r="CS176" s="21">
        <v>60</v>
      </c>
      <c r="CT176" s="217" t="str">
        <f>IF(R176="","",IF(AND(BS176&gt;1,BS176&lt;12,Tabla1[[#This Row],[T.A. SISTOLICA - ANTES DE SEMANA 12]]="",Tabla1[[#This Row],[T.A. DIASTOLICA - ANTES DE SEMANA 12]]=""),"REGISTRE DATO TA ANTES SEMANA 12",IF(AND(BS176&gt;11,BS176&lt;43,Tabla1[[#This Row],[T.A. SISTOLICA - ANTES DE SEMANA 12]]="",Tabla1[[#This Row],[T.A. DIASTOLICA - ANTES DE SEMANA 12]]=""),"NO APLICA REGISTRO TA-INGRESO TARDIO",IF(AND(OR(O176&gt;0,R176&gt;0),OR(CR176&gt;=140,CS176&gt;=90)),"DEFINIR ESTADIO HTA",IF(AND(OR(O176&gt;0,R176&gt;0),AND(CR176&gt;120,CR176&lt;=139)),"PRE HTA SEGUIMIENTO",IF(AND(OR(O176&gt;0,R176&gt;0),AND(CS176&gt;80,CS176&lt;=89)),"PRE HTA SEGUIMIENTO",IF(AND(OR(O176&gt;0,R176&gt;0),AND(CR176&gt;=80,CR176&lt;=120)),"APARENTEMENTE NORMAL",IF(AND(OR(O176&gt;0,R176&gt;0),AND(CS176&gt;=50,CS176&lt;=80)),"APARENTEMENTE NORMAL",IF(AND(OR(O176&gt;0,R176&gt;0),AND(CR176&gt;1,CR176&lt;=70),AND(CS176&gt;1,CS176&lt;=40)),"HIPOTENSIÓN","")))))))))</f>
        <v>APARENTEMENTE NORMAL</v>
      </c>
      <c r="CU176" s="21">
        <v>100</v>
      </c>
      <c r="CV176" s="21">
        <v>60</v>
      </c>
      <c r="CW176" s="217" t="str">
        <f ca="1">IF(R176="","",IF(AND(CN176&gt;19,CN176&lt;27,Tabla1[[#This Row],[T.A. SISTOLICA (Entre semana 20 y 26)]]="",Tabla1[[#This Row],[T.A. DIATOLICA (Entre semana 20 y 26)]]=""),"ACUDE A CONTROL SEM 20 A 26 REGISTRE TA AHORA",IF(AND(BS176&gt;1,BS176&lt;27,BU176&gt;19,Tabla1[[#This Row],[T.A. SISTOLICA (Entre semana 20 y 26)]]="",Tabla1[[#This Row],[T.A. DIATOLICA (Entre semana 20 y 26)]]=""),"COMPLETE REGISTRO TA CONTROL SEM 20 A26 ",IF(AND(BS176&gt;26,BS176&lt;43,Tabla1[[#This Row],[T.A. SISTOLICA (Entre semana 20 y 26)]]="",Tabla1[[#This Row],[T.A. DIATOLICA (Entre semana 20 y 26)]]=""),"NO APLICA REGISTRO TA-INGRESO TARDIO",IF(AND(OR(O176&gt;0,R176&gt;0),OR(CU176&gt;=140,CV176&gt;=90)),"ALTO RIESGO PREECLAMPSIA,DEFINIR ESTADIO HTA",IF(AND(OR(O176&gt;0,R176&gt;0),AND(CU176&gt;120,CU176&lt;=139)),"PRE HTA SEGUIMIENTO,RIESGO HIPERTENSION INDUCIDA POR EL EMBARAZO",IF(AND(OR(O176&gt;0,R176&gt;0),AND(CV176&gt;80,CV176&lt;=89)),"PRE HTA SEGUIMIENTO, RIESGO HIPERTENSION INDUCIDA POR EL EMBARAZO",IF(AND(OR(O176&lt;&gt;"",R176&lt;&gt;""),CS176&lt;&gt;"",CV176&lt;&gt;"",CS176&lt;=CV176),"VIGILAR CIFRAS PRESION ARTERIAL",IF(AND(OR(O176&gt;0,R176&gt;0),AND(CU176&gt;120,CU176&lt;=139)),"PRE HTA SEGUIMIENTO",IF(AND(OR(O176&gt;0,R176&gt;0),AND(CU176&gt;1,CU176&lt;=70),AND(CV176&gt;1,CV176&lt;=40)),"HIPOTENSIÓN",IF(AND(OR(O176&lt;&gt;"",R176&lt;&gt;""),CS176&lt;&gt;"",CV176&lt;&gt;"",CS176&gt;CV176),"APARENTEMENTE NORMAL",IF(AND(OR(O176&gt;0,R176&gt;0),AND(CU176&gt;=80,CU176&lt;=120)),"APARENTEMENTE NORMAL",IF(AND(OR(O176&gt;0,R176&gt;0),AND(CV176&gt;=50,CV176&lt;=80)),"APARENTEMENTE NORMAL","")))))))))))))</f>
        <v>VIGILAR CIFRAS PRESION ARTERIAL</v>
      </c>
      <c r="CX176" s="21"/>
      <c r="CY176" s="21"/>
      <c r="CZ176" s="216" t="str">
        <f t="shared" si="729"/>
        <v/>
      </c>
      <c r="DA176" s="21">
        <v>100</v>
      </c>
      <c r="DB176" s="21">
        <v>60</v>
      </c>
      <c r="DC176" s="217" t="str">
        <f t="shared" si="611"/>
        <v>APARENTEMENTE NORMAL</v>
      </c>
      <c r="DD176" s="22">
        <v>45065</v>
      </c>
      <c r="DE176" s="22">
        <v>45065</v>
      </c>
      <c r="DF176" s="22">
        <v>45094</v>
      </c>
      <c r="DG176" s="22">
        <v>45122</v>
      </c>
      <c r="DH176" s="22">
        <v>45153</v>
      </c>
      <c r="DI176" s="22"/>
      <c r="DJ176" s="22"/>
      <c r="DK176" s="22"/>
      <c r="DL176" s="22"/>
      <c r="DM176" s="22"/>
      <c r="DN176" s="22"/>
      <c r="DO176" s="22"/>
      <c r="DP176" s="22"/>
      <c r="DQ176" s="22"/>
      <c r="DR176" s="28">
        <v>0</v>
      </c>
      <c r="DS176" s="22"/>
      <c r="DT176" s="22"/>
      <c r="DU176" s="216" t="str">
        <f t="shared" ca="1" si="676"/>
        <v>PLANEAR PLAN DE PARTO</v>
      </c>
      <c r="DV176" s="226" t="str">
        <f t="shared" si="677"/>
        <v>ACTIVA INGRESO A CPN</v>
      </c>
      <c r="DW17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76" s="216" t="e">
        <f t="shared" ca="1" si="612"/>
        <v>#REF!</v>
      </c>
      <c r="DY176" s="212">
        <f>IF(R176="","",IF(R176&gt;0,MAX(Tabla1[[#This Row],[FECHA C2]:[FECHA C13]],Tabla1[[#This Row],[FECHA CONSULTA PRIMERA VEZ PROGRAMA CPN ]])))</f>
        <v>45153</v>
      </c>
      <c r="DZ176" s="216">
        <f t="shared" si="613"/>
        <v>19</v>
      </c>
      <c r="EA176" s="222">
        <f>IF(R176&gt;0,SUM(COUNTA(DF176:DQ176)+COUNTA(Tabla1[[#This Row],[FECHA CONSULTA PRIMERA VEZ PROGRAMA CPN ]])),"")</f>
        <v>4</v>
      </c>
      <c r="EB176" s="222" t="str">
        <f t="shared" si="614"/>
        <v>SI</v>
      </c>
      <c r="EC176" s="214">
        <f t="shared" si="615"/>
        <v>10</v>
      </c>
      <c r="ED176" s="227">
        <f t="shared" si="616"/>
        <v>0.4</v>
      </c>
      <c r="EE176" s="22">
        <v>45065</v>
      </c>
      <c r="EF176" s="22">
        <v>45073</v>
      </c>
      <c r="EG176" s="22">
        <v>45065</v>
      </c>
      <c r="EH176" s="22"/>
      <c r="EI176" s="22">
        <v>45065</v>
      </c>
      <c r="EJ176" s="22">
        <v>45083</v>
      </c>
      <c r="EK176" s="22"/>
      <c r="EL176" s="21"/>
      <c r="EM176" s="21">
        <v>14.2</v>
      </c>
      <c r="EN176" s="22">
        <v>45066</v>
      </c>
      <c r="EO176" s="222">
        <f t="shared" si="617"/>
        <v>6.8571428571428568</v>
      </c>
      <c r="EP176" s="214" t="str">
        <f t="shared" si="618"/>
        <v>NO DAR SULFATO FERROSO</v>
      </c>
      <c r="EQ176" s="216" t="str">
        <f t="shared" si="619"/>
        <v>I TRIM</v>
      </c>
      <c r="ER176" s="24"/>
      <c r="ES176" s="22"/>
      <c r="ET176" s="29" t="str">
        <f t="shared" ca="1" si="678"/>
        <v>EN SEMANA 28 TOMA INMEDIATA DE EXAMEN</v>
      </c>
      <c r="EU176" s="25" t="str">
        <f t="shared" si="620"/>
        <v/>
      </c>
      <c r="EV176" s="24" t="s">
        <v>1510</v>
      </c>
      <c r="EW176" s="24">
        <v>45066</v>
      </c>
      <c r="EX176" s="22"/>
      <c r="EY176" s="29">
        <f t="shared" si="693"/>
        <v>6.8571428571428568</v>
      </c>
      <c r="EZ176" s="25" t="str">
        <f t="shared" si="694"/>
        <v>SIN RIESGO DE ISOINMUNIZACIÓN</v>
      </c>
      <c r="FA176" s="21">
        <v>76</v>
      </c>
      <c r="FB176" s="22">
        <v>45066</v>
      </c>
      <c r="FC176" s="29">
        <f t="shared" si="621"/>
        <v>6.8571428571428568</v>
      </c>
      <c r="FD176" s="29"/>
      <c r="FE176" s="29"/>
      <c r="FF176" s="29"/>
      <c r="FG176" s="21" t="str">
        <f t="shared" ca="1" si="622"/>
        <v>TOMAR PTOG</v>
      </c>
      <c r="FH176" s="31"/>
      <c r="FI176" s="29" t="str">
        <f t="shared" si="623"/>
        <v>TOMAR EXAMEN</v>
      </c>
      <c r="FJ176" s="22" t="s">
        <v>867</v>
      </c>
      <c r="FK176" s="22">
        <v>45066</v>
      </c>
      <c r="FL176" s="29">
        <f t="shared" ca="1" si="624"/>
        <v>6.8571428571428568</v>
      </c>
      <c r="FM176" s="22"/>
      <c r="FN176" s="32"/>
      <c r="FO176" s="29" t="str">
        <f t="shared" ca="1" si="679"/>
        <v>PIERDE TOMA DE TAMIZAJE</v>
      </c>
      <c r="FP176" s="22"/>
      <c r="FQ176" s="32"/>
      <c r="FR176" s="29" t="str">
        <f t="shared" ca="1" si="680"/>
        <v>EN RANGO PARA TOMAR EXAMEN</v>
      </c>
      <c r="FS176" s="22"/>
      <c r="FT176" s="32"/>
      <c r="FU176" s="29" t="str">
        <f>IF(AND(FJ176="",FM176="",FP176="",FS176=""),"",IF(OR(OR(Tabla1[[#This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76" s="28"/>
      <c r="FW176" s="22"/>
      <c r="FX176" s="29" t="str">
        <f t="shared" si="625"/>
        <v>TOMAR EXAMEN</v>
      </c>
      <c r="FY176" s="22">
        <v>45066</v>
      </c>
      <c r="FZ176" s="22">
        <v>45066</v>
      </c>
      <c r="GA176" s="29">
        <f t="shared" ca="1" si="692"/>
        <v>6.8571428571428568</v>
      </c>
      <c r="GB176" s="22"/>
      <c r="GC176" s="22"/>
      <c r="GD176" s="29" t="str">
        <f t="shared" ca="1" si="732"/>
        <v>PIERDE TOMA DE TAMIZAJE</v>
      </c>
      <c r="GE176" s="22"/>
      <c r="GF176" s="22"/>
      <c r="GG176" s="29" t="str">
        <f t="shared" ca="1" si="682"/>
        <v>EN RANGO PARA TOMAR EXAMEN</v>
      </c>
      <c r="GH176" s="22"/>
      <c r="GI176" s="29"/>
      <c r="GJ176" s="22"/>
      <c r="GK176" s="22"/>
      <c r="GL176" s="22"/>
      <c r="GM176" s="22"/>
      <c r="GN176" s="28" t="s">
        <v>869</v>
      </c>
      <c r="GO176" s="22">
        <v>45066</v>
      </c>
      <c r="GP176" s="29">
        <f t="shared" si="626"/>
        <v>6.8571428571428568</v>
      </c>
      <c r="GQ176" s="28" t="s">
        <v>869</v>
      </c>
      <c r="GR176" s="28" t="s">
        <v>869</v>
      </c>
      <c r="GS176" s="22" t="str">
        <f t="shared" si="728"/>
        <v>CONTROL Igm</v>
      </c>
      <c r="GT176" s="22">
        <v>45066</v>
      </c>
      <c r="GU176" s="29">
        <f t="shared" si="628"/>
        <v>6.8571428571428568</v>
      </c>
      <c r="GV176" s="21" t="str">
        <f t="shared" si="629"/>
        <v>I TRIM</v>
      </c>
      <c r="GW176" s="28" t="s">
        <v>869</v>
      </c>
      <c r="GX176" s="30"/>
      <c r="GY176" s="21"/>
      <c r="GZ176" s="21"/>
      <c r="HA176" s="21"/>
      <c r="HB176" s="21"/>
      <c r="HC176" s="21"/>
      <c r="HD176" s="21"/>
      <c r="HE176" s="21"/>
      <c r="HF176" s="22"/>
      <c r="HG176" s="22" t="str">
        <f>IF(OR(O176&gt;0,R176&gt;0),CONCATENATE(IF(Tabla1[[#This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76" s="22" t="e">
        <f t="shared" si="630"/>
        <v>#REF!</v>
      </c>
      <c r="HI176" s="22" t="e">
        <f t="shared" ca="1" si="631"/>
        <v>#REF!</v>
      </c>
      <c r="HJ176" s="21" t="str">
        <f t="shared" ca="1" si="632"/>
        <v>**********************MULTIPARIDAD*****************</v>
      </c>
      <c r="HK176" s="21" t="str">
        <f t="shared" si="633"/>
        <v>SIN ANTECEDENTES DE RIESGO</v>
      </c>
      <c r="HL176" s="24" t="str">
        <f t="shared" si="634"/>
        <v>APARENTEMENTE NORMAL</v>
      </c>
      <c r="HM176" s="21" t="e">
        <f t="shared" ca="1" si="635"/>
        <v>#REF!</v>
      </c>
      <c r="HN176" s="30" t="str">
        <f t="shared" si="683"/>
        <v>ACTIVA INGRESO A CPN</v>
      </c>
      <c r="HO176" s="21"/>
      <c r="HP176" s="21"/>
      <c r="HQ176" s="349">
        <v>45066</v>
      </c>
      <c r="HR176" s="21" t="str">
        <f>IF(R176="","",IF(Tabla1[[#This Row],[ALARMA FACTORES DE RIESGO COMPLICACIONES HIPERTENSIVAS3]]="SIN ANTECEDENTES DE RIESGO","No Aplica para suministro de ASA",IF(AND(Tabla1[[#This Row],[FECHA INICIO DE SUMINISTRO DE ASA]]&gt;0,RV176&lt;12),"Inicia ASA ANTES de Sem 12",IF(AND(RV176&gt;11,RV176&lt;17,OR(HK176="RIESGO ALTO DE COMPLICACIONES HIPERTENSIVAS VER MANEJO GUIA SUMINISTRO ASA Y CALCIO",HK176="RIESGO MODERADO (2 O MAS CRITERIOS) VER MANEJO GUIA SUMINISTRO ASA Y CALCIO")),"Inicio oportuno de ASA",IF(AND(RV176&gt;12,OR(HK176="RIESGO ALTO DE COMPLICACIONES HIPERTENSIVAS VER MANEJO GUIA SUMINISTRO ASA Y CALCIO",HK176="RIESGO MODERADO (2 O MAS CRITERIOS) VER MANEJO GUIA SUMINISTRO ASA Y CALCIO")),"Inicio no oportuno mayor a 16 semanas",IF(AND(BU176&lt;12,OR(HK176="RIESGO ALTO DE COMPLICACIONES HIPERTENSIVAS VER MANEJO GUIA SUMINISTRO ASA Y CALCIO",HK176="RIESGO MODERADO (2 O MAS CRITERIOS) VER MANEJO GUIA SUMINISTRO ASA Y CALCIO")),"Pendiente Inicio de ASA a la semana 12",IF(AND(BU176&gt;11,BU176&lt;17,OR(HK176="RIESGO ALTO DE COMPLICACIONES HIPERTENSIVAS VER MANEJO GUIA SUMINISTRO ASA Y CALCIO",HK176="RIESGO MODERADO (2 O MAS CRITERIOS) VER MANEJO GUIA SUMINISTRO ASA Y CALCIO")),"Iniciar de inmediato ASA",IF(AND(BU176&gt;16,OR(HK176="RIESGO ALTO DE COMPLICACIONES HIPERTENSIVAS VER MANEJO GUIA SUMINISTRO ASA Y CALCIO",HK176="RIESGO MODERADO (2 O MAS CRITERIOS) VER MANEJO GUIA SUMINISTRO ASA Y CALCIO")),"Pierde Oportunidad, Inicio tardío de ASA","XXXXX"))))))))</f>
        <v>No Aplica para suministro de ASA</v>
      </c>
      <c r="HS176" s="22">
        <v>45066</v>
      </c>
      <c r="HT176" s="22" t="s">
        <v>870</v>
      </c>
      <c r="HU176" s="22">
        <v>45066</v>
      </c>
      <c r="HV176" s="22" t="s">
        <v>870</v>
      </c>
      <c r="HW176" s="22">
        <v>45066</v>
      </c>
      <c r="HX176" s="22" t="s">
        <v>870</v>
      </c>
      <c r="HY176" s="22"/>
      <c r="HZ176" s="28" t="str">
        <f t="shared" si="636"/>
        <v>PENDIENTE CONSULTA</v>
      </c>
      <c r="IA176" s="26"/>
      <c r="IB176" s="26"/>
      <c r="IC176" s="111"/>
      <c r="ID176" s="22"/>
      <c r="IE176" s="22" t="str">
        <f t="shared" ca="1" si="637"/>
        <v>INASISTENTE</v>
      </c>
      <c r="IF176" s="22"/>
      <c r="IG176" s="22">
        <f t="shared" si="638"/>
        <v>45298</v>
      </c>
      <c r="IH176" s="29">
        <f t="shared" ca="1" si="639"/>
        <v>66</v>
      </c>
      <c r="II176" s="22" t="str">
        <f t="shared" ca="1" si="640"/>
        <v>PENDIENTE</v>
      </c>
      <c r="IJ176" s="22"/>
      <c r="IK176" s="21"/>
      <c r="IL176" s="21"/>
      <c r="IM176" s="34"/>
      <c r="IN176" s="22"/>
      <c r="IO176" s="21"/>
      <c r="IP176" s="29" t="str">
        <f t="shared" si="730"/>
        <v/>
      </c>
      <c r="IQ176" s="35"/>
      <c r="IR176" s="21"/>
      <c r="IS176" s="21"/>
      <c r="IT176" s="21"/>
      <c r="IU176" s="21"/>
      <c r="IV176" s="21"/>
      <c r="IW176" s="21"/>
      <c r="IX176" s="21"/>
      <c r="IY176" s="21"/>
      <c r="IZ176" s="21"/>
      <c r="JA176" s="21"/>
      <c r="JB176" s="30"/>
      <c r="JC176" s="21"/>
      <c r="JD176" s="36"/>
      <c r="JE176" s="21" t="str">
        <f t="shared" si="733"/>
        <v/>
      </c>
      <c r="JF176" s="30"/>
      <c r="JG176" s="21"/>
      <c r="JH176" s="21"/>
      <c r="JI176" s="21"/>
      <c r="JJ176" s="30"/>
      <c r="JK176" s="22"/>
      <c r="JL176" s="22"/>
      <c r="JM176" s="21"/>
      <c r="JN176" s="36"/>
      <c r="JO176" s="21" t="str">
        <f t="shared" si="734"/>
        <v/>
      </c>
      <c r="JP176" s="22"/>
      <c r="JQ176" s="21"/>
      <c r="JR176" s="21"/>
      <c r="JS176" s="21"/>
      <c r="JT176" s="30"/>
      <c r="JU176" s="22"/>
      <c r="JV176" s="22"/>
      <c r="JW176" s="33"/>
      <c r="JX176" s="28" t="str">
        <f t="shared" si="735"/>
        <v/>
      </c>
      <c r="JY176" s="33"/>
      <c r="JZ176" s="28" t="str">
        <f t="shared" si="736"/>
        <v/>
      </c>
      <c r="KA176" s="21"/>
      <c r="KB176" s="21"/>
      <c r="KC176" s="21"/>
      <c r="KD176" s="37"/>
      <c r="KE176" s="28"/>
      <c r="KF176" s="28"/>
      <c r="KG176" s="28"/>
      <c r="KH176" s="39"/>
      <c r="KI176" s="39"/>
      <c r="KJ176" s="66"/>
      <c r="KK176" s="39"/>
      <c r="KL176" s="39"/>
      <c r="KM176" s="66"/>
      <c r="KN176" s="39"/>
      <c r="KO176" s="39"/>
      <c r="KP176" s="39"/>
      <c r="KQ176" s="39"/>
      <c r="KR176" s="39"/>
      <c r="KS176" s="39"/>
      <c r="KT176" s="39"/>
      <c r="KU176" s="38"/>
      <c r="KV176" s="38"/>
      <c r="KW176" s="38"/>
      <c r="KX176" s="38"/>
      <c r="KY176" s="38"/>
      <c r="KZ176" s="38"/>
      <c r="LA176" s="38"/>
      <c r="LB176" s="38"/>
      <c r="LC176" s="38"/>
      <c r="LD176" s="38"/>
      <c r="LE176" s="38"/>
      <c r="LF176" s="38"/>
      <c r="LG176" s="38"/>
      <c r="LH176" s="38"/>
      <c r="LI176" s="38"/>
      <c r="LJ176" s="38"/>
      <c r="LK176" s="38"/>
      <c r="LL176" s="38"/>
      <c r="LM176" s="38"/>
      <c r="LN176" s="38"/>
      <c r="LO176" s="38"/>
      <c r="LP176" s="38"/>
      <c r="LQ176" s="38"/>
      <c r="LR176" s="38"/>
      <c r="LS176" s="38"/>
      <c r="LT176" s="38"/>
      <c r="LU176" s="38"/>
      <c r="LV176" s="38"/>
      <c r="LW176" s="38"/>
      <c r="LX176" s="38"/>
      <c r="LY176" s="38"/>
      <c r="LZ176" s="38"/>
      <c r="MA176" s="38"/>
      <c r="MB176" s="38"/>
      <c r="MC176" s="38"/>
      <c r="MD176" s="38"/>
      <c r="ME176" s="38"/>
      <c r="MF176" s="38"/>
      <c r="MG176" s="38"/>
      <c r="MH176" s="43">
        <f t="shared" si="697"/>
        <v>0</v>
      </c>
      <c r="MI176" s="43" t="str">
        <f t="shared" si="698"/>
        <v/>
      </c>
      <c r="MJ176" s="43" t="str">
        <f t="shared" si="699"/>
        <v/>
      </c>
      <c r="MK176" s="43">
        <f t="shared" si="700"/>
        <v>0</v>
      </c>
      <c r="ML17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76" s="43">
        <f t="shared" si="701"/>
        <v>6.7142857142857144</v>
      </c>
      <c r="MN176" s="43">
        <f t="shared" si="702"/>
        <v>5</v>
      </c>
      <c r="MO176" s="43">
        <f t="shared" si="703"/>
        <v>2023</v>
      </c>
      <c r="MP176" s="43" t="str">
        <f t="shared" si="704"/>
        <v>II TRIMESTRE AÑO</v>
      </c>
      <c r="MQ176" s="43">
        <f t="shared" si="705"/>
        <v>28.583552343407792</v>
      </c>
      <c r="MR176" s="43">
        <f t="shared" si="706"/>
        <v>0</v>
      </c>
      <c r="MS176" s="43" t="str">
        <f t="shared" si="707"/>
        <v xml:space="preserve"> DE 25 A 29 AÑOS</v>
      </c>
      <c r="MT176" s="43">
        <f t="shared" si="708"/>
        <v>0</v>
      </c>
      <c r="MU176" s="43">
        <f t="shared" si="709"/>
        <v>1</v>
      </c>
      <c r="MV176" s="43">
        <f t="shared" si="710"/>
        <v>0</v>
      </c>
      <c r="MW176" s="43">
        <f t="shared" si="711"/>
        <v>0</v>
      </c>
      <c r="MX176" s="43" t="str">
        <f t="shared" si="712"/>
        <v/>
      </c>
      <c r="MY176" s="43" t="str">
        <f t="shared" ca="1" si="737"/>
        <v/>
      </c>
      <c r="MZ176" s="43" t="str">
        <f t="shared" si="713"/>
        <v/>
      </c>
      <c r="NA176" s="43" t="str">
        <f t="shared" si="714"/>
        <v/>
      </c>
      <c r="NB176" s="43" t="str">
        <f t="shared" si="715"/>
        <v/>
      </c>
      <c r="NC176" s="43" t="str">
        <f t="shared" si="716"/>
        <v/>
      </c>
      <c r="ND176" s="43">
        <f t="shared" ca="1" si="717"/>
        <v>1</v>
      </c>
      <c r="NE176" s="43">
        <f>IF(OR(O176&gt;0,R176&gt;0),SUM(COUNTIF(Tabla1[[#This Row],[AÑOS AL INICIO5 CPN]],"&gt;=40"),COUNTIF(AS176,"0"),COUNTIF(AR176,"SI"),COUNTIF(CC176,"SI"),COUNTIF(BQ176,"&gt;119"),COUNTIF(CI176,"&gt;=35")),"")</f>
        <v>0</v>
      </c>
      <c r="NF176" s="43" t="str">
        <f t="shared" si="718"/>
        <v/>
      </c>
      <c r="NG176" s="43">
        <f t="shared" si="719"/>
        <v>0</v>
      </c>
      <c r="NH176" s="43">
        <f t="shared" si="720"/>
        <v>71.399999999999991</v>
      </c>
      <c r="NI17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CPN",P176="NO"),"Z",IF(AND(Tabla1[[#This Row],[CITA PROXIMO CONTROL]]="CITA MANUAL",Tabla1[[#This Row],[GESTANTES ACTUALES]]="ACTIVA INGRESO A CPN"),"W",IF(AND(Tabla1[[#This Row],[GESTANTES ACTUALES]]="SALIO PROGRAMA",IN176=""),"S",IF(AND(Tabla1[[#This Row],[CITA PROXIMO CONTROL]]&gt;0,IN176=""),(Tabla1[[#This Row],[CITA PROXIMO CONTROL]]-TODAY()),"SD"))))))))</f>
        <v>#REF!</v>
      </c>
      <c r="NJ176" s="43">
        <f>MONTH(Tabla1[[#This Row],[FECHA DE SALIDA  DEL PROGRAMA]])</f>
        <v>1</v>
      </c>
      <c r="NK176" s="43">
        <f>YEAR(Tabla1[[#This Row],[FECHA DE SALIDA  DEL PROGRAMA]])</f>
        <v>1900</v>
      </c>
      <c r="NL176" s="43">
        <f t="shared" si="721"/>
        <v>18</v>
      </c>
      <c r="NM176" s="43" t="str">
        <f t="shared" si="695"/>
        <v>NO</v>
      </c>
      <c r="NN176" s="43" t="str">
        <f ca="1">IF(AND(O176&gt;0,R176=""),"NO CPN",IF(AND(O176="",R176=""),"",IF(AND(R176&gt;0,Tabla1[[#This Row],[SEMANAS DE GESTACION ACTUALIZADAS]]&lt;=12),"NO APLICA",IF(AND(FH176&lt;&gt;"",FN176&lt;&gt;""),"SI","NO"))))</f>
        <v>NO</v>
      </c>
      <c r="NO176" s="43" t="str">
        <f ca="1">IF(AND(O176&gt;0,R176=""),"NO CPN",IF(AND(O176="",R176=""),"",IF(AND(R176&gt;0,Tabla1[[#This Row],[SEMANAS DE GESTACION ACTUALIZADAS]]&lt;=27),"NO APLICA",IF(AND(ES176&lt;&gt;"",FQ176&lt;&gt;"",GF176&lt;&gt;""),"SI","NO"))))</f>
        <v>NO</v>
      </c>
      <c r="NP176" s="204" t="str">
        <f t="shared" si="722"/>
        <v>I TRIM</v>
      </c>
      <c r="NQ176" s="21" t="str">
        <f t="shared" si="731"/>
        <v/>
      </c>
      <c r="NR176" s="21">
        <f t="shared" ca="1" si="738"/>
        <v>3</v>
      </c>
      <c r="NS176" s="205">
        <f t="shared" ca="1" si="723"/>
        <v>1</v>
      </c>
      <c r="NT176" s="21">
        <f t="shared" ca="1" si="724"/>
        <v>1</v>
      </c>
      <c r="NU176" s="21" t="str">
        <f t="shared" ca="1" si="725"/>
        <v>INCOMPLETO</v>
      </c>
      <c r="NV176" s="21" t="str">
        <f t="shared" ca="1" si="726"/>
        <v>INCOMPLETO</v>
      </c>
      <c r="NW176" s="206" t="str">
        <f>IF(AND(O176="",R176=""),"",IF(OR(AND(Tabla1[[#This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76" s="207" t="str">
        <f t="shared" ca="1" si="727"/>
        <v>SIN VACUNAR</v>
      </c>
      <c r="NY176" s="43">
        <f>ROW(Tabla1[[#This Row],['# DE TAMIZAJES SIFILIS TOMADOS ]])</f>
        <v>176</v>
      </c>
      <c r="NZ176" s="43" t="str">
        <f t="shared" si="502"/>
        <v>Menor</v>
      </c>
      <c r="OA176" s="43" t="str">
        <f t="shared" si="503"/>
        <v>SOBREPESO</v>
      </c>
      <c r="OB176" s="43" t="str">
        <f t="shared" si="504"/>
        <v/>
      </c>
      <c r="OC176" s="43" t="str">
        <f t="shared" si="505"/>
        <v/>
      </c>
      <c r="OD176" s="43" t="str">
        <f t="shared" si="506"/>
        <v/>
      </c>
      <c r="OE176" s="43" t="str">
        <f t="shared" si="507"/>
        <v/>
      </c>
      <c r="OF176" s="43" t="str">
        <f t="shared" si="508"/>
        <v/>
      </c>
      <c r="OG176" s="43" t="str">
        <f t="shared" si="509"/>
        <v/>
      </c>
      <c r="OH176" s="43" t="str">
        <f t="shared" si="510"/>
        <v/>
      </c>
      <c r="OI176" s="43" t="str">
        <f t="shared" si="511"/>
        <v/>
      </c>
      <c r="OJ176" s="43" t="str">
        <f t="shared" si="512"/>
        <v/>
      </c>
      <c r="OK176" s="43" t="str">
        <f t="shared" si="513"/>
        <v/>
      </c>
      <c r="OL176" s="43" t="str">
        <f t="shared" si="514"/>
        <v/>
      </c>
      <c r="OM176" s="43" t="str">
        <f t="shared" si="515"/>
        <v/>
      </c>
      <c r="ON176" s="43" t="str">
        <f t="shared" si="516"/>
        <v/>
      </c>
      <c r="OO176" s="43" t="str">
        <f t="shared" si="517"/>
        <v/>
      </c>
      <c r="OP176" s="43" t="str">
        <f t="shared" si="518"/>
        <v/>
      </c>
      <c r="OQ176" s="43" t="str">
        <f t="shared" si="519"/>
        <v/>
      </c>
      <c r="OR176" s="43" t="str">
        <f t="shared" si="520"/>
        <v/>
      </c>
      <c r="OS176" s="43" t="str">
        <f t="shared" si="521"/>
        <v/>
      </c>
      <c r="OT176" s="43" t="str">
        <f t="shared" si="522"/>
        <v/>
      </c>
      <c r="OU176" s="43" t="str">
        <f t="shared" si="523"/>
        <v/>
      </c>
      <c r="OV176" s="110" t="str">
        <f t="shared" si="524"/>
        <v/>
      </c>
      <c r="OW176" s="43" t="str">
        <f t="shared" si="525"/>
        <v/>
      </c>
      <c r="OX176" s="43" t="str">
        <f t="shared" si="526"/>
        <v/>
      </c>
      <c r="OY176" s="43" t="str">
        <f t="shared" si="527"/>
        <v/>
      </c>
      <c r="OZ176" s="43" t="str">
        <f t="shared" si="528"/>
        <v/>
      </c>
      <c r="PA176" s="43" t="str">
        <f t="shared" si="529"/>
        <v/>
      </c>
      <c r="PB176" s="43" t="str">
        <f t="shared" si="530"/>
        <v/>
      </c>
      <c r="PC176" s="43" t="str">
        <f t="shared" si="531"/>
        <v/>
      </c>
      <c r="PD176" s="43" t="str">
        <f t="shared" si="532"/>
        <v/>
      </c>
      <c r="PE176" s="43" t="str">
        <f t="shared" si="533"/>
        <v/>
      </c>
      <c r="PF176" s="43" t="str">
        <f t="shared" si="534"/>
        <v/>
      </c>
      <c r="PG176" s="43" t="str">
        <f t="shared" si="535"/>
        <v/>
      </c>
      <c r="PH176" s="43" t="str">
        <f t="shared" si="536"/>
        <v/>
      </c>
      <c r="PI176" s="43">
        <f t="shared" si="537"/>
        <v>19</v>
      </c>
      <c r="PJ176" s="43" t="str">
        <f t="shared" si="538"/>
        <v/>
      </c>
      <c r="PK176" s="43" t="str">
        <f t="shared" si="539"/>
        <v/>
      </c>
      <c r="PL176" s="43" t="str">
        <f t="shared" si="540"/>
        <v/>
      </c>
      <c r="PM176" s="43" t="str">
        <f t="shared" si="541"/>
        <v/>
      </c>
      <c r="PN176" s="43" t="str">
        <f t="shared" si="542"/>
        <v/>
      </c>
      <c r="PO176" s="43" t="str">
        <f t="shared" si="543"/>
        <v/>
      </c>
      <c r="PP176" s="43" t="str">
        <f t="shared" si="544"/>
        <v/>
      </c>
      <c r="PQ176" s="43" t="str">
        <f t="shared" si="545"/>
        <v/>
      </c>
      <c r="PR176" s="43" t="str">
        <f t="shared" si="546"/>
        <v/>
      </c>
      <c r="PS176" s="43" t="str">
        <f t="shared" si="547"/>
        <v/>
      </c>
      <c r="PT176" s="43" t="str">
        <f t="shared" si="548"/>
        <v>SOBREPESO</v>
      </c>
      <c r="PU176" s="43" t="str">
        <f t="shared" si="549"/>
        <v/>
      </c>
      <c r="PV176" s="43" t="str">
        <f t="shared" si="550"/>
        <v/>
      </c>
      <c r="PW176" s="43" t="str">
        <f t="shared" si="551"/>
        <v/>
      </c>
      <c r="PX176" s="43" t="str">
        <f t="shared" si="552"/>
        <v/>
      </c>
      <c r="PY176" s="43" t="str">
        <f t="shared" si="553"/>
        <v/>
      </c>
      <c r="PZ176" s="43" t="str">
        <f t="shared" si="554"/>
        <v/>
      </c>
      <c r="QA176" s="43" t="str">
        <f t="shared" si="555"/>
        <v/>
      </c>
      <c r="QB176" s="43" t="str">
        <f t="shared" si="556"/>
        <v/>
      </c>
      <c r="QC176" s="43" t="str">
        <f t="shared" si="557"/>
        <v/>
      </c>
      <c r="QD176" s="43" t="str">
        <f t="shared" si="558"/>
        <v/>
      </c>
      <c r="QE176" s="43" t="str">
        <f t="shared" si="559"/>
        <v/>
      </c>
      <c r="QF176" s="43" t="str">
        <f t="shared" si="560"/>
        <v/>
      </c>
      <c r="QG176" s="43" t="str">
        <f t="shared" si="561"/>
        <v/>
      </c>
      <c r="QH176" s="43" t="str">
        <f t="shared" si="562"/>
        <v/>
      </c>
      <c r="QI176" s="43" t="str">
        <f t="shared" si="563"/>
        <v/>
      </c>
      <c r="QJ176" s="43" t="str">
        <f t="shared" si="564"/>
        <v/>
      </c>
      <c r="QK176" s="43" t="str">
        <f t="shared" si="565"/>
        <v/>
      </c>
      <c r="QL176" s="43" t="str">
        <f t="shared" si="566"/>
        <v/>
      </c>
      <c r="QM176" s="43" t="str">
        <f t="shared" si="567"/>
        <v/>
      </c>
      <c r="QN176" s="43" t="str">
        <f t="shared" si="568"/>
        <v/>
      </c>
      <c r="QO176" s="43" t="str">
        <f t="shared" si="569"/>
        <v/>
      </c>
      <c r="QP176" s="43" t="str">
        <f t="shared" si="570"/>
        <v/>
      </c>
      <c r="QQ176" s="43" t="str">
        <f t="shared" si="571"/>
        <v/>
      </c>
      <c r="QR176" s="43">
        <f t="shared" si="672"/>
        <v>19</v>
      </c>
      <c r="QS176" s="43"/>
      <c r="QT176" s="21" t="str">
        <f t="shared" si="572"/>
        <v/>
      </c>
      <c r="QU176" s="21" t="str">
        <f t="shared" si="573"/>
        <v/>
      </c>
      <c r="QV176" s="21" t="str">
        <f t="shared" si="574"/>
        <v/>
      </c>
      <c r="QW176" s="21" t="str">
        <f t="shared" si="575"/>
        <v/>
      </c>
      <c r="QX176" s="21" t="str">
        <f t="shared" si="576"/>
        <v/>
      </c>
      <c r="QY176" s="21" t="str">
        <f t="shared" si="577"/>
        <v/>
      </c>
      <c r="QZ176" s="21" t="str">
        <f t="shared" si="578"/>
        <v>ALTO PARA EDAD GESTACIONAL</v>
      </c>
      <c r="RA176" s="21" t="str">
        <f t="shared" si="579"/>
        <v/>
      </c>
      <c r="RB176" s="21" t="str">
        <f t="shared" si="580"/>
        <v/>
      </c>
      <c r="RC176" s="21" t="str">
        <f t="shared" si="581"/>
        <v/>
      </c>
      <c r="RD176" s="21" t="str">
        <f t="shared" si="582"/>
        <v/>
      </c>
      <c r="RE176" s="21" t="str">
        <f t="shared" si="583"/>
        <v/>
      </c>
      <c r="RF176" s="21" t="str">
        <f t="shared" si="584"/>
        <v/>
      </c>
      <c r="RG176" s="21" t="str">
        <f t="shared" si="585"/>
        <v/>
      </c>
      <c r="RH176" s="21" t="str">
        <f t="shared" si="586"/>
        <v/>
      </c>
      <c r="RI176" s="21" t="str">
        <f t="shared" si="587"/>
        <v/>
      </c>
      <c r="RJ176" s="21" t="str">
        <f t="shared" si="588"/>
        <v/>
      </c>
      <c r="RK176" s="21" t="str">
        <f t="shared" si="589"/>
        <v/>
      </c>
      <c r="RL176" s="21" t="str">
        <f t="shared" si="590"/>
        <v/>
      </c>
      <c r="RM176" s="21" t="str">
        <f t="shared" si="591"/>
        <v/>
      </c>
      <c r="RN176" s="21" t="str">
        <f t="shared" si="592"/>
        <v/>
      </c>
      <c r="RO176" s="21" t="str">
        <f t="shared" si="593"/>
        <v/>
      </c>
      <c r="RP176" s="21" t="str">
        <f t="shared" si="594"/>
        <v/>
      </c>
      <c r="RQ176" s="21" t="str">
        <f t="shared" si="595"/>
        <v/>
      </c>
      <c r="RR176" s="21" t="str">
        <f t="shared" si="596"/>
        <v/>
      </c>
      <c r="RS176" s="21" t="str">
        <f t="shared" si="597"/>
        <v/>
      </c>
      <c r="RT176" s="21" t="str">
        <f t="shared" si="598"/>
        <v/>
      </c>
      <c r="RU176" s="21" t="str">
        <f t="shared" si="599"/>
        <v/>
      </c>
      <c r="RV176" s="21">
        <f t="shared" si="600"/>
        <v>6.8571428571428568</v>
      </c>
      <c r="RW176" s="284">
        <f>IF(OR(Tabla1[[#This Row],[FUM FORMULA CONFIABLE]]="",Tabla1[[#This Row],[FUM FORMULA CONFIABLE]]="SD"),"",IF(Tabla1[[#This Row],[FUM FORMULA CONFIABLE]]="CORREGIDA",Tabla1[[#This Row],[FUM X ECO 1]],Tabla1[[#This Row],[FUM x AMENORREA]]))</f>
        <v>45018</v>
      </c>
      <c r="RX176" s="21">
        <f>IF(AND(Tabla1[[#This Row],[FUM X ECO 1]]="",Tabla1[[#This Row],[FUM x AMENORREA]]=""),"",IF(AND(Tabla1[[#This Row],[FUM X ECO 1]]="",Tabla1[[#This Row],[FUM x AMENORREA]]&lt;&gt;""),"X",SUM(Tabla1[[#This Row],[FUM X ECO 1]]-Tabla1[[#This Row],[FUM x AMENORREA]])))</f>
        <v>-6.4000000000014552</v>
      </c>
      <c r="RY176" s="21">
        <f t="shared" si="673"/>
        <v>0</v>
      </c>
    </row>
    <row r="177" spans="1:493" ht="45" customHeight="1" x14ac:dyDescent="0.25">
      <c r="A177" s="109"/>
      <c r="B177" s="43"/>
      <c r="C177" s="43" t="s">
        <v>845</v>
      </c>
      <c r="D177" s="124"/>
      <c r="E177" s="43" t="s">
        <v>992</v>
      </c>
      <c r="F177" s="43" t="s">
        <v>1498</v>
      </c>
      <c r="G177" s="43" t="s">
        <v>938</v>
      </c>
      <c r="H177" s="43" t="s">
        <v>1499</v>
      </c>
      <c r="I177" s="109" t="s">
        <v>851</v>
      </c>
      <c r="J177" s="110" t="s">
        <v>1500</v>
      </c>
      <c r="K177" s="43" t="s">
        <v>852</v>
      </c>
      <c r="L177" s="175" t="s">
        <v>853</v>
      </c>
      <c r="M177" s="22">
        <v>30081</v>
      </c>
      <c r="N177" s="213">
        <f t="shared" ca="1" si="601"/>
        <v>41.509589041095893</v>
      </c>
      <c r="O177" s="22">
        <v>45065</v>
      </c>
      <c r="P177" s="214" t="str">
        <f t="shared" si="675"/>
        <v>SI</v>
      </c>
      <c r="Q177" s="26" t="s">
        <v>855</v>
      </c>
      <c r="R177" s="22">
        <v>45065</v>
      </c>
      <c r="S177" s="21" t="s">
        <v>856</v>
      </c>
      <c r="T177" s="24" t="s">
        <v>690</v>
      </c>
      <c r="U177" s="21" t="s">
        <v>857</v>
      </c>
      <c r="V177" s="21" t="s">
        <v>858</v>
      </c>
      <c r="W177" s="21" t="s">
        <v>846</v>
      </c>
      <c r="X177" s="21"/>
      <c r="Y177" s="21"/>
      <c r="Z177" s="21" t="s">
        <v>894</v>
      </c>
      <c r="AA177" s="21" t="s">
        <v>860</v>
      </c>
      <c r="AB177" s="27" t="s">
        <v>861</v>
      </c>
      <c r="AC177" s="26" t="s">
        <v>846</v>
      </c>
      <c r="AD177" s="38" t="s">
        <v>1546</v>
      </c>
      <c r="AE177" s="26" t="s">
        <v>854</v>
      </c>
      <c r="AF177" s="26" t="s">
        <v>854</v>
      </c>
      <c r="AG177" s="23" t="s">
        <v>864</v>
      </c>
      <c r="AH177" s="23" t="s">
        <v>864</v>
      </c>
      <c r="AI177" s="24" t="s">
        <v>863</v>
      </c>
      <c r="AJ177" s="23" t="s">
        <v>864</v>
      </c>
      <c r="AK177" s="220" t="str">
        <f>IF(AND(AD177="",AE177="",AF177="",AG177="",AH177="",AI177="",AJ177=""),"",IF(OR(Tabla1[[#This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EVALUACIÓN",IF(AND(O177="",R177=""),"",IF(AND(OR(O177&gt;0,R177&gt;0),NG177&gt;=0,NG177&lt;2),"SIN RIESGO",IF(AND(OR(O177&gt;0,R177&gt;0),NG177&gt;=2),"CON RIESGO","ASD")))))</f>
        <v>SIN RIESGO</v>
      </c>
      <c r="AL177" s="23" t="s">
        <v>854</v>
      </c>
      <c r="AM177" s="26" t="s">
        <v>864</v>
      </c>
      <c r="AN177" s="26" t="s">
        <v>864</v>
      </c>
      <c r="AO177" s="26" t="s">
        <v>864</v>
      </c>
      <c r="AP177" s="26" t="s">
        <v>864</v>
      </c>
      <c r="AQ177" s="26" t="s">
        <v>854</v>
      </c>
      <c r="AR177" s="26" t="s">
        <v>854</v>
      </c>
      <c r="AS177" s="21">
        <v>6</v>
      </c>
      <c r="AT177" s="21">
        <v>6</v>
      </c>
      <c r="AU177" s="21">
        <v>0</v>
      </c>
      <c r="AV177" s="26" t="s">
        <v>864</v>
      </c>
      <c r="AW177" s="21">
        <v>1</v>
      </c>
      <c r="AX177" s="26" t="s">
        <v>864</v>
      </c>
      <c r="AY177" s="26" t="s">
        <v>864</v>
      </c>
      <c r="AZ177" s="26" t="s">
        <v>864</v>
      </c>
      <c r="BA177" s="26" t="s">
        <v>864</v>
      </c>
      <c r="BB177" s="26" t="s">
        <v>864</v>
      </c>
      <c r="BC177" s="26" t="s">
        <v>864</v>
      </c>
      <c r="BD177" s="26" t="s">
        <v>864</v>
      </c>
      <c r="BE177" s="26" t="s">
        <v>864</v>
      </c>
      <c r="BF177" s="26" t="s">
        <v>864</v>
      </c>
      <c r="BG177" s="26" t="s">
        <v>864</v>
      </c>
      <c r="BH177" s="26" t="s">
        <v>864</v>
      </c>
      <c r="BI177" s="26" t="s">
        <v>864</v>
      </c>
      <c r="BJ177" s="26" t="s">
        <v>864</v>
      </c>
      <c r="BK177" s="26" t="s">
        <v>864</v>
      </c>
      <c r="BL177" s="26" t="s">
        <v>864</v>
      </c>
      <c r="BM177" s="26" t="s">
        <v>864</v>
      </c>
      <c r="BN177" s="22">
        <v>42496</v>
      </c>
      <c r="BO177" s="22">
        <v>44967</v>
      </c>
      <c r="BP177" s="21" t="s">
        <v>1380</v>
      </c>
      <c r="BQ177" s="222">
        <f t="shared" si="602"/>
        <v>83.15</v>
      </c>
      <c r="BR177" s="223">
        <f t="shared" si="603"/>
        <v>44990.5</v>
      </c>
      <c r="BS177" s="224">
        <f t="shared" si="604"/>
        <v>10.642857142857142</v>
      </c>
      <c r="BT177" s="216" t="str">
        <f t="shared" si="605"/>
        <v>II TRIM</v>
      </c>
      <c r="BU177" s="214">
        <f t="shared" ca="1" si="606"/>
        <v>34.5</v>
      </c>
      <c r="BV177" s="25" t="s">
        <v>1525</v>
      </c>
      <c r="BW177" s="22">
        <v>45071</v>
      </c>
      <c r="BX177" s="28">
        <v>11.5</v>
      </c>
      <c r="BY177" s="28" t="s">
        <v>989</v>
      </c>
      <c r="BZ177" s="22">
        <v>45078</v>
      </c>
      <c r="CA177" s="21">
        <v>12.3</v>
      </c>
      <c r="CB177" s="26"/>
      <c r="CC177" s="26"/>
      <c r="CD177" s="26"/>
      <c r="CE177" s="26"/>
      <c r="CF177" s="22" t="s">
        <v>1517</v>
      </c>
      <c r="CG177" s="21">
        <v>1.47</v>
      </c>
      <c r="CH177" s="21">
        <v>63</v>
      </c>
      <c r="CI177" s="214">
        <f t="shared" si="607"/>
        <v>29.154518950437321</v>
      </c>
      <c r="CJ177" s="225" t="e">
        <f>IF(AND(CI177&lt;10,CH177="SD"),"SIN DATO PESO PREGESTACION O I TRIM",IF(AND(OR(R177&gt;0,O177&gt;0),CI177="X"),"INGRESAR DATO DE PESO",IF(CI177="SD","INGRESAR DATO DE TALLA Y PESO",IF(AND(OR(Tabla1[[#This Row],[MOMENTO EN QUE SE REALIZA EL PESO AL INGRESO A CPN]]="PREGESTACIÓN",NZ177="Menor"),CI177&lt;18.5),"BAJO PESO",IF(AND(OR(Tabla1[[#This Row],[MOMENTO EN QUE SE REALIZA EL PESO AL INGRESO A CPN]]="PREGESTACIÓN",NZ177="Menor"),CI177&lt;25),"NORMAL",IF(AND(OR(Tabla1[[#This Row],[MOMENTO EN QUE SE REALIZA EL PESO AL INGRESO A CPN]]="PREGESTACIÓN",NZ177="Menor"),CI177&lt;30),"SOBREPESO",IF(AND(OR(Tabla1[[#This Row],[MOMENTO EN QUE SE REALIZA EL PESO AL INGRESO A CPN]]="PREGESTACIÓN",NZ177="Menor"),CI177&gt;=30,CI177&lt;50),"OBESIDAD",IF(AND(BS177&gt;0,Tabla1[[#This Row],[MOMENTO EN QUE SE REALIZA EL PESO AL INGRESO A CPN]]="GESTACIÓN"),HLOOKUP(NZ177,$OA$2:PH177,NY177),""))))))))</f>
        <v>#REF!</v>
      </c>
      <c r="CK177" s="212">
        <f t="shared" si="608"/>
        <v>45112</v>
      </c>
      <c r="CL177" s="21">
        <v>63.6</v>
      </c>
      <c r="CM177" s="214">
        <f t="shared" si="609"/>
        <v>29.43218103567958</v>
      </c>
      <c r="CN177" s="216">
        <f t="shared" si="610"/>
        <v>17</v>
      </c>
      <c r="CO177" s="216" t="e">
        <f>IF(PI177="","",IF(PI177&gt;0,HLOOKUP(PI177,$PJ$2:QQ177,NY177),""))</f>
        <v>#REF!</v>
      </c>
      <c r="CP177" s="21"/>
      <c r="CQ177" s="216" t="e">
        <f>IF(QR177="Menor","NO APLICA-MENOR 13 SEM",IF(AND(CC177="SI",CN177&gt;23),"NO APLICA- GEMELAR",IF(QR177="","",IF(QR177&gt;0,HLOOKUP(QR177,$QS$2:RU177,NY177),""))))</f>
        <v>#REF!</v>
      </c>
      <c r="CR177" s="21">
        <v>110</v>
      </c>
      <c r="CS177" s="21">
        <v>60</v>
      </c>
      <c r="CT177" s="217" t="str">
        <f>IF(R177="","",IF(AND(BS177&gt;1,BS177&lt;12,Tabla1[[#This Row],[T.A. SISTOLICA - ANTES DE SEMANA 12]]="",Tabla1[[#This Row],[T.A. DIASTOLICA - ANTES DE SEMANA 12]]=""),"REGISTRE DATO TA ANTES SEMANA 12",IF(AND(BS177&gt;11,BS177&lt;43,Tabla1[[#This Row],[T.A. SISTOLICA - ANTES DE SEMANA 12]]="",Tabla1[[#This Row],[T.A. DIASTOLICA - ANTES DE SEMANA 12]]=""),"NO APLICA REGISTRO TA-INGRESO TARDIO",IF(AND(OR(O177&gt;0,R177&gt;0),OR(CR177&gt;=140,CS177&gt;=90)),"DEFINIR ESTADIO HTA",IF(AND(OR(O177&gt;0,R177&gt;0),AND(CR177&gt;120,CR177&lt;=139)),"PRE HTA SEGUIMIENTO",IF(AND(OR(O177&gt;0,R177&gt;0),AND(CS177&gt;80,CS177&lt;=89)),"PRE HTA SEGUIMIENTO",IF(AND(OR(O177&gt;0,R177&gt;0),AND(CR177&gt;=80,CR177&lt;=120)),"APARENTEMENTE NORMAL",IF(AND(OR(O177&gt;0,R177&gt;0),AND(CS177&gt;=50,CS177&lt;=80)),"APARENTEMENTE NORMAL",IF(AND(OR(O177&gt;0,R177&gt;0),AND(CR177&gt;1,CR177&lt;=70),AND(CS177&gt;1,CS177&lt;=40)),"HIPOTENSIÓN","")))))))))</f>
        <v>APARENTEMENTE NORMAL</v>
      </c>
      <c r="CU177" s="21"/>
      <c r="CV177" s="21"/>
      <c r="CW177" s="217" t="str">
        <f ca="1">IF(R177="","",IF(AND(CN177&gt;19,CN177&lt;27,Tabla1[[#This Row],[T.A. SISTOLICA (Entre semana 20 y 26)]]="",Tabla1[[#This Row],[T.A. DIATOLICA (Entre semana 20 y 26)]]=""),"ACUDE A CONTROL SEM 20 A 26 REGISTRE TA AHORA",IF(AND(BS177&gt;1,BS177&lt;27,BU177&gt;19,Tabla1[[#This Row],[T.A. SISTOLICA (Entre semana 20 y 26)]]="",Tabla1[[#This Row],[T.A. DIATOLICA (Entre semana 20 y 26)]]=""),"COMPLETE REGISTRO TA CONTROL SEM 20 A26 ",IF(AND(BS177&gt;26,BS177&lt;43,Tabla1[[#This Row],[T.A. SISTOLICA (Entre semana 20 y 26)]]="",Tabla1[[#This Row],[T.A. DIATOLICA (Entre semana 20 y 26)]]=""),"NO APLICA REGISTRO TA-INGRESO TARDIO",IF(AND(OR(O177&gt;0,R177&gt;0),OR(CU177&gt;=140,CV177&gt;=90)),"ALTO RIESGO PREECLAMPSIA,DEFINIR ESTADIO HTA",IF(AND(OR(O177&gt;0,R177&gt;0),AND(CU177&gt;120,CU177&lt;=139)),"PRE HTA SEGUIMIENTO,RIESGO HIPERTENSION INDUCIDA POR EL EMBARAZO",IF(AND(OR(O177&gt;0,R177&gt;0),AND(CV177&gt;80,CV177&lt;=89)),"PRE HTA SEGUIMIENTO, RIESGO HIPERTENSION INDUCIDA POR EL EMBARAZO",IF(AND(OR(O177&lt;&gt;"",R177&lt;&gt;""),CS177&lt;&gt;"",CV177&lt;&gt;"",CS177&lt;=CV177),"VIGILAR CIFRAS PRESION ARTERIAL",IF(AND(OR(O177&gt;0,R177&gt;0),AND(CU177&gt;120,CU177&lt;=139)),"PRE HTA SEGUIMIENTO",IF(AND(OR(O177&gt;0,R177&gt;0),AND(CU177&gt;1,CU177&lt;=70),AND(CV177&gt;1,CV177&lt;=40)),"HIPOTENSIÓN",IF(AND(OR(O177&lt;&gt;"",R177&lt;&gt;""),CS177&lt;&gt;"",CV177&lt;&gt;"",CS177&gt;CV177),"APARENTEMENTE NORMAL",IF(AND(OR(O177&gt;0,R177&gt;0),AND(CU177&gt;=80,CU177&lt;=120)),"APARENTEMENTE NORMAL",IF(AND(OR(O177&gt;0,R177&gt;0),AND(CV177&gt;=50,CV177&lt;=80)),"APARENTEMENTE NORMAL","")))))))))))))</f>
        <v xml:space="preserve">COMPLETE REGISTRO TA CONTROL SEM 20 A26 </v>
      </c>
      <c r="CX177" s="21"/>
      <c r="CY177" s="21"/>
      <c r="CZ177" s="216" t="str">
        <f t="shared" si="729"/>
        <v/>
      </c>
      <c r="DA177" s="21">
        <v>110</v>
      </c>
      <c r="DB177" s="21">
        <v>60</v>
      </c>
      <c r="DC177" s="217" t="str">
        <f t="shared" si="611"/>
        <v>APARENTEMENTE NORMAL</v>
      </c>
      <c r="DD177" s="22">
        <v>45065</v>
      </c>
      <c r="DE177" s="22">
        <v>45065</v>
      </c>
      <c r="DF177" s="22">
        <v>45112</v>
      </c>
      <c r="DG177" s="22"/>
      <c r="DH177" s="22"/>
      <c r="DI177" s="22"/>
      <c r="DJ177" s="22"/>
      <c r="DK177" s="22"/>
      <c r="DL177" s="22"/>
      <c r="DM177" s="22"/>
      <c r="DN177" s="22"/>
      <c r="DO177" s="22"/>
      <c r="DP177" s="22"/>
      <c r="DQ177" s="22"/>
      <c r="DR177" s="28">
        <v>0</v>
      </c>
      <c r="DS177" s="22"/>
      <c r="DT177" s="22"/>
      <c r="DU177" s="216" t="str">
        <f t="shared" ca="1" si="676"/>
        <v>PLANEAR PLAN DE PARTO</v>
      </c>
      <c r="DV177" s="226" t="str">
        <f t="shared" si="677"/>
        <v>ACTIVA INGRESO A CPN</v>
      </c>
      <c r="DW17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77" s="216" t="e">
        <f t="shared" ca="1" si="612"/>
        <v>#REF!</v>
      </c>
      <c r="DY177" s="212">
        <f>IF(R177="","",IF(R177&gt;0,MAX(Tabla1[[#This Row],[FECHA C2]:[FECHA C13]],Tabla1[[#This Row],[FECHA CONSULTA PRIMERA VEZ PROGRAMA CPN ]])))</f>
        <v>45112</v>
      </c>
      <c r="DZ177" s="216">
        <f t="shared" si="613"/>
        <v>17</v>
      </c>
      <c r="EA177" s="222">
        <f>IF(R177&gt;0,SUM(COUNTA(DF177:DQ177)+COUNTA(Tabla1[[#This Row],[FECHA CONSULTA PRIMERA VEZ PROGRAMA CPN ]])),"")</f>
        <v>2</v>
      </c>
      <c r="EB177" s="222" t="str">
        <f t="shared" si="614"/>
        <v>NO</v>
      </c>
      <c r="EC177" s="214">
        <f t="shared" si="615"/>
        <v>9</v>
      </c>
      <c r="ED177" s="227">
        <f t="shared" si="616"/>
        <v>0.22222222222222221</v>
      </c>
      <c r="EE177" s="22">
        <v>45065</v>
      </c>
      <c r="EF177" s="22">
        <v>45072</v>
      </c>
      <c r="EG177" s="22">
        <v>45065</v>
      </c>
      <c r="EH177" s="22">
        <v>45079</v>
      </c>
      <c r="EI177" s="22">
        <v>45065</v>
      </c>
      <c r="EJ177" s="22"/>
      <c r="EK177" s="22"/>
      <c r="EL177" s="21"/>
      <c r="EM177" s="21">
        <v>15</v>
      </c>
      <c r="EN177" s="22">
        <v>45072</v>
      </c>
      <c r="EO177" s="222">
        <f t="shared" si="617"/>
        <v>11.642857142857142</v>
      </c>
      <c r="EP177" s="214" t="str">
        <f t="shared" si="618"/>
        <v>NO DAR SULFATO FERROSO</v>
      </c>
      <c r="EQ177" s="216" t="str">
        <f t="shared" si="619"/>
        <v>I TRIM</v>
      </c>
      <c r="ER177" s="24"/>
      <c r="ES177" s="22"/>
      <c r="ET177" s="29" t="str">
        <f t="shared" ca="1" si="678"/>
        <v>TOMA DE HEMOGLOBINA TARDÍA</v>
      </c>
      <c r="EU177" s="25" t="str">
        <f t="shared" si="620"/>
        <v/>
      </c>
      <c r="EV177" s="24" t="s">
        <v>1510</v>
      </c>
      <c r="EW177" s="32">
        <v>45072</v>
      </c>
      <c r="EX177" s="22"/>
      <c r="EY177" s="29">
        <f t="shared" si="693"/>
        <v>11.642857142857142</v>
      </c>
      <c r="EZ177" s="25" t="str">
        <f t="shared" si="694"/>
        <v>SIN RIESGO DE ISOINMUNIZACIÓN</v>
      </c>
      <c r="FA177" s="21">
        <v>66</v>
      </c>
      <c r="FB177" s="22">
        <v>45062</v>
      </c>
      <c r="FC177" s="29">
        <f t="shared" si="621"/>
        <v>10.214285714285714</v>
      </c>
      <c r="FD177" s="29"/>
      <c r="FE177" s="29"/>
      <c r="FF177" s="29"/>
      <c r="FG177" s="21" t="str">
        <f t="shared" ca="1" si="622"/>
        <v>TOMAR PTOG</v>
      </c>
      <c r="FH177" s="31"/>
      <c r="FI177" s="29" t="str">
        <f t="shared" si="623"/>
        <v>TOMAR EXAMEN</v>
      </c>
      <c r="FJ177" s="22" t="s">
        <v>867</v>
      </c>
      <c r="FK177" s="32">
        <v>45072</v>
      </c>
      <c r="FL177" s="29">
        <f t="shared" ca="1" si="624"/>
        <v>11.642857142857142</v>
      </c>
      <c r="FM177" s="22"/>
      <c r="FN177" s="32"/>
      <c r="FO177" s="29" t="str">
        <f t="shared" ca="1" si="679"/>
        <v>PIERDE TOMA DE TAMIZAJE</v>
      </c>
      <c r="FP177" s="22"/>
      <c r="FQ177" s="32"/>
      <c r="FR177" s="29" t="str">
        <f t="shared" ca="1" si="680"/>
        <v>EN RANGO PARA TOMAR EXAMEN</v>
      </c>
      <c r="FS177" s="22"/>
      <c r="FT177" s="32"/>
      <c r="FU177" s="29" t="str">
        <f>IF(AND(FJ177="",FM177="",FP177="",FS177=""),"",IF(OR(OR(Tabla1[[#This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77" s="28"/>
      <c r="FW177" s="22"/>
      <c r="FX177" s="29" t="str">
        <f t="shared" si="625"/>
        <v>TOMAR EXAMEN</v>
      </c>
      <c r="FY177" s="22" t="s">
        <v>868</v>
      </c>
      <c r="FZ177" s="22">
        <v>45072</v>
      </c>
      <c r="GA177" s="29">
        <f t="shared" ca="1" si="692"/>
        <v>11.642857142857142</v>
      </c>
      <c r="GB177" s="22"/>
      <c r="GC177" s="22"/>
      <c r="GD177" s="29" t="str">
        <f t="shared" ca="1" si="732"/>
        <v>PIERDE TOMA DE TAMIZAJE</v>
      </c>
      <c r="GE177" s="22"/>
      <c r="GF177" s="22"/>
      <c r="GG177" s="29" t="str">
        <f t="shared" ca="1" si="682"/>
        <v>EN RANGO PARA TOMAR EXAMEN</v>
      </c>
      <c r="GH177" s="22"/>
      <c r="GI177" s="29"/>
      <c r="GJ177" s="22"/>
      <c r="GK177" s="22"/>
      <c r="GL177" s="22"/>
      <c r="GM177" s="22"/>
      <c r="GN177" s="28" t="s">
        <v>869</v>
      </c>
      <c r="GO177" s="22">
        <v>45072</v>
      </c>
      <c r="GP177" s="29">
        <f t="shared" si="626"/>
        <v>11.642857142857142</v>
      </c>
      <c r="GQ177" s="28" t="s">
        <v>869</v>
      </c>
      <c r="GR177" s="28" t="s">
        <v>869</v>
      </c>
      <c r="GS177" s="22" t="str">
        <f t="shared" si="728"/>
        <v>CONTROL Igm</v>
      </c>
      <c r="GT177" s="22">
        <v>45072</v>
      </c>
      <c r="GU177" s="29">
        <f t="shared" si="628"/>
        <v>15</v>
      </c>
      <c r="GV177" s="21" t="str">
        <f t="shared" si="629"/>
        <v>II TRIM</v>
      </c>
      <c r="GW177" s="28"/>
      <c r="GX177" s="30"/>
      <c r="GY177" s="21"/>
      <c r="GZ177" s="21"/>
      <c r="HA177" s="21"/>
      <c r="HB177" s="21"/>
      <c r="HC177" s="21"/>
      <c r="HD177" s="21"/>
      <c r="HE177" s="21"/>
      <c r="HF177" s="22"/>
      <c r="HG177" s="22" t="str">
        <f>IF(OR(O177&gt;0,R177&gt;0),CONCATENATE(IF(Tabla1[[#This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77" s="22" t="e">
        <f t="shared" si="630"/>
        <v>#REF!</v>
      </c>
      <c r="HI177" s="22" t="str">
        <f t="shared" si="631"/>
        <v>ALTO RIESGO</v>
      </c>
      <c r="HJ177" s="21" t="str">
        <f t="shared" ca="1" si="632"/>
        <v>*ANTECEDENTE PREECLAMPSIA***ANTECEDENTE TRABAJO DE PARTO PROLONGADO*****************MULTIPARIDAD***RIESGO POR EDAD*CESAREAS PREVIAS**************</v>
      </c>
      <c r="HK177" s="21" t="str">
        <f t="shared" si="633"/>
        <v>RIESGO ALTO DE COMPLICACIONES HIPERTENSIVAS VER MANEJO GUIA SUMINISTRO ASA Y CALCIO</v>
      </c>
      <c r="HL177" s="24" t="str">
        <f t="shared" si="634"/>
        <v>APARENTEMENTE NORMAL</v>
      </c>
      <c r="HM177" s="21" t="e">
        <f t="shared" ca="1" si="635"/>
        <v>#REF!</v>
      </c>
      <c r="HN177" s="30" t="str">
        <f t="shared" si="683"/>
        <v>ACTIVA INGRESO A CPN</v>
      </c>
      <c r="HO177" s="21"/>
      <c r="HP177" s="21"/>
      <c r="HQ177" s="349">
        <v>45065</v>
      </c>
      <c r="HR177" s="21" t="str">
        <f>IF(R177="","",IF(Tabla1[[#This Row],[ALARMA FACTORES DE RIESGO COMPLICACIONES HIPERTENSIVAS3]]="SIN ANTECEDENTES DE RIESGO","No Aplica para suministro de ASA",IF(AND(Tabla1[[#This Row],[FECHA INICIO DE SUMINISTRO DE ASA]]&gt;0,RV177&lt;12),"Inicia ASA ANTES de Sem 12",IF(AND(RV177&gt;11,RV177&lt;17,OR(HK177="RIESGO ALTO DE COMPLICACIONES HIPERTENSIVAS VER MANEJO GUIA SUMINISTRO ASA Y CALCIO",HK177="RIESGO MODERADO (2 O MAS CRITERIOS) VER MANEJO GUIA SUMINISTRO ASA Y CALCIO")),"Inicio oportuno de ASA",IF(AND(RV177&gt;12,OR(HK177="RIESGO ALTO DE COMPLICACIONES HIPERTENSIVAS VER MANEJO GUIA SUMINISTRO ASA Y CALCIO",HK177="RIESGO MODERADO (2 O MAS CRITERIOS) VER MANEJO GUIA SUMINISTRO ASA Y CALCIO")),"Inicio no oportuno mayor a 16 semanas",IF(AND(BU177&lt;12,OR(HK177="RIESGO ALTO DE COMPLICACIONES HIPERTENSIVAS VER MANEJO GUIA SUMINISTRO ASA Y CALCIO",HK177="RIESGO MODERADO (2 O MAS CRITERIOS) VER MANEJO GUIA SUMINISTRO ASA Y CALCIO")),"Pendiente Inicio de ASA a la semana 12",IF(AND(BU177&gt;11,BU177&lt;17,OR(HK177="RIESGO ALTO DE COMPLICACIONES HIPERTENSIVAS VER MANEJO GUIA SUMINISTRO ASA Y CALCIO",HK177="RIESGO MODERADO (2 O MAS CRITERIOS) VER MANEJO GUIA SUMINISTRO ASA Y CALCIO")),"Iniciar de inmediato ASA",IF(AND(BU177&gt;16,OR(HK177="RIESGO ALTO DE COMPLICACIONES HIPERTENSIVAS VER MANEJO GUIA SUMINISTRO ASA Y CALCIO",HK177="RIESGO MODERADO (2 O MAS CRITERIOS) VER MANEJO GUIA SUMINISTRO ASA Y CALCIO")),"Pierde Oportunidad, Inicio tardío de ASA","XXXXX"))))))))</f>
        <v>Inicia ASA ANTES de Sem 12</v>
      </c>
      <c r="HS177" s="22">
        <v>45065</v>
      </c>
      <c r="HT177" s="22" t="s">
        <v>870</v>
      </c>
      <c r="HU177" s="22">
        <v>45065</v>
      </c>
      <c r="HV177" s="22" t="s">
        <v>870</v>
      </c>
      <c r="HW177" s="22">
        <v>45065</v>
      </c>
      <c r="HX177" s="22" t="s">
        <v>870</v>
      </c>
      <c r="HY177" s="22">
        <v>45065</v>
      </c>
      <c r="HZ177" s="28">
        <f t="shared" si="636"/>
        <v>10.642857142857142</v>
      </c>
      <c r="IA177" s="26"/>
      <c r="IB177" s="26"/>
      <c r="IC177" s="111"/>
      <c r="ID177" s="22"/>
      <c r="IE177" s="22" t="str">
        <f t="shared" ca="1" si="637"/>
        <v>INASISTENTE</v>
      </c>
      <c r="IF177" s="22"/>
      <c r="IG177" s="22">
        <f t="shared" si="638"/>
        <v>45270.5</v>
      </c>
      <c r="IH177" s="29">
        <f t="shared" ca="1" si="639"/>
        <v>38.5</v>
      </c>
      <c r="II177" s="22" t="str">
        <f t="shared" ca="1" si="640"/>
        <v>PENDIENTE</v>
      </c>
      <c r="IJ177" s="22"/>
      <c r="IK177" s="21"/>
      <c r="IL177" s="21"/>
      <c r="IM177" s="34"/>
      <c r="IN177" s="22"/>
      <c r="IO177" s="21"/>
      <c r="IP177" s="29" t="str">
        <f t="shared" si="730"/>
        <v/>
      </c>
      <c r="IQ177" s="35"/>
      <c r="IR177" s="21"/>
      <c r="IS177" s="21"/>
      <c r="IT177" s="21"/>
      <c r="IU177" s="21"/>
      <c r="IV177" s="21"/>
      <c r="IW177" s="21"/>
      <c r="IX177" s="21"/>
      <c r="IY177" s="21"/>
      <c r="IZ177" s="21"/>
      <c r="JA177" s="21"/>
      <c r="JB177" s="30"/>
      <c r="JC177" s="21"/>
      <c r="JD177" s="36"/>
      <c r="JE177" s="21" t="str">
        <f t="shared" si="733"/>
        <v/>
      </c>
      <c r="JF177" s="30"/>
      <c r="JG177" s="21"/>
      <c r="JH177" s="21"/>
      <c r="JI177" s="21"/>
      <c r="JJ177" s="30"/>
      <c r="JK177" s="22"/>
      <c r="JL177" s="22"/>
      <c r="JM177" s="21"/>
      <c r="JN177" s="36"/>
      <c r="JO177" s="21" t="str">
        <f t="shared" si="734"/>
        <v/>
      </c>
      <c r="JP177" s="22"/>
      <c r="JQ177" s="21"/>
      <c r="JR177" s="21"/>
      <c r="JS177" s="21"/>
      <c r="JT177" s="30"/>
      <c r="JU177" s="22"/>
      <c r="JV177" s="22"/>
      <c r="JW177" s="33"/>
      <c r="JX177" s="28" t="str">
        <f t="shared" si="735"/>
        <v/>
      </c>
      <c r="JY177" s="33"/>
      <c r="JZ177" s="28" t="str">
        <f t="shared" si="736"/>
        <v/>
      </c>
      <c r="KA177" s="21"/>
      <c r="KB177" s="21"/>
      <c r="KC177" s="21"/>
      <c r="KD177" s="37"/>
      <c r="KE177" s="28"/>
      <c r="KF177" s="28"/>
      <c r="KG177" s="28"/>
      <c r="KH177" s="39"/>
      <c r="KI177" s="39"/>
      <c r="KJ177" s="66"/>
      <c r="KK177" s="39"/>
      <c r="KL177" s="39"/>
      <c r="KM177" s="66"/>
      <c r="KN177" s="39"/>
      <c r="KO177" s="39"/>
      <c r="KP177" s="39"/>
      <c r="KQ177" s="39"/>
      <c r="KR177" s="39"/>
      <c r="KS177" s="39"/>
      <c r="KT177" s="39"/>
      <c r="KU177" s="38"/>
      <c r="KV177" s="38"/>
      <c r="KW177" s="38"/>
      <c r="KX177" s="38"/>
      <c r="KY177" s="38"/>
      <c r="KZ177" s="38"/>
      <c r="LA177" s="38"/>
      <c r="LB177" s="38"/>
      <c r="LC177" s="38"/>
      <c r="LD177" s="38"/>
      <c r="LE177" s="38"/>
      <c r="LF177" s="38"/>
      <c r="LG177" s="38"/>
      <c r="LH177" s="38"/>
      <c r="LI177" s="38"/>
      <c r="LJ177" s="38"/>
      <c r="LK177" s="38"/>
      <c r="LL177" s="38"/>
      <c r="LM177" s="38"/>
      <c r="LN177" s="38"/>
      <c r="LO177" s="38"/>
      <c r="LP177" s="38"/>
      <c r="LQ177" s="38"/>
      <c r="LR177" s="38"/>
      <c r="LS177" s="38"/>
      <c r="LT177" s="38"/>
      <c r="LU177" s="38"/>
      <c r="LV177" s="38"/>
      <c r="LW177" s="38"/>
      <c r="LX177" s="38"/>
      <c r="LY177" s="38"/>
      <c r="LZ177" s="38"/>
      <c r="MA177" s="38"/>
      <c r="MB177" s="38"/>
      <c r="MC177" s="38"/>
      <c r="MD177" s="38"/>
      <c r="ME177" s="38"/>
      <c r="MF177" s="38"/>
      <c r="MG177" s="38"/>
      <c r="MH177" s="43">
        <f t="shared" si="697"/>
        <v>0</v>
      </c>
      <c r="MI177" s="43" t="str">
        <f t="shared" si="698"/>
        <v/>
      </c>
      <c r="MJ177" s="43" t="str">
        <f t="shared" si="699"/>
        <v/>
      </c>
      <c r="MK177" s="43">
        <f t="shared" si="700"/>
        <v>0</v>
      </c>
      <c r="ML17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77" s="43">
        <f t="shared" si="701"/>
        <v>10.642857142857142</v>
      </c>
      <c r="MN177" s="43">
        <f t="shared" si="702"/>
        <v>5</v>
      </c>
      <c r="MO177" s="43">
        <f t="shared" si="703"/>
        <v>2023</v>
      </c>
      <c r="MP177" s="43" t="str">
        <f t="shared" si="704"/>
        <v>II TRIMESTRE AÑO</v>
      </c>
      <c r="MQ177" s="43">
        <f t="shared" si="705"/>
        <v>40.431997371879106</v>
      </c>
      <c r="MR177" s="43">
        <f t="shared" si="706"/>
        <v>2</v>
      </c>
      <c r="MS177" s="43" t="str">
        <f t="shared" si="707"/>
        <v xml:space="preserve"> DE 40 Y MAS</v>
      </c>
      <c r="MT177" s="43">
        <f t="shared" si="708"/>
        <v>0</v>
      </c>
      <c r="MU177" s="43">
        <f t="shared" si="709"/>
        <v>2</v>
      </c>
      <c r="MV177" s="43">
        <f t="shared" si="710"/>
        <v>1</v>
      </c>
      <c r="MW177" s="43">
        <f t="shared" si="711"/>
        <v>0</v>
      </c>
      <c r="MX177" s="43" t="str">
        <f t="shared" si="712"/>
        <v/>
      </c>
      <c r="MY177" s="43" t="str">
        <f t="shared" ca="1" si="737"/>
        <v/>
      </c>
      <c r="MZ177" s="43" t="str">
        <f t="shared" si="713"/>
        <v/>
      </c>
      <c r="NA177" s="43" t="str">
        <f t="shared" si="714"/>
        <v/>
      </c>
      <c r="NB177" s="43" t="str">
        <f t="shared" si="715"/>
        <v/>
      </c>
      <c r="NC177" s="43" t="str">
        <f t="shared" si="716"/>
        <v/>
      </c>
      <c r="ND177" s="43">
        <f t="shared" ca="1" si="717"/>
        <v>8</v>
      </c>
      <c r="NE177" s="43">
        <f>IF(OR(O177&gt;0,R177&gt;0),SUM(COUNTIF(Tabla1[[#This Row],[AÑOS AL INICIO5 CPN]],"&gt;=40"),COUNTIF(AS177,"0"),COUNTIF(AR177,"SI"),COUNTIF(CC177,"SI"),COUNTIF(BQ177,"&gt;119"),COUNTIF(CI177,"&gt;=35")),"")</f>
        <v>2</v>
      </c>
      <c r="NF177" s="43" t="str">
        <f t="shared" si="718"/>
        <v/>
      </c>
      <c r="NG177" s="43">
        <f t="shared" si="719"/>
        <v>0</v>
      </c>
      <c r="NH177" s="43">
        <f t="shared" si="720"/>
        <v>80.5</v>
      </c>
      <c r="NI17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CPN",P177="NO"),"Z",IF(AND(Tabla1[[#This Row],[CITA PROXIMO CONTROL]]="CITA MANUAL",Tabla1[[#This Row],[GESTANTES ACTUALES]]="ACTIVA INGRESO A CPN"),"W",IF(AND(Tabla1[[#This Row],[GESTANTES ACTUALES]]="SALIO PROGRAMA",IN177=""),"S",IF(AND(Tabla1[[#This Row],[CITA PROXIMO CONTROL]]&gt;0,IN177=""),(Tabla1[[#This Row],[CITA PROXIMO CONTROL]]-TODAY()),"SD"))))))))</f>
        <v>#REF!</v>
      </c>
      <c r="NJ177" s="43">
        <f>MONTH(Tabla1[[#This Row],[FECHA DE SALIDA  DEL PROGRAMA]])</f>
        <v>1</v>
      </c>
      <c r="NK177" s="43">
        <f>YEAR(Tabla1[[#This Row],[FECHA DE SALIDA  DEL PROGRAMA]])</f>
        <v>1900</v>
      </c>
      <c r="NL177" s="43" t="str">
        <f t="shared" si="721"/>
        <v>X</v>
      </c>
      <c r="NM177" s="43" t="str">
        <f t="shared" si="695"/>
        <v>NO</v>
      </c>
      <c r="NN177" s="43" t="str">
        <f ca="1">IF(AND(O177&gt;0,R177=""),"NO CPN",IF(AND(O177="",R177=""),"",IF(AND(R177&gt;0,Tabla1[[#This Row],[SEMANAS DE GESTACION ACTUALIZADAS]]&lt;=12),"NO APLICA",IF(AND(FH177&lt;&gt;"",FN177&lt;&gt;""),"SI","NO"))))</f>
        <v>NO</v>
      </c>
      <c r="NO177" s="43" t="str">
        <f ca="1">IF(AND(O177&gt;0,R177=""),"NO CPN",IF(AND(O177="",R177=""),"",IF(AND(R177&gt;0,Tabla1[[#This Row],[SEMANAS DE GESTACION ACTUALIZADAS]]&lt;=27),"NO APLICA",IF(AND(ES177&lt;&gt;"",FQ177&lt;&gt;"",GF177&lt;&gt;""),"SI","NO"))))</f>
        <v>NO</v>
      </c>
      <c r="NP177" s="204" t="str">
        <f t="shared" si="722"/>
        <v>I TRIM</v>
      </c>
      <c r="NQ177" s="21" t="str">
        <f t="shared" si="731"/>
        <v/>
      </c>
      <c r="NR177" s="21">
        <f t="shared" ca="1" si="738"/>
        <v>3</v>
      </c>
      <c r="NS177" s="205">
        <f t="shared" ca="1" si="723"/>
        <v>1</v>
      </c>
      <c r="NT177" s="21">
        <f t="shared" ca="1" si="724"/>
        <v>1</v>
      </c>
      <c r="NU177" s="21" t="str">
        <f t="shared" ca="1" si="725"/>
        <v>INCOMPLETO</v>
      </c>
      <c r="NV177" s="21" t="str">
        <f t="shared" ca="1" si="726"/>
        <v>INCOMPLETO</v>
      </c>
      <c r="NW177" s="206" t="str">
        <f>IF(AND(O177="",R177=""),"",IF(OR(AND(Tabla1[[#This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77" s="207" t="str">
        <f t="shared" ca="1" si="727"/>
        <v>SIN VACUNAR</v>
      </c>
      <c r="NY177" s="43">
        <f>ROW(Tabla1[[#This Row],['# DE TAMIZAJES SIFILIS TOMADOS ]])</f>
        <v>177</v>
      </c>
      <c r="NZ177" s="43">
        <f t="shared" si="502"/>
        <v>10</v>
      </c>
      <c r="OA177" s="43" t="str">
        <f t="shared" si="503"/>
        <v/>
      </c>
      <c r="OB177" s="43" t="str">
        <f t="shared" si="504"/>
        <v>SOBREPESO</v>
      </c>
      <c r="OC177" s="43" t="str">
        <f t="shared" si="505"/>
        <v/>
      </c>
      <c r="OD177" s="43" t="str">
        <f t="shared" si="506"/>
        <v/>
      </c>
      <c r="OE177" s="43" t="str">
        <f t="shared" si="507"/>
        <v/>
      </c>
      <c r="OF177" s="43" t="str">
        <f t="shared" si="508"/>
        <v/>
      </c>
      <c r="OG177" s="43" t="str">
        <f t="shared" si="509"/>
        <v/>
      </c>
      <c r="OH177" s="43" t="str">
        <f t="shared" si="510"/>
        <v/>
      </c>
      <c r="OI177" s="43" t="str">
        <f t="shared" si="511"/>
        <v/>
      </c>
      <c r="OJ177" s="43" t="str">
        <f t="shared" si="512"/>
        <v/>
      </c>
      <c r="OK177" s="43" t="str">
        <f t="shared" si="513"/>
        <v/>
      </c>
      <c r="OL177" s="43" t="str">
        <f t="shared" si="514"/>
        <v/>
      </c>
      <c r="OM177" s="43" t="str">
        <f t="shared" si="515"/>
        <v/>
      </c>
      <c r="ON177" s="43" t="str">
        <f t="shared" si="516"/>
        <v/>
      </c>
      <c r="OO177" s="43" t="str">
        <f t="shared" si="517"/>
        <v/>
      </c>
      <c r="OP177" s="43" t="str">
        <f t="shared" si="518"/>
        <v/>
      </c>
      <c r="OQ177" s="43" t="str">
        <f t="shared" si="519"/>
        <v/>
      </c>
      <c r="OR177" s="43" t="str">
        <f t="shared" si="520"/>
        <v/>
      </c>
      <c r="OS177" s="43" t="str">
        <f t="shared" si="521"/>
        <v/>
      </c>
      <c r="OT177" s="43" t="str">
        <f t="shared" si="522"/>
        <v/>
      </c>
      <c r="OU177" s="43" t="str">
        <f t="shared" si="523"/>
        <v/>
      </c>
      <c r="OV177" s="110" t="str">
        <f t="shared" si="524"/>
        <v/>
      </c>
      <c r="OW177" s="43" t="str">
        <f t="shared" si="525"/>
        <v/>
      </c>
      <c r="OX177" s="43" t="str">
        <f t="shared" si="526"/>
        <v/>
      </c>
      <c r="OY177" s="43" t="str">
        <f t="shared" si="527"/>
        <v/>
      </c>
      <c r="OZ177" s="43" t="str">
        <f t="shared" si="528"/>
        <v/>
      </c>
      <c r="PA177" s="43" t="str">
        <f t="shared" si="529"/>
        <v/>
      </c>
      <c r="PB177" s="43" t="str">
        <f t="shared" si="530"/>
        <v/>
      </c>
      <c r="PC177" s="43" t="str">
        <f t="shared" si="531"/>
        <v/>
      </c>
      <c r="PD177" s="43" t="str">
        <f t="shared" si="532"/>
        <v/>
      </c>
      <c r="PE177" s="43" t="str">
        <f t="shared" si="533"/>
        <v/>
      </c>
      <c r="PF177" s="43" t="str">
        <f t="shared" si="534"/>
        <v/>
      </c>
      <c r="PG177" s="43" t="str">
        <f t="shared" si="535"/>
        <v/>
      </c>
      <c r="PH177" s="43" t="str">
        <f t="shared" si="536"/>
        <v/>
      </c>
      <c r="PI177" s="43">
        <f t="shared" si="537"/>
        <v>17</v>
      </c>
      <c r="PJ177" s="43" t="str">
        <f t="shared" si="538"/>
        <v/>
      </c>
      <c r="PK177" s="43" t="str">
        <f t="shared" si="539"/>
        <v/>
      </c>
      <c r="PL177" s="43" t="str">
        <f t="shared" si="540"/>
        <v/>
      </c>
      <c r="PM177" s="43" t="str">
        <f t="shared" si="541"/>
        <v/>
      </c>
      <c r="PN177" s="43" t="str">
        <f t="shared" si="542"/>
        <v/>
      </c>
      <c r="PO177" s="43" t="str">
        <f t="shared" si="543"/>
        <v/>
      </c>
      <c r="PP177" s="43" t="str">
        <f t="shared" si="544"/>
        <v/>
      </c>
      <c r="PQ177" s="43" t="str">
        <f t="shared" si="545"/>
        <v/>
      </c>
      <c r="PR177" s="43" t="str">
        <f t="shared" si="546"/>
        <v>SOBREPESO</v>
      </c>
      <c r="PS177" s="43" t="str">
        <f t="shared" si="547"/>
        <v/>
      </c>
      <c r="PT177" s="43" t="str">
        <f t="shared" si="548"/>
        <v/>
      </c>
      <c r="PU177" s="43" t="str">
        <f t="shared" si="549"/>
        <v/>
      </c>
      <c r="PV177" s="43" t="str">
        <f t="shared" si="550"/>
        <v/>
      </c>
      <c r="PW177" s="43" t="str">
        <f t="shared" si="551"/>
        <v/>
      </c>
      <c r="PX177" s="43" t="str">
        <f t="shared" si="552"/>
        <v/>
      </c>
      <c r="PY177" s="43" t="str">
        <f t="shared" si="553"/>
        <v/>
      </c>
      <c r="PZ177" s="43" t="str">
        <f t="shared" si="554"/>
        <v/>
      </c>
      <c r="QA177" s="43" t="str">
        <f t="shared" si="555"/>
        <v/>
      </c>
      <c r="QB177" s="43" t="str">
        <f t="shared" si="556"/>
        <v/>
      </c>
      <c r="QC177" s="43" t="str">
        <f t="shared" si="557"/>
        <v/>
      </c>
      <c r="QD177" s="43" t="str">
        <f t="shared" si="558"/>
        <v/>
      </c>
      <c r="QE177" s="43" t="str">
        <f t="shared" si="559"/>
        <v/>
      </c>
      <c r="QF177" s="43" t="str">
        <f t="shared" si="560"/>
        <v/>
      </c>
      <c r="QG177" s="43" t="str">
        <f t="shared" si="561"/>
        <v/>
      </c>
      <c r="QH177" s="43" t="str">
        <f t="shared" si="562"/>
        <v/>
      </c>
      <c r="QI177" s="43" t="str">
        <f t="shared" si="563"/>
        <v/>
      </c>
      <c r="QJ177" s="43" t="str">
        <f t="shared" si="564"/>
        <v/>
      </c>
      <c r="QK177" s="43" t="str">
        <f t="shared" si="565"/>
        <v/>
      </c>
      <c r="QL177" s="43" t="str">
        <f t="shared" si="566"/>
        <v/>
      </c>
      <c r="QM177" s="43" t="str">
        <f t="shared" si="567"/>
        <v/>
      </c>
      <c r="QN177" s="43" t="str">
        <f t="shared" si="568"/>
        <v/>
      </c>
      <c r="QO177" s="43" t="str">
        <f t="shared" si="569"/>
        <v/>
      </c>
      <c r="QP177" s="43" t="str">
        <f t="shared" si="570"/>
        <v/>
      </c>
      <c r="QQ177" s="43" t="str">
        <f t="shared" si="571"/>
        <v/>
      </c>
      <c r="QR177" s="43">
        <f t="shared" si="672"/>
        <v>17</v>
      </c>
      <c r="QS177" s="43"/>
      <c r="QT177" s="21" t="str">
        <f t="shared" si="572"/>
        <v/>
      </c>
      <c r="QU177" s="21" t="str">
        <f t="shared" si="573"/>
        <v/>
      </c>
      <c r="QV177" s="21" t="str">
        <f t="shared" si="574"/>
        <v/>
      </c>
      <c r="QW177" s="21" t="str">
        <f t="shared" si="575"/>
        <v/>
      </c>
      <c r="QX177" s="21" t="str">
        <f t="shared" si="576"/>
        <v/>
      </c>
      <c r="QY177" s="21" t="str">
        <f t="shared" si="577"/>
        <v/>
      </c>
      <c r="QZ177" s="21" t="str">
        <f t="shared" si="578"/>
        <v/>
      </c>
      <c r="RA177" s="21" t="str">
        <f t="shared" si="579"/>
        <v/>
      </c>
      <c r="RB177" s="21" t="str">
        <f t="shared" si="580"/>
        <v/>
      </c>
      <c r="RC177" s="21" t="str">
        <f t="shared" si="581"/>
        <v/>
      </c>
      <c r="RD177" s="21" t="str">
        <f t="shared" si="582"/>
        <v/>
      </c>
      <c r="RE177" s="21" t="str">
        <f t="shared" si="583"/>
        <v/>
      </c>
      <c r="RF177" s="21" t="str">
        <f t="shared" si="584"/>
        <v/>
      </c>
      <c r="RG177" s="21" t="str">
        <f t="shared" si="585"/>
        <v/>
      </c>
      <c r="RH177" s="21" t="str">
        <f t="shared" si="586"/>
        <v/>
      </c>
      <c r="RI177" s="21" t="str">
        <f t="shared" si="587"/>
        <v/>
      </c>
      <c r="RJ177" s="21" t="str">
        <f t="shared" si="588"/>
        <v/>
      </c>
      <c r="RK177" s="21" t="str">
        <f t="shared" si="589"/>
        <v/>
      </c>
      <c r="RL177" s="21" t="str">
        <f t="shared" si="590"/>
        <v/>
      </c>
      <c r="RM177" s="21" t="str">
        <f t="shared" si="591"/>
        <v/>
      </c>
      <c r="RN177" s="21" t="str">
        <f t="shared" si="592"/>
        <v/>
      </c>
      <c r="RO177" s="21" t="str">
        <f t="shared" si="593"/>
        <v/>
      </c>
      <c r="RP177" s="21" t="str">
        <f t="shared" si="594"/>
        <v/>
      </c>
      <c r="RQ177" s="21" t="str">
        <f t="shared" si="595"/>
        <v/>
      </c>
      <c r="RR177" s="21" t="str">
        <f t="shared" si="596"/>
        <v/>
      </c>
      <c r="RS177" s="21" t="str">
        <f t="shared" si="597"/>
        <v/>
      </c>
      <c r="RT177" s="21" t="str">
        <f t="shared" si="598"/>
        <v/>
      </c>
      <c r="RU177" s="21" t="str">
        <f t="shared" si="599"/>
        <v/>
      </c>
      <c r="RV177" s="21">
        <f t="shared" si="600"/>
        <v>10.642857142857142</v>
      </c>
      <c r="RW177" s="284">
        <f>IF(OR(Tabla1[[#This Row],[FUM FORMULA CONFIABLE]]="",Tabla1[[#This Row],[FUM FORMULA CONFIABLE]]="SD"),"",IF(Tabla1[[#This Row],[FUM FORMULA CONFIABLE]]="CORREGIDA",Tabla1[[#This Row],[FUM X ECO 1]],Tabla1[[#This Row],[FUM x AMENORREA]]))</f>
        <v>44990.5</v>
      </c>
      <c r="RX177" s="21">
        <f>IF(AND(Tabla1[[#This Row],[FUM X ECO 1]]="",Tabla1[[#This Row],[FUM x AMENORREA]]=""),"",IF(AND(Tabla1[[#This Row],[FUM X ECO 1]]="",Tabla1[[#This Row],[FUM x AMENORREA]]&lt;&gt;""),"X",SUM(Tabla1[[#This Row],[FUM X ECO 1]]-Tabla1[[#This Row],[FUM x AMENORREA]])))</f>
        <v>23.5</v>
      </c>
      <c r="RY177" s="21">
        <f t="shared" si="673"/>
        <v>1</v>
      </c>
    </row>
    <row r="178" spans="1:493" ht="45" customHeight="1" x14ac:dyDescent="0.25">
      <c r="A178" s="109"/>
      <c r="B178" s="43"/>
      <c r="C178" s="43" t="s">
        <v>845</v>
      </c>
      <c r="D178" s="124"/>
      <c r="E178" s="43" t="s">
        <v>848</v>
      </c>
      <c r="F178" s="43" t="s">
        <v>953</v>
      </c>
      <c r="G178" s="43" t="s">
        <v>1501</v>
      </c>
      <c r="H178" s="43" t="s">
        <v>919</v>
      </c>
      <c r="I178" s="109" t="s">
        <v>851</v>
      </c>
      <c r="J178" s="110" t="s">
        <v>1502</v>
      </c>
      <c r="K178" s="43" t="s">
        <v>852</v>
      </c>
      <c r="L178" s="175"/>
      <c r="M178" s="22">
        <v>36299</v>
      </c>
      <c r="N178" s="213">
        <f t="shared" ca="1" si="601"/>
        <v>24.473972602739725</v>
      </c>
      <c r="O178" s="22">
        <v>45065</v>
      </c>
      <c r="P178" s="214" t="str">
        <f t="shared" si="675"/>
        <v>SI</v>
      </c>
      <c r="Q178" s="26" t="s">
        <v>855</v>
      </c>
      <c r="R178" s="22">
        <v>45065</v>
      </c>
      <c r="S178" s="21" t="s">
        <v>856</v>
      </c>
      <c r="T178" s="24" t="s">
        <v>690</v>
      </c>
      <c r="U178" s="21" t="s">
        <v>857</v>
      </c>
      <c r="V178" s="21" t="s">
        <v>858</v>
      </c>
      <c r="W178" s="21" t="s">
        <v>1503</v>
      </c>
      <c r="X178" s="21"/>
      <c r="Y178" s="21"/>
      <c r="Z178" s="21">
        <v>3122495708</v>
      </c>
      <c r="AA178" s="21" t="s">
        <v>860</v>
      </c>
      <c r="AB178" s="27" t="s">
        <v>861</v>
      </c>
      <c r="AC178" s="26" t="s">
        <v>888</v>
      </c>
      <c r="AD178" s="38" t="s">
        <v>1546</v>
      </c>
      <c r="AE178" s="26" t="s">
        <v>854</v>
      </c>
      <c r="AF178" s="26" t="s">
        <v>854</v>
      </c>
      <c r="AG178" s="23" t="s">
        <v>864</v>
      </c>
      <c r="AH178" s="23" t="s">
        <v>864</v>
      </c>
      <c r="AI178" s="24" t="s">
        <v>863</v>
      </c>
      <c r="AJ178" s="23" t="s">
        <v>864</v>
      </c>
      <c r="AK178" s="220" t="str">
        <f>IF(AND(AD178="",AE178="",AF178="",AG178="",AH178="",AI178="",AJ178=""),"",IF(OR(Tabla1[[#This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EVALUACIÓN",IF(AND(O178="",R178=""),"",IF(AND(OR(O178&gt;0,R178&gt;0),NG178&gt;=0,NG178&lt;2),"SIN RIESGO",IF(AND(OR(O178&gt;0,R178&gt;0),NG178&gt;=2),"CON RIESGO","ASD")))))</f>
        <v>SIN RIESGO</v>
      </c>
      <c r="AL178" s="23" t="s">
        <v>864</v>
      </c>
      <c r="AM178" s="26" t="s">
        <v>864</v>
      </c>
      <c r="AN178" s="26" t="s">
        <v>864</v>
      </c>
      <c r="AO178" s="26" t="s">
        <v>864</v>
      </c>
      <c r="AP178" s="26" t="s">
        <v>864</v>
      </c>
      <c r="AQ178" s="26" t="s">
        <v>864</v>
      </c>
      <c r="AR178" s="26" t="s">
        <v>864</v>
      </c>
      <c r="AS178" s="21">
        <v>2</v>
      </c>
      <c r="AT178" s="21">
        <v>2</v>
      </c>
      <c r="AU178" s="21">
        <v>0</v>
      </c>
      <c r="AV178" s="26" t="s">
        <v>864</v>
      </c>
      <c r="AW178" s="21">
        <v>0</v>
      </c>
      <c r="AX178" s="26" t="s">
        <v>864</v>
      </c>
      <c r="AY178" s="26" t="s">
        <v>864</v>
      </c>
      <c r="AZ178" s="26" t="s">
        <v>864</v>
      </c>
      <c r="BA178" s="26" t="s">
        <v>864</v>
      </c>
      <c r="BB178" s="26" t="s">
        <v>864</v>
      </c>
      <c r="BC178" s="26" t="s">
        <v>864</v>
      </c>
      <c r="BD178" s="26" t="s">
        <v>864</v>
      </c>
      <c r="BE178" s="26" t="s">
        <v>864</v>
      </c>
      <c r="BF178" s="26" t="s">
        <v>864</v>
      </c>
      <c r="BG178" s="26" t="s">
        <v>864</v>
      </c>
      <c r="BH178" s="26" t="s">
        <v>864</v>
      </c>
      <c r="BI178" s="26" t="s">
        <v>864</v>
      </c>
      <c r="BJ178" s="26" t="s">
        <v>864</v>
      </c>
      <c r="BK178" s="26" t="s">
        <v>865</v>
      </c>
      <c r="BL178" s="26" t="s">
        <v>864</v>
      </c>
      <c r="BM178" s="26" t="s">
        <v>864</v>
      </c>
      <c r="BN178" s="22"/>
      <c r="BO178" s="22">
        <v>45006</v>
      </c>
      <c r="BP178" s="21" t="s">
        <v>854</v>
      </c>
      <c r="BQ178" s="222">
        <f t="shared" si="602"/>
        <v>0</v>
      </c>
      <c r="BR178" s="223" t="str">
        <f t="shared" si="603"/>
        <v/>
      </c>
      <c r="BS178" s="224">
        <f t="shared" si="604"/>
        <v>8.4285714285714288</v>
      </c>
      <c r="BT178" s="216" t="str">
        <f t="shared" si="605"/>
        <v>I TRIM</v>
      </c>
      <c r="BU178" s="214">
        <f t="shared" ca="1" si="606"/>
        <v>32.285714285714285</v>
      </c>
      <c r="BV178" s="25"/>
      <c r="BW178" s="22"/>
      <c r="BX178" s="28"/>
      <c r="BY178" s="28"/>
      <c r="BZ178" s="22"/>
      <c r="CA178" s="21"/>
      <c r="CB178" s="26"/>
      <c r="CC178" s="26"/>
      <c r="CD178" s="26"/>
      <c r="CE178" s="26"/>
      <c r="CF178" s="22" t="s">
        <v>1517</v>
      </c>
      <c r="CG178" s="21">
        <v>1.53</v>
      </c>
      <c r="CH178" s="21">
        <v>82</v>
      </c>
      <c r="CI178" s="214">
        <f t="shared" si="607"/>
        <v>35.029262249562137</v>
      </c>
      <c r="CJ178" s="225" t="str">
        <f>IF(AND(CI178&lt;10,CH178="SD"),"SIN DATO PESO PREGESTACION O I TRIM",IF(AND(OR(R178&gt;0,O178&gt;0),CI178="X"),"INGRESAR DATO DE PESO",IF(CI178="SD","INGRESAR DATO DE TALLA Y PESO",IF(AND(OR(Tabla1[[#This Row],[MOMENTO EN QUE SE REALIZA EL PESO AL INGRESO A CPN]]="PREGESTACIÓN",NZ178="Menor"),CI178&lt;18.5),"BAJO PESO",IF(AND(OR(Tabla1[[#This Row],[MOMENTO EN QUE SE REALIZA EL PESO AL INGRESO A CPN]]="PREGESTACIÓN",NZ178="Menor"),CI178&lt;25),"NORMAL",IF(AND(OR(Tabla1[[#This Row],[MOMENTO EN QUE SE REALIZA EL PESO AL INGRESO A CPN]]="PREGESTACIÓN",NZ178="Menor"),CI178&lt;30),"SOBREPESO",IF(AND(OR(Tabla1[[#This Row],[MOMENTO EN QUE SE REALIZA EL PESO AL INGRESO A CPN]]="PREGESTACIÓN",NZ178="Menor"),CI178&gt;=30,CI178&lt;50),"OBESIDAD",IF(AND(BS178&gt;0,Tabla1[[#This Row],[MOMENTO EN QUE SE REALIZA EL PESO AL INGRESO A CPN]]="GESTACIÓN"),HLOOKUP(NZ178,$OA$2:PH178,NY178),""))))))))</f>
        <v>OBESIDAD</v>
      </c>
      <c r="CK178" s="212">
        <f t="shared" si="608"/>
        <v>45065</v>
      </c>
      <c r="CL178" s="21">
        <v>82</v>
      </c>
      <c r="CM178" s="214">
        <f t="shared" si="609"/>
        <v>35.029262249562137</v>
      </c>
      <c r="CN178" s="216">
        <f t="shared" si="610"/>
        <v>8</v>
      </c>
      <c r="CO178" s="216" t="e">
        <f>IF(PI178="","",IF(PI178&gt;0,HLOOKUP(PI178,$PJ$2:QQ178,NY178),""))</f>
        <v>#REF!</v>
      </c>
      <c r="CP178" s="21"/>
      <c r="CQ178" s="216" t="str">
        <f>IF(QR178="Menor","NO APLICA-MENOR 13 SEM",IF(AND(CC178="SI",CN178&gt;23),"NO APLICA- GEMELAR",IF(QR178="","",IF(QR178&gt;0,HLOOKUP(QR178,$QS$2:RU178,NY178),""))))</f>
        <v>NO APLICA-MENOR 13 SEM</v>
      </c>
      <c r="CR178" s="21">
        <v>120</v>
      </c>
      <c r="CS178" s="21">
        <v>60</v>
      </c>
      <c r="CT178" s="217" t="str">
        <f>IF(R178="","",IF(AND(BS178&gt;1,BS178&lt;12,Tabla1[[#This Row],[T.A. SISTOLICA - ANTES DE SEMANA 12]]="",Tabla1[[#This Row],[T.A. DIASTOLICA - ANTES DE SEMANA 12]]=""),"REGISTRE DATO TA ANTES SEMANA 12",IF(AND(BS178&gt;11,BS178&lt;43,Tabla1[[#This Row],[T.A. SISTOLICA - ANTES DE SEMANA 12]]="",Tabla1[[#This Row],[T.A. DIASTOLICA - ANTES DE SEMANA 12]]=""),"NO APLICA REGISTRO TA-INGRESO TARDIO",IF(AND(OR(O178&gt;0,R178&gt;0),OR(CR178&gt;=140,CS178&gt;=90)),"DEFINIR ESTADIO HTA",IF(AND(OR(O178&gt;0,R178&gt;0),AND(CR178&gt;120,CR178&lt;=139)),"PRE HTA SEGUIMIENTO",IF(AND(OR(O178&gt;0,R178&gt;0),AND(CS178&gt;80,CS178&lt;=89)),"PRE HTA SEGUIMIENTO",IF(AND(OR(O178&gt;0,R178&gt;0),AND(CR178&gt;=80,CR178&lt;=120)),"APARENTEMENTE NORMAL",IF(AND(OR(O178&gt;0,R178&gt;0),AND(CS178&gt;=50,CS178&lt;=80)),"APARENTEMENTE NORMAL",IF(AND(OR(O178&gt;0,R178&gt;0),AND(CR178&gt;1,CR178&lt;=70),AND(CS178&gt;1,CS178&lt;=40)),"HIPOTENSIÓN","")))))))))</f>
        <v>APARENTEMENTE NORMAL</v>
      </c>
      <c r="CU178" s="21"/>
      <c r="CV178" s="21"/>
      <c r="CW178" s="217" t="str">
        <f ca="1">IF(R178="","",IF(AND(CN178&gt;19,CN178&lt;27,Tabla1[[#This Row],[T.A. SISTOLICA (Entre semana 20 y 26)]]="",Tabla1[[#This Row],[T.A. DIATOLICA (Entre semana 20 y 26)]]=""),"ACUDE A CONTROL SEM 20 A 26 REGISTRE TA AHORA",IF(AND(BS178&gt;1,BS178&lt;27,BU178&gt;19,Tabla1[[#This Row],[T.A. SISTOLICA (Entre semana 20 y 26)]]="",Tabla1[[#This Row],[T.A. DIATOLICA (Entre semana 20 y 26)]]=""),"COMPLETE REGISTRO TA CONTROL SEM 20 A26 ",IF(AND(BS178&gt;26,BS178&lt;43,Tabla1[[#This Row],[T.A. SISTOLICA (Entre semana 20 y 26)]]="",Tabla1[[#This Row],[T.A. DIATOLICA (Entre semana 20 y 26)]]=""),"NO APLICA REGISTRO TA-INGRESO TARDIO",IF(AND(OR(O178&gt;0,R178&gt;0),OR(CU178&gt;=140,CV178&gt;=90)),"ALTO RIESGO PREECLAMPSIA,DEFINIR ESTADIO HTA",IF(AND(OR(O178&gt;0,R178&gt;0),AND(CU178&gt;120,CU178&lt;=139)),"PRE HTA SEGUIMIENTO,RIESGO HIPERTENSION INDUCIDA POR EL EMBARAZO",IF(AND(OR(O178&gt;0,R178&gt;0),AND(CV178&gt;80,CV178&lt;=89)),"PRE HTA SEGUIMIENTO, RIESGO HIPERTENSION INDUCIDA POR EL EMBARAZO",IF(AND(OR(O178&lt;&gt;"",R178&lt;&gt;""),CS178&lt;&gt;"",CV178&lt;&gt;"",CS178&lt;=CV178),"VIGILAR CIFRAS PRESION ARTERIAL",IF(AND(OR(O178&gt;0,R178&gt;0),AND(CU178&gt;120,CU178&lt;=139)),"PRE HTA SEGUIMIENTO",IF(AND(OR(O178&gt;0,R178&gt;0),AND(CU178&gt;1,CU178&lt;=70),AND(CV178&gt;1,CV178&lt;=40)),"HIPOTENSIÓN",IF(AND(OR(O178&lt;&gt;"",R178&lt;&gt;""),CS178&lt;&gt;"",CV178&lt;&gt;"",CS178&gt;CV178),"APARENTEMENTE NORMAL",IF(AND(OR(O178&gt;0,R178&gt;0),AND(CU178&gt;=80,CU178&lt;=120)),"APARENTEMENTE NORMAL",IF(AND(OR(O178&gt;0,R178&gt;0),AND(CV178&gt;=50,CV178&lt;=80)),"APARENTEMENTE NORMAL","")))))))))))))</f>
        <v xml:space="preserve">COMPLETE REGISTRO TA CONTROL SEM 20 A26 </v>
      </c>
      <c r="CX178" s="21"/>
      <c r="CY178" s="21"/>
      <c r="CZ178" s="216" t="str">
        <f t="shared" si="729"/>
        <v/>
      </c>
      <c r="DA178" s="21">
        <v>120</v>
      </c>
      <c r="DB178" s="21">
        <v>60</v>
      </c>
      <c r="DC178" s="217" t="str">
        <f t="shared" si="611"/>
        <v>APARENTEMENTE NORMAL</v>
      </c>
      <c r="DD178" s="22">
        <v>45065</v>
      </c>
      <c r="DE178" s="22">
        <v>45065</v>
      </c>
      <c r="DF178" s="22"/>
      <c r="DG178" s="22"/>
      <c r="DH178" s="22"/>
      <c r="DI178" s="22"/>
      <c r="DJ178" s="22"/>
      <c r="DK178" s="22"/>
      <c r="DL178" s="22"/>
      <c r="DM178" s="22"/>
      <c r="DN178" s="22"/>
      <c r="DO178" s="22"/>
      <c r="DP178" s="22"/>
      <c r="DQ178" s="22"/>
      <c r="DR178" s="28">
        <v>0</v>
      </c>
      <c r="DS178" s="22"/>
      <c r="DT178" s="22"/>
      <c r="DU178" s="216" t="str">
        <f t="shared" ca="1" si="676"/>
        <v>PLANEAR PLAN DE PARTO</v>
      </c>
      <c r="DV178" s="226" t="str">
        <f t="shared" si="677"/>
        <v>ACTIVA INGRESO A CPN</v>
      </c>
      <c r="DW17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78" s="216" t="e">
        <f t="shared" ca="1" si="612"/>
        <v>#REF!</v>
      </c>
      <c r="DY178" s="212">
        <f>IF(R178="","",IF(R178&gt;0,MAX(Tabla1[[#This Row],[FECHA C2]:[FECHA C13]],Tabla1[[#This Row],[FECHA CONSULTA PRIMERA VEZ PROGRAMA CPN ]])))</f>
        <v>45065</v>
      </c>
      <c r="DZ178" s="216">
        <f t="shared" si="613"/>
        <v>8</v>
      </c>
      <c r="EA178" s="222">
        <f>IF(R178&gt;0,SUM(COUNTA(DF178:DQ178)+COUNTA(Tabla1[[#This Row],[FECHA CONSULTA PRIMERA VEZ PROGRAMA CPN ]])),"")</f>
        <v>1</v>
      </c>
      <c r="EB178" s="222" t="str">
        <f t="shared" si="614"/>
        <v>NO</v>
      </c>
      <c r="EC178" s="214">
        <f t="shared" si="615"/>
        <v>9</v>
      </c>
      <c r="ED178" s="227">
        <f t="shared" si="616"/>
        <v>0.1111111111111111</v>
      </c>
      <c r="EE178" s="22">
        <v>45065</v>
      </c>
      <c r="EF178" s="22"/>
      <c r="EG178" s="22">
        <v>45065</v>
      </c>
      <c r="EH178" s="22"/>
      <c r="EI178" s="22">
        <v>45065</v>
      </c>
      <c r="EJ178" s="22"/>
      <c r="EK178" s="22"/>
      <c r="EL178" s="21"/>
      <c r="EM178" s="21">
        <v>14.6</v>
      </c>
      <c r="EN178" s="22">
        <v>45071</v>
      </c>
      <c r="EO178" s="222">
        <f t="shared" si="617"/>
        <v>9.2857142857142865</v>
      </c>
      <c r="EP178" s="214" t="str">
        <f t="shared" si="618"/>
        <v>NO DAR SULFATO FERROSO</v>
      </c>
      <c r="EQ178" s="216" t="str">
        <f t="shared" si="619"/>
        <v>I TRIM</v>
      </c>
      <c r="ER178" s="24"/>
      <c r="ES178" s="22"/>
      <c r="ET178" s="29" t="str">
        <f t="shared" ca="1" si="678"/>
        <v>TOMA DE HEMOGLOBINA TARDÍA</v>
      </c>
      <c r="EU178" s="25" t="str">
        <f t="shared" si="620"/>
        <v/>
      </c>
      <c r="EV178" s="24" t="s">
        <v>1510</v>
      </c>
      <c r="EW178" s="24">
        <v>45066</v>
      </c>
      <c r="EX178" s="22"/>
      <c r="EY178" s="29">
        <f t="shared" si="693"/>
        <v>8.5714285714285712</v>
      </c>
      <c r="EZ178" s="25" t="str">
        <f t="shared" si="694"/>
        <v>SIN RIESGO DE ISOINMUNIZACIÓN</v>
      </c>
      <c r="FA178" s="21">
        <v>70</v>
      </c>
      <c r="FB178" s="22">
        <v>45066</v>
      </c>
      <c r="FC178" s="29">
        <f t="shared" si="621"/>
        <v>8.5714285714285712</v>
      </c>
      <c r="FD178" s="29"/>
      <c r="FE178" s="29"/>
      <c r="FF178" s="29"/>
      <c r="FG178" s="21" t="str">
        <f t="shared" ca="1" si="622"/>
        <v>TOMAR PTOG</v>
      </c>
      <c r="FH178" s="31"/>
      <c r="FI178" s="29" t="str">
        <f t="shared" si="623"/>
        <v>TOMAR EXAMEN</v>
      </c>
      <c r="FJ178" s="22" t="s">
        <v>867</v>
      </c>
      <c r="FK178" s="22">
        <v>45066</v>
      </c>
      <c r="FL178" s="29">
        <f t="shared" ca="1" si="624"/>
        <v>8.5714285714285712</v>
      </c>
      <c r="FM178" s="22"/>
      <c r="FN178" s="32"/>
      <c r="FO178" s="29" t="str">
        <f t="shared" ca="1" si="679"/>
        <v>PIERDE TOMA DE TAMIZAJE</v>
      </c>
      <c r="FP178" s="22"/>
      <c r="FQ178" s="32"/>
      <c r="FR178" s="29" t="str">
        <f t="shared" ca="1" si="680"/>
        <v>EN RANGO PARA TOMAR EXAMEN</v>
      </c>
      <c r="FS178" s="22"/>
      <c r="FT178" s="32"/>
      <c r="FU178" s="29" t="str">
        <f>IF(AND(FJ178="",FM178="",FP178="",FS178=""),"",IF(OR(OR(Tabla1[[#This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78" s="28"/>
      <c r="FW178" s="22"/>
      <c r="FX178" s="29" t="str">
        <f t="shared" si="625"/>
        <v>TOMAR EXAMEN</v>
      </c>
      <c r="FY178" s="22">
        <v>45065</v>
      </c>
      <c r="FZ178" s="22">
        <v>45065</v>
      </c>
      <c r="GA178" s="29">
        <f t="shared" ca="1" si="692"/>
        <v>8.4285714285714288</v>
      </c>
      <c r="GB178" s="22"/>
      <c r="GC178" s="22"/>
      <c r="GD178" s="29" t="str">
        <f t="shared" ca="1" si="732"/>
        <v>PIERDE TOMA DE TAMIZAJE</v>
      </c>
      <c r="GE178" s="22"/>
      <c r="GF178" s="22"/>
      <c r="GG178" s="29" t="str">
        <f t="shared" ca="1" si="682"/>
        <v>EN RANGO PARA TOMAR EXAMEN</v>
      </c>
      <c r="GH178" s="22"/>
      <c r="GI178" s="29"/>
      <c r="GJ178" s="22"/>
      <c r="GK178" s="22"/>
      <c r="GL178" s="22"/>
      <c r="GM178" s="22"/>
      <c r="GN178" s="28" t="s">
        <v>869</v>
      </c>
      <c r="GO178" s="22">
        <v>45071</v>
      </c>
      <c r="GP178" s="29">
        <f t="shared" si="626"/>
        <v>9.2857142857142865</v>
      </c>
      <c r="GQ178" s="28" t="s">
        <v>869</v>
      </c>
      <c r="GR178" s="28" t="s">
        <v>869</v>
      </c>
      <c r="GS178" s="22" t="str">
        <f t="shared" si="728"/>
        <v>CONTROL Igm</v>
      </c>
      <c r="GT178" s="22">
        <v>45066</v>
      </c>
      <c r="GU178" s="29">
        <f t="shared" si="628"/>
        <v>8.5714285714285712</v>
      </c>
      <c r="GV178" s="21" t="str">
        <f t="shared" si="629"/>
        <v>I TRIM</v>
      </c>
      <c r="GW178" s="28" t="s">
        <v>869</v>
      </c>
      <c r="GX178" s="30"/>
      <c r="GY178" s="21"/>
      <c r="GZ178" s="21"/>
      <c r="HA178" s="21"/>
      <c r="HB178" s="21"/>
      <c r="HC178" s="21"/>
      <c r="HD178" s="21"/>
      <c r="HE178" s="21"/>
      <c r="HF178" s="22"/>
      <c r="HG178" s="22" t="str">
        <f>IF(OR(O178&gt;0,R178&gt;0),CONCATENATE(IF(Tabla1[[#This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78" s="22" t="e">
        <f t="shared" si="630"/>
        <v>#REF!</v>
      </c>
      <c r="HI178" s="22" t="e">
        <f t="shared" ca="1" si="631"/>
        <v>#REF!</v>
      </c>
      <c r="HJ178" s="21" t="str">
        <f t="shared" ca="1" si="632"/>
        <v>***************************************</v>
      </c>
      <c r="HK178" s="21" t="str">
        <f t="shared" si="633"/>
        <v>SIN ANTECEDENTES DE RIESGO</v>
      </c>
      <c r="HL178" s="24" t="str">
        <f t="shared" si="634"/>
        <v>APARENTEMENTE NORMAL</v>
      </c>
      <c r="HM178" s="21" t="e">
        <f t="shared" ca="1" si="635"/>
        <v>#REF!</v>
      </c>
      <c r="HN178" s="30" t="str">
        <f t="shared" si="683"/>
        <v>ACTIVA INGRESO A CPN</v>
      </c>
      <c r="HO178" s="21"/>
      <c r="HP178" s="21"/>
      <c r="HQ178" s="349"/>
      <c r="HR178" s="21" t="str">
        <f>IF(R178="","",IF(Tabla1[[#This Row],[ALARMA FACTORES DE RIESGO COMPLICACIONES HIPERTENSIVAS3]]="SIN ANTECEDENTES DE RIESGO","No Aplica para suministro de ASA",IF(AND(Tabla1[[#This Row],[FECHA INICIO DE SUMINISTRO DE ASA]]&gt;0,RV178&lt;12),"Inicia ASA ANTES de Sem 12",IF(AND(RV178&gt;11,RV178&lt;17,OR(HK178="RIESGO ALTO DE COMPLICACIONES HIPERTENSIVAS VER MANEJO GUIA SUMINISTRO ASA Y CALCIO",HK178="RIESGO MODERADO (2 O MAS CRITERIOS) VER MANEJO GUIA SUMINISTRO ASA Y CALCIO")),"Inicio oportuno de ASA",IF(AND(RV178&gt;12,OR(HK178="RIESGO ALTO DE COMPLICACIONES HIPERTENSIVAS VER MANEJO GUIA SUMINISTRO ASA Y CALCIO",HK178="RIESGO MODERADO (2 O MAS CRITERIOS) VER MANEJO GUIA SUMINISTRO ASA Y CALCIO")),"Inicio no oportuno mayor a 16 semanas",IF(AND(BU178&lt;12,OR(HK178="RIESGO ALTO DE COMPLICACIONES HIPERTENSIVAS VER MANEJO GUIA SUMINISTRO ASA Y CALCIO",HK178="RIESGO MODERADO (2 O MAS CRITERIOS) VER MANEJO GUIA SUMINISTRO ASA Y CALCIO")),"Pendiente Inicio de ASA a la semana 12",IF(AND(BU178&gt;11,BU178&lt;17,OR(HK178="RIESGO ALTO DE COMPLICACIONES HIPERTENSIVAS VER MANEJO GUIA SUMINISTRO ASA Y CALCIO",HK178="RIESGO MODERADO (2 O MAS CRITERIOS) VER MANEJO GUIA SUMINISTRO ASA Y CALCIO")),"Iniciar de inmediato ASA",IF(AND(BU178&gt;16,OR(HK178="RIESGO ALTO DE COMPLICACIONES HIPERTENSIVAS VER MANEJO GUIA SUMINISTRO ASA Y CALCIO",HK178="RIESGO MODERADO (2 O MAS CRITERIOS) VER MANEJO GUIA SUMINISTRO ASA Y CALCIO")),"Pierde Oportunidad, Inicio tardío de ASA","XXXXX"))))))))</f>
        <v>No Aplica para suministro de ASA</v>
      </c>
      <c r="HS178" s="22"/>
      <c r="HT178" s="22"/>
      <c r="HU178" s="22">
        <v>45065</v>
      </c>
      <c r="HV178" s="22" t="s">
        <v>870</v>
      </c>
      <c r="HW178" s="22">
        <v>45065</v>
      </c>
      <c r="HX178" s="22" t="s">
        <v>870</v>
      </c>
      <c r="HY178" s="22"/>
      <c r="HZ178" s="28" t="str">
        <f t="shared" si="636"/>
        <v>PENDIENTE CONSULTA</v>
      </c>
      <c r="IA178" s="26"/>
      <c r="IB178" s="26"/>
      <c r="IC178" s="111"/>
      <c r="ID178" s="22"/>
      <c r="IE178" s="22" t="str">
        <f t="shared" ca="1" si="637"/>
        <v>INASISTENTE</v>
      </c>
      <c r="IF178" s="22"/>
      <c r="IG178" s="22">
        <f t="shared" si="638"/>
        <v>45286</v>
      </c>
      <c r="IH178" s="29">
        <f t="shared" ca="1" si="639"/>
        <v>54</v>
      </c>
      <c r="II178" s="22" t="str">
        <f t="shared" ca="1" si="640"/>
        <v>PENDIENTE</v>
      </c>
      <c r="IJ178" s="22"/>
      <c r="IK178" s="21"/>
      <c r="IL178" s="21"/>
      <c r="IM178" s="34"/>
      <c r="IN178" s="22"/>
      <c r="IO178" s="21"/>
      <c r="IP178" s="29" t="str">
        <f t="shared" si="730"/>
        <v/>
      </c>
      <c r="IQ178" s="35"/>
      <c r="IR178" s="21"/>
      <c r="IS178" s="21"/>
      <c r="IT178" s="21"/>
      <c r="IU178" s="21"/>
      <c r="IV178" s="21"/>
      <c r="IW178" s="21"/>
      <c r="IX178" s="21"/>
      <c r="IY178" s="21"/>
      <c r="IZ178" s="21"/>
      <c r="JA178" s="21"/>
      <c r="JB178" s="30"/>
      <c r="JC178" s="21"/>
      <c r="JD178" s="36"/>
      <c r="JE178" s="21" t="str">
        <f t="shared" si="733"/>
        <v/>
      </c>
      <c r="JF178" s="30"/>
      <c r="JG178" s="21"/>
      <c r="JH178" s="21"/>
      <c r="JI178" s="21"/>
      <c r="JJ178" s="30"/>
      <c r="JK178" s="22"/>
      <c r="JL178" s="22"/>
      <c r="JM178" s="21"/>
      <c r="JN178" s="36"/>
      <c r="JO178" s="21" t="str">
        <f t="shared" si="734"/>
        <v/>
      </c>
      <c r="JP178" s="22"/>
      <c r="JQ178" s="21"/>
      <c r="JR178" s="21"/>
      <c r="JS178" s="21"/>
      <c r="JT178" s="30"/>
      <c r="JU178" s="22"/>
      <c r="JV178" s="22"/>
      <c r="JW178" s="33"/>
      <c r="JX178" s="28" t="str">
        <f t="shared" si="735"/>
        <v/>
      </c>
      <c r="JY178" s="33"/>
      <c r="JZ178" s="28" t="str">
        <f t="shared" si="736"/>
        <v/>
      </c>
      <c r="KA178" s="21"/>
      <c r="KB178" s="21"/>
      <c r="KC178" s="21"/>
      <c r="KD178" s="37"/>
      <c r="KE178" s="28"/>
      <c r="KF178" s="28"/>
      <c r="KG178" s="28"/>
      <c r="KH178" s="39"/>
      <c r="KI178" s="39"/>
      <c r="KJ178" s="66"/>
      <c r="KK178" s="39"/>
      <c r="KL178" s="39"/>
      <c r="KM178" s="66"/>
      <c r="KN178" s="39"/>
      <c r="KO178" s="39"/>
      <c r="KP178" s="39"/>
      <c r="KQ178" s="39"/>
      <c r="KR178" s="39"/>
      <c r="KS178" s="39"/>
      <c r="KT178" s="39"/>
      <c r="KU178" s="38"/>
      <c r="KV178" s="38"/>
      <c r="KW178" s="38"/>
      <c r="KX178" s="38"/>
      <c r="KY178" s="38"/>
      <c r="KZ178" s="38"/>
      <c r="LA178" s="38"/>
      <c r="LB178" s="38"/>
      <c r="LC178" s="38"/>
      <c r="LD178" s="38"/>
      <c r="LE178" s="38"/>
      <c r="LF178" s="38"/>
      <c r="LG178" s="38"/>
      <c r="LH178" s="38"/>
      <c r="LI178" s="38"/>
      <c r="LJ178" s="38"/>
      <c r="LK178" s="38"/>
      <c r="LL178" s="38"/>
      <c r="LM178" s="38"/>
      <c r="LN178" s="38"/>
      <c r="LO178" s="38"/>
      <c r="LP178" s="38"/>
      <c r="LQ178" s="38"/>
      <c r="LR178" s="38"/>
      <c r="LS178" s="38"/>
      <c r="LT178" s="38"/>
      <c r="LU178" s="38"/>
      <c r="LV178" s="38"/>
      <c r="LW178" s="38"/>
      <c r="LX178" s="38"/>
      <c r="LY178" s="38"/>
      <c r="LZ178" s="38"/>
      <c r="MA178" s="38"/>
      <c r="MB178" s="38"/>
      <c r="MC178" s="38"/>
      <c r="MD178" s="38"/>
      <c r="ME178" s="38"/>
      <c r="MF178" s="38"/>
      <c r="MG178" s="38"/>
      <c r="MH178" s="43">
        <f t="shared" si="697"/>
        <v>0</v>
      </c>
      <c r="MI178" s="43" t="str">
        <f t="shared" si="698"/>
        <v/>
      </c>
      <c r="MJ178" s="43" t="str">
        <f t="shared" si="699"/>
        <v/>
      </c>
      <c r="MK178" s="43">
        <f t="shared" si="700"/>
        <v>0</v>
      </c>
      <c r="ML17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78" s="43">
        <f t="shared" si="701"/>
        <v>8.4285714285714288</v>
      </c>
      <c r="MN178" s="43">
        <f t="shared" si="702"/>
        <v>5</v>
      </c>
      <c r="MO178" s="43">
        <f t="shared" si="703"/>
        <v>2023</v>
      </c>
      <c r="MP178" s="43" t="str">
        <f t="shared" si="704"/>
        <v>II TRIMESTRE AÑO</v>
      </c>
      <c r="MQ178" s="43">
        <f t="shared" si="705"/>
        <v>23.653088042049934</v>
      </c>
      <c r="MR178" s="43">
        <f t="shared" si="706"/>
        <v>0</v>
      </c>
      <c r="MS178" s="43" t="str">
        <f t="shared" si="707"/>
        <v xml:space="preserve"> DE 20 A 24 AÑOS</v>
      </c>
      <c r="MT178" s="43">
        <f t="shared" si="708"/>
        <v>0</v>
      </c>
      <c r="MU178" s="43">
        <f t="shared" si="709"/>
        <v>0</v>
      </c>
      <c r="MV178" s="43">
        <f t="shared" si="710"/>
        <v>0</v>
      </c>
      <c r="MW178" s="43">
        <f t="shared" si="711"/>
        <v>0</v>
      </c>
      <c r="MX178" s="43" t="str">
        <f t="shared" si="712"/>
        <v/>
      </c>
      <c r="MY178" s="43" t="str">
        <f t="shared" ca="1" si="737"/>
        <v/>
      </c>
      <c r="MZ178" s="43" t="str">
        <f t="shared" si="713"/>
        <v/>
      </c>
      <c r="NA178" s="43" t="str">
        <f t="shared" si="714"/>
        <v/>
      </c>
      <c r="NB178" s="43" t="str">
        <f t="shared" si="715"/>
        <v/>
      </c>
      <c r="NC178" s="43" t="str">
        <f t="shared" si="716"/>
        <v/>
      </c>
      <c r="ND178" s="43">
        <f t="shared" ca="1" si="717"/>
        <v>0</v>
      </c>
      <c r="NE178" s="43">
        <f>IF(OR(O178&gt;0,R178&gt;0),SUM(COUNTIF(Tabla1[[#This Row],[AÑOS AL INICIO5 CPN]],"&gt;=40"),COUNTIF(AS178,"0"),COUNTIF(AR178,"SI"),COUNTIF(CC178,"SI"),COUNTIF(BQ178,"&gt;119"),COUNTIF(CI178,"&gt;=35")),"")</f>
        <v>1</v>
      </c>
      <c r="NF178" s="43" t="str">
        <f t="shared" si="718"/>
        <v/>
      </c>
      <c r="NG178" s="43">
        <f t="shared" si="719"/>
        <v>0</v>
      </c>
      <c r="NH178" s="43" t="str">
        <f t="shared" si="720"/>
        <v/>
      </c>
      <c r="NI17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CPN",P178="NO"),"Z",IF(AND(Tabla1[[#This Row],[CITA PROXIMO CONTROL]]="CITA MANUAL",Tabla1[[#This Row],[GESTANTES ACTUALES]]="ACTIVA INGRESO A CPN"),"W",IF(AND(Tabla1[[#This Row],[GESTANTES ACTUALES]]="SALIO PROGRAMA",IN178=""),"S",IF(AND(Tabla1[[#This Row],[CITA PROXIMO CONTROL]]&gt;0,IN178=""),(Tabla1[[#This Row],[CITA PROXIMO CONTROL]]-TODAY()),"SD"))))))))</f>
        <v>#REF!</v>
      </c>
      <c r="NJ178" s="43">
        <f>MONTH(Tabla1[[#This Row],[FECHA DE SALIDA  DEL PROGRAMA]])</f>
        <v>1</v>
      </c>
      <c r="NK178" s="43">
        <f>YEAR(Tabla1[[#This Row],[FECHA DE SALIDA  DEL PROGRAMA]])</f>
        <v>1900</v>
      </c>
      <c r="NL178" s="43" t="str">
        <f t="shared" si="721"/>
        <v>X</v>
      </c>
      <c r="NM178" s="43" t="str">
        <f t="shared" si="695"/>
        <v>NO</v>
      </c>
      <c r="NN178" s="43" t="str">
        <f ca="1">IF(AND(O178&gt;0,R178=""),"NO CPN",IF(AND(O178="",R178=""),"",IF(AND(R178&gt;0,Tabla1[[#This Row],[SEMANAS DE GESTACION ACTUALIZADAS]]&lt;=12),"NO APLICA",IF(AND(FH178&lt;&gt;"",FN178&lt;&gt;""),"SI","NO"))))</f>
        <v>NO</v>
      </c>
      <c r="NO178" s="43" t="str">
        <f ca="1">IF(AND(O178&gt;0,R178=""),"NO CPN",IF(AND(O178="",R178=""),"",IF(AND(R178&gt;0,Tabla1[[#This Row],[SEMANAS DE GESTACION ACTUALIZADAS]]&lt;=27),"NO APLICA",IF(AND(ES178&lt;&gt;"",FQ178&lt;&gt;"",GF178&lt;&gt;""),"SI","NO"))))</f>
        <v>NO</v>
      </c>
      <c r="NP178" s="204" t="str">
        <f t="shared" si="722"/>
        <v>I TRIM</v>
      </c>
      <c r="NQ178" s="21" t="str">
        <f t="shared" si="731"/>
        <v/>
      </c>
      <c r="NR178" s="21">
        <f t="shared" ca="1" si="738"/>
        <v>3</v>
      </c>
      <c r="NS178" s="205">
        <f t="shared" ca="1" si="723"/>
        <v>1</v>
      </c>
      <c r="NT178" s="21">
        <f t="shared" ca="1" si="724"/>
        <v>1</v>
      </c>
      <c r="NU178" s="21" t="str">
        <f t="shared" ca="1" si="725"/>
        <v>INCOMPLETO</v>
      </c>
      <c r="NV178" s="21" t="str">
        <f t="shared" ca="1" si="726"/>
        <v>INCOMPLETO</v>
      </c>
      <c r="NW178" s="206" t="str">
        <f>IF(AND(O178="",R178=""),"",IF(OR(AND(Tabla1[[#This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78" s="207" t="str">
        <f t="shared" ca="1" si="727"/>
        <v>SIN VACUNAR</v>
      </c>
      <c r="NY178" s="43">
        <f>ROW(Tabla1[[#This Row],['# DE TAMIZAJES SIFILIS TOMADOS ]])</f>
        <v>178</v>
      </c>
      <c r="NZ178" s="43" t="str">
        <f t="shared" si="502"/>
        <v>Menor</v>
      </c>
      <c r="OA178" s="43" t="str">
        <f t="shared" si="503"/>
        <v>OBESIDAD</v>
      </c>
      <c r="OB178" s="43" t="str">
        <f t="shared" si="504"/>
        <v/>
      </c>
      <c r="OC178" s="43" t="str">
        <f t="shared" si="505"/>
        <v/>
      </c>
      <c r="OD178" s="43" t="str">
        <f t="shared" si="506"/>
        <v/>
      </c>
      <c r="OE178" s="43" t="str">
        <f t="shared" si="507"/>
        <v/>
      </c>
      <c r="OF178" s="43" t="str">
        <f t="shared" si="508"/>
        <v/>
      </c>
      <c r="OG178" s="43" t="str">
        <f t="shared" si="509"/>
        <v/>
      </c>
      <c r="OH178" s="43" t="str">
        <f t="shared" si="510"/>
        <v/>
      </c>
      <c r="OI178" s="43" t="str">
        <f t="shared" si="511"/>
        <v/>
      </c>
      <c r="OJ178" s="43" t="str">
        <f t="shared" si="512"/>
        <v/>
      </c>
      <c r="OK178" s="43" t="str">
        <f t="shared" si="513"/>
        <v/>
      </c>
      <c r="OL178" s="43" t="str">
        <f t="shared" si="514"/>
        <v/>
      </c>
      <c r="OM178" s="43" t="str">
        <f t="shared" si="515"/>
        <v/>
      </c>
      <c r="ON178" s="43" t="str">
        <f t="shared" si="516"/>
        <v/>
      </c>
      <c r="OO178" s="43" t="str">
        <f t="shared" si="517"/>
        <v/>
      </c>
      <c r="OP178" s="43" t="str">
        <f t="shared" si="518"/>
        <v/>
      </c>
      <c r="OQ178" s="43" t="str">
        <f t="shared" si="519"/>
        <v/>
      </c>
      <c r="OR178" s="43" t="str">
        <f t="shared" si="520"/>
        <v/>
      </c>
      <c r="OS178" s="43" t="str">
        <f t="shared" si="521"/>
        <v/>
      </c>
      <c r="OT178" s="43" t="str">
        <f t="shared" si="522"/>
        <v/>
      </c>
      <c r="OU178" s="43" t="str">
        <f t="shared" si="523"/>
        <v/>
      </c>
      <c r="OV178" s="110" t="str">
        <f t="shared" si="524"/>
        <v/>
      </c>
      <c r="OW178" s="43" t="str">
        <f t="shared" si="525"/>
        <v/>
      </c>
      <c r="OX178" s="43" t="str">
        <f t="shared" si="526"/>
        <v/>
      </c>
      <c r="OY178" s="43" t="str">
        <f t="shared" si="527"/>
        <v/>
      </c>
      <c r="OZ178" s="43" t="str">
        <f t="shared" si="528"/>
        <v/>
      </c>
      <c r="PA178" s="43" t="str">
        <f t="shared" si="529"/>
        <v/>
      </c>
      <c r="PB178" s="43" t="str">
        <f t="shared" si="530"/>
        <v/>
      </c>
      <c r="PC178" s="43" t="str">
        <f t="shared" si="531"/>
        <v/>
      </c>
      <c r="PD178" s="43" t="str">
        <f t="shared" si="532"/>
        <v/>
      </c>
      <c r="PE178" s="43" t="str">
        <f t="shared" si="533"/>
        <v/>
      </c>
      <c r="PF178" s="43" t="str">
        <f t="shared" si="534"/>
        <v/>
      </c>
      <c r="PG178" s="43" t="str">
        <f t="shared" si="535"/>
        <v/>
      </c>
      <c r="PH178" s="43" t="str">
        <f t="shared" si="536"/>
        <v/>
      </c>
      <c r="PI178" s="43" t="str">
        <f t="shared" si="537"/>
        <v>Menor</v>
      </c>
      <c r="PJ178" s="43" t="str">
        <f t="shared" si="538"/>
        <v>OBESIDAD</v>
      </c>
      <c r="PK178" s="43" t="str">
        <f t="shared" si="539"/>
        <v/>
      </c>
      <c r="PL178" s="43" t="str">
        <f t="shared" si="540"/>
        <v/>
      </c>
      <c r="PM178" s="43" t="str">
        <f t="shared" si="541"/>
        <v/>
      </c>
      <c r="PN178" s="43" t="str">
        <f t="shared" si="542"/>
        <v/>
      </c>
      <c r="PO178" s="43" t="str">
        <f t="shared" si="543"/>
        <v/>
      </c>
      <c r="PP178" s="43" t="str">
        <f t="shared" si="544"/>
        <v/>
      </c>
      <c r="PQ178" s="43" t="str">
        <f t="shared" si="545"/>
        <v/>
      </c>
      <c r="PR178" s="43" t="str">
        <f t="shared" si="546"/>
        <v/>
      </c>
      <c r="PS178" s="43" t="str">
        <f t="shared" si="547"/>
        <v/>
      </c>
      <c r="PT178" s="43" t="str">
        <f t="shared" si="548"/>
        <v/>
      </c>
      <c r="PU178" s="43" t="str">
        <f t="shared" si="549"/>
        <v/>
      </c>
      <c r="PV178" s="43" t="str">
        <f t="shared" si="550"/>
        <v/>
      </c>
      <c r="PW178" s="43" t="str">
        <f t="shared" si="551"/>
        <v/>
      </c>
      <c r="PX178" s="43" t="str">
        <f t="shared" si="552"/>
        <v/>
      </c>
      <c r="PY178" s="43" t="str">
        <f t="shared" si="553"/>
        <v/>
      </c>
      <c r="PZ178" s="43" t="str">
        <f t="shared" si="554"/>
        <v/>
      </c>
      <c r="QA178" s="43" t="str">
        <f t="shared" si="555"/>
        <v/>
      </c>
      <c r="QB178" s="43" t="str">
        <f t="shared" si="556"/>
        <v/>
      </c>
      <c r="QC178" s="43" t="str">
        <f t="shared" si="557"/>
        <v/>
      </c>
      <c r="QD178" s="43" t="str">
        <f t="shared" si="558"/>
        <v/>
      </c>
      <c r="QE178" s="43" t="str">
        <f t="shared" si="559"/>
        <v/>
      </c>
      <c r="QF178" s="43" t="str">
        <f t="shared" si="560"/>
        <v/>
      </c>
      <c r="QG178" s="43" t="str">
        <f t="shared" si="561"/>
        <v/>
      </c>
      <c r="QH178" s="43" t="str">
        <f t="shared" si="562"/>
        <v/>
      </c>
      <c r="QI178" s="43" t="str">
        <f t="shared" si="563"/>
        <v/>
      </c>
      <c r="QJ178" s="43" t="str">
        <f t="shared" si="564"/>
        <v/>
      </c>
      <c r="QK178" s="43" t="str">
        <f t="shared" si="565"/>
        <v/>
      </c>
      <c r="QL178" s="43" t="str">
        <f t="shared" si="566"/>
        <v/>
      </c>
      <c r="QM178" s="43" t="str">
        <f t="shared" si="567"/>
        <v/>
      </c>
      <c r="QN178" s="43" t="str">
        <f t="shared" si="568"/>
        <v/>
      </c>
      <c r="QO178" s="43" t="str">
        <f t="shared" si="569"/>
        <v/>
      </c>
      <c r="QP178" s="43" t="str">
        <f t="shared" si="570"/>
        <v/>
      </c>
      <c r="QQ178" s="43" t="str">
        <f t="shared" si="571"/>
        <v/>
      </c>
      <c r="QR178" s="43" t="str">
        <f t="shared" si="672"/>
        <v>Menor</v>
      </c>
      <c r="QS178" s="43"/>
      <c r="QT178" s="21" t="str">
        <f t="shared" si="572"/>
        <v/>
      </c>
      <c r="QU178" s="21" t="str">
        <f t="shared" si="573"/>
        <v/>
      </c>
      <c r="QV178" s="21" t="str">
        <f t="shared" si="574"/>
        <v/>
      </c>
      <c r="QW178" s="21" t="str">
        <f t="shared" si="575"/>
        <v/>
      </c>
      <c r="QX178" s="21" t="str">
        <f t="shared" si="576"/>
        <v/>
      </c>
      <c r="QY178" s="21" t="str">
        <f t="shared" si="577"/>
        <v/>
      </c>
      <c r="QZ178" s="21" t="str">
        <f t="shared" si="578"/>
        <v/>
      </c>
      <c r="RA178" s="21" t="str">
        <f t="shared" si="579"/>
        <v/>
      </c>
      <c r="RB178" s="21" t="str">
        <f t="shared" si="580"/>
        <v/>
      </c>
      <c r="RC178" s="21" t="str">
        <f t="shared" si="581"/>
        <v/>
      </c>
      <c r="RD178" s="21" t="str">
        <f t="shared" si="582"/>
        <v/>
      </c>
      <c r="RE178" s="21" t="str">
        <f t="shared" si="583"/>
        <v/>
      </c>
      <c r="RF178" s="21" t="str">
        <f t="shared" si="584"/>
        <v/>
      </c>
      <c r="RG178" s="21" t="str">
        <f t="shared" si="585"/>
        <v/>
      </c>
      <c r="RH178" s="21" t="str">
        <f t="shared" si="586"/>
        <v/>
      </c>
      <c r="RI178" s="21" t="str">
        <f t="shared" si="587"/>
        <v/>
      </c>
      <c r="RJ178" s="21" t="str">
        <f t="shared" si="588"/>
        <v/>
      </c>
      <c r="RK178" s="21" t="str">
        <f t="shared" si="589"/>
        <v/>
      </c>
      <c r="RL178" s="21" t="str">
        <f t="shared" si="590"/>
        <v/>
      </c>
      <c r="RM178" s="21" t="str">
        <f t="shared" si="591"/>
        <v/>
      </c>
      <c r="RN178" s="21" t="str">
        <f t="shared" si="592"/>
        <v/>
      </c>
      <c r="RO178" s="21" t="str">
        <f t="shared" si="593"/>
        <v/>
      </c>
      <c r="RP178" s="21" t="str">
        <f t="shared" si="594"/>
        <v/>
      </c>
      <c r="RQ178" s="21" t="str">
        <f t="shared" si="595"/>
        <v/>
      </c>
      <c r="RR178" s="21" t="str">
        <f t="shared" si="596"/>
        <v/>
      </c>
      <c r="RS178" s="21" t="str">
        <f t="shared" si="597"/>
        <v/>
      </c>
      <c r="RT178" s="21" t="str">
        <f t="shared" si="598"/>
        <v/>
      </c>
      <c r="RU178" s="21" t="str">
        <f t="shared" si="599"/>
        <v/>
      </c>
      <c r="RV178" s="21">
        <f t="shared" si="600"/>
        <v>-1</v>
      </c>
      <c r="RW178" s="284">
        <f>IF(OR(Tabla1[[#This Row],[FUM FORMULA CONFIABLE]]="",Tabla1[[#This Row],[FUM FORMULA CONFIABLE]]="SD"),"",IF(Tabla1[[#This Row],[FUM FORMULA CONFIABLE]]="CORREGIDA",Tabla1[[#This Row],[FUM X ECO 1]],Tabla1[[#This Row],[FUM x AMENORREA]]))</f>
        <v>45006</v>
      </c>
      <c r="RX178" s="21" t="str">
        <f>IF(AND(Tabla1[[#This Row],[FUM X ECO 1]]="",Tabla1[[#This Row],[FUM x AMENORREA]]=""),"",IF(AND(Tabla1[[#This Row],[FUM X ECO 1]]="",Tabla1[[#This Row],[FUM x AMENORREA]]&lt;&gt;""),"X",SUM(Tabla1[[#This Row],[FUM X ECO 1]]-Tabla1[[#This Row],[FUM x AMENORREA]])))</f>
        <v>X</v>
      </c>
      <c r="RY178" s="21" t="str">
        <f t="shared" si="673"/>
        <v>x</v>
      </c>
    </row>
    <row r="179" spans="1:493" ht="45" customHeight="1" x14ac:dyDescent="0.25">
      <c r="A179" s="109"/>
      <c r="B179" s="43"/>
      <c r="C179" s="43" t="s">
        <v>845</v>
      </c>
      <c r="D179" s="124"/>
      <c r="E179" s="43" t="s">
        <v>992</v>
      </c>
      <c r="F179" s="43" t="s">
        <v>848</v>
      </c>
      <c r="G179" s="43" t="s">
        <v>1504</v>
      </c>
      <c r="H179" s="43" t="s">
        <v>1157</v>
      </c>
      <c r="I179" s="109" t="s">
        <v>851</v>
      </c>
      <c r="J179" s="110">
        <v>1002848292</v>
      </c>
      <c r="K179" s="43" t="s">
        <v>852</v>
      </c>
      <c r="L179" s="175" t="s">
        <v>1509</v>
      </c>
      <c r="M179" s="22">
        <v>38020</v>
      </c>
      <c r="N179" s="213">
        <f t="shared" ca="1" si="601"/>
        <v>19.758904109589039</v>
      </c>
      <c r="O179" s="22">
        <v>45083</v>
      </c>
      <c r="P179" s="214" t="str">
        <f t="shared" si="675"/>
        <v>SI</v>
      </c>
      <c r="Q179" s="26" t="s">
        <v>855</v>
      </c>
      <c r="R179" s="22">
        <v>45083</v>
      </c>
      <c r="S179" s="21" t="s">
        <v>856</v>
      </c>
      <c r="T179" s="24" t="s">
        <v>690</v>
      </c>
      <c r="U179" s="21" t="s">
        <v>857</v>
      </c>
      <c r="V179" s="21" t="s">
        <v>858</v>
      </c>
      <c r="W179" s="21" t="s">
        <v>1106</v>
      </c>
      <c r="X179" s="21"/>
      <c r="Y179" s="21" t="s">
        <v>859</v>
      </c>
      <c r="Z179" s="21" t="s">
        <v>1562</v>
      </c>
      <c r="AA179" s="21" t="s">
        <v>860</v>
      </c>
      <c r="AB179" s="27" t="s">
        <v>861</v>
      </c>
      <c r="AC179" s="26" t="s">
        <v>888</v>
      </c>
      <c r="AD179" s="38" t="s">
        <v>1546</v>
      </c>
      <c r="AE179" s="26" t="s">
        <v>854</v>
      </c>
      <c r="AF179" s="26" t="s">
        <v>854</v>
      </c>
      <c r="AG179" s="23" t="s">
        <v>864</v>
      </c>
      <c r="AH179" s="23" t="s">
        <v>864</v>
      </c>
      <c r="AI179" s="24" t="s">
        <v>863</v>
      </c>
      <c r="AJ179" s="23" t="s">
        <v>864</v>
      </c>
      <c r="AK179" s="220" t="str">
        <f>IF(AND(AD179="",AE179="",AF179="",AG179="",AH179="",AI179="",AJ179=""),"",IF(OR(Tabla1[[#This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EVALUACIÓN",IF(AND(O179="",R179=""),"",IF(AND(OR(O179&gt;0,R179&gt;0),NG179&gt;=0,NG179&lt;2),"SIN RIESGO",IF(AND(OR(O179&gt;0,R179&gt;0),NG179&gt;=2),"CON RIESGO","ASD")))))</f>
        <v>SIN RIESGO</v>
      </c>
      <c r="AL179" s="23" t="s">
        <v>864</v>
      </c>
      <c r="AM179" s="26" t="s">
        <v>864</v>
      </c>
      <c r="AN179" s="26" t="s">
        <v>864</v>
      </c>
      <c r="AO179" s="26" t="s">
        <v>864</v>
      </c>
      <c r="AP179" s="26" t="s">
        <v>864</v>
      </c>
      <c r="AQ179" s="26" t="s">
        <v>864</v>
      </c>
      <c r="AR179" s="26" t="s">
        <v>864</v>
      </c>
      <c r="AS179" s="21">
        <v>0</v>
      </c>
      <c r="AT179" s="21">
        <v>0</v>
      </c>
      <c r="AU179" s="21">
        <v>0</v>
      </c>
      <c r="AV179" s="26" t="s">
        <v>864</v>
      </c>
      <c r="AW179" s="21">
        <v>0</v>
      </c>
      <c r="AX179" s="26" t="s">
        <v>864</v>
      </c>
      <c r="AY179" s="26" t="s">
        <v>864</v>
      </c>
      <c r="AZ179" s="26" t="s">
        <v>864</v>
      </c>
      <c r="BA179" s="26" t="s">
        <v>864</v>
      </c>
      <c r="BB179" s="26" t="s">
        <v>864</v>
      </c>
      <c r="BC179" s="26" t="s">
        <v>864</v>
      </c>
      <c r="BD179" s="26" t="s">
        <v>864</v>
      </c>
      <c r="BE179" s="26" t="s">
        <v>864</v>
      </c>
      <c r="BF179" s="26" t="s">
        <v>864</v>
      </c>
      <c r="BG179" s="26" t="s">
        <v>864</v>
      </c>
      <c r="BH179" s="26" t="s">
        <v>864</v>
      </c>
      <c r="BI179" s="26" t="s">
        <v>864</v>
      </c>
      <c r="BJ179" s="26" t="s">
        <v>864</v>
      </c>
      <c r="BK179" s="26" t="s">
        <v>864</v>
      </c>
      <c r="BL179" s="26" t="s">
        <v>864</v>
      </c>
      <c r="BM179" s="26" t="s">
        <v>864</v>
      </c>
      <c r="BN179" s="22"/>
      <c r="BO179" s="22">
        <v>45054</v>
      </c>
      <c r="BP179" s="21" t="s">
        <v>854</v>
      </c>
      <c r="BQ179" s="222">
        <f t="shared" si="602"/>
        <v>0</v>
      </c>
      <c r="BR179" s="223">
        <f t="shared" si="603"/>
        <v>45051</v>
      </c>
      <c r="BS179" s="224">
        <f t="shared" si="604"/>
        <v>4.1428571428571432</v>
      </c>
      <c r="BT179" s="216" t="str">
        <f t="shared" si="605"/>
        <v>I TRIM</v>
      </c>
      <c r="BU179" s="214">
        <f t="shared" ca="1" si="606"/>
        <v>25.428571428571427</v>
      </c>
      <c r="BV179" s="25" t="s">
        <v>1478</v>
      </c>
      <c r="BW179" s="22">
        <v>45121</v>
      </c>
      <c r="BX179" s="28">
        <v>10</v>
      </c>
      <c r="BY179" s="28"/>
      <c r="BZ179" s="22"/>
      <c r="CA179" s="21"/>
      <c r="CB179" s="26" t="s">
        <v>864</v>
      </c>
      <c r="CC179" s="26" t="s">
        <v>864</v>
      </c>
      <c r="CD179" s="26"/>
      <c r="CE179" s="26" t="s">
        <v>864</v>
      </c>
      <c r="CF179" s="22" t="s">
        <v>1517</v>
      </c>
      <c r="CG179" s="21">
        <v>1.6</v>
      </c>
      <c r="CH179" s="21">
        <v>71.400000000000006</v>
      </c>
      <c r="CI179" s="214">
        <f t="shared" si="607"/>
        <v>27.890624999999996</v>
      </c>
      <c r="CJ179" s="225" t="str">
        <f>IF(AND(CI179&lt;10,CH179="SD"),"SIN DATO PESO PREGESTACION O I TRIM",IF(AND(OR(R179&gt;0,O179&gt;0),CI179="X"),"INGRESAR DATO DE PESO",IF(CI179="SD","INGRESAR DATO DE TALLA Y PESO",IF(AND(OR(Tabla1[[#This Row],[MOMENTO EN QUE SE REALIZA EL PESO AL INGRESO A CPN]]="PREGESTACIÓN",NZ179="Menor"),CI179&lt;18.5),"BAJO PESO",IF(AND(OR(Tabla1[[#This Row],[MOMENTO EN QUE SE REALIZA EL PESO AL INGRESO A CPN]]="PREGESTACIÓN",NZ179="Menor"),CI179&lt;25),"NORMAL",IF(AND(OR(Tabla1[[#This Row],[MOMENTO EN QUE SE REALIZA EL PESO AL INGRESO A CPN]]="PREGESTACIÓN",NZ179="Menor"),CI179&lt;30),"SOBREPESO",IF(AND(OR(Tabla1[[#This Row],[MOMENTO EN QUE SE REALIZA EL PESO AL INGRESO A CPN]]="PREGESTACIÓN",NZ179="Menor"),CI179&gt;=30,CI179&lt;50),"OBESIDAD",IF(AND(BS179&gt;0,Tabla1[[#This Row],[MOMENTO EN QUE SE REALIZA EL PESO AL INGRESO A CPN]]="GESTACIÓN"),HLOOKUP(NZ179,$OA$2:PH179,NY179),""))))))))</f>
        <v>SOBREPESO</v>
      </c>
      <c r="CK179" s="212">
        <f t="shared" si="608"/>
        <v>45147</v>
      </c>
      <c r="CL179" s="21">
        <v>67.5</v>
      </c>
      <c r="CM179" s="214">
        <f t="shared" si="609"/>
        <v>26.367187499999996</v>
      </c>
      <c r="CN179" s="216">
        <f t="shared" si="610"/>
        <v>13</v>
      </c>
      <c r="CO179" s="216" t="e">
        <f>IF(PI179="","",IF(PI179&gt;0,HLOOKUP(PI179,$PJ$2:QQ179,NY179),""))</f>
        <v>#REF!</v>
      </c>
      <c r="CP179" s="21"/>
      <c r="CQ179" s="216" t="e">
        <f>IF(QR179="Menor","NO APLICA-MENOR 13 SEM",IF(AND(CC179="SI",CN179&gt;23),"NO APLICA- GEMELAR",IF(QR179="","",IF(QR179&gt;0,HLOOKUP(QR179,$QS$2:RU179,NY179),""))))</f>
        <v>#REF!</v>
      </c>
      <c r="CR179" s="21">
        <v>90</v>
      </c>
      <c r="CS179" s="21">
        <v>60</v>
      </c>
      <c r="CT179" s="217" t="str">
        <f>IF(R179="","",IF(AND(BS179&gt;1,BS179&lt;12,Tabla1[[#This Row],[T.A. SISTOLICA - ANTES DE SEMANA 12]]="",Tabla1[[#This Row],[T.A. DIASTOLICA - ANTES DE SEMANA 12]]=""),"REGISTRE DATO TA ANTES SEMANA 12",IF(AND(BS179&gt;11,BS179&lt;43,Tabla1[[#This Row],[T.A. SISTOLICA - ANTES DE SEMANA 12]]="",Tabla1[[#This Row],[T.A. DIASTOLICA - ANTES DE SEMANA 12]]=""),"NO APLICA REGISTRO TA-INGRESO TARDIO",IF(AND(OR(O179&gt;0,R179&gt;0),OR(CR179&gt;=140,CS179&gt;=90)),"DEFINIR ESTADIO HTA",IF(AND(OR(O179&gt;0,R179&gt;0),AND(CR179&gt;120,CR179&lt;=139)),"PRE HTA SEGUIMIENTO",IF(AND(OR(O179&gt;0,R179&gt;0),AND(CS179&gt;80,CS179&lt;=89)),"PRE HTA SEGUIMIENTO",IF(AND(OR(O179&gt;0,R179&gt;0),AND(CR179&gt;=80,CR179&lt;=120)),"APARENTEMENTE NORMAL",IF(AND(OR(O179&gt;0,R179&gt;0),AND(CS179&gt;=50,CS179&lt;=80)),"APARENTEMENTE NORMAL",IF(AND(OR(O179&gt;0,R179&gt;0),AND(CR179&gt;1,CR179&lt;=70),AND(CS179&gt;1,CS179&lt;=40)),"HIPOTENSIÓN","")))))))))</f>
        <v>APARENTEMENTE NORMAL</v>
      </c>
      <c r="CU179" s="21"/>
      <c r="CV179" s="21"/>
      <c r="CW179" s="217" t="str">
        <f ca="1">IF(R179="","",IF(AND(CN179&gt;19,CN179&lt;27,Tabla1[[#This Row],[T.A. SISTOLICA (Entre semana 20 y 26)]]="",Tabla1[[#This Row],[T.A. DIATOLICA (Entre semana 20 y 26)]]=""),"ACUDE A CONTROL SEM 20 A 26 REGISTRE TA AHORA",IF(AND(BS179&gt;1,BS179&lt;27,BU179&gt;19,Tabla1[[#This Row],[T.A. SISTOLICA (Entre semana 20 y 26)]]="",Tabla1[[#This Row],[T.A. DIATOLICA (Entre semana 20 y 26)]]=""),"COMPLETE REGISTRO TA CONTROL SEM 20 A26 ",IF(AND(BS179&gt;26,BS179&lt;43,Tabla1[[#This Row],[T.A. SISTOLICA (Entre semana 20 y 26)]]="",Tabla1[[#This Row],[T.A. DIATOLICA (Entre semana 20 y 26)]]=""),"NO APLICA REGISTRO TA-INGRESO TARDIO",IF(AND(OR(O179&gt;0,R179&gt;0),OR(CU179&gt;=140,CV179&gt;=90)),"ALTO RIESGO PREECLAMPSIA,DEFINIR ESTADIO HTA",IF(AND(OR(O179&gt;0,R179&gt;0),AND(CU179&gt;120,CU179&lt;=139)),"PRE HTA SEGUIMIENTO,RIESGO HIPERTENSION INDUCIDA POR EL EMBARAZO",IF(AND(OR(O179&gt;0,R179&gt;0),AND(CV179&gt;80,CV179&lt;=89)),"PRE HTA SEGUIMIENTO, RIESGO HIPERTENSION INDUCIDA POR EL EMBARAZO",IF(AND(OR(O179&lt;&gt;"",R179&lt;&gt;""),CS179&lt;&gt;"",CV179&lt;&gt;"",CS179&lt;=CV179),"VIGILAR CIFRAS PRESION ARTERIAL",IF(AND(OR(O179&gt;0,R179&gt;0),AND(CU179&gt;120,CU179&lt;=139)),"PRE HTA SEGUIMIENTO",IF(AND(OR(O179&gt;0,R179&gt;0),AND(CU179&gt;1,CU179&lt;=70),AND(CV179&gt;1,CV179&lt;=40)),"HIPOTENSIÓN",IF(AND(OR(O179&lt;&gt;"",R179&lt;&gt;""),CS179&lt;&gt;"",CV179&lt;&gt;"",CS179&gt;CV179),"APARENTEMENTE NORMAL",IF(AND(OR(O179&gt;0,R179&gt;0),AND(CU179&gt;=80,CU179&lt;=120)),"APARENTEMENTE NORMAL",IF(AND(OR(O179&gt;0,R179&gt;0),AND(CV179&gt;=50,CV179&lt;=80)),"APARENTEMENTE NORMAL","")))))))))))))</f>
        <v xml:space="preserve">COMPLETE REGISTRO TA CONTROL SEM 20 A26 </v>
      </c>
      <c r="CX179" s="21"/>
      <c r="CY179" s="21"/>
      <c r="CZ179" s="216" t="str">
        <f t="shared" si="729"/>
        <v/>
      </c>
      <c r="DA179" s="21">
        <v>90</v>
      </c>
      <c r="DB179" s="21">
        <v>60</v>
      </c>
      <c r="DC179" s="217" t="str">
        <f t="shared" si="611"/>
        <v>APARENTEMENTE NORMAL</v>
      </c>
      <c r="DD179" s="22">
        <v>45083</v>
      </c>
      <c r="DE179" s="22">
        <v>45083</v>
      </c>
      <c r="DF179" s="22">
        <v>45119</v>
      </c>
      <c r="DG179" s="22">
        <v>45147</v>
      </c>
      <c r="DH179" s="22"/>
      <c r="DI179" s="22"/>
      <c r="DJ179" s="22"/>
      <c r="DK179" s="22"/>
      <c r="DL179" s="22"/>
      <c r="DM179" s="22"/>
      <c r="DN179" s="22"/>
      <c r="DO179" s="22"/>
      <c r="DP179" s="22"/>
      <c r="DQ179" s="22"/>
      <c r="DR179" s="28">
        <v>0</v>
      </c>
      <c r="DS179" s="22"/>
      <c r="DT179" s="22"/>
      <c r="DU179" s="216" t="str">
        <f t="shared" ca="1" si="676"/>
        <v>EN ESPERA</v>
      </c>
      <c r="DV179" s="226" t="str">
        <f t="shared" si="677"/>
        <v>ACTIVA INGRESO A CPN</v>
      </c>
      <c r="DW179"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79" s="216" t="e">
        <f t="shared" ca="1" si="612"/>
        <v>#REF!</v>
      </c>
      <c r="DY179" s="212">
        <f>IF(R179="","",IF(R179&gt;0,MAX(Tabla1[[#This Row],[FECHA C2]:[FECHA C13]],Tabla1[[#This Row],[FECHA CONSULTA PRIMERA VEZ PROGRAMA CPN ]])))</f>
        <v>45147</v>
      </c>
      <c r="DZ179" s="216">
        <f t="shared" si="613"/>
        <v>13</v>
      </c>
      <c r="EA179" s="222">
        <f>IF(R179&gt;0,SUM(COUNTA(DF179:DQ179)+COUNTA(Tabla1[[#This Row],[FECHA CONSULTA PRIMERA VEZ PROGRAMA CPN ]])),"")</f>
        <v>3</v>
      </c>
      <c r="EB179" s="222" t="str">
        <f t="shared" si="614"/>
        <v>NO</v>
      </c>
      <c r="EC179" s="214">
        <f t="shared" si="615"/>
        <v>10</v>
      </c>
      <c r="ED179" s="227">
        <f t="shared" si="616"/>
        <v>0.3</v>
      </c>
      <c r="EE179" s="22">
        <v>45083</v>
      </c>
      <c r="EF179" s="22">
        <v>45083</v>
      </c>
      <c r="EG179" s="22">
        <v>45083</v>
      </c>
      <c r="EH179" s="22">
        <v>45106</v>
      </c>
      <c r="EI179" s="22">
        <v>45083</v>
      </c>
      <c r="EJ179" s="22">
        <v>45106</v>
      </c>
      <c r="EK179" s="22">
        <v>45106</v>
      </c>
      <c r="EL179" s="21">
        <v>1</v>
      </c>
      <c r="EM179" s="21">
        <v>13.5</v>
      </c>
      <c r="EN179" s="22">
        <v>45111</v>
      </c>
      <c r="EO179" s="222">
        <f t="shared" si="617"/>
        <v>8.1428571428571423</v>
      </c>
      <c r="EP179" s="214" t="str">
        <f t="shared" si="618"/>
        <v>NORMAL- SUMINISTRAR SULFATO FERROSO</v>
      </c>
      <c r="EQ179" s="216" t="str">
        <f t="shared" si="619"/>
        <v>I TRIM</v>
      </c>
      <c r="ER179" s="24"/>
      <c r="ES179" s="22"/>
      <c r="ET179" s="29" t="str">
        <f t="shared" ca="1" si="678"/>
        <v>PROGRAMAR TOMA HEMOGLOBINA A SEM 28</v>
      </c>
      <c r="EU179" s="25" t="str">
        <f t="shared" si="620"/>
        <v/>
      </c>
      <c r="EV179" s="24" t="s">
        <v>1510</v>
      </c>
      <c r="EW179" s="32">
        <v>45105</v>
      </c>
      <c r="EX179" s="22"/>
      <c r="EY179" s="29">
        <f t="shared" si="693"/>
        <v>7.2857142857142856</v>
      </c>
      <c r="EZ179" s="25" t="str">
        <f t="shared" si="694"/>
        <v>SIN RIESGO DE ISOINMUNIZACIÓN</v>
      </c>
      <c r="FA179" s="21">
        <v>66</v>
      </c>
      <c r="FB179" s="22">
        <v>45111</v>
      </c>
      <c r="FC179" s="29">
        <f t="shared" si="621"/>
        <v>8.1428571428571423</v>
      </c>
      <c r="FD179" s="29"/>
      <c r="FE179" s="29"/>
      <c r="FF179" s="29"/>
      <c r="FG179" s="21" t="str">
        <f t="shared" ca="1" si="622"/>
        <v>TOMAR PTOG</v>
      </c>
      <c r="FH179" s="31"/>
      <c r="FI179" s="29" t="str">
        <f t="shared" si="623"/>
        <v>TOMAR EXAMEN</v>
      </c>
      <c r="FJ179" s="22" t="s">
        <v>867</v>
      </c>
      <c r="FK179" s="22">
        <v>45111</v>
      </c>
      <c r="FL179" s="29">
        <f t="shared" ca="1" si="624"/>
        <v>8.1428571428571423</v>
      </c>
      <c r="FM179" s="22"/>
      <c r="FN179" s="32"/>
      <c r="FO179" s="29" t="str">
        <f t="shared" ca="1" si="679"/>
        <v>TOMA INMEDIATA DE TAMIZAJE</v>
      </c>
      <c r="FP179" s="22"/>
      <c r="FQ179" s="32"/>
      <c r="FR179" s="29" t="str">
        <f t="shared" ca="1" si="680"/>
        <v>EN ESPERA-ESTÁ I TRIM O II TRIM</v>
      </c>
      <c r="FS179" s="22"/>
      <c r="FT179" s="32"/>
      <c r="FU179" s="29" t="str">
        <f>IF(AND(FJ179="",FM179="",FP179="",FS179=""),"",IF(OR(OR(Tabla1[[#This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79" s="28"/>
      <c r="FW179" s="22"/>
      <c r="FX179" s="29" t="str">
        <f t="shared" si="625"/>
        <v>TOMAR EXAMEN</v>
      </c>
      <c r="FY179" s="22" t="s">
        <v>868</v>
      </c>
      <c r="FZ179" s="22">
        <v>45111</v>
      </c>
      <c r="GA179" s="29">
        <f t="shared" ca="1" si="692"/>
        <v>8.1428571428571423</v>
      </c>
      <c r="GB179" s="22"/>
      <c r="GC179" s="22"/>
      <c r="GD179" s="29" t="str">
        <f t="shared" ca="1" si="732"/>
        <v>TOMA INMEDIATA DE TAMIZAJE</v>
      </c>
      <c r="GE179" s="22"/>
      <c r="GF179" s="22"/>
      <c r="GG179" s="29" t="str">
        <f t="shared" ca="1" si="682"/>
        <v>EN ESPERA-ESTÁ I TRIM O II TRIM</v>
      </c>
      <c r="GH179" s="22"/>
      <c r="GI179" s="29"/>
      <c r="GJ179" s="22"/>
      <c r="GK179" s="22"/>
      <c r="GL179" s="22"/>
      <c r="GM179" s="22"/>
      <c r="GN179" s="28" t="s">
        <v>869</v>
      </c>
      <c r="GO179" s="22">
        <v>45111</v>
      </c>
      <c r="GP179" s="29">
        <f t="shared" si="626"/>
        <v>8.1428571428571423</v>
      </c>
      <c r="GQ179" s="28"/>
      <c r="GR179" s="28" t="s">
        <v>869</v>
      </c>
      <c r="GS179" s="22" t="str">
        <f t="shared" si="728"/>
        <v/>
      </c>
      <c r="GT179" s="22">
        <v>45111</v>
      </c>
      <c r="GU179" s="29">
        <f t="shared" si="628"/>
        <v>8.1428571428571423</v>
      </c>
      <c r="GV179" s="21" t="str">
        <f t="shared" si="629"/>
        <v>I TRIM</v>
      </c>
      <c r="GW179" s="28"/>
      <c r="GX179" s="30"/>
      <c r="GY179" s="21"/>
      <c r="GZ179" s="21"/>
      <c r="HA179" s="21"/>
      <c r="HB179" s="21"/>
      <c r="HC179" s="21"/>
      <c r="HD179" s="21"/>
      <c r="HE179" s="21"/>
      <c r="HF179" s="22"/>
      <c r="HG179" s="22" t="str">
        <f>IF(OR(O179&gt;0,R179&gt;0),CONCATENATE(IF(Tabla1[[#This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79" s="22" t="e">
        <f t="shared" si="630"/>
        <v>#REF!</v>
      </c>
      <c r="HI179" s="22" t="e">
        <f t="shared" ca="1" si="631"/>
        <v>#REF!</v>
      </c>
      <c r="HJ179" s="21" t="str">
        <f t="shared" ca="1" si="632"/>
        <v>**********************MULTIPARIDAD*****************</v>
      </c>
      <c r="HK179" s="21" t="str">
        <f t="shared" si="633"/>
        <v>SIN ANTECEDENTES DE RIESGO</v>
      </c>
      <c r="HL179" s="24" t="str">
        <f t="shared" si="634"/>
        <v>APARENTEMENTE NORMAL</v>
      </c>
      <c r="HM179" s="21" t="e">
        <f t="shared" ca="1" si="635"/>
        <v>#REF!</v>
      </c>
      <c r="HN179" s="30" t="str">
        <f t="shared" si="683"/>
        <v>ACTIVA INGRESO A CPN</v>
      </c>
      <c r="HO179" s="21"/>
      <c r="HP179" s="21"/>
      <c r="HQ179" s="349"/>
      <c r="HR179" s="21" t="str">
        <f>IF(R179="","",IF(Tabla1[[#This Row],[ALARMA FACTORES DE RIESGO COMPLICACIONES HIPERTENSIVAS3]]="SIN ANTECEDENTES DE RIESGO","No Aplica para suministro de ASA",IF(AND(Tabla1[[#This Row],[FECHA INICIO DE SUMINISTRO DE ASA]]&gt;0,RV179&lt;12),"Inicia ASA ANTES de Sem 12",IF(AND(RV179&gt;11,RV179&lt;17,OR(HK179="RIESGO ALTO DE COMPLICACIONES HIPERTENSIVAS VER MANEJO GUIA SUMINISTRO ASA Y CALCIO",HK179="RIESGO MODERADO (2 O MAS CRITERIOS) VER MANEJO GUIA SUMINISTRO ASA Y CALCIO")),"Inicio oportuno de ASA",IF(AND(RV179&gt;12,OR(HK179="RIESGO ALTO DE COMPLICACIONES HIPERTENSIVAS VER MANEJO GUIA SUMINISTRO ASA Y CALCIO",HK179="RIESGO MODERADO (2 O MAS CRITERIOS) VER MANEJO GUIA SUMINISTRO ASA Y CALCIO")),"Inicio no oportuno mayor a 16 semanas",IF(AND(BU179&lt;12,OR(HK179="RIESGO ALTO DE COMPLICACIONES HIPERTENSIVAS VER MANEJO GUIA SUMINISTRO ASA Y CALCIO",HK179="RIESGO MODERADO (2 O MAS CRITERIOS) VER MANEJO GUIA SUMINISTRO ASA Y CALCIO")),"Pendiente Inicio de ASA a la semana 12",IF(AND(BU179&gt;11,BU179&lt;17,OR(HK179="RIESGO ALTO DE COMPLICACIONES HIPERTENSIVAS VER MANEJO GUIA SUMINISTRO ASA Y CALCIO",HK179="RIESGO MODERADO (2 O MAS CRITERIOS) VER MANEJO GUIA SUMINISTRO ASA Y CALCIO")),"Iniciar de inmediato ASA",IF(AND(BU179&gt;16,OR(HK179="RIESGO ALTO DE COMPLICACIONES HIPERTENSIVAS VER MANEJO GUIA SUMINISTRO ASA Y CALCIO",HK179="RIESGO MODERADO (2 O MAS CRITERIOS) VER MANEJO GUIA SUMINISTRO ASA Y CALCIO")),"Pierde Oportunidad, Inicio tardío de ASA","XXXXX"))))))))</f>
        <v>No Aplica para suministro de ASA</v>
      </c>
      <c r="HS179" s="22">
        <v>45083</v>
      </c>
      <c r="HT179" s="22" t="s">
        <v>1505</v>
      </c>
      <c r="HU179" s="22">
        <v>45083</v>
      </c>
      <c r="HV179" s="22" t="s">
        <v>1506</v>
      </c>
      <c r="HW179" s="22"/>
      <c r="HX179" s="22"/>
      <c r="HY179" s="22"/>
      <c r="HZ179" s="28" t="str">
        <f t="shared" si="636"/>
        <v>PENDIENTE CONSULTA</v>
      </c>
      <c r="IA179" s="26"/>
      <c r="IB179" s="26"/>
      <c r="IC179" s="111"/>
      <c r="ID179" s="22"/>
      <c r="IE179" s="22" t="str">
        <f t="shared" ca="1" si="637"/>
        <v>PROGRAMAR APLICACION DE VACUNA</v>
      </c>
      <c r="IF179" s="22"/>
      <c r="IG179" s="22">
        <f t="shared" si="638"/>
        <v>45334</v>
      </c>
      <c r="IH179" s="29">
        <f t="shared" ca="1" si="639"/>
        <v>102</v>
      </c>
      <c r="II179" s="22" t="str">
        <f t="shared" ca="1" si="640"/>
        <v>PENDIENTE</v>
      </c>
      <c r="IJ179" s="22"/>
      <c r="IK179" s="21"/>
      <c r="IL179" s="21"/>
      <c r="IM179" s="34"/>
      <c r="IN179" s="22"/>
      <c r="IO179" s="21"/>
      <c r="IP179" s="29" t="str">
        <f t="shared" si="730"/>
        <v/>
      </c>
      <c r="IQ179" s="35"/>
      <c r="IR179" s="21"/>
      <c r="IS179" s="21"/>
      <c r="IT179" s="21"/>
      <c r="IU179" s="21"/>
      <c r="IV179" s="21"/>
      <c r="IW179" s="21"/>
      <c r="IX179" s="21"/>
      <c r="IY179" s="21"/>
      <c r="IZ179" s="21"/>
      <c r="JA179" s="21"/>
      <c r="JB179" s="30"/>
      <c r="JC179" s="21"/>
      <c r="JD179" s="36"/>
      <c r="JE179" s="21" t="str">
        <f t="shared" si="733"/>
        <v/>
      </c>
      <c r="JF179" s="30"/>
      <c r="JG179" s="21"/>
      <c r="JH179" s="21"/>
      <c r="JI179" s="21"/>
      <c r="JJ179" s="30"/>
      <c r="JK179" s="22"/>
      <c r="JL179" s="22"/>
      <c r="JM179" s="21"/>
      <c r="JN179" s="36"/>
      <c r="JO179" s="21" t="str">
        <f t="shared" si="734"/>
        <v/>
      </c>
      <c r="JP179" s="22"/>
      <c r="JQ179" s="21"/>
      <c r="JR179" s="21"/>
      <c r="JS179" s="21"/>
      <c r="JT179" s="30"/>
      <c r="JU179" s="22"/>
      <c r="JV179" s="22"/>
      <c r="JW179" s="33"/>
      <c r="JX179" s="28" t="str">
        <f t="shared" si="735"/>
        <v/>
      </c>
      <c r="JY179" s="33"/>
      <c r="JZ179" s="28" t="str">
        <f t="shared" si="736"/>
        <v/>
      </c>
      <c r="KA179" s="21"/>
      <c r="KB179" s="21"/>
      <c r="KC179" s="21"/>
      <c r="KD179" s="37"/>
      <c r="KE179" s="28"/>
      <c r="KF179" s="28"/>
      <c r="KG179" s="28"/>
      <c r="KH179" s="39"/>
      <c r="KI179" s="39"/>
      <c r="KJ179" s="66"/>
      <c r="KK179" s="39"/>
      <c r="KL179" s="39"/>
      <c r="KM179" s="66"/>
      <c r="KN179" s="39"/>
      <c r="KO179" s="39"/>
      <c r="KP179" s="39"/>
      <c r="KQ179" s="39"/>
      <c r="KR179" s="39"/>
      <c r="KS179" s="39"/>
      <c r="KT179" s="39"/>
      <c r="KU179" s="38"/>
      <c r="KV179" s="38"/>
      <c r="KW179" s="38"/>
      <c r="KX179" s="38"/>
      <c r="KY179" s="38"/>
      <c r="KZ179" s="38"/>
      <c r="LA179" s="38"/>
      <c r="LB179" s="38"/>
      <c r="LC179" s="38"/>
      <c r="LD179" s="38"/>
      <c r="LE179" s="38"/>
      <c r="LF179" s="38"/>
      <c r="LG179" s="38"/>
      <c r="LH179" s="38"/>
      <c r="LI179" s="38"/>
      <c r="LJ179" s="38"/>
      <c r="LK179" s="38"/>
      <c r="LL179" s="38"/>
      <c r="LM179" s="38"/>
      <c r="LN179" s="38"/>
      <c r="LO179" s="38"/>
      <c r="LP179" s="38"/>
      <c r="LQ179" s="38"/>
      <c r="LR179" s="38"/>
      <c r="LS179" s="38"/>
      <c r="LT179" s="38"/>
      <c r="LU179" s="38"/>
      <c r="LV179" s="38"/>
      <c r="LW179" s="38"/>
      <c r="LX179" s="38"/>
      <c r="LY179" s="38"/>
      <c r="LZ179" s="38"/>
      <c r="MA179" s="38"/>
      <c r="MB179" s="38"/>
      <c r="MC179" s="38"/>
      <c r="MD179" s="38"/>
      <c r="ME179" s="38"/>
      <c r="MF179" s="38"/>
      <c r="MG179" s="38"/>
      <c r="MH179" s="43">
        <f t="shared" si="697"/>
        <v>0</v>
      </c>
      <c r="MI179" s="43" t="str">
        <f t="shared" si="698"/>
        <v/>
      </c>
      <c r="MJ179" s="43" t="str">
        <f t="shared" si="699"/>
        <v/>
      </c>
      <c r="MK179" s="43">
        <f t="shared" si="700"/>
        <v>0</v>
      </c>
      <c r="ML17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79" s="43">
        <f t="shared" si="701"/>
        <v>4.1428571428571432</v>
      </c>
      <c r="MN179" s="43">
        <f t="shared" si="702"/>
        <v>6</v>
      </c>
      <c r="MO179" s="43">
        <f t="shared" si="703"/>
        <v>2023</v>
      </c>
      <c r="MP179" s="43" t="str">
        <f t="shared" si="704"/>
        <v>II TRIMESTRE AÑO</v>
      </c>
      <c r="MQ179" s="43">
        <f t="shared" si="705"/>
        <v>19.062089356110381</v>
      </c>
      <c r="MR179" s="43">
        <f t="shared" si="706"/>
        <v>0</v>
      </c>
      <c r="MS179" s="43" t="str">
        <f t="shared" si="707"/>
        <v>DE 14 A 19AÑOS</v>
      </c>
      <c r="MT179" s="43">
        <f t="shared" si="708"/>
        <v>0</v>
      </c>
      <c r="MU179" s="43">
        <f t="shared" si="709"/>
        <v>1</v>
      </c>
      <c r="MV179" s="43">
        <f t="shared" si="710"/>
        <v>0</v>
      </c>
      <c r="MW179" s="43">
        <f t="shared" si="711"/>
        <v>0</v>
      </c>
      <c r="MX179" s="43" t="str">
        <f t="shared" si="712"/>
        <v/>
      </c>
      <c r="MY179" s="43" t="str">
        <f t="shared" ca="1" si="737"/>
        <v/>
      </c>
      <c r="MZ179" s="43" t="str">
        <f t="shared" si="713"/>
        <v/>
      </c>
      <c r="NA179" s="43" t="str">
        <f t="shared" si="714"/>
        <v/>
      </c>
      <c r="NB179" s="43" t="str">
        <f t="shared" si="715"/>
        <v/>
      </c>
      <c r="NC179" s="43" t="str">
        <f t="shared" si="716"/>
        <v/>
      </c>
      <c r="ND179" s="43">
        <f t="shared" ca="1" si="717"/>
        <v>1</v>
      </c>
      <c r="NE179" s="43">
        <f>IF(OR(O179&gt;0,R179&gt;0),SUM(COUNTIF(Tabla1[[#This Row],[AÑOS AL INICIO5 CPN]],"&gt;=40"),COUNTIF(AS179,"0"),COUNTIF(AR179,"SI"),COUNTIF(CC179,"SI"),COUNTIF(BQ179,"&gt;119"),COUNTIF(CI179,"&gt;=35")),"")</f>
        <v>1</v>
      </c>
      <c r="NF179" s="43" t="str">
        <f t="shared" si="718"/>
        <v/>
      </c>
      <c r="NG179" s="43">
        <f t="shared" si="719"/>
        <v>0</v>
      </c>
      <c r="NH179" s="43">
        <f t="shared" si="720"/>
        <v>70</v>
      </c>
      <c r="NI179"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CPN",P179="NO"),"Z",IF(AND(Tabla1[[#This Row],[CITA PROXIMO CONTROL]]="CITA MANUAL",Tabla1[[#This Row],[GESTANTES ACTUALES]]="ACTIVA INGRESO A CPN"),"W",IF(AND(Tabla1[[#This Row],[GESTANTES ACTUALES]]="SALIO PROGRAMA",IN179=""),"S",IF(AND(Tabla1[[#This Row],[CITA PROXIMO CONTROL]]&gt;0,IN179=""),(Tabla1[[#This Row],[CITA PROXIMO CONTROL]]-TODAY()),"SD"))))))))</f>
        <v>#REF!</v>
      </c>
      <c r="NJ179" s="43">
        <f>MONTH(Tabla1[[#This Row],[FECHA DE SALIDA  DEL PROGRAMA]])</f>
        <v>1</v>
      </c>
      <c r="NK179" s="43">
        <f>YEAR(Tabla1[[#This Row],[FECHA DE SALIDA  DEL PROGRAMA]])</f>
        <v>1900</v>
      </c>
      <c r="NL179" s="43">
        <f t="shared" si="721"/>
        <v>23</v>
      </c>
      <c r="NM179" s="43" t="str">
        <f t="shared" si="695"/>
        <v>NO</v>
      </c>
      <c r="NN179" s="43" t="str">
        <f ca="1">IF(AND(O179&gt;0,R179=""),"NO CPN",IF(AND(O179="",R179=""),"",IF(AND(R179&gt;0,Tabla1[[#This Row],[SEMANAS DE GESTACION ACTUALIZADAS]]&lt;=12),"NO APLICA",IF(AND(FH179&lt;&gt;"",FN179&lt;&gt;""),"SI","NO"))))</f>
        <v>NO</v>
      </c>
      <c r="NO179" s="43" t="str">
        <f ca="1">IF(AND(O179&gt;0,R179=""),"NO CPN",IF(AND(O179="",R179=""),"",IF(AND(R179&gt;0,Tabla1[[#This Row],[SEMANAS DE GESTACION ACTUALIZADAS]]&lt;=27),"NO APLICA",IF(AND(ES179&lt;&gt;"",FQ179&lt;&gt;"",GF179&lt;&gt;""),"SI","NO"))))</f>
        <v>NO APLICA</v>
      </c>
      <c r="NP179" s="204" t="str">
        <f t="shared" si="722"/>
        <v>I TRIM</v>
      </c>
      <c r="NQ179" s="21" t="str">
        <f t="shared" si="731"/>
        <v/>
      </c>
      <c r="NR179" s="21">
        <f t="shared" ca="1" si="738"/>
        <v>2</v>
      </c>
      <c r="NS179" s="205">
        <f t="shared" ca="1" si="723"/>
        <v>1</v>
      </c>
      <c r="NT179" s="21">
        <f t="shared" ca="1" si="724"/>
        <v>1</v>
      </c>
      <c r="NU179" s="21" t="str">
        <f t="shared" ca="1" si="725"/>
        <v>INCOMPLETO</v>
      </c>
      <c r="NV179" s="21" t="str">
        <f t="shared" ca="1" si="726"/>
        <v>INCOMPLETO</v>
      </c>
      <c r="NW179" s="206" t="str">
        <f>IF(AND(O179="",R179=""),"",IF(OR(AND(Tabla1[[#This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79" s="207" t="str">
        <f t="shared" ca="1" si="727"/>
        <v>SIN VACUNAR</v>
      </c>
      <c r="NY179" s="43">
        <f>ROW(Tabla1[[#This Row],['# DE TAMIZAJES SIFILIS TOMADOS ]])</f>
        <v>179</v>
      </c>
      <c r="NZ179" s="43" t="str">
        <f t="shared" si="502"/>
        <v>Menor</v>
      </c>
      <c r="OA179" s="43" t="str">
        <f t="shared" si="503"/>
        <v>SOBREPESO</v>
      </c>
      <c r="OB179" s="43" t="str">
        <f t="shared" si="504"/>
        <v/>
      </c>
      <c r="OC179" s="43" t="str">
        <f t="shared" si="505"/>
        <v/>
      </c>
      <c r="OD179" s="43" t="str">
        <f t="shared" si="506"/>
        <v/>
      </c>
      <c r="OE179" s="43" t="str">
        <f t="shared" si="507"/>
        <v/>
      </c>
      <c r="OF179" s="43" t="str">
        <f t="shared" si="508"/>
        <v/>
      </c>
      <c r="OG179" s="43" t="str">
        <f t="shared" si="509"/>
        <v/>
      </c>
      <c r="OH179" s="43" t="str">
        <f t="shared" si="510"/>
        <v/>
      </c>
      <c r="OI179" s="43" t="str">
        <f t="shared" si="511"/>
        <v/>
      </c>
      <c r="OJ179" s="43" t="str">
        <f t="shared" si="512"/>
        <v/>
      </c>
      <c r="OK179" s="43" t="str">
        <f t="shared" si="513"/>
        <v/>
      </c>
      <c r="OL179" s="43" t="str">
        <f t="shared" si="514"/>
        <v/>
      </c>
      <c r="OM179" s="43" t="str">
        <f t="shared" si="515"/>
        <v/>
      </c>
      <c r="ON179" s="43" t="str">
        <f t="shared" si="516"/>
        <v/>
      </c>
      <c r="OO179" s="43" t="str">
        <f t="shared" si="517"/>
        <v/>
      </c>
      <c r="OP179" s="43" t="str">
        <f t="shared" si="518"/>
        <v/>
      </c>
      <c r="OQ179" s="43" t="str">
        <f t="shared" si="519"/>
        <v/>
      </c>
      <c r="OR179" s="43" t="str">
        <f t="shared" si="520"/>
        <v/>
      </c>
      <c r="OS179" s="43" t="str">
        <f t="shared" si="521"/>
        <v/>
      </c>
      <c r="OT179" s="43" t="str">
        <f t="shared" si="522"/>
        <v/>
      </c>
      <c r="OU179" s="43" t="str">
        <f t="shared" si="523"/>
        <v/>
      </c>
      <c r="OV179" s="110" t="str">
        <f t="shared" si="524"/>
        <v/>
      </c>
      <c r="OW179" s="43" t="str">
        <f t="shared" si="525"/>
        <v/>
      </c>
      <c r="OX179" s="43" t="str">
        <f t="shared" si="526"/>
        <v/>
      </c>
      <c r="OY179" s="43" t="str">
        <f t="shared" si="527"/>
        <v/>
      </c>
      <c r="OZ179" s="43" t="str">
        <f t="shared" si="528"/>
        <v/>
      </c>
      <c r="PA179" s="43" t="str">
        <f t="shared" si="529"/>
        <v/>
      </c>
      <c r="PB179" s="43" t="str">
        <f t="shared" si="530"/>
        <v/>
      </c>
      <c r="PC179" s="43" t="str">
        <f t="shared" si="531"/>
        <v/>
      </c>
      <c r="PD179" s="43" t="str">
        <f t="shared" si="532"/>
        <v/>
      </c>
      <c r="PE179" s="43" t="str">
        <f t="shared" si="533"/>
        <v/>
      </c>
      <c r="PF179" s="43" t="str">
        <f t="shared" si="534"/>
        <v/>
      </c>
      <c r="PG179" s="43" t="str">
        <f t="shared" si="535"/>
        <v/>
      </c>
      <c r="PH179" s="43" t="str">
        <f t="shared" si="536"/>
        <v/>
      </c>
      <c r="PI179" s="43">
        <f t="shared" si="537"/>
        <v>13</v>
      </c>
      <c r="PJ179" s="43" t="str">
        <f t="shared" si="538"/>
        <v/>
      </c>
      <c r="PK179" s="43" t="str">
        <f t="shared" si="539"/>
        <v/>
      </c>
      <c r="PL179" s="43" t="str">
        <f t="shared" si="540"/>
        <v/>
      </c>
      <c r="PM179" s="43" t="str">
        <f t="shared" si="541"/>
        <v/>
      </c>
      <c r="PN179" s="43" t="str">
        <f t="shared" si="542"/>
        <v>SOBREPESO</v>
      </c>
      <c r="PO179" s="43" t="str">
        <f t="shared" si="543"/>
        <v/>
      </c>
      <c r="PP179" s="43" t="str">
        <f t="shared" si="544"/>
        <v/>
      </c>
      <c r="PQ179" s="43" t="str">
        <f t="shared" si="545"/>
        <v/>
      </c>
      <c r="PR179" s="43" t="str">
        <f t="shared" si="546"/>
        <v/>
      </c>
      <c r="PS179" s="43" t="str">
        <f t="shared" si="547"/>
        <v/>
      </c>
      <c r="PT179" s="43" t="str">
        <f t="shared" si="548"/>
        <v/>
      </c>
      <c r="PU179" s="43" t="str">
        <f t="shared" si="549"/>
        <v/>
      </c>
      <c r="PV179" s="43" t="str">
        <f t="shared" si="550"/>
        <v/>
      </c>
      <c r="PW179" s="43" t="str">
        <f t="shared" si="551"/>
        <v/>
      </c>
      <c r="PX179" s="43" t="str">
        <f t="shared" si="552"/>
        <v/>
      </c>
      <c r="PY179" s="43" t="str">
        <f t="shared" si="553"/>
        <v/>
      </c>
      <c r="PZ179" s="43" t="str">
        <f t="shared" si="554"/>
        <v/>
      </c>
      <c r="QA179" s="43" t="str">
        <f t="shared" si="555"/>
        <v/>
      </c>
      <c r="QB179" s="43" t="str">
        <f t="shared" si="556"/>
        <v/>
      </c>
      <c r="QC179" s="43" t="str">
        <f t="shared" si="557"/>
        <v/>
      </c>
      <c r="QD179" s="43" t="str">
        <f t="shared" si="558"/>
        <v/>
      </c>
      <c r="QE179" s="43" t="str">
        <f t="shared" si="559"/>
        <v/>
      </c>
      <c r="QF179" s="43" t="str">
        <f t="shared" si="560"/>
        <v/>
      </c>
      <c r="QG179" s="43" t="str">
        <f t="shared" si="561"/>
        <v/>
      </c>
      <c r="QH179" s="43" t="str">
        <f t="shared" si="562"/>
        <v/>
      </c>
      <c r="QI179" s="43" t="str">
        <f t="shared" si="563"/>
        <v/>
      </c>
      <c r="QJ179" s="43" t="str">
        <f t="shared" si="564"/>
        <v/>
      </c>
      <c r="QK179" s="43" t="str">
        <f t="shared" si="565"/>
        <v/>
      </c>
      <c r="QL179" s="43" t="str">
        <f t="shared" si="566"/>
        <v/>
      </c>
      <c r="QM179" s="43" t="str">
        <f t="shared" si="567"/>
        <v/>
      </c>
      <c r="QN179" s="43" t="str">
        <f t="shared" si="568"/>
        <v/>
      </c>
      <c r="QO179" s="43" t="str">
        <f t="shared" si="569"/>
        <v/>
      </c>
      <c r="QP179" s="43" t="str">
        <f t="shared" si="570"/>
        <v/>
      </c>
      <c r="QQ179" s="43" t="str">
        <f t="shared" si="571"/>
        <v/>
      </c>
      <c r="QR179" s="43">
        <f t="shared" si="672"/>
        <v>13</v>
      </c>
      <c r="QS179" s="43"/>
      <c r="QT179" s="21" t="str">
        <f t="shared" si="572"/>
        <v/>
      </c>
      <c r="QU179" s="21" t="str">
        <f t="shared" si="573"/>
        <v/>
      </c>
      <c r="QV179" s="21" t="str">
        <f t="shared" si="574"/>
        <v/>
      </c>
      <c r="QW179" s="21" t="str">
        <f t="shared" si="575"/>
        <v/>
      </c>
      <c r="QX179" s="21" t="str">
        <f t="shared" si="576"/>
        <v/>
      </c>
      <c r="QY179" s="21" t="str">
        <f t="shared" si="577"/>
        <v/>
      </c>
      <c r="QZ179" s="21" t="str">
        <f t="shared" si="578"/>
        <v/>
      </c>
      <c r="RA179" s="21" t="str">
        <f t="shared" si="579"/>
        <v/>
      </c>
      <c r="RB179" s="21" t="str">
        <f t="shared" si="580"/>
        <v/>
      </c>
      <c r="RC179" s="21" t="str">
        <f t="shared" si="581"/>
        <v/>
      </c>
      <c r="RD179" s="21" t="str">
        <f t="shared" si="582"/>
        <v/>
      </c>
      <c r="RE179" s="21" t="str">
        <f t="shared" si="583"/>
        <v/>
      </c>
      <c r="RF179" s="21" t="str">
        <f t="shared" si="584"/>
        <v/>
      </c>
      <c r="RG179" s="21" t="str">
        <f t="shared" si="585"/>
        <v/>
      </c>
      <c r="RH179" s="21" t="str">
        <f t="shared" si="586"/>
        <v/>
      </c>
      <c r="RI179" s="21" t="str">
        <f t="shared" si="587"/>
        <v/>
      </c>
      <c r="RJ179" s="21" t="str">
        <f t="shared" si="588"/>
        <v/>
      </c>
      <c r="RK179" s="21" t="str">
        <f t="shared" si="589"/>
        <v/>
      </c>
      <c r="RL179" s="21" t="str">
        <f t="shared" si="590"/>
        <v/>
      </c>
      <c r="RM179" s="21" t="str">
        <f t="shared" si="591"/>
        <v/>
      </c>
      <c r="RN179" s="21" t="str">
        <f t="shared" si="592"/>
        <v/>
      </c>
      <c r="RO179" s="21" t="str">
        <f t="shared" si="593"/>
        <v/>
      </c>
      <c r="RP179" s="21" t="str">
        <f t="shared" si="594"/>
        <v/>
      </c>
      <c r="RQ179" s="21" t="str">
        <f t="shared" si="595"/>
        <v/>
      </c>
      <c r="RR179" s="21" t="str">
        <f t="shared" si="596"/>
        <v/>
      </c>
      <c r="RS179" s="21" t="str">
        <f t="shared" si="597"/>
        <v/>
      </c>
      <c r="RT179" s="21" t="str">
        <f t="shared" si="598"/>
        <v/>
      </c>
      <c r="RU179" s="21" t="str">
        <f t="shared" si="599"/>
        <v/>
      </c>
      <c r="RV179" s="21">
        <f t="shared" si="600"/>
        <v>-1</v>
      </c>
      <c r="RW179" s="284">
        <f>IF(OR(Tabla1[[#This Row],[FUM FORMULA CONFIABLE]]="",Tabla1[[#This Row],[FUM FORMULA CONFIABLE]]="SD"),"",IF(Tabla1[[#This Row],[FUM FORMULA CONFIABLE]]="CORREGIDA",Tabla1[[#This Row],[FUM X ECO 1]],Tabla1[[#This Row],[FUM x AMENORREA]]))</f>
        <v>45054</v>
      </c>
      <c r="RX179" s="21">
        <f>IF(AND(Tabla1[[#This Row],[FUM X ECO 1]]="",Tabla1[[#This Row],[FUM x AMENORREA]]=""),"",IF(AND(Tabla1[[#This Row],[FUM X ECO 1]]="",Tabla1[[#This Row],[FUM x AMENORREA]]&lt;&gt;""),"X",SUM(Tabla1[[#This Row],[FUM X ECO 1]]-Tabla1[[#This Row],[FUM x AMENORREA]])))</f>
        <v>-3</v>
      </c>
      <c r="RY179" s="21">
        <f t="shared" si="673"/>
        <v>0</v>
      </c>
    </row>
    <row r="180" spans="1:493" ht="45" customHeight="1" x14ac:dyDescent="0.25">
      <c r="A180" s="109"/>
      <c r="B180" s="43"/>
      <c r="C180" s="43" t="s">
        <v>845</v>
      </c>
      <c r="D180" s="124"/>
      <c r="E180" s="43" t="s">
        <v>1507</v>
      </c>
      <c r="F180" s="43" t="s">
        <v>1365</v>
      </c>
      <c r="G180" s="43" t="s">
        <v>1508</v>
      </c>
      <c r="H180" s="43"/>
      <c r="I180" s="109" t="s">
        <v>851</v>
      </c>
      <c r="J180" s="110">
        <v>1059600322</v>
      </c>
      <c r="K180" s="43" t="s">
        <v>852</v>
      </c>
      <c r="L180" s="175" t="s">
        <v>1509</v>
      </c>
      <c r="M180" s="22">
        <v>37744</v>
      </c>
      <c r="N180" s="213">
        <f t="shared" ca="1" si="601"/>
        <v>20.515068493150686</v>
      </c>
      <c r="O180" s="22">
        <v>45084</v>
      </c>
      <c r="P180" s="214" t="str">
        <f t="shared" si="675"/>
        <v>SI</v>
      </c>
      <c r="Q180" s="26" t="s">
        <v>855</v>
      </c>
      <c r="R180" s="22">
        <v>45084</v>
      </c>
      <c r="S180" s="21" t="s">
        <v>856</v>
      </c>
      <c r="T180" s="24" t="s">
        <v>690</v>
      </c>
      <c r="U180" s="21" t="s">
        <v>857</v>
      </c>
      <c r="V180" s="21" t="s">
        <v>858</v>
      </c>
      <c r="W180" s="21" t="s">
        <v>1062</v>
      </c>
      <c r="X180" s="21"/>
      <c r="Y180" s="21"/>
      <c r="Z180" s="21" t="s">
        <v>894</v>
      </c>
      <c r="AA180" s="21" t="s">
        <v>860</v>
      </c>
      <c r="AB180" s="27" t="s">
        <v>861</v>
      </c>
      <c r="AC180" s="26" t="s">
        <v>888</v>
      </c>
      <c r="AD180" s="38" t="s">
        <v>1546</v>
      </c>
      <c r="AE180" s="26" t="s">
        <v>854</v>
      </c>
      <c r="AF180" s="26" t="s">
        <v>854</v>
      </c>
      <c r="AG180" s="23" t="s">
        <v>864</v>
      </c>
      <c r="AH180" s="23" t="s">
        <v>864</v>
      </c>
      <c r="AI180" s="24" t="s">
        <v>863</v>
      </c>
      <c r="AJ180" s="23" t="s">
        <v>864</v>
      </c>
      <c r="AK180" s="220" t="str">
        <f>IF(AND(AD180="",AE180="",AF180="",AG180="",AH180="",AI180="",AJ180=""),"",IF(OR(Tabla1[[#This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EVALUACIÓN",IF(AND(O180="",R180=""),"",IF(AND(OR(O180&gt;0,R180&gt;0),NG180&gt;=0,NG180&lt;2),"SIN RIESGO",IF(AND(OR(O180&gt;0,R180&gt;0),NG180&gt;=2),"CON RIESGO","ASD")))))</f>
        <v>SIN RIESGO</v>
      </c>
      <c r="AL180" s="23" t="s">
        <v>864</v>
      </c>
      <c r="AM180" s="26" t="s">
        <v>864</v>
      </c>
      <c r="AN180" s="26" t="s">
        <v>864</v>
      </c>
      <c r="AO180" s="26" t="s">
        <v>864</v>
      </c>
      <c r="AP180" s="26" t="s">
        <v>864</v>
      </c>
      <c r="AQ180" s="26" t="s">
        <v>864</v>
      </c>
      <c r="AR180" s="26" t="s">
        <v>864</v>
      </c>
      <c r="AS180" s="21">
        <v>1</v>
      </c>
      <c r="AT180" s="21">
        <v>1</v>
      </c>
      <c r="AU180" s="21">
        <v>0</v>
      </c>
      <c r="AV180" s="26" t="s">
        <v>864</v>
      </c>
      <c r="AW180" s="21">
        <v>0</v>
      </c>
      <c r="AX180" s="26" t="s">
        <v>864</v>
      </c>
      <c r="AY180" s="26" t="s">
        <v>864</v>
      </c>
      <c r="AZ180" s="26" t="s">
        <v>864</v>
      </c>
      <c r="BA180" s="26" t="s">
        <v>864</v>
      </c>
      <c r="BB180" s="26" t="s">
        <v>864</v>
      </c>
      <c r="BC180" s="26" t="s">
        <v>864</v>
      </c>
      <c r="BD180" s="26" t="s">
        <v>864</v>
      </c>
      <c r="BE180" s="26" t="s">
        <v>864</v>
      </c>
      <c r="BF180" s="26" t="s">
        <v>864</v>
      </c>
      <c r="BG180" s="26" t="s">
        <v>864</v>
      </c>
      <c r="BH180" s="26" t="s">
        <v>864</v>
      </c>
      <c r="BI180" s="26" t="s">
        <v>864</v>
      </c>
      <c r="BJ180" s="26" t="s">
        <v>864</v>
      </c>
      <c r="BK180" s="26" t="s">
        <v>864</v>
      </c>
      <c r="BL180" s="26" t="s">
        <v>864</v>
      </c>
      <c r="BM180" s="26" t="s">
        <v>864</v>
      </c>
      <c r="BN180" s="22"/>
      <c r="BO180" s="22">
        <v>45025</v>
      </c>
      <c r="BP180" s="21" t="s">
        <v>864</v>
      </c>
      <c r="BQ180" s="222">
        <f t="shared" si="602"/>
        <v>0</v>
      </c>
      <c r="BR180" s="223">
        <f t="shared" si="603"/>
        <v>45021.599999999999</v>
      </c>
      <c r="BS180" s="224">
        <f t="shared" si="604"/>
        <v>8.4285714285714288</v>
      </c>
      <c r="BT180" s="216" t="str">
        <f t="shared" si="605"/>
        <v>DEFINIR CON ECO</v>
      </c>
      <c r="BU180" s="214">
        <f t="shared" ca="1" si="606"/>
        <v>29.571428571428573</v>
      </c>
      <c r="BV180" s="25" t="s">
        <v>988</v>
      </c>
      <c r="BW180" s="22">
        <v>45121</v>
      </c>
      <c r="BX180" s="28">
        <v>14.2</v>
      </c>
      <c r="BY180" s="28"/>
      <c r="BZ180" s="22"/>
      <c r="CA180" s="21"/>
      <c r="CB180" s="26" t="s">
        <v>864</v>
      </c>
      <c r="CC180" s="26" t="s">
        <v>864</v>
      </c>
      <c r="CD180" s="26"/>
      <c r="CE180" s="26" t="s">
        <v>864</v>
      </c>
      <c r="CF180" s="22" t="s">
        <v>1517</v>
      </c>
      <c r="CG180" s="21">
        <v>1.43</v>
      </c>
      <c r="CH180" s="21">
        <v>43</v>
      </c>
      <c r="CI180" s="214">
        <f t="shared" si="607"/>
        <v>21.027923125825225</v>
      </c>
      <c r="CJ180" s="225" t="str">
        <f>IF(AND(CI180&lt;10,CH180="SD"),"SIN DATO PESO PREGESTACION O I TRIM",IF(AND(OR(R180&gt;0,O180&gt;0),CI180="X"),"INGRESAR DATO DE PESO",IF(CI180="SD","INGRESAR DATO DE TALLA Y PESO",IF(AND(OR(Tabla1[[#This Row],[MOMENTO EN QUE SE REALIZA EL PESO AL INGRESO A CPN]]="PREGESTACIÓN",NZ180="Menor"),CI180&lt;18.5),"BAJO PESO",IF(AND(OR(Tabla1[[#This Row],[MOMENTO EN QUE SE REALIZA EL PESO AL INGRESO A CPN]]="PREGESTACIÓN",NZ180="Menor"),CI180&lt;25),"NORMAL",IF(AND(OR(Tabla1[[#This Row],[MOMENTO EN QUE SE REALIZA EL PESO AL INGRESO A CPN]]="PREGESTACIÓN",NZ180="Menor"),CI180&lt;30),"SOBREPESO",IF(AND(OR(Tabla1[[#This Row],[MOMENTO EN QUE SE REALIZA EL PESO AL INGRESO A CPN]]="PREGESTACIÓN",NZ180="Menor"),CI180&gt;=30,CI180&lt;50),"OBESIDAD",IF(AND(BS180&gt;0,Tabla1[[#This Row],[MOMENTO EN QUE SE REALIZA EL PESO AL INGRESO A CPN]]="GESTACIÓN"),HLOOKUP(NZ180,$OA$2:PH180,NY180),""))))))))</f>
        <v>NORMAL</v>
      </c>
      <c r="CK180" s="212">
        <f t="shared" si="608"/>
        <v>45147</v>
      </c>
      <c r="CL180" s="21">
        <v>43</v>
      </c>
      <c r="CM180" s="214">
        <f t="shared" si="609"/>
        <v>21.027923125825225</v>
      </c>
      <c r="CN180" s="216">
        <f t="shared" si="610"/>
        <v>17</v>
      </c>
      <c r="CO180" s="216" t="e">
        <f>IF(PI180="","",IF(PI180&gt;0,HLOOKUP(PI180,$PJ$2:QQ180,NY180),""))</f>
        <v>#REF!</v>
      </c>
      <c r="CP180" s="21">
        <v>13.5</v>
      </c>
      <c r="CQ180" s="216" t="e">
        <f>IF(QR180="Menor","NO APLICA-MENOR 13 SEM",IF(AND(CC180="SI",CN180&gt;23),"NO APLICA- GEMELAR",IF(QR180="","",IF(QR180&gt;0,HLOOKUP(QR180,$QS$2:RU180,NY180),""))))</f>
        <v>#REF!</v>
      </c>
      <c r="CR180" s="21">
        <v>90</v>
      </c>
      <c r="CS180" s="21">
        <v>70</v>
      </c>
      <c r="CT180" s="217" t="str">
        <f>IF(R180="","",IF(AND(BS180&gt;1,BS180&lt;12,Tabla1[[#This Row],[T.A. SISTOLICA - ANTES DE SEMANA 12]]="",Tabla1[[#This Row],[T.A. DIASTOLICA - ANTES DE SEMANA 12]]=""),"REGISTRE DATO TA ANTES SEMANA 12",IF(AND(BS180&gt;11,BS180&lt;43,Tabla1[[#This Row],[T.A. SISTOLICA - ANTES DE SEMANA 12]]="",Tabla1[[#This Row],[T.A. DIASTOLICA - ANTES DE SEMANA 12]]=""),"NO APLICA REGISTRO TA-INGRESO TARDIO",IF(AND(OR(O180&gt;0,R180&gt;0),OR(CR180&gt;=140,CS180&gt;=90)),"DEFINIR ESTADIO HTA",IF(AND(OR(O180&gt;0,R180&gt;0),AND(CR180&gt;120,CR180&lt;=139)),"PRE HTA SEGUIMIENTO",IF(AND(OR(O180&gt;0,R180&gt;0),AND(CS180&gt;80,CS180&lt;=89)),"PRE HTA SEGUIMIENTO",IF(AND(OR(O180&gt;0,R180&gt;0),AND(CR180&gt;=80,CR180&lt;=120)),"APARENTEMENTE NORMAL",IF(AND(OR(O180&gt;0,R180&gt;0),AND(CS180&gt;=50,CS180&lt;=80)),"APARENTEMENTE NORMAL",IF(AND(OR(O180&gt;0,R180&gt;0),AND(CR180&gt;1,CR180&lt;=70),AND(CS180&gt;1,CS180&lt;=40)),"HIPOTENSIÓN","")))))))))</f>
        <v>APARENTEMENTE NORMAL</v>
      </c>
      <c r="CU180" s="21"/>
      <c r="CV180" s="21"/>
      <c r="CW180" s="217" t="str">
        <f ca="1">IF(R180="","",IF(AND(CN180&gt;19,CN180&lt;27,Tabla1[[#This Row],[T.A. SISTOLICA (Entre semana 20 y 26)]]="",Tabla1[[#This Row],[T.A. DIATOLICA (Entre semana 20 y 26)]]=""),"ACUDE A CONTROL SEM 20 A 26 REGISTRE TA AHORA",IF(AND(BS180&gt;1,BS180&lt;27,BU180&gt;19,Tabla1[[#This Row],[T.A. SISTOLICA (Entre semana 20 y 26)]]="",Tabla1[[#This Row],[T.A. DIATOLICA (Entre semana 20 y 26)]]=""),"COMPLETE REGISTRO TA CONTROL SEM 20 A26 ",IF(AND(BS180&gt;26,BS180&lt;43,Tabla1[[#This Row],[T.A. SISTOLICA (Entre semana 20 y 26)]]="",Tabla1[[#This Row],[T.A. DIATOLICA (Entre semana 20 y 26)]]=""),"NO APLICA REGISTRO TA-INGRESO TARDIO",IF(AND(OR(O180&gt;0,R180&gt;0),OR(CU180&gt;=140,CV180&gt;=90)),"ALTO RIESGO PREECLAMPSIA,DEFINIR ESTADIO HTA",IF(AND(OR(O180&gt;0,R180&gt;0),AND(CU180&gt;120,CU180&lt;=139)),"PRE HTA SEGUIMIENTO,RIESGO HIPERTENSION INDUCIDA POR EL EMBARAZO",IF(AND(OR(O180&gt;0,R180&gt;0),AND(CV180&gt;80,CV180&lt;=89)),"PRE HTA SEGUIMIENTO, RIESGO HIPERTENSION INDUCIDA POR EL EMBARAZO",IF(AND(OR(O180&lt;&gt;"",R180&lt;&gt;""),CS180&lt;&gt;"",CV180&lt;&gt;"",CS180&lt;=CV180),"VIGILAR CIFRAS PRESION ARTERIAL",IF(AND(OR(O180&gt;0,R180&gt;0),AND(CU180&gt;120,CU180&lt;=139)),"PRE HTA SEGUIMIENTO",IF(AND(OR(O180&gt;0,R180&gt;0),AND(CU180&gt;1,CU180&lt;=70),AND(CV180&gt;1,CV180&lt;=40)),"HIPOTENSIÓN",IF(AND(OR(O180&lt;&gt;"",R180&lt;&gt;""),CS180&lt;&gt;"",CV180&lt;&gt;"",CS180&gt;CV180),"APARENTEMENTE NORMAL",IF(AND(OR(O180&gt;0,R180&gt;0),AND(CU180&gt;=80,CU180&lt;=120)),"APARENTEMENTE NORMAL",IF(AND(OR(O180&gt;0,R180&gt;0),AND(CV180&gt;=50,CV180&lt;=80)),"APARENTEMENTE NORMAL","")))))))))))))</f>
        <v xml:space="preserve">COMPLETE REGISTRO TA CONTROL SEM 20 A26 </v>
      </c>
      <c r="CX180" s="21"/>
      <c r="CY180" s="21"/>
      <c r="CZ180" s="216" t="str">
        <f t="shared" si="729"/>
        <v/>
      </c>
      <c r="DA180" s="21">
        <v>90</v>
      </c>
      <c r="DB180" s="21">
        <v>60</v>
      </c>
      <c r="DC180" s="217" t="str">
        <f t="shared" si="611"/>
        <v>APARENTEMENTE NORMAL</v>
      </c>
      <c r="DD180" s="22">
        <v>45084</v>
      </c>
      <c r="DE180" s="22">
        <v>45084</v>
      </c>
      <c r="DF180" s="22">
        <v>45121</v>
      </c>
      <c r="DG180" s="22">
        <v>45147</v>
      </c>
      <c r="DH180" s="22"/>
      <c r="DI180" s="22"/>
      <c r="DJ180" s="22"/>
      <c r="DK180" s="22"/>
      <c r="DL180" s="22"/>
      <c r="DM180" s="22"/>
      <c r="DN180" s="22"/>
      <c r="DO180" s="22"/>
      <c r="DP180" s="22"/>
      <c r="DQ180" s="22"/>
      <c r="DR180" s="28">
        <v>0</v>
      </c>
      <c r="DS180" s="22"/>
      <c r="DT180" s="22"/>
      <c r="DU180" s="216" t="str">
        <f t="shared" ca="1" si="676"/>
        <v>PLANEAR PLAN DE PARTO</v>
      </c>
      <c r="DV180" s="226" t="str">
        <f t="shared" si="677"/>
        <v>ACTIVA INGRESO A CPN</v>
      </c>
      <c r="DW180"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80" s="216" t="e">
        <f t="shared" ca="1" si="612"/>
        <v>#REF!</v>
      </c>
      <c r="DY180" s="212">
        <f>IF(R180="","",IF(R180&gt;0,MAX(Tabla1[[#This Row],[FECHA C2]:[FECHA C13]],Tabla1[[#This Row],[FECHA CONSULTA PRIMERA VEZ PROGRAMA CPN ]])))</f>
        <v>45147</v>
      </c>
      <c r="DZ180" s="216">
        <f t="shared" si="613"/>
        <v>17</v>
      </c>
      <c r="EA180" s="222">
        <f>IF(R180&gt;0,SUM(COUNTA(DF180:DQ180)+COUNTA(Tabla1[[#This Row],[FECHA CONSULTA PRIMERA VEZ PROGRAMA CPN ]])),"")</f>
        <v>3</v>
      </c>
      <c r="EB180" s="222" t="str">
        <f t="shared" si="614"/>
        <v>NO</v>
      </c>
      <c r="EC180" s="214">
        <f t="shared" si="615"/>
        <v>9</v>
      </c>
      <c r="ED180" s="227">
        <f t="shared" si="616"/>
        <v>0.33333333333333331</v>
      </c>
      <c r="EE180" s="22">
        <v>45084</v>
      </c>
      <c r="EF180" s="22">
        <v>45084</v>
      </c>
      <c r="EG180" s="22">
        <v>45084</v>
      </c>
      <c r="EH180" s="22"/>
      <c r="EI180" s="22">
        <v>45084</v>
      </c>
      <c r="EJ180" s="22"/>
      <c r="EK180" s="22"/>
      <c r="EL180" s="21"/>
      <c r="EM180" s="21">
        <v>13.4</v>
      </c>
      <c r="EN180" s="22">
        <v>45087</v>
      </c>
      <c r="EO180" s="222">
        <f t="shared" si="617"/>
        <v>8.8571428571428577</v>
      </c>
      <c r="EP180" s="214" t="str">
        <f t="shared" si="618"/>
        <v>NORMAL- SUMINISTRAR SULFATO FERROSO</v>
      </c>
      <c r="EQ180" s="216" t="str">
        <f t="shared" si="619"/>
        <v>I TRIM</v>
      </c>
      <c r="ER180" s="24"/>
      <c r="ES180" s="22"/>
      <c r="ET180" s="29" t="str">
        <f t="shared" ca="1" si="678"/>
        <v>EN SEMANA 28 TOMA INMEDIATA DE EXAMEN</v>
      </c>
      <c r="EU180" s="25" t="str">
        <f t="shared" si="620"/>
        <v/>
      </c>
      <c r="EV180" s="24" t="s">
        <v>1510</v>
      </c>
      <c r="EW180" s="24">
        <v>45087</v>
      </c>
      <c r="EX180" s="22"/>
      <c r="EY180" s="29">
        <f t="shared" si="693"/>
        <v>8.8571428571428577</v>
      </c>
      <c r="EZ180" s="25" t="str">
        <f t="shared" si="694"/>
        <v>SIN RIESGO DE ISOINMUNIZACIÓN</v>
      </c>
      <c r="FA180" s="21">
        <v>60</v>
      </c>
      <c r="FB180" s="22">
        <v>45087</v>
      </c>
      <c r="FC180" s="29">
        <f t="shared" si="621"/>
        <v>8.8571428571428577</v>
      </c>
      <c r="FD180" s="29"/>
      <c r="FE180" s="29"/>
      <c r="FF180" s="29"/>
      <c r="FG180" s="21" t="str">
        <f t="shared" ca="1" si="622"/>
        <v>TOMAR PTOG</v>
      </c>
      <c r="FH180" s="31"/>
      <c r="FI180" s="29" t="str">
        <f t="shared" si="623"/>
        <v>TOMAR EXAMEN</v>
      </c>
      <c r="FJ180" s="22" t="s">
        <v>867</v>
      </c>
      <c r="FK180" s="22">
        <v>45087</v>
      </c>
      <c r="FL180" s="29">
        <f t="shared" ca="1" si="624"/>
        <v>8.8571428571428577</v>
      </c>
      <c r="FM180" s="22"/>
      <c r="FN180" s="32"/>
      <c r="FO180" s="29" t="str">
        <f t="shared" ca="1" si="679"/>
        <v>PIERDE TOMA DE TAMIZAJE</v>
      </c>
      <c r="FP180" s="22"/>
      <c r="FQ180" s="32"/>
      <c r="FR180" s="29" t="str">
        <f t="shared" ca="1" si="680"/>
        <v>EN RANGO PARA TOMAR EXAMEN</v>
      </c>
      <c r="FS180" s="22"/>
      <c r="FT180" s="32"/>
      <c r="FU180" s="29" t="str">
        <f>IF(AND(FJ180="",FM180="",FP180="",FS180=""),"",IF(OR(OR(Tabla1[[#This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80" s="28"/>
      <c r="FW180" s="22"/>
      <c r="FX180" s="29" t="str">
        <f t="shared" si="625"/>
        <v>TOMAR EXAMEN</v>
      </c>
      <c r="FY180" s="22" t="s">
        <v>868</v>
      </c>
      <c r="FZ180" s="22">
        <v>45087</v>
      </c>
      <c r="GA180" s="29">
        <f t="shared" ca="1" si="692"/>
        <v>8.8571428571428577</v>
      </c>
      <c r="GB180" s="22"/>
      <c r="GC180" s="22"/>
      <c r="GD180" s="29" t="str">
        <f t="shared" ca="1" si="732"/>
        <v>PIERDE TOMA DE TAMIZAJE</v>
      </c>
      <c r="GE180" s="22"/>
      <c r="GF180" s="22"/>
      <c r="GG180" s="29" t="str">
        <f t="shared" ca="1" si="682"/>
        <v>EN RANGO PARA TOMAR EXAMEN</v>
      </c>
      <c r="GH180" s="22"/>
      <c r="GI180" s="29"/>
      <c r="GJ180" s="22"/>
      <c r="GK180" s="22"/>
      <c r="GL180" s="22"/>
      <c r="GM180" s="22"/>
      <c r="GN180" s="28" t="s">
        <v>869</v>
      </c>
      <c r="GO180" s="22">
        <v>45087</v>
      </c>
      <c r="GP180" s="29">
        <f t="shared" si="626"/>
        <v>8.8571428571428577</v>
      </c>
      <c r="GQ180" s="28" t="s">
        <v>869</v>
      </c>
      <c r="GR180" s="28" t="s">
        <v>869</v>
      </c>
      <c r="GS180" s="22" t="str">
        <f t="shared" si="728"/>
        <v>CONTROL Igm</v>
      </c>
      <c r="GT180" s="22">
        <v>45087</v>
      </c>
      <c r="GU180" s="29">
        <f t="shared" si="628"/>
        <v>8.8571428571428577</v>
      </c>
      <c r="GV180" s="21" t="str">
        <f t="shared" si="629"/>
        <v>I TRIM</v>
      </c>
      <c r="GW180" s="28"/>
      <c r="GX180" s="30"/>
      <c r="GY180" s="21"/>
      <c r="GZ180" s="21"/>
      <c r="HA180" s="21"/>
      <c r="HB180" s="21"/>
      <c r="HC180" s="21"/>
      <c r="HD180" s="21"/>
      <c r="HE180" s="21"/>
      <c r="HF180" s="22"/>
      <c r="HG180" s="22" t="str">
        <f>IF(OR(O180&gt;0,R180&gt;0),CONCATENATE(IF(Tabla1[[#This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80" s="22" t="e">
        <f t="shared" si="630"/>
        <v>#REF!</v>
      </c>
      <c r="HI180" s="22" t="e">
        <f t="shared" ca="1" si="631"/>
        <v>#REF!</v>
      </c>
      <c r="HJ180" s="21" t="str">
        <f t="shared" ca="1" si="632"/>
        <v>***************************************</v>
      </c>
      <c r="HK180" s="21" t="str">
        <f t="shared" si="633"/>
        <v>SIN ANTECEDENTES DE RIESGO</v>
      </c>
      <c r="HL180" s="24" t="str">
        <f t="shared" si="634"/>
        <v>APARENTEMENTE NORMAL</v>
      </c>
      <c r="HM180" s="21" t="e">
        <f t="shared" ca="1" si="635"/>
        <v>#REF!</v>
      </c>
      <c r="HN180" s="30" t="str">
        <f t="shared" si="683"/>
        <v>ACTIVA INGRESO A CPN</v>
      </c>
      <c r="HO180" s="21"/>
      <c r="HP180" s="21"/>
      <c r="HQ180" s="349"/>
      <c r="HR180" s="21" t="str">
        <f>IF(R180="","",IF(Tabla1[[#This Row],[ALARMA FACTORES DE RIESGO COMPLICACIONES HIPERTENSIVAS3]]="SIN ANTECEDENTES DE RIESGO","No Aplica para suministro de ASA",IF(AND(Tabla1[[#This Row],[FECHA INICIO DE SUMINISTRO DE ASA]]&gt;0,RV180&lt;12),"Inicia ASA ANTES de Sem 12",IF(AND(RV180&gt;11,RV180&lt;17,OR(HK180="RIESGO ALTO DE COMPLICACIONES HIPERTENSIVAS VER MANEJO GUIA SUMINISTRO ASA Y CALCIO",HK180="RIESGO MODERADO (2 O MAS CRITERIOS) VER MANEJO GUIA SUMINISTRO ASA Y CALCIO")),"Inicio oportuno de ASA",IF(AND(RV180&gt;12,OR(HK180="RIESGO ALTO DE COMPLICACIONES HIPERTENSIVAS VER MANEJO GUIA SUMINISTRO ASA Y CALCIO",HK180="RIESGO MODERADO (2 O MAS CRITERIOS) VER MANEJO GUIA SUMINISTRO ASA Y CALCIO")),"Inicio no oportuno mayor a 16 semanas",IF(AND(BU180&lt;12,OR(HK180="RIESGO ALTO DE COMPLICACIONES HIPERTENSIVAS VER MANEJO GUIA SUMINISTRO ASA Y CALCIO",HK180="RIESGO MODERADO (2 O MAS CRITERIOS) VER MANEJO GUIA SUMINISTRO ASA Y CALCIO")),"Pendiente Inicio de ASA a la semana 12",IF(AND(BU180&gt;11,BU180&lt;17,OR(HK180="RIESGO ALTO DE COMPLICACIONES HIPERTENSIVAS VER MANEJO GUIA SUMINISTRO ASA Y CALCIO",HK180="RIESGO MODERADO (2 O MAS CRITERIOS) VER MANEJO GUIA SUMINISTRO ASA Y CALCIO")),"Iniciar de inmediato ASA",IF(AND(BU180&gt;16,OR(HK180="RIESGO ALTO DE COMPLICACIONES HIPERTENSIVAS VER MANEJO GUIA SUMINISTRO ASA Y CALCIO",HK180="RIESGO MODERADO (2 O MAS CRITERIOS) VER MANEJO GUIA SUMINISTRO ASA Y CALCIO")),"Pierde Oportunidad, Inicio tardío de ASA","XXXXX"))))))))</f>
        <v>No Aplica para suministro de ASA</v>
      </c>
      <c r="HS180" s="22">
        <v>45084</v>
      </c>
      <c r="HT180" s="22" t="s">
        <v>1505</v>
      </c>
      <c r="HU180" s="22">
        <v>45084</v>
      </c>
      <c r="HV180" s="22" t="s">
        <v>1506</v>
      </c>
      <c r="HW180" s="22">
        <v>45084</v>
      </c>
      <c r="HX180" s="22" t="s">
        <v>1511</v>
      </c>
      <c r="HY180" s="22"/>
      <c r="HZ180" s="28" t="str">
        <f t="shared" si="636"/>
        <v>PENDIENTE CONSULTA</v>
      </c>
      <c r="IA180" s="26"/>
      <c r="IB180" s="26"/>
      <c r="IC180" s="111"/>
      <c r="ID180" s="22"/>
      <c r="IE180" s="22" t="str">
        <f t="shared" ca="1" si="637"/>
        <v>INASISTENTE</v>
      </c>
      <c r="IF180" s="22"/>
      <c r="IG180" s="22">
        <f t="shared" si="638"/>
        <v>45305</v>
      </c>
      <c r="IH180" s="29">
        <f t="shared" ca="1" si="639"/>
        <v>73</v>
      </c>
      <c r="II180" s="22" t="str">
        <f t="shared" ca="1" si="640"/>
        <v>PENDIENTE</v>
      </c>
      <c r="IJ180" s="22"/>
      <c r="IK180" s="21"/>
      <c r="IL180" s="21"/>
      <c r="IM180" s="34"/>
      <c r="IN180" s="22"/>
      <c r="IO180" s="21"/>
      <c r="IP180" s="29" t="str">
        <f t="shared" si="730"/>
        <v/>
      </c>
      <c r="IQ180" s="35"/>
      <c r="IR180" s="21"/>
      <c r="IS180" s="21"/>
      <c r="IT180" s="21"/>
      <c r="IU180" s="21"/>
      <c r="IV180" s="21"/>
      <c r="IW180" s="21"/>
      <c r="IX180" s="21"/>
      <c r="IY180" s="21"/>
      <c r="IZ180" s="21"/>
      <c r="JA180" s="21"/>
      <c r="JB180" s="30"/>
      <c r="JC180" s="21"/>
      <c r="JD180" s="36"/>
      <c r="JE180" s="21" t="str">
        <f t="shared" si="733"/>
        <v/>
      </c>
      <c r="JF180" s="30"/>
      <c r="JG180" s="21"/>
      <c r="JH180" s="21"/>
      <c r="JI180" s="21"/>
      <c r="JJ180" s="30"/>
      <c r="JK180" s="22"/>
      <c r="JL180" s="22"/>
      <c r="JM180" s="21"/>
      <c r="JN180" s="36"/>
      <c r="JO180" s="21" t="str">
        <f t="shared" si="734"/>
        <v/>
      </c>
      <c r="JP180" s="22"/>
      <c r="JQ180" s="21"/>
      <c r="JR180" s="21"/>
      <c r="JS180" s="21"/>
      <c r="JT180" s="30"/>
      <c r="JU180" s="22"/>
      <c r="JV180" s="22"/>
      <c r="JW180" s="33"/>
      <c r="JX180" s="28" t="str">
        <f t="shared" si="735"/>
        <v/>
      </c>
      <c r="JY180" s="33"/>
      <c r="JZ180" s="28" t="str">
        <f t="shared" si="736"/>
        <v/>
      </c>
      <c r="KA180" s="21"/>
      <c r="KB180" s="21"/>
      <c r="KC180" s="21"/>
      <c r="KD180" s="37"/>
      <c r="KE180" s="28"/>
      <c r="KF180" s="28"/>
      <c r="KG180" s="28"/>
      <c r="KH180" s="39"/>
      <c r="KI180" s="39"/>
      <c r="KJ180" s="66"/>
      <c r="KK180" s="39"/>
      <c r="KL180" s="39"/>
      <c r="KM180" s="66"/>
      <c r="KN180" s="39"/>
      <c r="KO180" s="39"/>
      <c r="KP180" s="39"/>
      <c r="KQ180" s="39"/>
      <c r="KR180" s="39"/>
      <c r="KS180" s="39"/>
      <c r="KT180" s="39"/>
      <c r="KU180" s="38"/>
      <c r="KV180" s="38"/>
      <c r="KW180" s="38"/>
      <c r="KX180" s="38"/>
      <c r="KY180" s="38"/>
      <c r="KZ180" s="38"/>
      <c r="LA180" s="38"/>
      <c r="LB180" s="38"/>
      <c r="LC180" s="38"/>
      <c r="LD180" s="38"/>
      <c r="LE180" s="38"/>
      <c r="LF180" s="38"/>
      <c r="LG180" s="38"/>
      <c r="LH180" s="38"/>
      <c r="LI180" s="38"/>
      <c r="LJ180" s="38"/>
      <c r="LK180" s="38"/>
      <c r="LL180" s="38"/>
      <c r="LM180" s="38"/>
      <c r="LN180" s="38"/>
      <c r="LO180" s="38"/>
      <c r="LP180" s="38"/>
      <c r="LQ180" s="38"/>
      <c r="LR180" s="38"/>
      <c r="LS180" s="38"/>
      <c r="LT180" s="38"/>
      <c r="LU180" s="38"/>
      <c r="LV180" s="38"/>
      <c r="LW180" s="38"/>
      <c r="LX180" s="38"/>
      <c r="LY180" s="38"/>
      <c r="LZ180" s="38"/>
      <c r="MA180" s="38"/>
      <c r="MB180" s="38"/>
      <c r="MC180" s="38"/>
      <c r="MD180" s="38"/>
      <c r="ME180" s="38"/>
      <c r="MF180" s="38"/>
      <c r="MG180" s="38"/>
      <c r="MH180" s="43">
        <f t="shared" si="697"/>
        <v>0</v>
      </c>
      <c r="MI180" s="43" t="str">
        <f t="shared" si="698"/>
        <v/>
      </c>
      <c r="MJ180" s="43" t="str">
        <f t="shared" si="699"/>
        <v/>
      </c>
      <c r="MK180" s="43">
        <f t="shared" si="700"/>
        <v>0</v>
      </c>
      <c r="ML18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80" s="43">
        <f t="shared" si="701"/>
        <v>8.4285714285714288</v>
      </c>
      <c r="MN180" s="43">
        <f t="shared" si="702"/>
        <v>6</v>
      </c>
      <c r="MO180" s="43">
        <f t="shared" si="703"/>
        <v>2023</v>
      </c>
      <c r="MP180" s="43" t="str">
        <f t="shared" si="704"/>
        <v>II TRIMESTRE AÑO</v>
      </c>
      <c r="MQ180" s="43">
        <f t="shared" si="705"/>
        <v>19.803985983355233</v>
      </c>
      <c r="MR180" s="43">
        <f t="shared" si="706"/>
        <v>0</v>
      </c>
      <c r="MS180" s="43" t="str">
        <f t="shared" si="707"/>
        <v>DE 14 A 19AÑOS</v>
      </c>
      <c r="MT180" s="43">
        <f t="shared" si="708"/>
        <v>0</v>
      </c>
      <c r="MU180" s="43">
        <f t="shared" si="709"/>
        <v>0</v>
      </c>
      <c r="MV180" s="43">
        <f t="shared" si="710"/>
        <v>0</v>
      </c>
      <c r="MW180" s="43">
        <f t="shared" si="711"/>
        <v>0</v>
      </c>
      <c r="MX180" s="43" t="str">
        <f t="shared" si="712"/>
        <v/>
      </c>
      <c r="MY180" s="43" t="str">
        <f t="shared" ca="1" si="737"/>
        <v/>
      </c>
      <c r="MZ180" s="43" t="str">
        <f t="shared" si="713"/>
        <v/>
      </c>
      <c r="NA180" s="43" t="str">
        <f t="shared" si="714"/>
        <v/>
      </c>
      <c r="NB180" s="43" t="str">
        <f t="shared" si="715"/>
        <v/>
      </c>
      <c r="NC180" s="43" t="str">
        <f t="shared" si="716"/>
        <v/>
      </c>
      <c r="ND180" s="43">
        <f t="shared" ca="1" si="717"/>
        <v>0</v>
      </c>
      <c r="NE180" s="43">
        <f>IF(OR(O180&gt;0,R180&gt;0),SUM(COUNTIF(Tabla1[[#This Row],[AÑOS AL INICIO5 CPN]],"&gt;=40"),COUNTIF(AS180,"0"),COUNTIF(AR180,"SI"),COUNTIF(CC180,"SI"),COUNTIF(BQ180,"&gt;119"),COUNTIF(CI180,"&gt;=35")),"")</f>
        <v>0</v>
      </c>
      <c r="NF180" s="43" t="str">
        <f t="shared" si="718"/>
        <v/>
      </c>
      <c r="NG180" s="43">
        <f t="shared" si="719"/>
        <v>0</v>
      </c>
      <c r="NH180" s="43">
        <f t="shared" si="720"/>
        <v>99.399999999999991</v>
      </c>
      <c r="NI180"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CPN",P180="NO"),"Z",IF(AND(Tabla1[[#This Row],[CITA PROXIMO CONTROL]]="CITA MANUAL",Tabla1[[#This Row],[GESTANTES ACTUALES]]="ACTIVA INGRESO A CPN"),"W",IF(AND(Tabla1[[#This Row],[GESTANTES ACTUALES]]="SALIO PROGRAMA",IN180=""),"S",IF(AND(Tabla1[[#This Row],[CITA PROXIMO CONTROL]]&gt;0,IN180=""),(Tabla1[[#This Row],[CITA PROXIMO CONTROL]]-TODAY()),"SD"))))))))</f>
        <v>#REF!</v>
      </c>
      <c r="NJ180" s="43">
        <f>MONTH(Tabla1[[#This Row],[FECHA DE SALIDA  DEL PROGRAMA]])</f>
        <v>1</v>
      </c>
      <c r="NK180" s="43">
        <f>YEAR(Tabla1[[#This Row],[FECHA DE SALIDA  DEL PROGRAMA]])</f>
        <v>1900</v>
      </c>
      <c r="NL180" s="43" t="str">
        <f t="shared" si="721"/>
        <v>X</v>
      </c>
      <c r="NM180" s="43" t="str">
        <f t="shared" si="695"/>
        <v>NO</v>
      </c>
      <c r="NN180" s="43" t="str">
        <f ca="1">IF(AND(O180&gt;0,R180=""),"NO CPN",IF(AND(O180="",R180=""),"",IF(AND(R180&gt;0,Tabla1[[#This Row],[SEMANAS DE GESTACION ACTUALIZADAS]]&lt;=12),"NO APLICA",IF(AND(FH180&lt;&gt;"",FN180&lt;&gt;""),"SI","NO"))))</f>
        <v>NO</v>
      </c>
      <c r="NO180" s="43" t="str">
        <f ca="1">IF(AND(O180&gt;0,R180=""),"NO CPN",IF(AND(O180="",R180=""),"",IF(AND(R180&gt;0,Tabla1[[#This Row],[SEMANAS DE GESTACION ACTUALIZADAS]]&lt;=27),"NO APLICA",IF(AND(ES180&lt;&gt;"",FQ180&lt;&gt;"",GF180&lt;&gt;""),"SI","NO"))))</f>
        <v>NO</v>
      </c>
      <c r="NP180" s="204" t="str">
        <f t="shared" si="722"/>
        <v>DEFINIR CON ECO</v>
      </c>
      <c r="NQ180" s="21" t="str">
        <f t="shared" si="731"/>
        <v/>
      </c>
      <c r="NR180" s="21">
        <f t="shared" ca="1" si="738"/>
        <v>3</v>
      </c>
      <c r="NS180" s="205">
        <f t="shared" ca="1" si="723"/>
        <v>1</v>
      </c>
      <c r="NT180" s="21">
        <f t="shared" ca="1" si="724"/>
        <v>1</v>
      </c>
      <c r="NU180" s="21" t="str">
        <f t="shared" ca="1" si="725"/>
        <v>INCOMPLETO</v>
      </c>
      <c r="NV180" s="21" t="str">
        <f t="shared" ca="1" si="726"/>
        <v>INCOMPLETO</v>
      </c>
      <c r="NW180" s="206" t="str">
        <f>IF(AND(O180="",R180=""),"",IF(OR(AND(Tabla1[[#This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80" s="207" t="str">
        <f t="shared" ca="1" si="727"/>
        <v>SIN VACUNAR</v>
      </c>
      <c r="NY180" s="43">
        <f>ROW(Tabla1[[#This Row],['# DE TAMIZAJES SIFILIS TOMADOS ]])</f>
        <v>180</v>
      </c>
      <c r="NZ180" s="43" t="str">
        <f t="shared" si="502"/>
        <v>Menor</v>
      </c>
      <c r="OA180" s="43" t="str">
        <f t="shared" si="503"/>
        <v>NORMAL</v>
      </c>
      <c r="OB180" s="43" t="str">
        <f t="shared" si="504"/>
        <v/>
      </c>
      <c r="OC180" s="43" t="str">
        <f t="shared" si="505"/>
        <v/>
      </c>
      <c r="OD180" s="43" t="str">
        <f t="shared" si="506"/>
        <v/>
      </c>
      <c r="OE180" s="43" t="str">
        <f t="shared" si="507"/>
        <v/>
      </c>
      <c r="OF180" s="43" t="str">
        <f t="shared" si="508"/>
        <v/>
      </c>
      <c r="OG180" s="43" t="str">
        <f t="shared" si="509"/>
        <v/>
      </c>
      <c r="OH180" s="43" t="str">
        <f t="shared" si="510"/>
        <v/>
      </c>
      <c r="OI180" s="43" t="str">
        <f t="shared" si="511"/>
        <v/>
      </c>
      <c r="OJ180" s="43" t="str">
        <f t="shared" si="512"/>
        <v/>
      </c>
      <c r="OK180" s="43" t="str">
        <f t="shared" si="513"/>
        <v/>
      </c>
      <c r="OL180" s="43" t="str">
        <f t="shared" si="514"/>
        <v/>
      </c>
      <c r="OM180" s="43" t="str">
        <f t="shared" si="515"/>
        <v/>
      </c>
      <c r="ON180" s="43" t="str">
        <f t="shared" si="516"/>
        <v/>
      </c>
      <c r="OO180" s="43" t="str">
        <f t="shared" si="517"/>
        <v/>
      </c>
      <c r="OP180" s="43" t="str">
        <f t="shared" si="518"/>
        <v/>
      </c>
      <c r="OQ180" s="43" t="str">
        <f t="shared" si="519"/>
        <v/>
      </c>
      <c r="OR180" s="43" t="str">
        <f t="shared" si="520"/>
        <v/>
      </c>
      <c r="OS180" s="43" t="str">
        <f t="shared" si="521"/>
        <v/>
      </c>
      <c r="OT180" s="43" t="str">
        <f t="shared" si="522"/>
        <v/>
      </c>
      <c r="OU180" s="43" t="str">
        <f t="shared" si="523"/>
        <v/>
      </c>
      <c r="OV180" s="110" t="str">
        <f t="shared" si="524"/>
        <v/>
      </c>
      <c r="OW180" s="43" t="str">
        <f t="shared" si="525"/>
        <v/>
      </c>
      <c r="OX180" s="43" t="str">
        <f t="shared" si="526"/>
        <v/>
      </c>
      <c r="OY180" s="43" t="str">
        <f t="shared" si="527"/>
        <v/>
      </c>
      <c r="OZ180" s="43" t="str">
        <f t="shared" si="528"/>
        <v/>
      </c>
      <c r="PA180" s="43" t="str">
        <f t="shared" si="529"/>
        <v/>
      </c>
      <c r="PB180" s="43" t="str">
        <f t="shared" si="530"/>
        <v/>
      </c>
      <c r="PC180" s="43" t="str">
        <f t="shared" si="531"/>
        <v/>
      </c>
      <c r="PD180" s="43" t="str">
        <f t="shared" si="532"/>
        <v/>
      </c>
      <c r="PE180" s="43" t="str">
        <f t="shared" si="533"/>
        <v/>
      </c>
      <c r="PF180" s="43" t="str">
        <f t="shared" si="534"/>
        <v/>
      </c>
      <c r="PG180" s="43" t="str">
        <f t="shared" si="535"/>
        <v/>
      </c>
      <c r="PH180" s="43" t="str">
        <f t="shared" si="536"/>
        <v/>
      </c>
      <c r="PI180" s="43">
        <f t="shared" si="537"/>
        <v>17</v>
      </c>
      <c r="PJ180" s="43" t="str">
        <f t="shared" si="538"/>
        <v/>
      </c>
      <c r="PK180" s="43" t="str">
        <f t="shared" si="539"/>
        <v/>
      </c>
      <c r="PL180" s="43" t="str">
        <f t="shared" si="540"/>
        <v/>
      </c>
      <c r="PM180" s="43" t="str">
        <f t="shared" si="541"/>
        <v/>
      </c>
      <c r="PN180" s="43" t="str">
        <f t="shared" si="542"/>
        <v/>
      </c>
      <c r="PO180" s="43" t="str">
        <f t="shared" si="543"/>
        <v/>
      </c>
      <c r="PP180" s="43" t="str">
        <f t="shared" si="544"/>
        <v/>
      </c>
      <c r="PQ180" s="43" t="str">
        <f t="shared" si="545"/>
        <v/>
      </c>
      <c r="PR180" s="43" t="str">
        <f t="shared" si="546"/>
        <v>BAJO PESO</v>
      </c>
      <c r="PS180" s="43" t="str">
        <f t="shared" si="547"/>
        <v/>
      </c>
      <c r="PT180" s="43" t="str">
        <f t="shared" si="548"/>
        <v/>
      </c>
      <c r="PU180" s="43" t="str">
        <f t="shared" si="549"/>
        <v/>
      </c>
      <c r="PV180" s="43" t="str">
        <f t="shared" si="550"/>
        <v/>
      </c>
      <c r="PW180" s="43" t="str">
        <f t="shared" si="551"/>
        <v/>
      </c>
      <c r="PX180" s="43" t="str">
        <f t="shared" si="552"/>
        <v/>
      </c>
      <c r="PY180" s="43" t="str">
        <f t="shared" si="553"/>
        <v/>
      </c>
      <c r="PZ180" s="43" t="str">
        <f t="shared" si="554"/>
        <v/>
      </c>
      <c r="QA180" s="43" t="str">
        <f t="shared" si="555"/>
        <v/>
      </c>
      <c r="QB180" s="43" t="str">
        <f t="shared" si="556"/>
        <v/>
      </c>
      <c r="QC180" s="43" t="str">
        <f t="shared" si="557"/>
        <v/>
      </c>
      <c r="QD180" s="43" t="str">
        <f t="shared" si="558"/>
        <v/>
      </c>
      <c r="QE180" s="43" t="str">
        <f t="shared" si="559"/>
        <v/>
      </c>
      <c r="QF180" s="43" t="str">
        <f t="shared" si="560"/>
        <v/>
      </c>
      <c r="QG180" s="43" t="str">
        <f t="shared" si="561"/>
        <v/>
      </c>
      <c r="QH180" s="43" t="str">
        <f t="shared" si="562"/>
        <v/>
      </c>
      <c r="QI180" s="43" t="str">
        <f t="shared" si="563"/>
        <v/>
      </c>
      <c r="QJ180" s="43" t="str">
        <f t="shared" si="564"/>
        <v/>
      </c>
      <c r="QK180" s="43" t="str">
        <f t="shared" si="565"/>
        <v/>
      </c>
      <c r="QL180" s="43" t="str">
        <f t="shared" si="566"/>
        <v/>
      </c>
      <c r="QM180" s="43" t="str">
        <f t="shared" si="567"/>
        <v/>
      </c>
      <c r="QN180" s="43" t="str">
        <f t="shared" si="568"/>
        <v/>
      </c>
      <c r="QO180" s="43" t="str">
        <f t="shared" si="569"/>
        <v/>
      </c>
      <c r="QP180" s="43" t="str">
        <f t="shared" si="570"/>
        <v/>
      </c>
      <c r="QQ180" s="43" t="str">
        <f t="shared" si="571"/>
        <v/>
      </c>
      <c r="QR180" s="43">
        <f t="shared" si="672"/>
        <v>17</v>
      </c>
      <c r="QS180" s="43"/>
      <c r="QT180" s="21" t="str">
        <f t="shared" si="572"/>
        <v/>
      </c>
      <c r="QU180" s="21" t="str">
        <f t="shared" si="573"/>
        <v/>
      </c>
      <c r="QV180" s="21" t="str">
        <f t="shared" si="574"/>
        <v/>
      </c>
      <c r="QW180" s="21" t="str">
        <f t="shared" si="575"/>
        <v/>
      </c>
      <c r="QX180" s="21" t="str">
        <f t="shared" si="576"/>
        <v>ADECUADO PARA EDAD GESTACIONAL</v>
      </c>
      <c r="QY180" s="21" t="str">
        <f t="shared" si="577"/>
        <v/>
      </c>
      <c r="QZ180" s="21" t="str">
        <f t="shared" si="578"/>
        <v/>
      </c>
      <c r="RA180" s="21" t="str">
        <f t="shared" si="579"/>
        <v/>
      </c>
      <c r="RB180" s="21" t="str">
        <f t="shared" si="580"/>
        <v/>
      </c>
      <c r="RC180" s="21" t="str">
        <f t="shared" si="581"/>
        <v/>
      </c>
      <c r="RD180" s="21" t="str">
        <f t="shared" si="582"/>
        <v/>
      </c>
      <c r="RE180" s="21" t="str">
        <f t="shared" si="583"/>
        <v/>
      </c>
      <c r="RF180" s="21" t="str">
        <f t="shared" si="584"/>
        <v/>
      </c>
      <c r="RG180" s="21" t="str">
        <f t="shared" si="585"/>
        <v/>
      </c>
      <c r="RH180" s="21" t="str">
        <f t="shared" si="586"/>
        <v/>
      </c>
      <c r="RI180" s="21" t="str">
        <f t="shared" si="587"/>
        <v/>
      </c>
      <c r="RJ180" s="21" t="str">
        <f t="shared" si="588"/>
        <v/>
      </c>
      <c r="RK180" s="21" t="str">
        <f t="shared" si="589"/>
        <v/>
      </c>
      <c r="RL180" s="21" t="str">
        <f t="shared" si="590"/>
        <v/>
      </c>
      <c r="RM180" s="21" t="str">
        <f t="shared" si="591"/>
        <v/>
      </c>
      <c r="RN180" s="21" t="str">
        <f t="shared" si="592"/>
        <v/>
      </c>
      <c r="RO180" s="21" t="str">
        <f t="shared" si="593"/>
        <v/>
      </c>
      <c r="RP180" s="21" t="str">
        <f t="shared" si="594"/>
        <v/>
      </c>
      <c r="RQ180" s="21" t="str">
        <f t="shared" si="595"/>
        <v/>
      </c>
      <c r="RR180" s="21" t="str">
        <f t="shared" si="596"/>
        <v/>
      </c>
      <c r="RS180" s="21" t="str">
        <f t="shared" si="597"/>
        <v/>
      </c>
      <c r="RT180" s="21" t="str">
        <f t="shared" si="598"/>
        <v/>
      </c>
      <c r="RU180" s="21" t="str">
        <f t="shared" si="599"/>
        <v/>
      </c>
      <c r="RV180" s="21">
        <f t="shared" si="600"/>
        <v>-1</v>
      </c>
      <c r="RW180" s="284">
        <f>IF(OR(Tabla1[[#This Row],[FUM FORMULA CONFIABLE]]="",Tabla1[[#This Row],[FUM FORMULA CONFIABLE]]="SD"),"",IF(Tabla1[[#This Row],[FUM FORMULA CONFIABLE]]="CORREGIDA",Tabla1[[#This Row],[FUM X ECO 1]],Tabla1[[#This Row],[FUM x AMENORREA]]))</f>
        <v>45025</v>
      </c>
      <c r="RX180" s="21">
        <f>IF(AND(Tabla1[[#This Row],[FUM X ECO 1]]="",Tabla1[[#This Row],[FUM x AMENORREA]]=""),"",IF(AND(Tabla1[[#This Row],[FUM X ECO 1]]="",Tabla1[[#This Row],[FUM x AMENORREA]]&lt;&gt;""),"X",SUM(Tabla1[[#This Row],[FUM X ECO 1]]-Tabla1[[#This Row],[FUM x AMENORREA]])))</f>
        <v>-3.4000000000014552</v>
      </c>
      <c r="RY180" s="21">
        <f t="shared" si="673"/>
        <v>0</v>
      </c>
    </row>
    <row r="181" spans="1:493" ht="45" customHeight="1" x14ac:dyDescent="0.25">
      <c r="A181" s="109"/>
      <c r="B181" s="43"/>
      <c r="C181" s="43" t="s">
        <v>845</v>
      </c>
      <c r="D181" s="124"/>
      <c r="E181" s="43" t="s">
        <v>1041</v>
      </c>
      <c r="F181" s="43" t="s">
        <v>1147</v>
      </c>
      <c r="G181" s="43" t="s">
        <v>1512</v>
      </c>
      <c r="H181" s="43"/>
      <c r="I181" s="109" t="s">
        <v>851</v>
      </c>
      <c r="J181" s="110">
        <v>1059604976</v>
      </c>
      <c r="K181" s="43" t="s">
        <v>852</v>
      </c>
      <c r="L181" s="175" t="s">
        <v>1509</v>
      </c>
      <c r="M181" s="22">
        <v>35501</v>
      </c>
      <c r="N181" s="213">
        <f t="shared" ca="1" si="601"/>
        <v>26.660273972602738</v>
      </c>
      <c r="O181" s="22">
        <v>45086</v>
      </c>
      <c r="P181" s="214" t="str">
        <f t="shared" si="675"/>
        <v>SI</v>
      </c>
      <c r="Q181" s="26" t="s">
        <v>855</v>
      </c>
      <c r="R181" s="22">
        <v>45086</v>
      </c>
      <c r="S181" s="21" t="s">
        <v>856</v>
      </c>
      <c r="T181" s="24" t="s">
        <v>690</v>
      </c>
      <c r="U181" s="21" t="s">
        <v>857</v>
      </c>
      <c r="V181" s="21" t="s">
        <v>858</v>
      </c>
      <c r="W181" s="21" t="s">
        <v>987</v>
      </c>
      <c r="X181" s="21" t="s">
        <v>987</v>
      </c>
      <c r="Y181" s="21" t="s">
        <v>859</v>
      </c>
      <c r="Z181" s="21">
        <v>3156412487</v>
      </c>
      <c r="AA181" s="21" t="s">
        <v>860</v>
      </c>
      <c r="AB181" s="27" t="s">
        <v>861</v>
      </c>
      <c r="AC181" s="26" t="s">
        <v>888</v>
      </c>
      <c r="AD181" s="38" t="s">
        <v>1546</v>
      </c>
      <c r="AE181" s="26" t="s">
        <v>854</v>
      </c>
      <c r="AF181" s="26" t="s">
        <v>854</v>
      </c>
      <c r="AG181" s="23" t="s">
        <v>864</v>
      </c>
      <c r="AH181" s="23" t="s">
        <v>864</v>
      </c>
      <c r="AI181" s="24" t="s">
        <v>863</v>
      </c>
      <c r="AJ181" s="23" t="s">
        <v>864</v>
      </c>
      <c r="AK181" s="220" t="str">
        <f>IF(AND(AD181="",AE181="",AF181="",AG181="",AH181="",AI181="",AJ181=""),"",IF(OR(Tabla1[[#This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EVALUACIÓN",IF(AND(O181="",R181=""),"",IF(AND(OR(O181&gt;0,R181&gt;0),NG181&gt;=0,NG181&lt;2),"SIN RIESGO",IF(AND(OR(O181&gt;0,R181&gt;0),NG181&gt;=2),"CON RIESGO","ASD")))))</f>
        <v>SIN RIESGO</v>
      </c>
      <c r="AL181" s="23" t="s">
        <v>864</v>
      </c>
      <c r="AM181" s="26" t="s">
        <v>864</v>
      </c>
      <c r="AN181" s="26" t="s">
        <v>864</v>
      </c>
      <c r="AO181" s="26" t="s">
        <v>864</v>
      </c>
      <c r="AP181" s="26" t="s">
        <v>864</v>
      </c>
      <c r="AQ181" s="26" t="s">
        <v>864</v>
      </c>
      <c r="AR181" s="26" t="s">
        <v>864</v>
      </c>
      <c r="AS181" s="21">
        <v>1</v>
      </c>
      <c r="AT181" s="21">
        <v>1</v>
      </c>
      <c r="AU181" s="21">
        <v>0</v>
      </c>
      <c r="AV181" s="26" t="s">
        <v>864</v>
      </c>
      <c r="AW181" s="21">
        <v>0</v>
      </c>
      <c r="AX181" s="26" t="s">
        <v>864</v>
      </c>
      <c r="AY181" s="26" t="s">
        <v>864</v>
      </c>
      <c r="AZ181" s="26" t="s">
        <v>864</v>
      </c>
      <c r="BA181" s="26" t="s">
        <v>864</v>
      </c>
      <c r="BB181" s="26" t="s">
        <v>864</v>
      </c>
      <c r="BC181" s="26" t="s">
        <v>864</v>
      </c>
      <c r="BD181" s="26" t="s">
        <v>864</v>
      </c>
      <c r="BE181" s="26" t="s">
        <v>864</v>
      </c>
      <c r="BF181" s="26" t="s">
        <v>864</v>
      </c>
      <c r="BG181" s="26" t="s">
        <v>864</v>
      </c>
      <c r="BH181" s="26" t="s">
        <v>864</v>
      </c>
      <c r="BI181" s="26" t="s">
        <v>864</v>
      </c>
      <c r="BJ181" s="26" t="s">
        <v>864</v>
      </c>
      <c r="BK181" s="26" t="s">
        <v>864</v>
      </c>
      <c r="BL181" s="26" t="s">
        <v>864</v>
      </c>
      <c r="BM181" s="26" t="s">
        <v>864</v>
      </c>
      <c r="BN181" s="22">
        <v>43172</v>
      </c>
      <c r="BO181" s="22">
        <v>44999</v>
      </c>
      <c r="BP181" s="21" t="s">
        <v>854</v>
      </c>
      <c r="BQ181" s="222">
        <f t="shared" si="602"/>
        <v>60.9</v>
      </c>
      <c r="BR181" s="223">
        <f t="shared" si="603"/>
        <v>44999.9</v>
      </c>
      <c r="BS181" s="224">
        <f t="shared" si="604"/>
        <v>12.428571428571429</v>
      </c>
      <c r="BT181" s="216" t="str">
        <f t="shared" si="605"/>
        <v>II TRIM</v>
      </c>
      <c r="BU181" s="214">
        <f t="shared" ca="1" si="606"/>
        <v>33.285714285714285</v>
      </c>
      <c r="BV181" s="25" t="s">
        <v>988</v>
      </c>
      <c r="BW181" s="22">
        <v>45149</v>
      </c>
      <c r="BX181" s="28">
        <v>21.3</v>
      </c>
      <c r="BY181" s="28"/>
      <c r="BZ181" s="22"/>
      <c r="CA181" s="21"/>
      <c r="CB181" s="26"/>
      <c r="CC181" s="26"/>
      <c r="CD181" s="26"/>
      <c r="CE181" s="26"/>
      <c r="CF181" s="22" t="s">
        <v>1517</v>
      </c>
      <c r="CG181" s="21">
        <v>1.53</v>
      </c>
      <c r="CH181" s="21">
        <v>68.5</v>
      </c>
      <c r="CI181" s="214">
        <f t="shared" si="607"/>
        <v>29.262249562134222</v>
      </c>
      <c r="CJ181" s="225" t="e">
        <f>IF(AND(CI181&lt;10,CH181="SD"),"SIN DATO PESO PREGESTACION O I TRIM",IF(AND(OR(R181&gt;0,O181&gt;0),CI181="X"),"INGRESAR DATO DE PESO",IF(CI181="SD","INGRESAR DATO DE TALLA Y PESO",IF(AND(OR(Tabla1[[#This Row],[MOMENTO EN QUE SE REALIZA EL PESO AL INGRESO A CPN]]="PREGESTACIÓN",NZ181="Menor"),CI181&lt;18.5),"BAJO PESO",IF(AND(OR(Tabla1[[#This Row],[MOMENTO EN QUE SE REALIZA EL PESO AL INGRESO A CPN]]="PREGESTACIÓN",NZ181="Menor"),CI181&lt;25),"NORMAL",IF(AND(OR(Tabla1[[#This Row],[MOMENTO EN QUE SE REALIZA EL PESO AL INGRESO A CPN]]="PREGESTACIÓN",NZ181="Menor"),CI181&lt;30),"SOBREPESO",IF(AND(OR(Tabla1[[#This Row],[MOMENTO EN QUE SE REALIZA EL PESO AL INGRESO A CPN]]="PREGESTACIÓN",NZ181="Menor"),CI181&gt;=30,CI181&lt;50),"OBESIDAD",IF(AND(BS181&gt;0,Tabla1[[#This Row],[MOMENTO EN QUE SE REALIZA EL PESO AL INGRESO A CPN]]="GESTACIÓN"),HLOOKUP(NZ181,$OA$2:PH181,NY181),""))))))))</f>
        <v>#REF!</v>
      </c>
      <c r="CK181" s="212">
        <f t="shared" si="608"/>
        <v>45126</v>
      </c>
      <c r="CL181" s="21">
        <v>70.7</v>
      </c>
      <c r="CM181" s="214">
        <f t="shared" si="609"/>
        <v>30.202059037122474</v>
      </c>
      <c r="CN181" s="216">
        <f t="shared" si="610"/>
        <v>18</v>
      </c>
      <c r="CO181" s="216" t="e">
        <f>IF(PI181="","",IF(PI181&gt;0,HLOOKUP(PI181,$PJ$2:QQ181,NY181),""))</f>
        <v>#REF!</v>
      </c>
      <c r="CP181" s="21">
        <v>18</v>
      </c>
      <c r="CQ181" s="216" t="e">
        <f>IF(QR181="Menor","NO APLICA-MENOR 13 SEM",IF(AND(CC181="SI",CN181&gt;23),"NO APLICA- GEMELAR",IF(QR181="","",IF(QR181&gt;0,HLOOKUP(QR181,$QS$2:RU181,NY181),""))))</f>
        <v>#REF!</v>
      </c>
      <c r="CR181" s="21">
        <v>110</v>
      </c>
      <c r="CS181" s="21">
        <v>60</v>
      </c>
      <c r="CT181" s="217" t="str">
        <f>IF(R181="","",IF(AND(BS181&gt;1,BS181&lt;12,Tabla1[[#This Row],[T.A. SISTOLICA - ANTES DE SEMANA 12]]="",Tabla1[[#This Row],[T.A. DIASTOLICA - ANTES DE SEMANA 12]]=""),"REGISTRE DATO TA ANTES SEMANA 12",IF(AND(BS181&gt;11,BS181&lt;43,Tabla1[[#This Row],[T.A. SISTOLICA - ANTES DE SEMANA 12]]="",Tabla1[[#This Row],[T.A. DIASTOLICA - ANTES DE SEMANA 12]]=""),"NO APLICA REGISTRO TA-INGRESO TARDIO",IF(AND(OR(O181&gt;0,R181&gt;0),OR(CR181&gt;=140,CS181&gt;=90)),"DEFINIR ESTADIO HTA",IF(AND(OR(O181&gt;0,R181&gt;0),AND(CR181&gt;120,CR181&lt;=139)),"PRE HTA SEGUIMIENTO",IF(AND(OR(O181&gt;0,R181&gt;0),AND(CS181&gt;80,CS181&lt;=89)),"PRE HTA SEGUIMIENTO",IF(AND(OR(O181&gt;0,R181&gt;0),AND(CR181&gt;=80,CR181&lt;=120)),"APARENTEMENTE NORMAL",IF(AND(OR(O181&gt;0,R181&gt;0),AND(CS181&gt;=50,CS181&lt;=80)),"APARENTEMENTE NORMAL",IF(AND(OR(O181&gt;0,R181&gt;0),AND(CR181&gt;1,CR181&lt;=70),AND(CS181&gt;1,CS181&lt;=40)),"HIPOTENSIÓN","")))))))))</f>
        <v>APARENTEMENTE NORMAL</v>
      </c>
      <c r="CU181" s="21"/>
      <c r="CV181" s="21"/>
      <c r="CW181" s="217" t="str">
        <f ca="1">IF(R181="","",IF(AND(CN181&gt;19,CN181&lt;27,Tabla1[[#This Row],[T.A. SISTOLICA (Entre semana 20 y 26)]]="",Tabla1[[#This Row],[T.A. DIATOLICA (Entre semana 20 y 26)]]=""),"ACUDE A CONTROL SEM 20 A 26 REGISTRE TA AHORA",IF(AND(BS181&gt;1,BS181&lt;27,BU181&gt;19,Tabla1[[#This Row],[T.A. SISTOLICA (Entre semana 20 y 26)]]="",Tabla1[[#This Row],[T.A. DIATOLICA (Entre semana 20 y 26)]]=""),"COMPLETE REGISTRO TA CONTROL SEM 20 A26 ",IF(AND(BS181&gt;26,BS181&lt;43,Tabla1[[#This Row],[T.A. SISTOLICA (Entre semana 20 y 26)]]="",Tabla1[[#This Row],[T.A. DIATOLICA (Entre semana 20 y 26)]]=""),"NO APLICA REGISTRO TA-INGRESO TARDIO",IF(AND(OR(O181&gt;0,R181&gt;0),OR(CU181&gt;=140,CV181&gt;=90)),"ALTO RIESGO PREECLAMPSIA,DEFINIR ESTADIO HTA",IF(AND(OR(O181&gt;0,R181&gt;0),AND(CU181&gt;120,CU181&lt;=139)),"PRE HTA SEGUIMIENTO,RIESGO HIPERTENSION INDUCIDA POR EL EMBARAZO",IF(AND(OR(O181&gt;0,R181&gt;0),AND(CV181&gt;80,CV181&lt;=89)),"PRE HTA SEGUIMIENTO, RIESGO HIPERTENSION INDUCIDA POR EL EMBARAZO",IF(AND(OR(O181&lt;&gt;"",R181&lt;&gt;""),CS181&lt;&gt;"",CV181&lt;&gt;"",CS181&lt;=CV181),"VIGILAR CIFRAS PRESION ARTERIAL",IF(AND(OR(O181&gt;0,R181&gt;0),AND(CU181&gt;120,CU181&lt;=139)),"PRE HTA SEGUIMIENTO",IF(AND(OR(O181&gt;0,R181&gt;0),AND(CU181&gt;1,CU181&lt;=70),AND(CV181&gt;1,CV181&lt;=40)),"HIPOTENSIÓN",IF(AND(OR(O181&lt;&gt;"",R181&lt;&gt;""),CS181&lt;&gt;"",CV181&lt;&gt;"",CS181&gt;CV181),"APARENTEMENTE NORMAL",IF(AND(OR(O181&gt;0,R181&gt;0),AND(CU181&gt;=80,CU181&lt;=120)),"APARENTEMENTE NORMAL",IF(AND(OR(O181&gt;0,R181&gt;0),AND(CV181&gt;=50,CV181&lt;=80)),"APARENTEMENTE NORMAL","")))))))))))))</f>
        <v xml:space="preserve">COMPLETE REGISTRO TA CONTROL SEM 20 A26 </v>
      </c>
      <c r="CX181" s="21"/>
      <c r="CY181" s="21"/>
      <c r="CZ181" s="216" t="str">
        <f t="shared" si="729"/>
        <v/>
      </c>
      <c r="DA181" s="21">
        <v>100</v>
      </c>
      <c r="DB181" s="21">
        <v>60</v>
      </c>
      <c r="DC181" s="217" t="str">
        <f t="shared" si="611"/>
        <v>APARENTEMENTE NORMAL</v>
      </c>
      <c r="DD181" s="22">
        <v>45086</v>
      </c>
      <c r="DE181" s="22">
        <v>45086</v>
      </c>
      <c r="DF181" s="22">
        <v>45126</v>
      </c>
      <c r="DG181" s="22"/>
      <c r="DH181" s="22"/>
      <c r="DI181" s="22"/>
      <c r="DJ181" s="22"/>
      <c r="DK181" s="22"/>
      <c r="DL181" s="22"/>
      <c r="DM181" s="22"/>
      <c r="DN181" s="22"/>
      <c r="DO181" s="22"/>
      <c r="DP181" s="22"/>
      <c r="DQ181" s="22"/>
      <c r="DR181" s="28">
        <v>1</v>
      </c>
      <c r="DS181" s="22"/>
      <c r="DT181" s="22"/>
      <c r="DU181" s="216" t="str">
        <f t="shared" ca="1" si="676"/>
        <v>PLANEAR PLAN DE PARTO</v>
      </c>
      <c r="DV181" s="226" t="str">
        <f t="shared" si="677"/>
        <v>ACTIVA INGRESO A CPN</v>
      </c>
      <c r="DW18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81" s="216" t="e">
        <f t="shared" ca="1" si="612"/>
        <v>#REF!</v>
      </c>
      <c r="DY181" s="212">
        <f>IF(R181="","",IF(R181&gt;0,MAX(Tabla1[[#This Row],[FECHA C2]:[FECHA C13]],Tabla1[[#This Row],[FECHA CONSULTA PRIMERA VEZ PROGRAMA CPN ]])))</f>
        <v>45126</v>
      </c>
      <c r="DZ181" s="216">
        <f t="shared" si="613"/>
        <v>18</v>
      </c>
      <c r="EA181" s="222">
        <f>IF(R181&gt;0,SUM(COUNTA(DF181:DQ181)+COUNTA(Tabla1[[#This Row],[FECHA CONSULTA PRIMERA VEZ PROGRAMA CPN ]])),"")</f>
        <v>2</v>
      </c>
      <c r="EB181" s="222" t="str">
        <f t="shared" si="614"/>
        <v>NO</v>
      </c>
      <c r="EC181" s="214">
        <f t="shared" si="615"/>
        <v>8</v>
      </c>
      <c r="ED181" s="227">
        <f t="shared" si="616"/>
        <v>0.25</v>
      </c>
      <c r="EE181" s="22">
        <v>45086</v>
      </c>
      <c r="EF181" s="22">
        <v>45086</v>
      </c>
      <c r="EG181" s="22">
        <v>45086</v>
      </c>
      <c r="EH181" s="22"/>
      <c r="EI181" s="22">
        <v>45086</v>
      </c>
      <c r="EJ181" s="22"/>
      <c r="EK181" s="22"/>
      <c r="EL181" s="21"/>
      <c r="EM181" s="21">
        <v>13</v>
      </c>
      <c r="EN181" s="22">
        <v>45089</v>
      </c>
      <c r="EO181" s="222">
        <f t="shared" si="617"/>
        <v>12.857142857142858</v>
      </c>
      <c r="EP181" s="214" t="str">
        <f t="shared" si="618"/>
        <v>NORMAL- SUMINISTRAR SULFATO FERROSO</v>
      </c>
      <c r="EQ181" s="216" t="str">
        <f t="shared" si="619"/>
        <v>I TRIM</v>
      </c>
      <c r="ER181" s="24"/>
      <c r="ES181" s="22"/>
      <c r="ET181" s="29" t="str">
        <f t="shared" ca="1" si="678"/>
        <v>TOMA DE HEMOGLOBINA TARDÍA</v>
      </c>
      <c r="EU181" s="25" t="str">
        <f t="shared" si="620"/>
        <v/>
      </c>
      <c r="EV181" s="24" t="s">
        <v>1510</v>
      </c>
      <c r="EW181" s="24">
        <v>45089</v>
      </c>
      <c r="EX181" s="22"/>
      <c r="EY181" s="29">
        <f t="shared" si="693"/>
        <v>12.857142857142858</v>
      </c>
      <c r="EZ181" s="25" t="str">
        <f t="shared" si="694"/>
        <v>SIN RIESGO DE ISOINMUNIZACIÓN</v>
      </c>
      <c r="FA181" s="21">
        <v>92</v>
      </c>
      <c r="FB181" s="22">
        <v>45089</v>
      </c>
      <c r="FC181" s="29">
        <f t="shared" si="621"/>
        <v>12.857142857142858</v>
      </c>
      <c r="FD181" s="29"/>
      <c r="FE181" s="29"/>
      <c r="FF181" s="29"/>
      <c r="FG181" s="21" t="str">
        <f t="shared" ca="1" si="622"/>
        <v>TOMAR PTOG</v>
      </c>
      <c r="FH181" s="31"/>
      <c r="FI181" s="29" t="str">
        <f t="shared" si="623"/>
        <v>TOMAR EXAMEN</v>
      </c>
      <c r="FJ181" s="22" t="s">
        <v>867</v>
      </c>
      <c r="FK181" s="22">
        <v>45089</v>
      </c>
      <c r="FL181" s="29">
        <f t="shared" ca="1" si="624"/>
        <v>12.857142857142858</v>
      </c>
      <c r="FM181" s="22"/>
      <c r="FN181" s="32"/>
      <c r="FO181" s="29" t="str">
        <f t="shared" ca="1" si="679"/>
        <v>PIERDE TOMA DE TAMIZAJE</v>
      </c>
      <c r="FP181" s="22"/>
      <c r="FQ181" s="32"/>
      <c r="FR181" s="29" t="str">
        <f t="shared" ca="1" si="680"/>
        <v>EN RANGO PARA TOMAR EXAMEN</v>
      </c>
      <c r="FS181" s="22"/>
      <c r="FT181" s="32"/>
      <c r="FU181" s="29" t="str">
        <f>IF(AND(FJ181="",FM181="",FP181="",FS181=""),"",IF(OR(OR(Tabla1[[#This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81" s="28"/>
      <c r="FW181" s="22"/>
      <c r="FX181" s="29" t="str">
        <f t="shared" si="625"/>
        <v>TOMAR EXAMEN</v>
      </c>
      <c r="FY181" s="22" t="s">
        <v>868</v>
      </c>
      <c r="FZ181" s="22">
        <v>45089</v>
      </c>
      <c r="GA181" s="29">
        <f t="shared" ca="1" si="692"/>
        <v>12.857142857142858</v>
      </c>
      <c r="GB181" s="22"/>
      <c r="GC181" s="22"/>
      <c r="GD181" s="29" t="str">
        <f t="shared" ca="1" si="732"/>
        <v>PIERDE TOMA DE TAMIZAJE</v>
      </c>
      <c r="GE181" s="22"/>
      <c r="GF181" s="22"/>
      <c r="GG181" s="29" t="str">
        <f t="shared" ca="1" si="682"/>
        <v>EN RANGO PARA TOMAR EXAMEN</v>
      </c>
      <c r="GH181" s="22"/>
      <c r="GI181" s="29"/>
      <c r="GJ181" s="22"/>
      <c r="GK181" s="22"/>
      <c r="GL181" s="22"/>
      <c r="GM181" s="22"/>
      <c r="GN181" s="28" t="s">
        <v>869</v>
      </c>
      <c r="GO181" s="22">
        <v>45089</v>
      </c>
      <c r="GP181" s="29">
        <f t="shared" si="626"/>
        <v>12.857142857142858</v>
      </c>
      <c r="GQ181" s="28" t="s">
        <v>869</v>
      </c>
      <c r="GR181" s="28" t="s">
        <v>869</v>
      </c>
      <c r="GS181" s="22" t="str">
        <f t="shared" si="728"/>
        <v>CONTROL Igm</v>
      </c>
      <c r="GT181" s="22">
        <v>45089</v>
      </c>
      <c r="GU181" s="29">
        <f t="shared" si="628"/>
        <v>12.857142857142858</v>
      </c>
      <c r="GV181" s="21" t="str">
        <f t="shared" si="629"/>
        <v>I TRIM</v>
      </c>
      <c r="GW181" s="28"/>
      <c r="GX181" s="30"/>
      <c r="GY181" s="21"/>
      <c r="GZ181" s="21"/>
      <c r="HA181" s="21"/>
      <c r="HB181" s="21"/>
      <c r="HC181" s="21"/>
      <c r="HD181" s="21"/>
      <c r="HE181" s="21"/>
      <c r="HF181" s="22"/>
      <c r="HG181" s="22" t="str">
        <f>IF(OR(O181&gt;0,R181&gt;0),CONCATENATE(IF(Tabla1[[#This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81" s="22" t="e">
        <f t="shared" si="630"/>
        <v>#REF!</v>
      </c>
      <c r="HI181" s="22" t="e">
        <f t="shared" ca="1" si="631"/>
        <v>#REF!</v>
      </c>
      <c r="HJ181" s="21" t="str">
        <f t="shared" ca="1" si="632"/>
        <v>***************************************</v>
      </c>
      <c r="HK181" s="21" t="str">
        <f t="shared" si="633"/>
        <v>SIN ANTECEDENTES DE RIESGO</v>
      </c>
      <c r="HL181" s="24" t="str">
        <f t="shared" si="634"/>
        <v>APARENTEMENTE NORMAL</v>
      </c>
      <c r="HM181" s="21" t="e">
        <f t="shared" ca="1" si="635"/>
        <v>#REF!</v>
      </c>
      <c r="HN181" s="30" t="str">
        <f t="shared" si="683"/>
        <v>ACTIVA INGRESO A CPN</v>
      </c>
      <c r="HO181" s="21"/>
      <c r="HP181" s="21"/>
      <c r="HQ181" s="349"/>
      <c r="HR181" s="21" t="str">
        <f>IF(R181="","",IF(Tabla1[[#This Row],[ALARMA FACTORES DE RIESGO COMPLICACIONES HIPERTENSIVAS3]]="SIN ANTECEDENTES DE RIESGO","No Aplica para suministro de ASA",IF(AND(Tabla1[[#This Row],[FECHA INICIO DE SUMINISTRO DE ASA]]&gt;0,RV181&lt;12),"Inicia ASA ANTES de Sem 12",IF(AND(RV181&gt;11,RV181&lt;17,OR(HK181="RIESGO ALTO DE COMPLICACIONES HIPERTENSIVAS VER MANEJO GUIA SUMINISTRO ASA Y CALCIO",HK181="RIESGO MODERADO (2 O MAS CRITERIOS) VER MANEJO GUIA SUMINISTRO ASA Y CALCIO")),"Inicio oportuno de ASA",IF(AND(RV181&gt;12,OR(HK181="RIESGO ALTO DE COMPLICACIONES HIPERTENSIVAS VER MANEJO GUIA SUMINISTRO ASA Y CALCIO",HK181="RIESGO MODERADO (2 O MAS CRITERIOS) VER MANEJO GUIA SUMINISTRO ASA Y CALCIO")),"Inicio no oportuno mayor a 16 semanas",IF(AND(BU181&lt;12,OR(HK181="RIESGO ALTO DE COMPLICACIONES HIPERTENSIVAS VER MANEJO GUIA SUMINISTRO ASA Y CALCIO",HK181="RIESGO MODERADO (2 O MAS CRITERIOS) VER MANEJO GUIA SUMINISTRO ASA Y CALCIO")),"Pendiente Inicio de ASA a la semana 12",IF(AND(BU181&gt;11,BU181&lt;17,OR(HK181="RIESGO ALTO DE COMPLICACIONES HIPERTENSIVAS VER MANEJO GUIA SUMINISTRO ASA Y CALCIO",HK181="RIESGO MODERADO (2 O MAS CRITERIOS) VER MANEJO GUIA SUMINISTRO ASA Y CALCIO")),"Iniciar de inmediato ASA",IF(AND(BU181&gt;16,OR(HK181="RIESGO ALTO DE COMPLICACIONES HIPERTENSIVAS VER MANEJO GUIA SUMINISTRO ASA Y CALCIO",HK181="RIESGO MODERADO (2 O MAS CRITERIOS) VER MANEJO GUIA SUMINISTRO ASA Y CALCIO")),"Pierde Oportunidad, Inicio tardío de ASA","XXXXX"))))))))</f>
        <v>No Aplica para suministro de ASA</v>
      </c>
      <c r="HS181" s="22">
        <v>45086</v>
      </c>
      <c r="HT181" s="22" t="s">
        <v>1505</v>
      </c>
      <c r="HU181" s="22">
        <v>45086</v>
      </c>
      <c r="HV181" s="22" t="s">
        <v>1506</v>
      </c>
      <c r="HW181" s="22">
        <v>45086</v>
      </c>
      <c r="HX181" s="22" t="s">
        <v>1511</v>
      </c>
      <c r="HY181" s="22"/>
      <c r="HZ181" s="28" t="str">
        <f t="shared" si="636"/>
        <v>PENDIENTE CONSULTA</v>
      </c>
      <c r="IA181" s="26"/>
      <c r="IB181" s="26"/>
      <c r="IC181" s="111"/>
      <c r="ID181" s="22"/>
      <c r="IE181" s="22" t="str">
        <f t="shared" ca="1" si="637"/>
        <v>INASISTENTE</v>
      </c>
      <c r="IF181" s="22"/>
      <c r="IG181" s="22">
        <f t="shared" si="638"/>
        <v>45279</v>
      </c>
      <c r="IH181" s="29">
        <f t="shared" ca="1" si="639"/>
        <v>47</v>
      </c>
      <c r="II181" s="22" t="str">
        <f t="shared" ca="1" si="640"/>
        <v>PENDIENTE</v>
      </c>
      <c r="IJ181" s="22"/>
      <c r="IK181" s="21"/>
      <c r="IL181" s="21"/>
      <c r="IM181" s="34"/>
      <c r="IN181" s="22"/>
      <c r="IO181" s="21"/>
      <c r="IP181" s="29" t="str">
        <f t="shared" si="730"/>
        <v/>
      </c>
      <c r="IQ181" s="35"/>
      <c r="IR181" s="21"/>
      <c r="IS181" s="21"/>
      <c r="IT181" s="21"/>
      <c r="IU181" s="21"/>
      <c r="IV181" s="21"/>
      <c r="IW181" s="21"/>
      <c r="IX181" s="21"/>
      <c r="IY181" s="21"/>
      <c r="IZ181" s="21"/>
      <c r="JA181" s="21"/>
      <c r="JB181" s="30"/>
      <c r="JC181" s="21"/>
      <c r="JD181" s="36"/>
      <c r="JE181" s="21" t="str">
        <f t="shared" si="733"/>
        <v/>
      </c>
      <c r="JF181" s="30"/>
      <c r="JG181" s="21"/>
      <c r="JH181" s="21"/>
      <c r="JI181" s="21"/>
      <c r="JJ181" s="30"/>
      <c r="JK181" s="22"/>
      <c r="JL181" s="22"/>
      <c r="JM181" s="21"/>
      <c r="JN181" s="36"/>
      <c r="JO181" s="21" t="str">
        <f t="shared" si="734"/>
        <v/>
      </c>
      <c r="JP181" s="22"/>
      <c r="JQ181" s="21"/>
      <c r="JR181" s="21"/>
      <c r="JS181" s="21"/>
      <c r="JT181" s="30"/>
      <c r="JU181" s="22"/>
      <c r="JV181" s="22"/>
      <c r="JW181" s="33"/>
      <c r="JX181" s="28" t="str">
        <f t="shared" si="735"/>
        <v/>
      </c>
      <c r="JY181" s="33"/>
      <c r="JZ181" s="28" t="str">
        <f t="shared" si="736"/>
        <v/>
      </c>
      <c r="KA181" s="21"/>
      <c r="KB181" s="21"/>
      <c r="KC181" s="21"/>
      <c r="KD181" s="37"/>
      <c r="KE181" s="28"/>
      <c r="KF181" s="28"/>
      <c r="KG181" s="28"/>
      <c r="KH181" s="39"/>
      <c r="KI181" s="39"/>
      <c r="KJ181" s="66"/>
      <c r="KK181" s="39"/>
      <c r="KL181" s="39"/>
      <c r="KM181" s="66"/>
      <c r="KN181" s="39"/>
      <c r="KO181" s="39"/>
      <c r="KP181" s="39"/>
      <c r="KQ181" s="39"/>
      <c r="KR181" s="39"/>
      <c r="KS181" s="39"/>
      <c r="KT181" s="39"/>
      <c r="KU181" s="38"/>
      <c r="KV181" s="38"/>
      <c r="KW181" s="38"/>
      <c r="KX181" s="38"/>
      <c r="KY181" s="38"/>
      <c r="KZ181" s="38"/>
      <c r="LA181" s="38"/>
      <c r="LB181" s="38"/>
      <c r="LC181" s="38"/>
      <c r="LD181" s="38"/>
      <c r="LE181" s="38"/>
      <c r="LF181" s="38"/>
      <c r="LG181" s="38"/>
      <c r="LH181" s="38"/>
      <c r="LI181" s="38"/>
      <c r="LJ181" s="38"/>
      <c r="LK181" s="38"/>
      <c r="LL181" s="38"/>
      <c r="LM181" s="38"/>
      <c r="LN181" s="38"/>
      <c r="LO181" s="38"/>
      <c r="LP181" s="38"/>
      <c r="LQ181" s="38"/>
      <c r="LR181" s="38"/>
      <c r="LS181" s="38"/>
      <c r="LT181" s="38"/>
      <c r="LU181" s="38"/>
      <c r="LV181" s="38"/>
      <c r="LW181" s="38"/>
      <c r="LX181" s="38"/>
      <c r="LY181" s="38"/>
      <c r="LZ181" s="38"/>
      <c r="MA181" s="38"/>
      <c r="MB181" s="38"/>
      <c r="MC181" s="38"/>
      <c r="MD181" s="38"/>
      <c r="ME181" s="38"/>
      <c r="MF181" s="38"/>
      <c r="MG181" s="38"/>
      <c r="MH181" s="43">
        <f t="shared" si="697"/>
        <v>0</v>
      </c>
      <c r="MI181" s="43" t="str">
        <f t="shared" si="698"/>
        <v/>
      </c>
      <c r="MJ181" s="43" t="str">
        <f t="shared" si="699"/>
        <v/>
      </c>
      <c r="MK181" s="43">
        <f t="shared" si="700"/>
        <v>0</v>
      </c>
      <c r="ML18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81" s="43">
        <f t="shared" si="701"/>
        <v>12.428571428571429</v>
      </c>
      <c r="MN181" s="43">
        <f t="shared" si="702"/>
        <v>6</v>
      </c>
      <c r="MO181" s="43">
        <f t="shared" si="703"/>
        <v>2023</v>
      </c>
      <c r="MP181" s="43" t="str">
        <f t="shared" si="704"/>
        <v>II TRIMESTRE AÑO</v>
      </c>
      <c r="MQ181" s="43">
        <f t="shared" si="705"/>
        <v>25.862352168199735</v>
      </c>
      <c r="MR181" s="43">
        <f t="shared" si="706"/>
        <v>0</v>
      </c>
      <c r="MS181" s="43" t="str">
        <f t="shared" si="707"/>
        <v xml:space="preserve"> DE 25 A 29 AÑOS</v>
      </c>
      <c r="MT181" s="43">
        <f t="shared" si="708"/>
        <v>0</v>
      </c>
      <c r="MU181" s="43">
        <f t="shared" si="709"/>
        <v>0</v>
      </c>
      <c r="MV181" s="43">
        <f t="shared" si="710"/>
        <v>0</v>
      </c>
      <c r="MW181" s="43">
        <f t="shared" si="711"/>
        <v>0</v>
      </c>
      <c r="MX181" s="43" t="str">
        <f t="shared" si="712"/>
        <v/>
      </c>
      <c r="MY181" s="43" t="str">
        <f t="shared" ca="1" si="737"/>
        <v/>
      </c>
      <c r="MZ181" s="43" t="str">
        <f t="shared" si="713"/>
        <v/>
      </c>
      <c r="NA181" s="43" t="str">
        <f t="shared" si="714"/>
        <v/>
      </c>
      <c r="NB181" s="43" t="str">
        <f t="shared" si="715"/>
        <v/>
      </c>
      <c r="NC181" s="43" t="str">
        <f t="shared" si="716"/>
        <v/>
      </c>
      <c r="ND181" s="43">
        <f t="shared" ca="1" si="717"/>
        <v>0</v>
      </c>
      <c r="NE181" s="43">
        <f>IF(OR(O181&gt;0,R181&gt;0),SUM(COUNTIF(Tabla1[[#This Row],[AÑOS AL INICIO5 CPN]],"&gt;=40"),COUNTIF(AS181,"0"),COUNTIF(AR181,"SI"),COUNTIF(CC181,"SI"),COUNTIF(BQ181,"&gt;119"),COUNTIF(CI181,"&gt;=35")),"")</f>
        <v>0</v>
      </c>
      <c r="NF181" s="43" t="str">
        <f t="shared" si="718"/>
        <v/>
      </c>
      <c r="NG181" s="43">
        <f t="shared" si="719"/>
        <v>0</v>
      </c>
      <c r="NH181" s="43">
        <f t="shared" si="720"/>
        <v>149.1</v>
      </c>
      <c r="NI18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CPN",P181="NO"),"Z",IF(AND(Tabla1[[#This Row],[CITA PROXIMO CONTROL]]="CITA MANUAL",Tabla1[[#This Row],[GESTANTES ACTUALES]]="ACTIVA INGRESO A CPN"),"W",IF(AND(Tabla1[[#This Row],[GESTANTES ACTUALES]]="SALIO PROGRAMA",IN181=""),"S",IF(AND(Tabla1[[#This Row],[CITA PROXIMO CONTROL]]&gt;0,IN181=""),(Tabla1[[#This Row],[CITA PROXIMO CONTROL]]-TODAY()),"SD"))))))))</f>
        <v>#REF!</v>
      </c>
      <c r="NJ181" s="43">
        <f>MONTH(Tabla1[[#This Row],[FECHA DE SALIDA  DEL PROGRAMA]])</f>
        <v>1</v>
      </c>
      <c r="NK181" s="43">
        <f>YEAR(Tabla1[[#This Row],[FECHA DE SALIDA  DEL PROGRAMA]])</f>
        <v>1900</v>
      </c>
      <c r="NL181" s="43" t="str">
        <f t="shared" si="721"/>
        <v>X</v>
      </c>
      <c r="NM181" s="43" t="str">
        <f t="shared" si="695"/>
        <v>NO</v>
      </c>
      <c r="NN181" s="43" t="str">
        <f ca="1">IF(AND(O181&gt;0,R181=""),"NO CPN",IF(AND(O181="",R181=""),"",IF(AND(R181&gt;0,Tabla1[[#This Row],[SEMANAS DE GESTACION ACTUALIZADAS]]&lt;=12),"NO APLICA",IF(AND(FH181&lt;&gt;"",FN181&lt;&gt;""),"SI","NO"))))</f>
        <v>NO</v>
      </c>
      <c r="NO181" s="43" t="str">
        <f ca="1">IF(AND(O181&gt;0,R181=""),"NO CPN",IF(AND(O181="",R181=""),"",IF(AND(R181&gt;0,Tabla1[[#This Row],[SEMANAS DE GESTACION ACTUALIZADAS]]&lt;=27),"NO APLICA",IF(AND(ES181&lt;&gt;"",FQ181&lt;&gt;"",GF181&lt;&gt;""),"SI","NO"))))</f>
        <v>NO</v>
      </c>
      <c r="NP181" s="204" t="str">
        <f t="shared" si="722"/>
        <v>II TRIM</v>
      </c>
      <c r="NQ181" s="21" t="str">
        <f t="shared" si="731"/>
        <v/>
      </c>
      <c r="NR181" s="21">
        <f t="shared" ca="1" si="738"/>
        <v>2</v>
      </c>
      <c r="NS181" s="205">
        <f t="shared" ca="1" si="723"/>
        <v>1</v>
      </c>
      <c r="NT181" s="21">
        <f t="shared" ca="1" si="724"/>
        <v>1</v>
      </c>
      <c r="NU181" s="21" t="str">
        <f t="shared" ca="1" si="725"/>
        <v>INCOMPLETO</v>
      </c>
      <c r="NV181" s="21" t="str">
        <f t="shared" ca="1" si="726"/>
        <v>INCOMPLETO</v>
      </c>
      <c r="NW181" s="206" t="str">
        <f>IF(AND(O181="",R181=""),"",IF(OR(AND(Tabla1[[#This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81" s="207" t="str">
        <f t="shared" ca="1" si="727"/>
        <v>SIN VACUNAR</v>
      </c>
      <c r="NY181" s="43">
        <f>ROW(Tabla1[[#This Row],['# DE TAMIZAJES SIFILIS TOMADOS ]])</f>
        <v>181</v>
      </c>
      <c r="NZ181" s="43">
        <f t="shared" si="502"/>
        <v>12</v>
      </c>
      <c r="OA181" s="43" t="str">
        <f t="shared" si="503"/>
        <v/>
      </c>
      <c r="OB181" s="43" t="str">
        <f t="shared" si="504"/>
        <v/>
      </c>
      <c r="OC181" s="43" t="str">
        <f t="shared" si="505"/>
        <v/>
      </c>
      <c r="OD181" s="43" t="str">
        <f t="shared" si="506"/>
        <v>SOBREPESO</v>
      </c>
      <c r="OE181" s="43" t="str">
        <f t="shared" si="507"/>
        <v/>
      </c>
      <c r="OF181" s="43" t="str">
        <f t="shared" si="508"/>
        <v/>
      </c>
      <c r="OG181" s="43" t="str">
        <f t="shared" si="509"/>
        <v/>
      </c>
      <c r="OH181" s="43" t="str">
        <f t="shared" si="510"/>
        <v/>
      </c>
      <c r="OI181" s="43" t="str">
        <f t="shared" si="511"/>
        <v/>
      </c>
      <c r="OJ181" s="43" t="str">
        <f t="shared" si="512"/>
        <v/>
      </c>
      <c r="OK181" s="43" t="str">
        <f t="shared" si="513"/>
        <v/>
      </c>
      <c r="OL181" s="43" t="str">
        <f t="shared" si="514"/>
        <v/>
      </c>
      <c r="OM181" s="43" t="str">
        <f t="shared" si="515"/>
        <v/>
      </c>
      <c r="ON181" s="43" t="str">
        <f t="shared" si="516"/>
        <v/>
      </c>
      <c r="OO181" s="43" t="str">
        <f t="shared" si="517"/>
        <v/>
      </c>
      <c r="OP181" s="43" t="str">
        <f t="shared" si="518"/>
        <v/>
      </c>
      <c r="OQ181" s="43" t="str">
        <f t="shared" si="519"/>
        <v/>
      </c>
      <c r="OR181" s="43" t="str">
        <f t="shared" si="520"/>
        <v/>
      </c>
      <c r="OS181" s="43" t="str">
        <f t="shared" si="521"/>
        <v/>
      </c>
      <c r="OT181" s="43" t="str">
        <f t="shared" si="522"/>
        <v/>
      </c>
      <c r="OU181" s="43" t="str">
        <f t="shared" si="523"/>
        <v/>
      </c>
      <c r="OV181" s="110" t="str">
        <f t="shared" si="524"/>
        <v/>
      </c>
      <c r="OW181" s="43" t="str">
        <f t="shared" si="525"/>
        <v/>
      </c>
      <c r="OX181" s="43" t="str">
        <f t="shared" si="526"/>
        <v/>
      </c>
      <c r="OY181" s="43" t="str">
        <f t="shared" si="527"/>
        <v/>
      </c>
      <c r="OZ181" s="43" t="str">
        <f t="shared" si="528"/>
        <v/>
      </c>
      <c r="PA181" s="43" t="str">
        <f t="shared" si="529"/>
        <v/>
      </c>
      <c r="PB181" s="43" t="str">
        <f t="shared" si="530"/>
        <v/>
      </c>
      <c r="PC181" s="43" t="str">
        <f t="shared" si="531"/>
        <v/>
      </c>
      <c r="PD181" s="43" t="str">
        <f t="shared" si="532"/>
        <v/>
      </c>
      <c r="PE181" s="43" t="str">
        <f t="shared" si="533"/>
        <v/>
      </c>
      <c r="PF181" s="43" t="str">
        <f t="shared" si="534"/>
        <v/>
      </c>
      <c r="PG181" s="43" t="str">
        <f t="shared" si="535"/>
        <v/>
      </c>
      <c r="PH181" s="43" t="str">
        <f t="shared" si="536"/>
        <v/>
      </c>
      <c r="PI181" s="43">
        <f t="shared" si="537"/>
        <v>18</v>
      </c>
      <c r="PJ181" s="43" t="str">
        <f t="shared" si="538"/>
        <v/>
      </c>
      <c r="PK181" s="43" t="str">
        <f t="shared" si="539"/>
        <v/>
      </c>
      <c r="PL181" s="43" t="str">
        <f t="shared" si="540"/>
        <v/>
      </c>
      <c r="PM181" s="43" t="str">
        <f t="shared" si="541"/>
        <v/>
      </c>
      <c r="PN181" s="43" t="str">
        <f t="shared" si="542"/>
        <v/>
      </c>
      <c r="PO181" s="43" t="str">
        <f t="shared" si="543"/>
        <v/>
      </c>
      <c r="PP181" s="43" t="str">
        <f t="shared" si="544"/>
        <v/>
      </c>
      <c r="PQ181" s="43" t="str">
        <f t="shared" si="545"/>
        <v/>
      </c>
      <c r="PR181" s="43" t="str">
        <f t="shared" si="546"/>
        <v/>
      </c>
      <c r="PS181" s="43" t="str">
        <f t="shared" si="547"/>
        <v>SOBREPESO</v>
      </c>
      <c r="PT181" s="43" t="str">
        <f t="shared" si="548"/>
        <v/>
      </c>
      <c r="PU181" s="43" t="str">
        <f t="shared" si="549"/>
        <v/>
      </c>
      <c r="PV181" s="43" t="str">
        <f t="shared" si="550"/>
        <v/>
      </c>
      <c r="PW181" s="43" t="str">
        <f t="shared" si="551"/>
        <v/>
      </c>
      <c r="PX181" s="43" t="str">
        <f t="shared" si="552"/>
        <v/>
      </c>
      <c r="PY181" s="43" t="str">
        <f t="shared" si="553"/>
        <v/>
      </c>
      <c r="PZ181" s="43" t="str">
        <f t="shared" si="554"/>
        <v/>
      </c>
      <c r="QA181" s="43" t="str">
        <f t="shared" si="555"/>
        <v/>
      </c>
      <c r="QB181" s="43" t="str">
        <f t="shared" si="556"/>
        <v/>
      </c>
      <c r="QC181" s="43" t="str">
        <f t="shared" si="557"/>
        <v/>
      </c>
      <c r="QD181" s="43" t="str">
        <f t="shared" si="558"/>
        <v/>
      </c>
      <c r="QE181" s="43" t="str">
        <f t="shared" si="559"/>
        <v/>
      </c>
      <c r="QF181" s="43" t="str">
        <f t="shared" si="560"/>
        <v/>
      </c>
      <c r="QG181" s="43" t="str">
        <f t="shared" si="561"/>
        <v/>
      </c>
      <c r="QH181" s="43" t="str">
        <f t="shared" si="562"/>
        <v/>
      </c>
      <c r="QI181" s="43" t="str">
        <f t="shared" si="563"/>
        <v/>
      </c>
      <c r="QJ181" s="43" t="str">
        <f t="shared" si="564"/>
        <v/>
      </c>
      <c r="QK181" s="43" t="str">
        <f t="shared" si="565"/>
        <v/>
      </c>
      <c r="QL181" s="43" t="str">
        <f t="shared" si="566"/>
        <v/>
      </c>
      <c r="QM181" s="43" t="str">
        <f t="shared" si="567"/>
        <v/>
      </c>
      <c r="QN181" s="43" t="str">
        <f t="shared" si="568"/>
        <v/>
      </c>
      <c r="QO181" s="43" t="str">
        <f t="shared" si="569"/>
        <v/>
      </c>
      <c r="QP181" s="43" t="str">
        <f t="shared" si="570"/>
        <v/>
      </c>
      <c r="QQ181" s="43" t="str">
        <f t="shared" si="571"/>
        <v/>
      </c>
      <c r="QR181" s="43">
        <f t="shared" si="672"/>
        <v>18</v>
      </c>
      <c r="QS181" s="43"/>
      <c r="QT181" s="21" t="str">
        <f t="shared" si="572"/>
        <v/>
      </c>
      <c r="QU181" s="21" t="str">
        <f t="shared" si="573"/>
        <v/>
      </c>
      <c r="QV181" s="21" t="str">
        <f t="shared" si="574"/>
        <v/>
      </c>
      <c r="QW181" s="21" t="str">
        <f t="shared" si="575"/>
        <v/>
      </c>
      <c r="QX181" s="21" t="str">
        <f t="shared" si="576"/>
        <v/>
      </c>
      <c r="QY181" s="21" t="str">
        <f t="shared" si="577"/>
        <v>ADECUADO PARA EDAD GESTACIONAL</v>
      </c>
      <c r="QZ181" s="21" t="str">
        <f t="shared" si="578"/>
        <v/>
      </c>
      <c r="RA181" s="21" t="str">
        <f t="shared" si="579"/>
        <v/>
      </c>
      <c r="RB181" s="21" t="str">
        <f t="shared" si="580"/>
        <v/>
      </c>
      <c r="RC181" s="21" t="str">
        <f t="shared" si="581"/>
        <v/>
      </c>
      <c r="RD181" s="21" t="str">
        <f t="shared" si="582"/>
        <v/>
      </c>
      <c r="RE181" s="21" t="str">
        <f t="shared" si="583"/>
        <v/>
      </c>
      <c r="RF181" s="21" t="str">
        <f t="shared" si="584"/>
        <v/>
      </c>
      <c r="RG181" s="21" t="str">
        <f t="shared" si="585"/>
        <v/>
      </c>
      <c r="RH181" s="21" t="str">
        <f t="shared" si="586"/>
        <v/>
      </c>
      <c r="RI181" s="21" t="str">
        <f t="shared" si="587"/>
        <v/>
      </c>
      <c r="RJ181" s="21" t="str">
        <f t="shared" si="588"/>
        <v/>
      </c>
      <c r="RK181" s="21" t="str">
        <f t="shared" si="589"/>
        <v/>
      </c>
      <c r="RL181" s="21" t="str">
        <f t="shared" si="590"/>
        <v/>
      </c>
      <c r="RM181" s="21" t="str">
        <f t="shared" si="591"/>
        <v/>
      </c>
      <c r="RN181" s="21" t="str">
        <f t="shared" si="592"/>
        <v/>
      </c>
      <c r="RO181" s="21" t="str">
        <f t="shared" si="593"/>
        <v/>
      </c>
      <c r="RP181" s="21" t="str">
        <f t="shared" si="594"/>
        <v/>
      </c>
      <c r="RQ181" s="21" t="str">
        <f t="shared" si="595"/>
        <v/>
      </c>
      <c r="RR181" s="21" t="str">
        <f t="shared" si="596"/>
        <v/>
      </c>
      <c r="RS181" s="21" t="str">
        <f t="shared" si="597"/>
        <v/>
      </c>
      <c r="RT181" s="21" t="str">
        <f t="shared" si="598"/>
        <v/>
      </c>
      <c r="RU181" s="21" t="str">
        <f t="shared" si="599"/>
        <v/>
      </c>
      <c r="RV181" s="21">
        <f t="shared" si="600"/>
        <v>-1</v>
      </c>
      <c r="RW181" s="284">
        <f>IF(OR(Tabla1[[#This Row],[FUM FORMULA CONFIABLE]]="",Tabla1[[#This Row],[FUM FORMULA CONFIABLE]]="SD"),"",IF(Tabla1[[#This Row],[FUM FORMULA CONFIABLE]]="CORREGIDA",Tabla1[[#This Row],[FUM X ECO 1]],Tabla1[[#This Row],[FUM x AMENORREA]]))</f>
        <v>44999</v>
      </c>
      <c r="RX181" s="21">
        <f>IF(AND(Tabla1[[#This Row],[FUM X ECO 1]]="",Tabla1[[#This Row],[FUM x AMENORREA]]=""),"",IF(AND(Tabla1[[#This Row],[FUM X ECO 1]]="",Tabla1[[#This Row],[FUM x AMENORREA]]&lt;&gt;""),"X",SUM(Tabla1[[#This Row],[FUM X ECO 1]]-Tabla1[[#This Row],[FUM x AMENORREA]])))</f>
        <v>0.90000000000145519</v>
      </c>
      <c r="RY181" s="21">
        <f t="shared" si="673"/>
        <v>0</v>
      </c>
    </row>
    <row r="182" spans="1:493" ht="45" customHeight="1" x14ac:dyDescent="0.25">
      <c r="A182" s="109"/>
      <c r="B182" s="43"/>
      <c r="C182" s="43" t="s">
        <v>845</v>
      </c>
      <c r="D182" s="124"/>
      <c r="E182" s="43" t="s">
        <v>1513</v>
      </c>
      <c r="F182" s="43" t="s">
        <v>1514</v>
      </c>
      <c r="G182" s="43" t="s">
        <v>1515</v>
      </c>
      <c r="H182" s="43"/>
      <c r="I182" s="109" t="s">
        <v>851</v>
      </c>
      <c r="J182" s="110">
        <v>1067461286</v>
      </c>
      <c r="K182" s="43" t="s">
        <v>852</v>
      </c>
      <c r="L182" s="175" t="s">
        <v>1516</v>
      </c>
      <c r="M182" s="22">
        <v>36963</v>
      </c>
      <c r="N182" s="213">
        <f t="shared" ca="1" si="601"/>
        <v>22.654794520547945</v>
      </c>
      <c r="O182" s="22">
        <v>45087</v>
      </c>
      <c r="P182" s="214" t="str">
        <f t="shared" si="675"/>
        <v>SI</v>
      </c>
      <c r="Q182" s="26" t="s">
        <v>855</v>
      </c>
      <c r="R182" s="22">
        <v>45087</v>
      </c>
      <c r="S182" s="21" t="s">
        <v>856</v>
      </c>
      <c r="T182" s="24" t="s">
        <v>690</v>
      </c>
      <c r="U182" s="21" t="s">
        <v>857</v>
      </c>
      <c r="V182" s="21" t="s">
        <v>858</v>
      </c>
      <c r="W182" s="21" t="s">
        <v>1163</v>
      </c>
      <c r="X182" s="21"/>
      <c r="Y182" s="21"/>
      <c r="Z182" s="21"/>
      <c r="AA182" s="21" t="s">
        <v>860</v>
      </c>
      <c r="AB182" s="27" t="s">
        <v>861</v>
      </c>
      <c r="AC182" s="26" t="s">
        <v>888</v>
      </c>
      <c r="AD182" s="38" t="s">
        <v>1546</v>
      </c>
      <c r="AE182" s="26" t="s">
        <v>854</v>
      </c>
      <c r="AF182" s="26" t="s">
        <v>854</v>
      </c>
      <c r="AG182" s="23" t="s">
        <v>864</v>
      </c>
      <c r="AH182" s="23" t="s">
        <v>864</v>
      </c>
      <c r="AI182" s="24" t="s">
        <v>863</v>
      </c>
      <c r="AJ182" s="23" t="s">
        <v>864</v>
      </c>
      <c r="AK182" s="220" t="str">
        <f>IF(AND(AD182="",AE182="",AF182="",AG182="",AH182="",AI182="",AJ182=""),"",IF(OR(Tabla1[[#This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EVALUACIÓN",IF(AND(O182="",R182=""),"",IF(AND(OR(O182&gt;0,R182&gt;0),NG182&gt;=0,NG182&lt;2),"SIN RIESGO",IF(AND(OR(O182&gt;0,R182&gt;0),NG182&gt;=2),"CON RIESGO","ASD")))))</f>
        <v>SIN RIESGO</v>
      </c>
      <c r="AL182" s="23" t="s">
        <v>864</v>
      </c>
      <c r="AM182" s="26" t="s">
        <v>864</v>
      </c>
      <c r="AN182" s="26" t="s">
        <v>864</v>
      </c>
      <c r="AO182" s="26" t="s">
        <v>864</v>
      </c>
      <c r="AP182" s="26" t="s">
        <v>864</v>
      </c>
      <c r="AQ182" s="26" t="s">
        <v>864</v>
      </c>
      <c r="AR182" s="26" t="s">
        <v>864</v>
      </c>
      <c r="AS182" s="21">
        <v>0</v>
      </c>
      <c r="AT182" s="21">
        <v>0</v>
      </c>
      <c r="AU182" s="21">
        <v>0</v>
      </c>
      <c r="AV182" s="26" t="s">
        <v>864</v>
      </c>
      <c r="AW182" s="21">
        <v>0</v>
      </c>
      <c r="AX182" s="26" t="s">
        <v>864</v>
      </c>
      <c r="AY182" s="26" t="s">
        <v>864</v>
      </c>
      <c r="AZ182" s="26" t="s">
        <v>864</v>
      </c>
      <c r="BA182" s="26" t="s">
        <v>864</v>
      </c>
      <c r="BB182" s="26" t="s">
        <v>864</v>
      </c>
      <c r="BC182" s="26" t="s">
        <v>864</v>
      </c>
      <c r="BD182" s="26" t="s">
        <v>864</v>
      </c>
      <c r="BE182" s="26" t="s">
        <v>864</v>
      </c>
      <c r="BF182" s="26" t="s">
        <v>864</v>
      </c>
      <c r="BG182" s="26" t="s">
        <v>864</v>
      </c>
      <c r="BH182" s="26" t="s">
        <v>864</v>
      </c>
      <c r="BI182" s="26" t="s">
        <v>864</v>
      </c>
      <c r="BJ182" s="26" t="s">
        <v>864</v>
      </c>
      <c r="BK182" s="26" t="s">
        <v>865</v>
      </c>
      <c r="BL182" s="26" t="s">
        <v>864</v>
      </c>
      <c r="BM182" s="26" t="s">
        <v>864</v>
      </c>
      <c r="BN182" s="22"/>
      <c r="BO182" s="22">
        <v>44963</v>
      </c>
      <c r="BP182" s="21" t="s">
        <v>854</v>
      </c>
      <c r="BQ182" s="222">
        <f t="shared" si="602"/>
        <v>0</v>
      </c>
      <c r="BR182" s="223" t="str">
        <f t="shared" si="603"/>
        <v/>
      </c>
      <c r="BS182" s="224">
        <f t="shared" si="604"/>
        <v>17.714285714285715</v>
      </c>
      <c r="BT182" s="216" t="str">
        <f t="shared" si="605"/>
        <v>II TRIM</v>
      </c>
      <c r="BU182" s="214">
        <f t="shared" ca="1" si="606"/>
        <v>38.428571428571431</v>
      </c>
      <c r="BV182" s="25"/>
      <c r="BW182" s="22"/>
      <c r="BX182" s="28"/>
      <c r="BY182" s="28"/>
      <c r="BZ182" s="22"/>
      <c r="CA182" s="21"/>
      <c r="CB182" s="26"/>
      <c r="CC182" s="26"/>
      <c r="CD182" s="26"/>
      <c r="CE182" s="26"/>
      <c r="CF182" s="22" t="s">
        <v>1517</v>
      </c>
      <c r="CG182" s="21">
        <v>1.5</v>
      </c>
      <c r="CH182" s="21">
        <v>49.1</v>
      </c>
      <c r="CI182" s="214">
        <f t="shared" si="607"/>
        <v>21.822222222222223</v>
      </c>
      <c r="CJ182" s="225" t="e">
        <f>IF(AND(CI182&lt;10,CH182="SD"),"SIN DATO PESO PREGESTACION O I TRIM",IF(AND(OR(R182&gt;0,O182&gt;0),CI182="X"),"INGRESAR DATO DE PESO",IF(CI182="SD","INGRESAR DATO DE TALLA Y PESO",IF(AND(OR(Tabla1[[#This Row],[MOMENTO EN QUE SE REALIZA EL PESO AL INGRESO A CPN]]="PREGESTACIÓN",NZ182="Menor"),CI182&lt;18.5),"BAJO PESO",IF(AND(OR(Tabla1[[#This Row],[MOMENTO EN QUE SE REALIZA EL PESO AL INGRESO A CPN]]="PREGESTACIÓN",NZ182="Menor"),CI182&lt;25),"NORMAL",IF(AND(OR(Tabla1[[#This Row],[MOMENTO EN QUE SE REALIZA EL PESO AL INGRESO A CPN]]="PREGESTACIÓN",NZ182="Menor"),CI182&lt;30),"SOBREPESO",IF(AND(OR(Tabla1[[#This Row],[MOMENTO EN QUE SE REALIZA EL PESO AL INGRESO A CPN]]="PREGESTACIÓN",NZ182="Menor"),CI182&gt;=30,CI182&lt;50),"OBESIDAD",IF(AND(BS182&gt;0,Tabla1[[#This Row],[MOMENTO EN QUE SE REALIZA EL PESO AL INGRESO A CPN]]="GESTACIÓN"),HLOOKUP(NZ182,$OA$2:PH182,NY182),""))))))))</f>
        <v>#REF!</v>
      </c>
      <c r="CK182" s="212">
        <f t="shared" si="608"/>
        <v>45087</v>
      </c>
      <c r="CL182" s="21">
        <v>49.1</v>
      </c>
      <c r="CM182" s="214">
        <f t="shared" si="609"/>
        <v>21.822222222222223</v>
      </c>
      <c r="CN182" s="216">
        <f t="shared" si="610"/>
        <v>17</v>
      </c>
      <c r="CO182" s="216" t="e">
        <f>IF(PI182="","",IF(PI182&gt;0,HLOOKUP(PI182,$PJ$2:QQ182,NY182),""))</f>
        <v>#REF!</v>
      </c>
      <c r="CP182" s="21"/>
      <c r="CQ182" s="216" t="e">
        <f>IF(QR182="Menor","NO APLICA-MENOR 13 SEM",IF(AND(CC182="SI",CN182&gt;23),"NO APLICA- GEMELAR",IF(QR182="","",IF(QR182&gt;0,HLOOKUP(QR182,$QS$2:RU182,NY182),""))))</f>
        <v>#REF!</v>
      </c>
      <c r="CR182" s="21"/>
      <c r="CS182" s="21"/>
      <c r="CT182" s="217" t="str">
        <f>IF(R182="","",IF(AND(BS182&gt;1,BS182&lt;12,Tabla1[[#This Row],[T.A. SISTOLICA - ANTES DE SEMANA 12]]="",Tabla1[[#This Row],[T.A. DIASTOLICA - ANTES DE SEMANA 12]]=""),"REGISTRE DATO TA ANTES SEMANA 12",IF(AND(BS182&gt;11,BS182&lt;43,Tabla1[[#This Row],[T.A. SISTOLICA - ANTES DE SEMANA 12]]="",Tabla1[[#This Row],[T.A. DIASTOLICA - ANTES DE SEMANA 12]]=""),"NO APLICA REGISTRO TA-INGRESO TARDIO",IF(AND(OR(O182&gt;0,R182&gt;0),OR(CR182&gt;=140,CS182&gt;=90)),"DEFINIR ESTADIO HTA",IF(AND(OR(O182&gt;0,R182&gt;0),AND(CR182&gt;120,CR182&lt;=139)),"PRE HTA SEGUIMIENTO",IF(AND(OR(O182&gt;0,R182&gt;0),AND(CS182&gt;80,CS182&lt;=89)),"PRE HTA SEGUIMIENTO",IF(AND(OR(O182&gt;0,R182&gt;0),AND(CR182&gt;=80,CR182&lt;=120)),"APARENTEMENTE NORMAL",IF(AND(OR(O182&gt;0,R182&gt;0),AND(CS182&gt;=50,CS182&lt;=80)),"APARENTEMENTE NORMAL",IF(AND(OR(O182&gt;0,R182&gt;0),AND(CR182&gt;1,CR182&lt;=70),AND(CS182&gt;1,CS182&lt;=40)),"HIPOTENSIÓN","")))))))))</f>
        <v>NO APLICA REGISTRO TA-INGRESO TARDIO</v>
      </c>
      <c r="CU182" s="21"/>
      <c r="CV182" s="21"/>
      <c r="CW182" s="217" t="str">
        <f ca="1">IF(R182="","",IF(AND(CN182&gt;19,CN182&lt;27,Tabla1[[#This Row],[T.A. SISTOLICA (Entre semana 20 y 26)]]="",Tabla1[[#This Row],[T.A. DIATOLICA (Entre semana 20 y 26)]]=""),"ACUDE A CONTROL SEM 20 A 26 REGISTRE TA AHORA",IF(AND(BS182&gt;1,BS182&lt;27,BU182&gt;19,Tabla1[[#This Row],[T.A. SISTOLICA (Entre semana 20 y 26)]]="",Tabla1[[#This Row],[T.A. DIATOLICA (Entre semana 20 y 26)]]=""),"COMPLETE REGISTRO TA CONTROL SEM 20 A26 ",IF(AND(BS182&gt;26,BS182&lt;43,Tabla1[[#This Row],[T.A. SISTOLICA (Entre semana 20 y 26)]]="",Tabla1[[#This Row],[T.A. DIATOLICA (Entre semana 20 y 26)]]=""),"NO APLICA REGISTRO TA-INGRESO TARDIO",IF(AND(OR(O182&gt;0,R182&gt;0),OR(CU182&gt;=140,CV182&gt;=90)),"ALTO RIESGO PREECLAMPSIA,DEFINIR ESTADIO HTA",IF(AND(OR(O182&gt;0,R182&gt;0),AND(CU182&gt;120,CU182&lt;=139)),"PRE HTA SEGUIMIENTO,RIESGO HIPERTENSION INDUCIDA POR EL EMBARAZO",IF(AND(OR(O182&gt;0,R182&gt;0),AND(CV182&gt;80,CV182&lt;=89)),"PRE HTA SEGUIMIENTO, RIESGO HIPERTENSION INDUCIDA POR EL EMBARAZO",IF(AND(OR(O182&lt;&gt;"",R182&lt;&gt;""),CS182&lt;&gt;"",CV182&lt;&gt;"",CS182&lt;=CV182),"VIGILAR CIFRAS PRESION ARTERIAL",IF(AND(OR(O182&gt;0,R182&gt;0),AND(CU182&gt;120,CU182&lt;=139)),"PRE HTA SEGUIMIENTO",IF(AND(OR(O182&gt;0,R182&gt;0),AND(CU182&gt;1,CU182&lt;=70),AND(CV182&gt;1,CV182&lt;=40)),"HIPOTENSIÓN",IF(AND(OR(O182&lt;&gt;"",R182&lt;&gt;""),CS182&lt;&gt;"",CV182&lt;&gt;"",CS182&gt;CV182),"APARENTEMENTE NORMAL",IF(AND(OR(O182&gt;0,R182&gt;0),AND(CU182&gt;=80,CU182&lt;=120)),"APARENTEMENTE NORMAL",IF(AND(OR(O182&gt;0,R182&gt;0),AND(CV182&gt;=50,CV182&lt;=80)),"APARENTEMENTE NORMAL","")))))))))))))</f>
        <v xml:space="preserve">COMPLETE REGISTRO TA CONTROL SEM 20 A26 </v>
      </c>
      <c r="CX182" s="21"/>
      <c r="CY182" s="21"/>
      <c r="CZ182" s="216" t="str">
        <f t="shared" si="729"/>
        <v/>
      </c>
      <c r="DA182" s="21">
        <v>90</v>
      </c>
      <c r="DB182" s="21">
        <v>60</v>
      </c>
      <c r="DC182" s="217" t="str">
        <f t="shared" si="611"/>
        <v>APARENTEMENTE NORMAL</v>
      </c>
      <c r="DD182" s="22">
        <v>45087</v>
      </c>
      <c r="DE182" s="22">
        <v>45087</v>
      </c>
      <c r="DF182" s="22"/>
      <c r="DG182" s="22"/>
      <c r="DH182" s="22"/>
      <c r="DI182" s="22"/>
      <c r="DJ182" s="22"/>
      <c r="DK182" s="22"/>
      <c r="DL182" s="22"/>
      <c r="DM182" s="22"/>
      <c r="DN182" s="22"/>
      <c r="DO182" s="22"/>
      <c r="DP182" s="22"/>
      <c r="DQ182" s="22"/>
      <c r="DR182" s="28">
        <v>0</v>
      </c>
      <c r="DS182" s="22"/>
      <c r="DT182" s="22"/>
      <c r="DU182" s="216" t="str">
        <f t="shared" ca="1" si="676"/>
        <v>CONCERTAR PLAN DE PARTO INMEDIATO</v>
      </c>
      <c r="DV182" s="226" t="str">
        <f t="shared" si="677"/>
        <v>ACTIVA INGRESO A CPN</v>
      </c>
      <c r="DW182"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82" s="216" t="e">
        <f t="shared" ca="1" si="612"/>
        <v>#REF!</v>
      </c>
      <c r="DY182" s="212">
        <f>IF(R182="","",IF(R182&gt;0,MAX(Tabla1[[#This Row],[FECHA C2]:[FECHA C13]],Tabla1[[#This Row],[FECHA CONSULTA PRIMERA VEZ PROGRAMA CPN ]])))</f>
        <v>45087</v>
      </c>
      <c r="DZ182" s="216">
        <f t="shared" si="613"/>
        <v>17</v>
      </c>
      <c r="EA182" s="222">
        <f>IF(R182&gt;0,SUM(COUNTA(DF182:DQ182)+COUNTA(Tabla1[[#This Row],[FECHA CONSULTA PRIMERA VEZ PROGRAMA CPN ]])),"")</f>
        <v>1</v>
      </c>
      <c r="EB182" s="222" t="str">
        <f t="shared" si="614"/>
        <v>NO</v>
      </c>
      <c r="EC182" s="214">
        <f t="shared" si="615"/>
        <v>7</v>
      </c>
      <c r="ED182" s="227">
        <f t="shared" si="616"/>
        <v>0.14285714285714285</v>
      </c>
      <c r="EE182" s="22">
        <v>45087</v>
      </c>
      <c r="EF182" s="22"/>
      <c r="EG182" s="22">
        <v>45087</v>
      </c>
      <c r="EH182" s="22"/>
      <c r="EI182" s="22">
        <v>45087</v>
      </c>
      <c r="EJ182" s="22"/>
      <c r="EK182" s="22"/>
      <c r="EL182" s="21"/>
      <c r="EM182" s="21"/>
      <c r="EN182" s="22"/>
      <c r="EO182" s="222" t="str">
        <f t="shared" si="617"/>
        <v>TOMAR EXAMEN</v>
      </c>
      <c r="EP182" s="214" t="str">
        <f t="shared" si="618"/>
        <v/>
      </c>
      <c r="EQ182" s="216" t="str">
        <f t="shared" si="619"/>
        <v>POR DEFINIR</v>
      </c>
      <c r="ER182" s="24"/>
      <c r="ES182" s="22"/>
      <c r="ET182" s="29" t="str">
        <f t="shared" ca="1" si="678"/>
        <v>TOMA DE HEMOGLOBINA TARDÍA</v>
      </c>
      <c r="EU182" s="25" t="str">
        <f t="shared" si="620"/>
        <v/>
      </c>
      <c r="EV182" s="24"/>
      <c r="EW182" s="24"/>
      <c r="EX182" s="22"/>
      <c r="EY182" s="29" t="str">
        <f t="shared" si="693"/>
        <v>TOMAR EXAMEN</v>
      </c>
      <c r="EZ182" s="25" t="str">
        <f t="shared" ca="1" si="694"/>
        <v/>
      </c>
      <c r="FA182" s="21"/>
      <c r="FB182" s="22"/>
      <c r="FC182" s="29" t="str">
        <f t="shared" si="621"/>
        <v>TOMAR EXAMEN</v>
      </c>
      <c r="FD182" s="29"/>
      <c r="FE182" s="29"/>
      <c r="FF182" s="29"/>
      <c r="FG182" s="21" t="str">
        <f t="shared" ca="1" si="622"/>
        <v>TOMAR PTOG</v>
      </c>
      <c r="FH182" s="31"/>
      <c r="FI182" s="29" t="str">
        <f t="shared" si="623"/>
        <v>TOMAR EXAMEN</v>
      </c>
      <c r="FJ182" s="22"/>
      <c r="FK182" s="22"/>
      <c r="FL182" s="29" t="str">
        <f t="shared" ca="1" si="624"/>
        <v>NO APLICA-INGRESO TARDIO</v>
      </c>
      <c r="FM182" s="22"/>
      <c r="FN182" s="32"/>
      <c r="FO182" s="29" t="str">
        <f t="shared" ca="1" si="679"/>
        <v>PIERDE TOMA DE TAMIZAJE</v>
      </c>
      <c r="FP182" s="22"/>
      <c r="FQ182" s="32"/>
      <c r="FR182" s="29" t="str">
        <f t="shared" ca="1" si="680"/>
        <v>TOMA INMEDIATA DE TAMIZAJE</v>
      </c>
      <c r="FS182" s="22"/>
      <c r="FT182" s="32"/>
      <c r="FU182" s="29" t="str">
        <f>IF(AND(FJ182="",FM182="",FP182="",FS182=""),"",IF(OR(OR(Tabla1[[#This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82" s="28"/>
      <c r="FW182" s="22"/>
      <c r="FX182" s="29" t="str">
        <f t="shared" si="625"/>
        <v>TOMAR EXAMEN</v>
      </c>
      <c r="FY182" s="22"/>
      <c r="FZ182" s="22"/>
      <c r="GA182" s="29" t="str">
        <f t="shared" ca="1" si="692"/>
        <v>NO APLICA-INGRESO TARDIO</v>
      </c>
      <c r="GB182" s="22"/>
      <c r="GC182" s="22"/>
      <c r="GD182" s="29" t="str">
        <f t="shared" ca="1" si="732"/>
        <v>PIERDE TOMA DE TAMIZAJE</v>
      </c>
      <c r="GE182" s="22"/>
      <c r="GF182" s="22"/>
      <c r="GG182" s="29" t="str">
        <f t="shared" ca="1" si="682"/>
        <v>TOMA INMEDIATA DE TAMIZAJE</v>
      </c>
      <c r="GH182" s="22"/>
      <c r="GI182" s="29"/>
      <c r="GJ182" s="22"/>
      <c r="GK182" s="22"/>
      <c r="GL182" s="22"/>
      <c r="GM182" s="22"/>
      <c r="GN182" s="28"/>
      <c r="GO182" s="22"/>
      <c r="GP182" s="29" t="str">
        <f t="shared" si="626"/>
        <v>TOMAR EXAMEN</v>
      </c>
      <c r="GQ182" s="28"/>
      <c r="GR182" s="28"/>
      <c r="GS182" s="22" t="str">
        <f t="shared" si="728"/>
        <v/>
      </c>
      <c r="GT182" s="22"/>
      <c r="GU182" s="29" t="str">
        <f t="shared" si="628"/>
        <v>TOMAR EXAMEN</v>
      </c>
      <c r="GV182" s="21" t="str">
        <f t="shared" si="629"/>
        <v>POR DEFINIR</v>
      </c>
      <c r="GW182" s="28"/>
      <c r="GX182" s="30"/>
      <c r="GY182" s="21"/>
      <c r="GZ182" s="21"/>
      <c r="HA182" s="21"/>
      <c r="HB182" s="21"/>
      <c r="HC182" s="21"/>
      <c r="HD182" s="21"/>
      <c r="HE182" s="21"/>
      <c r="HF182" s="22"/>
      <c r="HG182" s="22" t="str">
        <f>IF(OR(O182&gt;0,R182&gt;0),CONCATENATE(IF(Tabla1[[#This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82" s="22" t="e">
        <f t="shared" si="630"/>
        <v>#REF!</v>
      </c>
      <c r="HI182" s="22" t="e">
        <f t="shared" ca="1" si="631"/>
        <v>#REF!</v>
      </c>
      <c r="HJ182" s="21" t="str">
        <f t="shared" ca="1" si="632"/>
        <v>**********************MULTIPARIDAD*****************</v>
      </c>
      <c r="HK182" s="21" t="str">
        <f t="shared" si="633"/>
        <v>SIN ANTECEDENTES DE RIESGO</v>
      </c>
      <c r="HL182" s="24" t="str">
        <f t="shared" si="634"/>
        <v>APARENTEMENTE NORMAL</v>
      </c>
      <c r="HM182" s="21" t="e">
        <f t="shared" ca="1" si="635"/>
        <v>#REF!</v>
      </c>
      <c r="HN182" s="30" t="str">
        <f t="shared" si="683"/>
        <v>ACTIVA INGRESO A CPN</v>
      </c>
      <c r="HO182" s="21"/>
      <c r="HP182" s="21"/>
      <c r="HQ182" s="349"/>
      <c r="HR182" s="21" t="str">
        <f>IF(R182="","",IF(Tabla1[[#This Row],[ALARMA FACTORES DE RIESGO COMPLICACIONES HIPERTENSIVAS3]]="SIN ANTECEDENTES DE RIESGO","No Aplica para suministro de ASA",IF(AND(Tabla1[[#This Row],[FECHA INICIO DE SUMINISTRO DE ASA]]&gt;0,RV182&lt;12),"Inicia ASA ANTES de Sem 12",IF(AND(RV182&gt;11,RV182&lt;17,OR(HK182="RIESGO ALTO DE COMPLICACIONES HIPERTENSIVAS VER MANEJO GUIA SUMINISTRO ASA Y CALCIO",HK182="RIESGO MODERADO (2 O MAS CRITERIOS) VER MANEJO GUIA SUMINISTRO ASA Y CALCIO")),"Inicio oportuno de ASA",IF(AND(RV182&gt;12,OR(HK182="RIESGO ALTO DE COMPLICACIONES HIPERTENSIVAS VER MANEJO GUIA SUMINISTRO ASA Y CALCIO",HK182="RIESGO MODERADO (2 O MAS CRITERIOS) VER MANEJO GUIA SUMINISTRO ASA Y CALCIO")),"Inicio no oportuno mayor a 16 semanas",IF(AND(BU182&lt;12,OR(HK182="RIESGO ALTO DE COMPLICACIONES HIPERTENSIVAS VER MANEJO GUIA SUMINISTRO ASA Y CALCIO",HK182="RIESGO MODERADO (2 O MAS CRITERIOS) VER MANEJO GUIA SUMINISTRO ASA Y CALCIO")),"Pendiente Inicio de ASA a la semana 12",IF(AND(BU182&gt;11,BU182&lt;17,OR(HK182="RIESGO ALTO DE COMPLICACIONES HIPERTENSIVAS VER MANEJO GUIA SUMINISTRO ASA Y CALCIO",HK182="RIESGO MODERADO (2 O MAS CRITERIOS) VER MANEJO GUIA SUMINISTRO ASA Y CALCIO")),"Iniciar de inmediato ASA",IF(AND(BU182&gt;16,OR(HK182="RIESGO ALTO DE COMPLICACIONES HIPERTENSIVAS VER MANEJO GUIA SUMINISTRO ASA Y CALCIO",HK182="RIESGO MODERADO (2 O MAS CRITERIOS) VER MANEJO GUIA SUMINISTRO ASA Y CALCIO")),"Pierde Oportunidad, Inicio tardío de ASA","XXXXX"))))))))</f>
        <v>No Aplica para suministro de ASA</v>
      </c>
      <c r="HS182" s="22">
        <v>45087</v>
      </c>
      <c r="HT182" s="22" t="s">
        <v>1518</v>
      </c>
      <c r="HU182" s="22"/>
      <c r="HV182" s="22"/>
      <c r="HW182" s="22">
        <v>45087</v>
      </c>
      <c r="HX182" s="22" t="s">
        <v>1511</v>
      </c>
      <c r="HY182" s="22"/>
      <c r="HZ182" s="28" t="str">
        <f t="shared" si="636"/>
        <v>PENDIENTE CONSULTA</v>
      </c>
      <c r="IA182" s="26"/>
      <c r="IB182" s="26"/>
      <c r="IC182" s="111"/>
      <c r="ID182" s="22"/>
      <c r="IE182" s="22" t="str">
        <f t="shared" ca="1" si="637"/>
        <v>INASISTENTE</v>
      </c>
      <c r="IF182" s="22"/>
      <c r="IG182" s="22">
        <f t="shared" si="638"/>
        <v>45243</v>
      </c>
      <c r="IH182" s="29">
        <f t="shared" ca="1" si="639"/>
        <v>11</v>
      </c>
      <c r="II182" s="22" t="str">
        <f t="shared" ca="1" si="640"/>
        <v>MENOS DE 4 SEMANAS</v>
      </c>
      <c r="IJ182" s="22"/>
      <c r="IK182" s="21"/>
      <c r="IL182" s="21"/>
      <c r="IM182" s="34"/>
      <c r="IN182" s="22"/>
      <c r="IO182" s="21"/>
      <c r="IP182" s="29" t="str">
        <f t="shared" si="730"/>
        <v/>
      </c>
      <c r="IQ182" s="35"/>
      <c r="IR182" s="21"/>
      <c r="IS182" s="21"/>
      <c r="IT182" s="21"/>
      <c r="IU182" s="21"/>
      <c r="IV182" s="21"/>
      <c r="IW182" s="21"/>
      <c r="IX182" s="21"/>
      <c r="IY182" s="21"/>
      <c r="IZ182" s="21"/>
      <c r="JA182" s="21"/>
      <c r="JB182" s="30"/>
      <c r="JC182" s="21"/>
      <c r="JD182" s="36"/>
      <c r="JE182" s="21" t="str">
        <f t="shared" si="733"/>
        <v/>
      </c>
      <c r="JF182" s="30"/>
      <c r="JG182" s="21"/>
      <c r="JH182" s="21"/>
      <c r="JI182" s="21"/>
      <c r="JJ182" s="30"/>
      <c r="JK182" s="22"/>
      <c r="JL182" s="22"/>
      <c r="JM182" s="21"/>
      <c r="JN182" s="36"/>
      <c r="JO182" s="21" t="str">
        <f t="shared" si="734"/>
        <v/>
      </c>
      <c r="JP182" s="22"/>
      <c r="JQ182" s="21"/>
      <c r="JR182" s="21"/>
      <c r="JS182" s="21"/>
      <c r="JT182" s="30"/>
      <c r="JU182" s="22"/>
      <c r="JV182" s="22"/>
      <c r="JW182" s="33"/>
      <c r="JX182" s="28" t="str">
        <f t="shared" si="735"/>
        <v/>
      </c>
      <c r="JY182" s="33"/>
      <c r="JZ182" s="28" t="str">
        <f t="shared" si="736"/>
        <v/>
      </c>
      <c r="KA182" s="21"/>
      <c r="KB182" s="21"/>
      <c r="KC182" s="21"/>
      <c r="KD182" s="37"/>
      <c r="KE182" s="28"/>
      <c r="KF182" s="28"/>
      <c r="KG182" s="28"/>
      <c r="KH182" s="39"/>
      <c r="KI182" s="39"/>
      <c r="KJ182" s="66"/>
      <c r="KK182" s="39"/>
      <c r="KL182" s="39"/>
      <c r="KM182" s="66"/>
      <c r="KN182" s="39"/>
      <c r="KO182" s="39"/>
      <c r="KP182" s="39"/>
      <c r="KQ182" s="39"/>
      <c r="KR182" s="39"/>
      <c r="KS182" s="39"/>
      <c r="KT182" s="39"/>
      <c r="KU182" s="38"/>
      <c r="KV182" s="38"/>
      <c r="KW182" s="38"/>
      <c r="KX182" s="38"/>
      <c r="KY182" s="38"/>
      <c r="KZ182" s="38"/>
      <c r="LA182" s="38"/>
      <c r="LB182" s="38"/>
      <c r="LC182" s="38"/>
      <c r="LD182" s="38"/>
      <c r="LE182" s="38"/>
      <c r="LF182" s="38"/>
      <c r="LG182" s="38"/>
      <c r="LH182" s="38"/>
      <c r="LI182" s="38"/>
      <c r="LJ182" s="38"/>
      <c r="LK182" s="38"/>
      <c r="LL182" s="38"/>
      <c r="LM182" s="38"/>
      <c r="LN182" s="38"/>
      <c r="LO182" s="38"/>
      <c r="LP182" s="38"/>
      <c r="LQ182" s="38"/>
      <c r="LR182" s="38"/>
      <c r="LS182" s="38"/>
      <c r="LT182" s="38"/>
      <c r="LU182" s="38"/>
      <c r="LV182" s="38"/>
      <c r="LW182" s="38"/>
      <c r="LX182" s="38"/>
      <c r="LY182" s="38"/>
      <c r="LZ182" s="38"/>
      <c r="MA182" s="38"/>
      <c r="MB182" s="38"/>
      <c r="MC182" s="38"/>
      <c r="MD182" s="38"/>
      <c r="ME182" s="38"/>
      <c r="MF182" s="38"/>
      <c r="MG182" s="38"/>
      <c r="MH182" s="43">
        <f t="shared" si="697"/>
        <v>0</v>
      </c>
      <c r="MI182" s="43" t="str">
        <f t="shared" si="698"/>
        <v/>
      </c>
      <c r="MJ182" s="43" t="str">
        <f t="shared" si="699"/>
        <v/>
      </c>
      <c r="MK182" s="43">
        <f t="shared" si="700"/>
        <v>0</v>
      </c>
      <c r="ML18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82" s="43">
        <f t="shared" si="701"/>
        <v>17.714285714285715</v>
      </c>
      <c r="MN182" s="43">
        <f t="shared" si="702"/>
        <v>6</v>
      </c>
      <c r="MO182" s="43">
        <f t="shared" si="703"/>
        <v>2023</v>
      </c>
      <c r="MP182" s="43" t="str">
        <f t="shared" si="704"/>
        <v>II TRIMESTRE AÑO</v>
      </c>
      <c r="MQ182" s="43">
        <f t="shared" si="705"/>
        <v>21.920170827858083</v>
      </c>
      <c r="MR182" s="43">
        <f t="shared" si="706"/>
        <v>0</v>
      </c>
      <c r="MS182" s="43" t="str">
        <f t="shared" si="707"/>
        <v xml:space="preserve"> DE 20 A 24 AÑOS</v>
      </c>
      <c r="MT182" s="43">
        <f t="shared" si="708"/>
        <v>0</v>
      </c>
      <c r="MU182" s="43">
        <f t="shared" si="709"/>
        <v>1</v>
      </c>
      <c r="MV182" s="43">
        <f t="shared" si="710"/>
        <v>0</v>
      </c>
      <c r="MW182" s="43">
        <f t="shared" si="711"/>
        <v>0</v>
      </c>
      <c r="MX182" s="43" t="str">
        <f t="shared" si="712"/>
        <v/>
      </c>
      <c r="MY182" s="43" t="str">
        <f t="shared" ca="1" si="737"/>
        <v/>
      </c>
      <c r="MZ182" s="43" t="str">
        <f t="shared" si="713"/>
        <v/>
      </c>
      <c r="NA182" s="43" t="str">
        <f t="shared" si="714"/>
        <v/>
      </c>
      <c r="NB182" s="43" t="str">
        <f t="shared" si="715"/>
        <v/>
      </c>
      <c r="NC182" s="43" t="str">
        <f t="shared" si="716"/>
        <v/>
      </c>
      <c r="ND182" s="43">
        <f t="shared" ca="1" si="717"/>
        <v>1</v>
      </c>
      <c r="NE182" s="43">
        <f>IF(OR(O182&gt;0,R182&gt;0),SUM(COUNTIF(Tabla1[[#This Row],[AÑOS AL INICIO5 CPN]],"&gt;=40"),COUNTIF(AS182,"0"),COUNTIF(AR182,"SI"),COUNTIF(CC182,"SI"),COUNTIF(BQ182,"&gt;119"),COUNTIF(CI182,"&gt;=35")),"")</f>
        <v>1</v>
      </c>
      <c r="NF182" s="43" t="str">
        <f t="shared" si="718"/>
        <v/>
      </c>
      <c r="NG182" s="43">
        <f t="shared" si="719"/>
        <v>0</v>
      </c>
      <c r="NH182" s="43" t="str">
        <f t="shared" si="720"/>
        <v/>
      </c>
      <c r="NI18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CPN",P182="NO"),"Z",IF(AND(Tabla1[[#This Row],[CITA PROXIMO CONTROL]]="CITA MANUAL",Tabla1[[#This Row],[GESTANTES ACTUALES]]="ACTIVA INGRESO A CPN"),"W",IF(AND(Tabla1[[#This Row],[GESTANTES ACTUALES]]="SALIO PROGRAMA",IN182=""),"S",IF(AND(Tabla1[[#This Row],[CITA PROXIMO CONTROL]]&gt;0,IN182=""),(Tabla1[[#This Row],[CITA PROXIMO CONTROL]]-TODAY()),"SD"))))))))</f>
        <v>#REF!</v>
      </c>
      <c r="NJ182" s="43">
        <f>MONTH(Tabla1[[#This Row],[FECHA DE SALIDA  DEL PROGRAMA]])</f>
        <v>1</v>
      </c>
      <c r="NK182" s="43">
        <f>YEAR(Tabla1[[#This Row],[FECHA DE SALIDA  DEL PROGRAMA]])</f>
        <v>1900</v>
      </c>
      <c r="NL182" s="43" t="str">
        <f t="shared" si="721"/>
        <v>X</v>
      </c>
      <c r="NM182" s="43" t="str">
        <f t="shared" si="695"/>
        <v>NO</v>
      </c>
      <c r="NN182" s="43" t="str">
        <f ca="1">IF(AND(O182&gt;0,R182=""),"NO CPN",IF(AND(O182="",R182=""),"",IF(AND(R182&gt;0,Tabla1[[#This Row],[SEMANAS DE GESTACION ACTUALIZADAS]]&lt;=12),"NO APLICA",IF(AND(FH182&lt;&gt;"",FN182&lt;&gt;""),"SI","NO"))))</f>
        <v>NO</v>
      </c>
      <c r="NO182" s="43" t="str">
        <f ca="1">IF(AND(O182&gt;0,R182=""),"NO CPN",IF(AND(O182="",R182=""),"",IF(AND(R182&gt;0,Tabla1[[#This Row],[SEMANAS DE GESTACION ACTUALIZADAS]]&lt;=27),"NO APLICA",IF(AND(ES182&lt;&gt;"",FQ182&lt;&gt;"",GF182&lt;&gt;""),"SI","NO"))))</f>
        <v>NO</v>
      </c>
      <c r="NP182" s="204" t="str">
        <f t="shared" si="722"/>
        <v>II TRIM</v>
      </c>
      <c r="NQ182" s="21" t="str">
        <f t="shared" si="731"/>
        <v/>
      </c>
      <c r="NR182" s="21">
        <f t="shared" ca="1" si="738"/>
        <v>2</v>
      </c>
      <c r="NS182" s="205">
        <f t="shared" ca="1" si="723"/>
        <v>0</v>
      </c>
      <c r="NT182" s="21">
        <f t="shared" ca="1" si="724"/>
        <v>0</v>
      </c>
      <c r="NU182" s="21" t="str">
        <f t="shared" ca="1" si="725"/>
        <v>INCOMPLETO</v>
      </c>
      <c r="NV182" s="21" t="str">
        <f t="shared" ca="1" si="726"/>
        <v>INCOMPLETO</v>
      </c>
      <c r="NW182" s="206" t="str">
        <f>IF(AND(O182="",R182=""),"",IF(OR(AND(Tabla1[[#This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82" s="207" t="str">
        <f t="shared" ca="1" si="727"/>
        <v>SIN VACUNAR</v>
      </c>
      <c r="NY182" s="43">
        <f>ROW(Tabla1[[#This Row],['# DE TAMIZAJES SIFILIS TOMADOS ]])</f>
        <v>182</v>
      </c>
      <c r="NZ182" s="43">
        <f t="shared" si="502"/>
        <v>17</v>
      </c>
      <c r="OA182" s="43" t="str">
        <f t="shared" si="503"/>
        <v/>
      </c>
      <c r="OB182" s="43" t="str">
        <f t="shared" si="504"/>
        <v/>
      </c>
      <c r="OC182" s="43" t="str">
        <f t="shared" si="505"/>
        <v/>
      </c>
      <c r="OD182" s="43" t="str">
        <f t="shared" si="506"/>
        <v/>
      </c>
      <c r="OE182" s="43" t="str">
        <f t="shared" si="507"/>
        <v/>
      </c>
      <c r="OF182" s="43" t="str">
        <f t="shared" si="508"/>
        <v/>
      </c>
      <c r="OG182" s="43" t="str">
        <f t="shared" si="509"/>
        <v/>
      </c>
      <c r="OH182" s="43" t="str">
        <f t="shared" si="510"/>
        <v/>
      </c>
      <c r="OI182" s="43" t="str">
        <f t="shared" si="511"/>
        <v>NORMAL</v>
      </c>
      <c r="OJ182" s="43" t="str">
        <f t="shared" si="512"/>
        <v/>
      </c>
      <c r="OK182" s="43" t="str">
        <f t="shared" si="513"/>
        <v/>
      </c>
      <c r="OL182" s="43" t="str">
        <f t="shared" si="514"/>
        <v/>
      </c>
      <c r="OM182" s="43" t="str">
        <f t="shared" si="515"/>
        <v/>
      </c>
      <c r="ON182" s="43" t="str">
        <f t="shared" si="516"/>
        <v/>
      </c>
      <c r="OO182" s="43" t="str">
        <f t="shared" si="517"/>
        <v/>
      </c>
      <c r="OP182" s="43" t="str">
        <f t="shared" si="518"/>
        <v/>
      </c>
      <c r="OQ182" s="43" t="str">
        <f t="shared" si="519"/>
        <v/>
      </c>
      <c r="OR182" s="43" t="str">
        <f t="shared" si="520"/>
        <v/>
      </c>
      <c r="OS182" s="43" t="str">
        <f t="shared" si="521"/>
        <v/>
      </c>
      <c r="OT182" s="43" t="str">
        <f t="shared" si="522"/>
        <v/>
      </c>
      <c r="OU182" s="43" t="str">
        <f t="shared" si="523"/>
        <v/>
      </c>
      <c r="OV182" s="110" t="str">
        <f t="shared" si="524"/>
        <v/>
      </c>
      <c r="OW182" s="43" t="str">
        <f t="shared" si="525"/>
        <v/>
      </c>
      <c r="OX182" s="43" t="str">
        <f t="shared" si="526"/>
        <v/>
      </c>
      <c r="OY182" s="43" t="str">
        <f t="shared" si="527"/>
        <v/>
      </c>
      <c r="OZ182" s="43" t="str">
        <f t="shared" si="528"/>
        <v/>
      </c>
      <c r="PA182" s="43" t="str">
        <f t="shared" si="529"/>
        <v/>
      </c>
      <c r="PB182" s="43" t="str">
        <f t="shared" si="530"/>
        <v/>
      </c>
      <c r="PC182" s="43" t="str">
        <f t="shared" si="531"/>
        <v/>
      </c>
      <c r="PD182" s="43" t="str">
        <f t="shared" si="532"/>
        <v/>
      </c>
      <c r="PE182" s="43" t="str">
        <f t="shared" si="533"/>
        <v/>
      </c>
      <c r="PF182" s="43" t="str">
        <f t="shared" si="534"/>
        <v/>
      </c>
      <c r="PG182" s="43" t="str">
        <f t="shared" si="535"/>
        <v/>
      </c>
      <c r="PH182" s="43" t="str">
        <f t="shared" si="536"/>
        <v/>
      </c>
      <c r="PI182" s="43">
        <f t="shared" si="537"/>
        <v>17</v>
      </c>
      <c r="PJ182" s="43" t="str">
        <f t="shared" si="538"/>
        <v/>
      </c>
      <c r="PK182" s="43" t="str">
        <f t="shared" si="539"/>
        <v/>
      </c>
      <c r="PL182" s="43" t="str">
        <f t="shared" si="540"/>
        <v/>
      </c>
      <c r="PM182" s="43" t="str">
        <f t="shared" si="541"/>
        <v/>
      </c>
      <c r="PN182" s="43" t="str">
        <f t="shared" si="542"/>
        <v/>
      </c>
      <c r="PO182" s="43" t="str">
        <f t="shared" si="543"/>
        <v/>
      </c>
      <c r="PP182" s="43" t="str">
        <f t="shared" si="544"/>
        <v/>
      </c>
      <c r="PQ182" s="43" t="str">
        <f t="shared" si="545"/>
        <v/>
      </c>
      <c r="PR182" s="43" t="str">
        <f t="shared" si="546"/>
        <v>NORMAL</v>
      </c>
      <c r="PS182" s="43" t="str">
        <f t="shared" si="547"/>
        <v/>
      </c>
      <c r="PT182" s="43" t="str">
        <f t="shared" si="548"/>
        <v/>
      </c>
      <c r="PU182" s="43" t="str">
        <f t="shared" si="549"/>
        <v/>
      </c>
      <c r="PV182" s="43" t="str">
        <f t="shared" si="550"/>
        <v/>
      </c>
      <c r="PW182" s="43" t="str">
        <f t="shared" si="551"/>
        <v/>
      </c>
      <c r="PX182" s="43" t="str">
        <f t="shared" si="552"/>
        <v/>
      </c>
      <c r="PY182" s="43" t="str">
        <f t="shared" si="553"/>
        <v/>
      </c>
      <c r="PZ182" s="43" t="str">
        <f t="shared" si="554"/>
        <v/>
      </c>
      <c r="QA182" s="43" t="str">
        <f t="shared" si="555"/>
        <v/>
      </c>
      <c r="QB182" s="43" t="str">
        <f t="shared" si="556"/>
        <v/>
      </c>
      <c r="QC182" s="43" t="str">
        <f t="shared" si="557"/>
        <v/>
      </c>
      <c r="QD182" s="43" t="str">
        <f t="shared" si="558"/>
        <v/>
      </c>
      <c r="QE182" s="43" t="str">
        <f t="shared" si="559"/>
        <v/>
      </c>
      <c r="QF182" s="43" t="str">
        <f t="shared" si="560"/>
        <v/>
      </c>
      <c r="QG182" s="43" t="str">
        <f t="shared" si="561"/>
        <v/>
      </c>
      <c r="QH182" s="43" t="str">
        <f t="shared" si="562"/>
        <v/>
      </c>
      <c r="QI182" s="43" t="str">
        <f t="shared" si="563"/>
        <v/>
      </c>
      <c r="QJ182" s="43" t="str">
        <f t="shared" si="564"/>
        <v/>
      </c>
      <c r="QK182" s="43" t="str">
        <f t="shared" si="565"/>
        <v/>
      </c>
      <c r="QL182" s="43" t="str">
        <f t="shared" si="566"/>
        <v/>
      </c>
      <c r="QM182" s="43" t="str">
        <f t="shared" si="567"/>
        <v/>
      </c>
      <c r="QN182" s="43" t="str">
        <f t="shared" si="568"/>
        <v/>
      </c>
      <c r="QO182" s="43" t="str">
        <f t="shared" si="569"/>
        <v/>
      </c>
      <c r="QP182" s="43" t="str">
        <f t="shared" si="570"/>
        <v/>
      </c>
      <c r="QQ182" s="43" t="str">
        <f t="shared" si="571"/>
        <v/>
      </c>
      <c r="QR182" s="43">
        <f t="shared" si="672"/>
        <v>17</v>
      </c>
      <c r="QS182" s="43"/>
      <c r="QT182" s="21" t="str">
        <f t="shared" si="572"/>
        <v/>
      </c>
      <c r="QU182" s="21" t="str">
        <f t="shared" si="573"/>
        <v/>
      </c>
      <c r="QV182" s="21" t="str">
        <f t="shared" si="574"/>
        <v/>
      </c>
      <c r="QW182" s="21" t="str">
        <f t="shared" si="575"/>
        <v/>
      </c>
      <c r="QX182" s="21" t="str">
        <f t="shared" si="576"/>
        <v/>
      </c>
      <c r="QY182" s="21" t="str">
        <f t="shared" si="577"/>
        <v/>
      </c>
      <c r="QZ182" s="21" t="str">
        <f t="shared" si="578"/>
        <v/>
      </c>
      <c r="RA182" s="21" t="str">
        <f t="shared" si="579"/>
        <v/>
      </c>
      <c r="RB182" s="21" t="str">
        <f t="shared" si="580"/>
        <v/>
      </c>
      <c r="RC182" s="21" t="str">
        <f t="shared" si="581"/>
        <v/>
      </c>
      <c r="RD182" s="21" t="str">
        <f t="shared" si="582"/>
        <v/>
      </c>
      <c r="RE182" s="21" t="str">
        <f t="shared" si="583"/>
        <v/>
      </c>
      <c r="RF182" s="21" t="str">
        <f t="shared" si="584"/>
        <v/>
      </c>
      <c r="RG182" s="21" t="str">
        <f t="shared" si="585"/>
        <v/>
      </c>
      <c r="RH182" s="21" t="str">
        <f t="shared" si="586"/>
        <v/>
      </c>
      <c r="RI182" s="21" t="str">
        <f t="shared" si="587"/>
        <v/>
      </c>
      <c r="RJ182" s="21" t="str">
        <f t="shared" si="588"/>
        <v/>
      </c>
      <c r="RK182" s="21" t="str">
        <f t="shared" si="589"/>
        <v/>
      </c>
      <c r="RL182" s="21" t="str">
        <f t="shared" si="590"/>
        <v/>
      </c>
      <c r="RM182" s="21" t="str">
        <f t="shared" si="591"/>
        <v/>
      </c>
      <c r="RN182" s="21" t="str">
        <f t="shared" si="592"/>
        <v/>
      </c>
      <c r="RO182" s="21" t="str">
        <f t="shared" si="593"/>
        <v/>
      </c>
      <c r="RP182" s="21" t="str">
        <f t="shared" si="594"/>
        <v/>
      </c>
      <c r="RQ182" s="21" t="str">
        <f t="shared" si="595"/>
        <v/>
      </c>
      <c r="RR182" s="21" t="str">
        <f t="shared" si="596"/>
        <v/>
      </c>
      <c r="RS182" s="21" t="str">
        <f t="shared" si="597"/>
        <v/>
      </c>
      <c r="RT182" s="21" t="str">
        <f t="shared" si="598"/>
        <v/>
      </c>
      <c r="RU182" s="21" t="str">
        <f t="shared" si="599"/>
        <v/>
      </c>
      <c r="RV182" s="21">
        <f t="shared" si="600"/>
        <v>-1</v>
      </c>
      <c r="RW182" s="284">
        <f>IF(OR(Tabla1[[#This Row],[FUM FORMULA CONFIABLE]]="",Tabla1[[#This Row],[FUM FORMULA CONFIABLE]]="SD"),"",IF(Tabla1[[#This Row],[FUM FORMULA CONFIABLE]]="CORREGIDA",Tabla1[[#This Row],[FUM X ECO 1]],Tabla1[[#This Row],[FUM x AMENORREA]]))</f>
        <v>44963</v>
      </c>
      <c r="RX182" s="21" t="str">
        <f>IF(AND(Tabla1[[#This Row],[FUM X ECO 1]]="",Tabla1[[#This Row],[FUM x AMENORREA]]=""),"",IF(AND(Tabla1[[#This Row],[FUM X ECO 1]]="",Tabla1[[#This Row],[FUM x AMENORREA]]&lt;&gt;""),"X",SUM(Tabla1[[#This Row],[FUM X ECO 1]]-Tabla1[[#This Row],[FUM x AMENORREA]])))</f>
        <v>X</v>
      </c>
      <c r="RY182" s="21" t="str">
        <f t="shared" si="673"/>
        <v>x</v>
      </c>
    </row>
    <row r="183" spans="1:493" ht="45" customHeight="1" x14ac:dyDescent="0.25">
      <c r="A183" s="109"/>
      <c r="B183" s="43"/>
      <c r="C183" s="43" t="s">
        <v>845</v>
      </c>
      <c r="D183" s="124"/>
      <c r="E183" s="43" t="s">
        <v>1519</v>
      </c>
      <c r="F183" s="43" t="s">
        <v>848</v>
      </c>
      <c r="G183" s="43" t="s">
        <v>1520</v>
      </c>
      <c r="H183" s="43" t="s">
        <v>1521</v>
      </c>
      <c r="I183" s="109" t="s">
        <v>851</v>
      </c>
      <c r="J183" s="110">
        <v>1002950269</v>
      </c>
      <c r="K183" s="43" t="s">
        <v>852</v>
      </c>
      <c r="L183" s="175" t="s">
        <v>1516</v>
      </c>
      <c r="M183" s="22">
        <v>37950</v>
      </c>
      <c r="N183" s="213">
        <f t="shared" ca="1" si="601"/>
        <v>19.950684931506849</v>
      </c>
      <c r="O183" s="22">
        <v>45049</v>
      </c>
      <c r="P183" s="214" t="str">
        <f t="shared" si="675"/>
        <v>SI</v>
      </c>
      <c r="Q183" s="26" t="s">
        <v>855</v>
      </c>
      <c r="R183" s="22">
        <v>45049</v>
      </c>
      <c r="S183" s="21" t="s">
        <v>856</v>
      </c>
      <c r="T183" s="24" t="s">
        <v>690</v>
      </c>
      <c r="U183" s="21" t="s">
        <v>857</v>
      </c>
      <c r="V183" s="21" t="s">
        <v>858</v>
      </c>
      <c r="W183" s="21" t="s">
        <v>1522</v>
      </c>
      <c r="X183" s="21"/>
      <c r="Y183" s="21"/>
      <c r="Z183" s="21">
        <v>3125472546</v>
      </c>
      <c r="AA183" s="21" t="s">
        <v>860</v>
      </c>
      <c r="AB183" s="27" t="s">
        <v>861</v>
      </c>
      <c r="AC183" s="26" t="s">
        <v>888</v>
      </c>
      <c r="AD183" s="38" t="s">
        <v>1546</v>
      </c>
      <c r="AE183" s="26" t="s">
        <v>854</v>
      </c>
      <c r="AF183" s="26" t="s">
        <v>854</v>
      </c>
      <c r="AG183" s="23" t="s">
        <v>864</v>
      </c>
      <c r="AH183" s="23" t="s">
        <v>864</v>
      </c>
      <c r="AI183" s="24" t="s">
        <v>863</v>
      </c>
      <c r="AJ183" s="23" t="s">
        <v>864</v>
      </c>
      <c r="AK183" s="220" t="str">
        <f>IF(AND(AD183="",AE183="",AF183="",AG183="",AH183="",AI183="",AJ183=""),"",IF(OR(Tabla1[[#This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EVALUACIÓN",IF(AND(O183="",R183=""),"",IF(AND(OR(O183&gt;0,R183&gt;0),NG183&gt;=0,NG183&lt;2),"SIN RIESGO",IF(AND(OR(O183&gt;0,R183&gt;0),NG183&gt;=2),"CON RIESGO","ASD")))))</f>
        <v>SIN RIESGO</v>
      </c>
      <c r="AL183" s="23" t="s">
        <v>864</v>
      </c>
      <c r="AM183" s="26" t="s">
        <v>864</v>
      </c>
      <c r="AN183" s="26" t="s">
        <v>864</v>
      </c>
      <c r="AO183" s="26" t="s">
        <v>864</v>
      </c>
      <c r="AP183" s="26" t="s">
        <v>864</v>
      </c>
      <c r="AQ183" s="26" t="s">
        <v>864</v>
      </c>
      <c r="AR183" s="26" t="s">
        <v>864</v>
      </c>
      <c r="AS183" s="21">
        <v>1</v>
      </c>
      <c r="AT183" s="21">
        <v>0</v>
      </c>
      <c r="AU183" s="21">
        <v>1</v>
      </c>
      <c r="AV183" s="26" t="s">
        <v>864</v>
      </c>
      <c r="AW183" s="21">
        <v>0</v>
      </c>
      <c r="AX183" s="26" t="s">
        <v>864</v>
      </c>
      <c r="AY183" s="26" t="s">
        <v>864</v>
      </c>
      <c r="AZ183" s="26" t="s">
        <v>864</v>
      </c>
      <c r="BA183" s="26" t="s">
        <v>864</v>
      </c>
      <c r="BB183" s="26" t="s">
        <v>864</v>
      </c>
      <c r="BC183" s="26" t="s">
        <v>864</v>
      </c>
      <c r="BD183" s="26" t="s">
        <v>864</v>
      </c>
      <c r="BE183" s="26" t="s">
        <v>864</v>
      </c>
      <c r="BF183" s="26" t="s">
        <v>864</v>
      </c>
      <c r="BG183" s="26" t="s">
        <v>864</v>
      </c>
      <c r="BH183" s="26" t="s">
        <v>864</v>
      </c>
      <c r="BI183" s="26" t="s">
        <v>864</v>
      </c>
      <c r="BJ183" s="26" t="s">
        <v>864</v>
      </c>
      <c r="BK183" s="26" t="s">
        <v>865</v>
      </c>
      <c r="BL183" s="26" t="s">
        <v>864</v>
      </c>
      <c r="BM183" s="26" t="s">
        <v>864</v>
      </c>
      <c r="BN183" s="22"/>
      <c r="BO183" s="22">
        <v>44975</v>
      </c>
      <c r="BP183" s="21" t="s">
        <v>854</v>
      </c>
      <c r="BQ183" s="222">
        <f t="shared" si="602"/>
        <v>0</v>
      </c>
      <c r="BR183" s="223" t="str">
        <f t="shared" si="603"/>
        <v/>
      </c>
      <c r="BS183" s="224">
        <f t="shared" si="604"/>
        <v>10.571428571428571</v>
      </c>
      <c r="BT183" s="216" t="str">
        <f t="shared" si="605"/>
        <v>II TRIM</v>
      </c>
      <c r="BU183" s="214">
        <f t="shared" ca="1" si="606"/>
        <v>36.714285714285715</v>
      </c>
      <c r="BV183" s="25"/>
      <c r="BW183" s="22"/>
      <c r="BX183" s="28"/>
      <c r="BY183" s="28"/>
      <c r="BZ183" s="22"/>
      <c r="CA183" s="21"/>
      <c r="CB183" s="26"/>
      <c r="CC183" s="26"/>
      <c r="CD183" s="26"/>
      <c r="CE183" s="26"/>
      <c r="CF183" s="22" t="s">
        <v>1517</v>
      </c>
      <c r="CG183" s="21">
        <v>1.49</v>
      </c>
      <c r="CH183" s="21">
        <v>47</v>
      </c>
      <c r="CI183" s="214">
        <f t="shared" si="607"/>
        <v>21.170217557767668</v>
      </c>
      <c r="CJ183" s="225" t="e">
        <f>IF(AND(CI183&lt;10,CH183="SD"),"SIN DATO PESO PREGESTACION O I TRIM",IF(AND(OR(R183&gt;0,O183&gt;0),CI183="X"),"INGRESAR DATO DE PESO",IF(CI183="SD","INGRESAR DATO DE TALLA Y PESO",IF(AND(OR(Tabla1[[#This Row],[MOMENTO EN QUE SE REALIZA EL PESO AL INGRESO A CPN]]="PREGESTACIÓN",NZ183="Menor"),CI183&lt;18.5),"BAJO PESO",IF(AND(OR(Tabla1[[#This Row],[MOMENTO EN QUE SE REALIZA EL PESO AL INGRESO A CPN]]="PREGESTACIÓN",NZ183="Menor"),CI183&lt;25),"NORMAL",IF(AND(OR(Tabla1[[#This Row],[MOMENTO EN QUE SE REALIZA EL PESO AL INGRESO A CPN]]="PREGESTACIÓN",NZ183="Menor"),CI183&lt;30),"SOBREPESO",IF(AND(OR(Tabla1[[#This Row],[MOMENTO EN QUE SE REALIZA EL PESO AL INGRESO A CPN]]="PREGESTACIÓN",NZ183="Menor"),CI183&gt;=30,CI183&lt;50),"OBESIDAD",IF(AND(BS183&gt;0,Tabla1[[#This Row],[MOMENTO EN QUE SE REALIZA EL PESO AL INGRESO A CPN]]="GESTACIÓN"),HLOOKUP(NZ183,$OA$2:PH183,NY183),""))))))))</f>
        <v>#REF!</v>
      </c>
      <c r="CK183" s="212">
        <f t="shared" si="608"/>
        <v>45049</v>
      </c>
      <c r="CL183" s="21">
        <v>47</v>
      </c>
      <c r="CM183" s="214">
        <f t="shared" si="609"/>
        <v>21.170217557767668</v>
      </c>
      <c r="CN183" s="216">
        <f t="shared" si="610"/>
        <v>10</v>
      </c>
      <c r="CO183" s="216" t="e">
        <f>IF(PI183="","",IF(PI183&gt;0,HLOOKUP(PI183,$PJ$2:QQ183,NY183),""))</f>
        <v>#REF!</v>
      </c>
      <c r="CP183" s="21"/>
      <c r="CQ183" s="216" t="str">
        <f>IF(QR183="Menor","NO APLICA-MENOR 13 SEM",IF(AND(CC183="SI",CN183&gt;23),"NO APLICA- GEMELAR",IF(QR183="","",IF(QR183&gt;0,HLOOKUP(QR183,$QS$2:RU183,NY183),""))))</f>
        <v>NO APLICA-MENOR 13 SEM</v>
      </c>
      <c r="CR183" s="21">
        <v>100</v>
      </c>
      <c r="CS183" s="21">
        <v>60</v>
      </c>
      <c r="CT183" s="217" t="str">
        <f>IF(R183="","",IF(AND(BS183&gt;1,BS183&lt;12,Tabla1[[#This Row],[T.A. SISTOLICA - ANTES DE SEMANA 12]]="",Tabla1[[#This Row],[T.A. DIASTOLICA - ANTES DE SEMANA 12]]=""),"REGISTRE DATO TA ANTES SEMANA 12",IF(AND(BS183&gt;11,BS183&lt;43,Tabla1[[#This Row],[T.A. SISTOLICA - ANTES DE SEMANA 12]]="",Tabla1[[#This Row],[T.A. DIASTOLICA - ANTES DE SEMANA 12]]=""),"NO APLICA REGISTRO TA-INGRESO TARDIO",IF(AND(OR(O183&gt;0,R183&gt;0),OR(CR183&gt;=140,CS183&gt;=90)),"DEFINIR ESTADIO HTA",IF(AND(OR(O183&gt;0,R183&gt;0),AND(CR183&gt;120,CR183&lt;=139)),"PRE HTA SEGUIMIENTO",IF(AND(OR(O183&gt;0,R183&gt;0),AND(CS183&gt;80,CS183&lt;=89)),"PRE HTA SEGUIMIENTO",IF(AND(OR(O183&gt;0,R183&gt;0),AND(CR183&gt;=80,CR183&lt;=120)),"APARENTEMENTE NORMAL",IF(AND(OR(O183&gt;0,R183&gt;0),AND(CS183&gt;=50,CS183&lt;=80)),"APARENTEMENTE NORMAL",IF(AND(OR(O183&gt;0,R183&gt;0),AND(CR183&gt;1,CR183&lt;=70),AND(CS183&gt;1,CS183&lt;=40)),"HIPOTENSIÓN","")))))))))</f>
        <v>APARENTEMENTE NORMAL</v>
      </c>
      <c r="CU183" s="21"/>
      <c r="CV183" s="21"/>
      <c r="CW183" s="217" t="str">
        <f ca="1">IF(R183="","",IF(AND(CN183&gt;19,CN183&lt;27,Tabla1[[#This Row],[T.A. SISTOLICA (Entre semana 20 y 26)]]="",Tabla1[[#This Row],[T.A. DIATOLICA (Entre semana 20 y 26)]]=""),"ACUDE A CONTROL SEM 20 A 26 REGISTRE TA AHORA",IF(AND(BS183&gt;1,BS183&lt;27,BU183&gt;19,Tabla1[[#This Row],[T.A. SISTOLICA (Entre semana 20 y 26)]]="",Tabla1[[#This Row],[T.A. DIATOLICA (Entre semana 20 y 26)]]=""),"COMPLETE REGISTRO TA CONTROL SEM 20 A26 ",IF(AND(BS183&gt;26,BS183&lt;43,Tabla1[[#This Row],[T.A. SISTOLICA (Entre semana 20 y 26)]]="",Tabla1[[#This Row],[T.A. DIATOLICA (Entre semana 20 y 26)]]=""),"NO APLICA REGISTRO TA-INGRESO TARDIO",IF(AND(OR(O183&gt;0,R183&gt;0),OR(CU183&gt;=140,CV183&gt;=90)),"ALTO RIESGO PREECLAMPSIA,DEFINIR ESTADIO HTA",IF(AND(OR(O183&gt;0,R183&gt;0),AND(CU183&gt;120,CU183&lt;=139)),"PRE HTA SEGUIMIENTO,RIESGO HIPERTENSION INDUCIDA POR EL EMBARAZO",IF(AND(OR(O183&gt;0,R183&gt;0),AND(CV183&gt;80,CV183&lt;=89)),"PRE HTA SEGUIMIENTO, RIESGO HIPERTENSION INDUCIDA POR EL EMBARAZO",IF(AND(OR(O183&lt;&gt;"",R183&lt;&gt;""),CS183&lt;&gt;"",CV183&lt;&gt;"",CS183&lt;=CV183),"VIGILAR CIFRAS PRESION ARTERIAL",IF(AND(OR(O183&gt;0,R183&gt;0),AND(CU183&gt;120,CU183&lt;=139)),"PRE HTA SEGUIMIENTO",IF(AND(OR(O183&gt;0,R183&gt;0),AND(CU183&gt;1,CU183&lt;=70),AND(CV183&gt;1,CV183&lt;=40)),"HIPOTENSIÓN",IF(AND(OR(O183&lt;&gt;"",R183&lt;&gt;""),CS183&lt;&gt;"",CV183&lt;&gt;"",CS183&gt;CV183),"APARENTEMENTE NORMAL",IF(AND(OR(O183&gt;0,R183&gt;0),AND(CU183&gt;=80,CU183&lt;=120)),"APARENTEMENTE NORMAL",IF(AND(OR(O183&gt;0,R183&gt;0),AND(CV183&gt;=50,CV183&lt;=80)),"APARENTEMENTE NORMAL","")))))))))))))</f>
        <v xml:space="preserve">COMPLETE REGISTRO TA CONTROL SEM 20 A26 </v>
      </c>
      <c r="CX183" s="21"/>
      <c r="CY183" s="21"/>
      <c r="CZ183" s="216" t="str">
        <f t="shared" si="729"/>
        <v/>
      </c>
      <c r="DA183" s="21">
        <v>100</v>
      </c>
      <c r="DB183" s="21">
        <v>60</v>
      </c>
      <c r="DC183" s="217" t="str">
        <f t="shared" si="611"/>
        <v>APARENTEMENTE NORMAL</v>
      </c>
      <c r="DD183" s="22">
        <v>45049</v>
      </c>
      <c r="DE183" s="22">
        <v>45049</v>
      </c>
      <c r="DF183" s="22"/>
      <c r="DG183" s="22"/>
      <c r="DH183" s="22"/>
      <c r="DI183" s="22"/>
      <c r="DJ183" s="22"/>
      <c r="DK183" s="22"/>
      <c r="DL183" s="22"/>
      <c r="DM183" s="22"/>
      <c r="DN183" s="22"/>
      <c r="DO183" s="22"/>
      <c r="DP183" s="22"/>
      <c r="DQ183" s="22"/>
      <c r="DR183" s="28">
        <v>0</v>
      </c>
      <c r="DS183" s="22"/>
      <c r="DT183" s="22"/>
      <c r="DU183" s="216" t="str">
        <f t="shared" ca="1" si="676"/>
        <v>CONCERTAR PLAN DE PARTO INMEDIATO</v>
      </c>
      <c r="DV183" s="226" t="str">
        <f t="shared" si="677"/>
        <v>ACTIVA INGRESO A CPN</v>
      </c>
      <c r="DW183"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83" s="216" t="e">
        <f t="shared" ca="1" si="612"/>
        <v>#REF!</v>
      </c>
      <c r="DY183" s="212">
        <f>IF(R183="","",IF(R183&gt;0,MAX(Tabla1[[#This Row],[FECHA C2]:[FECHA C13]],Tabla1[[#This Row],[FECHA CONSULTA PRIMERA VEZ PROGRAMA CPN ]])))</f>
        <v>45049</v>
      </c>
      <c r="DZ183" s="216">
        <f t="shared" si="613"/>
        <v>10</v>
      </c>
      <c r="EA183" s="222">
        <f>IF(R183&gt;0,SUM(COUNTA(DF183:DQ183)+COUNTA(Tabla1[[#This Row],[FECHA CONSULTA PRIMERA VEZ PROGRAMA CPN ]])),"")</f>
        <v>1</v>
      </c>
      <c r="EB183" s="222" t="str">
        <f t="shared" si="614"/>
        <v>NO</v>
      </c>
      <c r="EC183" s="214">
        <f t="shared" si="615"/>
        <v>9</v>
      </c>
      <c r="ED183" s="227">
        <f t="shared" si="616"/>
        <v>0.1111111111111111</v>
      </c>
      <c r="EE183" s="22">
        <v>45049</v>
      </c>
      <c r="EF183" s="22"/>
      <c r="EG183" s="22">
        <v>45049</v>
      </c>
      <c r="EH183" s="22"/>
      <c r="EI183" s="22">
        <v>45049</v>
      </c>
      <c r="EJ183" s="22"/>
      <c r="EK183" s="22"/>
      <c r="EL183" s="21"/>
      <c r="EM183" s="21">
        <v>12.3</v>
      </c>
      <c r="EN183" s="22">
        <v>45049</v>
      </c>
      <c r="EO183" s="222">
        <f t="shared" si="617"/>
        <v>10.571428571428571</v>
      </c>
      <c r="EP183" s="214" t="str">
        <f t="shared" si="618"/>
        <v>NORMAL- SUMINISTRAR SULFATO FERROSO</v>
      </c>
      <c r="EQ183" s="216" t="str">
        <f t="shared" si="619"/>
        <v>I TRIM</v>
      </c>
      <c r="ER183" s="24"/>
      <c r="ES183" s="22"/>
      <c r="ET183" s="29" t="str">
        <f t="shared" ca="1" si="678"/>
        <v>TOMA DE HEMOGLOBINA TARDÍA</v>
      </c>
      <c r="EU183" s="25" t="str">
        <f t="shared" si="620"/>
        <v/>
      </c>
      <c r="EV183" s="24" t="s">
        <v>1510</v>
      </c>
      <c r="EW183" s="32">
        <v>45049</v>
      </c>
      <c r="EX183" s="22"/>
      <c r="EY183" s="29">
        <f t="shared" si="693"/>
        <v>10.571428571428571</v>
      </c>
      <c r="EZ183" s="25" t="str">
        <f t="shared" si="694"/>
        <v>SIN RIESGO DE ISOINMUNIZACIÓN</v>
      </c>
      <c r="FA183" s="21">
        <v>73</v>
      </c>
      <c r="FB183" s="22">
        <v>45049</v>
      </c>
      <c r="FC183" s="29">
        <f t="shared" si="621"/>
        <v>10.571428571428571</v>
      </c>
      <c r="FD183" s="29"/>
      <c r="FE183" s="29"/>
      <c r="FF183" s="29"/>
      <c r="FG183" s="21" t="str">
        <f t="shared" ca="1" si="622"/>
        <v>TOMAR PTOG</v>
      </c>
      <c r="FH183" s="31"/>
      <c r="FI183" s="29" t="str">
        <f t="shared" si="623"/>
        <v>TOMAR EXAMEN</v>
      </c>
      <c r="FJ183" s="22"/>
      <c r="FK183" s="22"/>
      <c r="FL183" s="29" t="str">
        <f t="shared" ca="1" si="624"/>
        <v>PIERDE TOMA DE TAMIZAJE</v>
      </c>
      <c r="FM183" s="22"/>
      <c r="FN183" s="32"/>
      <c r="FO183" s="29" t="str">
        <f t="shared" ca="1" si="679"/>
        <v>PIERDE TOMA DE TAMIZAJE</v>
      </c>
      <c r="FP183" s="22"/>
      <c r="FQ183" s="32"/>
      <c r="FR183" s="29" t="str">
        <f t="shared" ca="1" si="680"/>
        <v>TOMA INMEDIATA DE TAMIZAJE</v>
      </c>
      <c r="FS183" s="22"/>
      <c r="FT183" s="32"/>
      <c r="FU183" s="29" t="str">
        <f>IF(AND(FJ183="",FM183="",FP183="",FS183=""),"",IF(OR(OR(Tabla1[[#This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83" s="28"/>
      <c r="FW183" s="22"/>
      <c r="FX183" s="29" t="str">
        <f t="shared" si="625"/>
        <v>TOMAR EXAMEN</v>
      </c>
      <c r="FY183" s="22" t="s">
        <v>868</v>
      </c>
      <c r="FZ183" s="22">
        <v>45049</v>
      </c>
      <c r="GA183" s="29">
        <f t="shared" ca="1" si="692"/>
        <v>10.571428571428571</v>
      </c>
      <c r="GB183" s="22"/>
      <c r="GC183" s="22"/>
      <c r="GD183" s="29" t="str">
        <f t="shared" ca="1" si="732"/>
        <v>PIERDE TOMA DE TAMIZAJE</v>
      </c>
      <c r="GE183" s="22"/>
      <c r="GF183" s="22"/>
      <c r="GG183" s="29" t="str">
        <f t="shared" ca="1" si="682"/>
        <v>TOMA INMEDIATA DE TAMIZAJE</v>
      </c>
      <c r="GH183" s="22"/>
      <c r="GI183" s="29"/>
      <c r="GJ183" s="22"/>
      <c r="GK183" s="22"/>
      <c r="GL183" s="22"/>
      <c r="GM183" s="22"/>
      <c r="GN183" s="28" t="s">
        <v>869</v>
      </c>
      <c r="GO183" s="22">
        <v>45049</v>
      </c>
      <c r="GP183" s="29">
        <f t="shared" si="626"/>
        <v>10.571428571428571</v>
      </c>
      <c r="GQ183" s="28" t="s">
        <v>869</v>
      </c>
      <c r="GR183" s="28" t="s">
        <v>869</v>
      </c>
      <c r="GS183" s="22" t="str">
        <f t="shared" si="728"/>
        <v>CONTROL Igm</v>
      </c>
      <c r="GT183" s="22">
        <v>45049</v>
      </c>
      <c r="GU183" s="29">
        <f t="shared" si="628"/>
        <v>10.571428571428571</v>
      </c>
      <c r="GV183" s="21" t="str">
        <f t="shared" si="629"/>
        <v>I TRIM</v>
      </c>
      <c r="GW183" s="28"/>
      <c r="GX183" s="30"/>
      <c r="GY183" s="21"/>
      <c r="GZ183" s="21"/>
      <c r="HA183" s="21"/>
      <c r="HB183" s="21"/>
      <c r="HC183" s="21"/>
      <c r="HD183" s="21"/>
      <c r="HE183" s="21"/>
      <c r="HF183" s="22"/>
      <c r="HG183" s="22" t="str">
        <f>IF(OR(O183&gt;0,R183&gt;0),CONCATENATE(IF(Tabla1[[#This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83" s="22" t="e">
        <f t="shared" si="630"/>
        <v>#REF!</v>
      </c>
      <c r="HI183" s="22" t="e">
        <f t="shared" ca="1" si="631"/>
        <v>#REF!</v>
      </c>
      <c r="HJ183" s="21" t="str">
        <f t="shared" ca="1" si="632"/>
        <v>**********************MULTIPARIDAD*****************</v>
      </c>
      <c r="HK183" s="21" t="str">
        <f t="shared" si="633"/>
        <v>SIN ANTECEDENTES DE RIESGO</v>
      </c>
      <c r="HL183" s="24" t="str">
        <f t="shared" si="634"/>
        <v>APARENTEMENTE NORMAL</v>
      </c>
      <c r="HM183" s="21" t="e">
        <f t="shared" ca="1" si="635"/>
        <v>#REF!</v>
      </c>
      <c r="HN183" s="30" t="str">
        <f t="shared" si="683"/>
        <v>ACTIVA INGRESO A CPN</v>
      </c>
      <c r="HO183" s="21"/>
      <c r="HP183" s="21"/>
      <c r="HQ183" s="349"/>
      <c r="HR183" s="21" t="str">
        <f>IF(R183="","",IF(Tabla1[[#This Row],[ALARMA FACTORES DE RIESGO COMPLICACIONES HIPERTENSIVAS3]]="SIN ANTECEDENTES DE RIESGO","No Aplica para suministro de ASA",IF(AND(Tabla1[[#This Row],[FECHA INICIO DE SUMINISTRO DE ASA]]&gt;0,RV183&lt;12),"Inicia ASA ANTES de Sem 12",IF(AND(RV183&gt;11,RV183&lt;17,OR(HK183="RIESGO ALTO DE COMPLICACIONES HIPERTENSIVAS VER MANEJO GUIA SUMINISTRO ASA Y CALCIO",HK183="RIESGO MODERADO (2 O MAS CRITERIOS) VER MANEJO GUIA SUMINISTRO ASA Y CALCIO")),"Inicio oportuno de ASA",IF(AND(RV183&gt;12,OR(HK183="RIESGO ALTO DE COMPLICACIONES HIPERTENSIVAS VER MANEJO GUIA SUMINISTRO ASA Y CALCIO",HK183="RIESGO MODERADO (2 O MAS CRITERIOS) VER MANEJO GUIA SUMINISTRO ASA Y CALCIO")),"Inicio no oportuno mayor a 16 semanas",IF(AND(BU183&lt;12,OR(HK183="RIESGO ALTO DE COMPLICACIONES HIPERTENSIVAS VER MANEJO GUIA SUMINISTRO ASA Y CALCIO",HK183="RIESGO MODERADO (2 O MAS CRITERIOS) VER MANEJO GUIA SUMINISTRO ASA Y CALCIO")),"Pendiente Inicio de ASA a la semana 12",IF(AND(BU183&gt;11,BU183&lt;17,OR(HK183="RIESGO ALTO DE COMPLICACIONES HIPERTENSIVAS VER MANEJO GUIA SUMINISTRO ASA Y CALCIO",HK183="RIESGO MODERADO (2 O MAS CRITERIOS) VER MANEJO GUIA SUMINISTRO ASA Y CALCIO")),"Iniciar de inmediato ASA",IF(AND(BU183&gt;16,OR(HK183="RIESGO ALTO DE COMPLICACIONES HIPERTENSIVAS VER MANEJO GUIA SUMINISTRO ASA Y CALCIO",HK183="RIESGO MODERADO (2 O MAS CRITERIOS) VER MANEJO GUIA SUMINISTRO ASA Y CALCIO")),"Pierde Oportunidad, Inicio tardío de ASA","XXXXX"))))))))</f>
        <v>No Aplica para suministro de ASA</v>
      </c>
      <c r="HS183" s="22"/>
      <c r="HT183" s="22"/>
      <c r="HU183" s="22">
        <v>45049</v>
      </c>
      <c r="HV183" s="22" t="s">
        <v>1506</v>
      </c>
      <c r="HW183" s="22">
        <v>45049</v>
      </c>
      <c r="HX183" s="22" t="s">
        <v>1511</v>
      </c>
      <c r="HY183" s="22"/>
      <c r="HZ183" s="28" t="str">
        <f t="shared" si="636"/>
        <v>PENDIENTE CONSULTA</v>
      </c>
      <c r="IA183" s="26"/>
      <c r="IB183" s="26"/>
      <c r="IC183" s="111"/>
      <c r="ID183" s="22"/>
      <c r="IE183" s="22" t="str">
        <f t="shared" ca="1" si="637"/>
        <v>INASISTENTE</v>
      </c>
      <c r="IF183" s="22"/>
      <c r="IG183" s="22">
        <f t="shared" si="638"/>
        <v>45255</v>
      </c>
      <c r="IH183" s="29">
        <f t="shared" ca="1" si="639"/>
        <v>23</v>
      </c>
      <c r="II183" s="22" t="str">
        <f t="shared" ca="1" si="640"/>
        <v>MENOS DE 4 SEMANAS</v>
      </c>
      <c r="IJ183" s="22"/>
      <c r="IK183" s="21"/>
      <c r="IL183" s="21"/>
      <c r="IM183" s="34"/>
      <c r="IN183" s="22"/>
      <c r="IO183" s="21"/>
      <c r="IP183" s="29" t="str">
        <f t="shared" si="730"/>
        <v/>
      </c>
      <c r="IQ183" s="35"/>
      <c r="IR183" s="21"/>
      <c r="IS183" s="21"/>
      <c r="IT183" s="21"/>
      <c r="IU183" s="21"/>
      <c r="IV183" s="21"/>
      <c r="IW183" s="21"/>
      <c r="IX183" s="21"/>
      <c r="IY183" s="21"/>
      <c r="IZ183" s="21"/>
      <c r="JA183" s="21"/>
      <c r="JB183" s="30"/>
      <c r="JC183" s="21"/>
      <c r="JD183" s="36"/>
      <c r="JE183" s="21" t="str">
        <f t="shared" si="733"/>
        <v/>
      </c>
      <c r="JF183" s="30"/>
      <c r="JG183" s="21"/>
      <c r="JH183" s="21"/>
      <c r="JI183" s="21"/>
      <c r="JJ183" s="30"/>
      <c r="JK183" s="22"/>
      <c r="JL183" s="22"/>
      <c r="JM183" s="21"/>
      <c r="JN183" s="36"/>
      <c r="JO183" s="21" t="str">
        <f t="shared" si="734"/>
        <v/>
      </c>
      <c r="JP183" s="22"/>
      <c r="JQ183" s="21"/>
      <c r="JR183" s="21"/>
      <c r="JS183" s="21"/>
      <c r="JT183" s="30"/>
      <c r="JU183" s="22"/>
      <c r="JV183" s="22"/>
      <c r="JW183" s="33"/>
      <c r="JX183" s="28" t="str">
        <f t="shared" si="735"/>
        <v/>
      </c>
      <c r="JY183" s="33"/>
      <c r="JZ183" s="28" t="str">
        <f t="shared" si="736"/>
        <v/>
      </c>
      <c r="KA183" s="21"/>
      <c r="KB183" s="21"/>
      <c r="KC183" s="21"/>
      <c r="KD183" s="37"/>
      <c r="KE183" s="28"/>
      <c r="KF183" s="28"/>
      <c r="KG183" s="28"/>
      <c r="KH183" s="39"/>
      <c r="KI183" s="39"/>
      <c r="KJ183" s="66"/>
      <c r="KK183" s="39"/>
      <c r="KL183" s="39"/>
      <c r="KM183" s="66"/>
      <c r="KN183" s="39"/>
      <c r="KO183" s="39"/>
      <c r="KP183" s="39"/>
      <c r="KQ183" s="39"/>
      <c r="KR183" s="39"/>
      <c r="KS183" s="39"/>
      <c r="KT183" s="39"/>
      <c r="KU183" s="38"/>
      <c r="KV183" s="38"/>
      <c r="KW183" s="38"/>
      <c r="KX183" s="38"/>
      <c r="KY183" s="38"/>
      <c r="KZ183" s="38"/>
      <c r="LA183" s="38"/>
      <c r="LB183" s="38"/>
      <c r="LC183" s="38"/>
      <c r="LD183" s="38"/>
      <c r="LE183" s="38"/>
      <c r="LF183" s="38"/>
      <c r="LG183" s="38"/>
      <c r="LH183" s="38"/>
      <c r="LI183" s="38"/>
      <c r="LJ183" s="38"/>
      <c r="LK183" s="38"/>
      <c r="LL183" s="38"/>
      <c r="LM183" s="38"/>
      <c r="LN183" s="38"/>
      <c r="LO183" s="38"/>
      <c r="LP183" s="38"/>
      <c r="LQ183" s="38"/>
      <c r="LR183" s="38"/>
      <c r="LS183" s="38"/>
      <c r="LT183" s="38"/>
      <c r="LU183" s="38"/>
      <c r="LV183" s="38"/>
      <c r="LW183" s="38"/>
      <c r="LX183" s="38"/>
      <c r="LY183" s="38"/>
      <c r="LZ183" s="38"/>
      <c r="MA183" s="38"/>
      <c r="MB183" s="38"/>
      <c r="MC183" s="38"/>
      <c r="MD183" s="38"/>
      <c r="ME183" s="38"/>
      <c r="MF183" s="38"/>
      <c r="MG183" s="38"/>
      <c r="MH183" s="43">
        <f t="shared" si="697"/>
        <v>0</v>
      </c>
      <c r="MI183" s="43" t="str">
        <f t="shared" si="698"/>
        <v/>
      </c>
      <c r="MJ183" s="43" t="str">
        <f t="shared" si="699"/>
        <v/>
      </c>
      <c r="MK183" s="43">
        <f t="shared" si="700"/>
        <v>0</v>
      </c>
      <c r="ML18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83" s="43">
        <f t="shared" si="701"/>
        <v>10.571428571428571</v>
      </c>
      <c r="MN183" s="43">
        <f t="shared" si="702"/>
        <v>5</v>
      </c>
      <c r="MO183" s="43">
        <f t="shared" si="703"/>
        <v>2023</v>
      </c>
      <c r="MP183" s="43" t="str">
        <f t="shared" si="704"/>
        <v>II TRIMESTRE AÑO</v>
      </c>
      <c r="MQ183" s="43">
        <f t="shared" si="705"/>
        <v>19.15790626368813</v>
      </c>
      <c r="MR183" s="43">
        <f t="shared" si="706"/>
        <v>0</v>
      </c>
      <c r="MS183" s="43" t="str">
        <f t="shared" si="707"/>
        <v>DE 14 A 19AÑOS</v>
      </c>
      <c r="MT183" s="43">
        <f t="shared" si="708"/>
        <v>0</v>
      </c>
      <c r="MU183" s="43">
        <f t="shared" si="709"/>
        <v>1</v>
      </c>
      <c r="MV183" s="43">
        <f t="shared" si="710"/>
        <v>0</v>
      </c>
      <c r="MW183" s="43">
        <f t="shared" si="711"/>
        <v>0</v>
      </c>
      <c r="MX183" s="43" t="str">
        <f t="shared" si="712"/>
        <v/>
      </c>
      <c r="MY183" s="43" t="str">
        <f t="shared" ca="1" si="737"/>
        <v/>
      </c>
      <c r="MZ183" s="43" t="str">
        <f t="shared" si="713"/>
        <v/>
      </c>
      <c r="NA183" s="43" t="str">
        <f t="shared" si="714"/>
        <v/>
      </c>
      <c r="NB183" s="43" t="str">
        <f t="shared" si="715"/>
        <v/>
      </c>
      <c r="NC183" s="43" t="str">
        <f t="shared" si="716"/>
        <v/>
      </c>
      <c r="ND183" s="43">
        <f t="shared" ca="1" si="717"/>
        <v>1</v>
      </c>
      <c r="NE183" s="43">
        <f>IF(OR(O183&gt;0,R183&gt;0),SUM(COUNTIF(Tabla1[[#This Row],[AÑOS AL INICIO5 CPN]],"&gt;=40"),COUNTIF(AS183,"0"),COUNTIF(AR183,"SI"),COUNTIF(CC183,"SI"),COUNTIF(BQ183,"&gt;119"),COUNTIF(CI183,"&gt;=35")),"")</f>
        <v>0</v>
      </c>
      <c r="NF183" s="43" t="str">
        <f t="shared" si="718"/>
        <v/>
      </c>
      <c r="NG183" s="43">
        <f t="shared" si="719"/>
        <v>0</v>
      </c>
      <c r="NH183" s="43" t="str">
        <f t="shared" si="720"/>
        <v/>
      </c>
      <c r="NI18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CPN",P183="NO"),"Z",IF(AND(Tabla1[[#This Row],[CITA PROXIMO CONTROL]]="CITA MANUAL",Tabla1[[#This Row],[GESTANTES ACTUALES]]="ACTIVA INGRESO A CPN"),"W",IF(AND(Tabla1[[#This Row],[GESTANTES ACTUALES]]="SALIO PROGRAMA",IN183=""),"S",IF(AND(Tabla1[[#This Row],[CITA PROXIMO CONTROL]]&gt;0,IN183=""),(Tabla1[[#This Row],[CITA PROXIMO CONTROL]]-TODAY()),"SD"))))))))</f>
        <v>#REF!</v>
      </c>
      <c r="NJ183" s="43">
        <f>MONTH(Tabla1[[#This Row],[FECHA DE SALIDA  DEL PROGRAMA]])</f>
        <v>1</v>
      </c>
      <c r="NK183" s="43">
        <f>YEAR(Tabla1[[#This Row],[FECHA DE SALIDA  DEL PROGRAMA]])</f>
        <v>1900</v>
      </c>
      <c r="NL183" s="43" t="str">
        <f t="shared" si="721"/>
        <v>X</v>
      </c>
      <c r="NM183" s="43" t="str">
        <f t="shared" si="695"/>
        <v>NO</v>
      </c>
      <c r="NN183" s="43" t="str">
        <f ca="1">IF(AND(O183&gt;0,R183=""),"NO CPN",IF(AND(O183="",R183=""),"",IF(AND(R183&gt;0,Tabla1[[#This Row],[SEMANAS DE GESTACION ACTUALIZADAS]]&lt;=12),"NO APLICA",IF(AND(FH183&lt;&gt;"",FN183&lt;&gt;""),"SI","NO"))))</f>
        <v>NO</v>
      </c>
      <c r="NO183" s="43" t="str">
        <f ca="1">IF(AND(O183&gt;0,R183=""),"NO CPN",IF(AND(O183="",R183=""),"",IF(AND(R183&gt;0,Tabla1[[#This Row],[SEMANAS DE GESTACION ACTUALIZADAS]]&lt;=27),"NO APLICA",IF(AND(ES183&lt;&gt;"",FQ183&lt;&gt;"",GF183&lt;&gt;""),"SI","NO"))))</f>
        <v>NO</v>
      </c>
      <c r="NP183" s="204" t="str">
        <f t="shared" si="722"/>
        <v>I TRIM</v>
      </c>
      <c r="NQ183" s="21" t="str">
        <f t="shared" si="731"/>
        <v/>
      </c>
      <c r="NR183" s="21">
        <f t="shared" ca="1" si="738"/>
        <v>3</v>
      </c>
      <c r="NS183" s="205">
        <f t="shared" ca="1" si="723"/>
        <v>0</v>
      </c>
      <c r="NT183" s="21">
        <f t="shared" ca="1" si="724"/>
        <v>1</v>
      </c>
      <c r="NU183" s="21" t="str">
        <f t="shared" ca="1" si="725"/>
        <v>INCOMPLETO</v>
      </c>
      <c r="NV183" s="21" t="str">
        <f t="shared" ca="1" si="726"/>
        <v>INCOMPLETO</v>
      </c>
      <c r="NW183" s="206" t="str">
        <f>IF(AND(O183="",R183=""),"",IF(OR(AND(Tabla1[[#This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83" s="207" t="str">
        <f t="shared" ca="1" si="727"/>
        <v>SIN VACUNAR</v>
      </c>
      <c r="NY183" s="43">
        <f>ROW(Tabla1[[#This Row],['# DE TAMIZAJES SIFILIS TOMADOS ]])</f>
        <v>183</v>
      </c>
      <c r="NZ183" s="43">
        <f t="shared" si="502"/>
        <v>10</v>
      </c>
      <c r="OA183" s="43" t="str">
        <f t="shared" si="503"/>
        <v/>
      </c>
      <c r="OB183" s="43" t="str">
        <f t="shared" si="504"/>
        <v>NORMAL</v>
      </c>
      <c r="OC183" s="43" t="str">
        <f t="shared" si="505"/>
        <v/>
      </c>
      <c r="OD183" s="43" t="str">
        <f t="shared" si="506"/>
        <v/>
      </c>
      <c r="OE183" s="43" t="str">
        <f t="shared" si="507"/>
        <v/>
      </c>
      <c r="OF183" s="43" t="str">
        <f t="shared" si="508"/>
        <v/>
      </c>
      <c r="OG183" s="43" t="str">
        <f t="shared" si="509"/>
        <v/>
      </c>
      <c r="OH183" s="43" t="str">
        <f t="shared" si="510"/>
        <v/>
      </c>
      <c r="OI183" s="43" t="str">
        <f t="shared" si="511"/>
        <v/>
      </c>
      <c r="OJ183" s="43" t="str">
        <f t="shared" si="512"/>
        <v/>
      </c>
      <c r="OK183" s="43" t="str">
        <f t="shared" si="513"/>
        <v/>
      </c>
      <c r="OL183" s="43" t="str">
        <f t="shared" si="514"/>
        <v/>
      </c>
      <c r="OM183" s="43" t="str">
        <f t="shared" si="515"/>
        <v/>
      </c>
      <c r="ON183" s="43" t="str">
        <f t="shared" si="516"/>
        <v/>
      </c>
      <c r="OO183" s="43" t="str">
        <f t="shared" si="517"/>
        <v/>
      </c>
      <c r="OP183" s="43" t="str">
        <f t="shared" si="518"/>
        <v/>
      </c>
      <c r="OQ183" s="43" t="str">
        <f t="shared" si="519"/>
        <v/>
      </c>
      <c r="OR183" s="43" t="str">
        <f t="shared" si="520"/>
        <v/>
      </c>
      <c r="OS183" s="43" t="str">
        <f t="shared" si="521"/>
        <v/>
      </c>
      <c r="OT183" s="43" t="str">
        <f t="shared" si="522"/>
        <v/>
      </c>
      <c r="OU183" s="43" t="str">
        <f t="shared" si="523"/>
        <v/>
      </c>
      <c r="OV183" s="110" t="str">
        <f t="shared" si="524"/>
        <v/>
      </c>
      <c r="OW183" s="43" t="str">
        <f t="shared" si="525"/>
        <v/>
      </c>
      <c r="OX183" s="43" t="str">
        <f t="shared" si="526"/>
        <v/>
      </c>
      <c r="OY183" s="43" t="str">
        <f t="shared" si="527"/>
        <v/>
      </c>
      <c r="OZ183" s="43" t="str">
        <f t="shared" si="528"/>
        <v/>
      </c>
      <c r="PA183" s="43" t="str">
        <f t="shared" si="529"/>
        <v/>
      </c>
      <c r="PB183" s="43" t="str">
        <f t="shared" si="530"/>
        <v/>
      </c>
      <c r="PC183" s="43" t="str">
        <f t="shared" si="531"/>
        <v/>
      </c>
      <c r="PD183" s="43" t="str">
        <f t="shared" si="532"/>
        <v/>
      </c>
      <c r="PE183" s="43" t="str">
        <f t="shared" si="533"/>
        <v/>
      </c>
      <c r="PF183" s="43" t="str">
        <f t="shared" si="534"/>
        <v/>
      </c>
      <c r="PG183" s="43" t="str">
        <f t="shared" si="535"/>
        <v/>
      </c>
      <c r="PH183" s="43" t="str">
        <f t="shared" si="536"/>
        <v/>
      </c>
      <c r="PI183" s="43">
        <f t="shared" si="537"/>
        <v>10</v>
      </c>
      <c r="PJ183" s="43" t="str">
        <f t="shared" si="538"/>
        <v/>
      </c>
      <c r="PK183" s="43" t="str">
        <f t="shared" si="539"/>
        <v>NORMAL</v>
      </c>
      <c r="PL183" s="43" t="str">
        <f t="shared" si="540"/>
        <v/>
      </c>
      <c r="PM183" s="43" t="str">
        <f t="shared" si="541"/>
        <v/>
      </c>
      <c r="PN183" s="43" t="str">
        <f t="shared" si="542"/>
        <v/>
      </c>
      <c r="PO183" s="43" t="str">
        <f t="shared" si="543"/>
        <v/>
      </c>
      <c r="PP183" s="43" t="str">
        <f t="shared" si="544"/>
        <v/>
      </c>
      <c r="PQ183" s="43" t="str">
        <f t="shared" si="545"/>
        <v/>
      </c>
      <c r="PR183" s="43" t="str">
        <f t="shared" si="546"/>
        <v/>
      </c>
      <c r="PS183" s="43" t="str">
        <f t="shared" si="547"/>
        <v/>
      </c>
      <c r="PT183" s="43" t="str">
        <f t="shared" si="548"/>
        <v/>
      </c>
      <c r="PU183" s="43" t="str">
        <f t="shared" si="549"/>
        <v/>
      </c>
      <c r="PV183" s="43" t="str">
        <f t="shared" si="550"/>
        <v/>
      </c>
      <c r="PW183" s="43" t="str">
        <f t="shared" si="551"/>
        <v/>
      </c>
      <c r="PX183" s="43" t="str">
        <f t="shared" si="552"/>
        <v/>
      </c>
      <c r="PY183" s="43" t="str">
        <f t="shared" si="553"/>
        <v/>
      </c>
      <c r="PZ183" s="43" t="str">
        <f t="shared" si="554"/>
        <v/>
      </c>
      <c r="QA183" s="43" t="str">
        <f t="shared" si="555"/>
        <v/>
      </c>
      <c r="QB183" s="43" t="str">
        <f t="shared" si="556"/>
        <v/>
      </c>
      <c r="QC183" s="43" t="str">
        <f t="shared" si="557"/>
        <v/>
      </c>
      <c r="QD183" s="43" t="str">
        <f t="shared" si="558"/>
        <v/>
      </c>
      <c r="QE183" s="43" t="str">
        <f t="shared" si="559"/>
        <v/>
      </c>
      <c r="QF183" s="43" t="str">
        <f t="shared" si="560"/>
        <v/>
      </c>
      <c r="QG183" s="43" t="str">
        <f t="shared" si="561"/>
        <v/>
      </c>
      <c r="QH183" s="43" t="str">
        <f t="shared" si="562"/>
        <v/>
      </c>
      <c r="QI183" s="43" t="str">
        <f t="shared" si="563"/>
        <v/>
      </c>
      <c r="QJ183" s="43" t="str">
        <f t="shared" si="564"/>
        <v/>
      </c>
      <c r="QK183" s="43" t="str">
        <f t="shared" si="565"/>
        <v/>
      </c>
      <c r="QL183" s="43" t="str">
        <f t="shared" si="566"/>
        <v/>
      </c>
      <c r="QM183" s="43" t="str">
        <f t="shared" si="567"/>
        <v/>
      </c>
      <c r="QN183" s="43" t="str">
        <f t="shared" si="568"/>
        <v/>
      </c>
      <c r="QO183" s="43" t="str">
        <f t="shared" si="569"/>
        <v/>
      </c>
      <c r="QP183" s="43" t="str">
        <f t="shared" si="570"/>
        <v/>
      </c>
      <c r="QQ183" s="43" t="str">
        <f t="shared" si="571"/>
        <v/>
      </c>
      <c r="QR183" s="43" t="str">
        <f t="shared" si="672"/>
        <v>Menor</v>
      </c>
      <c r="QS183" s="43"/>
      <c r="QT183" s="21" t="str">
        <f t="shared" si="572"/>
        <v/>
      </c>
      <c r="QU183" s="21" t="str">
        <f t="shared" si="573"/>
        <v/>
      </c>
      <c r="QV183" s="21" t="str">
        <f t="shared" si="574"/>
        <v/>
      </c>
      <c r="QW183" s="21" t="str">
        <f t="shared" si="575"/>
        <v/>
      </c>
      <c r="QX183" s="21" t="str">
        <f t="shared" si="576"/>
        <v/>
      </c>
      <c r="QY183" s="21" t="str">
        <f t="shared" si="577"/>
        <v/>
      </c>
      <c r="QZ183" s="21" t="str">
        <f t="shared" si="578"/>
        <v/>
      </c>
      <c r="RA183" s="21" t="str">
        <f t="shared" si="579"/>
        <v/>
      </c>
      <c r="RB183" s="21" t="str">
        <f t="shared" si="580"/>
        <v/>
      </c>
      <c r="RC183" s="21" t="str">
        <f t="shared" si="581"/>
        <v/>
      </c>
      <c r="RD183" s="21" t="str">
        <f t="shared" si="582"/>
        <v/>
      </c>
      <c r="RE183" s="21" t="str">
        <f t="shared" si="583"/>
        <v/>
      </c>
      <c r="RF183" s="21" t="str">
        <f t="shared" si="584"/>
        <v/>
      </c>
      <c r="RG183" s="21" t="str">
        <f t="shared" si="585"/>
        <v/>
      </c>
      <c r="RH183" s="21" t="str">
        <f t="shared" si="586"/>
        <v/>
      </c>
      <c r="RI183" s="21" t="str">
        <f t="shared" si="587"/>
        <v/>
      </c>
      <c r="RJ183" s="21" t="str">
        <f t="shared" si="588"/>
        <v/>
      </c>
      <c r="RK183" s="21" t="str">
        <f t="shared" si="589"/>
        <v/>
      </c>
      <c r="RL183" s="21" t="str">
        <f t="shared" si="590"/>
        <v/>
      </c>
      <c r="RM183" s="21" t="str">
        <f t="shared" si="591"/>
        <v/>
      </c>
      <c r="RN183" s="21" t="str">
        <f t="shared" si="592"/>
        <v/>
      </c>
      <c r="RO183" s="21" t="str">
        <f t="shared" si="593"/>
        <v/>
      </c>
      <c r="RP183" s="21" t="str">
        <f t="shared" si="594"/>
        <v/>
      </c>
      <c r="RQ183" s="21" t="str">
        <f t="shared" si="595"/>
        <v/>
      </c>
      <c r="RR183" s="21" t="str">
        <f t="shared" si="596"/>
        <v/>
      </c>
      <c r="RS183" s="21" t="str">
        <f t="shared" si="597"/>
        <v/>
      </c>
      <c r="RT183" s="21" t="str">
        <f t="shared" si="598"/>
        <v/>
      </c>
      <c r="RU183" s="21" t="str">
        <f t="shared" si="599"/>
        <v/>
      </c>
      <c r="RV183" s="21">
        <f t="shared" si="600"/>
        <v>-1</v>
      </c>
      <c r="RW183" s="284">
        <f>IF(OR(Tabla1[[#This Row],[FUM FORMULA CONFIABLE]]="",Tabla1[[#This Row],[FUM FORMULA CONFIABLE]]="SD"),"",IF(Tabla1[[#This Row],[FUM FORMULA CONFIABLE]]="CORREGIDA",Tabla1[[#This Row],[FUM X ECO 1]],Tabla1[[#This Row],[FUM x AMENORREA]]))</f>
        <v>44975</v>
      </c>
      <c r="RX183" s="21" t="str">
        <f>IF(AND(Tabla1[[#This Row],[FUM X ECO 1]]="",Tabla1[[#This Row],[FUM x AMENORREA]]=""),"",IF(AND(Tabla1[[#This Row],[FUM X ECO 1]]="",Tabla1[[#This Row],[FUM x AMENORREA]]&lt;&gt;""),"X",SUM(Tabla1[[#This Row],[FUM X ECO 1]]-Tabla1[[#This Row],[FUM x AMENORREA]])))</f>
        <v>X</v>
      </c>
      <c r="RY183" s="21" t="str">
        <f t="shared" si="673"/>
        <v>x</v>
      </c>
    </row>
    <row r="184" spans="1:493" ht="45" customHeight="1" x14ac:dyDescent="0.25">
      <c r="A184" s="109"/>
      <c r="B184" s="43"/>
      <c r="C184" s="43" t="s">
        <v>845</v>
      </c>
      <c r="D184" s="124"/>
      <c r="E184" s="43" t="s">
        <v>914</v>
      </c>
      <c r="F184" s="43" t="s">
        <v>953</v>
      </c>
      <c r="G184" s="43" t="s">
        <v>1217</v>
      </c>
      <c r="H184" s="43" t="s">
        <v>1398</v>
      </c>
      <c r="I184" s="109" t="s">
        <v>851</v>
      </c>
      <c r="J184" s="110">
        <v>1059602321</v>
      </c>
      <c r="K184" s="43" t="s">
        <v>852</v>
      </c>
      <c r="L184" s="175" t="s">
        <v>1509</v>
      </c>
      <c r="M184" s="22">
        <v>34400</v>
      </c>
      <c r="N184" s="213">
        <f t="shared" ca="1" si="601"/>
        <v>29.676712328767124</v>
      </c>
      <c r="O184" s="22">
        <v>45051</v>
      </c>
      <c r="P184" s="214" t="str">
        <f t="shared" si="675"/>
        <v>SI</v>
      </c>
      <c r="Q184" s="26" t="s">
        <v>855</v>
      </c>
      <c r="R184" s="22">
        <v>45051</v>
      </c>
      <c r="S184" s="21" t="s">
        <v>856</v>
      </c>
      <c r="T184" s="24" t="s">
        <v>690</v>
      </c>
      <c r="U184" s="21" t="s">
        <v>857</v>
      </c>
      <c r="V184" s="21" t="s">
        <v>858</v>
      </c>
      <c r="W184" s="21" t="s">
        <v>1062</v>
      </c>
      <c r="X184" s="21"/>
      <c r="Y184" s="21"/>
      <c r="Z184" s="21"/>
      <c r="AA184" s="21" t="s">
        <v>860</v>
      </c>
      <c r="AB184" s="27" t="s">
        <v>861</v>
      </c>
      <c r="AC184" s="26" t="s">
        <v>877</v>
      </c>
      <c r="AD184" s="38" t="s">
        <v>865</v>
      </c>
      <c r="AE184" s="26" t="s">
        <v>854</v>
      </c>
      <c r="AF184" s="26" t="s">
        <v>854</v>
      </c>
      <c r="AG184" s="23" t="s">
        <v>864</v>
      </c>
      <c r="AH184" s="23" t="s">
        <v>864</v>
      </c>
      <c r="AI184" s="24" t="s">
        <v>863</v>
      </c>
      <c r="AJ184" s="23" t="s">
        <v>864</v>
      </c>
      <c r="AK184" s="220" t="str">
        <f>IF(AND(AD184="",AE184="",AF184="",AG184="",AH184="",AI184="",AJ184=""),"",IF(OR(Tabla1[[#This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EVALUACIÓN",IF(AND(O184="",R184=""),"",IF(AND(OR(O184&gt;0,R184&gt;0),NG184&gt;=0,NG184&lt;2),"SIN RIESGO",IF(AND(OR(O184&gt;0,R184&gt;0),NG184&gt;=2),"CON RIESGO","ASD")))))</f>
        <v>COMPLETAR EVALUACIÓN</v>
      </c>
      <c r="AL184" s="23" t="s">
        <v>864</v>
      </c>
      <c r="AM184" s="26" t="s">
        <v>864</v>
      </c>
      <c r="AN184" s="26" t="s">
        <v>864</v>
      </c>
      <c r="AO184" s="26" t="s">
        <v>864</v>
      </c>
      <c r="AP184" s="26" t="s">
        <v>864</v>
      </c>
      <c r="AQ184" s="26" t="s">
        <v>864</v>
      </c>
      <c r="AR184" s="26" t="s">
        <v>864</v>
      </c>
      <c r="AS184" s="21">
        <v>1</v>
      </c>
      <c r="AT184" s="21">
        <v>1</v>
      </c>
      <c r="AU184" s="21">
        <v>0</v>
      </c>
      <c r="AV184" s="26" t="s">
        <v>864</v>
      </c>
      <c r="AW184" s="21">
        <v>0</v>
      </c>
      <c r="AX184" s="26" t="s">
        <v>864</v>
      </c>
      <c r="AY184" s="26" t="s">
        <v>864</v>
      </c>
      <c r="AZ184" s="26" t="s">
        <v>864</v>
      </c>
      <c r="BA184" s="26" t="s">
        <v>864</v>
      </c>
      <c r="BB184" s="26" t="s">
        <v>864</v>
      </c>
      <c r="BC184" s="26" t="s">
        <v>864</v>
      </c>
      <c r="BD184" s="26" t="s">
        <v>864</v>
      </c>
      <c r="BE184" s="26" t="s">
        <v>864</v>
      </c>
      <c r="BF184" s="26" t="s">
        <v>864</v>
      </c>
      <c r="BG184" s="26" t="s">
        <v>864</v>
      </c>
      <c r="BH184" s="26" t="s">
        <v>864</v>
      </c>
      <c r="BI184" s="26" t="s">
        <v>864</v>
      </c>
      <c r="BJ184" s="26"/>
      <c r="BK184" s="26"/>
      <c r="BL184" s="26" t="s">
        <v>864</v>
      </c>
      <c r="BM184" s="26" t="s">
        <v>864</v>
      </c>
      <c r="BN184" s="22"/>
      <c r="BO184" s="22">
        <v>44868</v>
      </c>
      <c r="BP184" s="21" t="s">
        <v>854</v>
      </c>
      <c r="BQ184" s="222">
        <f t="shared" si="602"/>
        <v>0</v>
      </c>
      <c r="BR184" s="223" t="str">
        <f t="shared" si="603"/>
        <v/>
      </c>
      <c r="BS184" s="224">
        <f t="shared" si="604"/>
        <v>26.142857142857142</v>
      </c>
      <c r="BT184" s="216" t="str">
        <f t="shared" si="605"/>
        <v>II TRIM</v>
      </c>
      <c r="BU184" s="214" t="str">
        <f t="shared" ca="1" si="606"/>
        <v/>
      </c>
      <c r="BV184" s="25"/>
      <c r="BW184" s="22"/>
      <c r="BX184" s="28"/>
      <c r="BY184" s="28"/>
      <c r="BZ184" s="22"/>
      <c r="CA184" s="21"/>
      <c r="CB184" s="26"/>
      <c r="CC184" s="26"/>
      <c r="CD184" s="26"/>
      <c r="CE184" s="26"/>
      <c r="CF184" s="22" t="s">
        <v>1517</v>
      </c>
      <c r="CG184" s="21">
        <v>1.45</v>
      </c>
      <c r="CH184" s="21">
        <v>67.7</v>
      </c>
      <c r="CI184" s="214">
        <f t="shared" si="607"/>
        <v>32.199762187871585</v>
      </c>
      <c r="CJ184" s="225" t="e">
        <f>IF(AND(CI184&lt;10,CH184="SD"),"SIN DATO PESO PREGESTACION O I TRIM",IF(AND(OR(R184&gt;0,O184&gt;0),CI184="X"),"INGRESAR DATO DE PESO",IF(CI184="SD","INGRESAR DATO DE TALLA Y PESO",IF(AND(OR(Tabla1[[#This Row],[MOMENTO EN QUE SE REALIZA EL PESO AL INGRESO A CPN]]="PREGESTACIÓN",NZ184="Menor"),CI184&lt;18.5),"BAJO PESO",IF(AND(OR(Tabla1[[#This Row],[MOMENTO EN QUE SE REALIZA EL PESO AL INGRESO A CPN]]="PREGESTACIÓN",NZ184="Menor"),CI184&lt;25),"NORMAL",IF(AND(OR(Tabla1[[#This Row],[MOMENTO EN QUE SE REALIZA EL PESO AL INGRESO A CPN]]="PREGESTACIÓN",NZ184="Menor"),CI184&lt;30),"SOBREPESO",IF(AND(OR(Tabla1[[#This Row],[MOMENTO EN QUE SE REALIZA EL PESO AL INGRESO A CPN]]="PREGESTACIÓN",NZ184="Menor"),CI184&gt;=30,CI184&lt;50),"OBESIDAD",IF(AND(BS184&gt;0,Tabla1[[#This Row],[MOMENTO EN QUE SE REALIZA EL PESO AL INGRESO A CPN]]="GESTACIÓN"),HLOOKUP(NZ184,$OA$2:PH184,NY184),""))))))))</f>
        <v>#REF!</v>
      </c>
      <c r="CK184" s="212">
        <f t="shared" si="608"/>
        <v>45051</v>
      </c>
      <c r="CL184" s="21">
        <v>67.7</v>
      </c>
      <c r="CM184" s="214">
        <f t="shared" si="609"/>
        <v>32.199762187871585</v>
      </c>
      <c r="CN184" s="216">
        <f t="shared" si="610"/>
        <v>26</v>
      </c>
      <c r="CO184" s="216" t="e">
        <f>IF(PI184="","",IF(PI184&gt;0,HLOOKUP(PI184,$PJ$2:QQ184,NY184),""))</f>
        <v>#REF!</v>
      </c>
      <c r="CP184" s="21"/>
      <c r="CQ184" s="216" t="e">
        <f>IF(QR184="Menor","NO APLICA-MENOR 13 SEM",IF(AND(CC184="SI",CN184&gt;23),"NO APLICA- GEMELAR",IF(QR184="","",IF(QR184&gt;0,HLOOKUP(QR184,$QS$2:RU184,NY184),""))))</f>
        <v>#REF!</v>
      </c>
      <c r="CR184" s="21">
        <v>100</v>
      </c>
      <c r="CS184" s="21">
        <v>60</v>
      </c>
      <c r="CT184" s="217" t="str">
        <f>IF(R184="","",IF(AND(BS184&gt;1,BS184&lt;12,Tabla1[[#This Row],[T.A. SISTOLICA - ANTES DE SEMANA 12]]="",Tabla1[[#This Row],[T.A. DIASTOLICA - ANTES DE SEMANA 12]]=""),"REGISTRE DATO TA ANTES SEMANA 12",IF(AND(BS184&gt;11,BS184&lt;43,Tabla1[[#This Row],[T.A. SISTOLICA - ANTES DE SEMANA 12]]="",Tabla1[[#This Row],[T.A. DIASTOLICA - ANTES DE SEMANA 12]]=""),"NO APLICA REGISTRO TA-INGRESO TARDIO",IF(AND(OR(O184&gt;0,R184&gt;0),OR(CR184&gt;=140,CS184&gt;=90)),"DEFINIR ESTADIO HTA",IF(AND(OR(O184&gt;0,R184&gt;0),AND(CR184&gt;120,CR184&lt;=139)),"PRE HTA SEGUIMIENTO",IF(AND(OR(O184&gt;0,R184&gt;0),AND(CS184&gt;80,CS184&lt;=89)),"PRE HTA SEGUIMIENTO",IF(AND(OR(O184&gt;0,R184&gt;0),AND(CR184&gt;=80,CR184&lt;=120)),"APARENTEMENTE NORMAL",IF(AND(OR(O184&gt;0,R184&gt;0),AND(CS184&gt;=50,CS184&lt;=80)),"APARENTEMENTE NORMAL",IF(AND(OR(O184&gt;0,R184&gt;0),AND(CR184&gt;1,CR184&lt;=70),AND(CS184&gt;1,CS184&lt;=40)),"HIPOTENSIÓN","")))))))))</f>
        <v>APARENTEMENTE NORMAL</v>
      </c>
      <c r="CU184" s="21"/>
      <c r="CV184" s="21"/>
      <c r="CW184" s="217" t="str">
        <f>IF(R184="","",IF(AND(CN184&gt;19,CN184&lt;27,Tabla1[[#This Row],[T.A. SISTOLICA (Entre semana 20 y 26)]]="",Tabla1[[#This Row],[T.A. DIATOLICA (Entre semana 20 y 26)]]=""),"ACUDE A CONTROL SEM 20 A 26 REGISTRE TA AHORA",IF(AND(BS184&gt;1,BS184&lt;27,BU184&gt;19,Tabla1[[#This Row],[T.A. SISTOLICA (Entre semana 20 y 26)]]="",Tabla1[[#This Row],[T.A. DIATOLICA (Entre semana 20 y 26)]]=""),"COMPLETE REGISTRO TA CONTROL SEM 20 A26 ",IF(AND(BS184&gt;26,BS184&lt;43,Tabla1[[#This Row],[T.A. SISTOLICA (Entre semana 20 y 26)]]="",Tabla1[[#This Row],[T.A. DIATOLICA (Entre semana 20 y 26)]]=""),"NO APLICA REGISTRO TA-INGRESO TARDIO",IF(AND(OR(O184&gt;0,R184&gt;0),OR(CU184&gt;=140,CV184&gt;=90)),"ALTO RIESGO PREECLAMPSIA,DEFINIR ESTADIO HTA",IF(AND(OR(O184&gt;0,R184&gt;0),AND(CU184&gt;120,CU184&lt;=139)),"PRE HTA SEGUIMIENTO,RIESGO HIPERTENSION INDUCIDA POR EL EMBARAZO",IF(AND(OR(O184&gt;0,R184&gt;0),AND(CV184&gt;80,CV184&lt;=89)),"PRE HTA SEGUIMIENTO, RIESGO HIPERTENSION INDUCIDA POR EL EMBARAZO",IF(AND(OR(O184&lt;&gt;"",R184&lt;&gt;""),CS184&lt;&gt;"",CV184&lt;&gt;"",CS184&lt;=CV184),"VIGILAR CIFRAS PRESION ARTERIAL",IF(AND(OR(O184&gt;0,R184&gt;0),AND(CU184&gt;120,CU184&lt;=139)),"PRE HTA SEGUIMIENTO",IF(AND(OR(O184&gt;0,R184&gt;0),AND(CU184&gt;1,CU184&lt;=70),AND(CV184&gt;1,CV184&lt;=40)),"HIPOTENSIÓN",IF(AND(OR(O184&lt;&gt;"",R184&lt;&gt;""),CS184&lt;&gt;"",CV184&lt;&gt;"",CS184&gt;CV184),"APARENTEMENTE NORMAL",IF(AND(OR(O184&gt;0,R184&gt;0),AND(CU184&gt;=80,CU184&lt;=120)),"APARENTEMENTE NORMAL",IF(AND(OR(O184&gt;0,R184&gt;0),AND(CV184&gt;=50,CV184&lt;=80)),"APARENTEMENTE NORMAL","")))))))))))))</f>
        <v>ACUDE A CONTROL SEM 20 A 26 REGISTRE TA AHORA</v>
      </c>
      <c r="CX184" s="21"/>
      <c r="CY184" s="21"/>
      <c r="CZ184" s="216" t="str">
        <f t="shared" si="729"/>
        <v/>
      </c>
      <c r="DA184" s="21">
        <v>100</v>
      </c>
      <c r="DB184" s="21">
        <v>60</v>
      </c>
      <c r="DC184" s="217" t="str">
        <f t="shared" si="611"/>
        <v>APARENTEMENTE NORMAL</v>
      </c>
      <c r="DD184" s="22">
        <v>45051</v>
      </c>
      <c r="DE184" s="22">
        <v>45051</v>
      </c>
      <c r="DF184" s="22"/>
      <c r="DG184" s="22"/>
      <c r="DH184" s="22"/>
      <c r="DI184" s="22"/>
      <c r="DJ184" s="22"/>
      <c r="DK184" s="22"/>
      <c r="DL184" s="22"/>
      <c r="DM184" s="22"/>
      <c r="DN184" s="22"/>
      <c r="DO184" s="22"/>
      <c r="DP184" s="22"/>
      <c r="DQ184" s="22"/>
      <c r="DR184" s="28">
        <v>0</v>
      </c>
      <c r="DS184" s="22"/>
      <c r="DT184" s="22"/>
      <c r="DU184" s="216" t="str">
        <f t="shared" ca="1" si="676"/>
        <v>CONCERTAR PLAN DE PARTO INMEDIATO</v>
      </c>
      <c r="DV184" s="226" t="str">
        <f t="shared" si="677"/>
        <v>ACTIVA INGRESO A CPN</v>
      </c>
      <c r="DW18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84" s="216" t="e">
        <f t="shared" ca="1" si="612"/>
        <v>#REF!</v>
      </c>
      <c r="DY184" s="212">
        <f>IF(R184="","",IF(R184&gt;0,MAX(Tabla1[[#This Row],[FECHA C2]:[FECHA C13]],Tabla1[[#This Row],[FECHA CONSULTA PRIMERA VEZ PROGRAMA CPN ]])))</f>
        <v>45051</v>
      </c>
      <c r="DZ184" s="216">
        <f t="shared" si="613"/>
        <v>26</v>
      </c>
      <c r="EA184" s="222">
        <f>IF(R184&gt;0,SUM(COUNTA(DF184:DQ184)+COUNTA(Tabla1[[#This Row],[FECHA CONSULTA PRIMERA VEZ PROGRAMA CPN ]])),"")</f>
        <v>1</v>
      </c>
      <c r="EB184" s="222" t="str">
        <f t="shared" si="614"/>
        <v>NO</v>
      </c>
      <c r="EC184" s="214">
        <f t="shared" si="615"/>
        <v>5</v>
      </c>
      <c r="ED184" s="227">
        <f t="shared" si="616"/>
        <v>0.2</v>
      </c>
      <c r="EE184" s="22">
        <v>45051</v>
      </c>
      <c r="EF184" s="22"/>
      <c r="EG184" s="22">
        <v>45051</v>
      </c>
      <c r="EH184" s="22"/>
      <c r="EI184" s="22">
        <v>45051</v>
      </c>
      <c r="EJ184" s="22"/>
      <c r="EK184" s="22"/>
      <c r="EL184" s="21"/>
      <c r="EM184" s="21"/>
      <c r="EN184" s="22"/>
      <c r="EO184" s="222" t="str">
        <f t="shared" si="617"/>
        <v>TOMAR EXAMEN</v>
      </c>
      <c r="EP184" s="214" t="str">
        <f t="shared" si="618"/>
        <v/>
      </c>
      <c r="EQ184" s="216" t="str">
        <f t="shared" si="619"/>
        <v>POR DEFINIR</v>
      </c>
      <c r="ER184" s="24"/>
      <c r="ES184" s="22"/>
      <c r="ET184" s="29" t="str">
        <f t="shared" ca="1" si="678"/>
        <v>TOMA DE HEMOGLOBINA TARDÍA</v>
      </c>
      <c r="EU184" s="25" t="str">
        <f t="shared" si="620"/>
        <v/>
      </c>
      <c r="EV184" s="24"/>
      <c r="EW184" s="24"/>
      <c r="EX184" s="22"/>
      <c r="EY184" s="29" t="str">
        <f t="shared" si="693"/>
        <v>TOMAR EXAMEN</v>
      </c>
      <c r="EZ184" s="25" t="str">
        <f t="shared" ca="1" si="694"/>
        <v/>
      </c>
      <c r="FA184" s="21"/>
      <c r="FB184" s="22"/>
      <c r="FC184" s="29" t="str">
        <f t="shared" si="621"/>
        <v>PIERDE TOMA TAMIZAJE- INGRESO TARDIO</v>
      </c>
      <c r="FD184" s="29"/>
      <c r="FE184" s="29"/>
      <c r="FF184" s="29"/>
      <c r="FG184" s="21" t="str">
        <f t="shared" ca="1" si="622"/>
        <v/>
      </c>
      <c r="FH184" s="31"/>
      <c r="FI184" s="29" t="str">
        <f t="shared" si="623"/>
        <v>TOMAR EXAMEN</v>
      </c>
      <c r="FJ184" s="22"/>
      <c r="FK184" s="22"/>
      <c r="FL184" s="29" t="str">
        <f t="shared" ca="1" si="624"/>
        <v>NO APLICA-INGRESO TARDIO</v>
      </c>
      <c r="FM184" s="22"/>
      <c r="FN184" s="32"/>
      <c r="FO184" s="29" t="str">
        <f t="shared" ca="1" si="679"/>
        <v>PIERDE TOMA DE TAMIZAJE</v>
      </c>
      <c r="FP184" s="22"/>
      <c r="FQ184" s="32"/>
      <c r="FR184" s="29" t="str">
        <f t="shared" ca="1" si="680"/>
        <v>TOMA INMEDIATA DE TAMIZAJE</v>
      </c>
      <c r="FS184" s="22"/>
      <c r="FT184" s="32"/>
      <c r="FU184" s="29" t="str">
        <f>IF(AND(FJ184="",FM184="",FP184="",FS184=""),"",IF(OR(OR(Tabla1[[#This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84" s="28"/>
      <c r="FW184" s="22"/>
      <c r="FX184" s="29" t="str">
        <f t="shared" si="625"/>
        <v>TOMAR EXAMEN</v>
      </c>
      <c r="FY184" s="22"/>
      <c r="FZ184" s="22"/>
      <c r="GA184" s="29" t="str">
        <f t="shared" ca="1" si="692"/>
        <v>NO APLICA-INGRESO TARDIO</v>
      </c>
      <c r="GB184" s="22"/>
      <c r="GC184" s="22"/>
      <c r="GD184" s="29" t="str">
        <f t="shared" ca="1" si="732"/>
        <v>PIERDE TOMA DE TAMIZAJE</v>
      </c>
      <c r="GE184" s="22"/>
      <c r="GF184" s="22"/>
      <c r="GG184" s="29" t="str">
        <f t="shared" ca="1" si="682"/>
        <v>TOMA INMEDIATA DE TAMIZAJE</v>
      </c>
      <c r="GH184" s="22"/>
      <c r="GI184" s="29"/>
      <c r="GJ184" s="22"/>
      <c r="GK184" s="22"/>
      <c r="GL184" s="22"/>
      <c r="GM184" s="22"/>
      <c r="GN184" s="28"/>
      <c r="GO184" s="22"/>
      <c r="GP184" s="29" t="str">
        <f t="shared" si="626"/>
        <v>TOMAR EXAMEN</v>
      </c>
      <c r="GQ184" s="28"/>
      <c r="GR184" s="28"/>
      <c r="GS184" s="22" t="str">
        <f t="shared" si="728"/>
        <v/>
      </c>
      <c r="GT184" s="22"/>
      <c r="GU184" s="29" t="str">
        <f t="shared" si="628"/>
        <v>TOMAR EXAMEN</v>
      </c>
      <c r="GV184" s="21" t="str">
        <f t="shared" si="629"/>
        <v>POR DEFINIR</v>
      </c>
      <c r="GW184" s="28"/>
      <c r="GX184" s="30"/>
      <c r="GY184" s="21"/>
      <c r="GZ184" s="21"/>
      <c r="HA184" s="21"/>
      <c r="HB184" s="21"/>
      <c r="HC184" s="21"/>
      <c r="HD184" s="21"/>
      <c r="HE184" s="21"/>
      <c r="HF184" s="22"/>
      <c r="HG184" s="22" t="str">
        <f>IF(OR(O184&gt;0,R184&gt;0),CONCATENATE(IF(Tabla1[[#This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84" s="22" t="e">
        <f t="shared" si="630"/>
        <v>#REF!</v>
      </c>
      <c r="HI184" s="22" t="e">
        <f t="shared" ca="1" si="631"/>
        <v>#REF!</v>
      </c>
      <c r="HJ184" s="21" t="str">
        <f t="shared" ca="1" si="632"/>
        <v>***************************************</v>
      </c>
      <c r="HK184" s="21" t="str">
        <f t="shared" si="633"/>
        <v>SIN ANTECEDENTES DE RIESGO</v>
      </c>
      <c r="HL184" s="24" t="str">
        <f t="shared" si="634"/>
        <v>APARENTEMENTE NORMAL</v>
      </c>
      <c r="HM184" s="21" t="e">
        <f t="shared" ca="1" si="635"/>
        <v>#REF!</v>
      </c>
      <c r="HN184" s="30" t="str">
        <f t="shared" si="683"/>
        <v>ACTIVA INGRESO A CPN</v>
      </c>
      <c r="HO184" s="21"/>
      <c r="HP184" s="21"/>
      <c r="HQ184" s="21"/>
      <c r="HR184" s="21" t="str">
        <f>IF(R184="","",IF(Tabla1[[#This Row],[ALARMA FACTORES DE RIESGO COMPLICACIONES HIPERTENSIVAS3]]="SIN ANTECEDENTES DE RIESGO","No Aplica para suministro de ASA",IF(AND(Tabla1[[#This Row],[FECHA INICIO DE SUMINISTRO DE ASA]]&gt;0,RV184&lt;12),"Inicia ASA ANTES de Sem 12",IF(AND(RV184&gt;11,RV184&lt;17,OR(HK184="RIESGO ALTO DE COMPLICACIONES HIPERTENSIVAS VER MANEJO GUIA SUMINISTRO ASA Y CALCIO",HK184="RIESGO MODERADO (2 O MAS CRITERIOS) VER MANEJO GUIA SUMINISTRO ASA Y CALCIO")),"Inicio oportuno de ASA",IF(AND(RV184&gt;12,OR(HK184="RIESGO ALTO DE COMPLICACIONES HIPERTENSIVAS VER MANEJO GUIA SUMINISTRO ASA Y CALCIO",HK184="RIESGO MODERADO (2 O MAS CRITERIOS) VER MANEJO GUIA SUMINISTRO ASA Y CALCIO")),"Inicio no oportuno mayor a 16 semanas",IF(AND(BU184&lt;12,OR(HK184="RIESGO ALTO DE COMPLICACIONES HIPERTENSIVAS VER MANEJO GUIA SUMINISTRO ASA Y CALCIO",HK184="RIESGO MODERADO (2 O MAS CRITERIOS) VER MANEJO GUIA SUMINISTRO ASA Y CALCIO")),"Pendiente Inicio de ASA a la semana 12",IF(AND(BU184&gt;11,BU184&lt;17,OR(HK184="RIESGO ALTO DE COMPLICACIONES HIPERTENSIVAS VER MANEJO GUIA SUMINISTRO ASA Y CALCIO",HK184="RIESGO MODERADO (2 O MAS CRITERIOS) VER MANEJO GUIA SUMINISTRO ASA Y CALCIO")),"Iniciar de inmediato ASA",IF(AND(BU184&gt;16,OR(HK184="RIESGO ALTO DE COMPLICACIONES HIPERTENSIVAS VER MANEJO GUIA SUMINISTRO ASA Y CALCIO",HK184="RIESGO MODERADO (2 O MAS CRITERIOS) VER MANEJO GUIA SUMINISTRO ASA Y CALCIO")),"Pierde Oportunidad, Inicio tardío de ASA","XXXXX"))))))))</f>
        <v>No Aplica para suministro de ASA</v>
      </c>
      <c r="HS184" s="22">
        <v>45051</v>
      </c>
      <c r="HT184" s="22" t="s">
        <v>1518</v>
      </c>
      <c r="HU184" s="22">
        <v>45051</v>
      </c>
      <c r="HV184" s="22" t="s">
        <v>1523</v>
      </c>
      <c r="HW184" s="22">
        <v>45051</v>
      </c>
      <c r="HX184" s="22" t="s">
        <v>1511</v>
      </c>
      <c r="HY184" s="22"/>
      <c r="HZ184" s="28" t="str">
        <f t="shared" si="636"/>
        <v>PENDIENTE CONSULTA</v>
      </c>
      <c r="IA184" s="26"/>
      <c r="IB184" s="26"/>
      <c r="IC184" s="111"/>
      <c r="ID184" s="22"/>
      <c r="IE184" s="22" t="str">
        <f t="shared" ca="1" si="637"/>
        <v/>
      </c>
      <c r="IF184" s="22"/>
      <c r="IG184" s="22">
        <f t="shared" si="638"/>
        <v>45148</v>
      </c>
      <c r="IH184" s="29">
        <f t="shared" ca="1" si="639"/>
        <v>-84</v>
      </c>
      <c r="II184" s="22" t="str">
        <f t="shared" ca="1" si="640"/>
        <v>POSIBLEMENTE NACIO</v>
      </c>
      <c r="IJ184" s="22"/>
      <c r="IK184" s="21"/>
      <c r="IL184" s="21"/>
      <c r="IM184" s="34"/>
      <c r="IN184" s="349"/>
      <c r="IO184" s="21"/>
      <c r="IP184" s="29" t="str">
        <f t="shared" si="730"/>
        <v/>
      </c>
      <c r="IQ184" s="35"/>
      <c r="IR184" s="21"/>
      <c r="IS184" s="21"/>
      <c r="IT184" s="21"/>
      <c r="IU184" s="21"/>
      <c r="IV184" s="21"/>
      <c r="IW184" s="21"/>
      <c r="IX184" s="21"/>
      <c r="IY184" s="21"/>
      <c r="IZ184" s="21"/>
      <c r="JA184" s="21"/>
      <c r="JB184" s="30"/>
      <c r="JC184" s="21"/>
      <c r="JD184" s="36"/>
      <c r="JE184" s="21" t="str">
        <f t="shared" si="733"/>
        <v/>
      </c>
      <c r="JF184" s="30"/>
      <c r="JG184" s="21"/>
      <c r="JH184" s="21"/>
      <c r="JI184" s="21"/>
      <c r="JJ184" s="30"/>
      <c r="JK184" s="22"/>
      <c r="JL184" s="22"/>
      <c r="JM184" s="21"/>
      <c r="JN184" s="36"/>
      <c r="JO184" s="21" t="str">
        <f t="shared" si="734"/>
        <v/>
      </c>
      <c r="JP184" s="22"/>
      <c r="JQ184" s="21"/>
      <c r="JR184" s="21"/>
      <c r="JS184" s="21"/>
      <c r="JT184" s="30"/>
      <c r="JU184" s="22"/>
      <c r="JV184" s="22"/>
      <c r="JW184" s="33"/>
      <c r="JX184" s="28" t="str">
        <f t="shared" si="735"/>
        <v/>
      </c>
      <c r="JY184" s="33"/>
      <c r="JZ184" s="28" t="str">
        <f t="shared" si="736"/>
        <v/>
      </c>
      <c r="KA184" s="21"/>
      <c r="KB184" s="21"/>
      <c r="KC184" s="21"/>
      <c r="KD184" s="37"/>
      <c r="KE184" s="28"/>
      <c r="KF184" s="28"/>
      <c r="KG184" s="28"/>
      <c r="KH184" s="39"/>
      <c r="KI184" s="39"/>
      <c r="KJ184" s="66"/>
      <c r="KK184" s="39"/>
      <c r="KL184" s="39"/>
      <c r="KM184" s="66"/>
      <c r="KN184" s="39"/>
      <c r="KO184" s="39"/>
      <c r="KP184" s="39"/>
      <c r="KQ184" s="39"/>
      <c r="KR184" s="39"/>
      <c r="KS184" s="39"/>
      <c r="KT184" s="39"/>
      <c r="KU184" s="38"/>
      <c r="KV184" s="38"/>
      <c r="KW184" s="38"/>
      <c r="KX184" s="38"/>
      <c r="KY184" s="38"/>
      <c r="KZ184" s="38"/>
      <c r="LA184" s="38"/>
      <c r="LB184" s="38"/>
      <c r="LC184" s="38"/>
      <c r="LD184" s="38"/>
      <c r="LE184" s="38"/>
      <c r="LF184" s="38"/>
      <c r="LG184" s="38"/>
      <c r="LH184" s="38"/>
      <c r="LI184" s="38"/>
      <c r="LJ184" s="38"/>
      <c r="LK184" s="38"/>
      <c r="LL184" s="38"/>
      <c r="LM184" s="38"/>
      <c r="LN184" s="38"/>
      <c r="LO184" s="38"/>
      <c r="LP184" s="38"/>
      <c r="LQ184" s="38"/>
      <c r="LR184" s="38"/>
      <c r="LS184" s="38"/>
      <c r="LT184" s="38"/>
      <c r="LU184" s="38"/>
      <c r="LV184" s="38"/>
      <c r="LW184" s="38"/>
      <c r="LX184" s="38"/>
      <c r="LY184" s="38"/>
      <c r="LZ184" s="38"/>
      <c r="MA184" s="38"/>
      <c r="MB184" s="38"/>
      <c r="MC184" s="38"/>
      <c r="MD184" s="38"/>
      <c r="ME184" s="38"/>
      <c r="MF184" s="38"/>
      <c r="MG184" s="38"/>
      <c r="MH184" s="43">
        <f t="shared" si="697"/>
        <v>0</v>
      </c>
      <c r="MI184" s="43" t="str">
        <f t="shared" si="698"/>
        <v/>
      </c>
      <c r="MJ184" s="43" t="str">
        <f t="shared" si="699"/>
        <v/>
      </c>
      <c r="MK184" s="43">
        <f t="shared" si="700"/>
        <v>0</v>
      </c>
      <c r="ML18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84" s="43">
        <f t="shared" si="701"/>
        <v>26.142857142857142</v>
      </c>
      <c r="MN184" s="43">
        <f t="shared" si="702"/>
        <v>5</v>
      </c>
      <c r="MO184" s="43">
        <f t="shared" si="703"/>
        <v>2023</v>
      </c>
      <c r="MP184" s="43" t="str">
        <f t="shared" si="704"/>
        <v>II TRIMESTRE AÑO</v>
      </c>
      <c r="MQ184" s="43">
        <f t="shared" si="705"/>
        <v>28.739597021462984</v>
      </c>
      <c r="MR184" s="43">
        <f t="shared" si="706"/>
        <v>0</v>
      </c>
      <c r="MS184" s="43" t="str">
        <f t="shared" si="707"/>
        <v xml:space="preserve"> DE 25 A 29 AÑOS</v>
      </c>
      <c r="MT184" s="43">
        <f t="shared" si="708"/>
        <v>0</v>
      </c>
      <c r="MU184" s="43">
        <f t="shared" si="709"/>
        <v>0</v>
      </c>
      <c r="MV184" s="43">
        <f t="shared" si="710"/>
        <v>0</v>
      </c>
      <c r="MW184" s="43">
        <f t="shared" si="711"/>
        <v>0</v>
      </c>
      <c r="MX184" s="43" t="str">
        <f t="shared" si="712"/>
        <v/>
      </c>
      <c r="MY184" s="43" t="str">
        <f t="shared" ca="1" si="737"/>
        <v/>
      </c>
      <c r="MZ184" s="43" t="str">
        <f t="shared" si="713"/>
        <v/>
      </c>
      <c r="NA184" s="43" t="str">
        <f t="shared" si="714"/>
        <v/>
      </c>
      <c r="NB184" s="43" t="str">
        <f t="shared" si="715"/>
        <v/>
      </c>
      <c r="NC184" s="43" t="str">
        <f t="shared" si="716"/>
        <v/>
      </c>
      <c r="ND184" s="43">
        <f t="shared" ca="1" si="717"/>
        <v>0</v>
      </c>
      <c r="NE184" s="43">
        <f>IF(OR(O184&gt;0,R184&gt;0),SUM(COUNTIF(Tabla1[[#This Row],[AÑOS AL INICIO5 CPN]],"&gt;=40"),COUNTIF(AS184,"0"),COUNTIF(AR184,"SI"),COUNTIF(CC184,"SI"),COUNTIF(BQ184,"&gt;119"),COUNTIF(CI184,"&gt;=35")),"")</f>
        <v>0</v>
      </c>
      <c r="NF184" s="43" t="str">
        <f t="shared" si="718"/>
        <v/>
      </c>
      <c r="NG184" s="43">
        <f t="shared" si="719"/>
        <v>0</v>
      </c>
      <c r="NH184" s="43" t="str">
        <f t="shared" si="720"/>
        <v/>
      </c>
      <c r="NI18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CPN",P184="NO"),"Z",IF(AND(Tabla1[[#This Row],[CITA PROXIMO CONTROL]]="CITA MANUAL",Tabla1[[#This Row],[GESTANTES ACTUALES]]="ACTIVA INGRESO A CPN"),"W",IF(AND(Tabla1[[#This Row],[GESTANTES ACTUALES]]="SALIO PROGRAMA",IN184=""),"S",IF(AND(Tabla1[[#This Row],[CITA PROXIMO CONTROL]]&gt;0,IN184=""),(Tabla1[[#This Row],[CITA PROXIMO CONTROL]]-TODAY()),"SD"))))))))</f>
        <v>#REF!</v>
      </c>
      <c r="NJ184" s="43">
        <f>MONTH(Tabla1[[#This Row],[FECHA DE SALIDA  DEL PROGRAMA]])</f>
        <v>1</v>
      </c>
      <c r="NK184" s="43">
        <f>YEAR(Tabla1[[#This Row],[FECHA DE SALIDA  DEL PROGRAMA]])</f>
        <v>1900</v>
      </c>
      <c r="NL184" s="43" t="str">
        <f t="shared" si="721"/>
        <v>X</v>
      </c>
      <c r="NM184" s="43" t="str">
        <f t="shared" si="695"/>
        <v>NO</v>
      </c>
      <c r="NN184" s="43" t="str">
        <f ca="1">IF(AND(O184&gt;0,R184=""),"NO CPN",IF(AND(O184="",R184=""),"",IF(AND(R184&gt;0,Tabla1[[#This Row],[SEMANAS DE GESTACION ACTUALIZADAS]]&lt;=12),"NO APLICA",IF(AND(FH184&lt;&gt;"",FN184&lt;&gt;""),"SI","NO"))))</f>
        <v>NO</v>
      </c>
      <c r="NO184" s="43" t="str">
        <f ca="1">IF(AND(O184&gt;0,R184=""),"NO CPN",IF(AND(O184="",R184=""),"",IF(AND(R184&gt;0,Tabla1[[#This Row],[SEMANAS DE GESTACION ACTUALIZADAS]]&lt;=27),"NO APLICA",IF(AND(ES184&lt;&gt;"",FQ184&lt;&gt;"",GF184&lt;&gt;""),"SI","NO"))))</f>
        <v>NO</v>
      </c>
      <c r="NP184" s="204" t="str">
        <f t="shared" si="722"/>
        <v>II TRIM</v>
      </c>
      <c r="NQ184" s="21" t="str">
        <f t="shared" si="731"/>
        <v/>
      </c>
      <c r="NR184" s="21" t="str">
        <f t="shared" ca="1" si="738"/>
        <v>REVISAR FUM O FECHA SALIDA PROGRAMA</v>
      </c>
      <c r="NS184" s="205">
        <f t="shared" ca="1" si="723"/>
        <v>0</v>
      </c>
      <c r="NT184" s="21">
        <f t="shared" ca="1" si="724"/>
        <v>0</v>
      </c>
      <c r="NU184" s="21" t="str">
        <f t="shared" ca="1" si="725"/>
        <v>POR DEFINIR</v>
      </c>
      <c r="NV184" s="21" t="str">
        <f t="shared" ca="1" si="726"/>
        <v>POR DEFINIR</v>
      </c>
      <c r="NW184" s="206" t="str">
        <f>IF(AND(O184="",R184=""),"",IF(OR(AND(Tabla1[[#This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84" s="207" t="str">
        <f t="shared" ca="1" si="727"/>
        <v>SIN VACUNAR</v>
      </c>
      <c r="NY184" s="43">
        <f>ROW(Tabla1[[#This Row],['# DE TAMIZAJES SIFILIS TOMADOS ]])</f>
        <v>184</v>
      </c>
      <c r="NZ184" s="43">
        <f t="shared" si="502"/>
        <v>26</v>
      </c>
      <c r="OA184" s="43" t="str">
        <f t="shared" si="503"/>
        <v/>
      </c>
      <c r="OB184" s="43" t="str">
        <f t="shared" si="504"/>
        <v/>
      </c>
      <c r="OC184" s="43" t="str">
        <f t="shared" si="505"/>
        <v/>
      </c>
      <c r="OD184" s="43" t="str">
        <f t="shared" si="506"/>
        <v/>
      </c>
      <c r="OE184" s="43" t="str">
        <f t="shared" si="507"/>
        <v/>
      </c>
      <c r="OF184" s="43" t="str">
        <f t="shared" si="508"/>
        <v/>
      </c>
      <c r="OG184" s="43" t="str">
        <f t="shared" si="509"/>
        <v/>
      </c>
      <c r="OH184" s="43" t="str">
        <f t="shared" si="510"/>
        <v/>
      </c>
      <c r="OI184" s="43" t="str">
        <f t="shared" si="511"/>
        <v/>
      </c>
      <c r="OJ184" s="43" t="str">
        <f t="shared" si="512"/>
        <v/>
      </c>
      <c r="OK184" s="43" t="str">
        <f t="shared" si="513"/>
        <v/>
      </c>
      <c r="OL184" s="43" t="str">
        <f t="shared" si="514"/>
        <v/>
      </c>
      <c r="OM184" s="43" t="str">
        <f t="shared" si="515"/>
        <v/>
      </c>
      <c r="ON184" s="43" t="str">
        <f t="shared" si="516"/>
        <v/>
      </c>
      <c r="OO184" s="43" t="str">
        <f t="shared" si="517"/>
        <v/>
      </c>
      <c r="OP184" s="43" t="str">
        <f t="shared" si="518"/>
        <v/>
      </c>
      <c r="OQ184" s="43" t="str">
        <f t="shared" si="519"/>
        <v/>
      </c>
      <c r="OR184" s="43" t="str">
        <f t="shared" si="520"/>
        <v>OBESIDAD</v>
      </c>
      <c r="OS184" s="43" t="str">
        <f t="shared" si="521"/>
        <v/>
      </c>
      <c r="OT184" s="43" t="str">
        <f t="shared" si="522"/>
        <v/>
      </c>
      <c r="OU184" s="43" t="str">
        <f t="shared" si="523"/>
        <v/>
      </c>
      <c r="OV184" s="110" t="str">
        <f t="shared" si="524"/>
        <v/>
      </c>
      <c r="OW184" s="43" t="str">
        <f t="shared" si="525"/>
        <v/>
      </c>
      <c r="OX184" s="43" t="str">
        <f t="shared" si="526"/>
        <v/>
      </c>
      <c r="OY184" s="43" t="str">
        <f t="shared" si="527"/>
        <v/>
      </c>
      <c r="OZ184" s="43" t="str">
        <f t="shared" si="528"/>
        <v/>
      </c>
      <c r="PA184" s="43" t="str">
        <f t="shared" si="529"/>
        <v/>
      </c>
      <c r="PB184" s="43" t="str">
        <f t="shared" si="530"/>
        <v/>
      </c>
      <c r="PC184" s="43" t="str">
        <f t="shared" si="531"/>
        <v/>
      </c>
      <c r="PD184" s="43" t="str">
        <f t="shared" si="532"/>
        <v/>
      </c>
      <c r="PE184" s="43" t="str">
        <f t="shared" si="533"/>
        <v/>
      </c>
      <c r="PF184" s="43" t="str">
        <f t="shared" si="534"/>
        <v/>
      </c>
      <c r="PG184" s="43" t="str">
        <f t="shared" si="535"/>
        <v/>
      </c>
      <c r="PH184" s="43" t="str">
        <f t="shared" si="536"/>
        <v/>
      </c>
      <c r="PI184" s="43">
        <f t="shared" si="537"/>
        <v>26</v>
      </c>
      <c r="PJ184" s="43" t="str">
        <f t="shared" si="538"/>
        <v/>
      </c>
      <c r="PK184" s="43" t="str">
        <f t="shared" si="539"/>
        <v/>
      </c>
      <c r="PL184" s="43" t="str">
        <f t="shared" si="540"/>
        <v/>
      </c>
      <c r="PM184" s="43" t="str">
        <f t="shared" si="541"/>
        <v/>
      </c>
      <c r="PN184" s="43" t="str">
        <f t="shared" si="542"/>
        <v/>
      </c>
      <c r="PO184" s="43" t="str">
        <f t="shared" si="543"/>
        <v/>
      </c>
      <c r="PP184" s="43" t="str">
        <f t="shared" si="544"/>
        <v/>
      </c>
      <c r="PQ184" s="43" t="str">
        <f t="shared" si="545"/>
        <v/>
      </c>
      <c r="PR184" s="43" t="str">
        <f t="shared" si="546"/>
        <v/>
      </c>
      <c r="PS184" s="43" t="str">
        <f t="shared" si="547"/>
        <v/>
      </c>
      <c r="PT184" s="43" t="str">
        <f t="shared" si="548"/>
        <v/>
      </c>
      <c r="PU184" s="43" t="str">
        <f t="shared" si="549"/>
        <v/>
      </c>
      <c r="PV184" s="43" t="str">
        <f t="shared" si="550"/>
        <v/>
      </c>
      <c r="PW184" s="43" t="str">
        <f t="shared" si="551"/>
        <v/>
      </c>
      <c r="PX184" s="43" t="str">
        <f t="shared" si="552"/>
        <v/>
      </c>
      <c r="PY184" s="43" t="str">
        <f t="shared" si="553"/>
        <v/>
      </c>
      <c r="PZ184" s="43" t="str">
        <f t="shared" si="554"/>
        <v/>
      </c>
      <c r="QA184" s="43" t="str">
        <f t="shared" si="555"/>
        <v>OBESIDAD</v>
      </c>
      <c r="QB184" s="43" t="str">
        <f t="shared" si="556"/>
        <v/>
      </c>
      <c r="QC184" s="43" t="str">
        <f t="shared" si="557"/>
        <v/>
      </c>
      <c r="QD184" s="43" t="str">
        <f t="shared" si="558"/>
        <v/>
      </c>
      <c r="QE184" s="43" t="str">
        <f t="shared" si="559"/>
        <v/>
      </c>
      <c r="QF184" s="43" t="str">
        <f t="shared" si="560"/>
        <v/>
      </c>
      <c r="QG184" s="43" t="str">
        <f t="shared" si="561"/>
        <v/>
      </c>
      <c r="QH184" s="43" t="str">
        <f t="shared" si="562"/>
        <v/>
      </c>
      <c r="QI184" s="43" t="str">
        <f t="shared" si="563"/>
        <v/>
      </c>
      <c r="QJ184" s="43" t="str">
        <f t="shared" si="564"/>
        <v/>
      </c>
      <c r="QK184" s="43" t="str">
        <f t="shared" si="565"/>
        <v/>
      </c>
      <c r="QL184" s="43" t="str">
        <f t="shared" si="566"/>
        <v/>
      </c>
      <c r="QM184" s="43" t="str">
        <f t="shared" si="567"/>
        <v/>
      </c>
      <c r="QN184" s="43" t="str">
        <f t="shared" si="568"/>
        <v/>
      </c>
      <c r="QO184" s="43" t="str">
        <f t="shared" si="569"/>
        <v/>
      </c>
      <c r="QP184" s="43" t="str">
        <f t="shared" si="570"/>
        <v/>
      </c>
      <c r="QQ184" s="43" t="str">
        <f t="shared" si="571"/>
        <v/>
      </c>
      <c r="QR184" s="43">
        <f t="shared" si="672"/>
        <v>26</v>
      </c>
      <c r="QS184" s="43"/>
      <c r="QT184" s="21" t="str">
        <f t="shared" si="572"/>
        <v/>
      </c>
      <c r="QU184" s="21" t="str">
        <f t="shared" si="573"/>
        <v/>
      </c>
      <c r="QV184" s="21" t="str">
        <f t="shared" si="574"/>
        <v/>
      </c>
      <c r="QW184" s="21" t="str">
        <f t="shared" si="575"/>
        <v/>
      </c>
      <c r="QX184" s="21" t="str">
        <f t="shared" si="576"/>
        <v/>
      </c>
      <c r="QY184" s="21" t="str">
        <f t="shared" si="577"/>
        <v/>
      </c>
      <c r="QZ184" s="21" t="str">
        <f t="shared" si="578"/>
        <v/>
      </c>
      <c r="RA184" s="21" t="str">
        <f t="shared" si="579"/>
        <v/>
      </c>
      <c r="RB184" s="21" t="str">
        <f t="shared" si="580"/>
        <v/>
      </c>
      <c r="RC184" s="21" t="str">
        <f t="shared" si="581"/>
        <v/>
      </c>
      <c r="RD184" s="21" t="str">
        <f t="shared" si="582"/>
        <v/>
      </c>
      <c r="RE184" s="21" t="str">
        <f t="shared" si="583"/>
        <v/>
      </c>
      <c r="RF184" s="21" t="str">
        <f t="shared" si="584"/>
        <v/>
      </c>
      <c r="RG184" s="21" t="str">
        <f t="shared" si="585"/>
        <v/>
      </c>
      <c r="RH184" s="21" t="str">
        <f t="shared" si="586"/>
        <v/>
      </c>
      <c r="RI184" s="21" t="str">
        <f t="shared" si="587"/>
        <v/>
      </c>
      <c r="RJ184" s="21" t="str">
        <f t="shared" si="588"/>
        <v/>
      </c>
      <c r="RK184" s="21" t="str">
        <f t="shared" si="589"/>
        <v/>
      </c>
      <c r="RL184" s="21" t="str">
        <f t="shared" si="590"/>
        <v/>
      </c>
      <c r="RM184" s="21" t="str">
        <f t="shared" si="591"/>
        <v/>
      </c>
      <c r="RN184" s="21" t="str">
        <f t="shared" si="592"/>
        <v/>
      </c>
      <c r="RO184" s="21" t="str">
        <f t="shared" si="593"/>
        <v/>
      </c>
      <c r="RP184" s="21" t="str">
        <f t="shared" si="594"/>
        <v/>
      </c>
      <c r="RQ184" s="21" t="str">
        <f t="shared" si="595"/>
        <v/>
      </c>
      <c r="RR184" s="21" t="str">
        <f t="shared" si="596"/>
        <v/>
      </c>
      <c r="RS184" s="21" t="str">
        <f t="shared" si="597"/>
        <v/>
      </c>
      <c r="RT184" s="21" t="str">
        <f t="shared" si="598"/>
        <v/>
      </c>
      <c r="RU184" s="21" t="str">
        <f t="shared" si="599"/>
        <v/>
      </c>
      <c r="RV184" s="21">
        <f t="shared" si="600"/>
        <v>-1</v>
      </c>
      <c r="RW184" s="284">
        <f>IF(OR(Tabla1[[#This Row],[FUM FORMULA CONFIABLE]]="",Tabla1[[#This Row],[FUM FORMULA CONFIABLE]]="SD"),"",IF(Tabla1[[#This Row],[FUM FORMULA CONFIABLE]]="CORREGIDA",Tabla1[[#This Row],[FUM X ECO 1]],Tabla1[[#This Row],[FUM x AMENORREA]]))</f>
        <v>44868</v>
      </c>
      <c r="RX184" s="21" t="str">
        <f>IF(AND(Tabla1[[#This Row],[FUM X ECO 1]]="",Tabla1[[#This Row],[FUM x AMENORREA]]=""),"",IF(AND(Tabla1[[#This Row],[FUM X ECO 1]]="",Tabla1[[#This Row],[FUM x AMENORREA]]&lt;&gt;""),"X",SUM(Tabla1[[#This Row],[FUM X ECO 1]]-Tabla1[[#This Row],[FUM x AMENORREA]])))</f>
        <v>X</v>
      </c>
      <c r="RY184" s="21" t="str">
        <f t="shared" si="673"/>
        <v>x</v>
      </c>
    </row>
    <row r="185" spans="1:493" ht="45" customHeight="1" x14ac:dyDescent="0.25">
      <c r="A185" s="109"/>
      <c r="B185" s="43"/>
      <c r="C185" s="43" t="s">
        <v>845</v>
      </c>
      <c r="D185" s="124"/>
      <c r="E185" s="43" t="s">
        <v>884</v>
      </c>
      <c r="F185" s="43" t="s">
        <v>1524</v>
      </c>
      <c r="G185" s="43" t="s">
        <v>945</v>
      </c>
      <c r="H185" s="43" t="s">
        <v>919</v>
      </c>
      <c r="I185" s="109" t="s">
        <v>851</v>
      </c>
      <c r="J185" s="110">
        <v>1002970266</v>
      </c>
      <c r="K185" s="43" t="s">
        <v>852</v>
      </c>
      <c r="L185" s="175" t="s">
        <v>1509</v>
      </c>
      <c r="M185" s="22">
        <v>36532</v>
      </c>
      <c r="N185" s="213">
        <f t="shared" ca="1" si="601"/>
        <v>23.835616438356166</v>
      </c>
      <c r="O185" s="22">
        <v>45051</v>
      </c>
      <c r="P185" s="214" t="str">
        <f t="shared" si="675"/>
        <v>SI</v>
      </c>
      <c r="Q185" s="26" t="s">
        <v>855</v>
      </c>
      <c r="R185" s="22">
        <v>45051</v>
      </c>
      <c r="S185" s="21" t="s">
        <v>856</v>
      </c>
      <c r="T185" s="24" t="s">
        <v>690</v>
      </c>
      <c r="U185" s="21" t="s">
        <v>857</v>
      </c>
      <c r="V185" s="21" t="s">
        <v>858</v>
      </c>
      <c r="W185" s="21" t="s">
        <v>905</v>
      </c>
      <c r="X185" s="21"/>
      <c r="Y185" s="21"/>
      <c r="Z185" s="21">
        <v>3115753287</v>
      </c>
      <c r="AA185" s="21" t="s">
        <v>860</v>
      </c>
      <c r="AB185" s="27" t="s">
        <v>861</v>
      </c>
      <c r="AC185" s="26" t="s">
        <v>888</v>
      </c>
      <c r="AD185" s="38" t="s">
        <v>1546</v>
      </c>
      <c r="AE185" s="26" t="s">
        <v>854</v>
      </c>
      <c r="AF185" s="26" t="s">
        <v>854</v>
      </c>
      <c r="AG185" s="23" t="s">
        <v>864</v>
      </c>
      <c r="AH185" s="23" t="s">
        <v>864</v>
      </c>
      <c r="AI185" s="24" t="s">
        <v>863</v>
      </c>
      <c r="AJ185" s="23" t="s">
        <v>864</v>
      </c>
      <c r="AK185" s="220" t="str">
        <f>IF(AND(AD185="",AE185="",AF185="",AG185="",AH185="",AI185="",AJ185=""),"",IF(OR(Tabla1[[#This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EVALUACIÓN",IF(AND(O185="",R185=""),"",IF(AND(OR(O185&gt;0,R185&gt;0),NG185&gt;=0,NG185&lt;2),"SIN RIESGO",IF(AND(OR(O185&gt;0,R185&gt;0),NG185&gt;=2),"CON RIESGO","ASD")))))</f>
        <v>SIN RIESGO</v>
      </c>
      <c r="AL185" s="23" t="s">
        <v>864</v>
      </c>
      <c r="AM185" s="26" t="s">
        <v>864</v>
      </c>
      <c r="AN185" s="26" t="s">
        <v>864</v>
      </c>
      <c r="AO185" s="26" t="s">
        <v>864</v>
      </c>
      <c r="AP185" s="26" t="s">
        <v>864</v>
      </c>
      <c r="AQ185" s="26" t="s">
        <v>864</v>
      </c>
      <c r="AR185" s="26" t="s">
        <v>864</v>
      </c>
      <c r="AS185" s="21">
        <v>0</v>
      </c>
      <c r="AT185" s="21">
        <v>0</v>
      </c>
      <c r="AU185" s="21">
        <v>0</v>
      </c>
      <c r="AV185" s="26" t="s">
        <v>864</v>
      </c>
      <c r="AW185" s="21">
        <v>0</v>
      </c>
      <c r="AX185" s="26" t="s">
        <v>864</v>
      </c>
      <c r="AY185" s="26" t="s">
        <v>864</v>
      </c>
      <c r="AZ185" s="26" t="s">
        <v>864</v>
      </c>
      <c r="BA185" s="26" t="s">
        <v>864</v>
      </c>
      <c r="BB185" s="26" t="s">
        <v>864</v>
      </c>
      <c r="BC185" s="26" t="s">
        <v>864</v>
      </c>
      <c r="BD185" s="26" t="s">
        <v>864</v>
      </c>
      <c r="BE185" s="26" t="s">
        <v>864</v>
      </c>
      <c r="BF185" s="26" t="s">
        <v>864</v>
      </c>
      <c r="BG185" s="26" t="s">
        <v>864</v>
      </c>
      <c r="BH185" s="26" t="s">
        <v>864</v>
      </c>
      <c r="BI185" s="26" t="s">
        <v>864</v>
      </c>
      <c r="BJ185" s="26" t="s">
        <v>864</v>
      </c>
      <c r="BK185" s="26" t="s">
        <v>864</v>
      </c>
      <c r="BL185" s="26" t="s">
        <v>864</v>
      </c>
      <c r="BM185" s="26" t="s">
        <v>864</v>
      </c>
      <c r="BN185" s="22"/>
      <c r="BO185" s="22">
        <v>44926</v>
      </c>
      <c r="BP185" s="21" t="s">
        <v>1380</v>
      </c>
      <c r="BQ185" s="222">
        <f t="shared" si="602"/>
        <v>0</v>
      </c>
      <c r="BR185" s="223">
        <f t="shared" si="603"/>
        <v>44965.599999999999</v>
      </c>
      <c r="BS185" s="224">
        <f t="shared" si="604"/>
        <v>12.200000000000207</v>
      </c>
      <c r="BT185" s="216" t="str">
        <f t="shared" si="605"/>
        <v>II TRIM</v>
      </c>
      <c r="BU185" s="214">
        <f t="shared" ca="1" si="606"/>
        <v>38.057142857143063</v>
      </c>
      <c r="BV185" s="25" t="s">
        <v>1525</v>
      </c>
      <c r="BW185" s="22">
        <v>45051</v>
      </c>
      <c r="BX185" s="28">
        <v>12.2</v>
      </c>
      <c r="BY185" s="28" t="s">
        <v>988</v>
      </c>
      <c r="BZ185" s="22"/>
      <c r="CA185" s="21"/>
      <c r="CB185" s="26" t="s">
        <v>864</v>
      </c>
      <c r="CC185" s="26" t="s">
        <v>864</v>
      </c>
      <c r="CD185" s="26"/>
      <c r="CE185" s="26" t="s">
        <v>864</v>
      </c>
      <c r="CF185" s="22" t="s">
        <v>1517</v>
      </c>
      <c r="CG185" s="21">
        <v>1.49</v>
      </c>
      <c r="CH185" s="21">
        <v>44.9</v>
      </c>
      <c r="CI185" s="214">
        <f t="shared" si="607"/>
        <v>20.224314220080178</v>
      </c>
      <c r="CJ185" s="225" t="e">
        <f>IF(AND(CI185&lt;10,CH185="SD"),"SIN DATO PESO PREGESTACION O I TRIM",IF(AND(OR(R185&gt;0,O185&gt;0),CI185="X"),"INGRESAR DATO DE PESO",IF(CI185="SD","INGRESAR DATO DE TALLA Y PESO",IF(AND(OR(Tabla1[[#This Row],[MOMENTO EN QUE SE REALIZA EL PESO AL INGRESO A CPN]]="PREGESTACIÓN",NZ185="Menor"),CI185&lt;18.5),"BAJO PESO",IF(AND(OR(Tabla1[[#This Row],[MOMENTO EN QUE SE REALIZA EL PESO AL INGRESO A CPN]]="PREGESTACIÓN",NZ185="Menor"),CI185&lt;25),"NORMAL",IF(AND(OR(Tabla1[[#This Row],[MOMENTO EN QUE SE REALIZA EL PESO AL INGRESO A CPN]]="PREGESTACIÓN",NZ185="Menor"),CI185&lt;30),"SOBREPESO",IF(AND(OR(Tabla1[[#This Row],[MOMENTO EN QUE SE REALIZA EL PESO AL INGRESO A CPN]]="PREGESTACIÓN",NZ185="Menor"),CI185&gt;=30,CI185&lt;50),"OBESIDAD",IF(AND(BS185&gt;0,Tabla1[[#This Row],[MOMENTO EN QUE SE REALIZA EL PESO AL INGRESO A CPN]]="GESTACIÓN"),HLOOKUP(NZ185,$OA$2:PH185,NY185),""))))))))</f>
        <v>#REF!</v>
      </c>
      <c r="CK185" s="212">
        <f t="shared" si="608"/>
        <v>45146</v>
      </c>
      <c r="CL185" s="21">
        <v>52</v>
      </c>
      <c r="CM185" s="214">
        <f t="shared" si="609"/>
        <v>23.422368361785505</v>
      </c>
      <c r="CN185" s="216">
        <f t="shared" si="610"/>
        <v>25</v>
      </c>
      <c r="CO185" s="216" t="e">
        <f>IF(PI185="","",IF(PI185&gt;0,HLOOKUP(PI185,$PJ$2:QQ185,NY185),""))</f>
        <v>#REF!</v>
      </c>
      <c r="CP185" s="21">
        <v>28</v>
      </c>
      <c r="CQ185" s="216" t="e">
        <f>IF(QR185="Menor","NO APLICA-MENOR 13 SEM",IF(AND(CC185="SI",CN185&gt;23),"NO APLICA- GEMELAR",IF(QR185="","",IF(QR185&gt;0,HLOOKUP(QR185,$QS$2:RU185,NY185),""))))</f>
        <v>#REF!</v>
      </c>
      <c r="CR185" s="21"/>
      <c r="CS185" s="21"/>
      <c r="CT185" s="217" t="str">
        <f>IF(R185="","",IF(AND(BS185&gt;1,BS185&lt;12,Tabla1[[#This Row],[T.A. SISTOLICA - ANTES DE SEMANA 12]]="",Tabla1[[#This Row],[T.A. DIASTOLICA - ANTES DE SEMANA 12]]=""),"REGISTRE DATO TA ANTES SEMANA 12",IF(AND(BS185&gt;11,BS185&lt;43,Tabla1[[#This Row],[T.A. SISTOLICA - ANTES DE SEMANA 12]]="",Tabla1[[#This Row],[T.A. DIASTOLICA - ANTES DE SEMANA 12]]=""),"NO APLICA REGISTRO TA-INGRESO TARDIO",IF(AND(OR(O185&gt;0,R185&gt;0),OR(CR185&gt;=140,CS185&gt;=90)),"DEFINIR ESTADIO HTA",IF(AND(OR(O185&gt;0,R185&gt;0),AND(CR185&gt;120,CR185&lt;=139)),"PRE HTA SEGUIMIENTO",IF(AND(OR(O185&gt;0,R185&gt;0),AND(CS185&gt;80,CS185&lt;=89)),"PRE HTA SEGUIMIENTO",IF(AND(OR(O185&gt;0,R185&gt;0),AND(CR185&gt;=80,CR185&lt;=120)),"APARENTEMENTE NORMAL",IF(AND(OR(O185&gt;0,R185&gt;0),AND(CS185&gt;=50,CS185&lt;=80)),"APARENTEMENTE NORMAL",IF(AND(OR(O185&gt;0,R185&gt;0),AND(CR185&gt;1,CR185&lt;=70),AND(CS185&gt;1,CS185&lt;=40)),"HIPOTENSIÓN","")))))))))</f>
        <v>NO APLICA REGISTRO TA-INGRESO TARDIO</v>
      </c>
      <c r="CU185" s="21">
        <v>100</v>
      </c>
      <c r="CV185" s="21">
        <v>60</v>
      </c>
      <c r="CW185" s="217" t="str">
        <f ca="1">IF(R185="","",IF(AND(CN185&gt;19,CN185&lt;27,Tabla1[[#This Row],[T.A. SISTOLICA (Entre semana 20 y 26)]]="",Tabla1[[#This Row],[T.A. DIATOLICA (Entre semana 20 y 26)]]=""),"ACUDE A CONTROL SEM 20 A 26 REGISTRE TA AHORA",IF(AND(BS185&gt;1,BS185&lt;27,BU185&gt;19,Tabla1[[#This Row],[T.A. SISTOLICA (Entre semana 20 y 26)]]="",Tabla1[[#This Row],[T.A. DIATOLICA (Entre semana 20 y 26)]]=""),"COMPLETE REGISTRO TA CONTROL SEM 20 A26 ",IF(AND(BS185&gt;26,BS185&lt;43,Tabla1[[#This Row],[T.A. SISTOLICA (Entre semana 20 y 26)]]="",Tabla1[[#This Row],[T.A. DIATOLICA (Entre semana 20 y 26)]]=""),"NO APLICA REGISTRO TA-INGRESO TARDIO",IF(AND(OR(O185&gt;0,R185&gt;0),OR(CU185&gt;=140,CV185&gt;=90)),"ALTO RIESGO PREECLAMPSIA,DEFINIR ESTADIO HTA",IF(AND(OR(O185&gt;0,R185&gt;0),AND(CU185&gt;120,CU185&lt;=139)),"PRE HTA SEGUIMIENTO,RIESGO HIPERTENSION INDUCIDA POR EL EMBARAZO",IF(AND(OR(O185&gt;0,R185&gt;0),AND(CV185&gt;80,CV185&lt;=89)),"PRE HTA SEGUIMIENTO, RIESGO HIPERTENSION INDUCIDA POR EL EMBARAZO",IF(AND(OR(O185&lt;&gt;"",R185&lt;&gt;""),CS185&lt;&gt;"",CV185&lt;&gt;"",CS185&lt;=CV185),"VIGILAR CIFRAS PRESION ARTERIAL",IF(AND(OR(O185&gt;0,R185&gt;0),AND(CU185&gt;120,CU185&lt;=139)),"PRE HTA SEGUIMIENTO",IF(AND(OR(O185&gt;0,R185&gt;0),AND(CU185&gt;1,CU185&lt;=70),AND(CV185&gt;1,CV185&lt;=40)),"HIPOTENSIÓN",IF(AND(OR(O185&lt;&gt;"",R185&lt;&gt;""),CS185&lt;&gt;"",CV185&lt;&gt;"",CS185&gt;CV185),"APARENTEMENTE NORMAL",IF(AND(OR(O185&gt;0,R185&gt;0),AND(CU185&gt;=80,CU185&lt;=120)),"APARENTEMENTE NORMAL",IF(AND(OR(O185&gt;0,R185&gt;0),AND(CV185&gt;=50,CV185&lt;=80)),"APARENTEMENTE NORMAL","")))))))))))))</f>
        <v>APARENTEMENTE NORMAL</v>
      </c>
      <c r="CX185" s="21"/>
      <c r="CY185" s="21"/>
      <c r="CZ185" s="216" t="str">
        <f t="shared" si="729"/>
        <v/>
      </c>
      <c r="DA185" s="21">
        <v>90</v>
      </c>
      <c r="DB185" s="21">
        <v>60</v>
      </c>
      <c r="DC185" s="217" t="str">
        <f t="shared" si="611"/>
        <v>APARENTEMENTE NORMAL</v>
      </c>
      <c r="DD185" s="22">
        <v>45051</v>
      </c>
      <c r="DE185" s="22">
        <v>45051</v>
      </c>
      <c r="DF185" s="22">
        <v>45083</v>
      </c>
      <c r="DG185" s="22">
        <v>45115</v>
      </c>
      <c r="DH185" s="22"/>
      <c r="DI185" s="22"/>
      <c r="DJ185" s="22">
        <v>45146</v>
      </c>
      <c r="DK185" s="22"/>
      <c r="DL185" s="22"/>
      <c r="DM185" s="22"/>
      <c r="DN185" s="22"/>
      <c r="DO185" s="22"/>
      <c r="DP185" s="22"/>
      <c r="DQ185" s="22"/>
      <c r="DR185" s="28">
        <v>0</v>
      </c>
      <c r="DS185" s="22"/>
      <c r="DT185" s="22"/>
      <c r="DU185" s="216" t="str">
        <f t="shared" ca="1" si="676"/>
        <v>CONCERTAR PLAN DE PARTO INMEDIATO</v>
      </c>
      <c r="DV185" s="226" t="str">
        <f t="shared" si="677"/>
        <v>ACTIVA INGRESO A CPN</v>
      </c>
      <c r="DW18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85" s="216" t="e">
        <f t="shared" ca="1" si="612"/>
        <v>#REF!</v>
      </c>
      <c r="DY185" s="212">
        <f>IF(R185="","",IF(R185&gt;0,MAX(Tabla1[[#This Row],[FECHA C2]:[FECHA C13]],Tabla1[[#This Row],[FECHA CONSULTA PRIMERA VEZ PROGRAMA CPN ]])))</f>
        <v>45146</v>
      </c>
      <c r="DZ185" s="216">
        <f t="shared" si="613"/>
        <v>25</v>
      </c>
      <c r="EA185" s="222">
        <f>IF(R185&gt;0,SUM(COUNTA(DF185:DQ185)+COUNTA(Tabla1[[#This Row],[FECHA CONSULTA PRIMERA VEZ PROGRAMA CPN ]])),"")</f>
        <v>4</v>
      </c>
      <c r="EB185" s="222" t="str">
        <f t="shared" si="614"/>
        <v>SI</v>
      </c>
      <c r="EC185" s="214">
        <f t="shared" si="615"/>
        <v>8</v>
      </c>
      <c r="ED185" s="227">
        <f t="shared" si="616"/>
        <v>0.5</v>
      </c>
      <c r="EE185" s="22">
        <v>45051</v>
      </c>
      <c r="EF185" s="22">
        <v>45051</v>
      </c>
      <c r="EG185" s="22">
        <v>45051</v>
      </c>
      <c r="EH185" s="22">
        <v>45030</v>
      </c>
      <c r="EI185" s="22">
        <v>45051</v>
      </c>
      <c r="EJ185" s="22">
        <v>45029</v>
      </c>
      <c r="EK185" s="22">
        <v>45043</v>
      </c>
      <c r="EL185" s="21"/>
      <c r="EM185" s="21">
        <v>12.7</v>
      </c>
      <c r="EN185" s="22">
        <v>45124</v>
      </c>
      <c r="EO185" s="222">
        <f t="shared" si="617"/>
        <v>22.628571428571636</v>
      </c>
      <c r="EP185" s="214" t="str">
        <f t="shared" si="618"/>
        <v>NORMAL- SUMINISTRAR SULFATO FERROSO</v>
      </c>
      <c r="EQ185" s="216" t="str">
        <f t="shared" si="619"/>
        <v>II TRIM</v>
      </c>
      <c r="ER185" s="24"/>
      <c r="ES185" s="22"/>
      <c r="ET185" s="29" t="str">
        <f t="shared" ca="1" si="678"/>
        <v>TOMA DE HEMOGLOBINA TARDÍA</v>
      </c>
      <c r="EU185" s="25" t="str">
        <f t="shared" si="620"/>
        <v/>
      </c>
      <c r="EV185" s="24" t="s">
        <v>1510</v>
      </c>
      <c r="EW185" s="32">
        <v>44994</v>
      </c>
      <c r="EX185" s="22"/>
      <c r="EY185" s="29">
        <f t="shared" si="693"/>
        <v>4.0571428571430648</v>
      </c>
      <c r="EZ185" s="25" t="str">
        <f t="shared" si="694"/>
        <v>SIN RIESGO DE ISOINMUNIZACIÓN</v>
      </c>
      <c r="FA185" s="21">
        <v>65</v>
      </c>
      <c r="FB185" s="32">
        <v>44994</v>
      </c>
      <c r="FC185" s="29">
        <f t="shared" si="621"/>
        <v>4.0571428571430648</v>
      </c>
      <c r="FD185" s="29">
        <v>76</v>
      </c>
      <c r="FE185" s="29">
        <v>120</v>
      </c>
      <c r="FF185" s="29"/>
      <c r="FG185" s="21" t="str">
        <f t="shared" ca="1" si="622"/>
        <v>NO COMPLETA EXAMEN</v>
      </c>
      <c r="FH185" s="31">
        <v>45139</v>
      </c>
      <c r="FI185" s="29">
        <f t="shared" si="623"/>
        <v>24.771428571428778</v>
      </c>
      <c r="FJ185" s="22" t="s">
        <v>867</v>
      </c>
      <c r="FK185" s="32">
        <v>44994</v>
      </c>
      <c r="FL185" s="29">
        <f t="shared" ca="1" si="624"/>
        <v>4.0571428571430648</v>
      </c>
      <c r="FM185" s="22"/>
      <c r="FN185" s="32"/>
      <c r="FO185" s="29" t="str">
        <f t="shared" ca="1" si="679"/>
        <v>PIERDE TOMA DE TAMIZAJE</v>
      </c>
      <c r="FP185" s="22"/>
      <c r="FQ185" s="32"/>
      <c r="FR185" s="29" t="str">
        <f t="shared" ca="1" si="680"/>
        <v>TOMA INMEDIATA DE TAMIZAJE</v>
      </c>
      <c r="FS185" s="22"/>
      <c r="FT185" s="32"/>
      <c r="FU185" s="29" t="str">
        <f>IF(AND(FJ185="",FM185="",FP185="",FS185=""),"",IF(OR(OR(Tabla1[[#This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85" s="28"/>
      <c r="FW185" s="22"/>
      <c r="FX185" s="29" t="str">
        <f t="shared" si="625"/>
        <v>TOMAR EXAMEN</v>
      </c>
      <c r="FY185" s="22" t="s">
        <v>868</v>
      </c>
      <c r="FZ185" s="32">
        <v>44994</v>
      </c>
      <c r="GA185" s="29">
        <f t="shared" ca="1" si="692"/>
        <v>4.0571428571430648</v>
      </c>
      <c r="GB185" s="22"/>
      <c r="GC185" s="22"/>
      <c r="GD185" s="29" t="str">
        <f t="shared" ca="1" si="732"/>
        <v>PIERDE TOMA DE TAMIZAJE</v>
      </c>
      <c r="GE185" s="22"/>
      <c r="GF185" s="22"/>
      <c r="GG185" s="29" t="str">
        <f t="shared" ca="1" si="682"/>
        <v>TOMA INMEDIATA DE TAMIZAJE</v>
      </c>
      <c r="GH185" s="22"/>
      <c r="GI185" s="29"/>
      <c r="GJ185" s="22"/>
      <c r="GK185" s="22"/>
      <c r="GL185" s="22"/>
      <c r="GM185" s="22"/>
      <c r="GN185" s="28" t="s">
        <v>869</v>
      </c>
      <c r="GO185" s="32">
        <v>44994</v>
      </c>
      <c r="GP185" s="29">
        <f t="shared" si="626"/>
        <v>4.0571428571430648</v>
      </c>
      <c r="GQ185" s="28" t="s">
        <v>880</v>
      </c>
      <c r="GR185" s="28" t="s">
        <v>869</v>
      </c>
      <c r="GS185" s="22" t="str">
        <f t="shared" si="728"/>
        <v>SE EXCLUYE INFECCION</v>
      </c>
      <c r="GT185" s="32">
        <v>45066</v>
      </c>
      <c r="GU185" s="29">
        <f t="shared" si="628"/>
        <v>20</v>
      </c>
      <c r="GV185" s="21" t="str">
        <f t="shared" si="629"/>
        <v>II TRIM</v>
      </c>
      <c r="GW185" s="28"/>
      <c r="GX185" s="30"/>
      <c r="GY185" s="21"/>
      <c r="GZ185" s="21"/>
      <c r="HA185" s="21"/>
      <c r="HB185" s="21"/>
      <c r="HC185" s="21"/>
      <c r="HD185" s="21"/>
      <c r="HE185" s="21"/>
      <c r="HF185" s="22"/>
      <c r="HG185" s="22" t="str">
        <f>IF(OR(O185&gt;0,R185&gt;0),CONCATENATE(IF(Tabla1[[#This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85" s="22" t="e">
        <f t="shared" si="630"/>
        <v>#REF!</v>
      </c>
      <c r="HI185" s="22" t="e">
        <f t="shared" ca="1" si="631"/>
        <v>#REF!</v>
      </c>
      <c r="HJ185" s="21" t="str">
        <f t="shared" ca="1" si="632"/>
        <v>**********************MULTIPARIDAD*****************</v>
      </c>
      <c r="HK185" s="21" t="str">
        <f t="shared" si="633"/>
        <v>SIN ANTECEDENTES DE RIESGO</v>
      </c>
      <c r="HL185" s="24" t="str">
        <f t="shared" si="634"/>
        <v>APARENTEMENTE NORMAL</v>
      </c>
      <c r="HM185" s="21" t="e">
        <f t="shared" ca="1" si="635"/>
        <v>#REF!</v>
      </c>
      <c r="HN185" s="30" t="str">
        <f t="shared" si="683"/>
        <v>ACTIVA INGRESO A CPN</v>
      </c>
      <c r="HO185" s="21"/>
      <c r="HP185" s="21"/>
      <c r="HQ185" s="349"/>
      <c r="HR185" s="21" t="str">
        <f>IF(R185="","",IF(Tabla1[[#This Row],[ALARMA FACTORES DE RIESGO COMPLICACIONES HIPERTENSIVAS3]]="SIN ANTECEDENTES DE RIESGO","No Aplica para suministro de ASA",IF(AND(Tabla1[[#This Row],[FECHA INICIO DE SUMINISTRO DE ASA]]&gt;0,RV185&lt;12),"Inicia ASA ANTES de Sem 12",IF(AND(RV185&gt;11,RV185&lt;17,OR(HK185="RIESGO ALTO DE COMPLICACIONES HIPERTENSIVAS VER MANEJO GUIA SUMINISTRO ASA Y CALCIO",HK185="RIESGO MODERADO (2 O MAS CRITERIOS) VER MANEJO GUIA SUMINISTRO ASA Y CALCIO")),"Inicio oportuno de ASA",IF(AND(RV185&gt;12,OR(HK185="RIESGO ALTO DE COMPLICACIONES HIPERTENSIVAS VER MANEJO GUIA SUMINISTRO ASA Y CALCIO",HK185="RIESGO MODERADO (2 O MAS CRITERIOS) VER MANEJO GUIA SUMINISTRO ASA Y CALCIO")),"Inicio no oportuno mayor a 16 semanas",IF(AND(BU185&lt;12,OR(HK185="RIESGO ALTO DE COMPLICACIONES HIPERTENSIVAS VER MANEJO GUIA SUMINISTRO ASA Y CALCIO",HK185="RIESGO MODERADO (2 O MAS CRITERIOS) VER MANEJO GUIA SUMINISTRO ASA Y CALCIO")),"Pendiente Inicio de ASA a la semana 12",IF(AND(BU185&gt;11,BU185&lt;17,OR(HK185="RIESGO ALTO DE COMPLICACIONES HIPERTENSIVAS VER MANEJO GUIA SUMINISTRO ASA Y CALCIO",HK185="RIESGO MODERADO (2 O MAS CRITERIOS) VER MANEJO GUIA SUMINISTRO ASA Y CALCIO")),"Iniciar de inmediato ASA",IF(AND(BU185&gt;16,OR(HK185="RIESGO ALTO DE COMPLICACIONES HIPERTENSIVAS VER MANEJO GUIA SUMINISTRO ASA Y CALCIO",HK185="RIESGO MODERADO (2 O MAS CRITERIOS) VER MANEJO GUIA SUMINISTRO ASA Y CALCIO")),"Pierde Oportunidad, Inicio tardío de ASA","XXXXX"))))))))</f>
        <v>No Aplica para suministro de ASA</v>
      </c>
      <c r="HS185" s="22">
        <v>45051</v>
      </c>
      <c r="HT185" s="22" t="s">
        <v>1518</v>
      </c>
      <c r="HU185" s="22">
        <v>45051</v>
      </c>
      <c r="HV185" s="22" t="s">
        <v>1523</v>
      </c>
      <c r="HW185" s="22">
        <v>45051</v>
      </c>
      <c r="HX185" s="22" t="s">
        <v>1511</v>
      </c>
      <c r="HY185" s="22">
        <v>45051</v>
      </c>
      <c r="HZ185" s="28">
        <f t="shared" si="636"/>
        <v>12.200000000000207</v>
      </c>
      <c r="IA185" s="26"/>
      <c r="IB185" s="26"/>
      <c r="IC185" s="111"/>
      <c r="ID185" s="22"/>
      <c r="IE185" s="22" t="str">
        <f t="shared" ca="1" si="637"/>
        <v>INASISTENTE</v>
      </c>
      <c r="IF185" s="22"/>
      <c r="IG185" s="22">
        <f t="shared" si="638"/>
        <v>45245.599999999999</v>
      </c>
      <c r="IH185" s="29">
        <f t="shared" ca="1" si="639"/>
        <v>13.599999999998545</v>
      </c>
      <c r="II185" s="22" t="str">
        <f t="shared" ca="1" si="640"/>
        <v>MENOS DE 4 SEMANAS</v>
      </c>
      <c r="IJ185" s="22"/>
      <c r="IK185" s="21"/>
      <c r="IL185" s="21"/>
      <c r="IM185" s="34"/>
      <c r="IN185" s="22"/>
      <c r="IO185" s="21"/>
      <c r="IP185" s="29" t="str">
        <f t="shared" si="730"/>
        <v/>
      </c>
      <c r="IQ185" s="35"/>
      <c r="IR185" s="21"/>
      <c r="IS185" s="21"/>
      <c r="IT185" s="21"/>
      <c r="IU185" s="21"/>
      <c r="IV185" s="21"/>
      <c r="IW185" s="21"/>
      <c r="IX185" s="21"/>
      <c r="IY185" s="21"/>
      <c r="IZ185" s="21"/>
      <c r="JA185" s="21"/>
      <c r="JB185" s="30"/>
      <c r="JC185" s="21"/>
      <c r="JD185" s="36"/>
      <c r="JE185" s="21" t="str">
        <f t="shared" si="733"/>
        <v/>
      </c>
      <c r="JF185" s="30"/>
      <c r="JG185" s="21"/>
      <c r="JH185" s="21"/>
      <c r="JI185" s="21"/>
      <c r="JJ185" s="30"/>
      <c r="JK185" s="22"/>
      <c r="JL185" s="22"/>
      <c r="JM185" s="21"/>
      <c r="JN185" s="36"/>
      <c r="JO185" s="21" t="str">
        <f t="shared" si="734"/>
        <v/>
      </c>
      <c r="JP185" s="22"/>
      <c r="JQ185" s="21"/>
      <c r="JR185" s="21"/>
      <c r="JS185" s="21"/>
      <c r="JT185" s="30"/>
      <c r="JU185" s="22"/>
      <c r="JV185" s="22"/>
      <c r="JW185" s="33"/>
      <c r="JX185" s="28" t="str">
        <f t="shared" si="735"/>
        <v/>
      </c>
      <c r="JY185" s="33"/>
      <c r="JZ185" s="28" t="str">
        <f t="shared" si="736"/>
        <v/>
      </c>
      <c r="KA185" s="21"/>
      <c r="KB185" s="21"/>
      <c r="KC185" s="21"/>
      <c r="KD185" s="37"/>
      <c r="KE185" s="28"/>
      <c r="KF185" s="28"/>
      <c r="KG185" s="28"/>
      <c r="KH185" s="39"/>
      <c r="KI185" s="39"/>
      <c r="KJ185" s="66"/>
      <c r="KK185" s="39"/>
      <c r="KL185" s="39"/>
      <c r="KM185" s="66"/>
      <c r="KN185" s="39"/>
      <c r="KO185" s="39"/>
      <c r="KP185" s="39"/>
      <c r="KQ185" s="39"/>
      <c r="KR185" s="39"/>
      <c r="KS185" s="39"/>
      <c r="KT185" s="39"/>
      <c r="KU185" s="38"/>
      <c r="KV185" s="38"/>
      <c r="KW185" s="38"/>
      <c r="KX185" s="38"/>
      <c r="KY185" s="38"/>
      <c r="KZ185" s="38"/>
      <c r="LA185" s="38"/>
      <c r="LB185" s="38"/>
      <c r="LC185" s="38"/>
      <c r="LD185" s="38"/>
      <c r="LE185" s="38"/>
      <c r="LF185" s="38"/>
      <c r="LG185" s="38"/>
      <c r="LH185" s="38"/>
      <c r="LI185" s="38"/>
      <c r="LJ185" s="38"/>
      <c r="LK185" s="38"/>
      <c r="LL185" s="38"/>
      <c r="LM185" s="38"/>
      <c r="LN185" s="38"/>
      <c r="LO185" s="38"/>
      <c r="LP185" s="38"/>
      <c r="LQ185" s="38"/>
      <c r="LR185" s="38"/>
      <c r="LS185" s="38"/>
      <c r="LT185" s="38"/>
      <c r="LU185" s="38"/>
      <c r="LV185" s="38"/>
      <c r="LW185" s="38"/>
      <c r="LX185" s="38"/>
      <c r="LY185" s="38"/>
      <c r="LZ185" s="38"/>
      <c r="MA185" s="38"/>
      <c r="MB185" s="38"/>
      <c r="MC185" s="38"/>
      <c r="MD185" s="38"/>
      <c r="ME185" s="38"/>
      <c r="MF185" s="38"/>
      <c r="MG185" s="38"/>
      <c r="MH185" s="43">
        <f t="shared" si="697"/>
        <v>0</v>
      </c>
      <c r="MI185" s="43" t="str">
        <f t="shared" si="698"/>
        <v/>
      </c>
      <c r="MJ185" s="43" t="str">
        <f t="shared" si="699"/>
        <v/>
      </c>
      <c r="MK185" s="43">
        <f t="shared" si="700"/>
        <v>0</v>
      </c>
      <c r="ML18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85" s="43">
        <f t="shared" si="701"/>
        <v>12.200000000000207</v>
      </c>
      <c r="MN185" s="43">
        <f t="shared" si="702"/>
        <v>5</v>
      </c>
      <c r="MO185" s="43">
        <f t="shared" si="703"/>
        <v>2023</v>
      </c>
      <c r="MP185" s="43" t="str">
        <f t="shared" si="704"/>
        <v>II TRIMESTRE AÑO</v>
      </c>
      <c r="MQ185" s="43">
        <f t="shared" si="705"/>
        <v>22.990582566798071</v>
      </c>
      <c r="MR185" s="43">
        <f t="shared" si="706"/>
        <v>0</v>
      </c>
      <c r="MS185" s="43" t="str">
        <f t="shared" si="707"/>
        <v xml:space="preserve"> DE 20 A 24 AÑOS</v>
      </c>
      <c r="MT185" s="43">
        <f t="shared" si="708"/>
        <v>0</v>
      </c>
      <c r="MU185" s="43">
        <f t="shared" si="709"/>
        <v>1</v>
      </c>
      <c r="MV185" s="43">
        <f t="shared" si="710"/>
        <v>0</v>
      </c>
      <c r="MW185" s="43">
        <f t="shared" si="711"/>
        <v>0</v>
      </c>
      <c r="MX185" s="43" t="str">
        <f t="shared" si="712"/>
        <v/>
      </c>
      <c r="MY185" s="43" t="str">
        <f t="shared" ca="1" si="737"/>
        <v/>
      </c>
      <c r="MZ185" s="43" t="str">
        <f t="shared" si="713"/>
        <v/>
      </c>
      <c r="NA185" s="43" t="str">
        <f t="shared" si="714"/>
        <v/>
      </c>
      <c r="NB185" s="43" t="str">
        <f t="shared" si="715"/>
        <v/>
      </c>
      <c r="NC185" s="43" t="str">
        <f t="shared" si="716"/>
        <v/>
      </c>
      <c r="ND185" s="43">
        <f t="shared" ca="1" si="717"/>
        <v>1</v>
      </c>
      <c r="NE185" s="43">
        <f>IF(OR(O185&gt;0,R185&gt;0),SUM(COUNTIF(Tabla1[[#This Row],[AÑOS AL INICIO5 CPN]],"&gt;=40"),COUNTIF(AS185,"0"),COUNTIF(AR185,"SI"),COUNTIF(CC185,"SI"),COUNTIF(BQ185,"&gt;119"),COUNTIF(CI185,"&gt;=35")),"")</f>
        <v>1</v>
      </c>
      <c r="NF185" s="43" t="str">
        <f t="shared" si="718"/>
        <v/>
      </c>
      <c r="NG185" s="43">
        <f t="shared" si="719"/>
        <v>0</v>
      </c>
      <c r="NH185" s="43">
        <f t="shared" si="720"/>
        <v>85.399999999999991</v>
      </c>
      <c r="NI18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CPN",P185="NO"),"Z",IF(AND(Tabla1[[#This Row],[CITA PROXIMO CONTROL]]="CITA MANUAL",Tabla1[[#This Row],[GESTANTES ACTUALES]]="ACTIVA INGRESO A CPN"),"W",IF(AND(Tabla1[[#This Row],[GESTANTES ACTUALES]]="SALIO PROGRAMA",IN185=""),"S",IF(AND(Tabla1[[#This Row],[CITA PROXIMO CONTROL]]&gt;0,IN185=""),(Tabla1[[#This Row],[CITA PROXIMO CONTROL]]-TODAY()),"SD"))))))))</f>
        <v>#REF!</v>
      </c>
      <c r="NJ185" s="43">
        <f>MONTH(Tabla1[[#This Row],[FECHA DE SALIDA  DEL PROGRAMA]])</f>
        <v>1</v>
      </c>
      <c r="NK185" s="43">
        <f>YEAR(Tabla1[[#This Row],[FECHA DE SALIDA  DEL PROGRAMA]])</f>
        <v>1900</v>
      </c>
      <c r="NL185" s="43">
        <f t="shared" si="721"/>
        <v>-22</v>
      </c>
      <c r="NM185" s="43" t="str">
        <f t="shared" si="695"/>
        <v>NO</v>
      </c>
      <c r="NN185" s="43" t="str">
        <f ca="1">IF(AND(O185&gt;0,R185=""),"NO CPN",IF(AND(O185="",R185=""),"",IF(AND(R185&gt;0,Tabla1[[#This Row],[SEMANAS DE GESTACION ACTUALIZADAS]]&lt;=12),"NO APLICA",IF(AND(FH185&lt;&gt;"",FN185&lt;&gt;""),"SI","NO"))))</f>
        <v>NO</v>
      </c>
      <c r="NO185" s="43" t="str">
        <f ca="1">IF(AND(O185&gt;0,R185=""),"NO CPN",IF(AND(O185="",R185=""),"",IF(AND(R185&gt;0,Tabla1[[#This Row],[SEMANAS DE GESTACION ACTUALIZADAS]]&lt;=27),"NO APLICA",IF(AND(ES185&lt;&gt;"",FQ185&lt;&gt;"",GF185&lt;&gt;""),"SI","NO"))))</f>
        <v>NO</v>
      </c>
      <c r="NP185" s="204" t="str">
        <f t="shared" si="722"/>
        <v>II TRIM</v>
      </c>
      <c r="NQ185" s="21">
        <f t="shared" si="731"/>
        <v>10</v>
      </c>
      <c r="NR185" s="21">
        <f t="shared" ca="1" si="738"/>
        <v>2</v>
      </c>
      <c r="NS185" s="205">
        <f t="shared" ca="1" si="723"/>
        <v>1</v>
      </c>
      <c r="NT185" s="21">
        <f t="shared" ca="1" si="724"/>
        <v>1</v>
      </c>
      <c r="NU185" s="21" t="str">
        <f t="shared" ca="1" si="725"/>
        <v>INCOMPLETO</v>
      </c>
      <c r="NV185" s="21" t="str">
        <f t="shared" ca="1" si="726"/>
        <v>INCOMPLETO</v>
      </c>
      <c r="NW185" s="206" t="str">
        <f>IF(AND(O185="",R185=""),"",IF(OR(AND(Tabla1[[#This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85" s="207" t="str">
        <f t="shared" ca="1" si="727"/>
        <v>SIN VACUNAR</v>
      </c>
      <c r="NY185" s="43">
        <f>ROW(Tabla1[[#This Row],['# DE TAMIZAJES SIFILIS TOMADOS ]])</f>
        <v>185</v>
      </c>
      <c r="NZ185" s="43">
        <f t="shared" si="502"/>
        <v>12</v>
      </c>
      <c r="OA185" s="43" t="str">
        <f t="shared" si="503"/>
        <v/>
      </c>
      <c r="OB185" s="43" t="str">
        <f t="shared" si="504"/>
        <v/>
      </c>
      <c r="OC185" s="43" t="str">
        <f t="shared" si="505"/>
        <v/>
      </c>
      <c r="OD185" s="43" t="str">
        <f t="shared" si="506"/>
        <v>BAJO PESO</v>
      </c>
      <c r="OE185" s="43" t="str">
        <f t="shared" si="507"/>
        <v/>
      </c>
      <c r="OF185" s="43" t="str">
        <f t="shared" si="508"/>
        <v/>
      </c>
      <c r="OG185" s="43" t="str">
        <f t="shared" si="509"/>
        <v/>
      </c>
      <c r="OH185" s="43" t="str">
        <f t="shared" si="510"/>
        <v/>
      </c>
      <c r="OI185" s="43" t="str">
        <f t="shared" si="511"/>
        <v/>
      </c>
      <c r="OJ185" s="43" t="str">
        <f t="shared" si="512"/>
        <v/>
      </c>
      <c r="OK185" s="43" t="str">
        <f t="shared" si="513"/>
        <v/>
      </c>
      <c r="OL185" s="43" t="str">
        <f t="shared" si="514"/>
        <v/>
      </c>
      <c r="OM185" s="43" t="str">
        <f t="shared" si="515"/>
        <v/>
      </c>
      <c r="ON185" s="43" t="str">
        <f t="shared" si="516"/>
        <v/>
      </c>
      <c r="OO185" s="43" t="str">
        <f t="shared" si="517"/>
        <v/>
      </c>
      <c r="OP185" s="43" t="str">
        <f t="shared" si="518"/>
        <v/>
      </c>
      <c r="OQ185" s="43" t="str">
        <f t="shared" si="519"/>
        <v/>
      </c>
      <c r="OR185" s="43" t="str">
        <f t="shared" si="520"/>
        <v/>
      </c>
      <c r="OS185" s="43" t="str">
        <f t="shared" si="521"/>
        <v/>
      </c>
      <c r="OT185" s="43" t="str">
        <f t="shared" si="522"/>
        <v/>
      </c>
      <c r="OU185" s="43" t="str">
        <f t="shared" si="523"/>
        <v/>
      </c>
      <c r="OV185" s="110" t="str">
        <f t="shared" si="524"/>
        <v/>
      </c>
      <c r="OW185" s="43" t="str">
        <f t="shared" si="525"/>
        <v/>
      </c>
      <c r="OX185" s="43" t="str">
        <f t="shared" si="526"/>
        <v/>
      </c>
      <c r="OY185" s="43" t="str">
        <f t="shared" si="527"/>
        <v/>
      </c>
      <c r="OZ185" s="43" t="str">
        <f t="shared" si="528"/>
        <v/>
      </c>
      <c r="PA185" s="43" t="str">
        <f t="shared" si="529"/>
        <v/>
      </c>
      <c r="PB185" s="43" t="str">
        <f t="shared" si="530"/>
        <v/>
      </c>
      <c r="PC185" s="43" t="str">
        <f t="shared" si="531"/>
        <v/>
      </c>
      <c r="PD185" s="43" t="str">
        <f t="shared" si="532"/>
        <v/>
      </c>
      <c r="PE185" s="43" t="str">
        <f t="shared" si="533"/>
        <v/>
      </c>
      <c r="PF185" s="43" t="str">
        <f t="shared" si="534"/>
        <v/>
      </c>
      <c r="PG185" s="43" t="str">
        <f t="shared" si="535"/>
        <v/>
      </c>
      <c r="PH185" s="43" t="str">
        <f t="shared" si="536"/>
        <v/>
      </c>
      <c r="PI185" s="43">
        <f t="shared" si="537"/>
        <v>25</v>
      </c>
      <c r="PJ185" s="43" t="str">
        <f t="shared" si="538"/>
        <v/>
      </c>
      <c r="PK185" s="43" t="str">
        <f t="shared" si="539"/>
        <v/>
      </c>
      <c r="PL185" s="43" t="str">
        <f t="shared" si="540"/>
        <v/>
      </c>
      <c r="PM185" s="43" t="str">
        <f t="shared" si="541"/>
        <v/>
      </c>
      <c r="PN185" s="43" t="str">
        <f t="shared" si="542"/>
        <v/>
      </c>
      <c r="PO185" s="43" t="str">
        <f t="shared" si="543"/>
        <v/>
      </c>
      <c r="PP185" s="43" t="str">
        <f t="shared" si="544"/>
        <v/>
      </c>
      <c r="PQ185" s="43" t="str">
        <f t="shared" si="545"/>
        <v/>
      </c>
      <c r="PR185" s="43" t="str">
        <f t="shared" si="546"/>
        <v/>
      </c>
      <c r="PS185" s="43" t="str">
        <f t="shared" si="547"/>
        <v/>
      </c>
      <c r="PT185" s="43" t="str">
        <f t="shared" si="548"/>
        <v/>
      </c>
      <c r="PU185" s="43" t="str">
        <f t="shared" si="549"/>
        <v/>
      </c>
      <c r="PV185" s="43" t="str">
        <f t="shared" si="550"/>
        <v/>
      </c>
      <c r="PW185" s="43" t="str">
        <f t="shared" si="551"/>
        <v/>
      </c>
      <c r="PX185" s="43" t="str">
        <f t="shared" si="552"/>
        <v/>
      </c>
      <c r="PY185" s="43" t="str">
        <f t="shared" si="553"/>
        <v/>
      </c>
      <c r="PZ185" s="43" t="str">
        <f t="shared" si="554"/>
        <v>NORMAL</v>
      </c>
      <c r="QA185" s="43" t="str">
        <f t="shared" si="555"/>
        <v/>
      </c>
      <c r="QB185" s="43" t="str">
        <f t="shared" si="556"/>
        <v/>
      </c>
      <c r="QC185" s="43" t="str">
        <f t="shared" si="557"/>
        <v/>
      </c>
      <c r="QD185" s="43" t="str">
        <f t="shared" si="558"/>
        <v/>
      </c>
      <c r="QE185" s="43" t="str">
        <f t="shared" si="559"/>
        <v/>
      </c>
      <c r="QF185" s="43" t="str">
        <f t="shared" si="560"/>
        <v/>
      </c>
      <c r="QG185" s="43" t="str">
        <f t="shared" si="561"/>
        <v/>
      </c>
      <c r="QH185" s="43" t="str">
        <f t="shared" si="562"/>
        <v/>
      </c>
      <c r="QI185" s="43" t="str">
        <f t="shared" si="563"/>
        <v/>
      </c>
      <c r="QJ185" s="43" t="str">
        <f t="shared" si="564"/>
        <v/>
      </c>
      <c r="QK185" s="43" t="str">
        <f t="shared" si="565"/>
        <v/>
      </c>
      <c r="QL185" s="43" t="str">
        <f t="shared" si="566"/>
        <v/>
      </c>
      <c r="QM185" s="43" t="str">
        <f t="shared" si="567"/>
        <v/>
      </c>
      <c r="QN185" s="43" t="str">
        <f t="shared" si="568"/>
        <v/>
      </c>
      <c r="QO185" s="43" t="str">
        <f t="shared" si="569"/>
        <v/>
      </c>
      <c r="QP185" s="43" t="str">
        <f t="shared" si="570"/>
        <v/>
      </c>
      <c r="QQ185" s="43" t="str">
        <f t="shared" si="571"/>
        <v/>
      </c>
      <c r="QR185" s="43">
        <f t="shared" si="672"/>
        <v>25</v>
      </c>
      <c r="QS185" s="43"/>
      <c r="QT185" s="21" t="str">
        <f t="shared" si="572"/>
        <v/>
      </c>
      <c r="QU185" s="21" t="str">
        <f t="shared" si="573"/>
        <v/>
      </c>
      <c r="QV185" s="21" t="str">
        <f t="shared" si="574"/>
        <v/>
      </c>
      <c r="QW185" s="21" t="str">
        <f t="shared" si="575"/>
        <v/>
      </c>
      <c r="QX185" s="21" t="str">
        <f t="shared" si="576"/>
        <v/>
      </c>
      <c r="QY185" s="21" t="str">
        <f t="shared" si="577"/>
        <v/>
      </c>
      <c r="QZ185" s="21" t="str">
        <f t="shared" si="578"/>
        <v/>
      </c>
      <c r="RA185" s="21" t="str">
        <f t="shared" si="579"/>
        <v/>
      </c>
      <c r="RB185" s="21" t="str">
        <f t="shared" si="580"/>
        <v/>
      </c>
      <c r="RC185" s="21" t="str">
        <f t="shared" si="581"/>
        <v/>
      </c>
      <c r="RD185" s="21" t="str">
        <f t="shared" si="582"/>
        <v/>
      </c>
      <c r="RE185" s="21" t="str">
        <f t="shared" si="583"/>
        <v/>
      </c>
      <c r="RF185" s="21" t="str">
        <f t="shared" si="584"/>
        <v>ALTO PARA EDAD GESTACIONAL</v>
      </c>
      <c r="RG185" s="21" t="str">
        <f t="shared" si="585"/>
        <v/>
      </c>
      <c r="RH185" s="21" t="str">
        <f t="shared" si="586"/>
        <v/>
      </c>
      <c r="RI185" s="21" t="str">
        <f t="shared" si="587"/>
        <v/>
      </c>
      <c r="RJ185" s="21" t="str">
        <f t="shared" si="588"/>
        <v/>
      </c>
      <c r="RK185" s="21" t="str">
        <f t="shared" si="589"/>
        <v/>
      </c>
      <c r="RL185" s="21" t="str">
        <f t="shared" si="590"/>
        <v/>
      </c>
      <c r="RM185" s="21" t="str">
        <f t="shared" si="591"/>
        <v/>
      </c>
      <c r="RN185" s="21" t="str">
        <f t="shared" si="592"/>
        <v/>
      </c>
      <c r="RO185" s="21" t="str">
        <f t="shared" si="593"/>
        <v/>
      </c>
      <c r="RP185" s="21" t="str">
        <f t="shared" si="594"/>
        <v/>
      </c>
      <c r="RQ185" s="21" t="str">
        <f t="shared" si="595"/>
        <v/>
      </c>
      <c r="RR185" s="21" t="str">
        <f t="shared" si="596"/>
        <v/>
      </c>
      <c r="RS185" s="21" t="str">
        <f t="shared" si="597"/>
        <v/>
      </c>
      <c r="RT185" s="21" t="str">
        <f t="shared" si="598"/>
        <v/>
      </c>
      <c r="RU185" s="21" t="str">
        <f t="shared" si="599"/>
        <v/>
      </c>
      <c r="RV185" s="21">
        <f t="shared" si="600"/>
        <v>-1</v>
      </c>
      <c r="RW185" s="284">
        <f>IF(OR(Tabla1[[#This Row],[FUM FORMULA CONFIABLE]]="",Tabla1[[#This Row],[FUM FORMULA CONFIABLE]]="SD"),"",IF(Tabla1[[#This Row],[FUM FORMULA CONFIABLE]]="CORREGIDA",Tabla1[[#This Row],[FUM X ECO 1]],Tabla1[[#This Row],[FUM x AMENORREA]]))</f>
        <v>44965.599999999999</v>
      </c>
      <c r="RX185" s="21">
        <f>IF(AND(Tabla1[[#This Row],[FUM X ECO 1]]="",Tabla1[[#This Row],[FUM x AMENORREA]]=""),"",IF(AND(Tabla1[[#This Row],[FUM X ECO 1]]="",Tabla1[[#This Row],[FUM x AMENORREA]]&lt;&gt;""),"X",SUM(Tabla1[[#This Row],[FUM X ECO 1]]-Tabla1[[#This Row],[FUM x AMENORREA]])))</f>
        <v>39.599999999998545</v>
      </c>
      <c r="RY185" s="21">
        <f t="shared" si="673"/>
        <v>1</v>
      </c>
    </row>
    <row r="186" spans="1:493" ht="45" customHeight="1" x14ac:dyDescent="0.25">
      <c r="A186" s="109"/>
      <c r="B186" s="43"/>
      <c r="C186" s="43" t="s">
        <v>845</v>
      </c>
      <c r="D186" s="124"/>
      <c r="E186" s="43" t="s">
        <v>1526</v>
      </c>
      <c r="F186" s="43" t="s">
        <v>1527</v>
      </c>
      <c r="G186" s="43" t="s">
        <v>1528</v>
      </c>
      <c r="H186" s="43" t="s">
        <v>1281</v>
      </c>
      <c r="I186" s="109" t="s">
        <v>1094</v>
      </c>
      <c r="J186" s="110">
        <v>1059596250</v>
      </c>
      <c r="K186" s="43" t="s">
        <v>852</v>
      </c>
      <c r="L186" s="175" t="s">
        <v>1516</v>
      </c>
      <c r="M186" s="22">
        <v>38773</v>
      </c>
      <c r="N186" s="213">
        <f t="shared" ca="1" si="601"/>
        <v>17.695890410958903</v>
      </c>
      <c r="O186" s="22">
        <v>45051</v>
      </c>
      <c r="P186" s="214" t="str">
        <f t="shared" si="675"/>
        <v>SI</v>
      </c>
      <c r="Q186" s="26" t="s">
        <v>855</v>
      </c>
      <c r="R186" s="22">
        <v>45051</v>
      </c>
      <c r="S186" s="21" t="s">
        <v>856</v>
      </c>
      <c r="T186" s="24" t="s">
        <v>690</v>
      </c>
      <c r="U186" s="21" t="s">
        <v>857</v>
      </c>
      <c r="V186" s="21" t="s">
        <v>858</v>
      </c>
      <c r="W186" s="21" t="s">
        <v>999</v>
      </c>
      <c r="X186" s="21"/>
      <c r="Y186" s="21"/>
      <c r="Z186" s="21"/>
      <c r="AA186" s="21" t="s">
        <v>860</v>
      </c>
      <c r="AB186" s="27" t="s">
        <v>861</v>
      </c>
      <c r="AC186" s="26" t="s">
        <v>877</v>
      </c>
      <c r="AD186" s="38" t="s">
        <v>865</v>
      </c>
      <c r="AE186" s="26" t="s">
        <v>854</v>
      </c>
      <c r="AF186" s="26" t="s">
        <v>854</v>
      </c>
      <c r="AG186" s="23" t="s">
        <v>864</v>
      </c>
      <c r="AH186" s="23" t="s">
        <v>864</v>
      </c>
      <c r="AI186" s="24" t="s">
        <v>863</v>
      </c>
      <c r="AJ186" s="23" t="s">
        <v>864</v>
      </c>
      <c r="AK186" s="220" t="str">
        <f>IF(AND(AD186="",AE186="",AF186="",AG186="",AH186="",AI186="",AJ186=""),"",IF(OR(Tabla1[[#This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EVALUACIÓN",IF(AND(O186="",R186=""),"",IF(AND(OR(O186&gt;0,R186&gt;0),NG186&gt;=0,NG186&lt;2),"SIN RIESGO",IF(AND(OR(O186&gt;0,R186&gt;0),NG186&gt;=2),"CON RIESGO","ASD")))))</f>
        <v>COMPLETAR EVALUACIÓN</v>
      </c>
      <c r="AL186" s="23" t="s">
        <v>864</v>
      </c>
      <c r="AM186" s="26" t="s">
        <v>864</v>
      </c>
      <c r="AN186" s="26" t="s">
        <v>864</v>
      </c>
      <c r="AO186" s="26" t="s">
        <v>864</v>
      </c>
      <c r="AP186" s="26" t="s">
        <v>864</v>
      </c>
      <c r="AQ186" s="26" t="s">
        <v>864</v>
      </c>
      <c r="AR186" s="26" t="s">
        <v>864</v>
      </c>
      <c r="AS186" s="21">
        <v>0</v>
      </c>
      <c r="AT186" s="21">
        <v>0</v>
      </c>
      <c r="AU186" s="21">
        <v>0</v>
      </c>
      <c r="AV186" s="26" t="s">
        <v>864</v>
      </c>
      <c r="AW186" s="21">
        <v>0</v>
      </c>
      <c r="AX186" s="26" t="s">
        <v>864</v>
      </c>
      <c r="AY186" s="26" t="s">
        <v>864</v>
      </c>
      <c r="AZ186" s="26" t="s">
        <v>864</v>
      </c>
      <c r="BA186" s="26" t="s">
        <v>864</v>
      </c>
      <c r="BB186" s="26" t="s">
        <v>864</v>
      </c>
      <c r="BC186" s="26" t="s">
        <v>864</v>
      </c>
      <c r="BD186" s="26" t="s">
        <v>864</v>
      </c>
      <c r="BE186" s="26" t="s">
        <v>864</v>
      </c>
      <c r="BF186" s="26" t="s">
        <v>864</v>
      </c>
      <c r="BG186" s="26" t="s">
        <v>864</v>
      </c>
      <c r="BH186" s="26" t="s">
        <v>864</v>
      </c>
      <c r="BI186" s="26" t="s">
        <v>864</v>
      </c>
      <c r="BJ186" s="26"/>
      <c r="BK186" s="26"/>
      <c r="BL186" s="26" t="s">
        <v>864</v>
      </c>
      <c r="BM186" s="26" t="s">
        <v>864</v>
      </c>
      <c r="BN186" s="22"/>
      <c r="BO186" s="22">
        <v>44889</v>
      </c>
      <c r="BP186" s="21" t="s">
        <v>864</v>
      </c>
      <c r="BQ186" s="222">
        <f t="shared" si="602"/>
        <v>0</v>
      </c>
      <c r="BR186" s="223" t="str">
        <f t="shared" si="603"/>
        <v/>
      </c>
      <c r="BS186" s="224">
        <f t="shared" si="604"/>
        <v>23.142857142857142</v>
      </c>
      <c r="BT186" s="216" t="str">
        <f t="shared" si="605"/>
        <v>DEFINIR CON ECO</v>
      </c>
      <c r="BU186" s="214" t="str">
        <f t="shared" ca="1" si="606"/>
        <v/>
      </c>
      <c r="BV186" s="25"/>
      <c r="BW186" s="22"/>
      <c r="BX186" s="28"/>
      <c r="BY186" s="28"/>
      <c r="BZ186" s="22"/>
      <c r="CA186" s="21"/>
      <c r="CB186" s="26"/>
      <c r="CC186" s="26"/>
      <c r="CD186" s="26"/>
      <c r="CE186" s="26"/>
      <c r="CF186" s="22" t="s">
        <v>1517</v>
      </c>
      <c r="CG186" s="21">
        <v>1.59</v>
      </c>
      <c r="CH186" s="21">
        <v>73.3</v>
      </c>
      <c r="CI186" s="214">
        <f t="shared" si="607"/>
        <v>28.994106245797234</v>
      </c>
      <c r="CJ186" s="225" t="e">
        <f>IF(AND(CI186&lt;10,CH186="SD"),"SIN DATO PESO PREGESTACION O I TRIM",IF(AND(OR(R186&gt;0,O186&gt;0),CI186="X"),"INGRESAR DATO DE PESO",IF(CI186="SD","INGRESAR DATO DE TALLA Y PESO",IF(AND(OR(Tabla1[[#This Row],[MOMENTO EN QUE SE REALIZA EL PESO AL INGRESO A CPN]]="PREGESTACIÓN",NZ186="Menor"),CI186&lt;18.5),"BAJO PESO",IF(AND(OR(Tabla1[[#This Row],[MOMENTO EN QUE SE REALIZA EL PESO AL INGRESO A CPN]]="PREGESTACIÓN",NZ186="Menor"),CI186&lt;25),"NORMAL",IF(AND(OR(Tabla1[[#This Row],[MOMENTO EN QUE SE REALIZA EL PESO AL INGRESO A CPN]]="PREGESTACIÓN",NZ186="Menor"),CI186&lt;30),"SOBREPESO",IF(AND(OR(Tabla1[[#This Row],[MOMENTO EN QUE SE REALIZA EL PESO AL INGRESO A CPN]]="PREGESTACIÓN",NZ186="Menor"),CI186&gt;=30,CI186&lt;50),"OBESIDAD",IF(AND(BS186&gt;0,Tabla1[[#This Row],[MOMENTO EN QUE SE REALIZA EL PESO AL INGRESO A CPN]]="GESTACIÓN"),HLOOKUP(NZ186,$OA$2:PH186,NY186),""))))))))</f>
        <v>#REF!</v>
      </c>
      <c r="CK186" s="212">
        <f t="shared" si="608"/>
        <v>45051</v>
      </c>
      <c r="CL186" s="21">
        <v>73.3</v>
      </c>
      <c r="CM186" s="214">
        <f t="shared" si="609"/>
        <v>28.994106245797234</v>
      </c>
      <c r="CN186" s="216">
        <f t="shared" si="610"/>
        <v>23</v>
      </c>
      <c r="CO186" s="216" t="e">
        <f>IF(PI186="","",IF(PI186&gt;0,HLOOKUP(PI186,$PJ$2:QQ186,NY186),""))</f>
        <v>#REF!</v>
      </c>
      <c r="CP186" s="21">
        <v>30</v>
      </c>
      <c r="CQ186" s="216" t="e">
        <f>IF(QR186="Menor","NO APLICA-MENOR 13 SEM",IF(AND(CC186="SI",CN186&gt;23),"NO APLICA- GEMELAR",IF(QR186="","",IF(QR186&gt;0,HLOOKUP(QR186,$QS$2:RU186,NY186),""))))</f>
        <v>#REF!</v>
      </c>
      <c r="CR186" s="21"/>
      <c r="CS186" s="21"/>
      <c r="CT186" s="217" t="str">
        <f>IF(R186="","",IF(AND(BS186&gt;1,BS186&lt;12,Tabla1[[#This Row],[T.A. SISTOLICA - ANTES DE SEMANA 12]]="",Tabla1[[#This Row],[T.A. DIASTOLICA - ANTES DE SEMANA 12]]=""),"REGISTRE DATO TA ANTES SEMANA 12",IF(AND(BS186&gt;11,BS186&lt;43,Tabla1[[#This Row],[T.A. SISTOLICA - ANTES DE SEMANA 12]]="",Tabla1[[#This Row],[T.A. DIASTOLICA - ANTES DE SEMANA 12]]=""),"NO APLICA REGISTRO TA-INGRESO TARDIO",IF(AND(OR(O186&gt;0,R186&gt;0),OR(CR186&gt;=140,CS186&gt;=90)),"DEFINIR ESTADIO HTA",IF(AND(OR(O186&gt;0,R186&gt;0),AND(CR186&gt;120,CR186&lt;=139)),"PRE HTA SEGUIMIENTO",IF(AND(OR(O186&gt;0,R186&gt;0),AND(CS186&gt;80,CS186&lt;=89)),"PRE HTA SEGUIMIENTO",IF(AND(OR(O186&gt;0,R186&gt;0),AND(CR186&gt;=80,CR186&lt;=120)),"APARENTEMENTE NORMAL",IF(AND(OR(O186&gt;0,R186&gt;0),AND(CS186&gt;=50,CS186&lt;=80)),"APARENTEMENTE NORMAL",IF(AND(OR(O186&gt;0,R186&gt;0),AND(CR186&gt;1,CR186&lt;=70),AND(CS186&gt;1,CS186&lt;=40)),"HIPOTENSIÓN","")))))))))</f>
        <v>NO APLICA REGISTRO TA-INGRESO TARDIO</v>
      </c>
      <c r="CU186" s="21"/>
      <c r="CV186" s="21"/>
      <c r="CW186" s="217" t="str">
        <f>IF(R186="","",IF(AND(CN186&gt;19,CN186&lt;27,Tabla1[[#This Row],[T.A. SISTOLICA (Entre semana 20 y 26)]]="",Tabla1[[#This Row],[T.A. DIATOLICA (Entre semana 20 y 26)]]=""),"ACUDE A CONTROL SEM 20 A 26 REGISTRE TA AHORA",IF(AND(BS186&gt;1,BS186&lt;27,BU186&gt;19,Tabla1[[#This Row],[T.A. SISTOLICA (Entre semana 20 y 26)]]="",Tabla1[[#This Row],[T.A. DIATOLICA (Entre semana 20 y 26)]]=""),"COMPLETE REGISTRO TA CONTROL SEM 20 A26 ",IF(AND(BS186&gt;26,BS186&lt;43,Tabla1[[#This Row],[T.A. SISTOLICA (Entre semana 20 y 26)]]="",Tabla1[[#This Row],[T.A. DIATOLICA (Entre semana 20 y 26)]]=""),"NO APLICA REGISTRO TA-INGRESO TARDIO",IF(AND(OR(O186&gt;0,R186&gt;0),OR(CU186&gt;=140,CV186&gt;=90)),"ALTO RIESGO PREECLAMPSIA,DEFINIR ESTADIO HTA",IF(AND(OR(O186&gt;0,R186&gt;0),AND(CU186&gt;120,CU186&lt;=139)),"PRE HTA SEGUIMIENTO,RIESGO HIPERTENSION INDUCIDA POR EL EMBARAZO",IF(AND(OR(O186&gt;0,R186&gt;0),AND(CV186&gt;80,CV186&lt;=89)),"PRE HTA SEGUIMIENTO, RIESGO HIPERTENSION INDUCIDA POR EL EMBARAZO",IF(AND(OR(O186&lt;&gt;"",R186&lt;&gt;""),CS186&lt;&gt;"",CV186&lt;&gt;"",CS186&lt;=CV186),"VIGILAR CIFRAS PRESION ARTERIAL",IF(AND(OR(O186&gt;0,R186&gt;0),AND(CU186&gt;120,CU186&lt;=139)),"PRE HTA SEGUIMIENTO",IF(AND(OR(O186&gt;0,R186&gt;0),AND(CU186&gt;1,CU186&lt;=70),AND(CV186&gt;1,CV186&lt;=40)),"HIPOTENSIÓN",IF(AND(OR(O186&lt;&gt;"",R186&lt;&gt;""),CS186&lt;&gt;"",CV186&lt;&gt;"",CS186&gt;CV186),"APARENTEMENTE NORMAL",IF(AND(OR(O186&gt;0,R186&gt;0),AND(CU186&gt;=80,CU186&lt;=120)),"APARENTEMENTE NORMAL",IF(AND(OR(O186&gt;0,R186&gt;0),AND(CV186&gt;=50,CV186&lt;=80)),"APARENTEMENTE NORMAL","")))))))))))))</f>
        <v>ACUDE A CONTROL SEM 20 A 26 REGISTRE TA AHORA</v>
      </c>
      <c r="CX186" s="21"/>
      <c r="CY186" s="21"/>
      <c r="CZ186" s="216" t="str">
        <f t="shared" si="729"/>
        <v/>
      </c>
      <c r="DA186" s="21">
        <v>100</v>
      </c>
      <c r="DB186" s="21">
        <v>60</v>
      </c>
      <c r="DC186" s="217" t="str">
        <f t="shared" si="611"/>
        <v>APARENTEMENTE NORMAL</v>
      </c>
      <c r="DD186" s="22">
        <v>45051</v>
      </c>
      <c r="DE186" s="22">
        <v>45051</v>
      </c>
      <c r="DF186" s="22"/>
      <c r="DG186" s="22"/>
      <c r="DH186" s="22"/>
      <c r="DI186" s="22"/>
      <c r="DJ186" s="22"/>
      <c r="DK186" s="22"/>
      <c r="DL186" s="22"/>
      <c r="DM186" s="22"/>
      <c r="DN186" s="22"/>
      <c r="DO186" s="22"/>
      <c r="DP186" s="22"/>
      <c r="DQ186" s="22"/>
      <c r="DR186" s="28">
        <v>0</v>
      </c>
      <c r="DS186" s="22"/>
      <c r="DT186" s="22"/>
      <c r="DU186" s="216" t="str">
        <f t="shared" ca="1" si="676"/>
        <v>SALE PROGRAMA ANTES SEMANA 35</v>
      </c>
      <c r="DV186" s="226" t="str">
        <f t="shared" si="677"/>
        <v>SALIO PROGRAMA</v>
      </c>
      <c r="DW186"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86" s="216" t="str">
        <f t="shared" ca="1" si="612"/>
        <v/>
      </c>
      <c r="DY186" s="212">
        <f>IF(R186="","",IF(R186&gt;0,MAX(Tabla1[[#This Row],[FECHA C2]:[FECHA C13]],Tabla1[[#This Row],[FECHA CONSULTA PRIMERA VEZ PROGRAMA CPN ]])))</f>
        <v>45051</v>
      </c>
      <c r="DZ186" s="216">
        <f t="shared" si="613"/>
        <v>23</v>
      </c>
      <c r="EA186" s="222">
        <f>IF(R186&gt;0,SUM(COUNTA(DF186:DQ186)+COUNTA(Tabla1[[#This Row],[FECHA CONSULTA PRIMERA VEZ PROGRAMA CPN ]])),"")</f>
        <v>1</v>
      </c>
      <c r="EB186" s="222" t="str">
        <f t="shared" si="614"/>
        <v>NO</v>
      </c>
      <c r="EC186" s="214">
        <f t="shared" si="615"/>
        <v>6</v>
      </c>
      <c r="ED186" s="227">
        <f t="shared" si="616"/>
        <v>0.16666666666666666</v>
      </c>
      <c r="EE186" s="22">
        <v>45051</v>
      </c>
      <c r="EF186" s="22"/>
      <c r="EG186" s="22">
        <v>45051</v>
      </c>
      <c r="EH186" s="22"/>
      <c r="EI186" s="22">
        <v>45051</v>
      </c>
      <c r="EJ186" s="22"/>
      <c r="EK186" s="22"/>
      <c r="EL186" s="21"/>
      <c r="EM186" s="21"/>
      <c r="EN186" s="22"/>
      <c r="EO186" s="222" t="str">
        <f t="shared" si="617"/>
        <v>TOMAR EXAMEN</v>
      </c>
      <c r="EP186" s="214" t="str">
        <f t="shared" si="618"/>
        <v/>
      </c>
      <c r="EQ186" s="216" t="str">
        <f t="shared" si="619"/>
        <v>POR DEFINIR</v>
      </c>
      <c r="ER186" s="24"/>
      <c r="ES186" s="22"/>
      <c r="ET186" s="29" t="str">
        <f t="shared" ca="1" si="678"/>
        <v>SALE SIN TAMIZAJE HEMOGLOBINA SEM 28</v>
      </c>
      <c r="EU186" s="25" t="str">
        <f t="shared" si="620"/>
        <v/>
      </c>
      <c r="EV186" s="24"/>
      <c r="EW186" s="24"/>
      <c r="EX186" s="22"/>
      <c r="EY186" s="29" t="str">
        <f t="shared" si="693"/>
        <v>TOMAR EXAMEN</v>
      </c>
      <c r="EZ186" s="25" t="str">
        <f t="shared" ca="1" si="694"/>
        <v/>
      </c>
      <c r="FA186" s="21"/>
      <c r="FB186" s="22"/>
      <c r="FC186" s="29" t="str">
        <f t="shared" si="621"/>
        <v>TOMAR EXAMEN</v>
      </c>
      <c r="FD186" s="29"/>
      <c r="FE186" s="29"/>
      <c r="FF186" s="29"/>
      <c r="FG186" s="21" t="str">
        <f t="shared" ca="1" si="622"/>
        <v/>
      </c>
      <c r="FH186" s="31"/>
      <c r="FI186" s="29" t="str">
        <f t="shared" si="623"/>
        <v>TOMAR EXAMEN</v>
      </c>
      <c r="FJ186" s="22"/>
      <c r="FK186" s="22"/>
      <c r="FL186" s="29" t="str">
        <f t="shared" ca="1" si="624"/>
        <v>NO APLICA-INGRESO TARDIO</v>
      </c>
      <c r="FM186" s="22"/>
      <c r="FN186" s="32"/>
      <c r="FO186" s="29" t="str">
        <f t="shared" ca="1" si="679"/>
        <v>PIERDE TOMA DE TAMIZAJE</v>
      </c>
      <c r="FP186" s="22"/>
      <c r="FQ186" s="32"/>
      <c r="FR186" s="29" t="str">
        <f t="shared" ca="1" si="680"/>
        <v>PIERDE TOMA DE TAMIZAJE</v>
      </c>
      <c r="FS186" s="22"/>
      <c r="FT186" s="32"/>
      <c r="FU186" s="29" t="str">
        <f>IF(AND(FJ186="",FM186="",FP186="",FS186=""),"",IF(OR(OR(Tabla1[[#This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86" s="28"/>
      <c r="FW186" s="22"/>
      <c r="FX186" s="29" t="str">
        <f t="shared" si="625"/>
        <v>TOMAR EXAMEN</v>
      </c>
      <c r="FY186" s="22"/>
      <c r="FZ186" s="22"/>
      <c r="GA186" s="29" t="str">
        <f t="shared" ca="1" si="692"/>
        <v>NO APLICA-INGRESO TARDIO</v>
      </c>
      <c r="GB186" s="22"/>
      <c r="GC186" s="22"/>
      <c r="GD186" s="29" t="str">
        <f t="shared" ca="1" si="732"/>
        <v>PIERDE TOMA DE TAMIZAJE</v>
      </c>
      <c r="GE186" s="22"/>
      <c r="GF186" s="22"/>
      <c r="GG186" s="29" t="str">
        <f t="shared" ca="1" si="682"/>
        <v>PIERDE TOMA DE TAMIZAJE</v>
      </c>
      <c r="GH186" s="22"/>
      <c r="GI186" s="29"/>
      <c r="GJ186" s="22"/>
      <c r="GK186" s="22"/>
      <c r="GL186" s="22"/>
      <c r="GM186" s="22"/>
      <c r="GN186" s="28"/>
      <c r="GO186" s="22"/>
      <c r="GP186" s="29" t="str">
        <f t="shared" si="626"/>
        <v>TOMAR EXAMEN</v>
      </c>
      <c r="GQ186" s="28"/>
      <c r="GR186" s="28"/>
      <c r="GS186" s="22" t="str">
        <f t="shared" si="728"/>
        <v/>
      </c>
      <c r="GT186" s="22"/>
      <c r="GU186" s="29" t="str">
        <f t="shared" si="628"/>
        <v>TOMAR EXAMEN</v>
      </c>
      <c r="GV186" s="21" t="str">
        <f t="shared" si="629"/>
        <v>POR DEFINIR</v>
      </c>
      <c r="GW186" s="28"/>
      <c r="GX186" s="30"/>
      <c r="GY186" s="21"/>
      <c r="GZ186" s="21"/>
      <c r="HA186" s="21"/>
      <c r="HB186" s="21"/>
      <c r="HC186" s="21"/>
      <c r="HD186" s="21"/>
      <c r="HE186" s="21"/>
      <c r="HF186" s="22"/>
      <c r="HG186" s="22" t="str">
        <f>IF(OR(O186&gt;0,R186&gt;0),CONCATENATE(IF(Tabla1[[#This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86" s="22" t="e">
        <f t="shared" si="630"/>
        <v>#REF!</v>
      </c>
      <c r="HI186" s="22" t="e">
        <f t="shared" ca="1" si="631"/>
        <v>#REF!</v>
      </c>
      <c r="HJ186" s="21" t="str">
        <f t="shared" ca="1" si="632"/>
        <v>**********************MULTIPARIDAD*****************</v>
      </c>
      <c r="HK186" s="21" t="str">
        <f t="shared" si="633"/>
        <v>SIN ANTECEDENTES DE RIESGO</v>
      </c>
      <c r="HL186" s="24" t="str">
        <f t="shared" si="634"/>
        <v>APARENTEMENTE NORMAL</v>
      </c>
      <c r="HM186" s="21" t="str">
        <f t="shared" ca="1" si="635"/>
        <v/>
      </c>
      <c r="HN186" s="30" t="str">
        <f t="shared" si="683"/>
        <v>SALIO PROGRAMA</v>
      </c>
      <c r="HO186" s="21"/>
      <c r="HP186" s="21"/>
      <c r="HQ186" s="21"/>
      <c r="HR186" s="21" t="str">
        <f>IF(R186="","",IF(Tabla1[[#This Row],[ALARMA FACTORES DE RIESGO COMPLICACIONES HIPERTENSIVAS3]]="SIN ANTECEDENTES DE RIESGO","No Aplica para suministro de ASA",IF(AND(Tabla1[[#This Row],[FECHA INICIO DE SUMINISTRO DE ASA]]&gt;0,RV186&lt;12),"Inicia ASA ANTES de Sem 12",IF(AND(RV186&gt;11,RV186&lt;17,OR(HK186="RIESGO ALTO DE COMPLICACIONES HIPERTENSIVAS VER MANEJO GUIA SUMINISTRO ASA Y CALCIO",HK186="RIESGO MODERADO (2 O MAS CRITERIOS) VER MANEJO GUIA SUMINISTRO ASA Y CALCIO")),"Inicio oportuno de ASA",IF(AND(RV186&gt;12,OR(HK186="RIESGO ALTO DE COMPLICACIONES HIPERTENSIVAS VER MANEJO GUIA SUMINISTRO ASA Y CALCIO",HK186="RIESGO MODERADO (2 O MAS CRITERIOS) VER MANEJO GUIA SUMINISTRO ASA Y CALCIO")),"Inicio no oportuno mayor a 16 semanas",IF(AND(BU186&lt;12,OR(HK186="RIESGO ALTO DE COMPLICACIONES HIPERTENSIVAS VER MANEJO GUIA SUMINISTRO ASA Y CALCIO",HK186="RIESGO MODERADO (2 O MAS CRITERIOS) VER MANEJO GUIA SUMINISTRO ASA Y CALCIO")),"Pendiente Inicio de ASA a la semana 12",IF(AND(BU186&gt;11,BU186&lt;17,OR(HK186="RIESGO ALTO DE COMPLICACIONES HIPERTENSIVAS VER MANEJO GUIA SUMINISTRO ASA Y CALCIO",HK186="RIESGO MODERADO (2 O MAS CRITERIOS) VER MANEJO GUIA SUMINISTRO ASA Y CALCIO")),"Iniciar de inmediato ASA",IF(AND(BU186&gt;16,OR(HK186="RIESGO ALTO DE COMPLICACIONES HIPERTENSIVAS VER MANEJO GUIA SUMINISTRO ASA Y CALCIO",HK186="RIESGO MODERADO (2 O MAS CRITERIOS) VER MANEJO GUIA SUMINISTRO ASA Y CALCIO")),"Pierde Oportunidad, Inicio tardío de ASA","XXXXX"))))))))</f>
        <v>No Aplica para suministro de ASA</v>
      </c>
      <c r="HS186" s="22">
        <v>45051</v>
      </c>
      <c r="HT186" s="22" t="s">
        <v>1518</v>
      </c>
      <c r="HU186" s="22">
        <v>45051</v>
      </c>
      <c r="HV186" s="22" t="s">
        <v>1523</v>
      </c>
      <c r="HW186" s="22">
        <v>45051</v>
      </c>
      <c r="HX186" s="22" t="s">
        <v>1529</v>
      </c>
      <c r="HY186" s="22">
        <v>45051</v>
      </c>
      <c r="HZ186" s="28">
        <f t="shared" si="636"/>
        <v>23.142857142857142</v>
      </c>
      <c r="IA186" s="26"/>
      <c r="IB186" s="26"/>
      <c r="IC186" s="111"/>
      <c r="ID186" s="22"/>
      <c r="IE186" s="22" t="str">
        <f t="shared" ca="1" si="637"/>
        <v>SALE SIN VACUNA</v>
      </c>
      <c r="IF186" s="22"/>
      <c r="IG186" s="22">
        <f t="shared" si="638"/>
        <v>45169</v>
      </c>
      <c r="IH186" s="29">
        <f t="shared" ca="1" si="639"/>
        <v>-63</v>
      </c>
      <c r="II186" s="22" t="str">
        <f t="shared" ca="1" si="640"/>
        <v>POSIBLEMENTE NACIO</v>
      </c>
      <c r="IJ186" s="22"/>
      <c r="IK186" s="21" t="s">
        <v>898</v>
      </c>
      <c r="IL186" s="21"/>
      <c r="IM186" s="34"/>
      <c r="IN186" s="349">
        <v>45107</v>
      </c>
      <c r="IO186" s="21" t="s">
        <v>1640</v>
      </c>
      <c r="IP186" s="29">
        <f t="shared" si="730"/>
        <v>31.142857142857142</v>
      </c>
      <c r="IQ186" s="35"/>
      <c r="IR186" s="21" t="s">
        <v>879</v>
      </c>
      <c r="IS186" s="21" t="s">
        <v>1641</v>
      </c>
      <c r="IT186" s="21" t="s">
        <v>1642</v>
      </c>
      <c r="IU186" s="21"/>
      <c r="IV186" s="21"/>
      <c r="IW186" s="21"/>
      <c r="IX186" s="21"/>
      <c r="IY186" s="21"/>
      <c r="IZ186" s="21"/>
      <c r="JA186" s="21"/>
      <c r="JB186" s="30">
        <v>1</v>
      </c>
      <c r="JC186" s="21" t="s">
        <v>1643</v>
      </c>
      <c r="JD186" s="36">
        <v>3395</v>
      </c>
      <c r="JE186" s="21" t="str">
        <f t="shared" si="733"/>
        <v>ERROR VERIFICAR DATO EDAD GESTACIONAL VS PESO</v>
      </c>
      <c r="JF186" s="30"/>
      <c r="JG186" s="21"/>
      <c r="JH186" s="21"/>
      <c r="JI186" s="21"/>
      <c r="JJ186" s="30"/>
      <c r="JK186" s="22"/>
      <c r="JL186" s="22"/>
      <c r="JM186" s="21"/>
      <c r="JN186" s="36"/>
      <c r="JO186" s="21" t="str">
        <f t="shared" si="734"/>
        <v/>
      </c>
      <c r="JP186" s="22"/>
      <c r="JQ186" s="21"/>
      <c r="JR186" s="21"/>
      <c r="JS186" s="21"/>
      <c r="JT186" s="30"/>
      <c r="JU186" s="22"/>
      <c r="JV186" s="22"/>
      <c r="JW186" s="33"/>
      <c r="JX186" s="28" t="str">
        <f t="shared" si="735"/>
        <v>INASISTENTE</v>
      </c>
      <c r="JY186" s="33"/>
      <c r="JZ186" s="28" t="str">
        <f t="shared" si="736"/>
        <v>INASISTENTE</v>
      </c>
      <c r="KA186" s="21"/>
      <c r="KB186" s="21"/>
      <c r="KC186" s="21"/>
      <c r="KD186" s="37"/>
      <c r="KE186" s="28"/>
      <c r="KF186" s="28"/>
      <c r="KG186" s="28"/>
      <c r="KH186" s="39"/>
      <c r="KI186" s="39"/>
      <c r="KJ186" s="66"/>
      <c r="KK186" s="39"/>
      <c r="KL186" s="39"/>
      <c r="KM186" s="66"/>
      <c r="KN186" s="39"/>
      <c r="KO186" s="39"/>
      <c r="KP186" s="39"/>
      <c r="KQ186" s="39"/>
      <c r="KR186" s="39"/>
      <c r="KS186" s="39"/>
      <c r="KT186" s="39"/>
      <c r="KU186" s="38"/>
      <c r="KV186" s="38"/>
      <c r="KW186" s="38"/>
      <c r="KX186" s="38"/>
      <c r="KY186" s="38"/>
      <c r="KZ186" s="38"/>
      <c r="LA186" s="38"/>
      <c r="LB186" s="38"/>
      <c r="LC186" s="38"/>
      <c r="LD186" s="38"/>
      <c r="LE186" s="38"/>
      <c r="LF186" s="38"/>
      <c r="LG186" s="38"/>
      <c r="LH186" s="38"/>
      <c r="LI186" s="38"/>
      <c r="LJ186" s="38"/>
      <c r="LK186" s="38"/>
      <c r="LL186" s="38"/>
      <c r="LM186" s="38"/>
      <c r="LN186" s="38"/>
      <c r="LO186" s="38"/>
      <c r="LP186" s="38"/>
      <c r="LQ186" s="38"/>
      <c r="LR186" s="38"/>
      <c r="LS186" s="38"/>
      <c r="LT186" s="38"/>
      <c r="LU186" s="38"/>
      <c r="LV186" s="38"/>
      <c r="LW186" s="38"/>
      <c r="LX186" s="38"/>
      <c r="LY186" s="38"/>
      <c r="LZ186" s="38"/>
      <c r="MA186" s="38"/>
      <c r="MB186" s="38"/>
      <c r="MC186" s="38"/>
      <c r="MD186" s="38"/>
      <c r="ME186" s="38"/>
      <c r="MF186" s="38"/>
      <c r="MG186" s="38"/>
      <c r="MH186" s="43">
        <f t="shared" si="697"/>
        <v>0</v>
      </c>
      <c r="MI186" s="43" t="str">
        <f t="shared" si="698"/>
        <v/>
      </c>
      <c r="MJ186" s="43" t="str">
        <f t="shared" si="699"/>
        <v/>
      </c>
      <c r="MK186" s="43">
        <f t="shared" si="700"/>
        <v>0</v>
      </c>
      <c r="ML18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86" s="43">
        <f t="shared" si="701"/>
        <v>23.142857142857142</v>
      </c>
      <c r="MN186" s="43">
        <f t="shared" si="702"/>
        <v>5</v>
      </c>
      <c r="MO186" s="43">
        <f t="shared" si="703"/>
        <v>2023</v>
      </c>
      <c r="MP186" s="43" t="str">
        <f t="shared" si="704"/>
        <v>II TRIMESTRE AÑO</v>
      </c>
      <c r="MQ186" s="43">
        <f t="shared" si="705"/>
        <v>16.945904511607534</v>
      </c>
      <c r="MR186" s="43">
        <f t="shared" si="706"/>
        <v>0</v>
      </c>
      <c r="MS186" s="43" t="str">
        <f t="shared" si="707"/>
        <v>DE 14 A 19AÑOS</v>
      </c>
      <c r="MT186" s="43">
        <f t="shared" si="708"/>
        <v>0</v>
      </c>
      <c r="MU186" s="43">
        <f t="shared" si="709"/>
        <v>1</v>
      </c>
      <c r="MV186" s="43">
        <f t="shared" si="710"/>
        <v>0</v>
      </c>
      <c r="MW186" s="43">
        <f t="shared" si="711"/>
        <v>0</v>
      </c>
      <c r="MX186" s="43" t="str">
        <f t="shared" si="712"/>
        <v/>
      </c>
      <c r="MY186" s="43" t="str">
        <f t="shared" ca="1" si="737"/>
        <v/>
      </c>
      <c r="MZ186" s="43" t="str">
        <f t="shared" si="713"/>
        <v/>
      </c>
      <c r="NA186" s="43" t="str">
        <f t="shared" si="714"/>
        <v/>
      </c>
      <c r="NB186" s="43" t="str">
        <f t="shared" si="715"/>
        <v/>
      </c>
      <c r="NC186" s="43" t="str">
        <f t="shared" si="716"/>
        <v/>
      </c>
      <c r="ND186" s="43">
        <f t="shared" ca="1" si="717"/>
        <v>1</v>
      </c>
      <c r="NE186" s="43">
        <f>IF(OR(O186&gt;0,R186&gt;0),SUM(COUNTIF(Tabla1[[#This Row],[AÑOS AL INICIO5 CPN]],"&gt;=40"),COUNTIF(AS186,"0"),COUNTIF(AR186,"SI"),COUNTIF(CC186,"SI"),COUNTIF(BQ186,"&gt;119"),COUNTIF(CI186,"&gt;=35")),"")</f>
        <v>1</v>
      </c>
      <c r="NF186" s="43" t="str">
        <f t="shared" si="718"/>
        <v/>
      </c>
      <c r="NG186" s="43">
        <f t="shared" si="719"/>
        <v>0</v>
      </c>
      <c r="NH186" s="43" t="str">
        <f t="shared" si="720"/>
        <v/>
      </c>
      <c r="NI186"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CPN",P186="NO"),"Z",IF(AND(Tabla1[[#This Row],[CITA PROXIMO CONTROL]]="CITA MANUAL",Tabla1[[#This Row],[GESTANTES ACTUALES]]="ACTIVA INGRESO A CPN"),"W",IF(AND(Tabla1[[#This Row],[GESTANTES ACTUALES]]="SALIO PROGRAMA",IN186=""),"S",IF(AND(Tabla1[[#This Row],[CITA PROXIMO CONTROL]]&gt;0,IN186=""),(Tabla1[[#This Row],[CITA PROXIMO CONTROL]]-TODAY()),"SD"))))))))</f>
        <v>SD</v>
      </c>
      <c r="NJ186" s="43">
        <f>MONTH(Tabla1[[#This Row],[FECHA DE SALIDA  DEL PROGRAMA]])</f>
        <v>6</v>
      </c>
      <c r="NK186" s="43">
        <f>YEAR(Tabla1[[#This Row],[FECHA DE SALIDA  DEL PROGRAMA]])</f>
        <v>2023</v>
      </c>
      <c r="NL186" s="43" t="str">
        <f t="shared" si="721"/>
        <v>X</v>
      </c>
      <c r="NM186" s="43" t="str">
        <f t="shared" si="695"/>
        <v>NO</v>
      </c>
      <c r="NN186" s="43" t="str">
        <f ca="1">IF(AND(O186&gt;0,R186=""),"NO CPN",IF(AND(O186="",R186=""),"",IF(AND(R186&gt;0,Tabla1[[#This Row],[SEMANAS DE GESTACION ACTUALIZADAS]]&lt;=12),"NO APLICA",IF(AND(FH186&lt;&gt;"",FN186&lt;&gt;""),"SI","NO"))))</f>
        <v>NO</v>
      </c>
      <c r="NO186" s="43" t="str">
        <f ca="1">IF(AND(O186&gt;0,R186=""),"NO CPN",IF(AND(O186="",R186=""),"",IF(AND(R186&gt;0,Tabla1[[#This Row],[SEMANAS DE GESTACION ACTUALIZADAS]]&lt;=27),"NO APLICA",IF(AND(ES186&lt;&gt;"",FQ186&lt;&gt;"",GF186&lt;&gt;""),"SI","NO"))))</f>
        <v>NO</v>
      </c>
      <c r="NP186" s="204" t="str">
        <f t="shared" si="722"/>
        <v>DEFINIR CON ECO</v>
      </c>
      <c r="NQ186" s="21" t="str">
        <f t="shared" si="731"/>
        <v/>
      </c>
      <c r="NR186" s="21">
        <f t="shared" si="738"/>
        <v>2</v>
      </c>
      <c r="NS186" s="205">
        <f t="shared" ca="1" si="723"/>
        <v>0</v>
      </c>
      <c r="NT186" s="21">
        <f t="shared" ca="1" si="724"/>
        <v>0</v>
      </c>
      <c r="NU186" s="21" t="str">
        <f t="shared" ca="1" si="725"/>
        <v>INCOMPLETO</v>
      </c>
      <c r="NV186" s="21" t="str">
        <f t="shared" ca="1" si="726"/>
        <v>INCOMPLETO</v>
      </c>
      <c r="NW186" s="206" t="str">
        <f>IF(AND(O186="",R186=""),"",IF(OR(AND(Tabla1[[#This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86" s="207" t="str">
        <f t="shared" ca="1" si="727"/>
        <v>SIN VACUNAR</v>
      </c>
      <c r="NY186" s="43">
        <f>ROW(Tabla1[[#This Row],['# DE TAMIZAJES SIFILIS TOMADOS ]])</f>
        <v>186</v>
      </c>
      <c r="NZ186" s="43">
        <f t="shared" si="502"/>
        <v>23</v>
      </c>
      <c r="OA186" s="43" t="str">
        <f t="shared" si="503"/>
        <v/>
      </c>
      <c r="OB186" s="43" t="str">
        <f t="shared" si="504"/>
        <v/>
      </c>
      <c r="OC186" s="43" t="str">
        <f t="shared" si="505"/>
        <v/>
      </c>
      <c r="OD186" s="43" t="str">
        <f t="shared" si="506"/>
        <v/>
      </c>
      <c r="OE186" s="43" t="str">
        <f t="shared" si="507"/>
        <v/>
      </c>
      <c r="OF186" s="43" t="str">
        <f t="shared" si="508"/>
        <v/>
      </c>
      <c r="OG186" s="43" t="str">
        <f t="shared" si="509"/>
        <v/>
      </c>
      <c r="OH186" s="43" t="str">
        <f t="shared" si="510"/>
        <v/>
      </c>
      <c r="OI186" s="43" t="str">
        <f t="shared" si="511"/>
        <v/>
      </c>
      <c r="OJ186" s="43" t="str">
        <f t="shared" si="512"/>
        <v/>
      </c>
      <c r="OK186" s="43" t="str">
        <f t="shared" si="513"/>
        <v/>
      </c>
      <c r="OL186" s="43" t="str">
        <f t="shared" si="514"/>
        <v/>
      </c>
      <c r="OM186" s="43" t="str">
        <f t="shared" si="515"/>
        <v/>
      </c>
      <c r="ON186" s="43" t="str">
        <f t="shared" si="516"/>
        <v/>
      </c>
      <c r="OO186" s="43" t="str">
        <f t="shared" si="517"/>
        <v>SOBREPESO</v>
      </c>
      <c r="OP186" s="43" t="str">
        <f t="shared" si="518"/>
        <v/>
      </c>
      <c r="OQ186" s="43" t="str">
        <f t="shared" si="519"/>
        <v/>
      </c>
      <c r="OR186" s="43" t="str">
        <f t="shared" si="520"/>
        <v/>
      </c>
      <c r="OS186" s="43" t="str">
        <f t="shared" si="521"/>
        <v/>
      </c>
      <c r="OT186" s="43" t="str">
        <f t="shared" si="522"/>
        <v/>
      </c>
      <c r="OU186" s="43" t="str">
        <f t="shared" si="523"/>
        <v/>
      </c>
      <c r="OV186" s="110" t="str">
        <f t="shared" si="524"/>
        <v/>
      </c>
      <c r="OW186" s="43" t="str">
        <f t="shared" si="525"/>
        <v/>
      </c>
      <c r="OX186" s="43" t="str">
        <f t="shared" si="526"/>
        <v/>
      </c>
      <c r="OY186" s="43" t="str">
        <f t="shared" si="527"/>
        <v/>
      </c>
      <c r="OZ186" s="43" t="str">
        <f t="shared" si="528"/>
        <v/>
      </c>
      <c r="PA186" s="43" t="str">
        <f t="shared" si="529"/>
        <v/>
      </c>
      <c r="PB186" s="43" t="str">
        <f t="shared" si="530"/>
        <v/>
      </c>
      <c r="PC186" s="43" t="str">
        <f t="shared" si="531"/>
        <v/>
      </c>
      <c r="PD186" s="43" t="str">
        <f t="shared" si="532"/>
        <v/>
      </c>
      <c r="PE186" s="43" t="str">
        <f t="shared" si="533"/>
        <v/>
      </c>
      <c r="PF186" s="43" t="str">
        <f t="shared" si="534"/>
        <v/>
      </c>
      <c r="PG186" s="43" t="str">
        <f t="shared" si="535"/>
        <v/>
      </c>
      <c r="PH186" s="43" t="str">
        <f t="shared" si="536"/>
        <v/>
      </c>
      <c r="PI186" s="43">
        <f t="shared" si="537"/>
        <v>23</v>
      </c>
      <c r="PJ186" s="43" t="str">
        <f t="shared" si="538"/>
        <v/>
      </c>
      <c r="PK186" s="43" t="str">
        <f t="shared" si="539"/>
        <v/>
      </c>
      <c r="PL186" s="43" t="str">
        <f t="shared" si="540"/>
        <v/>
      </c>
      <c r="PM186" s="43" t="str">
        <f t="shared" si="541"/>
        <v/>
      </c>
      <c r="PN186" s="43" t="str">
        <f t="shared" si="542"/>
        <v/>
      </c>
      <c r="PO186" s="43" t="str">
        <f t="shared" si="543"/>
        <v/>
      </c>
      <c r="PP186" s="43" t="str">
        <f t="shared" si="544"/>
        <v/>
      </c>
      <c r="PQ186" s="43" t="str">
        <f t="shared" si="545"/>
        <v/>
      </c>
      <c r="PR186" s="43" t="str">
        <f t="shared" si="546"/>
        <v/>
      </c>
      <c r="PS186" s="43" t="str">
        <f t="shared" si="547"/>
        <v/>
      </c>
      <c r="PT186" s="43" t="str">
        <f t="shared" si="548"/>
        <v/>
      </c>
      <c r="PU186" s="43" t="str">
        <f t="shared" si="549"/>
        <v/>
      </c>
      <c r="PV186" s="43" t="str">
        <f t="shared" si="550"/>
        <v/>
      </c>
      <c r="PW186" s="43" t="str">
        <f t="shared" si="551"/>
        <v/>
      </c>
      <c r="PX186" s="43" t="str">
        <f t="shared" si="552"/>
        <v>SOBREPESO</v>
      </c>
      <c r="PY186" s="43" t="str">
        <f t="shared" si="553"/>
        <v/>
      </c>
      <c r="PZ186" s="43" t="str">
        <f t="shared" si="554"/>
        <v/>
      </c>
      <c r="QA186" s="43" t="str">
        <f t="shared" si="555"/>
        <v/>
      </c>
      <c r="QB186" s="43" t="str">
        <f t="shared" si="556"/>
        <v/>
      </c>
      <c r="QC186" s="43" t="str">
        <f t="shared" si="557"/>
        <v/>
      </c>
      <c r="QD186" s="43" t="str">
        <f t="shared" si="558"/>
        <v/>
      </c>
      <c r="QE186" s="43" t="str">
        <f t="shared" si="559"/>
        <v/>
      </c>
      <c r="QF186" s="43" t="str">
        <f t="shared" si="560"/>
        <v/>
      </c>
      <c r="QG186" s="43" t="str">
        <f t="shared" si="561"/>
        <v/>
      </c>
      <c r="QH186" s="43" t="str">
        <f t="shared" si="562"/>
        <v/>
      </c>
      <c r="QI186" s="43" t="str">
        <f t="shared" si="563"/>
        <v/>
      </c>
      <c r="QJ186" s="43" t="str">
        <f t="shared" si="564"/>
        <v/>
      </c>
      <c r="QK186" s="43" t="str">
        <f t="shared" si="565"/>
        <v/>
      </c>
      <c r="QL186" s="43" t="str">
        <f t="shared" si="566"/>
        <v/>
      </c>
      <c r="QM186" s="43" t="str">
        <f t="shared" si="567"/>
        <v/>
      </c>
      <c r="QN186" s="43" t="str">
        <f t="shared" si="568"/>
        <v/>
      </c>
      <c r="QO186" s="43" t="str">
        <f t="shared" si="569"/>
        <v/>
      </c>
      <c r="QP186" s="43" t="str">
        <f t="shared" si="570"/>
        <v/>
      </c>
      <c r="QQ186" s="43" t="str">
        <f t="shared" si="571"/>
        <v/>
      </c>
      <c r="QR186" s="43">
        <f t="shared" si="672"/>
        <v>23</v>
      </c>
      <c r="QS186" s="43"/>
      <c r="QT186" s="21" t="str">
        <f t="shared" si="572"/>
        <v/>
      </c>
      <c r="QU186" s="21" t="str">
        <f t="shared" si="573"/>
        <v/>
      </c>
      <c r="QV186" s="21" t="str">
        <f t="shared" si="574"/>
        <v/>
      </c>
      <c r="QW186" s="21" t="str">
        <f t="shared" si="575"/>
        <v/>
      </c>
      <c r="QX186" s="21" t="str">
        <f t="shared" si="576"/>
        <v/>
      </c>
      <c r="QY186" s="21" t="str">
        <f t="shared" si="577"/>
        <v/>
      </c>
      <c r="QZ186" s="21" t="str">
        <f t="shared" si="578"/>
        <v/>
      </c>
      <c r="RA186" s="21" t="str">
        <f t="shared" si="579"/>
        <v/>
      </c>
      <c r="RB186" s="21" t="str">
        <f t="shared" si="580"/>
        <v/>
      </c>
      <c r="RC186" s="21" t="str">
        <f t="shared" si="581"/>
        <v/>
      </c>
      <c r="RD186" s="21" t="str">
        <f t="shared" si="582"/>
        <v>ALTO PARA EDAD GESTACIONAL</v>
      </c>
      <c r="RE186" s="21" t="str">
        <f t="shared" si="583"/>
        <v/>
      </c>
      <c r="RF186" s="21" t="str">
        <f t="shared" si="584"/>
        <v/>
      </c>
      <c r="RG186" s="21" t="str">
        <f t="shared" si="585"/>
        <v/>
      </c>
      <c r="RH186" s="21" t="str">
        <f t="shared" si="586"/>
        <v/>
      </c>
      <c r="RI186" s="21" t="str">
        <f t="shared" si="587"/>
        <v/>
      </c>
      <c r="RJ186" s="21" t="str">
        <f t="shared" si="588"/>
        <v/>
      </c>
      <c r="RK186" s="21" t="str">
        <f t="shared" si="589"/>
        <v/>
      </c>
      <c r="RL186" s="21" t="str">
        <f t="shared" si="590"/>
        <v/>
      </c>
      <c r="RM186" s="21" t="str">
        <f t="shared" si="591"/>
        <v/>
      </c>
      <c r="RN186" s="21" t="str">
        <f t="shared" si="592"/>
        <v/>
      </c>
      <c r="RO186" s="21" t="str">
        <f t="shared" si="593"/>
        <v/>
      </c>
      <c r="RP186" s="21" t="str">
        <f t="shared" si="594"/>
        <v/>
      </c>
      <c r="RQ186" s="21" t="str">
        <f t="shared" si="595"/>
        <v/>
      </c>
      <c r="RR186" s="21" t="str">
        <f t="shared" si="596"/>
        <v/>
      </c>
      <c r="RS186" s="21" t="str">
        <f t="shared" si="597"/>
        <v/>
      </c>
      <c r="RT186" s="21" t="str">
        <f t="shared" si="598"/>
        <v/>
      </c>
      <c r="RU186" s="21" t="str">
        <f t="shared" si="599"/>
        <v/>
      </c>
      <c r="RV186" s="21">
        <f t="shared" si="600"/>
        <v>-1</v>
      </c>
      <c r="RW186" s="284">
        <f>IF(OR(Tabla1[[#This Row],[FUM FORMULA CONFIABLE]]="",Tabla1[[#This Row],[FUM FORMULA CONFIABLE]]="SD"),"",IF(Tabla1[[#This Row],[FUM FORMULA CONFIABLE]]="CORREGIDA",Tabla1[[#This Row],[FUM X ECO 1]],Tabla1[[#This Row],[FUM x AMENORREA]]))</f>
        <v>44889</v>
      </c>
      <c r="RX186" s="21" t="str">
        <f>IF(AND(Tabla1[[#This Row],[FUM X ECO 1]]="",Tabla1[[#This Row],[FUM x AMENORREA]]=""),"",IF(AND(Tabla1[[#This Row],[FUM X ECO 1]]="",Tabla1[[#This Row],[FUM x AMENORREA]]&lt;&gt;""),"X",SUM(Tabla1[[#This Row],[FUM X ECO 1]]-Tabla1[[#This Row],[FUM x AMENORREA]])))</f>
        <v>X</v>
      </c>
      <c r="RY186" s="21" t="str">
        <f t="shared" si="673"/>
        <v>x</v>
      </c>
    </row>
    <row r="187" spans="1:493" ht="45" customHeight="1" x14ac:dyDescent="0.25">
      <c r="A187" s="109"/>
      <c r="B187" s="43"/>
      <c r="C187" s="43" t="s">
        <v>845</v>
      </c>
      <c r="D187" s="124"/>
      <c r="E187" s="43" t="s">
        <v>896</v>
      </c>
      <c r="F187" s="43" t="s">
        <v>953</v>
      </c>
      <c r="G187" s="43" t="s">
        <v>1530</v>
      </c>
      <c r="H187" s="43" t="s">
        <v>1182</v>
      </c>
      <c r="I187" s="109" t="s">
        <v>851</v>
      </c>
      <c r="J187" s="110">
        <v>1059594419</v>
      </c>
      <c r="K187" s="43" t="s">
        <v>852</v>
      </c>
      <c r="L187" s="175" t="s">
        <v>1509</v>
      </c>
      <c r="M187" s="22">
        <v>31110</v>
      </c>
      <c r="N187" s="213">
        <f t="shared" ca="1" si="601"/>
        <v>38.69041095890411</v>
      </c>
      <c r="O187" s="22">
        <v>45051</v>
      </c>
      <c r="P187" s="214" t="str">
        <f t="shared" si="675"/>
        <v>SI</v>
      </c>
      <c r="Q187" s="26" t="s">
        <v>855</v>
      </c>
      <c r="R187" s="22">
        <v>45051</v>
      </c>
      <c r="S187" s="21" t="s">
        <v>856</v>
      </c>
      <c r="T187" s="24" t="s">
        <v>690</v>
      </c>
      <c r="U187" s="21" t="s">
        <v>857</v>
      </c>
      <c r="V187" s="21" t="s">
        <v>858</v>
      </c>
      <c r="W187" s="21" t="s">
        <v>955</v>
      </c>
      <c r="X187" s="21"/>
      <c r="Y187" s="21"/>
      <c r="Z187" s="21"/>
      <c r="AA187" s="21" t="s">
        <v>860</v>
      </c>
      <c r="AB187" s="27" t="s">
        <v>861</v>
      </c>
      <c r="AC187" s="26" t="s">
        <v>877</v>
      </c>
      <c r="AD187" s="38" t="s">
        <v>1546</v>
      </c>
      <c r="AE187" s="26" t="s">
        <v>854</v>
      </c>
      <c r="AF187" s="26" t="s">
        <v>854</v>
      </c>
      <c r="AG187" s="23" t="s">
        <v>864</v>
      </c>
      <c r="AH187" s="23" t="s">
        <v>864</v>
      </c>
      <c r="AI187" s="24" t="s">
        <v>863</v>
      </c>
      <c r="AJ187" s="23" t="s">
        <v>864</v>
      </c>
      <c r="AK187" s="220" t="str">
        <f>IF(AND(AD187="",AE187="",AF187="",AG187="",AH187="",AI187="",AJ187=""),"",IF(OR(Tabla1[[#This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EVALUACIÓN",IF(AND(O187="",R187=""),"",IF(AND(OR(O187&gt;0,R187&gt;0),NG187&gt;=0,NG187&lt;2),"SIN RIESGO",IF(AND(OR(O187&gt;0,R187&gt;0),NG187&gt;=2),"CON RIESGO","ASD")))))</f>
        <v>SIN RIESGO</v>
      </c>
      <c r="AL187" s="23" t="s">
        <v>854</v>
      </c>
      <c r="AM187" s="26" t="s">
        <v>864</v>
      </c>
      <c r="AN187" s="26" t="s">
        <v>864</v>
      </c>
      <c r="AO187" s="26" t="s">
        <v>864</v>
      </c>
      <c r="AP187" s="26" t="s">
        <v>864</v>
      </c>
      <c r="AQ187" s="26" t="s">
        <v>864</v>
      </c>
      <c r="AR187" s="26" t="s">
        <v>864</v>
      </c>
      <c r="AS187" s="21">
        <v>1</v>
      </c>
      <c r="AT187" s="21">
        <v>1</v>
      </c>
      <c r="AU187" s="21">
        <v>0</v>
      </c>
      <c r="AV187" s="26" t="s">
        <v>864</v>
      </c>
      <c r="AW187" s="21">
        <v>1</v>
      </c>
      <c r="AX187" s="26" t="s">
        <v>864</v>
      </c>
      <c r="AY187" s="26" t="s">
        <v>864</v>
      </c>
      <c r="AZ187" s="26" t="s">
        <v>864</v>
      </c>
      <c r="BA187" s="26" t="s">
        <v>864</v>
      </c>
      <c r="BB187" s="26" t="s">
        <v>864</v>
      </c>
      <c r="BC187" s="26" t="s">
        <v>864</v>
      </c>
      <c r="BD187" s="26" t="s">
        <v>864</v>
      </c>
      <c r="BE187" s="26" t="s">
        <v>864</v>
      </c>
      <c r="BF187" s="26" t="s">
        <v>864</v>
      </c>
      <c r="BG187" s="26" t="s">
        <v>864</v>
      </c>
      <c r="BH187" s="26" t="s">
        <v>864</v>
      </c>
      <c r="BI187" s="26" t="s">
        <v>864</v>
      </c>
      <c r="BJ187" s="26" t="s">
        <v>864</v>
      </c>
      <c r="BK187" s="26" t="s">
        <v>865</v>
      </c>
      <c r="BL187" s="26" t="s">
        <v>864</v>
      </c>
      <c r="BM187" s="26" t="s">
        <v>864</v>
      </c>
      <c r="BN187" s="22"/>
      <c r="BO187" s="22">
        <v>45006</v>
      </c>
      <c r="BP187" s="21" t="s">
        <v>854</v>
      </c>
      <c r="BQ187" s="222">
        <f t="shared" si="602"/>
        <v>0</v>
      </c>
      <c r="BR187" s="223" t="str">
        <f t="shared" si="603"/>
        <v/>
      </c>
      <c r="BS187" s="224">
        <f t="shared" si="604"/>
        <v>6.4285714285714288</v>
      </c>
      <c r="BT187" s="216" t="str">
        <f t="shared" si="605"/>
        <v>I TRIM</v>
      </c>
      <c r="BU187" s="214">
        <f t="shared" ca="1" si="606"/>
        <v>32.285714285714285</v>
      </c>
      <c r="BV187" s="25"/>
      <c r="BW187" s="22"/>
      <c r="BX187" s="28"/>
      <c r="BY187" s="28"/>
      <c r="BZ187" s="22"/>
      <c r="CA187" s="21"/>
      <c r="CB187" s="26"/>
      <c r="CC187" s="26"/>
      <c r="CD187" s="26"/>
      <c r="CE187" s="26"/>
      <c r="CF187" s="22" t="s">
        <v>1517</v>
      </c>
      <c r="CG187" s="21">
        <v>1.49</v>
      </c>
      <c r="CH187" s="21">
        <v>53.4</v>
      </c>
      <c r="CI187" s="214">
        <f t="shared" si="607"/>
        <v>24.052970586910501</v>
      </c>
      <c r="CJ187" s="225" t="str">
        <f>IF(AND(CI187&lt;10,CH187="SD"),"SIN DATO PESO PREGESTACION O I TRIM",IF(AND(OR(R187&gt;0,O187&gt;0),CI187="X"),"INGRESAR DATO DE PESO",IF(CI187="SD","INGRESAR DATO DE TALLA Y PESO",IF(AND(OR(Tabla1[[#This Row],[MOMENTO EN QUE SE REALIZA EL PESO AL INGRESO A CPN]]="PREGESTACIÓN",NZ187="Menor"),CI187&lt;18.5),"BAJO PESO",IF(AND(OR(Tabla1[[#This Row],[MOMENTO EN QUE SE REALIZA EL PESO AL INGRESO A CPN]]="PREGESTACIÓN",NZ187="Menor"),CI187&lt;25),"NORMAL",IF(AND(OR(Tabla1[[#This Row],[MOMENTO EN QUE SE REALIZA EL PESO AL INGRESO A CPN]]="PREGESTACIÓN",NZ187="Menor"),CI187&lt;30),"SOBREPESO",IF(AND(OR(Tabla1[[#This Row],[MOMENTO EN QUE SE REALIZA EL PESO AL INGRESO A CPN]]="PREGESTACIÓN",NZ187="Menor"),CI187&gt;=30,CI187&lt;50),"OBESIDAD",IF(AND(BS187&gt;0,Tabla1[[#This Row],[MOMENTO EN QUE SE REALIZA EL PESO AL INGRESO A CPN]]="GESTACIÓN"),HLOOKUP(NZ187,$OA$2:PH187,NY187),""))))))))</f>
        <v>NORMAL</v>
      </c>
      <c r="CK187" s="212">
        <f t="shared" si="608"/>
        <v>45051</v>
      </c>
      <c r="CL187" s="21">
        <v>53.8</v>
      </c>
      <c r="CM187" s="214">
        <f t="shared" si="609"/>
        <v>24.233142651231926</v>
      </c>
      <c r="CN187" s="216">
        <f t="shared" si="610"/>
        <v>6</v>
      </c>
      <c r="CO187" s="216" t="e">
        <f>IF(PI187="","",IF(PI187&gt;0,HLOOKUP(PI187,$PJ$2:QQ187,NY187),""))</f>
        <v>#REF!</v>
      </c>
      <c r="CP187" s="21"/>
      <c r="CQ187" s="216" t="str">
        <f>IF(QR187="Menor","NO APLICA-MENOR 13 SEM",IF(AND(CC187="SI",CN187&gt;23),"NO APLICA- GEMELAR",IF(QR187="","",IF(QR187&gt;0,HLOOKUP(QR187,$QS$2:RU187,NY187),""))))</f>
        <v>NO APLICA-MENOR 13 SEM</v>
      </c>
      <c r="CR187" s="21">
        <v>100</v>
      </c>
      <c r="CS187" s="21">
        <v>60</v>
      </c>
      <c r="CT187" s="217" t="str">
        <f>IF(R187="","",IF(AND(BS187&gt;1,BS187&lt;12,Tabla1[[#This Row],[T.A. SISTOLICA - ANTES DE SEMANA 12]]="",Tabla1[[#This Row],[T.A. DIASTOLICA - ANTES DE SEMANA 12]]=""),"REGISTRE DATO TA ANTES SEMANA 12",IF(AND(BS187&gt;11,BS187&lt;43,Tabla1[[#This Row],[T.A. SISTOLICA - ANTES DE SEMANA 12]]="",Tabla1[[#This Row],[T.A. DIASTOLICA - ANTES DE SEMANA 12]]=""),"NO APLICA REGISTRO TA-INGRESO TARDIO",IF(AND(OR(O187&gt;0,R187&gt;0),OR(CR187&gt;=140,CS187&gt;=90)),"DEFINIR ESTADIO HTA",IF(AND(OR(O187&gt;0,R187&gt;0),AND(CR187&gt;120,CR187&lt;=139)),"PRE HTA SEGUIMIENTO",IF(AND(OR(O187&gt;0,R187&gt;0),AND(CS187&gt;80,CS187&lt;=89)),"PRE HTA SEGUIMIENTO",IF(AND(OR(O187&gt;0,R187&gt;0),AND(CR187&gt;=80,CR187&lt;=120)),"APARENTEMENTE NORMAL",IF(AND(OR(O187&gt;0,R187&gt;0),AND(CS187&gt;=50,CS187&lt;=80)),"APARENTEMENTE NORMAL",IF(AND(OR(O187&gt;0,R187&gt;0),AND(CR187&gt;1,CR187&lt;=70),AND(CS187&gt;1,CS187&lt;=40)),"HIPOTENSIÓN","")))))))))</f>
        <v>APARENTEMENTE NORMAL</v>
      </c>
      <c r="CU187" s="21"/>
      <c r="CV187" s="21"/>
      <c r="CW187" s="217" t="str">
        <f ca="1">IF(R187="","",IF(AND(CN187&gt;19,CN187&lt;27,Tabla1[[#This Row],[T.A. SISTOLICA (Entre semana 20 y 26)]]="",Tabla1[[#This Row],[T.A. DIATOLICA (Entre semana 20 y 26)]]=""),"ACUDE A CONTROL SEM 20 A 26 REGISTRE TA AHORA",IF(AND(BS187&gt;1,BS187&lt;27,BU187&gt;19,Tabla1[[#This Row],[T.A. SISTOLICA (Entre semana 20 y 26)]]="",Tabla1[[#This Row],[T.A. DIATOLICA (Entre semana 20 y 26)]]=""),"COMPLETE REGISTRO TA CONTROL SEM 20 A26 ",IF(AND(BS187&gt;26,BS187&lt;43,Tabla1[[#This Row],[T.A. SISTOLICA (Entre semana 20 y 26)]]="",Tabla1[[#This Row],[T.A. DIATOLICA (Entre semana 20 y 26)]]=""),"NO APLICA REGISTRO TA-INGRESO TARDIO",IF(AND(OR(O187&gt;0,R187&gt;0),OR(CU187&gt;=140,CV187&gt;=90)),"ALTO RIESGO PREECLAMPSIA,DEFINIR ESTADIO HTA",IF(AND(OR(O187&gt;0,R187&gt;0),AND(CU187&gt;120,CU187&lt;=139)),"PRE HTA SEGUIMIENTO,RIESGO HIPERTENSION INDUCIDA POR EL EMBARAZO",IF(AND(OR(O187&gt;0,R187&gt;0),AND(CV187&gt;80,CV187&lt;=89)),"PRE HTA SEGUIMIENTO, RIESGO HIPERTENSION INDUCIDA POR EL EMBARAZO",IF(AND(OR(O187&lt;&gt;"",R187&lt;&gt;""),CS187&lt;&gt;"",CV187&lt;&gt;"",CS187&lt;=CV187),"VIGILAR CIFRAS PRESION ARTERIAL",IF(AND(OR(O187&gt;0,R187&gt;0),AND(CU187&gt;120,CU187&lt;=139)),"PRE HTA SEGUIMIENTO",IF(AND(OR(O187&gt;0,R187&gt;0),AND(CU187&gt;1,CU187&lt;=70),AND(CV187&gt;1,CV187&lt;=40)),"HIPOTENSIÓN",IF(AND(OR(O187&lt;&gt;"",R187&lt;&gt;""),CS187&lt;&gt;"",CV187&lt;&gt;"",CS187&gt;CV187),"APARENTEMENTE NORMAL",IF(AND(OR(O187&gt;0,R187&gt;0),AND(CU187&gt;=80,CU187&lt;=120)),"APARENTEMENTE NORMAL",IF(AND(OR(O187&gt;0,R187&gt;0),AND(CV187&gt;=50,CV187&lt;=80)),"APARENTEMENTE NORMAL","")))))))))))))</f>
        <v xml:space="preserve">COMPLETE REGISTRO TA CONTROL SEM 20 A26 </v>
      </c>
      <c r="CX187" s="21"/>
      <c r="CY187" s="21"/>
      <c r="CZ187" s="216" t="str">
        <f t="shared" si="729"/>
        <v/>
      </c>
      <c r="DA187" s="21">
        <v>100</v>
      </c>
      <c r="DB187" s="21">
        <v>60</v>
      </c>
      <c r="DC187" s="217" t="str">
        <f t="shared" si="611"/>
        <v>APARENTEMENTE NORMAL</v>
      </c>
      <c r="DD187" s="22">
        <v>45051</v>
      </c>
      <c r="DE187" s="22">
        <v>45051</v>
      </c>
      <c r="DF187" s="22"/>
      <c r="DG187" s="22"/>
      <c r="DH187" s="22"/>
      <c r="DI187" s="22"/>
      <c r="DJ187" s="22"/>
      <c r="DK187" s="22"/>
      <c r="DL187" s="22"/>
      <c r="DM187" s="22"/>
      <c r="DN187" s="22"/>
      <c r="DO187" s="22"/>
      <c r="DP187" s="22"/>
      <c r="DQ187" s="22"/>
      <c r="DR187" s="28">
        <v>0</v>
      </c>
      <c r="DS187" s="22"/>
      <c r="DT187" s="22"/>
      <c r="DU187" s="216" t="str">
        <f t="shared" ca="1" si="676"/>
        <v>PLANEAR PLAN DE PARTO</v>
      </c>
      <c r="DV187" s="226" t="str">
        <f t="shared" si="677"/>
        <v>ACTIVA INGRESO A CPN</v>
      </c>
      <c r="DW18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87" s="216" t="e">
        <f t="shared" ca="1" si="612"/>
        <v>#REF!</v>
      </c>
      <c r="DY187" s="212">
        <f>IF(R187="","",IF(R187&gt;0,MAX(Tabla1[[#This Row],[FECHA C2]:[FECHA C13]],Tabla1[[#This Row],[FECHA CONSULTA PRIMERA VEZ PROGRAMA CPN ]])))</f>
        <v>45051</v>
      </c>
      <c r="DZ187" s="216">
        <f t="shared" si="613"/>
        <v>6</v>
      </c>
      <c r="EA187" s="222">
        <f>IF(R187&gt;0,SUM(COUNTA(DF187:DQ187)+COUNTA(Tabla1[[#This Row],[FECHA CONSULTA PRIMERA VEZ PROGRAMA CPN ]])),"")</f>
        <v>1</v>
      </c>
      <c r="EB187" s="222" t="str">
        <f t="shared" si="614"/>
        <v>NO</v>
      </c>
      <c r="EC187" s="214">
        <f t="shared" si="615"/>
        <v>10</v>
      </c>
      <c r="ED187" s="227">
        <f t="shared" si="616"/>
        <v>0.1</v>
      </c>
      <c r="EE187" s="22">
        <v>45051</v>
      </c>
      <c r="EF187" s="22"/>
      <c r="EG187" s="22">
        <v>45051</v>
      </c>
      <c r="EH187" s="22"/>
      <c r="EI187" s="22">
        <v>45051</v>
      </c>
      <c r="EJ187" s="22"/>
      <c r="EK187" s="22"/>
      <c r="EL187" s="21"/>
      <c r="EM187" s="21"/>
      <c r="EN187" s="22"/>
      <c r="EO187" s="222" t="str">
        <f t="shared" si="617"/>
        <v>TOMAR EXAMEN</v>
      </c>
      <c r="EP187" s="214" t="str">
        <f t="shared" si="618"/>
        <v/>
      </c>
      <c r="EQ187" s="216" t="str">
        <f t="shared" si="619"/>
        <v>POR DEFINIR</v>
      </c>
      <c r="ER187" s="24"/>
      <c r="ES187" s="22"/>
      <c r="ET187" s="29" t="str">
        <f t="shared" ca="1" si="678"/>
        <v>TOMA DE HEMOGLOBINA TARDÍA</v>
      </c>
      <c r="EU187" s="25" t="str">
        <f t="shared" si="620"/>
        <v/>
      </c>
      <c r="EV187" s="24"/>
      <c r="EW187" s="24"/>
      <c r="EX187" s="22"/>
      <c r="EY187" s="29" t="str">
        <f t="shared" si="693"/>
        <v>TOMAR EXAMEN</v>
      </c>
      <c r="EZ187" s="25" t="str">
        <f t="shared" ca="1" si="694"/>
        <v/>
      </c>
      <c r="FA187" s="21">
        <v>70</v>
      </c>
      <c r="FB187" s="22">
        <v>45066</v>
      </c>
      <c r="FC187" s="29">
        <f t="shared" si="621"/>
        <v>8.5714285714285712</v>
      </c>
      <c r="FD187" s="29"/>
      <c r="FE187" s="29"/>
      <c r="FF187" s="29"/>
      <c r="FG187" s="21" t="str">
        <f t="shared" ca="1" si="622"/>
        <v>TOMAR PTOG</v>
      </c>
      <c r="FH187" s="31"/>
      <c r="FI187" s="29" t="str">
        <f t="shared" si="623"/>
        <v>TOMAR EXAMEN</v>
      </c>
      <c r="FJ187" s="22" t="s">
        <v>867</v>
      </c>
      <c r="FK187" s="22">
        <v>45066</v>
      </c>
      <c r="FL187" s="29">
        <f t="shared" ca="1" si="624"/>
        <v>8.5714285714285712</v>
      </c>
      <c r="FM187" s="22"/>
      <c r="FN187" s="22"/>
      <c r="FO187" s="29" t="str">
        <f t="shared" ca="1" si="679"/>
        <v>PIERDE TOMA DE TAMIZAJE</v>
      </c>
      <c r="FP187" s="22"/>
      <c r="FQ187" s="32"/>
      <c r="FR187" s="29" t="str">
        <f t="shared" ca="1" si="680"/>
        <v>EN RANGO PARA TOMAR EXAMEN</v>
      </c>
      <c r="FS187" s="22"/>
      <c r="FT187" s="32"/>
      <c r="FU187" s="29" t="str">
        <f>IF(AND(FJ187="",FM187="",FP187="",FS187=""),"",IF(OR(OR(Tabla1[[#This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87" s="28"/>
      <c r="FW187" s="22"/>
      <c r="FX187" s="29" t="str">
        <f t="shared" si="625"/>
        <v>TOMAR EXAMEN</v>
      </c>
      <c r="FY187" s="22" t="s">
        <v>868</v>
      </c>
      <c r="FZ187" s="22">
        <v>45066</v>
      </c>
      <c r="GA187" s="29">
        <f t="shared" ca="1" si="692"/>
        <v>8.5714285714285712</v>
      </c>
      <c r="GB187" s="22"/>
      <c r="GC187" s="22"/>
      <c r="GD187" s="29" t="str">
        <f t="shared" ca="1" si="732"/>
        <v>PIERDE TOMA DE TAMIZAJE</v>
      </c>
      <c r="GE187" s="22"/>
      <c r="GF187" s="22"/>
      <c r="GG187" s="29" t="str">
        <f t="shared" ca="1" si="682"/>
        <v>EN RANGO PARA TOMAR EXAMEN</v>
      </c>
      <c r="GH187" s="22"/>
      <c r="GI187" s="29"/>
      <c r="GJ187" s="22"/>
      <c r="GK187" s="22"/>
      <c r="GL187" s="22"/>
      <c r="GM187" s="22"/>
      <c r="GN187" s="28" t="s">
        <v>869</v>
      </c>
      <c r="GO187" s="22">
        <v>45066</v>
      </c>
      <c r="GP187" s="29">
        <f t="shared" si="626"/>
        <v>8.5714285714285712</v>
      </c>
      <c r="GQ187" s="28" t="s">
        <v>869</v>
      </c>
      <c r="GR187" s="28" t="s">
        <v>869</v>
      </c>
      <c r="GS187" s="22" t="str">
        <f t="shared" si="728"/>
        <v>CONTROL Igm</v>
      </c>
      <c r="GT187" s="22">
        <v>45066</v>
      </c>
      <c r="GU187" s="29">
        <f t="shared" si="628"/>
        <v>8.5714285714285712</v>
      </c>
      <c r="GV187" s="21" t="str">
        <f t="shared" si="629"/>
        <v>I TRIM</v>
      </c>
      <c r="GW187" s="28"/>
      <c r="GX187" s="30"/>
      <c r="GY187" s="21"/>
      <c r="GZ187" s="21"/>
      <c r="HA187" s="21"/>
      <c r="HB187" s="21"/>
      <c r="HC187" s="21"/>
      <c r="HD187" s="21"/>
      <c r="HE187" s="21"/>
      <c r="HF187" s="22"/>
      <c r="HG187" s="22" t="str">
        <f>IF(OR(O187&gt;0,R187&gt;0),CONCATENATE(IF(Tabla1[[#This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87" s="22" t="e">
        <f t="shared" si="630"/>
        <v>#REF!</v>
      </c>
      <c r="HI187" s="22" t="str">
        <f t="shared" si="631"/>
        <v>ALTO RIESGO</v>
      </c>
      <c r="HJ187" s="21" t="str">
        <f t="shared" ca="1" si="632"/>
        <v>*ANTECEDENTE PREECLAMPSIA***********************RIESGO POR EDAD*CESAREAS PREVIAS**************</v>
      </c>
      <c r="HK187" s="21" t="str">
        <f t="shared" si="633"/>
        <v>RIESGO ALTO DE COMPLICACIONES HIPERTENSIVAS VER MANEJO GUIA SUMINISTRO ASA Y CALCIO</v>
      </c>
      <c r="HL187" s="24" t="str">
        <f t="shared" si="634"/>
        <v>APARENTEMENTE NORMAL</v>
      </c>
      <c r="HM187" s="21" t="e">
        <f t="shared" ca="1" si="635"/>
        <v>#REF!</v>
      </c>
      <c r="HN187" s="30" t="str">
        <f t="shared" si="683"/>
        <v>ACTIVA INGRESO A CPN</v>
      </c>
      <c r="HO187" s="21"/>
      <c r="HP187" s="21"/>
      <c r="HQ187" s="349"/>
      <c r="HR187" s="21" t="str">
        <f ca="1">IF(R187="","",IF(Tabla1[[#This Row],[ALARMA FACTORES DE RIESGO COMPLICACIONES HIPERTENSIVAS3]]="SIN ANTECEDENTES DE RIESGO","No Aplica para suministro de ASA",IF(AND(Tabla1[[#This Row],[FECHA INICIO DE SUMINISTRO DE ASA]]&gt;0,RV187&lt;12),"Inicia ASA ANTES de Sem 12",IF(AND(RV187&gt;11,RV187&lt;17,OR(HK187="RIESGO ALTO DE COMPLICACIONES HIPERTENSIVAS VER MANEJO GUIA SUMINISTRO ASA Y CALCIO",HK187="RIESGO MODERADO (2 O MAS CRITERIOS) VER MANEJO GUIA SUMINISTRO ASA Y CALCIO")),"Inicio oportuno de ASA",IF(AND(RV187&gt;12,OR(HK187="RIESGO ALTO DE COMPLICACIONES HIPERTENSIVAS VER MANEJO GUIA SUMINISTRO ASA Y CALCIO",HK187="RIESGO MODERADO (2 O MAS CRITERIOS) VER MANEJO GUIA SUMINISTRO ASA Y CALCIO")),"Inicio no oportuno mayor a 16 semanas",IF(AND(BU187&lt;12,OR(HK187="RIESGO ALTO DE COMPLICACIONES HIPERTENSIVAS VER MANEJO GUIA SUMINISTRO ASA Y CALCIO",HK187="RIESGO MODERADO (2 O MAS CRITERIOS) VER MANEJO GUIA SUMINISTRO ASA Y CALCIO")),"Pendiente Inicio de ASA a la semana 12",IF(AND(BU187&gt;11,BU187&lt;17,OR(HK187="RIESGO ALTO DE COMPLICACIONES HIPERTENSIVAS VER MANEJO GUIA SUMINISTRO ASA Y CALCIO",HK187="RIESGO MODERADO (2 O MAS CRITERIOS) VER MANEJO GUIA SUMINISTRO ASA Y CALCIO")),"Iniciar de inmediato ASA",IF(AND(BU187&gt;16,OR(HK187="RIESGO ALTO DE COMPLICACIONES HIPERTENSIVAS VER MANEJO GUIA SUMINISTRO ASA Y CALCIO",HK187="RIESGO MODERADO (2 O MAS CRITERIOS) VER MANEJO GUIA SUMINISTRO ASA Y CALCIO")),"Pierde Oportunidad, Inicio tardío de ASA","XXXXX"))))))))</f>
        <v>Pierde Oportunidad, Inicio tardío de ASA</v>
      </c>
      <c r="HS187" s="22"/>
      <c r="HT187" s="22"/>
      <c r="HU187" s="22">
        <v>45051</v>
      </c>
      <c r="HV187" s="22" t="s">
        <v>1506</v>
      </c>
      <c r="HW187" s="22">
        <v>45051</v>
      </c>
      <c r="HX187" s="22" t="s">
        <v>1511</v>
      </c>
      <c r="HY187" s="22">
        <v>45051</v>
      </c>
      <c r="HZ187" s="28">
        <f t="shared" si="636"/>
        <v>6.4285714285714288</v>
      </c>
      <c r="IA187" s="26"/>
      <c r="IB187" s="26"/>
      <c r="IC187" s="111"/>
      <c r="ID187" s="22"/>
      <c r="IE187" s="22" t="str">
        <f t="shared" ca="1" si="637"/>
        <v>INASISTENTE</v>
      </c>
      <c r="IF187" s="22"/>
      <c r="IG187" s="22">
        <f t="shared" si="638"/>
        <v>45286</v>
      </c>
      <c r="IH187" s="29">
        <f t="shared" ca="1" si="639"/>
        <v>54</v>
      </c>
      <c r="II187" s="22" t="str">
        <f t="shared" ca="1" si="640"/>
        <v>PENDIENTE</v>
      </c>
      <c r="IJ187" s="22"/>
      <c r="IK187" s="21"/>
      <c r="IL187" s="21"/>
      <c r="IM187" s="34"/>
      <c r="IN187" s="22"/>
      <c r="IO187" s="21"/>
      <c r="IP187" s="29" t="str">
        <f t="shared" si="730"/>
        <v/>
      </c>
      <c r="IQ187" s="35"/>
      <c r="IR187" s="21"/>
      <c r="IS187" s="21"/>
      <c r="IT187" s="21"/>
      <c r="IU187" s="21"/>
      <c r="IV187" s="21"/>
      <c r="IW187" s="21"/>
      <c r="IX187" s="21"/>
      <c r="IY187" s="21"/>
      <c r="IZ187" s="21"/>
      <c r="JA187" s="21"/>
      <c r="JB187" s="30"/>
      <c r="JC187" s="21"/>
      <c r="JD187" s="36"/>
      <c r="JE187" s="21" t="str">
        <f t="shared" si="733"/>
        <v/>
      </c>
      <c r="JF187" s="30"/>
      <c r="JG187" s="21"/>
      <c r="JH187" s="21"/>
      <c r="JI187" s="21"/>
      <c r="JJ187" s="30"/>
      <c r="JK187" s="22"/>
      <c r="JL187" s="22"/>
      <c r="JM187" s="21"/>
      <c r="JN187" s="36"/>
      <c r="JO187" s="21" t="str">
        <f t="shared" si="734"/>
        <v/>
      </c>
      <c r="JP187" s="22"/>
      <c r="JQ187" s="21"/>
      <c r="JR187" s="21"/>
      <c r="JS187" s="21"/>
      <c r="JT187" s="30"/>
      <c r="JU187" s="22"/>
      <c r="JV187" s="22"/>
      <c r="JW187" s="33"/>
      <c r="JX187" s="28" t="str">
        <f t="shared" si="735"/>
        <v/>
      </c>
      <c r="JY187" s="33"/>
      <c r="JZ187" s="28" t="str">
        <f t="shared" si="736"/>
        <v/>
      </c>
      <c r="KA187" s="21"/>
      <c r="KB187" s="21"/>
      <c r="KC187" s="21"/>
      <c r="KD187" s="37"/>
      <c r="KE187" s="28"/>
      <c r="KF187" s="28"/>
      <c r="KG187" s="28"/>
      <c r="KH187" s="39"/>
      <c r="KI187" s="39"/>
      <c r="KJ187" s="66"/>
      <c r="KK187" s="39"/>
      <c r="KL187" s="39"/>
      <c r="KM187" s="66"/>
      <c r="KN187" s="39"/>
      <c r="KO187" s="39"/>
      <c r="KP187" s="39"/>
      <c r="KQ187" s="39"/>
      <c r="KR187" s="39"/>
      <c r="KS187" s="39"/>
      <c r="KT187" s="39"/>
      <c r="KU187" s="38"/>
      <c r="KV187" s="38"/>
      <c r="KW187" s="38"/>
      <c r="KX187" s="38"/>
      <c r="KY187" s="38"/>
      <c r="KZ187" s="38"/>
      <c r="LA187" s="38"/>
      <c r="LB187" s="38"/>
      <c r="LC187" s="38"/>
      <c r="LD187" s="38"/>
      <c r="LE187" s="38"/>
      <c r="LF187" s="38"/>
      <c r="LG187" s="38"/>
      <c r="LH187" s="38"/>
      <c r="LI187" s="38"/>
      <c r="LJ187" s="38"/>
      <c r="LK187" s="38"/>
      <c r="LL187" s="38"/>
      <c r="LM187" s="38"/>
      <c r="LN187" s="38"/>
      <c r="LO187" s="38"/>
      <c r="LP187" s="38"/>
      <c r="LQ187" s="38"/>
      <c r="LR187" s="38"/>
      <c r="LS187" s="38"/>
      <c r="LT187" s="38"/>
      <c r="LU187" s="38"/>
      <c r="LV187" s="38"/>
      <c r="LW187" s="38"/>
      <c r="LX187" s="38"/>
      <c r="LY187" s="38"/>
      <c r="LZ187" s="38"/>
      <c r="MA187" s="38"/>
      <c r="MB187" s="38"/>
      <c r="MC187" s="38"/>
      <c r="MD187" s="38"/>
      <c r="ME187" s="38"/>
      <c r="MF187" s="38"/>
      <c r="MG187" s="38"/>
      <c r="MH187" s="43">
        <f t="shared" si="697"/>
        <v>0</v>
      </c>
      <c r="MI187" s="43" t="str">
        <f t="shared" si="698"/>
        <v/>
      </c>
      <c r="MJ187" s="43" t="str">
        <f t="shared" si="699"/>
        <v/>
      </c>
      <c r="MK187" s="43">
        <f t="shared" si="700"/>
        <v>0</v>
      </c>
      <c r="ML18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87" s="43">
        <f t="shared" si="701"/>
        <v>6.4285714285714288</v>
      </c>
      <c r="MN187" s="43">
        <f t="shared" si="702"/>
        <v>5</v>
      </c>
      <c r="MO187" s="43">
        <f t="shared" si="703"/>
        <v>2023</v>
      </c>
      <c r="MP187" s="43" t="str">
        <f t="shared" si="704"/>
        <v>II TRIMESTRE AÑO</v>
      </c>
      <c r="MQ187" s="43">
        <f t="shared" si="705"/>
        <v>37.617717915024087</v>
      </c>
      <c r="MR187" s="43">
        <f t="shared" si="706"/>
        <v>2</v>
      </c>
      <c r="MS187" s="43" t="str">
        <f t="shared" si="707"/>
        <v xml:space="preserve"> DE 35 A 39 AÑOS</v>
      </c>
      <c r="MT187" s="43">
        <f t="shared" si="708"/>
        <v>0</v>
      </c>
      <c r="MU187" s="43">
        <f t="shared" si="709"/>
        <v>0</v>
      </c>
      <c r="MV187" s="43">
        <f t="shared" si="710"/>
        <v>1</v>
      </c>
      <c r="MW187" s="43">
        <f t="shared" si="711"/>
        <v>0</v>
      </c>
      <c r="MX187" s="43" t="str">
        <f t="shared" si="712"/>
        <v/>
      </c>
      <c r="MY187" s="43" t="str">
        <f t="shared" ca="1" si="737"/>
        <v/>
      </c>
      <c r="MZ187" s="43" t="str">
        <f t="shared" si="713"/>
        <v/>
      </c>
      <c r="NA187" s="43" t="str">
        <f t="shared" si="714"/>
        <v/>
      </c>
      <c r="NB187" s="43" t="str">
        <f t="shared" si="715"/>
        <v/>
      </c>
      <c r="NC187" s="43" t="str">
        <f t="shared" si="716"/>
        <v/>
      </c>
      <c r="ND187" s="43">
        <f t="shared" ca="1" si="717"/>
        <v>4</v>
      </c>
      <c r="NE187" s="43">
        <f>IF(OR(O187&gt;0,R187&gt;0),SUM(COUNTIF(Tabla1[[#This Row],[AÑOS AL INICIO5 CPN]],"&gt;=40"),COUNTIF(AS187,"0"),COUNTIF(AR187,"SI"),COUNTIF(CC187,"SI"),COUNTIF(BQ187,"&gt;119"),COUNTIF(CI187,"&gt;=35")),"")</f>
        <v>0</v>
      </c>
      <c r="NF187" s="43" t="str">
        <f t="shared" si="718"/>
        <v/>
      </c>
      <c r="NG187" s="43">
        <f t="shared" si="719"/>
        <v>0</v>
      </c>
      <c r="NH187" s="43" t="str">
        <f t="shared" si="720"/>
        <v/>
      </c>
      <c r="NI18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CPN",P187="NO"),"Z",IF(AND(Tabla1[[#This Row],[CITA PROXIMO CONTROL]]="CITA MANUAL",Tabla1[[#This Row],[GESTANTES ACTUALES]]="ACTIVA INGRESO A CPN"),"W",IF(AND(Tabla1[[#This Row],[GESTANTES ACTUALES]]="SALIO PROGRAMA",IN187=""),"S",IF(AND(Tabla1[[#This Row],[CITA PROXIMO CONTROL]]&gt;0,IN187=""),(Tabla1[[#This Row],[CITA PROXIMO CONTROL]]-TODAY()),"SD"))))))))</f>
        <v>#REF!</v>
      </c>
      <c r="NJ187" s="43">
        <f>MONTH(Tabla1[[#This Row],[FECHA DE SALIDA  DEL PROGRAMA]])</f>
        <v>1</v>
      </c>
      <c r="NK187" s="43">
        <f>YEAR(Tabla1[[#This Row],[FECHA DE SALIDA  DEL PROGRAMA]])</f>
        <v>1900</v>
      </c>
      <c r="NL187" s="43" t="str">
        <f t="shared" si="721"/>
        <v>X</v>
      </c>
      <c r="NM187" s="43" t="str">
        <f t="shared" si="695"/>
        <v>NO</v>
      </c>
      <c r="NN187" s="43" t="str">
        <f ca="1">IF(AND(O187&gt;0,R187=""),"NO CPN",IF(AND(O187="",R187=""),"",IF(AND(R187&gt;0,Tabla1[[#This Row],[SEMANAS DE GESTACION ACTUALIZADAS]]&lt;=12),"NO APLICA",IF(AND(FH187&lt;&gt;"",FN187&lt;&gt;""),"SI","NO"))))</f>
        <v>NO</v>
      </c>
      <c r="NO187" s="43" t="str">
        <f ca="1">IF(AND(O187&gt;0,R187=""),"NO CPN",IF(AND(O187="",R187=""),"",IF(AND(R187&gt;0,Tabla1[[#This Row],[SEMANAS DE GESTACION ACTUALIZADAS]]&lt;=27),"NO APLICA",IF(AND(ES187&lt;&gt;"",FQ187&lt;&gt;"",GF187&lt;&gt;""),"SI","NO"))))</f>
        <v>NO</v>
      </c>
      <c r="NP187" s="204" t="str">
        <f t="shared" si="722"/>
        <v>I TRIM</v>
      </c>
      <c r="NQ187" s="21" t="str">
        <f t="shared" si="731"/>
        <v/>
      </c>
      <c r="NR187" s="21">
        <f t="shared" ca="1" si="738"/>
        <v>3</v>
      </c>
      <c r="NS187" s="205">
        <f t="shared" ca="1" si="723"/>
        <v>1</v>
      </c>
      <c r="NT187" s="21">
        <f t="shared" ca="1" si="724"/>
        <v>1</v>
      </c>
      <c r="NU187" s="21" t="str">
        <f t="shared" ca="1" si="725"/>
        <v>INCOMPLETO</v>
      </c>
      <c r="NV187" s="21" t="str">
        <f t="shared" ca="1" si="726"/>
        <v>INCOMPLETO</v>
      </c>
      <c r="NW187" s="206" t="str">
        <f>IF(AND(O187="",R187=""),"",IF(OR(AND(Tabla1[[#This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87" s="207" t="str">
        <f t="shared" ca="1" si="727"/>
        <v>SIN VACUNAR</v>
      </c>
      <c r="NY187" s="43">
        <f>ROW(Tabla1[[#This Row],['# DE TAMIZAJES SIFILIS TOMADOS ]])</f>
        <v>187</v>
      </c>
      <c r="NZ187" s="43" t="str">
        <f t="shared" si="502"/>
        <v>Menor</v>
      </c>
      <c r="OA187" s="43" t="str">
        <f t="shared" si="503"/>
        <v>NORMAL</v>
      </c>
      <c r="OB187" s="43" t="str">
        <f t="shared" si="504"/>
        <v/>
      </c>
      <c r="OC187" s="43" t="str">
        <f t="shared" si="505"/>
        <v/>
      </c>
      <c r="OD187" s="43" t="str">
        <f t="shared" si="506"/>
        <v/>
      </c>
      <c r="OE187" s="43" t="str">
        <f t="shared" si="507"/>
        <v/>
      </c>
      <c r="OF187" s="43" t="str">
        <f t="shared" si="508"/>
        <v/>
      </c>
      <c r="OG187" s="43" t="str">
        <f t="shared" si="509"/>
        <v/>
      </c>
      <c r="OH187" s="43" t="str">
        <f t="shared" si="510"/>
        <v/>
      </c>
      <c r="OI187" s="43" t="str">
        <f t="shared" si="511"/>
        <v/>
      </c>
      <c r="OJ187" s="43" t="str">
        <f t="shared" si="512"/>
        <v/>
      </c>
      <c r="OK187" s="43" t="str">
        <f t="shared" si="513"/>
        <v/>
      </c>
      <c r="OL187" s="43" t="str">
        <f t="shared" si="514"/>
        <v/>
      </c>
      <c r="OM187" s="43" t="str">
        <f t="shared" si="515"/>
        <v/>
      </c>
      <c r="ON187" s="43" t="str">
        <f t="shared" si="516"/>
        <v/>
      </c>
      <c r="OO187" s="43" t="str">
        <f t="shared" si="517"/>
        <v/>
      </c>
      <c r="OP187" s="43" t="str">
        <f t="shared" si="518"/>
        <v/>
      </c>
      <c r="OQ187" s="43" t="str">
        <f t="shared" si="519"/>
        <v/>
      </c>
      <c r="OR187" s="43" t="str">
        <f t="shared" si="520"/>
        <v/>
      </c>
      <c r="OS187" s="43" t="str">
        <f t="shared" si="521"/>
        <v/>
      </c>
      <c r="OT187" s="43" t="str">
        <f t="shared" si="522"/>
        <v/>
      </c>
      <c r="OU187" s="43" t="str">
        <f t="shared" si="523"/>
        <v/>
      </c>
      <c r="OV187" s="110" t="str">
        <f t="shared" si="524"/>
        <v/>
      </c>
      <c r="OW187" s="43" t="str">
        <f t="shared" si="525"/>
        <v/>
      </c>
      <c r="OX187" s="43" t="str">
        <f t="shared" si="526"/>
        <v/>
      </c>
      <c r="OY187" s="43" t="str">
        <f t="shared" si="527"/>
        <v/>
      </c>
      <c r="OZ187" s="43" t="str">
        <f t="shared" si="528"/>
        <v/>
      </c>
      <c r="PA187" s="43" t="str">
        <f t="shared" si="529"/>
        <v/>
      </c>
      <c r="PB187" s="43" t="str">
        <f t="shared" si="530"/>
        <v/>
      </c>
      <c r="PC187" s="43" t="str">
        <f t="shared" si="531"/>
        <v/>
      </c>
      <c r="PD187" s="43" t="str">
        <f t="shared" si="532"/>
        <v/>
      </c>
      <c r="PE187" s="43" t="str">
        <f t="shared" si="533"/>
        <v/>
      </c>
      <c r="PF187" s="43" t="str">
        <f t="shared" si="534"/>
        <v/>
      </c>
      <c r="PG187" s="43" t="str">
        <f t="shared" si="535"/>
        <v/>
      </c>
      <c r="PH187" s="43" t="str">
        <f t="shared" si="536"/>
        <v/>
      </c>
      <c r="PI187" s="43" t="str">
        <f t="shared" si="537"/>
        <v>Menor</v>
      </c>
      <c r="PJ187" s="43" t="str">
        <f t="shared" si="538"/>
        <v>NORMAL</v>
      </c>
      <c r="PK187" s="43" t="str">
        <f t="shared" si="539"/>
        <v/>
      </c>
      <c r="PL187" s="43" t="str">
        <f t="shared" si="540"/>
        <v/>
      </c>
      <c r="PM187" s="43" t="str">
        <f t="shared" si="541"/>
        <v/>
      </c>
      <c r="PN187" s="43" t="str">
        <f t="shared" si="542"/>
        <v/>
      </c>
      <c r="PO187" s="43" t="str">
        <f t="shared" si="543"/>
        <v/>
      </c>
      <c r="PP187" s="43" t="str">
        <f t="shared" si="544"/>
        <v/>
      </c>
      <c r="PQ187" s="43" t="str">
        <f t="shared" si="545"/>
        <v/>
      </c>
      <c r="PR187" s="43" t="str">
        <f t="shared" si="546"/>
        <v/>
      </c>
      <c r="PS187" s="43" t="str">
        <f t="shared" si="547"/>
        <v/>
      </c>
      <c r="PT187" s="43" t="str">
        <f t="shared" si="548"/>
        <v/>
      </c>
      <c r="PU187" s="43" t="str">
        <f t="shared" si="549"/>
        <v/>
      </c>
      <c r="PV187" s="43" t="str">
        <f t="shared" si="550"/>
        <v/>
      </c>
      <c r="PW187" s="43" t="str">
        <f t="shared" si="551"/>
        <v/>
      </c>
      <c r="PX187" s="43" t="str">
        <f t="shared" si="552"/>
        <v/>
      </c>
      <c r="PY187" s="43" t="str">
        <f t="shared" si="553"/>
        <v/>
      </c>
      <c r="PZ187" s="43" t="str">
        <f t="shared" si="554"/>
        <v/>
      </c>
      <c r="QA187" s="43" t="str">
        <f t="shared" si="555"/>
        <v/>
      </c>
      <c r="QB187" s="43" t="str">
        <f t="shared" si="556"/>
        <v/>
      </c>
      <c r="QC187" s="43" t="str">
        <f t="shared" si="557"/>
        <v/>
      </c>
      <c r="QD187" s="43" t="str">
        <f t="shared" si="558"/>
        <v/>
      </c>
      <c r="QE187" s="43" t="str">
        <f t="shared" si="559"/>
        <v/>
      </c>
      <c r="QF187" s="43" t="str">
        <f t="shared" si="560"/>
        <v/>
      </c>
      <c r="QG187" s="43" t="str">
        <f t="shared" si="561"/>
        <v/>
      </c>
      <c r="QH187" s="43" t="str">
        <f t="shared" si="562"/>
        <v/>
      </c>
      <c r="QI187" s="43" t="str">
        <f t="shared" si="563"/>
        <v/>
      </c>
      <c r="QJ187" s="43" t="str">
        <f t="shared" si="564"/>
        <v/>
      </c>
      <c r="QK187" s="43" t="str">
        <f t="shared" si="565"/>
        <v/>
      </c>
      <c r="QL187" s="43" t="str">
        <f t="shared" si="566"/>
        <v/>
      </c>
      <c r="QM187" s="43" t="str">
        <f t="shared" si="567"/>
        <v/>
      </c>
      <c r="QN187" s="43" t="str">
        <f t="shared" si="568"/>
        <v/>
      </c>
      <c r="QO187" s="43" t="str">
        <f t="shared" si="569"/>
        <v/>
      </c>
      <c r="QP187" s="43" t="str">
        <f t="shared" si="570"/>
        <v/>
      </c>
      <c r="QQ187" s="43" t="str">
        <f t="shared" si="571"/>
        <v/>
      </c>
      <c r="QR187" s="43" t="str">
        <f t="shared" si="672"/>
        <v>Menor</v>
      </c>
      <c r="QS187" s="43"/>
      <c r="QT187" s="21" t="str">
        <f t="shared" si="572"/>
        <v/>
      </c>
      <c r="QU187" s="21" t="str">
        <f t="shared" si="573"/>
        <v/>
      </c>
      <c r="QV187" s="21" t="str">
        <f t="shared" si="574"/>
        <v/>
      </c>
      <c r="QW187" s="21" t="str">
        <f t="shared" si="575"/>
        <v/>
      </c>
      <c r="QX187" s="21" t="str">
        <f t="shared" si="576"/>
        <v/>
      </c>
      <c r="QY187" s="21" t="str">
        <f t="shared" si="577"/>
        <v/>
      </c>
      <c r="QZ187" s="21" t="str">
        <f t="shared" si="578"/>
        <v/>
      </c>
      <c r="RA187" s="21" t="str">
        <f t="shared" si="579"/>
        <v/>
      </c>
      <c r="RB187" s="21" t="str">
        <f t="shared" si="580"/>
        <v/>
      </c>
      <c r="RC187" s="21" t="str">
        <f t="shared" si="581"/>
        <v/>
      </c>
      <c r="RD187" s="21" t="str">
        <f t="shared" si="582"/>
        <v/>
      </c>
      <c r="RE187" s="21" t="str">
        <f t="shared" si="583"/>
        <v/>
      </c>
      <c r="RF187" s="21" t="str">
        <f t="shared" si="584"/>
        <v/>
      </c>
      <c r="RG187" s="21" t="str">
        <f t="shared" si="585"/>
        <v/>
      </c>
      <c r="RH187" s="21" t="str">
        <f t="shared" si="586"/>
        <v/>
      </c>
      <c r="RI187" s="21" t="str">
        <f t="shared" si="587"/>
        <v/>
      </c>
      <c r="RJ187" s="21" t="str">
        <f t="shared" si="588"/>
        <v/>
      </c>
      <c r="RK187" s="21" t="str">
        <f t="shared" si="589"/>
        <v/>
      </c>
      <c r="RL187" s="21" t="str">
        <f t="shared" si="590"/>
        <v/>
      </c>
      <c r="RM187" s="21" t="str">
        <f t="shared" si="591"/>
        <v/>
      </c>
      <c r="RN187" s="21" t="str">
        <f t="shared" si="592"/>
        <v/>
      </c>
      <c r="RO187" s="21" t="str">
        <f t="shared" si="593"/>
        <v/>
      </c>
      <c r="RP187" s="21" t="str">
        <f t="shared" si="594"/>
        <v/>
      </c>
      <c r="RQ187" s="21" t="str">
        <f t="shared" si="595"/>
        <v/>
      </c>
      <c r="RR187" s="21" t="str">
        <f t="shared" si="596"/>
        <v/>
      </c>
      <c r="RS187" s="21" t="str">
        <f t="shared" si="597"/>
        <v/>
      </c>
      <c r="RT187" s="21" t="str">
        <f t="shared" si="598"/>
        <v/>
      </c>
      <c r="RU187" s="21" t="str">
        <f t="shared" si="599"/>
        <v/>
      </c>
      <c r="RV187" s="21">
        <f t="shared" si="600"/>
        <v>-1</v>
      </c>
      <c r="RW187" s="284">
        <f>IF(OR(Tabla1[[#This Row],[FUM FORMULA CONFIABLE]]="",Tabla1[[#This Row],[FUM FORMULA CONFIABLE]]="SD"),"",IF(Tabla1[[#This Row],[FUM FORMULA CONFIABLE]]="CORREGIDA",Tabla1[[#This Row],[FUM X ECO 1]],Tabla1[[#This Row],[FUM x AMENORREA]]))</f>
        <v>45006</v>
      </c>
      <c r="RX187" s="21" t="str">
        <f>IF(AND(Tabla1[[#This Row],[FUM X ECO 1]]="",Tabla1[[#This Row],[FUM x AMENORREA]]=""),"",IF(AND(Tabla1[[#This Row],[FUM X ECO 1]]="",Tabla1[[#This Row],[FUM x AMENORREA]]&lt;&gt;""),"X",SUM(Tabla1[[#This Row],[FUM X ECO 1]]-Tabla1[[#This Row],[FUM x AMENORREA]])))</f>
        <v>X</v>
      </c>
      <c r="RY187" s="21" t="str">
        <f t="shared" si="673"/>
        <v>x</v>
      </c>
    </row>
    <row r="188" spans="1:493" ht="45" customHeight="1" x14ac:dyDescent="0.25">
      <c r="A188" s="109"/>
      <c r="B188" s="43"/>
      <c r="C188" s="43" t="s">
        <v>845</v>
      </c>
      <c r="D188" s="124"/>
      <c r="E188" s="43" t="s">
        <v>1361</v>
      </c>
      <c r="F188" s="43" t="s">
        <v>992</v>
      </c>
      <c r="G188" s="43" t="s">
        <v>1531</v>
      </c>
      <c r="H188" s="43"/>
      <c r="I188" s="109" t="s">
        <v>851</v>
      </c>
      <c r="J188" s="110">
        <v>1151452891</v>
      </c>
      <c r="K188" s="43" t="s">
        <v>852</v>
      </c>
      <c r="L188" s="175" t="s">
        <v>1509</v>
      </c>
      <c r="M188" s="22">
        <v>35187</v>
      </c>
      <c r="N188" s="213">
        <f t="shared" ca="1" si="601"/>
        <v>27.520547945205479</v>
      </c>
      <c r="O188" s="22">
        <v>45051</v>
      </c>
      <c r="P188" s="214" t="str">
        <f t="shared" si="675"/>
        <v>SI</v>
      </c>
      <c r="Q188" s="26" t="s">
        <v>855</v>
      </c>
      <c r="R188" s="22">
        <v>45051</v>
      </c>
      <c r="S188" s="21" t="s">
        <v>856</v>
      </c>
      <c r="T188" s="24" t="s">
        <v>690</v>
      </c>
      <c r="U188" s="21" t="s">
        <v>857</v>
      </c>
      <c r="V188" s="21" t="s">
        <v>858</v>
      </c>
      <c r="W188" s="21" t="s">
        <v>876</v>
      </c>
      <c r="X188" s="21" t="s">
        <v>876</v>
      </c>
      <c r="Y188" s="21" t="s">
        <v>859</v>
      </c>
      <c r="Z188" s="21">
        <v>3115413819</v>
      </c>
      <c r="AA188" s="21" t="s">
        <v>860</v>
      </c>
      <c r="AB188" s="27" t="s">
        <v>861</v>
      </c>
      <c r="AC188" s="26" t="s">
        <v>877</v>
      </c>
      <c r="AD188" s="38" t="s">
        <v>1546</v>
      </c>
      <c r="AE188" s="26" t="s">
        <v>854</v>
      </c>
      <c r="AF188" s="26" t="s">
        <v>854</v>
      </c>
      <c r="AG188" s="23" t="s">
        <v>864</v>
      </c>
      <c r="AH188" s="23" t="s">
        <v>864</v>
      </c>
      <c r="AI188" s="24" t="s">
        <v>863</v>
      </c>
      <c r="AJ188" s="23" t="s">
        <v>864</v>
      </c>
      <c r="AK188" s="220" t="str">
        <f>IF(AND(AD188="",AE188="",AF188="",AG188="",AH188="",AI188="",AJ188=""),"",IF(OR(Tabla1[[#This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EVALUACIÓN",IF(AND(O188="",R188=""),"",IF(AND(OR(O188&gt;0,R188&gt;0),NG188&gt;=0,NG188&lt;2),"SIN RIESGO",IF(AND(OR(O188&gt;0,R188&gt;0),NG188&gt;=2),"CON RIESGO","ASD")))))</f>
        <v>SIN RIESGO</v>
      </c>
      <c r="AL188" s="23" t="s">
        <v>864</v>
      </c>
      <c r="AM188" s="26" t="s">
        <v>864</v>
      </c>
      <c r="AN188" s="26" t="s">
        <v>864</v>
      </c>
      <c r="AO188" s="26" t="s">
        <v>864</v>
      </c>
      <c r="AP188" s="26" t="s">
        <v>864</v>
      </c>
      <c r="AQ188" s="26" t="s">
        <v>864</v>
      </c>
      <c r="AR188" s="26" t="s">
        <v>864</v>
      </c>
      <c r="AS188" s="21">
        <v>1</v>
      </c>
      <c r="AT188" s="21">
        <v>0</v>
      </c>
      <c r="AU188" s="21">
        <v>1</v>
      </c>
      <c r="AV188" s="26" t="s">
        <v>864</v>
      </c>
      <c r="AW188" s="21">
        <v>0</v>
      </c>
      <c r="AX188" s="26" t="s">
        <v>854</v>
      </c>
      <c r="AY188" s="26" t="s">
        <v>864</v>
      </c>
      <c r="AZ188" s="26" t="s">
        <v>864</v>
      </c>
      <c r="BA188" s="26" t="s">
        <v>864</v>
      </c>
      <c r="BB188" s="26" t="s">
        <v>864</v>
      </c>
      <c r="BC188" s="26" t="s">
        <v>864</v>
      </c>
      <c r="BD188" s="26" t="s">
        <v>864</v>
      </c>
      <c r="BE188" s="26" t="s">
        <v>864</v>
      </c>
      <c r="BF188" s="26" t="s">
        <v>864</v>
      </c>
      <c r="BG188" s="26" t="s">
        <v>864</v>
      </c>
      <c r="BH188" s="26" t="s">
        <v>864</v>
      </c>
      <c r="BI188" s="26" t="s">
        <v>864</v>
      </c>
      <c r="BJ188" s="26" t="s">
        <v>864</v>
      </c>
      <c r="BK188" s="26" t="s">
        <v>864</v>
      </c>
      <c r="BL188" s="26" t="s">
        <v>864</v>
      </c>
      <c r="BM188" s="26" t="s">
        <v>864</v>
      </c>
      <c r="BN188" s="22"/>
      <c r="BO188" s="22">
        <v>44913</v>
      </c>
      <c r="BP188" s="21" t="s">
        <v>854</v>
      </c>
      <c r="BQ188" s="222">
        <f t="shared" si="602"/>
        <v>0</v>
      </c>
      <c r="BR188" s="223">
        <f t="shared" si="603"/>
        <v>44927.8</v>
      </c>
      <c r="BS188" s="224">
        <f t="shared" si="604"/>
        <v>19.714285714285715</v>
      </c>
      <c r="BT188" s="216" t="str">
        <f t="shared" si="605"/>
        <v>II TRIM</v>
      </c>
      <c r="BU188" s="214" t="str">
        <f t="shared" ca="1" si="606"/>
        <v/>
      </c>
      <c r="BV188" s="25" t="s">
        <v>988</v>
      </c>
      <c r="BW188" s="22">
        <v>45121</v>
      </c>
      <c r="BX188" s="28">
        <v>27.6</v>
      </c>
      <c r="BY188" s="28"/>
      <c r="BZ188" s="22"/>
      <c r="CA188" s="21"/>
      <c r="CB188" s="26" t="s">
        <v>864</v>
      </c>
      <c r="CC188" s="26" t="s">
        <v>864</v>
      </c>
      <c r="CD188" s="26"/>
      <c r="CE188" s="26" t="s">
        <v>864</v>
      </c>
      <c r="CF188" s="22" t="s">
        <v>1517</v>
      </c>
      <c r="CG188" s="21">
        <v>1.6</v>
      </c>
      <c r="CH188" s="21">
        <v>60</v>
      </c>
      <c r="CI188" s="214">
        <f t="shared" si="607"/>
        <v>23.437499999999996</v>
      </c>
      <c r="CJ188" s="225" t="e">
        <f>IF(AND(CI188&lt;10,CH188="SD"),"SIN DATO PESO PREGESTACION O I TRIM",IF(AND(OR(R188&gt;0,O188&gt;0),CI188="X"),"INGRESAR DATO DE PESO",IF(CI188="SD","INGRESAR DATO DE TALLA Y PESO",IF(AND(OR(Tabla1[[#This Row],[MOMENTO EN QUE SE REALIZA EL PESO AL INGRESO A CPN]]="PREGESTACIÓN",NZ188="Menor"),CI188&lt;18.5),"BAJO PESO",IF(AND(OR(Tabla1[[#This Row],[MOMENTO EN QUE SE REALIZA EL PESO AL INGRESO A CPN]]="PREGESTACIÓN",NZ188="Menor"),CI188&lt;25),"NORMAL",IF(AND(OR(Tabla1[[#This Row],[MOMENTO EN QUE SE REALIZA EL PESO AL INGRESO A CPN]]="PREGESTACIÓN",NZ188="Menor"),CI188&lt;30),"SOBREPESO",IF(AND(OR(Tabla1[[#This Row],[MOMENTO EN QUE SE REALIZA EL PESO AL INGRESO A CPN]]="PREGESTACIÓN",NZ188="Menor"),CI188&gt;=30,CI188&lt;50),"OBESIDAD",IF(AND(BS188&gt;0,Tabla1[[#This Row],[MOMENTO EN QUE SE REALIZA EL PESO AL INGRESO A CPN]]="GESTACIÓN"),HLOOKUP(NZ188,$OA$2:PH188,NY188),""))))))))</f>
        <v>#REF!</v>
      </c>
      <c r="CK188" s="212">
        <f t="shared" si="608"/>
        <v>45147</v>
      </c>
      <c r="CL188" s="21">
        <v>69</v>
      </c>
      <c r="CM188" s="214">
        <f t="shared" si="609"/>
        <v>26.953124999999996</v>
      </c>
      <c r="CN188" s="216">
        <f t="shared" si="610"/>
        <v>33</v>
      </c>
      <c r="CO188" s="216" t="e">
        <f>IF(PI188="","",IF(PI188&gt;0,HLOOKUP(PI188,$PJ$2:QQ188,NY188),""))</f>
        <v>#REF!</v>
      </c>
      <c r="CP188" s="21">
        <v>28</v>
      </c>
      <c r="CQ188" s="216" t="e">
        <f>IF(QR188="Menor","NO APLICA-MENOR 13 SEM",IF(AND(CC188="SI",CN188&gt;23),"NO APLICA- GEMELAR",IF(QR188="","",IF(QR188&gt;0,HLOOKUP(QR188,$QS$2:RU188,NY188),""))))</f>
        <v>#REF!</v>
      </c>
      <c r="CR188" s="21"/>
      <c r="CS188" s="21"/>
      <c r="CT188" s="217" t="str">
        <f>IF(R188="","",IF(AND(BS188&gt;1,BS188&lt;12,Tabla1[[#This Row],[T.A. SISTOLICA - ANTES DE SEMANA 12]]="",Tabla1[[#This Row],[T.A. DIASTOLICA - ANTES DE SEMANA 12]]=""),"REGISTRE DATO TA ANTES SEMANA 12",IF(AND(BS188&gt;11,BS188&lt;43,Tabla1[[#This Row],[T.A. SISTOLICA - ANTES DE SEMANA 12]]="",Tabla1[[#This Row],[T.A. DIASTOLICA - ANTES DE SEMANA 12]]=""),"NO APLICA REGISTRO TA-INGRESO TARDIO",IF(AND(OR(O188&gt;0,R188&gt;0),OR(CR188&gt;=140,CS188&gt;=90)),"DEFINIR ESTADIO HTA",IF(AND(OR(O188&gt;0,R188&gt;0),AND(CR188&gt;120,CR188&lt;=139)),"PRE HTA SEGUIMIENTO",IF(AND(OR(O188&gt;0,R188&gt;0),AND(CS188&gt;80,CS188&lt;=89)),"PRE HTA SEGUIMIENTO",IF(AND(OR(O188&gt;0,R188&gt;0),AND(CR188&gt;=80,CR188&lt;=120)),"APARENTEMENTE NORMAL",IF(AND(OR(O188&gt;0,R188&gt;0),AND(CS188&gt;=50,CS188&lt;=80)),"APARENTEMENTE NORMAL",IF(AND(OR(O188&gt;0,R188&gt;0),AND(CR188&gt;1,CR188&lt;=70),AND(CS188&gt;1,CS188&lt;=40)),"HIPOTENSIÓN","")))))))))</f>
        <v>NO APLICA REGISTRO TA-INGRESO TARDIO</v>
      </c>
      <c r="CU188" s="21">
        <v>90</v>
      </c>
      <c r="CV188" s="21">
        <v>60</v>
      </c>
      <c r="CW188" s="217" t="str">
        <f ca="1">IF(R188="","",IF(AND(CN188&gt;19,CN188&lt;27,Tabla1[[#This Row],[T.A. SISTOLICA (Entre semana 20 y 26)]]="",Tabla1[[#This Row],[T.A. DIATOLICA (Entre semana 20 y 26)]]=""),"ACUDE A CONTROL SEM 20 A 26 REGISTRE TA AHORA",IF(AND(BS188&gt;1,BS188&lt;27,BU188&gt;19,Tabla1[[#This Row],[T.A. SISTOLICA (Entre semana 20 y 26)]]="",Tabla1[[#This Row],[T.A. DIATOLICA (Entre semana 20 y 26)]]=""),"COMPLETE REGISTRO TA CONTROL SEM 20 A26 ",IF(AND(BS188&gt;26,BS188&lt;43,Tabla1[[#This Row],[T.A. SISTOLICA (Entre semana 20 y 26)]]="",Tabla1[[#This Row],[T.A. DIATOLICA (Entre semana 20 y 26)]]=""),"NO APLICA REGISTRO TA-INGRESO TARDIO",IF(AND(OR(O188&gt;0,R188&gt;0),OR(CU188&gt;=140,CV188&gt;=90)),"ALTO RIESGO PREECLAMPSIA,DEFINIR ESTADIO HTA",IF(AND(OR(O188&gt;0,R188&gt;0),AND(CU188&gt;120,CU188&lt;=139)),"PRE HTA SEGUIMIENTO,RIESGO HIPERTENSION INDUCIDA POR EL EMBARAZO",IF(AND(OR(O188&gt;0,R188&gt;0),AND(CV188&gt;80,CV188&lt;=89)),"PRE HTA SEGUIMIENTO, RIESGO HIPERTENSION INDUCIDA POR EL EMBARAZO",IF(AND(OR(O188&lt;&gt;"",R188&lt;&gt;""),CS188&lt;&gt;"",CV188&lt;&gt;"",CS188&lt;=CV188),"VIGILAR CIFRAS PRESION ARTERIAL",IF(AND(OR(O188&gt;0,R188&gt;0),AND(CU188&gt;120,CU188&lt;=139)),"PRE HTA SEGUIMIENTO",IF(AND(OR(O188&gt;0,R188&gt;0),AND(CU188&gt;1,CU188&lt;=70),AND(CV188&gt;1,CV188&lt;=40)),"HIPOTENSIÓN",IF(AND(OR(O188&lt;&gt;"",R188&lt;&gt;""),CS188&lt;&gt;"",CV188&lt;&gt;"",CS188&gt;CV188),"APARENTEMENTE NORMAL",IF(AND(OR(O188&gt;0,R188&gt;0),AND(CU188&gt;=80,CU188&lt;=120)),"APARENTEMENTE NORMAL",IF(AND(OR(O188&gt;0,R188&gt;0),AND(CV188&gt;=50,CV188&lt;=80)),"APARENTEMENTE NORMAL","")))))))))))))</f>
        <v>APARENTEMENTE NORMAL</v>
      </c>
      <c r="CX188" s="21"/>
      <c r="CY188" s="21"/>
      <c r="CZ188" s="216" t="str">
        <f t="shared" si="729"/>
        <v>ACUDE A CONTROL SEM 30 A 34- REGISTRE AHORA</v>
      </c>
      <c r="DA188" s="21">
        <v>90</v>
      </c>
      <c r="DB188" s="21">
        <v>60</v>
      </c>
      <c r="DC188" s="217" t="str">
        <f t="shared" si="611"/>
        <v>APARENTEMENTE NORMAL</v>
      </c>
      <c r="DD188" s="22">
        <v>45051</v>
      </c>
      <c r="DE188" s="22">
        <v>45051</v>
      </c>
      <c r="DF188" s="22">
        <v>45083</v>
      </c>
      <c r="DG188" s="22">
        <v>45121</v>
      </c>
      <c r="DH188" s="22">
        <v>45147</v>
      </c>
      <c r="DI188" s="22"/>
      <c r="DJ188" s="22"/>
      <c r="DK188" s="22"/>
      <c r="DL188" s="22"/>
      <c r="DM188" s="22"/>
      <c r="DN188" s="22"/>
      <c r="DO188" s="22"/>
      <c r="DP188" s="22"/>
      <c r="DQ188" s="22"/>
      <c r="DR188" s="28">
        <v>0</v>
      </c>
      <c r="DS188" s="22"/>
      <c r="DT188" s="22"/>
      <c r="DU188" s="216" t="str">
        <f t="shared" ca="1" si="676"/>
        <v>CONCERTAR PLAN DE PARTO INMEDIATO</v>
      </c>
      <c r="DV188" s="226" t="str">
        <f t="shared" si="677"/>
        <v>ACTIVA INGRESO A CPN</v>
      </c>
      <c r="DW18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88" s="216" t="e">
        <f t="shared" ca="1" si="612"/>
        <v>#REF!</v>
      </c>
      <c r="DY188" s="212">
        <f>IF(R188="","",IF(R188&gt;0,MAX(Tabla1[[#This Row],[FECHA C2]:[FECHA C13]],Tabla1[[#This Row],[FECHA CONSULTA PRIMERA VEZ PROGRAMA CPN ]])))</f>
        <v>45147</v>
      </c>
      <c r="DZ188" s="216">
        <f t="shared" si="613"/>
        <v>33</v>
      </c>
      <c r="EA188" s="222">
        <f>IF(R188&gt;0,SUM(COUNTA(DF188:DQ188)+COUNTA(Tabla1[[#This Row],[FECHA CONSULTA PRIMERA VEZ PROGRAMA CPN ]])),"")</f>
        <v>4</v>
      </c>
      <c r="EB188" s="222" t="str">
        <f t="shared" si="614"/>
        <v>SI</v>
      </c>
      <c r="EC188" s="214">
        <f t="shared" si="615"/>
        <v>7</v>
      </c>
      <c r="ED188" s="227">
        <f t="shared" si="616"/>
        <v>0.5714285714285714</v>
      </c>
      <c r="EE188" s="22">
        <v>45051</v>
      </c>
      <c r="EF188" s="22">
        <v>45051</v>
      </c>
      <c r="EG188" s="22">
        <v>45051</v>
      </c>
      <c r="EH188" s="22"/>
      <c r="EI188" s="22">
        <v>45051</v>
      </c>
      <c r="EJ188" s="22"/>
      <c r="EK188" s="22"/>
      <c r="EL188" s="21"/>
      <c r="EM188" s="21">
        <v>12.3</v>
      </c>
      <c r="EN188" s="22">
        <v>45087</v>
      </c>
      <c r="EO188" s="222">
        <f t="shared" si="617"/>
        <v>24.857142857142858</v>
      </c>
      <c r="EP188" s="214" t="str">
        <f t="shared" si="618"/>
        <v>NORMAL- SUMINISTRAR SULFATO FERROSO</v>
      </c>
      <c r="EQ188" s="216" t="str">
        <f t="shared" si="619"/>
        <v>II TRIM</v>
      </c>
      <c r="ER188" s="24">
        <v>12.3</v>
      </c>
      <c r="ES188" s="22">
        <v>45087</v>
      </c>
      <c r="ET188" s="29">
        <f t="shared" ca="1" si="678"/>
        <v>24.857142857142858</v>
      </c>
      <c r="EU188" s="25" t="str">
        <f t="shared" si="620"/>
        <v>NORMAL- SUMINISTRAR SULFATO FERROSO</v>
      </c>
      <c r="EV188" s="24" t="s">
        <v>1510</v>
      </c>
      <c r="EW188" s="24">
        <v>45087</v>
      </c>
      <c r="EX188" s="22"/>
      <c r="EY188" s="29">
        <f t="shared" si="693"/>
        <v>24.857142857142858</v>
      </c>
      <c r="EZ188" s="25" t="str">
        <f t="shared" si="694"/>
        <v>SIN RIESGO DE ISOINMUNIZACIÓN</v>
      </c>
      <c r="FA188" s="21">
        <v>61</v>
      </c>
      <c r="FB188" s="22">
        <v>45087</v>
      </c>
      <c r="FC188" s="29" t="str">
        <f t="shared" si="621"/>
        <v>NO APLICA &gt; 23 SEM -TOMAR PTOG</v>
      </c>
      <c r="FD188" s="29"/>
      <c r="FE188" s="29"/>
      <c r="FF188" s="29"/>
      <c r="FG188" s="21" t="str">
        <f t="shared" ca="1" si="622"/>
        <v/>
      </c>
      <c r="FH188" s="31"/>
      <c r="FI188" s="29" t="str">
        <f t="shared" si="623"/>
        <v>TOMAR EXAMEN</v>
      </c>
      <c r="FJ188" s="22"/>
      <c r="FK188" s="22"/>
      <c r="FL188" s="29" t="str">
        <f t="shared" ca="1" si="624"/>
        <v>NO APLICA-INGRESO TARDIO</v>
      </c>
      <c r="FM188" s="22" t="s">
        <v>867</v>
      </c>
      <c r="FN188" s="32">
        <v>45087</v>
      </c>
      <c r="FO188" s="29">
        <f t="shared" ca="1" si="679"/>
        <v>24.857142857142858</v>
      </c>
      <c r="FP188" s="22"/>
      <c r="FQ188" s="32"/>
      <c r="FR188" s="29" t="str">
        <f t="shared" ca="1" si="680"/>
        <v>TOMA INMEDIATA DE TAMIZAJE</v>
      </c>
      <c r="FS188" s="22"/>
      <c r="FT188" s="32"/>
      <c r="FU188" s="29" t="str">
        <f>IF(AND(FJ188="",FM188="",FP188="",FS188=""),"",IF(OR(OR(Tabla1[[#This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88" s="28"/>
      <c r="FW188" s="22"/>
      <c r="FX188" s="29" t="str">
        <f t="shared" si="625"/>
        <v>TOMAR EXAMEN</v>
      </c>
      <c r="FY188" s="22"/>
      <c r="FZ188" s="22"/>
      <c r="GA188" s="29" t="str">
        <f t="shared" ca="1" si="692"/>
        <v>NO APLICA-INGRESO TARDIO</v>
      </c>
      <c r="GB188" s="22" t="s">
        <v>868</v>
      </c>
      <c r="GC188" s="22">
        <v>45087</v>
      </c>
      <c r="GD188" s="29">
        <f t="shared" ca="1" si="732"/>
        <v>24.857142857142858</v>
      </c>
      <c r="GE188" s="22"/>
      <c r="GF188" s="22"/>
      <c r="GG188" s="29" t="str">
        <f t="shared" ca="1" si="682"/>
        <v>TOMA INMEDIATA DE TAMIZAJE</v>
      </c>
      <c r="GH188" s="22"/>
      <c r="GI188" s="29"/>
      <c r="GJ188" s="22"/>
      <c r="GK188" s="22"/>
      <c r="GL188" s="22"/>
      <c r="GM188" s="22"/>
      <c r="GN188" s="28" t="s">
        <v>869</v>
      </c>
      <c r="GO188" s="22">
        <v>45087</v>
      </c>
      <c r="GP188" s="29">
        <f t="shared" si="626"/>
        <v>24.857142857142858</v>
      </c>
      <c r="GQ188" s="28" t="s">
        <v>869</v>
      </c>
      <c r="GR188" s="28" t="s">
        <v>869</v>
      </c>
      <c r="GS188" s="22" t="str">
        <f t="shared" si="728"/>
        <v>CONTROL Igm</v>
      </c>
      <c r="GT188" s="22">
        <v>45087</v>
      </c>
      <c r="GU188" s="29">
        <f t="shared" si="628"/>
        <v>24.857142857142858</v>
      </c>
      <c r="GV188" s="21" t="str">
        <f t="shared" si="629"/>
        <v>II TRIM</v>
      </c>
      <c r="GW188" s="28"/>
      <c r="GX188" s="30"/>
      <c r="GY188" s="21"/>
      <c r="GZ188" s="21"/>
      <c r="HA188" s="21"/>
      <c r="HB188" s="21"/>
      <c r="HC188" s="21"/>
      <c r="HD188" s="21"/>
      <c r="HE188" s="21"/>
      <c r="HF188" s="22"/>
      <c r="HG188" s="22" t="str">
        <f>IF(OR(O188&gt;0,R188&gt;0),CONCATENATE(IF(Tabla1[[#This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88" s="22" t="e">
        <f t="shared" si="630"/>
        <v>#REF!</v>
      </c>
      <c r="HI188" s="22" t="e">
        <f t="shared" ca="1" si="631"/>
        <v>#REF!</v>
      </c>
      <c r="HJ188" s="21" t="str">
        <f t="shared" ca="1" si="632"/>
        <v>**********************MULTIPARIDAD*ANTECEDENTE MUERTE PERINATAL****************</v>
      </c>
      <c r="HK188" s="21" t="str">
        <f t="shared" si="633"/>
        <v>SIN ANTECEDENTES DE RIESGO</v>
      </c>
      <c r="HL188" s="24" t="str">
        <f t="shared" si="634"/>
        <v>APARENTEMENTE NORMAL</v>
      </c>
      <c r="HM188" s="21" t="e">
        <f t="shared" ca="1" si="635"/>
        <v>#REF!</v>
      </c>
      <c r="HN188" s="30" t="str">
        <f t="shared" si="683"/>
        <v>ACTIVA INGRESO A CPN</v>
      </c>
      <c r="HO188" s="21"/>
      <c r="HP188" s="21"/>
      <c r="HQ188" s="349"/>
      <c r="HR188" s="21" t="str">
        <f>IF(R188="","",IF(Tabla1[[#This Row],[ALARMA FACTORES DE RIESGO COMPLICACIONES HIPERTENSIVAS3]]="SIN ANTECEDENTES DE RIESGO","No Aplica para suministro de ASA",IF(AND(Tabla1[[#This Row],[FECHA INICIO DE SUMINISTRO DE ASA]]&gt;0,RV188&lt;12),"Inicia ASA ANTES de Sem 12",IF(AND(RV188&gt;11,RV188&lt;17,OR(HK188="RIESGO ALTO DE COMPLICACIONES HIPERTENSIVAS VER MANEJO GUIA SUMINISTRO ASA Y CALCIO",HK188="RIESGO MODERADO (2 O MAS CRITERIOS) VER MANEJO GUIA SUMINISTRO ASA Y CALCIO")),"Inicio oportuno de ASA",IF(AND(RV188&gt;12,OR(HK188="RIESGO ALTO DE COMPLICACIONES HIPERTENSIVAS VER MANEJO GUIA SUMINISTRO ASA Y CALCIO",HK188="RIESGO MODERADO (2 O MAS CRITERIOS) VER MANEJO GUIA SUMINISTRO ASA Y CALCIO")),"Inicio no oportuno mayor a 16 semanas",IF(AND(BU188&lt;12,OR(HK188="RIESGO ALTO DE COMPLICACIONES HIPERTENSIVAS VER MANEJO GUIA SUMINISTRO ASA Y CALCIO",HK188="RIESGO MODERADO (2 O MAS CRITERIOS) VER MANEJO GUIA SUMINISTRO ASA Y CALCIO")),"Pendiente Inicio de ASA a la semana 12",IF(AND(BU188&gt;11,BU188&lt;17,OR(HK188="RIESGO ALTO DE COMPLICACIONES HIPERTENSIVAS VER MANEJO GUIA SUMINISTRO ASA Y CALCIO",HK188="RIESGO MODERADO (2 O MAS CRITERIOS) VER MANEJO GUIA SUMINISTRO ASA Y CALCIO")),"Iniciar de inmediato ASA",IF(AND(BU188&gt;16,OR(HK188="RIESGO ALTO DE COMPLICACIONES HIPERTENSIVAS VER MANEJO GUIA SUMINISTRO ASA Y CALCIO",HK188="RIESGO MODERADO (2 O MAS CRITERIOS) VER MANEJO GUIA SUMINISTRO ASA Y CALCIO")),"Pierde Oportunidad, Inicio tardío de ASA","XXXXX"))))))))</f>
        <v>No Aplica para suministro de ASA</v>
      </c>
      <c r="HS188" s="22">
        <v>45051</v>
      </c>
      <c r="HT188" s="22" t="s">
        <v>1532</v>
      </c>
      <c r="HU188" s="22">
        <v>45051</v>
      </c>
      <c r="HV188" s="22" t="s">
        <v>1523</v>
      </c>
      <c r="HW188" s="22">
        <v>45051</v>
      </c>
      <c r="HX188" s="22" t="s">
        <v>1511</v>
      </c>
      <c r="HY188" s="22">
        <v>45051</v>
      </c>
      <c r="HZ188" s="28">
        <f t="shared" si="636"/>
        <v>19.714285714285715</v>
      </c>
      <c r="IA188" s="26"/>
      <c r="IB188" s="26"/>
      <c r="IC188" s="111"/>
      <c r="ID188" s="22"/>
      <c r="IE188" s="22" t="str">
        <f t="shared" ca="1" si="637"/>
        <v/>
      </c>
      <c r="IF188" s="22"/>
      <c r="IG188" s="22">
        <f t="shared" si="638"/>
        <v>45193</v>
      </c>
      <c r="IH188" s="29">
        <f t="shared" ca="1" si="639"/>
        <v>-39</v>
      </c>
      <c r="II188" s="22" t="str">
        <f t="shared" ca="1" si="640"/>
        <v>POSIBLEMENTE NACIO</v>
      </c>
      <c r="IJ188" s="22"/>
      <c r="IK188" s="21"/>
      <c r="IL188" s="21"/>
      <c r="IM188" s="34"/>
      <c r="IN188" s="22"/>
      <c r="IO188" s="21"/>
      <c r="IP188" s="29" t="str">
        <f t="shared" si="730"/>
        <v/>
      </c>
      <c r="IQ188" s="35"/>
      <c r="IR188" s="21"/>
      <c r="IS188" s="21"/>
      <c r="IT188" s="21"/>
      <c r="IU188" s="21"/>
      <c r="IV188" s="21"/>
      <c r="IW188" s="21"/>
      <c r="IX188" s="21"/>
      <c r="IY188" s="21"/>
      <c r="IZ188" s="21"/>
      <c r="JA188" s="21"/>
      <c r="JB188" s="30"/>
      <c r="JC188" s="21"/>
      <c r="JD188" s="36"/>
      <c r="JE188" s="21" t="str">
        <f t="shared" si="733"/>
        <v/>
      </c>
      <c r="JF188" s="30"/>
      <c r="JG188" s="21"/>
      <c r="JH188" s="21"/>
      <c r="JI188" s="21"/>
      <c r="JJ188" s="30"/>
      <c r="JK188" s="22"/>
      <c r="JL188" s="22"/>
      <c r="JM188" s="21"/>
      <c r="JN188" s="36"/>
      <c r="JO188" s="21" t="str">
        <f t="shared" si="734"/>
        <v/>
      </c>
      <c r="JP188" s="22"/>
      <c r="JQ188" s="21"/>
      <c r="JR188" s="21"/>
      <c r="JS188" s="21"/>
      <c r="JT188" s="30"/>
      <c r="JU188" s="22"/>
      <c r="JV188" s="22"/>
      <c r="JW188" s="33"/>
      <c r="JX188" s="28" t="str">
        <f t="shared" si="735"/>
        <v/>
      </c>
      <c r="JY188" s="33"/>
      <c r="JZ188" s="28" t="str">
        <f t="shared" si="736"/>
        <v/>
      </c>
      <c r="KA188" s="21"/>
      <c r="KB188" s="21"/>
      <c r="KC188" s="21"/>
      <c r="KD188" s="37"/>
      <c r="KE188" s="28"/>
      <c r="KF188" s="28"/>
      <c r="KG188" s="28"/>
      <c r="KH188" s="39"/>
      <c r="KI188" s="39"/>
      <c r="KJ188" s="66"/>
      <c r="KK188" s="39"/>
      <c r="KL188" s="39"/>
      <c r="KM188" s="66"/>
      <c r="KN188" s="39"/>
      <c r="KO188" s="39"/>
      <c r="KP188" s="39"/>
      <c r="KQ188" s="39"/>
      <c r="KR188" s="39"/>
      <c r="KS188" s="39"/>
      <c r="KT188" s="39"/>
      <c r="KU188" s="38"/>
      <c r="KV188" s="38"/>
      <c r="KW188" s="38"/>
      <c r="KX188" s="38"/>
      <c r="KY188" s="38"/>
      <c r="KZ188" s="38"/>
      <c r="LA188" s="38"/>
      <c r="LB188" s="38"/>
      <c r="LC188" s="38"/>
      <c r="LD188" s="38"/>
      <c r="LE188" s="38"/>
      <c r="LF188" s="38"/>
      <c r="LG188" s="38"/>
      <c r="LH188" s="38"/>
      <c r="LI188" s="38"/>
      <c r="LJ188" s="38"/>
      <c r="LK188" s="38"/>
      <c r="LL188" s="38"/>
      <c r="LM188" s="38"/>
      <c r="LN188" s="38"/>
      <c r="LO188" s="38"/>
      <c r="LP188" s="38"/>
      <c r="LQ188" s="38"/>
      <c r="LR188" s="38"/>
      <c r="LS188" s="38"/>
      <c r="LT188" s="38"/>
      <c r="LU188" s="38"/>
      <c r="LV188" s="38"/>
      <c r="LW188" s="38"/>
      <c r="LX188" s="38"/>
      <c r="LY188" s="38"/>
      <c r="LZ188" s="38"/>
      <c r="MA188" s="38"/>
      <c r="MB188" s="38"/>
      <c r="MC188" s="38"/>
      <c r="MD188" s="38"/>
      <c r="ME188" s="38"/>
      <c r="MF188" s="38"/>
      <c r="MG188" s="38"/>
      <c r="MH188" s="43">
        <f t="shared" si="697"/>
        <v>0</v>
      </c>
      <c r="MI188" s="43" t="str">
        <f t="shared" si="698"/>
        <v/>
      </c>
      <c r="MJ188" s="43" t="str">
        <f t="shared" si="699"/>
        <v/>
      </c>
      <c r="MK188" s="43">
        <f t="shared" si="700"/>
        <v>0</v>
      </c>
      <c r="ML18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88" s="43">
        <f t="shared" si="701"/>
        <v>19.714285714285715</v>
      </c>
      <c r="MN188" s="43">
        <f t="shared" si="702"/>
        <v>5</v>
      </c>
      <c r="MO188" s="43">
        <f t="shared" si="703"/>
        <v>2023</v>
      </c>
      <c r="MP188" s="43" t="str">
        <f t="shared" si="704"/>
        <v>II TRIMESTRE AÑO</v>
      </c>
      <c r="MQ188" s="43">
        <f t="shared" si="705"/>
        <v>26.617936925098551</v>
      </c>
      <c r="MR188" s="43">
        <f t="shared" si="706"/>
        <v>0</v>
      </c>
      <c r="MS188" s="43" t="str">
        <f t="shared" si="707"/>
        <v xml:space="preserve"> DE 25 A 29 AÑOS</v>
      </c>
      <c r="MT188" s="43">
        <f t="shared" si="708"/>
        <v>1</v>
      </c>
      <c r="MU188" s="43">
        <f t="shared" si="709"/>
        <v>1</v>
      </c>
      <c r="MV188" s="43">
        <f t="shared" si="710"/>
        <v>0</v>
      </c>
      <c r="MW188" s="43">
        <f t="shared" si="711"/>
        <v>0</v>
      </c>
      <c r="MX188" s="43" t="str">
        <f t="shared" si="712"/>
        <v/>
      </c>
      <c r="MY188" s="43" t="str">
        <f t="shared" ca="1" si="737"/>
        <v/>
      </c>
      <c r="MZ188" s="43" t="str">
        <f t="shared" si="713"/>
        <v/>
      </c>
      <c r="NA188" s="43" t="str">
        <f t="shared" si="714"/>
        <v/>
      </c>
      <c r="NB188" s="43" t="str">
        <f t="shared" si="715"/>
        <v/>
      </c>
      <c r="NC188" s="43" t="str">
        <f t="shared" si="716"/>
        <v/>
      </c>
      <c r="ND188" s="43">
        <f t="shared" ca="1" si="717"/>
        <v>2</v>
      </c>
      <c r="NE188" s="43">
        <f>IF(OR(O188&gt;0,R188&gt;0),SUM(COUNTIF(Tabla1[[#This Row],[AÑOS AL INICIO5 CPN]],"&gt;=40"),COUNTIF(AS188,"0"),COUNTIF(AR188,"SI"),COUNTIF(CC188,"SI"),COUNTIF(BQ188,"&gt;119"),COUNTIF(CI188,"&gt;=35")),"")</f>
        <v>0</v>
      </c>
      <c r="NF188" s="43" t="str">
        <f t="shared" si="718"/>
        <v/>
      </c>
      <c r="NG188" s="43">
        <f t="shared" si="719"/>
        <v>0</v>
      </c>
      <c r="NH188" s="43">
        <f t="shared" si="720"/>
        <v>193.20000000000002</v>
      </c>
      <c r="NI18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CPN",P188="NO"),"Z",IF(AND(Tabla1[[#This Row],[CITA PROXIMO CONTROL]]="CITA MANUAL",Tabla1[[#This Row],[GESTANTES ACTUALES]]="ACTIVA INGRESO A CPN"),"W",IF(AND(Tabla1[[#This Row],[GESTANTES ACTUALES]]="SALIO PROGRAMA",IN188=""),"S",IF(AND(Tabla1[[#This Row],[CITA PROXIMO CONTROL]]&gt;0,IN188=""),(Tabla1[[#This Row],[CITA PROXIMO CONTROL]]-TODAY()),"SD"))))))))</f>
        <v>#REF!</v>
      </c>
      <c r="NJ188" s="43">
        <f>MONTH(Tabla1[[#This Row],[FECHA DE SALIDA  DEL PROGRAMA]])</f>
        <v>1</v>
      </c>
      <c r="NK188" s="43">
        <f>YEAR(Tabla1[[#This Row],[FECHA DE SALIDA  DEL PROGRAMA]])</f>
        <v>1900</v>
      </c>
      <c r="NL188" s="43" t="str">
        <f t="shared" si="721"/>
        <v>X</v>
      </c>
      <c r="NM188" s="43" t="str">
        <f t="shared" si="695"/>
        <v>NO</v>
      </c>
      <c r="NN188" s="43" t="str">
        <f ca="1">IF(AND(O188&gt;0,R188=""),"NO CPN",IF(AND(O188="",R188=""),"",IF(AND(R188&gt;0,Tabla1[[#This Row],[SEMANAS DE GESTACION ACTUALIZADAS]]&lt;=12),"NO APLICA",IF(AND(FH188&lt;&gt;"",FN188&lt;&gt;""),"SI","NO"))))</f>
        <v>NO</v>
      </c>
      <c r="NO188" s="43" t="str">
        <f ca="1">IF(AND(O188&gt;0,R188=""),"NO CPN",IF(AND(O188="",R188=""),"",IF(AND(R188&gt;0,Tabla1[[#This Row],[SEMANAS DE GESTACION ACTUALIZADAS]]&lt;=27),"NO APLICA",IF(AND(ES188&lt;&gt;"",FQ188&lt;&gt;"",GF188&lt;&gt;""),"SI","NO"))))</f>
        <v>NO</v>
      </c>
      <c r="NP188" s="204" t="str">
        <f t="shared" si="722"/>
        <v>II TRIM</v>
      </c>
      <c r="NQ188" s="21" t="str">
        <f t="shared" si="731"/>
        <v/>
      </c>
      <c r="NR188" s="21" t="str">
        <f t="shared" ca="1" si="738"/>
        <v>REVISAR FUM O FECHA SALIDA PROGRAMA</v>
      </c>
      <c r="NS188" s="205">
        <f t="shared" ca="1" si="723"/>
        <v>1</v>
      </c>
      <c r="NT188" s="21">
        <f t="shared" ca="1" si="724"/>
        <v>1</v>
      </c>
      <c r="NU188" s="21" t="str">
        <f t="shared" ca="1" si="725"/>
        <v>POR DEFINIR</v>
      </c>
      <c r="NV188" s="21" t="str">
        <f t="shared" ca="1" si="726"/>
        <v>POR DEFINIR</v>
      </c>
      <c r="NW188" s="206" t="str">
        <f>IF(AND(O188="",R188=""),"",IF(OR(AND(Tabla1[[#This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88" s="207" t="str">
        <f t="shared" ca="1" si="727"/>
        <v>SIN VACUNAR</v>
      </c>
      <c r="NY188" s="43">
        <f>ROW(Tabla1[[#This Row],['# DE TAMIZAJES SIFILIS TOMADOS ]])</f>
        <v>188</v>
      </c>
      <c r="NZ188" s="43">
        <f t="shared" si="502"/>
        <v>19</v>
      </c>
      <c r="OA188" s="43" t="str">
        <f t="shared" si="503"/>
        <v/>
      </c>
      <c r="OB188" s="43" t="str">
        <f t="shared" si="504"/>
        <v/>
      </c>
      <c r="OC188" s="43" t="str">
        <f t="shared" si="505"/>
        <v/>
      </c>
      <c r="OD188" s="43" t="str">
        <f t="shared" si="506"/>
        <v/>
      </c>
      <c r="OE188" s="43" t="str">
        <f t="shared" si="507"/>
        <v/>
      </c>
      <c r="OF188" s="43" t="str">
        <f t="shared" si="508"/>
        <v/>
      </c>
      <c r="OG188" s="43" t="str">
        <f t="shared" si="509"/>
        <v/>
      </c>
      <c r="OH188" s="43" t="str">
        <f t="shared" si="510"/>
        <v/>
      </c>
      <c r="OI188" s="43" t="str">
        <f t="shared" si="511"/>
        <v/>
      </c>
      <c r="OJ188" s="43" t="str">
        <f t="shared" si="512"/>
        <v/>
      </c>
      <c r="OK188" s="43" t="str">
        <f t="shared" si="513"/>
        <v>NORMAL</v>
      </c>
      <c r="OL188" s="43" t="str">
        <f t="shared" si="514"/>
        <v/>
      </c>
      <c r="OM188" s="43" t="str">
        <f t="shared" si="515"/>
        <v/>
      </c>
      <c r="ON188" s="43" t="str">
        <f t="shared" si="516"/>
        <v/>
      </c>
      <c r="OO188" s="43" t="str">
        <f t="shared" si="517"/>
        <v/>
      </c>
      <c r="OP188" s="43" t="str">
        <f t="shared" si="518"/>
        <v/>
      </c>
      <c r="OQ188" s="43" t="str">
        <f t="shared" si="519"/>
        <v/>
      </c>
      <c r="OR188" s="43" t="str">
        <f t="shared" si="520"/>
        <v/>
      </c>
      <c r="OS188" s="43" t="str">
        <f t="shared" si="521"/>
        <v/>
      </c>
      <c r="OT188" s="43" t="str">
        <f t="shared" si="522"/>
        <v/>
      </c>
      <c r="OU188" s="43" t="str">
        <f t="shared" si="523"/>
        <v/>
      </c>
      <c r="OV188" s="110" t="str">
        <f t="shared" si="524"/>
        <v/>
      </c>
      <c r="OW188" s="43" t="str">
        <f t="shared" si="525"/>
        <v/>
      </c>
      <c r="OX188" s="43" t="str">
        <f t="shared" si="526"/>
        <v/>
      </c>
      <c r="OY188" s="43" t="str">
        <f t="shared" si="527"/>
        <v/>
      </c>
      <c r="OZ188" s="43" t="str">
        <f t="shared" si="528"/>
        <v/>
      </c>
      <c r="PA188" s="43" t="str">
        <f t="shared" si="529"/>
        <v/>
      </c>
      <c r="PB188" s="43" t="str">
        <f t="shared" si="530"/>
        <v/>
      </c>
      <c r="PC188" s="43" t="str">
        <f t="shared" si="531"/>
        <v/>
      </c>
      <c r="PD188" s="43" t="str">
        <f t="shared" si="532"/>
        <v/>
      </c>
      <c r="PE188" s="43" t="str">
        <f t="shared" si="533"/>
        <v/>
      </c>
      <c r="PF188" s="43" t="str">
        <f t="shared" si="534"/>
        <v/>
      </c>
      <c r="PG188" s="43" t="str">
        <f t="shared" si="535"/>
        <v/>
      </c>
      <c r="PH188" s="43" t="str">
        <f t="shared" si="536"/>
        <v/>
      </c>
      <c r="PI188" s="43">
        <f t="shared" si="537"/>
        <v>33</v>
      </c>
      <c r="PJ188" s="43" t="str">
        <f t="shared" si="538"/>
        <v/>
      </c>
      <c r="PK188" s="43" t="str">
        <f t="shared" si="539"/>
        <v/>
      </c>
      <c r="PL188" s="43" t="str">
        <f t="shared" si="540"/>
        <v/>
      </c>
      <c r="PM188" s="43" t="str">
        <f t="shared" si="541"/>
        <v/>
      </c>
      <c r="PN188" s="43" t="str">
        <f t="shared" si="542"/>
        <v/>
      </c>
      <c r="PO188" s="43" t="str">
        <f t="shared" si="543"/>
        <v/>
      </c>
      <c r="PP188" s="43" t="str">
        <f t="shared" si="544"/>
        <v/>
      </c>
      <c r="PQ188" s="43" t="str">
        <f t="shared" si="545"/>
        <v/>
      </c>
      <c r="PR188" s="43" t="str">
        <f t="shared" si="546"/>
        <v/>
      </c>
      <c r="PS188" s="43" t="str">
        <f t="shared" si="547"/>
        <v/>
      </c>
      <c r="PT188" s="43" t="str">
        <f t="shared" si="548"/>
        <v/>
      </c>
      <c r="PU188" s="43" t="str">
        <f t="shared" si="549"/>
        <v/>
      </c>
      <c r="PV188" s="43" t="str">
        <f t="shared" si="550"/>
        <v/>
      </c>
      <c r="PW188" s="43" t="str">
        <f t="shared" si="551"/>
        <v/>
      </c>
      <c r="PX188" s="43" t="str">
        <f t="shared" si="552"/>
        <v/>
      </c>
      <c r="PY188" s="43" t="str">
        <f t="shared" si="553"/>
        <v/>
      </c>
      <c r="PZ188" s="43" t="str">
        <f t="shared" si="554"/>
        <v/>
      </c>
      <c r="QA188" s="43" t="str">
        <f t="shared" si="555"/>
        <v/>
      </c>
      <c r="QB188" s="43" t="str">
        <f t="shared" si="556"/>
        <v/>
      </c>
      <c r="QC188" s="43" t="str">
        <f t="shared" si="557"/>
        <v/>
      </c>
      <c r="QD188" s="43" t="str">
        <f t="shared" si="558"/>
        <v/>
      </c>
      <c r="QE188" s="43" t="str">
        <f t="shared" si="559"/>
        <v/>
      </c>
      <c r="QF188" s="43" t="str">
        <f t="shared" si="560"/>
        <v/>
      </c>
      <c r="QG188" s="43" t="str">
        <f t="shared" si="561"/>
        <v/>
      </c>
      <c r="QH188" s="43" t="str">
        <f t="shared" si="562"/>
        <v>NORMAL</v>
      </c>
      <c r="QI188" s="43" t="str">
        <f t="shared" si="563"/>
        <v/>
      </c>
      <c r="QJ188" s="43" t="str">
        <f t="shared" si="564"/>
        <v/>
      </c>
      <c r="QK188" s="43" t="str">
        <f t="shared" si="565"/>
        <v/>
      </c>
      <c r="QL188" s="43" t="str">
        <f t="shared" si="566"/>
        <v/>
      </c>
      <c r="QM188" s="43" t="str">
        <f t="shared" si="567"/>
        <v/>
      </c>
      <c r="QN188" s="43" t="str">
        <f t="shared" si="568"/>
        <v/>
      </c>
      <c r="QO188" s="43" t="str">
        <f t="shared" si="569"/>
        <v/>
      </c>
      <c r="QP188" s="43" t="str">
        <f t="shared" si="570"/>
        <v/>
      </c>
      <c r="QQ188" s="43" t="str">
        <f t="shared" si="571"/>
        <v/>
      </c>
      <c r="QR188" s="43">
        <f t="shared" si="672"/>
        <v>33</v>
      </c>
      <c r="QS188" s="43"/>
      <c r="QT188" s="21" t="str">
        <f t="shared" si="572"/>
        <v/>
      </c>
      <c r="QU188" s="21" t="str">
        <f t="shared" si="573"/>
        <v/>
      </c>
      <c r="QV188" s="21" t="str">
        <f t="shared" si="574"/>
        <v/>
      </c>
      <c r="QW188" s="21" t="str">
        <f t="shared" si="575"/>
        <v/>
      </c>
      <c r="QX188" s="21" t="str">
        <f t="shared" si="576"/>
        <v/>
      </c>
      <c r="QY188" s="21" t="str">
        <f t="shared" si="577"/>
        <v/>
      </c>
      <c r="QZ188" s="21" t="str">
        <f t="shared" si="578"/>
        <v/>
      </c>
      <c r="RA188" s="21" t="str">
        <f t="shared" si="579"/>
        <v/>
      </c>
      <c r="RB188" s="21" t="str">
        <f t="shared" si="580"/>
        <v/>
      </c>
      <c r="RC188" s="21" t="str">
        <f t="shared" si="581"/>
        <v/>
      </c>
      <c r="RD188" s="21" t="str">
        <f t="shared" si="582"/>
        <v/>
      </c>
      <c r="RE188" s="21" t="str">
        <f t="shared" si="583"/>
        <v/>
      </c>
      <c r="RF188" s="21" t="str">
        <f t="shared" si="584"/>
        <v/>
      </c>
      <c r="RG188" s="21" t="str">
        <f t="shared" si="585"/>
        <v/>
      </c>
      <c r="RH188" s="21" t="str">
        <f t="shared" si="586"/>
        <v/>
      </c>
      <c r="RI188" s="21" t="str">
        <f t="shared" si="587"/>
        <v/>
      </c>
      <c r="RJ188" s="21" t="str">
        <f t="shared" si="588"/>
        <v/>
      </c>
      <c r="RK188" s="21" t="str">
        <f t="shared" si="589"/>
        <v/>
      </c>
      <c r="RL188" s="21" t="str">
        <f t="shared" si="590"/>
        <v/>
      </c>
      <c r="RM188" s="21" t="str">
        <f t="shared" si="591"/>
        <v/>
      </c>
      <c r="RN188" s="21" t="str">
        <f t="shared" si="592"/>
        <v>ADECUADO PARA EDAD GESTACIONAL</v>
      </c>
      <c r="RO188" s="21" t="str">
        <f t="shared" si="593"/>
        <v/>
      </c>
      <c r="RP188" s="21" t="str">
        <f t="shared" si="594"/>
        <v/>
      </c>
      <c r="RQ188" s="21" t="str">
        <f t="shared" si="595"/>
        <v/>
      </c>
      <c r="RR188" s="21" t="str">
        <f t="shared" si="596"/>
        <v/>
      </c>
      <c r="RS188" s="21" t="str">
        <f t="shared" si="597"/>
        <v/>
      </c>
      <c r="RT188" s="21" t="str">
        <f t="shared" si="598"/>
        <v/>
      </c>
      <c r="RU188" s="21" t="str">
        <f t="shared" si="599"/>
        <v/>
      </c>
      <c r="RV188" s="21">
        <f t="shared" si="600"/>
        <v>-1</v>
      </c>
      <c r="RW188" s="284">
        <f>IF(OR(Tabla1[[#This Row],[FUM FORMULA CONFIABLE]]="",Tabla1[[#This Row],[FUM FORMULA CONFIABLE]]="SD"),"",IF(Tabla1[[#This Row],[FUM FORMULA CONFIABLE]]="CORREGIDA",Tabla1[[#This Row],[FUM X ECO 1]],Tabla1[[#This Row],[FUM x AMENORREA]]))</f>
        <v>44913</v>
      </c>
      <c r="RX188" s="21">
        <f>IF(AND(Tabla1[[#This Row],[FUM X ECO 1]]="",Tabla1[[#This Row],[FUM x AMENORREA]]=""),"",IF(AND(Tabla1[[#This Row],[FUM X ECO 1]]="",Tabla1[[#This Row],[FUM x AMENORREA]]&lt;&gt;""),"X",SUM(Tabla1[[#This Row],[FUM X ECO 1]]-Tabla1[[#This Row],[FUM x AMENORREA]])))</f>
        <v>14.80000000000291</v>
      </c>
      <c r="RY188" s="21">
        <f t="shared" si="673"/>
        <v>1</v>
      </c>
    </row>
    <row r="189" spans="1:493" ht="45" customHeight="1" x14ac:dyDescent="0.25">
      <c r="A189" s="109"/>
      <c r="B189" s="43"/>
      <c r="C189" s="43" t="s">
        <v>845</v>
      </c>
      <c r="D189" s="124"/>
      <c r="E189" s="43" t="s">
        <v>914</v>
      </c>
      <c r="F189" s="43" t="s">
        <v>1470</v>
      </c>
      <c r="G189" s="43" t="s">
        <v>1167</v>
      </c>
      <c r="H189" s="43" t="s">
        <v>1043</v>
      </c>
      <c r="I189" s="109" t="s">
        <v>851</v>
      </c>
      <c r="J189" s="110">
        <v>1193105051</v>
      </c>
      <c r="K189" s="43" t="s">
        <v>852</v>
      </c>
      <c r="L189" s="175" t="s">
        <v>1509</v>
      </c>
      <c r="M189" s="22">
        <v>37320</v>
      </c>
      <c r="N189" s="213">
        <f t="shared" ca="1" si="601"/>
        <v>21.676712328767124</v>
      </c>
      <c r="O189" s="22">
        <v>45020</v>
      </c>
      <c r="P189" s="214" t="str">
        <f t="shared" si="675"/>
        <v>SI</v>
      </c>
      <c r="Q189" s="26" t="s">
        <v>855</v>
      </c>
      <c r="R189" s="22">
        <v>45020</v>
      </c>
      <c r="S189" s="21" t="s">
        <v>856</v>
      </c>
      <c r="T189" s="24" t="s">
        <v>690</v>
      </c>
      <c r="U189" s="21" t="s">
        <v>857</v>
      </c>
      <c r="V189" s="21" t="s">
        <v>858</v>
      </c>
      <c r="W189" s="21" t="s">
        <v>1191</v>
      </c>
      <c r="X189" s="21"/>
      <c r="Y189" s="21"/>
      <c r="Z189" s="21">
        <v>3157229915</v>
      </c>
      <c r="AA189" s="21" t="s">
        <v>860</v>
      </c>
      <c r="AB189" s="27" t="s">
        <v>861</v>
      </c>
      <c r="AC189" s="26" t="s">
        <v>877</v>
      </c>
      <c r="AD189" s="38" t="s">
        <v>1546</v>
      </c>
      <c r="AE189" s="26" t="s">
        <v>854</v>
      </c>
      <c r="AF189" s="26" t="s">
        <v>854</v>
      </c>
      <c r="AG189" s="23" t="s">
        <v>864</v>
      </c>
      <c r="AH189" s="23" t="s">
        <v>864</v>
      </c>
      <c r="AI189" s="24" t="s">
        <v>863</v>
      </c>
      <c r="AJ189" s="23" t="s">
        <v>864</v>
      </c>
      <c r="AK189" s="220" t="str">
        <f>IF(AND(AD189="",AE189="",AF189="",AG189="",AH189="",AI189="",AJ189=""),"",IF(OR(Tabla1[[#This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EVALUACIÓN",IF(AND(O189="",R189=""),"",IF(AND(OR(O189&gt;0,R189&gt;0),NG189&gt;=0,NG189&lt;2),"SIN RIESGO",IF(AND(OR(O189&gt;0,R189&gt;0),NG189&gt;=2),"CON RIESGO","ASD")))))</f>
        <v>SIN RIESGO</v>
      </c>
      <c r="AL189" s="23" t="s">
        <v>864</v>
      </c>
      <c r="AM189" s="26" t="s">
        <v>864</v>
      </c>
      <c r="AN189" s="26" t="s">
        <v>864</v>
      </c>
      <c r="AO189" s="26" t="s">
        <v>864</v>
      </c>
      <c r="AP189" s="26" t="s">
        <v>864</v>
      </c>
      <c r="AQ189" s="26" t="s">
        <v>864</v>
      </c>
      <c r="AR189" s="26" t="s">
        <v>864</v>
      </c>
      <c r="AS189" s="21">
        <v>0</v>
      </c>
      <c r="AT189" s="21">
        <v>0</v>
      </c>
      <c r="AU189" s="21">
        <v>0</v>
      </c>
      <c r="AV189" s="26" t="s">
        <v>864</v>
      </c>
      <c r="AW189" s="21">
        <v>0</v>
      </c>
      <c r="AX189" s="26" t="s">
        <v>864</v>
      </c>
      <c r="AY189" s="26" t="s">
        <v>864</v>
      </c>
      <c r="AZ189" s="26" t="s">
        <v>864</v>
      </c>
      <c r="BA189" s="26" t="s">
        <v>864</v>
      </c>
      <c r="BB189" s="26" t="s">
        <v>864</v>
      </c>
      <c r="BC189" s="26" t="s">
        <v>864</v>
      </c>
      <c r="BD189" s="26" t="s">
        <v>864</v>
      </c>
      <c r="BE189" s="26" t="s">
        <v>864</v>
      </c>
      <c r="BF189" s="26" t="s">
        <v>864</v>
      </c>
      <c r="BG189" s="26" t="s">
        <v>864</v>
      </c>
      <c r="BH189" s="26" t="s">
        <v>864</v>
      </c>
      <c r="BI189" s="26" t="s">
        <v>864</v>
      </c>
      <c r="BJ189" s="26" t="s">
        <v>864</v>
      </c>
      <c r="BK189" s="26" t="s">
        <v>864</v>
      </c>
      <c r="BL189" s="26" t="s">
        <v>864</v>
      </c>
      <c r="BM189" s="26" t="s">
        <v>864</v>
      </c>
      <c r="BN189" s="22"/>
      <c r="BO189" s="22">
        <v>44953</v>
      </c>
      <c r="BP189" s="21" t="s">
        <v>854</v>
      </c>
      <c r="BQ189" s="222">
        <f t="shared" si="602"/>
        <v>0</v>
      </c>
      <c r="BR189" s="223">
        <f t="shared" si="603"/>
        <v>44950.2</v>
      </c>
      <c r="BS189" s="224">
        <f t="shared" si="604"/>
        <v>9.5714285714285712</v>
      </c>
      <c r="BT189" s="216" t="str">
        <f t="shared" si="605"/>
        <v>I TRIM</v>
      </c>
      <c r="BU189" s="214">
        <f t="shared" ca="1" si="606"/>
        <v>39.857142857142854</v>
      </c>
      <c r="BV189" s="25" t="s">
        <v>988</v>
      </c>
      <c r="BW189" s="22">
        <v>45051</v>
      </c>
      <c r="BX189" s="28">
        <v>14.4</v>
      </c>
      <c r="BY189" s="28"/>
      <c r="BZ189" s="22"/>
      <c r="CA189" s="21"/>
      <c r="CB189" s="26" t="s">
        <v>864</v>
      </c>
      <c r="CC189" s="26" t="s">
        <v>864</v>
      </c>
      <c r="CD189" s="26"/>
      <c r="CE189" s="26" t="s">
        <v>864</v>
      </c>
      <c r="CF189" s="22" t="s">
        <v>1517</v>
      </c>
      <c r="CG189" s="21">
        <v>1.54</v>
      </c>
      <c r="CH189" s="21">
        <v>51.5</v>
      </c>
      <c r="CI189" s="214">
        <f t="shared" si="607"/>
        <v>21.715297689323663</v>
      </c>
      <c r="CJ189" s="225" t="str">
        <f>IF(AND(CI189&lt;10,CH189="SD"),"SIN DATO PESO PREGESTACION O I TRIM",IF(AND(OR(R189&gt;0,O189&gt;0),CI189="X"),"INGRESAR DATO DE PESO",IF(CI189="SD","INGRESAR DATO DE TALLA Y PESO",IF(AND(OR(Tabla1[[#This Row],[MOMENTO EN QUE SE REALIZA EL PESO AL INGRESO A CPN]]="PREGESTACIÓN",NZ189="Menor"),CI189&lt;18.5),"BAJO PESO",IF(AND(OR(Tabla1[[#This Row],[MOMENTO EN QUE SE REALIZA EL PESO AL INGRESO A CPN]]="PREGESTACIÓN",NZ189="Menor"),CI189&lt;25),"NORMAL",IF(AND(OR(Tabla1[[#This Row],[MOMENTO EN QUE SE REALIZA EL PESO AL INGRESO A CPN]]="PREGESTACIÓN",NZ189="Menor"),CI189&lt;30),"SOBREPESO",IF(AND(OR(Tabla1[[#This Row],[MOMENTO EN QUE SE REALIZA EL PESO AL INGRESO A CPN]]="PREGESTACIÓN",NZ189="Menor"),CI189&gt;=30,CI189&lt;50),"OBESIDAD",IF(AND(BS189&gt;0,Tabla1[[#This Row],[MOMENTO EN QUE SE REALIZA EL PESO AL INGRESO A CPN]]="GESTACIÓN"),HLOOKUP(NZ189,$OA$2:PH189,NY189),""))))))))</f>
        <v>NORMAL</v>
      </c>
      <c r="CK189" s="212">
        <f t="shared" si="608"/>
        <v>45157</v>
      </c>
      <c r="CL189" s="21">
        <v>56.2</v>
      </c>
      <c r="CM189" s="214">
        <f t="shared" si="609"/>
        <v>23.697082138640582</v>
      </c>
      <c r="CN189" s="216">
        <f t="shared" si="610"/>
        <v>29</v>
      </c>
      <c r="CO189" s="216" t="e">
        <f>IF(PI189="","",IF(PI189&gt;0,HLOOKUP(PI189,$PJ$2:QQ189,NY189),""))</f>
        <v>#REF!</v>
      </c>
      <c r="CP189" s="21">
        <v>29</v>
      </c>
      <c r="CQ189" s="216" t="e">
        <f>IF(QR189="Menor","NO APLICA-MENOR 13 SEM",IF(AND(CC189="SI",CN189&gt;23),"NO APLICA- GEMELAR",IF(QR189="","",IF(QR189&gt;0,HLOOKUP(QR189,$QS$2:RU189,NY189),""))))</f>
        <v>#REF!</v>
      </c>
      <c r="CR189" s="21">
        <v>90</v>
      </c>
      <c r="CS189" s="21">
        <v>60</v>
      </c>
      <c r="CT189" s="217" t="str">
        <f>IF(R189="","",IF(AND(BS189&gt;1,BS189&lt;12,Tabla1[[#This Row],[T.A. SISTOLICA - ANTES DE SEMANA 12]]="",Tabla1[[#This Row],[T.A. DIASTOLICA - ANTES DE SEMANA 12]]=""),"REGISTRE DATO TA ANTES SEMANA 12",IF(AND(BS189&gt;11,BS189&lt;43,Tabla1[[#This Row],[T.A. SISTOLICA - ANTES DE SEMANA 12]]="",Tabla1[[#This Row],[T.A. DIASTOLICA - ANTES DE SEMANA 12]]=""),"NO APLICA REGISTRO TA-INGRESO TARDIO",IF(AND(OR(O189&gt;0,R189&gt;0),OR(CR189&gt;=140,CS189&gt;=90)),"DEFINIR ESTADIO HTA",IF(AND(OR(O189&gt;0,R189&gt;0),AND(CR189&gt;120,CR189&lt;=139)),"PRE HTA SEGUIMIENTO",IF(AND(OR(O189&gt;0,R189&gt;0),AND(CS189&gt;80,CS189&lt;=89)),"PRE HTA SEGUIMIENTO",IF(AND(OR(O189&gt;0,R189&gt;0),AND(CR189&gt;=80,CR189&lt;=120)),"APARENTEMENTE NORMAL",IF(AND(OR(O189&gt;0,R189&gt;0),AND(CS189&gt;=50,CS189&lt;=80)),"APARENTEMENTE NORMAL",IF(AND(OR(O189&gt;0,R189&gt;0),AND(CR189&gt;1,CR189&lt;=70),AND(CS189&gt;1,CS189&lt;=40)),"HIPOTENSIÓN","")))))))))</f>
        <v>APARENTEMENTE NORMAL</v>
      </c>
      <c r="CU189" s="21">
        <v>90</v>
      </c>
      <c r="CV189" s="21">
        <v>60</v>
      </c>
      <c r="CW189" s="217" t="str">
        <f ca="1">IF(R189="","",IF(AND(CN189&gt;19,CN189&lt;27,Tabla1[[#This Row],[T.A. SISTOLICA (Entre semana 20 y 26)]]="",Tabla1[[#This Row],[T.A. DIATOLICA (Entre semana 20 y 26)]]=""),"ACUDE A CONTROL SEM 20 A 26 REGISTRE TA AHORA",IF(AND(BS189&gt;1,BS189&lt;27,BU189&gt;19,Tabla1[[#This Row],[T.A. SISTOLICA (Entre semana 20 y 26)]]="",Tabla1[[#This Row],[T.A. DIATOLICA (Entre semana 20 y 26)]]=""),"COMPLETE REGISTRO TA CONTROL SEM 20 A26 ",IF(AND(BS189&gt;26,BS189&lt;43,Tabla1[[#This Row],[T.A. SISTOLICA (Entre semana 20 y 26)]]="",Tabla1[[#This Row],[T.A. DIATOLICA (Entre semana 20 y 26)]]=""),"NO APLICA REGISTRO TA-INGRESO TARDIO",IF(AND(OR(O189&gt;0,R189&gt;0),OR(CU189&gt;=140,CV189&gt;=90)),"ALTO RIESGO PREECLAMPSIA,DEFINIR ESTADIO HTA",IF(AND(OR(O189&gt;0,R189&gt;0),AND(CU189&gt;120,CU189&lt;=139)),"PRE HTA SEGUIMIENTO,RIESGO HIPERTENSION INDUCIDA POR EL EMBARAZO",IF(AND(OR(O189&gt;0,R189&gt;0),AND(CV189&gt;80,CV189&lt;=89)),"PRE HTA SEGUIMIENTO, RIESGO HIPERTENSION INDUCIDA POR EL EMBARAZO",IF(AND(OR(O189&lt;&gt;"",R189&lt;&gt;""),CS189&lt;&gt;"",CV189&lt;&gt;"",CS189&lt;=CV189),"VIGILAR CIFRAS PRESION ARTERIAL",IF(AND(OR(O189&gt;0,R189&gt;0),AND(CU189&gt;120,CU189&lt;=139)),"PRE HTA SEGUIMIENTO",IF(AND(OR(O189&gt;0,R189&gt;0),AND(CU189&gt;1,CU189&lt;=70),AND(CV189&gt;1,CV189&lt;=40)),"HIPOTENSIÓN",IF(AND(OR(O189&lt;&gt;"",R189&lt;&gt;""),CS189&lt;&gt;"",CV189&lt;&gt;"",CS189&gt;CV189),"APARENTEMENTE NORMAL",IF(AND(OR(O189&gt;0,R189&gt;0),AND(CU189&gt;=80,CU189&lt;=120)),"APARENTEMENTE NORMAL",IF(AND(OR(O189&gt;0,R189&gt;0),AND(CV189&gt;=50,CV189&lt;=80)),"APARENTEMENTE NORMAL","")))))))))))))</f>
        <v>VIGILAR CIFRAS PRESION ARTERIAL</v>
      </c>
      <c r="CX189" s="21"/>
      <c r="CY189" s="21"/>
      <c r="CZ189" s="216" t="str">
        <f t="shared" si="729"/>
        <v/>
      </c>
      <c r="DA189" s="21">
        <v>90</v>
      </c>
      <c r="DB189" s="21">
        <v>60</v>
      </c>
      <c r="DC189" s="217" t="str">
        <f t="shared" si="611"/>
        <v>APARENTEMENTE NORMAL</v>
      </c>
      <c r="DD189" s="22">
        <v>45020</v>
      </c>
      <c r="DE189" s="22">
        <v>45020</v>
      </c>
      <c r="DF189" s="22">
        <v>45051</v>
      </c>
      <c r="DG189" s="22">
        <v>45086</v>
      </c>
      <c r="DH189" s="22">
        <v>45125</v>
      </c>
      <c r="DI189" s="22">
        <v>45157</v>
      </c>
      <c r="DJ189" s="22"/>
      <c r="DK189" s="22"/>
      <c r="DL189" s="22"/>
      <c r="DM189" s="22"/>
      <c r="DN189" s="22"/>
      <c r="DO189" s="22"/>
      <c r="DP189" s="22"/>
      <c r="DQ189" s="22"/>
      <c r="DR189" s="28">
        <v>0</v>
      </c>
      <c r="DS189" s="22"/>
      <c r="DT189" s="22"/>
      <c r="DU189" s="216" t="str">
        <f t="shared" ca="1" si="676"/>
        <v>CONCERTAR PLAN DE PARTO INMEDIATO</v>
      </c>
      <c r="DV189" s="226" t="str">
        <f t="shared" si="677"/>
        <v>ACTIVA INGRESO A CPN</v>
      </c>
      <c r="DW189"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89" s="216" t="e">
        <f t="shared" ca="1" si="612"/>
        <v>#REF!</v>
      </c>
      <c r="DY189" s="212">
        <f>IF(R189="","",IF(R189&gt;0,MAX(Tabla1[[#This Row],[FECHA C2]:[FECHA C13]],Tabla1[[#This Row],[FECHA CONSULTA PRIMERA VEZ PROGRAMA CPN ]])))</f>
        <v>45157</v>
      </c>
      <c r="DZ189" s="216">
        <f t="shared" si="613"/>
        <v>29</v>
      </c>
      <c r="EA189" s="222">
        <f>IF(R189&gt;0,SUM(COUNTA(DF189:DQ189)+COUNTA(Tabla1[[#This Row],[FECHA CONSULTA PRIMERA VEZ PROGRAMA CPN ]])),"")</f>
        <v>5</v>
      </c>
      <c r="EB189" s="222" t="str">
        <f t="shared" si="614"/>
        <v>SI</v>
      </c>
      <c r="EC189" s="214">
        <f t="shared" si="615"/>
        <v>9</v>
      </c>
      <c r="ED189" s="227">
        <f t="shared" si="616"/>
        <v>0.55555555555555558</v>
      </c>
      <c r="EE189" s="22">
        <v>45020</v>
      </c>
      <c r="EF189" s="22">
        <v>45044</v>
      </c>
      <c r="EG189" s="22">
        <v>45020</v>
      </c>
      <c r="EH189" s="22"/>
      <c r="EI189" s="22">
        <v>45020</v>
      </c>
      <c r="EJ189" s="22">
        <v>45154</v>
      </c>
      <c r="EK189" s="22"/>
      <c r="EL189" s="21"/>
      <c r="EM189" s="21">
        <v>12.4</v>
      </c>
      <c r="EN189" s="22">
        <v>45020</v>
      </c>
      <c r="EO189" s="222">
        <f t="shared" si="617"/>
        <v>9.5714285714285712</v>
      </c>
      <c r="EP189" s="214" t="str">
        <f t="shared" si="618"/>
        <v>NORMAL- SUMINISTRAR SULFATO FERROSO</v>
      </c>
      <c r="EQ189" s="216" t="str">
        <f t="shared" si="619"/>
        <v>I TRIM</v>
      </c>
      <c r="ER189" s="24">
        <v>11.4</v>
      </c>
      <c r="ES189" s="22">
        <v>45128</v>
      </c>
      <c r="ET189" s="29">
        <f t="shared" ca="1" si="678"/>
        <v>25</v>
      </c>
      <c r="EU189" s="25" t="str">
        <f t="shared" si="620"/>
        <v>NORMAL- SUMINISTRAR SULFATO FERROSO</v>
      </c>
      <c r="EV189" s="24" t="s">
        <v>1510</v>
      </c>
      <c r="EW189" s="32">
        <v>45128</v>
      </c>
      <c r="EX189" s="22"/>
      <c r="EY189" s="29">
        <f t="shared" si="693"/>
        <v>25</v>
      </c>
      <c r="EZ189" s="25" t="str">
        <f t="shared" si="694"/>
        <v>SIN RIESGO DE ISOINMUNIZACIÓN</v>
      </c>
      <c r="FA189" s="21">
        <v>75</v>
      </c>
      <c r="FB189" s="22">
        <v>45020</v>
      </c>
      <c r="FC189" s="29">
        <f t="shared" si="621"/>
        <v>9.5714285714285712</v>
      </c>
      <c r="FD189" s="29">
        <v>85</v>
      </c>
      <c r="FE189" s="29">
        <v>102</v>
      </c>
      <c r="FF189" s="29">
        <v>109</v>
      </c>
      <c r="FG189" s="21" t="str">
        <f t="shared" ca="1" si="622"/>
        <v>NORMAL</v>
      </c>
      <c r="FH189" s="31">
        <v>45128</v>
      </c>
      <c r="FI189" s="29">
        <f t="shared" si="623"/>
        <v>25</v>
      </c>
      <c r="FJ189" s="22" t="s">
        <v>867</v>
      </c>
      <c r="FK189" s="22">
        <v>45020</v>
      </c>
      <c r="FL189" s="29">
        <f t="shared" ca="1" si="624"/>
        <v>9.5714285714285712</v>
      </c>
      <c r="FM189" s="22" t="s">
        <v>867</v>
      </c>
      <c r="FN189" s="22">
        <v>45128</v>
      </c>
      <c r="FO189" s="29">
        <f t="shared" ca="1" si="679"/>
        <v>25</v>
      </c>
      <c r="FP189" s="22"/>
      <c r="FQ189" s="32"/>
      <c r="FR189" s="29" t="str">
        <f t="shared" ca="1" si="680"/>
        <v>TOMA INMEDIATA DE TAMIZAJE</v>
      </c>
      <c r="FS189" s="22"/>
      <c r="FT189" s="32"/>
      <c r="FU189" s="29" t="str">
        <f>IF(AND(FJ189="",FM189="",FP189="",FS189=""),"",IF(OR(OR(Tabla1[[#This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89" s="28"/>
      <c r="FW189" s="22"/>
      <c r="FX189" s="29" t="str">
        <f t="shared" si="625"/>
        <v>TOMAR EXAMEN</v>
      </c>
      <c r="FY189" s="22" t="s">
        <v>868</v>
      </c>
      <c r="FZ189" s="22">
        <v>45020</v>
      </c>
      <c r="GA189" s="29">
        <f t="shared" ref="GA189:GA210" ca="1" si="739">IF(AND(BT189="ERROR FUM O INGRESO",FZ189&gt;0),"ERROR FUM O INGRESO",IF(AND(FZ189="",R189="",O189=""),"",IF(OR(AND(FZ189&lt;&gt;"",FZ189&lt;RW189),AND(FZ189&lt;&gt;"",AND(SUM((FZ189-RW189)/7)&gt;=13,SUM((FZ189-RW189)/7)&lt;27))),"REGISTRAR EN II TRIMESTRE",IF(OR(AND(FZ189&lt;&gt;"",FZ189&lt;RW189),AND(FZ189&lt;&gt;"",AND(SUM((FZ189-RW189)/7)&gt;=27,SUM((FZ189-RW189)/7)&lt;44))),"REGISTRAR EN III TRIMESTRE",IF(AND(FZ189="",OR(O189&gt;0,R189&gt;0),AND(BU189&gt;1,BU189&lt;10)),"EN RANGO PARA TOMAR EXAMEN",IF(AND(FZ189="",OR(O189&gt;0,R189&gt;0),AND(BU189&gt;=10,BU189&lt;12)),"TOMA INMEDIATA DE TAMIZAJE",IF(AND(FZ189="",BS189&lt;12,OR(O189&gt;0,R189&gt;0)),"PIERDE TOMA DE TAMIZAJE",IF(AND(FZ189="",OR(O189&gt;0,R189&gt;0),AND(BS189&gt;=13,BS189&lt;44)),"NO APLICA-INGRESO TARDIO",IF(FZ189&gt;0,SUM(FZ189-RW189)/7,"")))))))))</f>
        <v>9.5714285714285712</v>
      </c>
      <c r="GB189" s="22" t="s">
        <v>868</v>
      </c>
      <c r="GC189" s="22">
        <v>45128</v>
      </c>
      <c r="GD189" s="29">
        <f t="shared" ca="1" si="732"/>
        <v>25</v>
      </c>
      <c r="GE189" s="22"/>
      <c r="GF189" s="22"/>
      <c r="GG189" s="29" t="str">
        <f t="shared" ca="1" si="682"/>
        <v>TOMA INMEDIATA DE TAMIZAJE</v>
      </c>
      <c r="GH189" s="22"/>
      <c r="GI189" s="29"/>
      <c r="GJ189" s="22"/>
      <c r="GK189" s="22"/>
      <c r="GL189" s="22"/>
      <c r="GM189" s="22"/>
      <c r="GN189" s="28" t="s">
        <v>869</v>
      </c>
      <c r="GO189" s="22">
        <v>45020</v>
      </c>
      <c r="GP189" s="29">
        <f t="shared" si="626"/>
        <v>9.5714285714285712</v>
      </c>
      <c r="GQ189" s="28" t="s">
        <v>869</v>
      </c>
      <c r="GR189" s="28" t="s">
        <v>869</v>
      </c>
      <c r="GS189" s="22" t="str">
        <f t="shared" si="728"/>
        <v>CONTROL Igm</v>
      </c>
      <c r="GT189" s="22">
        <v>45020</v>
      </c>
      <c r="GU189" s="29">
        <f t="shared" si="628"/>
        <v>9.5714285714285712</v>
      </c>
      <c r="GV189" s="21" t="str">
        <f t="shared" si="629"/>
        <v>I TRIM</v>
      </c>
      <c r="GW189" s="28"/>
      <c r="GX189" s="30"/>
      <c r="GY189" s="21"/>
      <c r="GZ189" s="21"/>
      <c r="HA189" s="21"/>
      <c r="HB189" s="21"/>
      <c r="HC189" s="21"/>
      <c r="HD189" s="21"/>
      <c r="HE189" s="21"/>
      <c r="HF189" s="22"/>
      <c r="HG189" s="22" t="str">
        <f>IF(OR(O189&gt;0,R189&gt;0),CONCATENATE(IF(Tabla1[[#This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89" s="22" t="e">
        <f t="shared" si="630"/>
        <v>#REF!</v>
      </c>
      <c r="HI189" s="22" t="e">
        <f t="shared" ca="1" si="631"/>
        <v>#REF!</v>
      </c>
      <c r="HJ189" s="21" t="str">
        <f t="shared" ca="1" si="632"/>
        <v>**********************MULTIPARIDAD*****************</v>
      </c>
      <c r="HK189" s="21" t="str">
        <f t="shared" si="633"/>
        <v>SIN ANTECEDENTES DE RIESGO</v>
      </c>
      <c r="HL189" s="24" t="str">
        <f t="shared" si="634"/>
        <v>APARENTEMENTE NORMAL</v>
      </c>
      <c r="HM189" s="21" t="e">
        <f t="shared" ca="1" si="635"/>
        <v>#REF!</v>
      </c>
      <c r="HN189" s="30" t="str">
        <f t="shared" si="683"/>
        <v>ACTIVA INGRESO A CPN</v>
      </c>
      <c r="HO189" s="21"/>
      <c r="HP189" s="21"/>
      <c r="HQ189" s="349"/>
      <c r="HR189" s="21" t="str">
        <f>IF(R189="","",IF(Tabla1[[#This Row],[ALARMA FACTORES DE RIESGO COMPLICACIONES HIPERTENSIVAS3]]="SIN ANTECEDENTES DE RIESGO","No Aplica para suministro de ASA",IF(AND(Tabla1[[#This Row],[FECHA INICIO DE SUMINISTRO DE ASA]]&gt;0,RV189&lt;12),"Inicia ASA ANTES de Sem 12",IF(AND(RV189&gt;11,RV189&lt;17,OR(HK189="RIESGO ALTO DE COMPLICACIONES HIPERTENSIVAS VER MANEJO GUIA SUMINISTRO ASA Y CALCIO",HK189="RIESGO MODERADO (2 O MAS CRITERIOS) VER MANEJO GUIA SUMINISTRO ASA Y CALCIO")),"Inicio oportuno de ASA",IF(AND(RV189&gt;12,OR(HK189="RIESGO ALTO DE COMPLICACIONES HIPERTENSIVAS VER MANEJO GUIA SUMINISTRO ASA Y CALCIO",HK189="RIESGO MODERADO (2 O MAS CRITERIOS) VER MANEJO GUIA SUMINISTRO ASA Y CALCIO")),"Inicio no oportuno mayor a 16 semanas",IF(AND(BU189&lt;12,OR(HK189="RIESGO ALTO DE COMPLICACIONES HIPERTENSIVAS VER MANEJO GUIA SUMINISTRO ASA Y CALCIO",HK189="RIESGO MODERADO (2 O MAS CRITERIOS) VER MANEJO GUIA SUMINISTRO ASA Y CALCIO")),"Pendiente Inicio de ASA a la semana 12",IF(AND(BU189&gt;11,BU189&lt;17,OR(HK189="RIESGO ALTO DE COMPLICACIONES HIPERTENSIVAS VER MANEJO GUIA SUMINISTRO ASA Y CALCIO",HK189="RIESGO MODERADO (2 O MAS CRITERIOS) VER MANEJO GUIA SUMINISTRO ASA Y CALCIO")),"Iniciar de inmediato ASA",IF(AND(BU189&gt;16,OR(HK189="RIESGO ALTO DE COMPLICACIONES HIPERTENSIVAS VER MANEJO GUIA SUMINISTRO ASA Y CALCIO",HK189="RIESGO MODERADO (2 O MAS CRITERIOS) VER MANEJO GUIA SUMINISTRO ASA Y CALCIO")),"Pierde Oportunidad, Inicio tardío de ASA","XXXXX"))))))))</f>
        <v>No Aplica para suministro de ASA</v>
      </c>
      <c r="HS189" s="22">
        <v>45020</v>
      </c>
      <c r="HT189" s="22" t="s">
        <v>1518</v>
      </c>
      <c r="HU189" s="22">
        <v>45020</v>
      </c>
      <c r="HV189" s="22" t="s">
        <v>1506</v>
      </c>
      <c r="HW189" s="22">
        <v>45020</v>
      </c>
      <c r="HX189" s="22" t="s">
        <v>1511</v>
      </c>
      <c r="HY189" s="22">
        <v>45050</v>
      </c>
      <c r="HZ189" s="28">
        <f t="shared" si="636"/>
        <v>13.857142857142858</v>
      </c>
      <c r="IA189" s="26"/>
      <c r="IB189" s="26"/>
      <c r="IC189" s="111"/>
      <c r="ID189" s="22"/>
      <c r="IE189" s="22" t="str">
        <f t="shared" ca="1" si="637"/>
        <v>INASISTENTE</v>
      </c>
      <c r="IF189" s="22">
        <v>45050</v>
      </c>
      <c r="IG189" s="22">
        <f t="shared" si="638"/>
        <v>45233</v>
      </c>
      <c r="IH189" s="29">
        <f t="shared" ca="1" si="639"/>
        <v>1</v>
      </c>
      <c r="II189" s="22" t="str">
        <f t="shared" ca="1" si="640"/>
        <v>SEMANA DE PARTO</v>
      </c>
      <c r="IJ189" s="22"/>
      <c r="IK189" s="21"/>
      <c r="IL189" s="21"/>
      <c r="IM189" s="34"/>
      <c r="IN189" s="22"/>
      <c r="IO189" s="21"/>
      <c r="IP189" s="29" t="str">
        <f t="shared" si="730"/>
        <v/>
      </c>
      <c r="IQ189" s="35"/>
      <c r="IR189" s="21"/>
      <c r="IS189" s="21"/>
      <c r="IT189" s="21"/>
      <c r="IU189" s="21"/>
      <c r="IV189" s="21"/>
      <c r="IW189" s="21"/>
      <c r="IX189" s="21"/>
      <c r="IY189" s="21"/>
      <c r="IZ189" s="21"/>
      <c r="JA189" s="21"/>
      <c r="JB189" s="30"/>
      <c r="JC189" s="21"/>
      <c r="JD189" s="36"/>
      <c r="JE189" s="21" t="str">
        <f t="shared" si="733"/>
        <v/>
      </c>
      <c r="JF189" s="30"/>
      <c r="JG189" s="21"/>
      <c r="JH189" s="21"/>
      <c r="JI189" s="21"/>
      <c r="JJ189" s="30"/>
      <c r="JK189" s="22"/>
      <c r="JL189" s="22"/>
      <c r="JM189" s="21"/>
      <c r="JN189" s="36"/>
      <c r="JO189" s="21" t="str">
        <f t="shared" si="734"/>
        <v/>
      </c>
      <c r="JP189" s="22"/>
      <c r="JQ189" s="21"/>
      <c r="JR189" s="21"/>
      <c r="JS189" s="21"/>
      <c r="JT189" s="30"/>
      <c r="JU189" s="22"/>
      <c r="JV189" s="22"/>
      <c r="JW189" s="33"/>
      <c r="JX189" s="28" t="str">
        <f t="shared" si="735"/>
        <v/>
      </c>
      <c r="JY189" s="33"/>
      <c r="JZ189" s="28" t="str">
        <f t="shared" si="736"/>
        <v/>
      </c>
      <c r="KA189" s="21"/>
      <c r="KB189" s="21"/>
      <c r="KC189" s="21"/>
      <c r="KD189" s="37"/>
      <c r="KE189" s="28"/>
      <c r="KF189" s="28"/>
      <c r="KG189" s="28"/>
      <c r="KH189" s="39"/>
      <c r="KI189" s="39"/>
      <c r="KJ189" s="66"/>
      <c r="KK189" s="39"/>
      <c r="KL189" s="39"/>
      <c r="KM189" s="66"/>
      <c r="KN189" s="39"/>
      <c r="KO189" s="39"/>
      <c r="KP189" s="39"/>
      <c r="KQ189" s="39"/>
      <c r="KR189" s="39"/>
      <c r="KS189" s="39"/>
      <c r="KT189" s="39"/>
      <c r="KU189" s="38"/>
      <c r="KV189" s="38"/>
      <c r="KW189" s="38"/>
      <c r="KX189" s="38"/>
      <c r="KY189" s="38"/>
      <c r="KZ189" s="38"/>
      <c r="LA189" s="38"/>
      <c r="LB189" s="38"/>
      <c r="LC189" s="38"/>
      <c r="LD189" s="38"/>
      <c r="LE189" s="38"/>
      <c r="LF189" s="38"/>
      <c r="LG189" s="38"/>
      <c r="LH189" s="38"/>
      <c r="LI189" s="38"/>
      <c r="LJ189" s="38"/>
      <c r="LK189" s="38"/>
      <c r="LL189" s="38"/>
      <c r="LM189" s="38"/>
      <c r="LN189" s="38"/>
      <c r="LO189" s="38"/>
      <c r="LP189" s="38"/>
      <c r="LQ189" s="38"/>
      <c r="LR189" s="38"/>
      <c r="LS189" s="38"/>
      <c r="LT189" s="38"/>
      <c r="LU189" s="38"/>
      <c r="LV189" s="38"/>
      <c r="LW189" s="38"/>
      <c r="LX189" s="38"/>
      <c r="LY189" s="38"/>
      <c r="LZ189" s="38"/>
      <c r="MA189" s="38"/>
      <c r="MB189" s="38"/>
      <c r="MC189" s="38"/>
      <c r="MD189" s="38"/>
      <c r="ME189" s="38"/>
      <c r="MF189" s="38"/>
      <c r="MG189" s="38"/>
      <c r="MH189" s="43">
        <f t="shared" si="697"/>
        <v>0</v>
      </c>
      <c r="MI189" s="43" t="str">
        <f t="shared" si="698"/>
        <v/>
      </c>
      <c r="MJ189" s="43" t="str">
        <f t="shared" si="699"/>
        <v/>
      </c>
      <c r="MK189" s="43">
        <f t="shared" si="700"/>
        <v>0</v>
      </c>
      <c r="ML18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89" s="43">
        <f t="shared" si="701"/>
        <v>9.5714285714285712</v>
      </c>
      <c r="MN189" s="43">
        <f t="shared" si="702"/>
        <v>4</v>
      </c>
      <c r="MO189" s="43">
        <f t="shared" si="703"/>
        <v>2023</v>
      </c>
      <c r="MP189" s="43" t="str">
        <f t="shared" si="704"/>
        <v>II TRIMESTRE AÑO</v>
      </c>
      <c r="MQ189" s="43">
        <f t="shared" si="705"/>
        <v>20.775843188786684</v>
      </c>
      <c r="MR189" s="43">
        <f t="shared" si="706"/>
        <v>0</v>
      </c>
      <c r="MS189" s="43" t="str">
        <f t="shared" si="707"/>
        <v xml:space="preserve"> DE 20 A 24 AÑOS</v>
      </c>
      <c r="MT189" s="43">
        <f t="shared" si="708"/>
        <v>0</v>
      </c>
      <c r="MU189" s="43">
        <f t="shared" si="709"/>
        <v>1</v>
      </c>
      <c r="MV189" s="43">
        <f t="shared" si="710"/>
        <v>0</v>
      </c>
      <c r="MW189" s="43">
        <f t="shared" si="711"/>
        <v>0</v>
      </c>
      <c r="MX189" s="43" t="str">
        <f t="shared" si="712"/>
        <v/>
      </c>
      <c r="MY189" s="43" t="str">
        <f t="shared" ca="1" si="737"/>
        <v/>
      </c>
      <c r="MZ189" s="43" t="str">
        <f t="shared" si="713"/>
        <v/>
      </c>
      <c r="NA189" s="43" t="str">
        <f t="shared" si="714"/>
        <v/>
      </c>
      <c r="NB189" s="43" t="str">
        <f t="shared" si="715"/>
        <v/>
      </c>
      <c r="NC189" s="43" t="str">
        <f t="shared" si="716"/>
        <v/>
      </c>
      <c r="ND189" s="43">
        <f t="shared" ca="1" si="717"/>
        <v>1</v>
      </c>
      <c r="NE189" s="43">
        <f>IF(OR(O189&gt;0,R189&gt;0),SUM(COUNTIF(Tabla1[[#This Row],[AÑOS AL INICIO5 CPN]],"&gt;=40"),COUNTIF(AS189,"0"),COUNTIF(AR189,"SI"),COUNTIF(CC189,"SI"),COUNTIF(BQ189,"&gt;119"),COUNTIF(CI189,"&gt;=35")),"")</f>
        <v>1</v>
      </c>
      <c r="NF189" s="43" t="str">
        <f t="shared" si="718"/>
        <v/>
      </c>
      <c r="NG189" s="43">
        <f t="shared" si="719"/>
        <v>0</v>
      </c>
      <c r="NH189" s="43">
        <f t="shared" si="720"/>
        <v>100.8</v>
      </c>
      <c r="NI189"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CPN",P189="NO"),"Z",IF(AND(Tabla1[[#This Row],[CITA PROXIMO CONTROL]]="CITA MANUAL",Tabla1[[#This Row],[GESTANTES ACTUALES]]="ACTIVA INGRESO A CPN"),"W",IF(AND(Tabla1[[#This Row],[GESTANTES ACTUALES]]="SALIO PROGRAMA",IN189=""),"S",IF(AND(Tabla1[[#This Row],[CITA PROXIMO CONTROL]]&gt;0,IN189=""),(Tabla1[[#This Row],[CITA PROXIMO CONTROL]]-TODAY()),"SD"))))))))</f>
        <v>#REF!</v>
      </c>
      <c r="NJ189" s="43">
        <f>MONTH(Tabla1[[#This Row],[FECHA DE SALIDA  DEL PROGRAMA]])</f>
        <v>1</v>
      </c>
      <c r="NK189" s="43">
        <f>YEAR(Tabla1[[#This Row],[FECHA DE SALIDA  DEL PROGRAMA]])</f>
        <v>1900</v>
      </c>
      <c r="NL189" s="43">
        <f t="shared" si="721"/>
        <v>134</v>
      </c>
      <c r="NM189" s="43" t="str">
        <f t="shared" si="695"/>
        <v>NO</v>
      </c>
      <c r="NN189" s="43" t="str">
        <f ca="1">IF(AND(O189&gt;0,R189=""),"NO CPN",IF(AND(O189="",R189=""),"",IF(AND(R189&gt;0,Tabla1[[#This Row],[SEMANAS DE GESTACION ACTUALIZADAS]]&lt;=12),"NO APLICA",IF(AND(FH189&lt;&gt;"",FN189&lt;&gt;""),"SI","NO"))))</f>
        <v>SI</v>
      </c>
      <c r="NO189" s="43" t="str">
        <f ca="1">IF(AND(O189&gt;0,R189=""),"NO CPN",IF(AND(O189="",R189=""),"",IF(AND(R189&gt;0,Tabla1[[#This Row],[SEMANAS DE GESTACION ACTUALIZADAS]]&lt;=27),"NO APLICA",IF(AND(ES189&lt;&gt;"",FQ189&lt;&gt;"",GF189&lt;&gt;""),"SI","NO"))))</f>
        <v>NO</v>
      </c>
      <c r="NP189" s="204" t="str">
        <f t="shared" si="722"/>
        <v>I TRIM</v>
      </c>
      <c r="NQ189" s="21" t="str">
        <f t="shared" si="731"/>
        <v/>
      </c>
      <c r="NR189" s="21">
        <f t="shared" ca="1" si="738"/>
        <v>3</v>
      </c>
      <c r="NS189" s="205">
        <f t="shared" ca="1" si="723"/>
        <v>2</v>
      </c>
      <c r="NT189" s="21">
        <f t="shared" ca="1" si="724"/>
        <v>2</v>
      </c>
      <c r="NU189" s="21" t="str">
        <f t="shared" ca="1" si="725"/>
        <v>INCOMPLETO</v>
      </c>
      <c r="NV189" s="21" t="str">
        <f t="shared" ca="1" si="726"/>
        <v>INCOMPLETO</v>
      </c>
      <c r="NW189" s="206" t="str">
        <f>IF(AND(O189="",R189=""),"",IF(OR(AND(Tabla1[[#This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89" s="207" t="str">
        <f t="shared" ca="1" si="727"/>
        <v>SIN VACUNAR</v>
      </c>
      <c r="NY189" s="43">
        <f>ROW(Tabla1[[#This Row],['# DE TAMIZAJES SIFILIS TOMADOS ]])</f>
        <v>189</v>
      </c>
      <c r="NZ189" s="43" t="str">
        <f t="shared" si="502"/>
        <v>Menor</v>
      </c>
      <c r="OA189" s="43" t="str">
        <f t="shared" si="503"/>
        <v>NORMAL</v>
      </c>
      <c r="OB189" s="43" t="str">
        <f t="shared" si="504"/>
        <v/>
      </c>
      <c r="OC189" s="43" t="str">
        <f t="shared" si="505"/>
        <v/>
      </c>
      <c r="OD189" s="43" t="str">
        <f t="shared" si="506"/>
        <v/>
      </c>
      <c r="OE189" s="43" t="str">
        <f t="shared" si="507"/>
        <v/>
      </c>
      <c r="OF189" s="43" t="str">
        <f t="shared" si="508"/>
        <v/>
      </c>
      <c r="OG189" s="43" t="str">
        <f t="shared" si="509"/>
        <v/>
      </c>
      <c r="OH189" s="43" t="str">
        <f t="shared" si="510"/>
        <v/>
      </c>
      <c r="OI189" s="43" t="str">
        <f t="shared" si="511"/>
        <v/>
      </c>
      <c r="OJ189" s="43" t="str">
        <f t="shared" si="512"/>
        <v/>
      </c>
      <c r="OK189" s="43" t="str">
        <f t="shared" si="513"/>
        <v/>
      </c>
      <c r="OL189" s="43" t="str">
        <f t="shared" si="514"/>
        <v/>
      </c>
      <c r="OM189" s="43" t="str">
        <f t="shared" si="515"/>
        <v/>
      </c>
      <c r="ON189" s="43" t="str">
        <f t="shared" si="516"/>
        <v/>
      </c>
      <c r="OO189" s="43" t="str">
        <f t="shared" si="517"/>
        <v/>
      </c>
      <c r="OP189" s="43" t="str">
        <f t="shared" si="518"/>
        <v/>
      </c>
      <c r="OQ189" s="43" t="str">
        <f t="shared" si="519"/>
        <v/>
      </c>
      <c r="OR189" s="43" t="str">
        <f t="shared" si="520"/>
        <v/>
      </c>
      <c r="OS189" s="43" t="str">
        <f t="shared" si="521"/>
        <v/>
      </c>
      <c r="OT189" s="43" t="str">
        <f t="shared" si="522"/>
        <v/>
      </c>
      <c r="OU189" s="43" t="str">
        <f t="shared" si="523"/>
        <v/>
      </c>
      <c r="OV189" s="110" t="str">
        <f t="shared" si="524"/>
        <v/>
      </c>
      <c r="OW189" s="43" t="str">
        <f t="shared" si="525"/>
        <v/>
      </c>
      <c r="OX189" s="43" t="str">
        <f t="shared" si="526"/>
        <v/>
      </c>
      <c r="OY189" s="43" t="str">
        <f t="shared" si="527"/>
        <v/>
      </c>
      <c r="OZ189" s="43" t="str">
        <f t="shared" si="528"/>
        <v/>
      </c>
      <c r="PA189" s="43" t="str">
        <f t="shared" si="529"/>
        <v/>
      </c>
      <c r="PB189" s="43" t="str">
        <f t="shared" si="530"/>
        <v/>
      </c>
      <c r="PC189" s="43" t="str">
        <f t="shared" si="531"/>
        <v/>
      </c>
      <c r="PD189" s="43" t="str">
        <f t="shared" si="532"/>
        <v/>
      </c>
      <c r="PE189" s="43" t="str">
        <f t="shared" si="533"/>
        <v/>
      </c>
      <c r="PF189" s="43" t="str">
        <f t="shared" si="534"/>
        <v/>
      </c>
      <c r="PG189" s="43" t="str">
        <f t="shared" si="535"/>
        <v/>
      </c>
      <c r="PH189" s="43" t="str">
        <f t="shared" si="536"/>
        <v/>
      </c>
      <c r="PI189" s="43">
        <f t="shared" si="537"/>
        <v>29</v>
      </c>
      <c r="PJ189" s="43" t="str">
        <f t="shared" si="538"/>
        <v/>
      </c>
      <c r="PK189" s="43" t="str">
        <f t="shared" si="539"/>
        <v/>
      </c>
      <c r="PL189" s="43" t="str">
        <f t="shared" si="540"/>
        <v/>
      </c>
      <c r="PM189" s="43" t="str">
        <f t="shared" si="541"/>
        <v/>
      </c>
      <c r="PN189" s="43" t="str">
        <f t="shared" si="542"/>
        <v/>
      </c>
      <c r="PO189" s="43" t="str">
        <f t="shared" si="543"/>
        <v/>
      </c>
      <c r="PP189" s="43" t="str">
        <f t="shared" si="544"/>
        <v/>
      </c>
      <c r="PQ189" s="43" t="str">
        <f t="shared" si="545"/>
        <v/>
      </c>
      <c r="PR189" s="43" t="str">
        <f t="shared" si="546"/>
        <v/>
      </c>
      <c r="PS189" s="43" t="str">
        <f t="shared" si="547"/>
        <v/>
      </c>
      <c r="PT189" s="43" t="str">
        <f t="shared" si="548"/>
        <v/>
      </c>
      <c r="PU189" s="43" t="str">
        <f t="shared" si="549"/>
        <v/>
      </c>
      <c r="PV189" s="43" t="str">
        <f t="shared" si="550"/>
        <v/>
      </c>
      <c r="PW189" s="43" t="str">
        <f t="shared" si="551"/>
        <v/>
      </c>
      <c r="PX189" s="43" t="str">
        <f t="shared" si="552"/>
        <v/>
      </c>
      <c r="PY189" s="43" t="str">
        <f t="shared" si="553"/>
        <v/>
      </c>
      <c r="PZ189" s="43" t="str">
        <f t="shared" si="554"/>
        <v/>
      </c>
      <c r="QA189" s="43" t="str">
        <f t="shared" si="555"/>
        <v/>
      </c>
      <c r="QB189" s="43" t="str">
        <f t="shared" si="556"/>
        <v/>
      </c>
      <c r="QC189" s="43" t="str">
        <f t="shared" si="557"/>
        <v/>
      </c>
      <c r="QD189" s="43" t="str">
        <f t="shared" si="558"/>
        <v>NORMAL</v>
      </c>
      <c r="QE189" s="43" t="str">
        <f t="shared" si="559"/>
        <v/>
      </c>
      <c r="QF189" s="43" t="str">
        <f t="shared" si="560"/>
        <v/>
      </c>
      <c r="QG189" s="43" t="str">
        <f t="shared" si="561"/>
        <v/>
      </c>
      <c r="QH189" s="43" t="str">
        <f t="shared" si="562"/>
        <v/>
      </c>
      <c r="QI189" s="43" t="str">
        <f t="shared" si="563"/>
        <v/>
      </c>
      <c r="QJ189" s="43" t="str">
        <f t="shared" si="564"/>
        <v/>
      </c>
      <c r="QK189" s="43" t="str">
        <f t="shared" si="565"/>
        <v/>
      </c>
      <c r="QL189" s="43" t="str">
        <f t="shared" si="566"/>
        <v/>
      </c>
      <c r="QM189" s="43" t="str">
        <f t="shared" si="567"/>
        <v/>
      </c>
      <c r="QN189" s="43" t="str">
        <f t="shared" si="568"/>
        <v/>
      </c>
      <c r="QO189" s="43" t="str">
        <f t="shared" si="569"/>
        <v/>
      </c>
      <c r="QP189" s="43" t="str">
        <f t="shared" si="570"/>
        <v/>
      </c>
      <c r="QQ189" s="43" t="str">
        <f t="shared" si="571"/>
        <v/>
      </c>
      <c r="QR189" s="43">
        <f t="shared" si="672"/>
        <v>29</v>
      </c>
      <c r="QS189" s="43"/>
      <c r="QT189" s="21" t="str">
        <f t="shared" si="572"/>
        <v/>
      </c>
      <c r="QU189" s="21" t="str">
        <f t="shared" si="573"/>
        <v/>
      </c>
      <c r="QV189" s="21" t="str">
        <f t="shared" si="574"/>
        <v/>
      </c>
      <c r="QW189" s="21" t="str">
        <f t="shared" si="575"/>
        <v/>
      </c>
      <c r="QX189" s="21" t="str">
        <f t="shared" si="576"/>
        <v/>
      </c>
      <c r="QY189" s="21" t="str">
        <f t="shared" si="577"/>
        <v/>
      </c>
      <c r="QZ189" s="21" t="str">
        <f t="shared" si="578"/>
        <v/>
      </c>
      <c r="RA189" s="21" t="str">
        <f t="shared" si="579"/>
        <v/>
      </c>
      <c r="RB189" s="21" t="str">
        <f t="shared" si="580"/>
        <v/>
      </c>
      <c r="RC189" s="21" t="str">
        <f t="shared" si="581"/>
        <v/>
      </c>
      <c r="RD189" s="21" t="str">
        <f t="shared" si="582"/>
        <v/>
      </c>
      <c r="RE189" s="21" t="str">
        <f t="shared" si="583"/>
        <v/>
      </c>
      <c r="RF189" s="21" t="str">
        <f t="shared" si="584"/>
        <v/>
      </c>
      <c r="RG189" s="21" t="str">
        <f t="shared" si="585"/>
        <v/>
      </c>
      <c r="RH189" s="21" t="str">
        <f t="shared" si="586"/>
        <v/>
      </c>
      <c r="RI189" s="21" t="str">
        <f t="shared" si="587"/>
        <v/>
      </c>
      <c r="RJ189" s="21" t="str">
        <f t="shared" si="588"/>
        <v>ALTO PARA EDAD GESTACIONAL</v>
      </c>
      <c r="RK189" s="21" t="str">
        <f t="shared" si="589"/>
        <v/>
      </c>
      <c r="RL189" s="21" t="str">
        <f t="shared" si="590"/>
        <v/>
      </c>
      <c r="RM189" s="21" t="str">
        <f t="shared" si="591"/>
        <v/>
      </c>
      <c r="RN189" s="21" t="str">
        <f t="shared" si="592"/>
        <v/>
      </c>
      <c r="RO189" s="21" t="str">
        <f t="shared" si="593"/>
        <v/>
      </c>
      <c r="RP189" s="21" t="str">
        <f t="shared" si="594"/>
        <v/>
      </c>
      <c r="RQ189" s="21" t="str">
        <f t="shared" si="595"/>
        <v/>
      </c>
      <c r="RR189" s="21" t="str">
        <f t="shared" si="596"/>
        <v/>
      </c>
      <c r="RS189" s="21" t="str">
        <f t="shared" si="597"/>
        <v/>
      </c>
      <c r="RT189" s="21" t="str">
        <f t="shared" si="598"/>
        <v/>
      </c>
      <c r="RU189" s="21" t="str">
        <f t="shared" si="599"/>
        <v/>
      </c>
      <c r="RV189" s="21">
        <f t="shared" si="600"/>
        <v>-1</v>
      </c>
      <c r="RW189" s="284">
        <f>IF(OR(Tabla1[[#This Row],[FUM FORMULA CONFIABLE]]="",Tabla1[[#This Row],[FUM FORMULA CONFIABLE]]="SD"),"",IF(Tabla1[[#This Row],[FUM FORMULA CONFIABLE]]="CORREGIDA",Tabla1[[#This Row],[FUM X ECO 1]],Tabla1[[#This Row],[FUM x AMENORREA]]))</f>
        <v>44953</v>
      </c>
      <c r="RX189" s="21">
        <f>IF(AND(Tabla1[[#This Row],[FUM X ECO 1]]="",Tabla1[[#This Row],[FUM x AMENORREA]]=""),"",IF(AND(Tabla1[[#This Row],[FUM X ECO 1]]="",Tabla1[[#This Row],[FUM x AMENORREA]]&lt;&gt;""),"X",SUM(Tabla1[[#This Row],[FUM X ECO 1]]-Tabla1[[#This Row],[FUM x AMENORREA]])))</f>
        <v>-2.8000000000029104</v>
      </c>
      <c r="RY189" s="21">
        <f t="shared" si="673"/>
        <v>0</v>
      </c>
    </row>
    <row r="190" spans="1:493" ht="45" customHeight="1" x14ac:dyDescent="0.25">
      <c r="A190" s="109"/>
      <c r="B190" s="43"/>
      <c r="C190" s="43" t="s">
        <v>845</v>
      </c>
      <c r="D190" s="124"/>
      <c r="E190" s="43" t="s">
        <v>1286</v>
      </c>
      <c r="F190" s="43" t="s">
        <v>980</v>
      </c>
      <c r="G190" s="43" t="s">
        <v>1528</v>
      </c>
      <c r="H190" s="43" t="s">
        <v>1281</v>
      </c>
      <c r="I190" s="109" t="s">
        <v>851</v>
      </c>
      <c r="J190" s="110">
        <v>1059596092</v>
      </c>
      <c r="K190" s="43" t="s">
        <v>852</v>
      </c>
      <c r="L190" s="175" t="s">
        <v>1509</v>
      </c>
      <c r="M190" s="22">
        <v>38096</v>
      </c>
      <c r="N190" s="213">
        <f t="shared" ca="1" si="601"/>
        <v>19.550684931506851</v>
      </c>
      <c r="O190" s="22">
        <v>45020</v>
      </c>
      <c r="P190" s="214" t="str">
        <f t="shared" si="675"/>
        <v>SI</v>
      </c>
      <c r="Q190" s="26" t="s">
        <v>855</v>
      </c>
      <c r="R190" s="22">
        <v>45020</v>
      </c>
      <c r="S190" s="21" t="s">
        <v>856</v>
      </c>
      <c r="T190" s="24" t="s">
        <v>690</v>
      </c>
      <c r="U190" s="21" t="s">
        <v>857</v>
      </c>
      <c r="V190" s="21" t="s">
        <v>858</v>
      </c>
      <c r="W190" s="21" t="s">
        <v>893</v>
      </c>
      <c r="X190" s="21"/>
      <c r="Y190" s="21"/>
      <c r="Z190" s="21">
        <v>3127062688</v>
      </c>
      <c r="AA190" s="21" t="s">
        <v>860</v>
      </c>
      <c r="AB190" s="27" t="s">
        <v>861</v>
      </c>
      <c r="AC190" s="26" t="s">
        <v>877</v>
      </c>
      <c r="AD190" s="38" t="s">
        <v>1546</v>
      </c>
      <c r="AE190" s="26" t="s">
        <v>854</v>
      </c>
      <c r="AF190" s="26" t="s">
        <v>854</v>
      </c>
      <c r="AG190" s="23" t="s">
        <v>864</v>
      </c>
      <c r="AH190" s="23" t="s">
        <v>864</v>
      </c>
      <c r="AI190" s="24" t="s">
        <v>863</v>
      </c>
      <c r="AJ190" s="23" t="s">
        <v>864</v>
      </c>
      <c r="AK190" s="220" t="str">
        <f>IF(AND(AD190="",AE190="",AF190="",AG190="",AH190="",AI190="",AJ190=""),"",IF(OR(Tabla1[[#This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EVALUACIÓN",IF(AND(O190="",R190=""),"",IF(AND(OR(O190&gt;0,R190&gt;0),NG190&gt;=0,NG190&lt;2),"SIN RIESGO",IF(AND(OR(O190&gt;0,R190&gt;0),NG190&gt;=2),"CON RIESGO","ASD")))))</f>
        <v>SIN RIESGO</v>
      </c>
      <c r="AL190" s="23" t="s">
        <v>864</v>
      </c>
      <c r="AM190" s="26" t="s">
        <v>864</v>
      </c>
      <c r="AN190" s="26" t="s">
        <v>864</v>
      </c>
      <c r="AO190" s="26" t="s">
        <v>864</v>
      </c>
      <c r="AP190" s="26" t="s">
        <v>864</v>
      </c>
      <c r="AQ190" s="26" t="s">
        <v>864</v>
      </c>
      <c r="AR190" s="26" t="s">
        <v>864</v>
      </c>
      <c r="AS190" s="21">
        <v>0</v>
      </c>
      <c r="AT190" s="21">
        <v>0</v>
      </c>
      <c r="AU190" s="21">
        <v>0</v>
      </c>
      <c r="AV190" s="26" t="s">
        <v>864</v>
      </c>
      <c r="AW190" s="21">
        <v>0</v>
      </c>
      <c r="AX190" s="26" t="s">
        <v>864</v>
      </c>
      <c r="AY190" s="26" t="s">
        <v>864</v>
      </c>
      <c r="AZ190" s="26" t="s">
        <v>864</v>
      </c>
      <c r="BA190" s="26" t="s">
        <v>864</v>
      </c>
      <c r="BB190" s="26" t="s">
        <v>864</v>
      </c>
      <c r="BC190" s="26" t="s">
        <v>864</v>
      </c>
      <c r="BD190" s="26" t="s">
        <v>864</v>
      </c>
      <c r="BE190" s="26" t="s">
        <v>864</v>
      </c>
      <c r="BF190" s="26" t="s">
        <v>864</v>
      </c>
      <c r="BG190" s="26" t="s">
        <v>864</v>
      </c>
      <c r="BH190" s="26" t="s">
        <v>864</v>
      </c>
      <c r="BI190" s="26" t="s">
        <v>864</v>
      </c>
      <c r="BJ190" s="26" t="s">
        <v>864</v>
      </c>
      <c r="BK190" s="26" t="s">
        <v>864</v>
      </c>
      <c r="BL190" s="26" t="s">
        <v>864</v>
      </c>
      <c r="BM190" s="26" t="s">
        <v>864</v>
      </c>
      <c r="BN190" s="22"/>
      <c r="BO190" s="22">
        <v>44933</v>
      </c>
      <c r="BP190" s="21" t="s">
        <v>854</v>
      </c>
      <c r="BQ190" s="222">
        <f t="shared" si="602"/>
        <v>0</v>
      </c>
      <c r="BR190" s="223">
        <f t="shared" si="603"/>
        <v>44928.5</v>
      </c>
      <c r="BS190" s="224">
        <f t="shared" si="604"/>
        <v>12.428571428571429</v>
      </c>
      <c r="BT190" s="216" t="str">
        <f t="shared" si="605"/>
        <v>II TRIM</v>
      </c>
      <c r="BU190" s="214">
        <f t="shared" ca="1" si="606"/>
        <v>42.714285714285715</v>
      </c>
      <c r="BV190" s="25" t="s">
        <v>988</v>
      </c>
      <c r="BW190" s="22">
        <v>45121</v>
      </c>
      <c r="BX190" s="28">
        <v>27.5</v>
      </c>
      <c r="BY190" s="28"/>
      <c r="BZ190" s="22"/>
      <c r="CA190" s="21"/>
      <c r="CB190" s="26" t="s">
        <v>864</v>
      </c>
      <c r="CC190" s="26" t="s">
        <v>864</v>
      </c>
      <c r="CD190" s="26"/>
      <c r="CE190" s="26" t="s">
        <v>864</v>
      </c>
      <c r="CF190" s="22" t="s">
        <v>1517</v>
      </c>
      <c r="CG190" s="21">
        <v>1.53</v>
      </c>
      <c r="CH190" s="21">
        <v>56</v>
      </c>
      <c r="CI190" s="214">
        <f t="shared" si="607"/>
        <v>23.92242299970097</v>
      </c>
      <c r="CJ190" s="225" t="e">
        <f>IF(AND(CI190&lt;10,CH190="SD"),"SIN DATO PESO PREGESTACION O I TRIM",IF(AND(OR(R190&gt;0,O190&gt;0),CI190="X"),"INGRESAR DATO DE PESO",IF(CI190="SD","INGRESAR DATO DE TALLA Y PESO",IF(AND(OR(Tabla1[[#This Row],[MOMENTO EN QUE SE REALIZA EL PESO AL INGRESO A CPN]]="PREGESTACIÓN",NZ190="Menor"),CI190&lt;18.5),"BAJO PESO",IF(AND(OR(Tabla1[[#This Row],[MOMENTO EN QUE SE REALIZA EL PESO AL INGRESO A CPN]]="PREGESTACIÓN",NZ190="Menor"),CI190&lt;25),"NORMAL",IF(AND(OR(Tabla1[[#This Row],[MOMENTO EN QUE SE REALIZA EL PESO AL INGRESO A CPN]]="PREGESTACIÓN",NZ190="Menor"),CI190&lt;30),"SOBREPESO",IF(AND(OR(Tabla1[[#This Row],[MOMENTO EN QUE SE REALIZA EL PESO AL INGRESO A CPN]]="PREGESTACIÓN",NZ190="Menor"),CI190&gt;=30,CI190&lt;50),"OBESIDAD",IF(AND(BS190&gt;0,Tabla1[[#This Row],[MOMENTO EN QUE SE REALIZA EL PESO AL INGRESO A CPN]]="GESTACIÓN"),HLOOKUP(NZ190,$OA$2:PH190,NY190),""))))))))</f>
        <v>#REF!</v>
      </c>
      <c r="CK190" s="212">
        <f t="shared" si="608"/>
        <v>45147</v>
      </c>
      <c r="CL190" s="21">
        <v>60.3</v>
      </c>
      <c r="CM190" s="214">
        <f t="shared" si="609"/>
        <v>25.759323337178007</v>
      </c>
      <c r="CN190" s="216">
        <f t="shared" si="610"/>
        <v>30</v>
      </c>
      <c r="CO190" s="216" t="e">
        <f>IF(PI190="","",IF(PI190&gt;0,HLOOKUP(PI190,$PJ$2:QQ190,NY190),""))</f>
        <v>#REF!</v>
      </c>
      <c r="CP190" s="21"/>
      <c r="CQ190" s="216" t="e">
        <f>IF(QR190="Menor","NO APLICA-MENOR 13 SEM",IF(AND(CC190="SI",CN190&gt;23),"NO APLICA- GEMELAR",IF(QR190="","",IF(QR190&gt;0,HLOOKUP(QR190,$QS$2:RU190,NY190),""))))</f>
        <v>#REF!</v>
      </c>
      <c r="CR190" s="21"/>
      <c r="CS190" s="21"/>
      <c r="CT190" s="217" t="str">
        <f>IF(R190="","",IF(AND(BS190&gt;1,BS190&lt;12,Tabla1[[#This Row],[T.A. SISTOLICA - ANTES DE SEMANA 12]]="",Tabla1[[#This Row],[T.A. DIASTOLICA - ANTES DE SEMANA 12]]=""),"REGISTRE DATO TA ANTES SEMANA 12",IF(AND(BS190&gt;11,BS190&lt;43,Tabla1[[#This Row],[T.A. SISTOLICA - ANTES DE SEMANA 12]]="",Tabla1[[#This Row],[T.A. DIASTOLICA - ANTES DE SEMANA 12]]=""),"NO APLICA REGISTRO TA-INGRESO TARDIO",IF(AND(OR(O190&gt;0,R190&gt;0),OR(CR190&gt;=140,CS190&gt;=90)),"DEFINIR ESTADIO HTA",IF(AND(OR(O190&gt;0,R190&gt;0),AND(CR190&gt;120,CR190&lt;=139)),"PRE HTA SEGUIMIENTO",IF(AND(OR(O190&gt;0,R190&gt;0),AND(CS190&gt;80,CS190&lt;=89)),"PRE HTA SEGUIMIENTO",IF(AND(OR(O190&gt;0,R190&gt;0),AND(CR190&gt;=80,CR190&lt;=120)),"APARENTEMENTE NORMAL",IF(AND(OR(O190&gt;0,R190&gt;0),AND(CS190&gt;=50,CS190&lt;=80)),"APARENTEMENTE NORMAL",IF(AND(OR(O190&gt;0,R190&gt;0),AND(CR190&gt;1,CR190&lt;=70),AND(CS190&gt;1,CS190&lt;=40)),"HIPOTENSIÓN","")))))))))</f>
        <v>NO APLICA REGISTRO TA-INGRESO TARDIO</v>
      </c>
      <c r="CU190" s="21"/>
      <c r="CV190" s="21"/>
      <c r="CW190" s="217" t="str">
        <f ca="1">IF(R190="","",IF(AND(CN190&gt;19,CN190&lt;27,Tabla1[[#This Row],[T.A. SISTOLICA (Entre semana 20 y 26)]]="",Tabla1[[#This Row],[T.A. DIATOLICA (Entre semana 20 y 26)]]=""),"ACUDE A CONTROL SEM 20 A 26 REGISTRE TA AHORA",IF(AND(BS190&gt;1,BS190&lt;27,BU190&gt;19,Tabla1[[#This Row],[T.A. SISTOLICA (Entre semana 20 y 26)]]="",Tabla1[[#This Row],[T.A. DIATOLICA (Entre semana 20 y 26)]]=""),"COMPLETE REGISTRO TA CONTROL SEM 20 A26 ",IF(AND(BS190&gt;26,BS190&lt;43,Tabla1[[#This Row],[T.A. SISTOLICA (Entre semana 20 y 26)]]="",Tabla1[[#This Row],[T.A. DIATOLICA (Entre semana 20 y 26)]]=""),"NO APLICA REGISTRO TA-INGRESO TARDIO",IF(AND(OR(O190&gt;0,R190&gt;0),OR(CU190&gt;=140,CV190&gt;=90)),"ALTO RIESGO PREECLAMPSIA,DEFINIR ESTADIO HTA",IF(AND(OR(O190&gt;0,R190&gt;0),AND(CU190&gt;120,CU190&lt;=139)),"PRE HTA SEGUIMIENTO,RIESGO HIPERTENSION INDUCIDA POR EL EMBARAZO",IF(AND(OR(O190&gt;0,R190&gt;0),AND(CV190&gt;80,CV190&lt;=89)),"PRE HTA SEGUIMIENTO, RIESGO HIPERTENSION INDUCIDA POR EL EMBARAZO",IF(AND(OR(O190&lt;&gt;"",R190&lt;&gt;""),CS190&lt;&gt;"",CV190&lt;&gt;"",CS190&lt;=CV190),"VIGILAR CIFRAS PRESION ARTERIAL",IF(AND(OR(O190&gt;0,R190&gt;0),AND(CU190&gt;120,CU190&lt;=139)),"PRE HTA SEGUIMIENTO",IF(AND(OR(O190&gt;0,R190&gt;0),AND(CU190&gt;1,CU190&lt;=70),AND(CV190&gt;1,CV190&lt;=40)),"HIPOTENSIÓN",IF(AND(OR(O190&lt;&gt;"",R190&lt;&gt;""),CS190&lt;&gt;"",CV190&lt;&gt;"",CS190&gt;CV190),"APARENTEMENTE NORMAL",IF(AND(OR(O190&gt;0,R190&gt;0),AND(CU190&gt;=80,CU190&lt;=120)),"APARENTEMENTE NORMAL",IF(AND(OR(O190&gt;0,R190&gt;0),AND(CV190&gt;=50,CV190&lt;=80)),"APARENTEMENTE NORMAL","")))))))))))))</f>
        <v xml:space="preserve">COMPLETE REGISTRO TA CONTROL SEM 20 A26 </v>
      </c>
      <c r="CX190" s="21">
        <v>90</v>
      </c>
      <c r="CY190" s="21">
        <v>60</v>
      </c>
      <c r="CZ190" s="216" t="str">
        <f t="shared" si="729"/>
        <v>APARENTEMENTE NORMAL</v>
      </c>
      <c r="DA190" s="21">
        <v>90</v>
      </c>
      <c r="DB190" s="21">
        <v>60</v>
      </c>
      <c r="DC190" s="217" t="str">
        <f t="shared" si="611"/>
        <v>APARENTEMENTE NORMAL</v>
      </c>
      <c r="DD190" s="22">
        <v>45020</v>
      </c>
      <c r="DE190" s="22">
        <v>45020</v>
      </c>
      <c r="DF190" s="22">
        <v>45056</v>
      </c>
      <c r="DG190" s="22">
        <v>45107</v>
      </c>
      <c r="DH190" s="22">
        <v>45147</v>
      </c>
      <c r="DI190" s="22"/>
      <c r="DJ190" s="22"/>
      <c r="DK190" s="22"/>
      <c r="DL190" s="22"/>
      <c r="DM190" s="22"/>
      <c r="DN190" s="22"/>
      <c r="DO190" s="22"/>
      <c r="DP190" s="22"/>
      <c r="DQ190" s="22"/>
      <c r="DR190" s="28">
        <v>0</v>
      </c>
      <c r="DS190" s="22"/>
      <c r="DT190" s="22"/>
      <c r="DU190" s="216" t="str">
        <f t="shared" ca="1" si="676"/>
        <v>CONCERTAR PLAN DE PARTO INMEDIATO</v>
      </c>
      <c r="DV190" s="226" t="str">
        <f t="shared" si="677"/>
        <v>ACTIVA INGRESO A CPN</v>
      </c>
      <c r="DW190"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90" s="216" t="e">
        <f t="shared" ca="1" si="612"/>
        <v>#REF!</v>
      </c>
      <c r="DY190" s="212">
        <f>IF(R190="","",IF(R190&gt;0,MAX(Tabla1[[#This Row],[FECHA C2]:[FECHA C13]],Tabla1[[#This Row],[FECHA CONSULTA PRIMERA VEZ PROGRAMA CPN ]])))</f>
        <v>45147</v>
      </c>
      <c r="DZ190" s="216">
        <f t="shared" si="613"/>
        <v>30</v>
      </c>
      <c r="EA190" s="222">
        <f>IF(R190&gt;0,SUM(COUNTA(DF190:DQ190)+COUNTA(Tabla1[[#This Row],[FECHA CONSULTA PRIMERA VEZ PROGRAMA CPN ]])),"")</f>
        <v>4</v>
      </c>
      <c r="EB190" s="222" t="str">
        <f t="shared" si="614"/>
        <v>SI</v>
      </c>
      <c r="EC190" s="214">
        <f t="shared" si="615"/>
        <v>8</v>
      </c>
      <c r="ED190" s="227">
        <f t="shared" si="616"/>
        <v>0.5</v>
      </c>
      <c r="EE190" s="22">
        <v>45020</v>
      </c>
      <c r="EF190" s="22">
        <v>45020</v>
      </c>
      <c r="EG190" s="22">
        <v>45020</v>
      </c>
      <c r="EH190" s="22"/>
      <c r="EI190" s="22">
        <v>45020</v>
      </c>
      <c r="EJ190" s="22"/>
      <c r="EK190" s="22"/>
      <c r="EL190" s="21"/>
      <c r="EM190" s="21">
        <v>13.3</v>
      </c>
      <c r="EN190" s="22">
        <v>45020</v>
      </c>
      <c r="EO190" s="222">
        <f t="shared" si="617"/>
        <v>12.428571428571429</v>
      </c>
      <c r="EP190" s="214" t="str">
        <f t="shared" si="618"/>
        <v>NORMAL- SUMINISTRAR SULFATO FERROSO</v>
      </c>
      <c r="EQ190" s="216" t="str">
        <f t="shared" si="619"/>
        <v>I TRIM</v>
      </c>
      <c r="ER190" s="24"/>
      <c r="ES190" s="22"/>
      <c r="ET190" s="29" t="str">
        <f t="shared" ca="1" si="678"/>
        <v>TOMA DE HEMOGLOBINA TARDÍA</v>
      </c>
      <c r="EU190" s="25" t="str">
        <f t="shared" si="620"/>
        <v/>
      </c>
      <c r="EV190" s="24"/>
      <c r="EW190" s="24"/>
      <c r="EX190" s="22"/>
      <c r="EY190" s="29" t="str">
        <f t="shared" si="693"/>
        <v>TOMAR EXAMEN</v>
      </c>
      <c r="EZ190" s="25" t="str">
        <f t="shared" ca="1" si="694"/>
        <v/>
      </c>
      <c r="FA190" s="21">
        <v>71</v>
      </c>
      <c r="FB190" s="22">
        <v>45020</v>
      </c>
      <c r="FC190" s="29">
        <f t="shared" si="621"/>
        <v>12.428571428571429</v>
      </c>
      <c r="FD190" s="29"/>
      <c r="FE190" s="29"/>
      <c r="FF190" s="29"/>
      <c r="FG190" s="21" t="str">
        <f t="shared" ca="1" si="622"/>
        <v>TOMAR PTOG</v>
      </c>
      <c r="FH190" s="31"/>
      <c r="FI190" s="29" t="str">
        <f t="shared" si="623"/>
        <v>TOMAR EXAMEN</v>
      </c>
      <c r="FJ190" s="22" t="s">
        <v>867</v>
      </c>
      <c r="FK190" s="22">
        <v>45020</v>
      </c>
      <c r="FL190" s="29">
        <f t="shared" ca="1" si="624"/>
        <v>12.428571428571429</v>
      </c>
      <c r="FM190" s="22"/>
      <c r="FN190" s="22"/>
      <c r="FO190" s="29" t="str">
        <f t="shared" ca="1" si="679"/>
        <v>PIERDE TOMA DE TAMIZAJE</v>
      </c>
      <c r="FP190" s="22"/>
      <c r="FQ190" s="32"/>
      <c r="FR190" s="29" t="str">
        <f t="shared" ca="1" si="680"/>
        <v>TOMA INMEDIATA DE TAMIZAJE</v>
      </c>
      <c r="FS190" s="22"/>
      <c r="FT190" s="32"/>
      <c r="FU190" s="29" t="str">
        <f>IF(AND(FJ190="",FM190="",FP190="",FS190=""),"",IF(OR(OR(Tabla1[[#This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90" s="28"/>
      <c r="FW190" s="22"/>
      <c r="FX190" s="29" t="str">
        <f t="shared" si="625"/>
        <v>TOMAR EXAMEN</v>
      </c>
      <c r="FY190" s="22" t="s">
        <v>868</v>
      </c>
      <c r="FZ190" s="22">
        <v>45020</v>
      </c>
      <c r="GA190" s="29">
        <f t="shared" ca="1" si="739"/>
        <v>12.428571428571429</v>
      </c>
      <c r="GB190" s="22"/>
      <c r="GC190" s="22"/>
      <c r="GD190" s="29" t="str">
        <f t="shared" ca="1" si="732"/>
        <v>PIERDE TOMA DE TAMIZAJE</v>
      </c>
      <c r="GE190" s="22"/>
      <c r="GF190" s="22"/>
      <c r="GG190" s="29" t="str">
        <f t="shared" ca="1" si="682"/>
        <v>TOMA INMEDIATA DE TAMIZAJE</v>
      </c>
      <c r="GH190" s="22"/>
      <c r="GI190" s="29"/>
      <c r="GJ190" s="22"/>
      <c r="GK190" s="22"/>
      <c r="GL190" s="22"/>
      <c r="GM190" s="22"/>
      <c r="GN190" s="28" t="s">
        <v>869</v>
      </c>
      <c r="GO190" s="22">
        <v>45020</v>
      </c>
      <c r="GP190" s="29">
        <f t="shared" si="626"/>
        <v>12.428571428571429</v>
      </c>
      <c r="GQ190" s="28" t="s">
        <v>869</v>
      </c>
      <c r="GR190" s="28" t="s">
        <v>869</v>
      </c>
      <c r="GS190" s="22" t="str">
        <f t="shared" si="728"/>
        <v>CONTROL Igm</v>
      </c>
      <c r="GT190" s="22">
        <v>45020</v>
      </c>
      <c r="GU190" s="29">
        <f t="shared" si="628"/>
        <v>12.428571428571429</v>
      </c>
      <c r="GV190" s="21" t="str">
        <f t="shared" si="629"/>
        <v>I TRIM</v>
      </c>
      <c r="GW190" s="28"/>
      <c r="GX190" s="30"/>
      <c r="GY190" s="21"/>
      <c r="GZ190" s="21"/>
      <c r="HA190" s="21"/>
      <c r="HB190" s="21"/>
      <c r="HC190" s="21"/>
      <c r="HD190" s="21"/>
      <c r="HE190" s="21"/>
      <c r="HF190" s="22"/>
      <c r="HG190" s="22" t="str">
        <f>IF(OR(O190&gt;0,R190&gt;0),CONCATENATE(IF(Tabla1[[#This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90" s="22" t="e">
        <f t="shared" si="630"/>
        <v>#REF!</v>
      </c>
      <c r="HI190" s="22" t="e">
        <f t="shared" ca="1" si="631"/>
        <v>#REF!</v>
      </c>
      <c r="HJ190" s="21" t="str">
        <f t="shared" ca="1" si="632"/>
        <v>**********************MULTIPARIDAD*****EMBARAZO PROLONGADO************</v>
      </c>
      <c r="HK190" s="21" t="str">
        <f t="shared" si="633"/>
        <v>SIN ANTECEDENTES DE RIESGO</v>
      </c>
      <c r="HL190" s="24" t="str">
        <f t="shared" si="634"/>
        <v>APARENTEMENTE NORMAL</v>
      </c>
      <c r="HM190" s="21" t="e">
        <f t="shared" ca="1" si="635"/>
        <v>#REF!</v>
      </c>
      <c r="HN190" s="30" t="str">
        <f t="shared" si="683"/>
        <v>ACTIVA INGRESO A CPN</v>
      </c>
      <c r="HO190" s="21"/>
      <c r="HP190" s="21"/>
      <c r="HQ190" s="349"/>
      <c r="HR190" s="21" t="str">
        <f>IF(R190="","",IF(Tabla1[[#This Row],[ALARMA FACTORES DE RIESGO COMPLICACIONES HIPERTENSIVAS3]]="SIN ANTECEDENTES DE RIESGO","No Aplica para suministro de ASA",IF(AND(Tabla1[[#This Row],[FECHA INICIO DE SUMINISTRO DE ASA]]&gt;0,RV190&lt;12),"Inicia ASA ANTES de Sem 12",IF(AND(RV190&gt;11,RV190&lt;17,OR(HK190="RIESGO ALTO DE COMPLICACIONES HIPERTENSIVAS VER MANEJO GUIA SUMINISTRO ASA Y CALCIO",HK190="RIESGO MODERADO (2 O MAS CRITERIOS) VER MANEJO GUIA SUMINISTRO ASA Y CALCIO")),"Inicio oportuno de ASA",IF(AND(RV190&gt;12,OR(HK190="RIESGO ALTO DE COMPLICACIONES HIPERTENSIVAS VER MANEJO GUIA SUMINISTRO ASA Y CALCIO",HK190="RIESGO MODERADO (2 O MAS CRITERIOS) VER MANEJO GUIA SUMINISTRO ASA Y CALCIO")),"Inicio no oportuno mayor a 16 semanas",IF(AND(BU190&lt;12,OR(HK190="RIESGO ALTO DE COMPLICACIONES HIPERTENSIVAS VER MANEJO GUIA SUMINISTRO ASA Y CALCIO",HK190="RIESGO MODERADO (2 O MAS CRITERIOS) VER MANEJO GUIA SUMINISTRO ASA Y CALCIO")),"Pendiente Inicio de ASA a la semana 12",IF(AND(BU190&gt;11,BU190&lt;17,OR(HK190="RIESGO ALTO DE COMPLICACIONES HIPERTENSIVAS VER MANEJO GUIA SUMINISTRO ASA Y CALCIO",HK190="RIESGO MODERADO (2 O MAS CRITERIOS) VER MANEJO GUIA SUMINISTRO ASA Y CALCIO")),"Iniciar de inmediato ASA",IF(AND(BU190&gt;16,OR(HK190="RIESGO ALTO DE COMPLICACIONES HIPERTENSIVAS VER MANEJO GUIA SUMINISTRO ASA Y CALCIO",HK190="RIESGO MODERADO (2 O MAS CRITERIOS) VER MANEJO GUIA SUMINISTRO ASA Y CALCIO")),"Pierde Oportunidad, Inicio tardío de ASA","XXXXX"))))))))</f>
        <v>No Aplica para suministro de ASA</v>
      </c>
      <c r="HS190" s="22"/>
      <c r="HT190" s="22" t="s">
        <v>1505</v>
      </c>
      <c r="HU190" s="22">
        <v>45020</v>
      </c>
      <c r="HV190" s="22" t="s">
        <v>1506</v>
      </c>
      <c r="HW190" s="22">
        <v>45020</v>
      </c>
      <c r="HX190" s="22"/>
      <c r="HY190" s="22"/>
      <c r="HZ190" s="28" t="str">
        <f t="shared" si="636"/>
        <v>PENDIENTE CONSULTA</v>
      </c>
      <c r="IA190" s="26"/>
      <c r="IB190" s="26"/>
      <c r="IC190" s="111">
        <v>45107</v>
      </c>
      <c r="ID190" s="111">
        <v>45107</v>
      </c>
      <c r="IE190" s="22" t="str">
        <f t="shared" ca="1" si="637"/>
        <v>VACUNA APLICADA ENTRE SEMANA 20 Y SEMANA 26</v>
      </c>
      <c r="IF190" s="22"/>
      <c r="IG190" s="22">
        <f t="shared" si="638"/>
        <v>45213</v>
      </c>
      <c r="IH190" s="29">
        <f t="shared" ca="1" si="639"/>
        <v>-19</v>
      </c>
      <c r="II190" s="22" t="str">
        <f t="shared" ca="1" si="640"/>
        <v>POSIBLEMENTE NACIO</v>
      </c>
      <c r="IJ190" s="22"/>
      <c r="IK190" s="21"/>
      <c r="IL190" s="21"/>
      <c r="IM190" s="34"/>
      <c r="IN190" s="22"/>
      <c r="IO190" s="21"/>
      <c r="IP190" s="29" t="str">
        <f t="shared" si="730"/>
        <v/>
      </c>
      <c r="IQ190" s="35"/>
      <c r="IR190" s="21"/>
      <c r="IS190" s="21"/>
      <c r="IT190" s="21"/>
      <c r="IU190" s="21"/>
      <c r="IV190" s="21"/>
      <c r="IW190" s="21"/>
      <c r="IX190" s="21"/>
      <c r="IY190" s="21"/>
      <c r="IZ190" s="21"/>
      <c r="JA190" s="21"/>
      <c r="JB190" s="30"/>
      <c r="JC190" s="21"/>
      <c r="JD190" s="36"/>
      <c r="JE190" s="21" t="str">
        <f t="shared" si="733"/>
        <v/>
      </c>
      <c r="JF190" s="30"/>
      <c r="JG190" s="21"/>
      <c r="JH190" s="21"/>
      <c r="JI190" s="21"/>
      <c r="JJ190" s="30"/>
      <c r="JK190" s="22"/>
      <c r="JL190" s="22"/>
      <c r="JM190" s="21"/>
      <c r="JN190" s="36"/>
      <c r="JO190" s="21" t="str">
        <f t="shared" si="734"/>
        <v/>
      </c>
      <c r="JP190" s="22"/>
      <c r="JQ190" s="21"/>
      <c r="JR190" s="21"/>
      <c r="JS190" s="21"/>
      <c r="JT190" s="30"/>
      <c r="JU190" s="22"/>
      <c r="JV190" s="22"/>
      <c r="JW190" s="33"/>
      <c r="JX190" s="28" t="str">
        <f t="shared" si="735"/>
        <v/>
      </c>
      <c r="JY190" s="33"/>
      <c r="JZ190" s="28" t="str">
        <f t="shared" si="736"/>
        <v/>
      </c>
      <c r="KA190" s="21"/>
      <c r="KB190" s="21"/>
      <c r="KC190" s="21"/>
      <c r="KD190" s="37"/>
      <c r="KE190" s="28"/>
      <c r="KF190" s="28"/>
      <c r="KG190" s="28"/>
      <c r="KH190" s="39"/>
      <c r="KI190" s="39"/>
      <c r="KJ190" s="66"/>
      <c r="KK190" s="39"/>
      <c r="KL190" s="39"/>
      <c r="KM190" s="66"/>
      <c r="KN190" s="39"/>
      <c r="KO190" s="39"/>
      <c r="KP190" s="39"/>
      <c r="KQ190" s="39"/>
      <c r="KR190" s="39"/>
      <c r="KS190" s="39"/>
      <c r="KT190" s="39"/>
      <c r="KU190" s="38"/>
      <c r="KV190" s="38"/>
      <c r="KW190" s="38"/>
      <c r="KX190" s="38"/>
      <c r="KY190" s="38"/>
      <c r="KZ190" s="38"/>
      <c r="LA190" s="38"/>
      <c r="LB190" s="38"/>
      <c r="LC190" s="38"/>
      <c r="LD190" s="38"/>
      <c r="LE190" s="38"/>
      <c r="LF190" s="38"/>
      <c r="LG190" s="38"/>
      <c r="LH190" s="38"/>
      <c r="LI190" s="38"/>
      <c r="LJ190" s="38"/>
      <c r="LK190" s="38"/>
      <c r="LL190" s="38"/>
      <c r="LM190" s="38"/>
      <c r="LN190" s="38"/>
      <c r="LO190" s="38"/>
      <c r="LP190" s="38"/>
      <c r="LQ190" s="38"/>
      <c r="LR190" s="38"/>
      <c r="LS190" s="38"/>
      <c r="LT190" s="38"/>
      <c r="LU190" s="38"/>
      <c r="LV190" s="38"/>
      <c r="LW190" s="38"/>
      <c r="LX190" s="38"/>
      <c r="LY190" s="38"/>
      <c r="LZ190" s="38"/>
      <c r="MA190" s="38"/>
      <c r="MB190" s="38"/>
      <c r="MC190" s="38"/>
      <c r="MD190" s="38"/>
      <c r="ME190" s="38"/>
      <c r="MF190" s="38"/>
      <c r="MG190" s="38"/>
      <c r="MH190" s="43">
        <f t="shared" si="697"/>
        <v>0</v>
      </c>
      <c r="MI190" s="43" t="str">
        <f t="shared" si="698"/>
        <v/>
      </c>
      <c r="MJ190" s="43" t="str">
        <f t="shared" si="699"/>
        <v/>
      </c>
      <c r="MK190" s="43">
        <f t="shared" si="700"/>
        <v>0</v>
      </c>
      <c r="ML19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90" s="43">
        <f t="shared" si="701"/>
        <v>12.428571428571429</v>
      </c>
      <c r="MN190" s="43">
        <f t="shared" si="702"/>
        <v>4</v>
      </c>
      <c r="MO190" s="43">
        <f t="shared" si="703"/>
        <v>2023</v>
      </c>
      <c r="MP190" s="43" t="str">
        <f t="shared" si="704"/>
        <v>II TRIMESTRE AÑO</v>
      </c>
      <c r="MQ190" s="43">
        <f t="shared" si="705"/>
        <v>18.684296977660971</v>
      </c>
      <c r="MR190" s="43">
        <f t="shared" si="706"/>
        <v>0</v>
      </c>
      <c r="MS190" s="43" t="str">
        <f t="shared" si="707"/>
        <v>DE 14 A 19AÑOS</v>
      </c>
      <c r="MT190" s="43">
        <f t="shared" si="708"/>
        <v>0</v>
      </c>
      <c r="MU190" s="43">
        <f t="shared" si="709"/>
        <v>1</v>
      </c>
      <c r="MV190" s="43">
        <f t="shared" si="710"/>
        <v>0</v>
      </c>
      <c r="MW190" s="43">
        <f t="shared" si="711"/>
        <v>0</v>
      </c>
      <c r="MX190" s="43" t="str">
        <f t="shared" si="712"/>
        <v/>
      </c>
      <c r="MY190" s="43">
        <f t="shared" ca="1" si="737"/>
        <v>1</v>
      </c>
      <c r="MZ190" s="43" t="str">
        <f t="shared" si="713"/>
        <v/>
      </c>
      <c r="NA190" s="43" t="str">
        <f t="shared" si="714"/>
        <v/>
      </c>
      <c r="NB190" s="43" t="str">
        <f t="shared" si="715"/>
        <v/>
      </c>
      <c r="NC190" s="43" t="str">
        <f t="shared" si="716"/>
        <v/>
      </c>
      <c r="ND190" s="43">
        <f t="shared" ca="1" si="717"/>
        <v>2</v>
      </c>
      <c r="NE190" s="43">
        <f>IF(OR(O190&gt;0,R190&gt;0),SUM(COUNTIF(Tabla1[[#This Row],[AÑOS AL INICIO5 CPN]],"&gt;=40"),COUNTIF(AS190,"0"),COUNTIF(AR190,"SI"),COUNTIF(CC190,"SI"),COUNTIF(BQ190,"&gt;119"),COUNTIF(CI190,"&gt;=35")),"")</f>
        <v>1</v>
      </c>
      <c r="NF190" s="43">
        <f t="shared" si="718"/>
        <v>24.857142857142858</v>
      </c>
      <c r="NG190" s="43">
        <f t="shared" si="719"/>
        <v>0</v>
      </c>
      <c r="NH190" s="43">
        <f t="shared" si="720"/>
        <v>192.5</v>
      </c>
      <c r="NI190"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CPN",P190="NO"),"Z",IF(AND(Tabla1[[#This Row],[CITA PROXIMO CONTROL]]="CITA MANUAL",Tabla1[[#This Row],[GESTANTES ACTUALES]]="ACTIVA INGRESO A CPN"),"W",IF(AND(Tabla1[[#This Row],[GESTANTES ACTUALES]]="SALIO PROGRAMA",IN190=""),"S",IF(AND(Tabla1[[#This Row],[CITA PROXIMO CONTROL]]&gt;0,IN190=""),(Tabla1[[#This Row],[CITA PROXIMO CONTROL]]-TODAY()),"SD"))))))))</f>
        <v>#REF!</v>
      </c>
      <c r="NJ190" s="43">
        <f>MONTH(Tabla1[[#This Row],[FECHA DE SALIDA  DEL PROGRAMA]])</f>
        <v>1</v>
      </c>
      <c r="NK190" s="43">
        <f>YEAR(Tabla1[[#This Row],[FECHA DE SALIDA  DEL PROGRAMA]])</f>
        <v>1900</v>
      </c>
      <c r="NL190" s="43" t="str">
        <f t="shared" si="721"/>
        <v>X</v>
      </c>
      <c r="NM190" s="43" t="str">
        <f t="shared" si="695"/>
        <v>NO</v>
      </c>
      <c r="NN190" s="43" t="str">
        <f ca="1">IF(AND(O190&gt;0,R190=""),"NO CPN",IF(AND(O190="",R190=""),"",IF(AND(R190&gt;0,Tabla1[[#This Row],[SEMANAS DE GESTACION ACTUALIZADAS]]&lt;=12),"NO APLICA",IF(AND(FH190&lt;&gt;"",FN190&lt;&gt;""),"SI","NO"))))</f>
        <v>NO</v>
      </c>
      <c r="NO190" s="43" t="str">
        <f ca="1">IF(AND(O190&gt;0,R190=""),"NO CPN",IF(AND(O190="",R190=""),"",IF(AND(R190&gt;0,Tabla1[[#This Row],[SEMANAS DE GESTACION ACTUALIZADAS]]&lt;=27),"NO APLICA",IF(AND(ES190&lt;&gt;"",FQ190&lt;&gt;"",GF190&lt;&gt;""),"SI","NO"))))</f>
        <v>NO</v>
      </c>
      <c r="NP190" s="204" t="str">
        <f t="shared" si="722"/>
        <v>II TRIM</v>
      </c>
      <c r="NQ190" s="21" t="str">
        <f t="shared" si="731"/>
        <v/>
      </c>
      <c r="NR190" s="21">
        <f t="shared" ca="1" si="738"/>
        <v>2</v>
      </c>
      <c r="NS190" s="205">
        <f t="shared" ca="1" si="723"/>
        <v>1</v>
      </c>
      <c r="NT190" s="21">
        <f t="shared" ca="1" si="724"/>
        <v>1</v>
      </c>
      <c r="NU190" s="21" t="str">
        <f t="shared" ca="1" si="725"/>
        <v>INCOMPLETO</v>
      </c>
      <c r="NV190" s="21" t="str">
        <f t="shared" ca="1" si="726"/>
        <v>INCOMPLETO</v>
      </c>
      <c r="NW190" s="206" t="str">
        <f>IF(AND(O190="",R190=""),"",IF(OR(AND(Tabla1[[#This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90" s="207" t="str">
        <f t="shared" ca="1" si="727"/>
        <v>VACUNADA</v>
      </c>
      <c r="NY190" s="43">
        <f>ROW(Tabla1[[#This Row],['# DE TAMIZAJES SIFILIS TOMADOS ]])</f>
        <v>190</v>
      </c>
      <c r="NZ190" s="43">
        <f t="shared" si="502"/>
        <v>12</v>
      </c>
      <c r="OA190" s="43" t="str">
        <f t="shared" si="503"/>
        <v/>
      </c>
      <c r="OB190" s="43" t="str">
        <f t="shared" si="504"/>
        <v/>
      </c>
      <c r="OC190" s="43" t="str">
        <f t="shared" si="505"/>
        <v/>
      </c>
      <c r="OD190" s="43" t="str">
        <f t="shared" si="506"/>
        <v>NORMAL</v>
      </c>
      <c r="OE190" s="43" t="str">
        <f t="shared" si="507"/>
        <v/>
      </c>
      <c r="OF190" s="43" t="str">
        <f t="shared" si="508"/>
        <v/>
      </c>
      <c r="OG190" s="43" t="str">
        <f t="shared" si="509"/>
        <v/>
      </c>
      <c r="OH190" s="43" t="str">
        <f t="shared" si="510"/>
        <v/>
      </c>
      <c r="OI190" s="43" t="str">
        <f t="shared" si="511"/>
        <v/>
      </c>
      <c r="OJ190" s="43" t="str">
        <f t="shared" si="512"/>
        <v/>
      </c>
      <c r="OK190" s="43" t="str">
        <f t="shared" si="513"/>
        <v/>
      </c>
      <c r="OL190" s="43" t="str">
        <f t="shared" si="514"/>
        <v/>
      </c>
      <c r="OM190" s="43" t="str">
        <f t="shared" si="515"/>
        <v/>
      </c>
      <c r="ON190" s="43" t="str">
        <f t="shared" si="516"/>
        <v/>
      </c>
      <c r="OO190" s="43" t="str">
        <f t="shared" si="517"/>
        <v/>
      </c>
      <c r="OP190" s="43" t="str">
        <f t="shared" si="518"/>
        <v/>
      </c>
      <c r="OQ190" s="43" t="str">
        <f t="shared" si="519"/>
        <v/>
      </c>
      <c r="OR190" s="43" t="str">
        <f t="shared" si="520"/>
        <v/>
      </c>
      <c r="OS190" s="43" t="str">
        <f t="shared" si="521"/>
        <v/>
      </c>
      <c r="OT190" s="43" t="str">
        <f t="shared" si="522"/>
        <v/>
      </c>
      <c r="OU190" s="43" t="str">
        <f t="shared" si="523"/>
        <v/>
      </c>
      <c r="OV190" s="110" t="str">
        <f t="shared" si="524"/>
        <v/>
      </c>
      <c r="OW190" s="43" t="str">
        <f t="shared" si="525"/>
        <v/>
      </c>
      <c r="OX190" s="43" t="str">
        <f t="shared" si="526"/>
        <v/>
      </c>
      <c r="OY190" s="43" t="str">
        <f t="shared" si="527"/>
        <v/>
      </c>
      <c r="OZ190" s="43" t="str">
        <f t="shared" si="528"/>
        <v/>
      </c>
      <c r="PA190" s="43" t="str">
        <f t="shared" si="529"/>
        <v/>
      </c>
      <c r="PB190" s="43" t="str">
        <f t="shared" si="530"/>
        <v/>
      </c>
      <c r="PC190" s="43" t="str">
        <f t="shared" si="531"/>
        <v/>
      </c>
      <c r="PD190" s="43" t="str">
        <f t="shared" si="532"/>
        <v/>
      </c>
      <c r="PE190" s="43" t="str">
        <f t="shared" si="533"/>
        <v/>
      </c>
      <c r="PF190" s="43" t="str">
        <f t="shared" si="534"/>
        <v/>
      </c>
      <c r="PG190" s="43" t="str">
        <f t="shared" si="535"/>
        <v/>
      </c>
      <c r="PH190" s="43" t="str">
        <f t="shared" si="536"/>
        <v/>
      </c>
      <c r="PI190" s="43">
        <f t="shared" si="537"/>
        <v>30</v>
      </c>
      <c r="PJ190" s="43" t="str">
        <f t="shared" si="538"/>
        <v/>
      </c>
      <c r="PK190" s="43" t="str">
        <f t="shared" si="539"/>
        <v/>
      </c>
      <c r="PL190" s="43" t="str">
        <f t="shared" si="540"/>
        <v/>
      </c>
      <c r="PM190" s="43" t="str">
        <f t="shared" si="541"/>
        <v/>
      </c>
      <c r="PN190" s="43" t="str">
        <f t="shared" si="542"/>
        <v/>
      </c>
      <c r="PO190" s="43" t="str">
        <f t="shared" si="543"/>
        <v/>
      </c>
      <c r="PP190" s="43" t="str">
        <f t="shared" si="544"/>
        <v/>
      </c>
      <c r="PQ190" s="43" t="str">
        <f t="shared" si="545"/>
        <v/>
      </c>
      <c r="PR190" s="43" t="str">
        <f t="shared" si="546"/>
        <v/>
      </c>
      <c r="PS190" s="43" t="str">
        <f t="shared" si="547"/>
        <v/>
      </c>
      <c r="PT190" s="43" t="str">
        <f t="shared" si="548"/>
        <v/>
      </c>
      <c r="PU190" s="43" t="str">
        <f t="shared" si="549"/>
        <v/>
      </c>
      <c r="PV190" s="43" t="str">
        <f t="shared" si="550"/>
        <v/>
      </c>
      <c r="PW190" s="43" t="str">
        <f t="shared" si="551"/>
        <v/>
      </c>
      <c r="PX190" s="43" t="str">
        <f t="shared" si="552"/>
        <v/>
      </c>
      <c r="PY190" s="43" t="str">
        <f t="shared" si="553"/>
        <v/>
      </c>
      <c r="PZ190" s="43" t="str">
        <f t="shared" si="554"/>
        <v/>
      </c>
      <c r="QA190" s="43" t="str">
        <f t="shared" si="555"/>
        <v/>
      </c>
      <c r="QB190" s="43" t="str">
        <f t="shared" si="556"/>
        <v/>
      </c>
      <c r="QC190" s="43" t="str">
        <f t="shared" si="557"/>
        <v/>
      </c>
      <c r="QD190" s="43" t="str">
        <f t="shared" si="558"/>
        <v/>
      </c>
      <c r="QE190" s="43" t="str">
        <f t="shared" si="559"/>
        <v>NORMAL</v>
      </c>
      <c r="QF190" s="43" t="str">
        <f t="shared" si="560"/>
        <v/>
      </c>
      <c r="QG190" s="43" t="str">
        <f t="shared" si="561"/>
        <v/>
      </c>
      <c r="QH190" s="43" t="str">
        <f t="shared" si="562"/>
        <v/>
      </c>
      <c r="QI190" s="43" t="str">
        <f t="shared" si="563"/>
        <v/>
      </c>
      <c r="QJ190" s="43" t="str">
        <f t="shared" si="564"/>
        <v/>
      </c>
      <c r="QK190" s="43" t="str">
        <f t="shared" si="565"/>
        <v/>
      </c>
      <c r="QL190" s="43" t="str">
        <f t="shared" si="566"/>
        <v/>
      </c>
      <c r="QM190" s="43" t="str">
        <f t="shared" si="567"/>
        <v/>
      </c>
      <c r="QN190" s="43" t="str">
        <f t="shared" si="568"/>
        <v/>
      </c>
      <c r="QO190" s="43" t="str">
        <f t="shared" si="569"/>
        <v/>
      </c>
      <c r="QP190" s="43" t="str">
        <f t="shared" si="570"/>
        <v/>
      </c>
      <c r="QQ190" s="43" t="str">
        <f t="shared" si="571"/>
        <v/>
      </c>
      <c r="QR190" s="43">
        <f t="shared" si="672"/>
        <v>30</v>
      </c>
      <c r="QS190" s="43"/>
      <c r="QT190" s="21" t="str">
        <f t="shared" si="572"/>
        <v/>
      </c>
      <c r="QU190" s="21" t="str">
        <f t="shared" si="573"/>
        <v/>
      </c>
      <c r="QV190" s="21" t="str">
        <f t="shared" si="574"/>
        <v/>
      </c>
      <c r="QW190" s="21" t="str">
        <f t="shared" si="575"/>
        <v/>
      </c>
      <c r="QX190" s="21" t="str">
        <f t="shared" si="576"/>
        <v/>
      </c>
      <c r="QY190" s="21" t="str">
        <f t="shared" si="577"/>
        <v/>
      </c>
      <c r="QZ190" s="21" t="str">
        <f t="shared" si="578"/>
        <v/>
      </c>
      <c r="RA190" s="21" t="str">
        <f t="shared" si="579"/>
        <v/>
      </c>
      <c r="RB190" s="21" t="str">
        <f t="shared" si="580"/>
        <v/>
      </c>
      <c r="RC190" s="21" t="str">
        <f t="shared" si="581"/>
        <v/>
      </c>
      <c r="RD190" s="21" t="str">
        <f t="shared" si="582"/>
        <v/>
      </c>
      <c r="RE190" s="21" t="str">
        <f t="shared" si="583"/>
        <v/>
      </c>
      <c r="RF190" s="21" t="str">
        <f t="shared" si="584"/>
        <v/>
      </c>
      <c r="RG190" s="21" t="str">
        <f t="shared" si="585"/>
        <v/>
      </c>
      <c r="RH190" s="21" t="str">
        <f t="shared" si="586"/>
        <v/>
      </c>
      <c r="RI190" s="21" t="str">
        <f t="shared" si="587"/>
        <v/>
      </c>
      <c r="RJ190" s="21" t="str">
        <f t="shared" si="588"/>
        <v/>
      </c>
      <c r="RK190" s="21" t="str">
        <f t="shared" si="589"/>
        <v/>
      </c>
      <c r="RL190" s="21" t="str">
        <f t="shared" si="590"/>
        <v/>
      </c>
      <c r="RM190" s="21" t="str">
        <f t="shared" si="591"/>
        <v/>
      </c>
      <c r="RN190" s="21" t="str">
        <f t="shared" si="592"/>
        <v/>
      </c>
      <c r="RO190" s="21" t="str">
        <f t="shared" si="593"/>
        <v/>
      </c>
      <c r="RP190" s="21" t="str">
        <f t="shared" si="594"/>
        <v/>
      </c>
      <c r="RQ190" s="21" t="str">
        <f t="shared" si="595"/>
        <v/>
      </c>
      <c r="RR190" s="21" t="str">
        <f t="shared" si="596"/>
        <v/>
      </c>
      <c r="RS190" s="21" t="str">
        <f t="shared" si="597"/>
        <v/>
      </c>
      <c r="RT190" s="21" t="str">
        <f t="shared" si="598"/>
        <v/>
      </c>
      <c r="RU190" s="21" t="str">
        <f t="shared" si="599"/>
        <v/>
      </c>
      <c r="RV190" s="21">
        <f t="shared" si="600"/>
        <v>-1</v>
      </c>
      <c r="RW190" s="284">
        <f>IF(OR(Tabla1[[#This Row],[FUM FORMULA CONFIABLE]]="",Tabla1[[#This Row],[FUM FORMULA CONFIABLE]]="SD"),"",IF(Tabla1[[#This Row],[FUM FORMULA CONFIABLE]]="CORREGIDA",Tabla1[[#This Row],[FUM X ECO 1]],Tabla1[[#This Row],[FUM x AMENORREA]]))</f>
        <v>44933</v>
      </c>
      <c r="RX190" s="21">
        <f>IF(AND(Tabla1[[#This Row],[FUM X ECO 1]]="",Tabla1[[#This Row],[FUM x AMENORREA]]=""),"",IF(AND(Tabla1[[#This Row],[FUM X ECO 1]]="",Tabla1[[#This Row],[FUM x AMENORREA]]&lt;&gt;""),"X",SUM(Tabla1[[#This Row],[FUM X ECO 1]]-Tabla1[[#This Row],[FUM x AMENORREA]])))</f>
        <v>-4.5</v>
      </c>
      <c r="RY190" s="21">
        <f t="shared" si="673"/>
        <v>0</v>
      </c>
    </row>
    <row r="191" spans="1:493" ht="45" customHeight="1" x14ac:dyDescent="0.25">
      <c r="A191" s="109"/>
      <c r="B191" s="43"/>
      <c r="C191" s="43" t="s">
        <v>845</v>
      </c>
      <c r="D191" s="124"/>
      <c r="E191" s="43" t="s">
        <v>884</v>
      </c>
      <c r="F191" s="43" t="s">
        <v>1144</v>
      </c>
      <c r="G191" s="43" t="s">
        <v>1534</v>
      </c>
      <c r="H191" s="43"/>
      <c r="I191" s="109" t="s">
        <v>851</v>
      </c>
      <c r="J191" s="288">
        <v>1002846626</v>
      </c>
      <c r="K191" s="43" t="s">
        <v>852</v>
      </c>
      <c r="L191" s="175" t="s">
        <v>1509</v>
      </c>
      <c r="M191" s="22">
        <v>36622</v>
      </c>
      <c r="N191" s="213">
        <f t="shared" ca="1" si="601"/>
        <v>23.589041095890412</v>
      </c>
      <c r="O191" s="22">
        <v>45069</v>
      </c>
      <c r="P191" s="214" t="str">
        <f t="shared" si="675"/>
        <v>SI</v>
      </c>
      <c r="Q191" s="26" t="s">
        <v>855</v>
      </c>
      <c r="R191" s="22">
        <v>45069</v>
      </c>
      <c r="S191" s="21" t="s">
        <v>856</v>
      </c>
      <c r="T191" s="24" t="s">
        <v>690</v>
      </c>
      <c r="U191" s="21" t="s">
        <v>857</v>
      </c>
      <c r="V191" s="21" t="s">
        <v>858</v>
      </c>
      <c r="W191" s="21" t="s">
        <v>1062</v>
      </c>
      <c r="X191" s="21"/>
      <c r="Y191" s="21"/>
      <c r="Z191" s="21"/>
      <c r="AA191" s="21" t="s">
        <v>860</v>
      </c>
      <c r="AB191" s="27" t="s">
        <v>861</v>
      </c>
      <c r="AC191" s="26" t="s">
        <v>846</v>
      </c>
      <c r="AD191" s="38" t="s">
        <v>1546</v>
      </c>
      <c r="AE191" s="26" t="s">
        <v>854</v>
      </c>
      <c r="AF191" s="26" t="s">
        <v>854</v>
      </c>
      <c r="AG191" s="23" t="s">
        <v>864</v>
      </c>
      <c r="AH191" s="23" t="s">
        <v>864</v>
      </c>
      <c r="AI191" s="24" t="s">
        <v>863</v>
      </c>
      <c r="AJ191" s="23" t="s">
        <v>864</v>
      </c>
      <c r="AK191" s="220" t="str">
        <f>IF(AND(AD191="",AE191="",AF191="",AG191="",AH191="",AI191="",AJ191=""),"",IF(OR(Tabla1[[#This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EVALUACIÓN",IF(AND(O191="",R191=""),"",IF(AND(OR(O191&gt;0,R191&gt;0),NG191&gt;=0,NG191&lt;2),"SIN RIESGO",IF(AND(OR(O191&gt;0,R191&gt;0),NG191&gt;=2),"CON RIESGO","ASD")))))</f>
        <v>SIN RIESGO</v>
      </c>
      <c r="AL191" s="23" t="s">
        <v>864</v>
      </c>
      <c r="AM191" s="26" t="s">
        <v>864</v>
      </c>
      <c r="AN191" s="26" t="s">
        <v>864</v>
      </c>
      <c r="AO191" s="26" t="s">
        <v>864</v>
      </c>
      <c r="AP191" s="26" t="s">
        <v>864</v>
      </c>
      <c r="AQ191" s="26" t="s">
        <v>864</v>
      </c>
      <c r="AR191" s="26" t="s">
        <v>864</v>
      </c>
      <c r="AS191" s="21">
        <v>2</v>
      </c>
      <c r="AT191" s="21">
        <v>2</v>
      </c>
      <c r="AU191" s="21">
        <v>0</v>
      </c>
      <c r="AV191" s="26" t="s">
        <v>864</v>
      </c>
      <c r="AW191" s="21">
        <v>0</v>
      </c>
      <c r="AX191" s="26" t="s">
        <v>864</v>
      </c>
      <c r="AY191" s="26" t="s">
        <v>864</v>
      </c>
      <c r="AZ191" s="26" t="s">
        <v>864</v>
      </c>
      <c r="BA191" s="26" t="s">
        <v>864</v>
      </c>
      <c r="BB191" s="26" t="s">
        <v>864</v>
      </c>
      <c r="BC191" s="26" t="s">
        <v>864</v>
      </c>
      <c r="BD191" s="26" t="s">
        <v>864</v>
      </c>
      <c r="BE191" s="26" t="s">
        <v>864</v>
      </c>
      <c r="BF191" s="26" t="s">
        <v>864</v>
      </c>
      <c r="BG191" s="26" t="s">
        <v>864</v>
      </c>
      <c r="BH191" s="26" t="s">
        <v>864</v>
      </c>
      <c r="BI191" s="26" t="s">
        <v>864</v>
      </c>
      <c r="BJ191" s="26" t="s">
        <v>864</v>
      </c>
      <c r="BK191" s="26" t="s">
        <v>864</v>
      </c>
      <c r="BL191" s="26" t="s">
        <v>864</v>
      </c>
      <c r="BM191" s="26" t="s">
        <v>864</v>
      </c>
      <c r="BN191" s="22"/>
      <c r="BO191" s="22">
        <v>44947</v>
      </c>
      <c r="BP191" s="21" t="s">
        <v>854</v>
      </c>
      <c r="BQ191" s="222">
        <f t="shared" si="602"/>
        <v>0</v>
      </c>
      <c r="BR191" s="223" t="str">
        <f t="shared" si="603"/>
        <v/>
      </c>
      <c r="BS191" s="224">
        <f t="shared" si="604"/>
        <v>17.428571428571427</v>
      </c>
      <c r="BT191" s="216" t="str">
        <f t="shared" si="605"/>
        <v>II TRIM</v>
      </c>
      <c r="BU191" s="214">
        <f t="shared" ca="1" si="606"/>
        <v>40.714285714285715</v>
      </c>
      <c r="BV191" s="25"/>
      <c r="BW191" s="22"/>
      <c r="BX191" s="28"/>
      <c r="BY191" s="28"/>
      <c r="BZ191" s="22"/>
      <c r="CA191" s="21"/>
      <c r="CB191" s="26" t="s">
        <v>864</v>
      </c>
      <c r="CC191" s="26" t="s">
        <v>864</v>
      </c>
      <c r="CD191" s="26"/>
      <c r="CE191" s="26" t="s">
        <v>864</v>
      </c>
      <c r="CF191" s="22" t="s">
        <v>1517</v>
      </c>
      <c r="CG191" s="21">
        <v>1.41</v>
      </c>
      <c r="CH191" s="21">
        <v>77.5</v>
      </c>
      <c r="CI191" s="214">
        <f t="shared" si="607"/>
        <v>38.981942558221419</v>
      </c>
      <c r="CJ191" s="225" t="e">
        <f>IF(AND(CI191&lt;10,CH191="SD"),"SIN DATO PESO PREGESTACION O I TRIM",IF(AND(OR(R191&gt;0,O191&gt;0),CI191="X"),"INGRESAR DATO DE PESO",IF(CI191="SD","INGRESAR DATO DE TALLA Y PESO",IF(AND(OR(Tabla1[[#This Row],[MOMENTO EN QUE SE REALIZA EL PESO AL INGRESO A CPN]]="PREGESTACIÓN",NZ191="Menor"),CI191&lt;18.5),"BAJO PESO",IF(AND(OR(Tabla1[[#This Row],[MOMENTO EN QUE SE REALIZA EL PESO AL INGRESO A CPN]]="PREGESTACIÓN",NZ191="Menor"),CI191&lt;25),"NORMAL",IF(AND(OR(Tabla1[[#This Row],[MOMENTO EN QUE SE REALIZA EL PESO AL INGRESO A CPN]]="PREGESTACIÓN",NZ191="Menor"),CI191&lt;30),"SOBREPESO",IF(AND(OR(Tabla1[[#This Row],[MOMENTO EN QUE SE REALIZA EL PESO AL INGRESO A CPN]]="PREGESTACIÓN",NZ191="Menor"),CI191&gt;=30,CI191&lt;50),"OBESIDAD",IF(AND(BS191&gt;0,Tabla1[[#This Row],[MOMENTO EN QUE SE REALIZA EL PESO AL INGRESO A CPN]]="GESTACIÓN"),HLOOKUP(NZ191,$OA$2:PH191,NY191),""))))))))</f>
        <v>#REF!</v>
      </c>
      <c r="CK191" s="212">
        <f t="shared" si="608"/>
        <v>45069</v>
      </c>
      <c r="CL191" s="21">
        <v>77.5</v>
      </c>
      <c r="CM191" s="214">
        <f t="shared" si="609"/>
        <v>38.981942558221419</v>
      </c>
      <c r="CN191" s="216">
        <f t="shared" si="610"/>
        <v>17</v>
      </c>
      <c r="CO191" s="216" t="e">
        <f>IF(PI191="","",IF(PI191&gt;0,HLOOKUP(PI191,$PJ$2:QQ191,NY191),""))</f>
        <v>#REF!</v>
      </c>
      <c r="CP191" s="21"/>
      <c r="CQ191" s="216" t="e">
        <f>IF(QR191="Menor","NO APLICA-MENOR 13 SEM",IF(AND(CC191="SI",CN191&gt;23),"NO APLICA- GEMELAR",IF(QR191="","",IF(QR191&gt;0,HLOOKUP(QR191,$QS$2:RU191,NY191),""))))</f>
        <v>#REF!</v>
      </c>
      <c r="CR191" s="21"/>
      <c r="CS191" s="21"/>
      <c r="CT191" s="217" t="str">
        <f>IF(R191="","",IF(AND(BS191&gt;1,BS191&lt;12,Tabla1[[#This Row],[T.A. SISTOLICA - ANTES DE SEMANA 12]]="",Tabla1[[#This Row],[T.A. DIASTOLICA - ANTES DE SEMANA 12]]=""),"REGISTRE DATO TA ANTES SEMANA 12",IF(AND(BS191&gt;11,BS191&lt;43,Tabla1[[#This Row],[T.A. SISTOLICA - ANTES DE SEMANA 12]]="",Tabla1[[#This Row],[T.A. DIASTOLICA - ANTES DE SEMANA 12]]=""),"NO APLICA REGISTRO TA-INGRESO TARDIO",IF(AND(OR(O191&gt;0,R191&gt;0),OR(CR191&gt;=140,CS191&gt;=90)),"DEFINIR ESTADIO HTA",IF(AND(OR(O191&gt;0,R191&gt;0),AND(CR191&gt;120,CR191&lt;=139)),"PRE HTA SEGUIMIENTO",IF(AND(OR(O191&gt;0,R191&gt;0),AND(CS191&gt;80,CS191&lt;=89)),"PRE HTA SEGUIMIENTO",IF(AND(OR(O191&gt;0,R191&gt;0),AND(CR191&gt;=80,CR191&lt;=120)),"APARENTEMENTE NORMAL",IF(AND(OR(O191&gt;0,R191&gt;0),AND(CS191&gt;=50,CS191&lt;=80)),"APARENTEMENTE NORMAL",IF(AND(OR(O191&gt;0,R191&gt;0),AND(CR191&gt;1,CR191&lt;=70),AND(CS191&gt;1,CS191&lt;=40)),"HIPOTENSIÓN","")))))))))</f>
        <v>NO APLICA REGISTRO TA-INGRESO TARDIO</v>
      </c>
      <c r="CU191" s="21"/>
      <c r="CV191" s="21"/>
      <c r="CW191" s="217" t="str">
        <f ca="1">IF(R191="","",IF(AND(CN191&gt;19,CN191&lt;27,Tabla1[[#This Row],[T.A. SISTOLICA (Entre semana 20 y 26)]]="",Tabla1[[#This Row],[T.A. DIATOLICA (Entre semana 20 y 26)]]=""),"ACUDE A CONTROL SEM 20 A 26 REGISTRE TA AHORA",IF(AND(BS191&gt;1,BS191&lt;27,BU191&gt;19,Tabla1[[#This Row],[T.A. SISTOLICA (Entre semana 20 y 26)]]="",Tabla1[[#This Row],[T.A. DIATOLICA (Entre semana 20 y 26)]]=""),"COMPLETE REGISTRO TA CONTROL SEM 20 A26 ",IF(AND(BS191&gt;26,BS191&lt;43,Tabla1[[#This Row],[T.A. SISTOLICA (Entre semana 20 y 26)]]="",Tabla1[[#This Row],[T.A. DIATOLICA (Entre semana 20 y 26)]]=""),"NO APLICA REGISTRO TA-INGRESO TARDIO",IF(AND(OR(O191&gt;0,R191&gt;0),OR(CU191&gt;=140,CV191&gt;=90)),"ALTO RIESGO PREECLAMPSIA,DEFINIR ESTADIO HTA",IF(AND(OR(O191&gt;0,R191&gt;0),AND(CU191&gt;120,CU191&lt;=139)),"PRE HTA SEGUIMIENTO,RIESGO HIPERTENSION INDUCIDA POR EL EMBARAZO",IF(AND(OR(O191&gt;0,R191&gt;0),AND(CV191&gt;80,CV191&lt;=89)),"PRE HTA SEGUIMIENTO, RIESGO HIPERTENSION INDUCIDA POR EL EMBARAZO",IF(AND(OR(O191&lt;&gt;"",R191&lt;&gt;""),CS191&lt;&gt;"",CV191&lt;&gt;"",CS191&lt;=CV191),"VIGILAR CIFRAS PRESION ARTERIAL",IF(AND(OR(O191&gt;0,R191&gt;0),AND(CU191&gt;120,CU191&lt;=139)),"PRE HTA SEGUIMIENTO",IF(AND(OR(O191&gt;0,R191&gt;0),AND(CU191&gt;1,CU191&lt;=70),AND(CV191&gt;1,CV191&lt;=40)),"HIPOTENSIÓN",IF(AND(OR(O191&lt;&gt;"",R191&lt;&gt;""),CS191&lt;&gt;"",CV191&lt;&gt;"",CS191&gt;CV191),"APARENTEMENTE NORMAL",IF(AND(OR(O191&gt;0,R191&gt;0),AND(CU191&gt;=80,CU191&lt;=120)),"APARENTEMENTE NORMAL",IF(AND(OR(O191&gt;0,R191&gt;0),AND(CV191&gt;=50,CV191&lt;=80)),"APARENTEMENTE NORMAL","")))))))))))))</f>
        <v xml:space="preserve">COMPLETE REGISTRO TA CONTROL SEM 20 A26 </v>
      </c>
      <c r="CX191" s="21"/>
      <c r="CY191" s="21"/>
      <c r="CZ191" s="216" t="e">
        <f>IF(R191="","",IF(AND(CN191&gt;31,CN191&lt;35,CX191="",CY191=""),"ACUDE A CONTROL SEM 30 A 34- REGISTRE AHORA",IF(AND(BS191&gt;34,BS191&lt;43,#REF!="",#REF!=""),"NO APLICA-INGRESO TARDIO",IF(AND(OR(O191&gt;0,R191&gt;0),OR(CX191&gt;=140,CY191&gt;=90)),"ESTUDIO INMEDIATO HTA PARA DESCARTAR PREECLAMSIA",IF(AND(OR(O191&gt;0,R191&gt;0),AND(CX191&gt;=130,CX191&lt;=139)),"PRE HTA,RIESGO ALTO PREECLAMPSIA",IF(AND(OR(O191&gt;0,R191&gt;0),AND(CY191&gt;80,CY191&lt;=89)),"PRE HTA,RIESGO ALTO PREECLAMPSIA",IF(AND(OR(O191&gt;0,R191&gt;0),AND(CX191&gt;120,CX191&lt;=129)),"RANGO PREHIPERTENSIVO SEGUIMIENTO HTA",IF(AND(OR(O191&lt;&gt;"",R191&lt;&gt;""),CS191&lt;&gt;"",CY191&lt;&gt;"",CS191&lt;CY191),"VIGILAR CIFRAS PRESION ARTERIAL",IF(AND(OR(O191&lt;&gt;"",R191&lt;&gt;""),CS191&lt;&gt;"",CY191&lt;&gt;"",CS191=CY191),"APARENTEMENTE NORMAL",IF(AND(OR(O191&gt;0,R191&gt;0),CX191&gt;=80,CX191&lt;=120),"APARENTEMENTE NORMAL",IF(AND(OR(O191&gt;0,R191&gt;0),CY191&gt;=50,CY191&lt;=80),"APARENTEMENTE NORMAL","")))))))))))</f>
        <v>#REF!</v>
      </c>
      <c r="DA191" s="21">
        <v>100</v>
      </c>
      <c r="DB191" s="21">
        <v>60</v>
      </c>
      <c r="DC191" s="217" t="str">
        <f t="shared" si="611"/>
        <v>APARENTEMENTE NORMAL</v>
      </c>
      <c r="DD191" s="22">
        <v>45007</v>
      </c>
      <c r="DE191" s="22">
        <v>45007</v>
      </c>
      <c r="DF191" s="22">
        <v>45069</v>
      </c>
      <c r="DG191" s="22"/>
      <c r="DH191" s="22"/>
      <c r="DI191" s="22"/>
      <c r="DJ191" s="22"/>
      <c r="DK191" s="22"/>
      <c r="DL191" s="22"/>
      <c r="DM191" s="22"/>
      <c r="DN191" s="22"/>
      <c r="DO191" s="22"/>
      <c r="DP191" s="22"/>
      <c r="DQ191" s="22"/>
      <c r="DR191" s="28">
        <v>0</v>
      </c>
      <c r="DS191" s="22"/>
      <c r="DT191" s="22"/>
      <c r="DU191" s="216" t="str">
        <f t="shared" ca="1" si="676"/>
        <v>CONCERTAR PLAN DE PARTO INMEDIATO</v>
      </c>
      <c r="DV191" s="226" t="str">
        <f t="shared" si="677"/>
        <v>ACTIVA INGRESO A CPN</v>
      </c>
      <c r="DW19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91" s="216" t="e">
        <f t="shared" ca="1" si="612"/>
        <v>#REF!</v>
      </c>
      <c r="DY191" s="212">
        <f>IF(R191="","",IF(R191&gt;0,MAX(Tabla1[[#This Row],[FECHA C2]:[FECHA C13]],Tabla1[[#This Row],[FECHA CONSULTA PRIMERA VEZ PROGRAMA CPN ]])))</f>
        <v>45069</v>
      </c>
      <c r="DZ191" s="216">
        <f t="shared" si="613"/>
        <v>17</v>
      </c>
      <c r="EA191" s="222">
        <f>IF(R191&gt;0,SUM(COUNTA(DF191:DQ191)+COUNTA(Tabla1[[#This Row],[FECHA CONSULTA PRIMERA VEZ PROGRAMA CPN ]])),"")</f>
        <v>2</v>
      </c>
      <c r="EB191" s="222" t="str">
        <f t="shared" si="614"/>
        <v>NO</v>
      </c>
      <c r="EC191" s="214">
        <f t="shared" si="615"/>
        <v>7</v>
      </c>
      <c r="ED191" s="227">
        <f t="shared" si="616"/>
        <v>0.2857142857142857</v>
      </c>
      <c r="EE191" s="22">
        <v>45007</v>
      </c>
      <c r="EF191" s="22">
        <v>45072</v>
      </c>
      <c r="EG191" s="22">
        <v>45007</v>
      </c>
      <c r="EH191" s="22"/>
      <c r="EI191" s="22">
        <v>45007</v>
      </c>
      <c r="EJ191" s="22"/>
      <c r="EK191" s="22"/>
      <c r="EL191" s="21"/>
      <c r="EM191" s="21">
        <v>13.3</v>
      </c>
      <c r="EN191" s="22">
        <v>45072</v>
      </c>
      <c r="EO191" s="222">
        <f t="shared" si="617"/>
        <v>17.857142857142858</v>
      </c>
      <c r="EP191" s="214" t="str">
        <f t="shared" si="618"/>
        <v>NORMAL- SUMINISTRAR SULFATO FERROSO</v>
      </c>
      <c r="EQ191" s="216" t="str">
        <f t="shared" si="619"/>
        <v>II TRIM</v>
      </c>
      <c r="ER191" s="24"/>
      <c r="ES191" s="22"/>
      <c r="ET191" s="29" t="str">
        <f t="shared" ca="1" si="678"/>
        <v>TOMA DE HEMOGLOBINA TARDÍA</v>
      </c>
      <c r="EU191" s="25" t="str">
        <f t="shared" si="620"/>
        <v/>
      </c>
      <c r="EV191" s="24" t="s">
        <v>1510</v>
      </c>
      <c r="EW191" s="32">
        <v>45013</v>
      </c>
      <c r="EX191" s="22"/>
      <c r="EY191" s="29">
        <f t="shared" si="693"/>
        <v>9.4285714285714288</v>
      </c>
      <c r="EZ191" s="25" t="str">
        <f t="shared" si="694"/>
        <v>SIN RIESGO DE ISOINMUNIZACIÓN</v>
      </c>
      <c r="FA191" s="21">
        <v>56</v>
      </c>
      <c r="FB191" s="22">
        <v>45013</v>
      </c>
      <c r="FC191" s="29">
        <f t="shared" si="621"/>
        <v>9.4285714285714288</v>
      </c>
      <c r="FD191" s="29"/>
      <c r="FE191" s="29"/>
      <c r="FF191" s="29"/>
      <c r="FG191" s="21" t="str">
        <f t="shared" ca="1" si="622"/>
        <v>TOMAR PTOG</v>
      </c>
      <c r="FH191" s="31"/>
      <c r="FI191" s="29" t="str">
        <f t="shared" si="623"/>
        <v>TOMAR EXAMEN</v>
      </c>
      <c r="FJ191" s="22" t="s">
        <v>867</v>
      </c>
      <c r="FK191" s="22">
        <v>45013</v>
      </c>
      <c r="FL191" s="29">
        <f t="shared" ca="1" si="624"/>
        <v>9.4285714285714288</v>
      </c>
      <c r="FM191" s="22"/>
      <c r="FN191" s="32"/>
      <c r="FO191" s="29" t="str">
        <f t="shared" ca="1" si="679"/>
        <v>PIERDE TOMA DE TAMIZAJE</v>
      </c>
      <c r="FP191" s="22"/>
      <c r="FQ191" s="32"/>
      <c r="FR191" s="29" t="str">
        <f t="shared" ca="1" si="680"/>
        <v>TOMA INMEDIATA DE TAMIZAJE</v>
      </c>
      <c r="FS191" s="22"/>
      <c r="FT191" s="32"/>
      <c r="FU191" s="29" t="str">
        <f>IF(AND(FJ191="",FM191="",FP191="",FS191=""),"",IF(OR(OR(Tabla1[[#This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91" s="28"/>
      <c r="FW191" s="22"/>
      <c r="FX191" s="29" t="str">
        <f t="shared" si="625"/>
        <v>TOMAR EXAMEN</v>
      </c>
      <c r="FY191" s="22" t="s">
        <v>868</v>
      </c>
      <c r="FZ191" s="22">
        <v>45013</v>
      </c>
      <c r="GA191" s="29">
        <f t="shared" ca="1" si="739"/>
        <v>9.4285714285714288</v>
      </c>
      <c r="GB191" s="22"/>
      <c r="GC191" s="22"/>
      <c r="GD191" s="29" t="str">
        <f t="shared" ca="1" si="732"/>
        <v>PIERDE TOMA DE TAMIZAJE</v>
      </c>
      <c r="GE191" s="22"/>
      <c r="GF191" s="22"/>
      <c r="GG191" s="29" t="str">
        <f t="shared" ca="1" si="682"/>
        <v>TOMA INMEDIATA DE TAMIZAJE</v>
      </c>
      <c r="GH191" s="22"/>
      <c r="GI191" s="29"/>
      <c r="GJ191" s="22"/>
      <c r="GK191" s="22"/>
      <c r="GL191" s="22"/>
      <c r="GM191" s="22"/>
      <c r="GN191" s="28"/>
      <c r="GO191" s="22"/>
      <c r="GP191" s="29" t="str">
        <f t="shared" si="626"/>
        <v>TOMAR EXAMEN</v>
      </c>
      <c r="GQ191" s="28"/>
      <c r="GR191" s="28"/>
      <c r="GS191" s="22" t="str">
        <f t="shared" si="728"/>
        <v/>
      </c>
      <c r="GT191" s="22"/>
      <c r="GU191" s="29" t="str">
        <f t="shared" si="628"/>
        <v>TOMAR EXAMEN</v>
      </c>
      <c r="GV191" s="21" t="str">
        <f t="shared" si="629"/>
        <v>POR DEFINIR</v>
      </c>
      <c r="GW191" s="28"/>
      <c r="GX191" s="30"/>
      <c r="GY191" s="21"/>
      <c r="GZ191" s="21"/>
      <c r="HA191" s="21"/>
      <c r="HB191" s="21"/>
      <c r="HC191" s="21"/>
      <c r="HD191" s="21"/>
      <c r="HE191" s="21"/>
      <c r="HF191" s="22"/>
      <c r="HG191" s="22" t="str">
        <f>IF(OR(O191&gt;0,R191&gt;0),CONCATENATE(IF(Tabla1[[#This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91" s="22" t="e">
        <f t="shared" si="630"/>
        <v>#REF!</v>
      </c>
      <c r="HI191" s="22" t="e">
        <f t="shared" ca="1" si="631"/>
        <v>#REF!</v>
      </c>
      <c r="HJ191" s="21" t="str">
        <f t="shared" ca="1" si="632"/>
        <v>***************************************</v>
      </c>
      <c r="HK191" s="21" t="str">
        <f t="shared" si="633"/>
        <v>SIN ANTECEDENTES DE RIESGO</v>
      </c>
      <c r="HL191" s="24" t="str">
        <f t="shared" si="634"/>
        <v>APARENTEMENTE NORMAL</v>
      </c>
      <c r="HM191" s="21" t="e">
        <f t="shared" ca="1" si="635"/>
        <v>#REF!</v>
      </c>
      <c r="HN191" s="30" t="str">
        <f t="shared" si="683"/>
        <v>ACTIVA INGRESO A CPN</v>
      </c>
      <c r="HO191" s="21"/>
      <c r="HP191" s="21"/>
      <c r="HQ191" s="349"/>
      <c r="HR191" s="21" t="str">
        <f>IF(R191="","",IF(Tabla1[[#This Row],[ALARMA FACTORES DE RIESGO COMPLICACIONES HIPERTENSIVAS3]]="SIN ANTECEDENTES DE RIESGO","No Aplica para suministro de ASA",IF(AND(Tabla1[[#This Row],[FECHA INICIO DE SUMINISTRO DE ASA]]&gt;0,RV191&lt;12),"Inicia ASA ANTES de Sem 12",IF(AND(RV191&gt;11,RV191&lt;17,OR(HK191="RIESGO ALTO DE COMPLICACIONES HIPERTENSIVAS VER MANEJO GUIA SUMINISTRO ASA Y CALCIO",HK191="RIESGO MODERADO (2 O MAS CRITERIOS) VER MANEJO GUIA SUMINISTRO ASA Y CALCIO")),"Inicio oportuno de ASA",IF(AND(RV191&gt;12,OR(HK191="RIESGO ALTO DE COMPLICACIONES HIPERTENSIVAS VER MANEJO GUIA SUMINISTRO ASA Y CALCIO",HK191="RIESGO MODERADO (2 O MAS CRITERIOS) VER MANEJO GUIA SUMINISTRO ASA Y CALCIO")),"Inicio no oportuno mayor a 16 semanas",IF(AND(BU191&lt;12,OR(HK191="RIESGO ALTO DE COMPLICACIONES HIPERTENSIVAS VER MANEJO GUIA SUMINISTRO ASA Y CALCIO",HK191="RIESGO MODERADO (2 O MAS CRITERIOS) VER MANEJO GUIA SUMINISTRO ASA Y CALCIO")),"Pendiente Inicio de ASA a la semana 12",IF(AND(BU191&gt;11,BU191&lt;17,OR(HK191="RIESGO ALTO DE COMPLICACIONES HIPERTENSIVAS VER MANEJO GUIA SUMINISTRO ASA Y CALCIO",HK191="RIESGO MODERADO (2 O MAS CRITERIOS) VER MANEJO GUIA SUMINISTRO ASA Y CALCIO")),"Iniciar de inmediato ASA",IF(AND(BU191&gt;16,OR(HK191="RIESGO ALTO DE COMPLICACIONES HIPERTENSIVAS VER MANEJO GUIA SUMINISTRO ASA Y CALCIO",HK191="RIESGO MODERADO (2 O MAS CRITERIOS) VER MANEJO GUIA SUMINISTRO ASA Y CALCIO")),"Pierde Oportunidad, Inicio tardío de ASA","XXXXX"))))))))</f>
        <v>No Aplica para suministro de ASA</v>
      </c>
      <c r="HS191" s="22">
        <v>45069</v>
      </c>
      <c r="HT191" s="22" t="s">
        <v>1532</v>
      </c>
      <c r="HU191" s="22">
        <v>45069</v>
      </c>
      <c r="HV191" s="22" t="s">
        <v>1523</v>
      </c>
      <c r="HW191" s="22">
        <v>45069</v>
      </c>
      <c r="HX191" s="22" t="s">
        <v>1529</v>
      </c>
      <c r="HY191" s="22"/>
      <c r="HZ191" s="28" t="str">
        <f t="shared" si="636"/>
        <v>PENDIENTE CONSULTA</v>
      </c>
      <c r="IA191" s="26"/>
      <c r="IB191" s="26"/>
      <c r="IC191" s="111"/>
      <c r="ID191" s="22"/>
      <c r="IE191" s="22" t="str">
        <f t="shared" ca="1" si="637"/>
        <v>INASISTENTE</v>
      </c>
      <c r="IF191" s="22"/>
      <c r="IG191" s="22">
        <f t="shared" si="638"/>
        <v>45227</v>
      </c>
      <c r="IH191" s="29">
        <f t="shared" ca="1" si="639"/>
        <v>-5</v>
      </c>
      <c r="II191" s="22" t="str">
        <f t="shared" ca="1" si="640"/>
        <v>POSIBLEMENTE NACIO</v>
      </c>
      <c r="IJ191" s="22"/>
      <c r="IK191" s="21"/>
      <c r="IL191" s="21"/>
      <c r="IM191" s="34"/>
      <c r="IN191" s="22"/>
      <c r="IO191" s="21"/>
      <c r="IP191" s="29" t="str">
        <f t="shared" si="730"/>
        <v/>
      </c>
      <c r="IQ191" s="35"/>
      <c r="IR191" s="21"/>
      <c r="IS191" s="21"/>
      <c r="IT191" s="21"/>
      <c r="IU191" s="21"/>
      <c r="IV191" s="21"/>
      <c r="IW191" s="21"/>
      <c r="IX191" s="21"/>
      <c r="IY191" s="21"/>
      <c r="IZ191" s="21"/>
      <c r="JA191" s="21"/>
      <c r="JB191" s="30"/>
      <c r="JC191" s="21"/>
      <c r="JD191" s="36"/>
      <c r="JE191" s="21" t="str">
        <f t="shared" si="733"/>
        <v/>
      </c>
      <c r="JF191" s="30"/>
      <c r="JG191" s="21"/>
      <c r="JH191" s="21"/>
      <c r="JI191" s="21"/>
      <c r="JJ191" s="30"/>
      <c r="JK191" s="22"/>
      <c r="JL191" s="22"/>
      <c r="JM191" s="21"/>
      <c r="JN191" s="36"/>
      <c r="JO191" s="21" t="str">
        <f t="shared" si="734"/>
        <v/>
      </c>
      <c r="JP191" s="22"/>
      <c r="JQ191" s="21"/>
      <c r="JR191" s="21"/>
      <c r="JS191" s="21"/>
      <c r="JT191" s="30"/>
      <c r="JU191" s="22"/>
      <c r="JV191" s="22"/>
      <c r="JW191" s="33"/>
      <c r="JX191" s="28" t="str">
        <f t="shared" si="735"/>
        <v/>
      </c>
      <c r="JY191" s="33"/>
      <c r="JZ191" s="28" t="str">
        <f t="shared" si="736"/>
        <v/>
      </c>
      <c r="KA191" s="21"/>
      <c r="KB191" s="21"/>
      <c r="KC191" s="21"/>
      <c r="KD191" s="37"/>
      <c r="KE191" s="28"/>
      <c r="KF191" s="28"/>
      <c r="KG191" s="28"/>
      <c r="KH191" s="39"/>
      <c r="KI191" s="39"/>
      <c r="KJ191" s="66"/>
      <c r="KK191" s="39"/>
      <c r="KL191" s="39"/>
      <c r="KM191" s="66"/>
      <c r="KN191" s="39"/>
      <c r="KO191" s="39"/>
      <c r="KP191" s="39"/>
      <c r="KQ191" s="39"/>
      <c r="KR191" s="39"/>
      <c r="KS191" s="39"/>
      <c r="KT191" s="39"/>
      <c r="KU191" s="38"/>
      <c r="KV191" s="38"/>
      <c r="KW191" s="38"/>
      <c r="KX191" s="38"/>
      <c r="KY191" s="38"/>
      <c r="KZ191" s="38"/>
      <c r="LA191" s="38"/>
      <c r="LB191" s="38"/>
      <c r="LC191" s="38"/>
      <c r="LD191" s="38"/>
      <c r="LE191" s="38"/>
      <c r="LF191" s="38"/>
      <c r="LG191" s="38"/>
      <c r="LH191" s="38"/>
      <c r="LI191" s="38"/>
      <c r="LJ191" s="38"/>
      <c r="LK191" s="38"/>
      <c r="LL191" s="38"/>
      <c r="LM191" s="38"/>
      <c r="LN191" s="38"/>
      <c r="LO191" s="38"/>
      <c r="LP191" s="38"/>
      <c r="LQ191" s="38"/>
      <c r="LR191" s="38"/>
      <c r="LS191" s="38"/>
      <c r="LT191" s="38"/>
      <c r="LU191" s="38"/>
      <c r="LV191" s="38"/>
      <c r="LW191" s="38"/>
      <c r="LX191" s="38"/>
      <c r="LY191" s="38"/>
      <c r="LZ191" s="38"/>
      <c r="MA191" s="38"/>
      <c r="MB191" s="38"/>
      <c r="MC191" s="38"/>
      <c r="MD191" s="38"/>
      <c r="ME191" s="38"/>
      <c r="MF191" s="38"/>
      <c r="MG191" s="38"/>
      <c r="MH191" s="43">
        <f t="shared" si="697"/>
        <v>0</v>
      </c>
      <c r="MI191" s="43" t="str">
        <f t="shared" si="698"/>
        <v/>
      </c>
      <c r="MJ191" s="43" t="str">
        <f t="shared" si="699"/>
        <v/>
      </c>
      <c r="MK191" s="43">
        <f t="shared" si="700"/>
        <v>0</v>
      </c>
      <c r="ML19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91" s="43">
        <f t="shared" si="701"/>
        <v>17.428571428571427</v>
      </c>
      <c r="MN191" s="43">
        <f t="shared" si="702"/>
        <v>5</v>
      </c>
      <c r="MO191" s="43">
        <f t="shared" si="703"/>
        <v>2023</v>
      </c>
      <c r="MP191" s="43" t="str">
        <f t="shared" si="704"/>
        <v>II TRIMESTRE AÑO</v>
      </c>
      <c r="MQ191" s="43">
        <f t="shared" si="705"/>
        <v>22.796211125711782</v>
      </c>
      <c r="MR191" s="43">
        <f t="shared" si="706"/>
        <v>0</v>
      </c>
      <c r="MS191" s="43" t="str">
        <f t="shared" si="707"/>
        <v xml:space="preserve"> DE 20 A 24 AÑOS</v>
      </c>
      <c r="MT191" s="43">
        <f t="shared" si="708"/>
        <v>0</v>
      </c>
      <c r="MU191" s="43">
        <f t="shared" si="709"/>
        <v>0</v>
      </c>
      <c r="MV191" s="43">
        <f t="shared" si="710"/>
        <v>0</v>
      </c>
      <c r="MW191" s="43">
        <f t="shared" si="711"/>
        <v>0</v>
      </c>
      <c r="MX191" s="43" t="str">
        <f t="shared" si="712"/>
        <v/>
      </c>
      <c r="MY191" s="43" t="str">
        <f t="shared" ca="1" si="737"/>
        <v/>
      </c>
      <c r="MZ191" s="43" t="str">
        <f t="shared" si="713"/>
        <v/>
      </c>
      <c r="NA191" s="43" t="str">
        <f t="shared" si="714"/>
        <v/>
      </c>
      <c r="NB191" s="43" t="str">
        <f t="shared" si="715"/>
        <v/>
      </c>
      <c r="NC191" s="43" t="str">
        <f t="shared" si="716"/>
        <v/>
      </c>
      <c r="ND191" s="43">
        <f t="shared" ca="1" si="717"/>
        <v>0</v>
      </c>
      <c r="NE191" s="43">
        <f>IF(OR(O191&gt;0,R191&gt;0),SUM(COUNTIF(Tabla1[[#This Row],[AÑOS AL INICIO5 CPN]],"&gt;=40"),COUNTIF(AS191,"0"),COUNTIF(AR191,"SI"),COUNTIF(CC191,"SI"),COUNTIF(BQ191,"&gt;119"),COUNTIF(CI191,"&gt;=35")),"")</f>
        <v>1</v>
      </c>
      <c r="NF191" s="43" t="str">
        <f t="shared" si="718"/>
        <v/>
      </c>
      <c r="NG191" s="43">
        <f t="shared" si="719"/>
        <v>0</v>
      </c>
      <c r="NH191" s="43" t="str">
        <f t="shared" si="720"/>
        <v/>
      </c>
      <c r="NI19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CPN",P191="NO"),"Z",IF(AND(Tabla1[[#This Row],[CITA PROXIMO CONTROL]]="CITA MANUAL",Tabla1[[#This Row],[GESTANTES ACTUALES]]="ACTIVA INGRESO A CPN"),"W",IF(AND(Tabla1[[#This Row],[GESTANTES ACTUALES]]="SALIO PROGRAMA",IN191=""),"S",IF(AND(Tabla1[[#This Row],[CITA PROXIMO CONTROL]]&gt;0,IN191=""),(Tabla1[[#This Row],[CITA PROXIMO CONTROL]]-TODAY()),"SD"))))))))</f>
        <v>#REF!</v>
      </c>
      <c r="NJ191" s="43">
        <f>MONTH(Tabla1[[#This Row],[FECHA DE SALIDA  DEL PROGRAMA]])</f>
        <v>1</v>
      </c>
      <c r="NK191" s="43">
        <f>YEAR(Tabla1[[#This Row],[FECHA DE SALIDA  DEL PROGRAMA]])</f>
        <v>1900</v>
      </c>
      <c r="NL191" s="43" t="str">
        <f t="shared" si="721"/>
        <v>X</v>
      </c>
      <c r="NM191" s="43" t="str">
        <f t="shared" si="695"/>
        <v>NO</v>
      </c>
      <c r="NN191" s="43" t="str">
        <f ca="1">IF(AND(O191&gt;0,R191=""),"NO CPN",IF(AND(O191="",R191=""),"",IF(AND(R191&gt;0,Tabla1[[#This Row],[SEMANAS DE GESTACION ACTUALIZADAS]]&lt;=12),"NO APLICA",IF(AND(FH191&lt;&gt;"",FN191&lt;&gt;""),"SI","NO"))))</f>
        <v>NO</v>
      </c>
      <c r="NO191" s="43" t="str">
        <f ca="1">IF(AND(O191&gt;0,R191=""),"NO CPN",IF(AND(O191="",R191=""),"",IF(AND(R191&gt;0,Tabla1[[#This Row],[SEMANAS DE GESTACION ACTUALIZADAS]]&lt;=27),"NO APLICA",IF(AND(ES191&lt;&gt;"",FQ191&lt;&gt;"",GF191&lt;&gt;""),"SI","NO"))))</f>
        <v>NO</v>
      </c>
      <c r="NP191" s="204" t="str">
        <f t="shared" si="722"/>
        <v>II TRIM</v>
      </c>
      <c r="NQ191"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191" s="21">
        <f t="shared" ca="1" si="738"/>
        <v>2</v>
      </c>
      <c r="NS191" s="205">
        <f t="shared" ca="1" si="723"/>
        <v>1</v>
      </c>
      <c r="NT191" s="21">
        <f t="shared" ca="1" si="724"/>
        <v>1</v>
      </c>
      <c r="NU191" s="21" t="str">
        <f t="shared" ca="1" si="725"/>
        <v>INCOMPLETO</v>
      </c>
      <c r="NV191" s="21" t="str">
        <f t="shared" ca="1" si="726"/>
        <v>INCOMPLETO</v>
      </c>
      <c r="NW191" s="206" t="str">
        <f>IF(AND(O191="",R191=""),"",IF(OR(AND(Tabla1[[#This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91" s="207" t="str">
        <f t="shared" ca="1" si="727"/>
        <v>SIN VACUNAR</v>
      </c>
      <c r="NY191" s="43">
        <f>ROW(Tabla1[[#This Row],['# DE TAMIZAJES SIFILIS TOMADOS ]])</f>
        <v>191</v>
      </c>
      <c r="NZ191" s="43">
        <f t="shared" ref="NZ191:NZ218" si="740">IF(BS191="","",IF(BS191&lt;10,"Menor",INT(BS191)))</f>
        <v>17</v>
      </c>
      <c r="OA191" s="43" t="str">
        <f t="shared" ref="OA191:OA218" si="741">IF(AND(NZ191=$OA$2,CI191&gt;10,CI191&lt;18.5),"BAJO PESO",IF(AND(NZ191=$OA$2,CI191&gt;18.4,CI191&lt;25),"NORMAL",IF(AND(NZ191=$OA$2,CI191&gt;24,CI191&lt;30),"SOBREPESO",IF(AND(NZ191=$OA$2,CI191&gt;29,CI191&lt;50),"OBESIDAD",""))))</f>
        <v/>
      </c>
      <c r="OB191" s="43" t="str">
        <f t="shared" ref="OB191:OB218" si="742">IF(AND(NZ191=$OB$2,CI191&gt;10,CI191&lt;20.3),"BAJO PESO",IF(AND(NZ191=$OB$2,CI191&gt;20.2,CI191&lt;25.3),"NORMAL",IF(AND(NZ191=$OB$2,CI191&gt;25.2,CI191&lt;30.3),"SOBREPESO",IF(AND(NZ191=$OB$2,CI191&gt;30.2,CI191&lt;50),"OBESIDAD",""))))</f>
        <v/>
      </c>
      <c r="OC191" s="43" t="str">
        <f t="shared" ref="OC191:OC218" si="743">IF(AND(NZ191=$OC$2,CI191&gt;10,CI191&lt;20.4),"BAJO PESO",IF(AND(NZ191=$OC$2,CI191&gt;20.3,CI191&lt;25.4),"NORMAL",IF(AND(NZ191=$OC$2,CI191&gt;25.3,CI191&lt;30.4),"SOBREPESO",IF(AND(NZ191=$OC$2,CI191&gt;30.3,CI191&lt;50),"OBESIDAD",""))))</f>
        <v/>
      </c>
      <c r="OD191" s="43" t="str">
        <f t="shared" ref="OD191:OD218" si="744">IF(AND(NZ191=$OD$2,CI191&gt;10,CI191&lt;20.5),"BAJO PESO",IF(AND(NZ191=$OD$2,CI191&gt;20.4,CI191&lt;25.5),"NORMAL",IF(AND(NZ191=$OD$2,CI191&gt;25.4,CI191&lt;30.4),"SOBREPESO",IF(AND(NZ191=$OD$2,CI191&gt;30.3,CI191&lt;50),"OBESIDAD",""))))</f>
        <v/>
      </c>
      <c r="OE191" s="43" t="str">
        <f t="shared" ref="OE191:OE218" si="745">IF(AND(NZ191=$OE$2,CI191&gt;10,CI191&lt;20.7),"BAJO PESO",IF(AND(NZ191=$OE$2,CI191&gt;20.6,CI191&lt;25.7),"NORMAL",IF(AND(NZ191=$OE$2,CI191&gt;25.7,CI191&lt;30.5),"SOBREPESO",IF(AND(NZ191=$OE$2,CI191&gt;30.4,CI191&lt;50),"OBESIDAD",""))))</f>
        <v/>
      </c>
      <c r="OF191" s="43" t="str">
        <f t="shared" ref="OF191:OF218" si="746">IF(AND(NZ191=$OF$2,CI191&gt;10,CI191&lt;20.8),"BAJO PESO",IF(AND(NZ191=$OF$2,CI191&gt;20.7,CI191&lt;25.8),"NORMAL",IF(AND(NZ191=$OF$2,CI191&gt;25.7,CI191&lt;30.6),"SOBREPESO",IF(AND(NZ191=$OF$2,CI191&gt;30.5,CI191&lt;50),"OBESIDAD",""))))</f>
        <v/>
      </c>
      <c r="OG191" s="43" t="str">
        <f t="shared" ref="OG191:OG218" si="747">IF(AND(NZ191=$OG$2,CI191&gt;10,CI191&lt;20.9),"BAJO PESO",IF(AND(NZ191=$OG$2,CI191&gt;20.8,CI191&lt;25.9),"NORMAL",IF(AND(NZ191=$OG$2,CI191&gt;25.8,CI191&lt;30.7),"SOBREPESO",IF(AND(NZ191=$OG$2,CI191&gt;30.6,CI191&lt;50),"OBESIDAD",""))))</f>
        <v/>
      </c>
      <c r="OH191" s="43" t="str">
        <f t="shared" ref="OH191:OH218" si="748">IF(AND(NZ191=$OH$2,CI191&gt;10,CI191&lt;21.1),"BAJO PESO",IF(AND(NZ191=$OH$2,CI191&gt;21,CI191&lt;26),"NORMAL",IF(AND(NZ191=$OH$2,CI191&gt;25.9,CI191&lt;30.8),"SOBREPESO",IF(AND(NZ191=$OH$2,CI191&gt;30.7,CI191&lt;50),"OBESIDAD",""))))</f>
        <v/>
      </c>
      <c r="OI191" s="43" t="str">
        <f t="shared" ref="OI191:OI218" si="749">IF(AND(NZ191=$OI$2,CI191&gt;10,CI191&lt;21.2),"BAJO PESO",IF(AND(NZ191=$OI$2,CI191&gt;21.1,CI191&lt;26.1),"NORMAL",IF(AND(NZ191=$OI$2,CI191&gt;26,CI191&lt;31.9),"SOBREPESO",IF(AND(NZ191=$OI$2,CI191&gt;30.8,CI191&lt;50),"OBESIDAD",""))))</f>
        <v>OBESIDAD</v>
      </c>
      <c r="OJ191" s="43" t="str">
        <f t="shared" ref="OJ191:OJ218" si="750">IF(AND(NZ191=$OJ$2,CI191&gt;10,CI191&lt;21.3),"BAJO PESO",IF(AND(NZ191=$OJ$2,CI191&gt;21.2,CI191&lt;26.2),"NORMAL",IF(AND(NZ191=$OJ$2,CI191&gt;26.1,CI191&lt;31),"SOBREPESO",IF(AND(NZ191=$OJ$2,CI191&gt;30.9,CI191&lt;50),"OBESIDAD",""))))</f>
        <v/>
      </c>
      <c r="OK191" s="43" t="str">
        <f t="shared" ref="OK191:OK218" si="751">IF(AND(NZ191=$OK$2,CI191&gt;10,CI191&lt;21.5),"BAJO PESO",IF(AND(NZ191=$OK$2,CI191&gt;21.4,CI191&lt;26.3),"NORMAL",IF(AND(NZ191=$OK$2,CI191&gt;26.2,CI191&lt;31),"SOBREPESO",IF(AND(NZ191=$OK$2,CI191&gt;30.9,CI191&lt;50),"OBESIDAD",""))))</f>
        <v/>
      </c>
      <c r="OL191" s="43" t="str">
        <f t="shared" ref="OL191:OL218" si="752">IF(AND(NZ191=$OL$2,CI191&gt;10,CI191&lt;21.6),"BAJO PESO",IF(AND(NZ191=$OL$2,CI191&gt;21.5,CI191&lt;26.4),"NORMAL",IF(AND(NZ191=$OL$2,CI191&gt;26.3,CI191&lt;31.1),"SOBREPESO",IF(AND(NZ191=$OL$2,CI191&gt;31,CI191&lt;50),"OBESIDAD",""))))</f>
        <v/>
      </c>
      <c r="OM191" s="43" t="str">
        <f t="shared" ref="OM191:OM218" si="753">IF(AND(NZ191=$OM$2,CI191&gt;10,CI191&lt;21.8),"BAJO PESO",IF(AND(NZ191=$OM$2,CI191&gt;21.7,CI191&lt;26.5),"NORMAL",IF(AND(NZ191=$OM$2,CI191&gt;26.4,CI191&lt;31.2),"SOBREPESO",IF(AND(NZ191=$OM$2,CI191&gt;31.1,CI191&lt;50),"OBESIDAD",""))))</f>
        <v/>
      </c>
      <c r="ON191" s="43" t="str">
        <f t="shared" ref="ON191:ON218" si="754">IF(AND(NZ191=$ON$2,CI191&gt;10,CI191&lt;21.9),"BAJO PESO",IF(AND(NZ191=$ON$2,CI191&gt;21.8,CI191&lt;26.7),"NORMAL",IF(AND(NZ191=$ON$2,CI191&gt;26.6,CI191&lt;31.3),"SOBREPESO",IF(AND(NZ191=$ON$2,CI191&gt;31.2,CI191&lt;50),"OBESIDAD",""))))</f>
        <v/>
      </c>
      <c r="OO191" s="43" t="str">
        <f t="shared" ref="OO191:OO218" si="755">IF(AND(NZ191=$OO$2,CI191&gt;10,CI191&lt;22.1),"BAJO PESO",IF(AND(NZ191=$OO$2,CI191&gt;22,CI191&lt;26.8),"NORMAL",IF(AND(NZ191=$OO$2,CI191&gt;26.7,CI191&lt;31.4),"SOBREPESO",IF(AND(NZ191=$OO$2,CI191&gt;31.3,CI191&lt;50),"OBESIDAD",""))))</f>
        <v/>
      </c>
      <c r="OP191" s="43" t="str">
        <f t="shared" ref="OP191:OP218" si="756">IF(AND(NZ191=$OP$2,CI191&gt;10,CI191&lt;22.3),"BAJO PESO",IF(AND(NZ191=$OP$2,CI191&gt;22.2,CI191&lt;27),"NORMAL",IF(AND(NZ191=$OP$2,CI191&gt;26.9,CI191&lt;31.6),"SOBREPESO",IF(AND(NZ191=$OP$2,CI191&gt;31.5,CI191&lt;50),"OBESIDAD",""))))</f>
        <v/>
      </c>
      <c r="OQ191" s="43" t="str">
        <f t="shared" ref="OQ191:OQ218" si="757">IF(AND(NZ191=$OQ$2,$CI191&gt;10,CI191&lt;22.5),"BAJO PESO",IF(AND(NZ191=$OQ$2,CI191&gt;22.4,CI191&lt;27.1),"NORMAL",IF(AND(NZ191=$OQ$2,CI191&gt;27,CI191&lt;31.7),"SOBREPESO",IF(AND(NZ191=$OQ$2,CI191&gt;31.6,CI191&lt;50),"OBESIDAD",""))))</f>
        <v/>
      </c>
      <c r="OR191" s="43" t="str">
        <f t="shared" ref="OR191:OR218" si="758">IF(AND(NZ191=$OR$2,CI191&gt;10,CI191&lt;22.7),"BAJO PESO",IF(AND(NZ191=$OR$2,CI191&gt;22.6,CI191&lt;27.3),"NORMAL",IF(AND(NZ191=$OR$2,CI191&gt;27.1,CI191&lt;31.8),"SOBREPESO",IF(AND(NZ191=$OR$2,CI191&gt;31.7,CI191&lt;50),"OBESIDAD",""))))</f>
        <v/>
      </c>
      <c r="OS191" s="43" t="str">
        <f t="shared" ref="OS191:OS218" si="759">IF(AND(NZ191=$OS$2,CI191&gt;10,CI191&lt;22.8),"BAJO PESO",IF(AND(NZ191=$OS$2,CI191&gt;22.7,CI191&lt;27.4),"NORMAL",IF(AND(NZ191=$OS$2,CI191&gt;27.3,CI191&lt;31.9),"SOBREPESO",IF(AND(NZ191=$OS$2,CI191&gt;31.8,CI191&lt;50),"OBESIDAD",""))))</f>
        <v/>
      </c>
      <c r="OT191" s="43" t="str">
        <f t="shared" ref="OT191:OT218" si="760">IF(AND(NZ191=$OT$2,CI191&gt;10,CI191&lt;23),"BAJO PESO",IF(AND(NZ191=$OT$2,CI191&gt;22.9,CI191&lt;27.6),"NORMAL",IF(AND(NZ191=$OT$2,CI191&gt;27.5,CI191&lt;32),"SOBREPESO",IF(AND(NZ191=$OT$2,CI191&gt;31.9,CI191&lt;50),"OBESIDAD",""))))</f>
        <v/>
      </c>
      <c r="OU191" s="43" t="str">
        <f t="shared" ref="OU191:OU218" si="761">IF(AND(NZ191=$OU$2,CI191&gt;10,CI191&lt;23.2),"BAJO PESO",IF(AND(NZ191=$OU$2,CI191&gt;23.1,CI191&lt;27.7),"NORMAL",IF(AND(NZ191=$OU$2,CI191&gt;27.6,CI191&lt;32.1),"SOBREPESO",IF(AND(NZ191=$OU$2,CI191&gt;32,CI191&lt;50),"OBESIDAD",""))))</f>
        <v/>
      </c>
      <c r="OV191" s="110" t="str">
        <f t="shared" ref="OV191:OV218" si="762">IF(AND(NZ191=$OV$2,CI191&gt;10,CI191&lt;23.4),"BAJO PESO",IF(AND(NZ191=$OV$2,CI191&gt;23.3,CI191&lt;27.9),"NORMAL",IF(AND(NZ191=$OV$2,CI191&gt;27.8,CI191&lt;32.2),"SOBREPESO",IF(AND(NZ191=$OV$2,CI191&gt;32.1,CI191&lt;50),"OBESIDAD",""))))</f>
        <v/>
      </c>
      <c r="OW191" s="43" t="str">
        <f t="shared" ref="OW191:OW218" si="763">IF(AND(NZ191=$OW$2,CI191&gt;10,CI191&lt;23.5),"BAJO PESO",IF(AND(NZ191=$OW$2,CI191&gt;23.4,CI191&lt;28),"NORMAL",IF(AND(NZ191=$OW$2,CI191&gt;27.9,CI191&lt;32.1),"SOBREPESO",IF(AND(NZ191=$OW$2,CI191&gt;32.2,CI191&lt;50),"OBESIDAD",""))))</f>
        <v/>
      </c>
      <c r="OX191" s="43" t="str">
        <f t="shared" ref="OX191:OX218" si="764">IF(AND(NZ191=$OX$2,CI191&gt;10,CI191&lt;23.7),"BAJO PESO",IF(AND(NZ191=$OX$2,CI191&gt;23.6,CI191&lt;28.1),"NORMAL",IF(AND(NZ191=$OX$2,CI191&gt;28,CI191&lt;33.4),"SOBREPESO",IF(AND(NZ191=$OX$2,CI191&gt;33.3,CI191&lt;50),"OBESIDAD",""))))</f>
        <v/>
      </c>
      <c r="OY191" s="43" t="str">
        <f t="shared" ref="OY191:OY218" si="765">IF(AND(NZ191=$OY$2,CI191&gt;10,CI191&lt;23.9),"BAJO PESO",IF(AND(NZ191=$OY$2,CI191&gt;23.8,CI191&lt;28.2),"NORMAL",IF(AND(NZ191=$OY$2,CI191&gt;28.1,CI191&lt;33.5),"SOBREPESO",IF(AND(NZ191=$OY$2,CI191&gt;33.4,CI191&lt;50),"OBESIDAD",""))))</f>
        <v/>
      </c>
      <c r="OZ191" s="43" t="str">
        <f t="shared" ref="OZ191:OZ218" si="766">IF(AND(NZ191=$OZ$2,CI191&gt;10,CI191&lt;24),"BAJO PESO",IF(AND(NZ191=$OZ$2,CI191&gt;23.9,CI191&lt;28.4),"NORMAL",IF(AND(NZ191=$OZ$2,CI191&gt;28.3,CI191&lt;33.6),"SOBREPESO",IF(AND(NZ191=$OZ$2,CI191&gt;33.5,CI191&lt;50),"OBESIDAD",""))))</f>
        <v/>
      </c>
      <c r="PA191" s="43" t="str">
        <f t="shared" ref="PA191:PA218" si="767">IF(AND(NZ191=$PA$2,CI191&gt;10,CI191&lt;24.2),"BAJO PESO",IF(AND(NZ191=$PA$2,CI191&gt;24.1,CI191&lt;28.5),"NORMAL",IF(AND(NZ191=$PA$2,CI191&gt;28.4,CI191&lt;33.7),"SOBREPESO",IF(AND(NZ191=$PA$2,CI191&gt;33.6,CI191&lt;50),"OBESIDAD",""))))</f>
        <v/>
      </c>
      <c r="PB191" s="43" t="str">
        <f t="shared" ref="PB191:PB218" si="768">IF(AND(NZ191=$PB$2,CI191&gt;10,CI191&lt;24.3),"BAJO PESO",IF(AND(NZ191=$PB$2,CI191&gt;24.2,CI191&lt;28.6),"NORMAL",IF(AND(NZ191=$PB$2,CI191&gt;28.5,CI191&lt;33.8),"SOBREPESO",IF(AND(NZ191=$PB$2,CI191&gt;33.7,CI191&lt;50),"OBESIDAD",""))))</f>
        <v/>
      </c>
      <c r="PC191" s="43" t="str">
        <f t="shared" ref="PC191:PC218" si="769">IF(AND(NZ191=$PC$2,CI191&gt;10,CI191&lt;24.5),"BAJO PESO",IF(AND(NZ191=$PC$2,CI191&gt;24.4,CI191&lt;28.8),"NORMAL",IF(AND(NZ191=$PC$2,CI191&gt;28.7,CI191&lt;32.9),"SOBREPESO",IF(AND(NZ191=$PC$2,CI191&gt;32.8,CI191&lt;50),"OBESIDAD",""))))</f>
        <v/>
      </c>
      <c r="PD191" s="43" t="str">
        <f t="shared" ref="PD191:PD218" si="770">IF(AND(NZ191=$PD$2,CI191&gt;10,CI191&lt;24.6),"BAJO PESO",IF(AND(NZ191=$PD$2,CI191&gt;24.5,CI191&lt;28.9),"NORMAL",IF(AND(NZ191=$PD$2,CI191&gt;28.8,CI191&lt;33),"SOBREPESO",IF(AND(NZ191=$PD$2,CI191&gt;32.9,CI191&lt;50),"OBESIDAD",""))))</f>
        <v/>
      </c>
      <c r="PE191" s="43" t="str">
        <f t="shared" ref="PE191:PE218" si="771">IF(AND(NZ191=$PE$2,CI191&gt;10,CI191&lt;24.8),"BAJO PESO",IF(AND(NZ191=$PE$2,CI191&gt;24.7,CI191&lt;29),"NORMAL",IF(AND(NZ191=$PE$2,CI191&gt;28.9,CI191&lt;33.1),"SOBREPESO",IF(AND(NZ191=$PE$2,CI191&gt;33,CI191&lt;50),"OBESIDAD",""))))</f>
        <v/>
      </c>
      <c r="PF191" s="43" t="str">
        <f t="shared" ref="PF191:PF218" si="772">IF(AND(NZ191=$PF$2,CI191&gt;10,CI191&lt;25),"BAJO PESO",IF(AND(NZ191=$PF$2,CI191&gt;24.9,CI191&lt;29.2),"NORMAL",IF(AND(NZ191=$PF$2,CI191&gt;29.1,CI191&lt;33.2),"SOBREPESO",IF(AND(NZ191=$PF$2,CI191&gt;33.1,CI191&lt;50),"OBESIDAD",""))))</f>
        <v/>
      </c>
      <c r="PG191" s="43" t="str">
        <f t="shared" ref="PG191:PG218" si="773">IF(AND(NZ191=$PG$2,CI191&gt;10,CI191&lt;25.1),"BAJO PESO",IF(AND(NZ191=$PG$2,CI191&gt;25,CI191&lt;29.3),"NORMAL",IF(AND(NZ191=$PG$2,CI191&gt;29.2,CI191&lt;33.3),"SOBREPESO",IF(AND(NZ191=$PG$2,CI191&gt;33.2,CI191&lt;50),"OBESIDAD",""))))</f>
        <v/>
      </c>
      <c r="PH191" s="43" t="str">
        <f t="shared" ref="PH191:PH218" si="774">IF(AND(NZ191=$PH$2,CI191&gt;10,CI191&lt;25.1),"BAJO PESO",IF(AND(NZ191=$PH$2,CI191&gt;25,CI191&lt;29.4),"NORMAL",IF(AND(NZ191=$PH$2,CI191&gt;29.3,CI191&lt;33.3),"SOBREPESO",IF(AND(NZ191=$PH$2,CI191&gt;33.2,CI191&lt;50),"OBESIDAD",""))))</f>
        <v/>
      </c>
      <c r="PI191" s="43">
        <f t="shared" ref="PI191:PI218" si="775">IF(DZ191="","",IF(DZ191&lt;10,"Menor",DZ191))</f>
        <v>17</v>
      </c>
      <c r="PJ191" s="43" t="str">
        <f t="shared" ref="PJ191:PJ218" si="776">IF(AND(PI191=$PJ$2,CM191&gt;10,CM191&lt;18.5),"BAJO PESO",IF(AND(PI191=$PJ$2,CM191&gt;18.4,CM191&lt;25),"NORMAL",IF(AND(PI191=$PJ$2,CM191&gt;24,CM191&lt;30),"SOBREPESO",IF(AND(PI191=$PJ$2,CM191&gt;29,CM191&lt;50),"OBESIDAD",""))))</f>
        <v/>
      </c>
      <c r="PK191" s="43" t="str">
        <f t="shared" ref="PK191:PK218" si="777">IF(AND(PI191=$PK$2,CM191&gt;10,CM191&lt;20.3),"BAJO PESO",IF(AND(PI191=$PK$2,CM191&gt;20.2,CM191&lt;25.3),"NORMAL",IF(AND(PI191=$PK$2,CM191&gt;25.2,CM191&lt;30.3),"SOBREPESO",IF(AND(PI191=$PK$2,CM191&gt;30.2,CM191&lt;50),"OBESIDAD",""))))</f>
        <v/>
      </c>
      <c r="PL191" s="43" t="str">
        <f t="shared" ref="PL191:PL218" si="778">IF(AND(PI191=$PL$2,CM191&gt;10,CM191&lt;20.4),"BAJO PESO",IF(AND(PI191=$PL$2,CM191&gt;20.3,CM191&lt;25.4),"NORMAL",IF(AND(PI191=$PL$2,CM191&gt;25.3,CM191&lt;30.4),"SOBREPESO",IF(AND(PI191=$PL$2,CM191&gt;30.3,CM191&lt;50),"OBESIDAD",""))))</f>
        <v/>
      </c>
      <c r="PM191" s="43" t="str">
        <f t="shared" ref="PM191:PM218" si="779">IF(AND(PI191=$PM$2,CM191&gt;10,CM191&lt;20.5),"BAJO PESO",IF(AND(PI191=$PM$2,CM191&gt;20.4,CM191&lt;25.5),"NORMAL",IF(AND(PI191=$PM$2,CM191&gt;25.4,CM191&lt;30.4),"SOBREPESO",IF(AND(PI191=$PM$2,CM191&gt;30.3,CM191&lt;50),"OBESIDAD",""))))</f>
        <v/>
      </c>
      <c r="PN191" s="43" t="str">
        <f t="shared" ref="PN191:PN218" si="780">IF(AND(PI191=$PN$2,CM191&gt;10,CM191&lt;20.7),"BAJO PESO",IF(AND(PI191=$PN$2,CM191&gt;20.6,CM191&lt;25.7),"NORMAL",IF(AND(PI191=$PN$2,CM191&gt;25.7,CM191&lt;30.5),"SOBREPESO",IF(AND(PI191=$PN$2,CM191&gt;30.4,CM191&lt;50),"OBESIDAD",""))))</f>
        <v/>
      </c>
      <c r="PO191" s="43" t="str">
        <f t="shared" ref="PO191:PO218" si="781">IF(AND(PI191=$PO$2,CM191&gt;10,CM191&lt;20.8),"BAJO PESO",IF(AND(PI191=$PO$2,CM191&gt;20.7,CM191&lt;25.8),"NORMAL",IF(AND(PI191=$PO$2,CM191&gt;25.7,CM191&lt;30.6),"SOBREPESO",IF(AND(PI191=$PO$2,CM191&gt;30.5,CM191&lt;50),"OBESIDAD",""))))</f>
        <v/>
      </c>
      <c r="PP191" s="43" t="str">
        <f t="shared" ref="PP191:PP218" si="782">IF(AND(PI191=$PP$2,CM191&gt;10,CM191&lt;20.9),"BAJO PESO",IF(AND(PI191=$PP$2,CM191&gt;20.8,CM191&lt;25.9),"NORMAL",IF(AND(PI191=$PP$2,CM191&gt;25.8,CM191&lt;30.7),"SOBREPESO",IF(AND(PI191=$PP$2,CM191&gt;30.6,CM191&lt;50),"OBESIDAD",""))))</f>
        <v/>
      </c>
      <c r="PQ191" s="43" t="str">
        <f t="shared" ref="PQ191:PQ218" si="783">IF(AND(PI191=$PQ$2,CM191&gt;10,CM191&lt;21.1),"BAJO PESO",IF(AND(PI191=$PQ$2,CM191&gt;21,CM191&lt;26),"NORMAL",IF(AND(PI191=$PQ$2,CM191&gt;25.9,CM191&lt;30.8),"SOBREPESO",IF(AND(PI191=$PQ$2,CM191&gt;30.7,CM191&lt;50),"OBESIDAD",""))))</f>
        <v/>
      </c>
      <c r="PR191" s="43" t="str">
        <f t="shared" ref="PR191:PR218" si="784">IF(AND(PI191=$PR$2,CM191&gt;10,CM191&lt;21.2),"BAJO PESO",IF(AND(PI191=$PR$2,CM191&gt;21.1,CM191&lt;26.1),"NORMAL",IF(AND(PI191=$PR$2,CM191&gt;26,CM191&lt;31.9),"SOBREPESO",IF(AND(PI191=$PR$2,CM191&gt;30.8,CM191&lt;50),"OBESIDAD",""))))</f>
        <v>OBESIDAD</v>
      </c>
      <c r="PS191" s="43" t="str">
        <f t="shared" ref="PS191:PS218" si="785">IF(AND(PI191=$PS$2,CM191&gt;10,CM191&lt;21.3),"BAJO PESO",IF(AND(PI191=$PS$2,CM191&gt;21.2,CM191&lt;26.2),"NORMAL",IF(AND(PI191=$PS$2,CM191&gt;26.1,CM191&lt;31),"SOBREPESO",IF(AND(PI191=$PS$2,CM191&gt;30.9,CM191&lt;50),"OBESIDAD",""))))</f>
        <v/>
      </c>
      <c r="PT191" s="43" t="str">
        <f t="shared" ref="PT191:PT218" si="786">IF(AND(PI191=$PT$2,CM191&gt;10,CM191&lt;21.5),"BAJO PESO",IF(AND(PI191=$PT$2,CM191&gt;21.4,CM191&lt;26.3),"NORMAL",IF(AND(PI191=$PT$2,CM191&gt;26.2,CM191&lt;31),"SOBREPESO",IF(AND(PI191=$PT$2,CM191&gt;30.9,CM191&lt;50),"OBESIDAD",""))))</f>
        <v/>
      </c>
      <c r="PU191" s="43" t="str">
        <f t="shared" ref="PU191:PU218" si="787">IF(AND(PI191=$PU$2,CM191&gt;10,CM191&lt;21.6),"BAJO PESO",IF(AND(PI191=$PU$2,CM191&gt;21.5,CM191&lt;26.4),"NORMAL",IF(AND(PI191=$PU$2,CM191&gt;26.3,CM191&lt;31.1),"SOBREPESO",IF(AND(PI191=$PU$2,CM191&gt;31,CM191&lt;50),"OBESIDAD",""))))</f>
        <v/>
      </c>
      <c r="PV191" s="43" t="str">
        <f t="shared" ref="PV191:PV218" si="788">IF(AND(PI191=$PV$2,CM191&gt;10,CM191&lt;21.8),"BAJO PESO",IF(AND(PI191=$PV$2,CM191&gt;21.7,CM191&lt;26.5),"NORMAL",IF(AND(PI191=$PV$2,CM191&gt;26.4,CM191&lt;31.2),"SOBREPESO",IF(AND(PI191=$PV$2,CM191&gt;31.1,CM191&lt;50),"OBESIDAD",""))))</f>
        <v/>
      </c>
      <c r="PW191" s="43" t="str">
        <f t="shared" ref="PW191:PW218" si="789">IF(AND(PI191=$PW$2,CM191&gt;10,CM191&lt;21.9),"BAJO PESO",IF(AND(PI191=$PW$2,CM191&gt;21.8,CM191&lt;26.7),"NORMAL",IF(AND(PI191=$PW$2,CM191&gt;26.6,CM191&lt;31.3),"SOBREPESO",IF(AND(PI191=$PW$2,CM191&gt;31.2,CM191&lt;50),"OBESIDAD",""))))</f>
        <v/>
      </c>
      <c r="PX191" s="43" t="str">
        <f t="shared" ref="PX191:PX218" si="790">IF(AND(PI191=$PX$2,CM191&gt;10,CM191&lt;22.1),"BAJO PESO",IF(AND(PI191=$PX$2,CM191&gt;22,CM191&lt;26.8),"NORMAL",IF(AND(PI191=$PX$2,CM191&gt;26.7,CM191&lt;31.4),"SOBREPESO",IF(AND(PI191=$PX$2,CM191&gt;31.3,CM191&lt;50),"OBESIDAD",""))))</f>
        <v/>
      </c>
      <c r="PY191" s="43" t="str">
        <f t="shared" ref="PY191:PY218" si="791">IF(AND(PI191=$PY$2,CM191&gt;10,CM191&lt;22.3),"BAJO PESO",IF(AND(PI191=$PY$2,CM191&gt;22.2,CM191&lt;27),"NORMAL",IF(AND(PI191=$PY$2,CM191&gt;26.9,CM191&lt;31.6),"SOBREPESO",IF(AND(PI191=$PY$2,CM191&gt;31.5,CM191&lt;50),"OBESIDAD",""))))</f>
        <v/>
      </c>
      <c r="PZ191" s="43" t="str">
        <f t="shared" ref="PZ191:PZ218" si="792">IF(AND(PI191=$PZ$2,$CM191&gt;10,CM191&lt;22.5),"BAJO PESO",IF(AND(PI191=$PZ$2,CM191&gt;22.4,CM191&lt;27.1),"NORMAL",IF(AND(PI191=$PZ$2,CM191&gt;27,CM191&lt;31.7),"SOBREPESO",IF(AND(PI191=$PZ$2,CM191&gt;31.6,CM191&lt;50),"OBESIDAD",""))))</f>
        <v/>
      </c>
      <c r="QA191" s="43" t="str">
        <f t="shared" ref="QA191:QA218" si="793">IF(AND(PI191=$QA$2,CM191&gt;10,CM191&lt;22.7),"BAJO PESO",IF(AND(PI191=$QA$2,CM191&gt;22.6,CM191&lt;27.3),"NORMAL",IF(AND(PI191=$QA$2,CM191&gt;27.1,CM191&lt;31.8),"SOBREPESO",IF(AND(PI191=$QA$2,CM191&gt;31.7,CM191&lt;50),"OBESIDAD",""))))</f>
        <v/>
      </c>
      <c r="QB191" s="43" t="str">
        <f t="shared" ref="QB191:QB218" si="794">IF(AND(PI191=$QB$2,CM191&gt;10,CM191&lt;22.8),"BAJO PESO",IF(AND(PI191=$QB$2,CM191&gt;22.7,CM191&lt;27.4),"NORMAL",IF(AND(PI191=$QB$2,CM191&gt;27.3,CM191&lt;31.9),"SOBREPESO",IF(AND(PI191=$QB$2,CM191&gt;31.8,CM191&lt;50),"OBESIDAD",""))))</f>
        <v/>
      </c>
      <c r="QC191" s="43" t="str">
        <f t="shared" ref="QC191:QC218" si="795">IF(AND(PI191=$QC$2,CM191&gt;10,CM191&lt;23),"BAJO PESO",IF(AND(PI191=$QC$2,CM191&gt;22.9,CM191&lt;27.6),"NORMAL",IF(AND(PI191=$QC$2,CM191&gt;27.5,CM191&lt;32),"SOBREPESO",IF(AND(PI191=$QC$2,CM191&gt;31.9,CM191&lt;50),"OBESIDAD",""))))</f>
        <v/>
      </c>
      <c r="QD191" s="43" t="str">
        <f t="shared" ref="QD191:QD218" si="796">IF(AND(PI191=$QD$2,CM191&gt;10,CM191&lt;23.2),"BAJO PESO",IF(AND(PI191=$QD$2,CM191&gt;23.1,CM191&lt;27.7),"NORMAL",IF(AND(PI191=$QD$2,CM191&gt;27.6,CM191&lt;32.1),"SOBREPESO",IF(AND(PI191=$QD$2,CM191&gt;32,CM191&lt;50),"OBESIDAD",""))))</f>
        <v/>
      </c>
      <c r="QE191" s="43" t="str">
        <f t="shared" ref="QE191:QE218" si="797">IF(AND(PI191=$QE$2,CM191&gt;10,CM191&lt;23.4),"BAJO PESO",IF(AND(PI191=$QE$2,CM191&gt;23.3,CM191&lt;27.9),"NORMAL",IF(AND(PI191=$QE$2,CM191&gt;27.8,CM191&lt;32.2),"SOBREPESO",IF(AND(PI191=$QE$2,CM191&gt;32.1,CM191&lt;50),"OBESIDAD",""))))</f>
        <v/>
      </c>
      <c r="QF191" s="43" t="str">
        <f t="shared" ref="QF191:QF218" si="798">IF(AND(PI191=$QF$2,CM191&gt;10,CM191&lt;23.5),"BAJO PESO",IF(AND(PI191=$QF$2,CM191&gt;23.4,CM191&lt;28),"NORMAL",IF(AND(PI191=$QF$2,CM191&gt;27.9,CM191&lt;32.1),"SOBREPESO",IF(AND(PI191=$QF$2,CM191&gt;32.2,CM191&lt;50),"OBESIDAD",""))))</f>
        <v/>
      </c>
      <c r="QG191" s="43" t="str">
        <f t="shared" ref="QG191:QG218" si="799">IF(AND(PI191=$QG$2,CM191&gt;10,CM191&lt;23.7),"BAJO PESO",IF(AND(PI191=$QG$2,CM191&gt;23.6,CM191&lt;28.1),"NORMAL",IF(AND(PI191=$QG$2,CM191&gt;28,CM191&lt;33.4),"SOBREPESO",IF(AND(PI191=$QG$2,CM191&gt;33.3,CM191&lt;50),"OBESIDAD",""))))</f>
        <v/>
      </c>
      <c r="QH191" s="43" t="str">
        <f t="shared" ref="QH191:QH218" si="800">IF(AND(PI191=$QH$2,CM191&gt;10,CM191&lt;23.9),"BAJO PESO",IF(AND(PI191=$QH$2,CM191&gt;23.8,CM191&lt;28.2),"NORMAL",IF(AND(PI191=$QH$2,CM191&gt;28.1,CM191&lt;33.5),"SOBREPESO",IF(AND(PI191=$QH$2,CM191&gt;33.4,CM191&lt;50),"OBESIDAD",""))))</f>
        <v/>
      </c>
      <c r="QI191" s="43" t="str">
        <f t="shared" ref="QI191:QI218" si="801">IF(AND(PI191=$QI$2,CM191&gt;10,CM191&lt;24),"BAJO PESO",IF(AND(PI191=$QI$2,CM191&gt;23.9,CM191&lt;28.4),"NORMAL",IF(AND(PI191=$QI$2,CM191&gt;28.3,CM191&lt;33.6),"SOBREPESO",IF(AND(PI191=$QI$2,CM191&gt;33.5,CM191&lt;50),"OBESIDAD",""))))</f>
        <v/>
      </c>
      <c r="QJ191" s="43" t="str">
        <f t="shared" ref="QJ191:QJ218" si="802">IF(AND(PI191=$QJ$2,CM191&gt;10,CM191&lt;24.2),"BAJO PESO",IF(AND(PI191=$QJ$2,CM191&gt;24.1,CM191&lt;28.5),"NORMAL",IF(AND(PI191=$QJ$2,CM191&gt;28.4,CM191&lt;33.7),"SOBREPESO",IF(AND(PI191=$QJ$2,CM191&gt;33.6,CM191&lt;50),"OBESIDAD",""))))</f>
        <v/>
      </c>
      <c r="QK191" s="43" t="str">
        <f t="shared" ref="QK191:QK218" si="803">IF(AND(PI191=$QK$2,CM191&gt;10,CM191&lt;24.3),"BAJO PESO",IF(AND(PI191=$QK$2,CM191&gt;24.2,CM191&lt;28.6),"NORMAL",IF(AND(PI191=$QK$2,CM191&gt;28.5,CM191&lt;33.8),"SOBREPESO",IF(AND(PI191=$QK$2,CM191&gt;33.7,CM191&lt;50),"OBESIDAD",""))))</f>
        <v/>
      </c>
      <c r="QL191" s="43" t="str">
        <f t="shared" ref="QL191:QL218" si="804">IF(AND(PI191=$QL$2,CM191&gt;10,CM191&lt;24.5),"BAJO PESO",IF(AND(PI191=$QL$2,CM191&gt;24.4,CM191&lt;28.8),"NORMAL",IF(AND(PI191=$QL$2,CM191&gt;28.7,CM191&lt;32.9),"SOBREPESO",IF(AND(PI191=$QL$2,CM191&gt;32.8,CM191&lt;50),"OBESIDAD",""))))</f>
        <v/>
      </c>
      <c r="QM191" s="43" t="str">
        <f t="shared" ref="QM191:QM218" si="805">IF(AND(PI191=$QM$2,CM191&gt;10,CM191&lt;24.6),"BAJO PESO",IF(AND(PI191=$QM$2,CM191&gt;24.5,CM191&lt;28.9),"NORMAL",IF(AND(PI191=$QM$2,CM191&gt;28.8,CM191&lt;33),"SOBREPESO",IF(AND(PI191=$QM$2,CM191&gt;32.9,CM191&lt;50),"OBESIDAD",""))))</f>
        <v/>
      </c>
      <c r="QN191" s="43" t="str">
        <f t="shared" ref="QN191:QN218" si="806">IF(AND(PI191=$QN$2,CM191&gt;10,CM191&lt;24.8),"BAJO PESO",IF(AND(PI191=$QN$2,CM191&gt;24.7,CM191&lt;29),"NORMAL",IF(AND(PI191=$QN$2,CM191&gt;28.9,CM191&lt;33.1),"SOBREPESO",IF(AND(PI191=$QN$2,CM191&gt;33,CM191&lt;50),"OBESIDAD",""))))</f>
        <v/>
      </c>
      <c r="QO191" s="43" t="str">
        <f t="shared" ref="QO191:QO218" si="807">IF(AND(PI191=$QO$2,CM191&gt;10,CM191&lt;25),"BAJO PESO",IF(AND(PI191=$QO$2,CM191&gt;24.9,CM191&lt;29.2),"NORMAL",IF(AND(PI191=$QO$2,CM191&gt;29.1,CM191&lt;33.2),"SOBREPESO",IF(AND(PI191=$QO$2,CM191&gt;33.1,CM191&lt;50),"OBESIDAD",""))))</f>
        <v/>
      </c>
      <c r="QP191" s="43" t="str">
        <f t="shared" ref="QP191:QP218" si="808">IF(AND(PI191=$QP$2,CM191&gt;10,CM191&lt;25.1),"BAJO PESO",IF(AND(PI191=$QP$2,CM191&gt;25,CM191&lt;29.3),"NORMAL",IF(AND(PI191=$QP$2,CM191&gt;29.2,CM191&lt;33.3),"SOBREPESO",IF(AND(PI191=$QP$2,CM191&gt;33.2,CM191&lt;50),"OBESIDAD",""))))</f>
        <v/>
      </c>
      <c r="QQ191" s="43" t="str">
        <f t="shared" ref="QQ191:QQ218" si="809">IF(AND(PI191=$QQ$2,CM191&gt;10,CM191&lt;25.1),"BAJO PESO",IF(AND(PI191=$QQ$2,CM191&gt;25,CM191&lt;29.4),"NORMAL",IF(AND(PI191=$QQ$2,CM191&gt;29.3,CM191&lt;33.3),"SOBREPESO",IF(AND(PI191=$QQ$2,CM191&gt;33.2,CM191&lt;50),"OBESIDAD",""))))</f>
        <v/>
      </c>
      <c r="QR191" s="43">
        <f t="shared" si="672"/>
        <v>17</v>
      </c>
      <c r="QS191" s="43"/>
      <c r="QT191" s="21" t="str">
        <f t="shared" ref="QT191:QT218" si="810">IF(AND(QR191=$QT$2,CP191&gt;1,CP191&lt;8),"BAJO PARA EDAD GESTACIONAL",IF(AND(QR191=$QT$2,CP191&gt;=8,CP191&lt;=12),"ADECUADO PARA EDAD GESTACIONAL",IF(AND(QR191=$QT$2,CP191&gt;12,CP191&lt;38),"ALTO PARA EDAD GESTACIONAL","")))</f>
        <v/>
      </c>
      <c r="QU191" s="21" t="str">
        <f t="shared" ref="QU191:QU218" si="811">IF(AND(QR191=$QU$2,CP191&gt;1,CP191&lt;8.5),"BAJO PARA EDAD GESTACIONAL",IF(AND(QR191=$QU$2,CP191&gt;=8.5,CP191&lt;=14.5),"ADECUADO PARA EDAD GESTACIONAL",IF(AND(QR191=$QU$2,CP191&gt;14.5,CP191&lt;38),"ALTO PARA EDAD GESTACIONAL","")))</f>
        <v/>
      </c>
      <c r="QV191" s="21" t="str">
        <f t="shared" ref="QV191:QV218" si="812">IF(AND(QR191=$QV$2,CP191&gt;1,CP191&lt;9.5),"BAJO PARA EDAD GESTACIONAL",IF(AND(QR191=$QV$2,CP191&gt;=9.5,CP191&lt;=15),"ADECUADO PARA EDAD GESTACIONAL",IF(AND(QR191=$QV$2,CP191&gt;15,CP191&lt;38),"ALTO PARA EDAD GESTACIONAL","")))</f>
        <v/>
      </c>
      <c r="QW191" s="21" t="str">
        <f t="shared" ref="QW191:QW218" si="813">IF(AND(QR191=$QW$2,CP191&gt;1,CP191&lt;11.5),"BAJO PARA EDAD GESTACIONAL",IF(AND(QR191=$QW$2,CP191&gt;=11.5,CP191&lt;=18),"ADECUADO PARA EDAD GESTACIONAL",IF(AND(QR191=$QW$2,CP191&gt;18,CP191&lt;38),"ALTO PARA EDAD GESTACIONAL","")))</f>
        <v/>
      </c>
      <c r="QX191" s="21" t="str">
        <f t="shared" ref="QX191:QX218" si="814">IF(AND(QR191=$QX$2,CP191&gt;1,CP191&lt;12.5),"BAJO PARA EDAD GESTACIONAL",IF(AND(QR191=$QX$2,CP191&gt;=12.5,CP191&lt;=18),"ADECUADO PARA EDAD GESTACIONAL",IF(AND(QR191=$QX$2,CP191&gt;18,CP191&lt;38),"ALTO PARA EDAD GESTACIONAL","")))</f>
        <v/>
      </c>
      <c r="QY191" s="21" t="str">
        <f t="shared" ref="QY191:QY218" si="815">IF(AND(QR191=$QY$2,CP191&gt;1,CP191&lt;13.5),"BAJO PARA EDAD GESTACIONAL",IF(AND(QR191=$QY$2,CP191&gt;=13.5,CP191&lt;=19),"ADECUADO PARA EDAD GESTACIONAL",IF(AND(QR191=$QY$2,CP191&gt;19,CP191&lt;38),"ALTO PARA EDAD GESTACIONAL","")))</f>
        <v/>
      </c>
      <c r="QZ191" s="21" t="str">
        <f t="shared" ref="QZ191:QZ218" si="816">IF(AND(QR191=$QZ$2,CP191&gt;1,CP191&lt;14),"BAJO PARA EDAD GESTACIONAL",IF(AND(QR191=$QZ$2,CP191&gt;=14,CP191&lt;=19.5),"ADECUADO PARA EDAD GESTACIONAL",IF(AND(QR191=$QZ$2,CP191&gt;19.5,CP191&lt;38),"ALTO PARA EDAD GESTACIONAL","")))</f>
        <v/>
      </c>
      <c r="RA191" s="21" t="str">
        <f t="shared" ref="RA191:RA218" si="817">IF(AND(QR191=$RA$2,CP191&gt;1,CP191&lt;15),"BAJO PARA EDAD GESTACIONAL",IF(AND(QR191=$RA$2,CP191&gt;=15,CP191&lt;=21),"ADECUADO PARA EDAD GESTACIONAL",IF(AND(QR191=$RA$2,CP191&gt;21,CP191&lt;38),"ALTO PARA EDAD GESTACIONAL","")))</f>
        <v/>
      </c>
      <c r="RB191" s="21" t="str">
        <f t="shared" ref="RB191:RB218" si="818">IF(AND(QR191=$RB$2,CP191&gt;1,CP191&lt;15.5),"BAJO PARA EDAD GESTACIONAL",IF(AND(QR191=$RB$2,CP191&gt;=15.5,CP191&lt;=21.5),"ADECUADO PARA EDAD GESTACIONAL",IF(AND(QR191=$RB$2,CP191&gt;21.5,CP191&lt;38),"ALTO PARA EDAD GESTACIONAL","")))</f>
        <v/>
      </c>
      <c r="RC191" s="21" t="str">
        <f t="shared" ref="RC191:RC218" si="819">IF(AND(QR191=$RC$2,CP191&gt;1,CP191&lt;16.5),"BAJO PARA EDAD GESTACIONAL",IF(AND(QR191=$RC$2,CP191&gt;=16.5,CP191&lt;=22.5),"ADECUADO PARA EDAD GESTACIONAL",IF(AND(QR191=$RC$2,CP191&gt;22.5,CP191&lt;38),"ALTO PARA EDAD GESTACIONAL","")))</f>
        <v/>
      </c>
      <c r="RD191" s="21" t="str">
        <f t="shared" ref="RD191:RD218" si="820">IF(AND(QR191=$RD$2,CP191&gt;1,CP191&lt;17.5),"BAJO PARA EDAD GESTACIONAL",IF(AND(QR191=$RD$2,CP191&gt;=17.5,CP191&lt;=23),"ADECUADO PARA EDAD GESTACIONAL",IF(AND(QR191=$RD$2,CP191&gt;23,CP191&lt;38),"ALTO PARA EDAD GESTACIONAL","")))</f>
        <v/>
      </c>
      <c r="RE191" s="21" t="str">
        <f t="shared" ref="RE191:RE218" si="821">IF(AND(QR191=$RE$2,CP191&gt;1,CP191&lt;18.5),"BAJO PARA EDAD GESTACIONAL",IF(AND(QR191=$RE$2,CP191&gt;=18.5,CP191&lt;=24),"ADECUADO PARA EDAD GESTACIONAL",IF(AND(QR191=$RE$2,CP191&gt;24,CP191&lt;38),"ALTO PARA EDAD GESTACIONAL","")))</f>
        <v/>
      </c>
      <c r="RF191" s="21" t="str">
        <f t="shared" ref="RF191:RF218" si="822">IF(AND(QR191=$RF$2,CP191&gt;1,CP191&lt;19.5),"BAJO PARA EDAD GESTACIONAL",IF(AND(QR191=$RF$2,CP191&gt;=19.5,CP191&lt;=25),"ADECUADO PARA EDAD GESTACIONAL",IF(AND(QR191=$RF$2,CP191&gt;25,CP191&lt;38),"ALTO PARA EDAD GESTACIONAL","")))</f>
        <v/>
      </c>
      <c r="RG191" s="21" t="str">
        <f t="shared" ref="RG191:RG218" si="823">IF(AND(QR191=$RG$2,CP191&gt;1,CP191&lt;20),"BAJO PARA EDAD GESTACIONAL",IF(AND(QR191=$RG$2,CP191&gt;=20,CP191&lt;=25.5),"ADECUADO PARA EDAD GESTACIONAL",IF(AND(QR191=$RG$2,CP191&gt;25.5,CP191&lt;38),"ALTO PARA EDAD GESTACIONAL","")))</f>
        <v/>
      </c>
      <c r="RH191" s="21" t="str">
        <f t="shared" ref="RH191:RH218" si="824">IF(AND(QR191=$RH$2,CP191&gt;1,CP191&lt;20.5),"BAJO PARA EDAD GESTACIONAL",IF(AND(QR191=$RH$2,CP191&gt;=20.5,CP191&lt;=26.5),"ADECUADO PARA EDAD GESTACIONAL",IF(AND(QR191=$RH$2,CP191&gt;26.5,CP191&lt;38),"ALTO PARA EDAD GESTACIONAL","")))</f>
        <v/>
      </c>
      <c r="RI191" s="21" t="str">
        <f t="shared" ref="RI191:RI218" si="825">IF(AND(QR191=$RI$2,CP191&gt;1,CP191&lt;21),"BAJO PARA EDAD GESTACIONAL",IF(AND(QR191=$RI$2,CP191&gt;=21,CP191&lt;=27),"ADECUADO PARA EDAD GESTACIONAL",IF(AND(QR191=$RI$2,CP191&gt;27,CP191&lt;38),"ALTO PARA EDAD GESTACIONAL","")))</f>
        <v/>
      </c>
      <c r="RJ191" s="21" t="str">
        <f t="shared" ref="RJ191:RJ218" si="826">IF(AND(QR191=$RJ$2,CP191&gt;1,CP191&lt;22.5),"BAJO PARA EDAD GESTACIONAL",IF(AND(QR191=$RJ$2,CP191&gt;=22.5,CP191&lt;=28),"ADECUADO PARA EDAD GESTACIONAL",IF(AND(QR191=$RJ$2,CP191&gt;28,CP191&lt;38),"ALTO PARA EDAD GESTACIONAL","")))</f>
        <v/>
      </c>
      <c r="RK191" s="21" t="str">
        <f t="shared" ref="RK191:RK218" si="827">IF(AND(QR191=$RK$2,CP191&gt;1,CP191&lt;23.5),"BAJO PARA EDAD GESTACIONAL",IF(AND(QR191=$RK$2,CP191&gt;=23.5,CP191&lt;=29),"ADECUADO PARA EDAD GESTACIONAL",IF(AND(QR191=$RK$2,CP191&gt;29,CP191&lt;38),"ALTO PARA EDAD GESTACIONAL","")))</f>
        <v/>
      </c>
      <c r="RL191" s="21" t="str">
        <f t="shared" ref="RL191:RL218" si="828">IF(AND(QR191=$RL$2,CP191&gt;1,CP191&lt;24),"BAJO PARA EDAD GESTACIONAL",IF(AND(QR191=$RL$2,CP191&gt;=24,CP191&lt;=29.5),"ADECUADO PARA EDAD GESTACIONAL",IF(AND(QR191=$RL$2,CP191&gt;29.5,CP191&lt;38),"ALTO PARA EDAD GESTACIONAL","")))</f>
        <v/>
      </c>
      <c r="RM191" s="21" t="str">
        <f t="shared" ref="RM191:RM218" si="829">IF(AND(QR191=$RM$2,CP191&gt;1,CP191&lt;25),"BAJO PARA EDAD GESTACIONAL",IF(AND(QR191=$RM$2,CP191&gt;=25,CP191&lt;=30),"ADECUADO PARA EDAD GESTACIONAL",IF(AND(QR191=$RM$2,CP191&gt;30,CP191&lt;38),"ALTO PARA EDAD GESTACIONAL","")))</f>
        <v/>
      </c>
      <c r="RN191" s="21" t="str">
        <f t="shared" ref="RN191:RN218" si="830">IF(AND(QR191=$RN$2,CP191&gt;1,CP191&lt;25.5),"BAJO PARA EDAD GESTACIONAL",IF(AND(QR191=$RN$2,CP191&gt;=25.5,CP191&lt;=31),"ADECUADO PARA EDAD GESTACIONAL",IF(AND(QR191=$RN$2,CP191&gt;31,CP191&lt;38),"ALTO PARA EDAD GESTACIONAL","")))</f>
        <v/>
      </c>
      <c r="RO191" s="21" t="str">
        <f t="shared" ref="RO191:RO218" si="831">IF(AND(QR191=$RO$2,CP191&gt;1,CP191&lt;26),"BAJO PARA EDAD GESTACIONAL",IF(AND(QR191=$RO$2,CP191&gt;=26,CP191&lt;=32),"ADECUADO PARA EDAD GESTACIONAL",IF(AND(QR191=$RO$2,CP191&gt;32,CP191&lt;38),"ALTO PARA EDAD GESTACIONAL","")))</f>
        <v/>
      </c>
      <c r="RP191" s="21" t="str">
        <f t="shared" ref="RP191:RP218" si="832">IF(AND(QR191=$RP$2,CP191&gt;1,CP191&lt;26.5),"BAJO PARA EDAD GESTACIONAL",IF(AND(QR191=$RP$2,CP191&gt;=26.5,CP191&lt;=33),"ADECUADO PARA EDAD GESTACIONAL",IF(AND(QR191=$RP$2,CP191&gt;33,CP191&lt;38),"ALTO PARA EDAD GESTACIONAL","")))</f>
        <v/>
      </c>
      <c r="RQ191" s="21" t="str">
        <f t="shared" ref="RQ191:RQ218" si="833">IF(AND(QR191=$RQ$2,CP191&gt;1,CP191&lt;28),"BAJO PARA EDAD GESTACIONAL",IF(AND(QR191=$RQ$2,CP191&gt;=28,CP191&lt;=33),"ADECUADO PARA EDAD GESTACIONAL",IF(AND(QR191=$RQ$2,CP191&gt;33,CP191&lt;38),"ALTO PARA EDAD GESTACIONAL","")))</f>
        <v/>
      </c>
      <c r="RR191" s="21" t="str">
        <f t="shared" ref="RR191:RR218" si="834">IF(AND(QR191=$RR$2,CP191&gt;1,CP191&lt;28.5),"BAJO PARA EDAD GESTACIONAL",IF(AND(QR191=$RR$2,CP191&gt;=28.5,CP191&lt;=34),"ADECUADO PARA EDAD GESTACIONAL",IF(AND(QR191=$RR$2,CP191&gt;34,CP191&lt;38),"ALTO PARA EDAD GESTACIONAL","")))</f>
        <v/>
      </c>
      <c r="RS191" s="21" t="str">
        <f t="shared" ref="RS191:RS218" si="835">IF(AND(QR191=$RS$2,CP191&gt;1,CP191&lt;29.5),"BAJO PARA EDAD GESTACIONAL",IF(AND(QR191=$RS$2,CP191&gt;=29.5,CP191&lt;=34),"ADECUADO PARA EDAD GESTACIONAL",IF(AND(QR191=$RS$2,CP191&gt;34,CP191&lt;38),"ALTO PARA EDAD GESTACIONAL","")))</f>
        <v/>
      </c>
      <c r="RT191" s="21" t="str">
        <f t="shared" ref="RT191:RT218" si="836">IF(AND(QR191=$RT$2,CP191&gt;1,CP191&lt;30.5),"BAJO PARA EDAD GESTACIONAL",IF(AND(QR191=$RT$2,CP191&gt;=30.5,CP191&lt;=34),"ADECUADO PARA EDAD GESTACIONAL",IF(AND(QR191=$RT$2,CP191&gt;34,CP191&lt;38),"ALTO PARA EDAD GESTACIONAL","")))</f>
        <v/>
      </c>
      <c r="RU191" s="21" t="str">
        <f t="shared" ref="RU191:RU218" si="837">IF(AND(QR191=$RU$2,CP191&gt;1,CP191&lt;31),"BAJO PARA EDAD GESTACIONAL",IF(AND(QR191=$RU$2,CP191&gt;=31,CP191&lt;=34.5),"ADECUADO PARA EDAD GESTACIONAL",IF(AND(QR191=$RU$2,CP191&gt;34.5,CP191&lt;38),"ALTO PARA EDAD GESTACIONAL","")))</f>
        <v/>
      </c>
      <c r="RV191" s="21">
        <f t="shared" ref="RV191:RV218" si="838">IF(AND(R191="",HQ191=""),"",IF(SUM((HQ191-RW191)/7)&gt;43.1,"",IF(SUM((HQ191-RW191)/7)&lt;0,-1,SUM((HQ191-RW191)/7))))</f>
        <v>-1</v>
      </c>
      <c r="RW191" s="284">
        <f>IF(OR(Tabla1[[#This Row],[FUM FORMULA CONFIABLE]]="",Tabla1[[#This Row],[FUM FORMULA CONFIABLE]]="SD"),"",IF(Tabla1[[#This Row],[FUM FORMULA CONFIABLE]]="CORREGIDA",Tabla1[[#This Row],[FUM X ECO 1]],Tabla1[[#This Row],[FUM x AMENORREA]]))</f>
        <v>44947</v>
      </c>
      <c r="RX191" s="21" t="str">
        <f>IF(AND(Tabla1[[#This Row],[FUM X ECO 1]]="",Tabla1[[#This Row],[FUM x AMENORREA]]=""),"",IF(AND(Tabla1[[#This Row],[FUM X ECO 1]]="",Tabla1[[#This Row],[FUM x AMENORREA]]&lt;&gt;""),"X",SUM(Tabla1[[#This Row],[FUM X ECO 1]]-Tabla1[[#This Row],[FUM x AMENORREA]])))</f>
        <v>X</v>
      </c>
      <c r="RY191" s="21" t="str">
        <f t="shared" si="673"/>
        <v>x</v>
      </c>
    </row>
    <row r="192" spans="1:493" ht="45" customHeight="1" x14ac:dyDescent="0.25">
      <c r="A192" s="109"/>
      <c r="B192" s="43"/>
      <c r="C192" s="43" t="s">
        <v>845</v>
      </c>
      <c r="D192" s="124"/>
      <c r="E192" s="43" t="s">
        <v>1246</v>
      </c>
      <c r="F192" s="43" t="s">
        <v>943</v>
      </c>
      <c r="G192" s="43" t="s">
        <v>1535</v>
      </c>
      <c r="H192" s="43"/>
      <c r="I192" s="109" t="s">
        <v>851</v>
      </c>
      <c r="J192" s="288">
        <v>1002848307</v>
      </c>
      <c r="K192" s="43" t="s">
        <v>852</v>
      </c>
      <c r="L192" s="175" t="s">
        <v>1509</v>
      </c>
      <c r="M192" s="22">
        <v>32067</v>
      </c>
      <c r="N192" s="213">
        <f t="shared" ca="1" si="601"/>
        <v>36.06849315068493</v>
      </c>
      <c r="O192" s="22">
        <v>45073</v>
      </c>
      <c r="P192" s="214" t="str">
        <f t="shared" si="675"/>
        <v>SI</v>
      </c>
      <c r="Q192" s="26" t="s">
        <v>855</v>
      </c>
      <c r="R192" s="22">
        <v>45073</v>
      </c>
      <c r="S192" s="21" t="s">
        <v>856</v>
      </c>
      <c r="T192" s="24" t="s">
        <v>690</v>
      </c>
      <c r="U192" s="21" t="s">
        <v>857</v>
      </c>
      <c r="V192" s="21" t="s">
        <v>858</v>
      </c>
      <c r="W192" s="21" t="s">
        <v>1536</v>
      </c>
      <c r="X192" s="21"/>
      <c r="Y192" s="21" t="s">
        <v>859</v>
      </c>
      <c r="Z192" s="21" t="s">
        <v>894</v>
      </c>
      <c r="AA192" s="21" t="s">
        <v>860</v>
      </c>
      <c r="AB192" s="27" t="s">
        <v>861</v>
      </c>
      <c r="AC192" s="26" t="s">
        <v>862</v>
      </c>
      <c r="AD192" s="38" t="s">
        <v>1546</v>
      </c>
      <c r="AE192" s="26" t="s">
        <v>854</v>
      </c>
      <c r="AF192" s="26" t="s">
        <v>854</v>
      </c>
      <c r="AG192" s="23" t="s">
        <v>864</v>
      </c>
      <c r="AH192" s="23" t="s">
        <v>864</v>
      </c>
      <c r="AI192" s="24" t="s">
        <v>863</v>
      </c>
      <c r="AJ192" s="23" t="s">
        <v>864</v>
      </c>
      <c r="AK192" s="220" t="str">
        <f>IF(AND(AD192="",AE192="",AF192="",AG192="",AH192="",AI192="",AJ192=""),"",IF(OR(Tabla1[[#This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EVALUACIÓN",IF(AND(O192="",R192=""),"",IF(AND(OR(O192&gt;0,R192&gt;0),NG192&gt;=0,NG192&lt;2),"SIN RIESGO",IF(AND(OR(O192&gt;0,R192&gt;0),NG192&gt;=2),"CON RIESGO","ASD")))))</f>
        <v>SIN RIESGO</v>
      </c>
      <c r="AL192" s="23" t="s">
        <v>864</v>
      </c>
      <c r="AM192" s="26" t="s">
        <v>864</v>
      </c>
      <c r="AN192" s="26" t="s">
        <v>864</v>
      </c>
      <c r="AO192" s="26" t="s">
        <v>864</v>
      </c>
      <c r="AP192" s="26" t="s">
        <v>864</v>
      </c>
      <c r="AQ192" s="26" t="s">
        <v>864</v>
      </c>
      <c r="AR192" s="26" t="s">
        <v>864</v>
      </c>
      <c r="AS192" s="21">
        <v>9</v>
      </c>
      <c r="AT192" s="21">
        <v>8</v>
      </c>
      <c r="AU192" s="21">
        <v>1</v>
      </c>
      <c r="AV192" s="26" t="s">
        <v>864</v>
      </c>
      <c r="AW192" s="21">
        <v>0</v>
      </c>
      <c r="AX192" s="26" t="s">
        <v>864</v>
      </c>
      <c r="AY192" s="26" t="s">
        <v>864</v>
      </c>
      <c r="AZ192" s="26" t="s">
        <v>864</v>
      </c>
      <c r="BA192" s="26" t="s">
        <v>864</v>
      </c>
      <c r="BB192" s="26" t="s">
        <v>864</v>
      </c>
      <c r="BC192" s="26" t="s">
        <v>864</v>
      </c>
      <c r="BD192" s="26" t="s">
        <v>864</v>
      </c>
      <c r="BE192" s="26" t="s">
        <v>864</v>
      </c>
      <c r="BF192" s="26" t="s">
        <v>864</v>
      </c>
      <c r="BG192" s="26" t="s">
        <v>864</v>
      </c>
      <c r="BH192" s="26" t="s">
        <v>864</v>
      </c>
      <c r="BI192" s="26" t="s">
        <v>864</v>
      </c>
      <c r="BJ192" s="26" t="s">
        <v>864</v>
      </c>
      <c r="BK192" s="26" t="s">
        <v>864</v>
      </c>
      <c r="BL192" s="26" t="s">
        <v>864</v>
      </c>
      <c r="BM192" s="26" t="s">
        <v>864</v>
      </c>
      <c r="BN192" s="22">
        <v>42974</v>
      </c>
      <c r="BO192" s="22">
        <v>44979</v>
      </c>
      <c r="BP192" s="21" t="s">
        <v>854</v>
      </c>
      <c r="BQ192" s="222">
        <f t="shared" si="602"/>
        <v>66.833333333333329</v>
      </c>
      <c r="BR192" s="223" t="str">
        <f t="shared" si="603"/>
        <v/>
      </c>
      <c r="BS192" s="224">
        <f t="shared" si="604"/>
        <v>13.428571428571429</v>
      </c>
      <c r="BT192" s="216" t="str">
        <f t="shared" si="605"/>
        <v>II TRIM</v>
      </c>
      <c r="BU192" s="214">
        <f t="shared" ca="1" si="606"/>
        <v>36.142857142857146</v>
      </c>
      <c r="BV192" s="25"/>
      <c r="BW192" s="22"/>
      <c r="BX192" s="28"/>
      <c r="BY192" s="28"/>
      <c r="BZ192" s="22"/>
      <c r="CA192" s="21"/>
      <c r="CB192" s="26"/>
      <c r="CC192" s="26"/>
      <c r="CD192" s="26"/>
      <c r="CE192" s="26"/>
      <c r="CF192" s="22" t="s">
        <v>1517</v>
      </c>
      <c r="CG192" s="21">
        <v>1.5</v>
      </c>
      <c r="CH192" s="21">
        <v>52</v>
      </c>
      <c r="CI192" s="214">
        <f t="shared" si="607"/>
        <v>23.111111111111111</v>
      </c>
      <c r="CJ192" s="225" t="e">
        <f>IF(AND(CI192&lt;10,CH192="SD"),"SIN DATO PESO PREGESTACION O I TRIM",IF(AND(OR(R192&gt;0,O192&gt;0),CI192="X"),"INGRESAR DATO DE PESO",IF(CI192="SD","INGRESAR DATO DE TALLA Y PESO",IF(AND(OR(Tabla1[[#This Row],[MOMENTO EN QUE SE REALIZA EL PESO AL INGRESO A CPN]]="PREGESTACIÓN",NZ192="Menor"),CI192&lt;18.5),"BAJO PESO",IF(AND(OR(Tabla1[[#This Row],[MOMENTO EN QUE SE REALIZA EL PESO AL INGRESO A CPN]]="PREGESTACIÓN",NZ192="Menor"),CI192&lt;25),"NORMAL",IF(AND(OR(Tabla1[[#This Row],[MOMENTO EN QUE SE REALIZA EL PESO AL INGRESO A CPN]]="PREGESTACIÓN",NZ192="Menor"),CI192&lt;30),"SOBREPESO",IF(AND(OR(Tabla1[[#This Row],[MOMENTO EN QUE SE REALIZA EL PESO AL INGRESO A CPN]]="PREGESTACIÓN",NZ192="Menor"),CI192&gt;=30,CI192&lt;50),"OBESIDAD",IF(AND(BS192&gt;0,Tabla1[[#This Row],[MOMENTO EN QUE SE REALIZA EL PESO AL INGRESO A CPN]]="GESTACIÓN"),HLOOKUP(NZ192,$OA$2:PH192,NY192),""))))))))</f>
        <v>#REF!</v>
      </c>
      <c r="CK192" s="212">
        <f t="shared" si="608"/>
        <v>45121</v>
      </c>
      <c r="CL192" s="21">
        <v>55</v>
      </c>
      <c r="CM192" s="214">
        <f t="shared" si="609"/>
        <v>24.444444444444443</v>
      </c>
      <c r="CN192" s="216">
        <f t="shared" si="610"/>
        <v>20</v>
      </c>
      <c r="CO192" s="216" t="e">
        <f>IF(PI192="","",IF(PI192&gt;0,HLOOKUP(PI192,$PJ$2:QQ192,NY192),""))</f>
        <v>#REF!</v>
      </c>
      <c r="CP192" s="21">
        <v>20</v>
      </c>
      <c r="CQ192" s="216" t="e">
        <f>IF(QR192="Menor","NO APLICA-MENOR 13 SEM",IF(AND(CC192="SI",CN192&gt;23),"NO APLICA- GEMELAR",IF(QR192="","",IF(QR192&gt;0,HLOOKUP(QR192,$QS$2:RU192,NY192),""))))</f>
        <v>#REF!</v>
      </c>
      <c r="CR192" s="21"/>
      <c r="CS192" s="21"/>
      <c r="CT192" s="217" t="str">
        <f>IF(R192="","",IF(AND(BS192&gt;1,BS192&lt;12,Tabla1[[#This Row],[T.A. SISTOLICA - ANTES DE SEMANA 12]]="",Tabla1[[#This Row],[T.A. DIASTOLICA - ANTES DE SEMANA 12]]=""),"REGISTRE DATO TA ANTES SEMANA 12",IF(AND(BS192&gt;11,BS192&lt;43,Tabla1[[#This Row],[T.A. SISTOLICA - ANTES DE SEMANA 12]]="",Tabla1[[#This Row],[T.A. DIASTOLICA - ANTES DE SEMANA 12]]=""),"NO APLICA REGISTRO TA-INGRESO TARDIO",IF(AND(OR(O192&gt;0,R192&gt;0),OR(CR192&gt;=140,CS192&gt;=90)),"DEFINIR ESTADIO HTA",IF(AND(OR(O192&gt;0,R192&gt;0),AND(CR192&gt;120,CR192&lt;=139)),"PRE HTA SEGUIMIENTO",IF(AND(OR(O192&gt;0,R192&gt;0),AND(CS192&gt;80,CS192&lt;=89)),"PRE HTA SEGUIMIENTO",IF(AND(OR(O192&gt;0,R192&gt;0),AND(CR192&gt;=80,CR192&lt;=120)),"APARENTEMENTE NORMAL",IF(AND(OR(O192&gt;0,R192&gt;0),AND(CS192&gt;=50,CS192&lt;=80)),"APARENTEMENTE NORMAL",IF(AND(OR(O192&gt;0,R192&gt;0),AND(CR192&gt;1,CR192&lt;=70),AND(CS192&gt;1,CS192&lt;=40)),"HIPOTENSIÓN","")))))))))</f>
        <v>NO APLICA REGISTRO TA-INGRESO TARDIO</v>
      </c>
      <c r="CU192" s="21">
        <v>100</v>
      </c>
      <c r="CV192" s="21">
        <v>60</v>
      </c>
      <c r="CW192" s="217" t="str">
        <f ca="1">IF(R192="","",IF(AND(CN192&gt;19,CN192&lt;27,Tabla1[[#This Row],[T.A. SISTOLICA (Entre semana 20 y 26)]]="",Tabla1[[#This Row],[T.A. DIATOLICA (Entre semana 20 y 26)]]=""),"ACUDE A CONTROL SEM 20 A 26 REGISTRE TA AHORA",IF(AND(BS192&gt;1,BS192&lt;27,BU192&gt;19,Tabla1[[#This Row],[T.A. SISTOLICA (Entre semana 20 y 26)]]="",Tabla1[[#This Row],[T.A. DIATOLICA (Entre semana 20 y 26)]]=""),"COMPLETE REGISTRO TA CONTROL SEM 20 A26 ",IF(AND(BS192&gt;26,BS192&lt;43,Tabla1[[#This Row],[T.A. SISTOLICA (Entre semana 20 y 26)]]="",Tabla1[[#This Row],[T.A. DIATOLICA (Entre semana 20 y 26)]]=""),"NO APLICA REGISTRO TA-INGRESO TARDIO",IF(AND(OR(O192&gt;0,R192&gt;0),OR(CU192&gt;=140,CV192&gt;=90)),"ALTO RIESGO PREECLAMPSIA,DEFINIR ESTADIO HTA",IF(AND(OR(O192&gt;0,R192&gt;0),AND(CU192&gt;120,CU192&lt;=139)),"PRE HTA SEGUIMIENTO,RIESGO HIPERTENSION INDUCIDA POR EL EMBARAZO",IF(AND(OR(O192&gt;0,R192&gt;0),AND(CV192&gt;80,CV192&lt;=89)),"PRE HTA SEGUIMIENTO, RIESGO HIPERTENSION INDUCIDA POR EL EMBARAZO",IF(AND(OR(O192&lt;&gt;"",R192&lt;&gt;""),CS192&lt;&gt;"",CV192&lt;&gt;"",CS192&lt;=CV192),"VIGILAR CIFRAS PRESION ARTERIAL",IF(AND(OR(O192&gt;0,R192&gt;0),AND(CU192&gt;120,CU192&lt;=139)),"PRE HTA SEGUIMIENTO",IF(AND(OR(O192&gt;0,R192&gt;0),AND(CU192&gt;1,CU192&lt;=70),AND(CV192&gt;1,CV192&lt;=40)),"HIPOTENSIÓN",IF(AND(OR(O192&lt;&gt;"",R192&lt;&gt;""),CS192&lt;&gt;"",CV192&lt;&gt;"",CS192&gt;CV192),"APARENTEMENTE NORMAL",IF(AND(OR(O192&gt;0,R192&gt;0),AND(CU192&gt;=80,CU192&lt;=120)),"APARENTEMENTE NORMAL",IF(AND(OR(O192&gt;0,R192&gt;0),AND(CV192&gt;=50,CV192&lt;=80)),"APARENTEMENTE NORMAL","")))))))))))))</f>
        <v>APARENTEMENTE NORMAL</v>
      </c>
      <c r="CX192" s="21"/>
      <c r="CY192" s="21"/>
      <c r="CZ192" s="216" t="str">
        <f t="shared" si="729"/>
        <v/>
      </c>
      <c r="DA192" s="21">
        <v>100</v>
      </c>
      <c r="DB192" s="21">
        <v>60</v>
      </c>
      <c r="DC192" s="217" t="str">
        <f t="shared" si="611"/>
        <v>APARENTEMENTE NORMAL</v>
      </c>
      <c r="DD192" s="22">
        <v>45073</v>
      </c>
      <c r="DE192" s="22">
        <v>45073</v>
      </c>
      <c r="DF192" s="22">
        <v>45121</v>
      </c>
      <c r="DG192" s="22"/>
      <c r="DH192" s="22"/>
      <c r="DI192" s="22"/>
      <c r="DJ192" s="22"/>
      <c r="DK192" s="22"/>
      <c r="DL192" s="22"/>
      <c r="DM192" s="22"/>
      <c r="DN192" s="22"/>
      <c r="DO192" s="22"/>
      <c r="DP192" s="22"/>
      <c r="DQ192" s="22"/>
      <c r="DR192" s="28"/>
      <c r="DS192" s="22"/>
      <c r="DT192" s="22"/>
      <c r="DU192" s="216" t="str">
        <f t="shared" ca="1" si="676"/>
        <v>CONCERTAR PLAN DE PARTO INMEDIATO</v>
      </c>
      <c r="DV192" s="226" t="str">
        <f t="shared" si="677"/>
        <v>ACTIVA INGRESO A CPN</v>
      </c>
      <c r="DW192"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92" s="216" t="e">
        <f t="shared" ca="1" si="612"/>
        <v>#REF!</v>
      </c>
      <c r="DY192" s="212">
        <f>IF(R192="","",IF(R192&gt;0,MAX(Tabla1[[#This Row],[FECHA C2]:[FECHA C13]],Tabla1[[#This Row],[FECHA CONSULTA PRIMERA VEZ PROGRAMA CPN ]])))</f>
        <v>45121</v>
      </c>
      <c r="DZ192" s="216">
        <f t="shared" si="613"/>
        <v>20</v>
      </c>
      <c r="EA192" s="222">
        <f>IF(R192&gt;0,SUM(COUNTA(DF192:DQ192)+COUNTA(Tabla1[[#This Row],[FECHA CONSULTA PRIMERA VEZ PROGRAMA CPN ]])),"")</f>
        <v>2</v>
      </c>
      <c r="EB192" s="222" t="str">
        <f t="shared" si="614"/>
        <v>NO</v>
      </c>
      <c r="EC192" s="214">
        <f t="shared" si="615"/>
        <v>8</v>
      </c>
      <c r="ED192" s="227">
        <f t="shared" si="616"/>
        <v>0.25</v>
      </c>
      <c r="EE192" s="22">
        <v>45073</v>
      </c>
      <c r="EF192" s="22">
        <v>45121</v>
      </c>
      <c r="EG192" s="22">
        <v>45073</v>
      </c>
      <c r="EH192" s="22"/>
      <c r="EI192" s="22">
        <v>45073</v>
      </c>
      <c r="EJ192" s="22"/>
      <c r="EK192" s="22"/>
      <c r="EL192" s="21"/>
      <c r="EM192" s="21">
        <v>12.2</v>
      </c>
      <c r="EN192" s="22">
        <v>45124</v>
      </c>
      <c r="EO192" s="222">
        <f t="shared" si="617"/>
        <v>20.714285714285715</v>
      </c>
      <c r="EP192" s="214" t="str">
        <f t="shared" si="618"/>
        <v>NORMAL- SUMINISTRAR SULFATO FERROSO</v>
      </c>
      <c r="EQ192" s="216" t="str">
        <f t="shared" si="619"/>
        <v>II TRIM</v>
      </c>
      <c r="ER192" s="24"/>
      <c r="ES192" s="22"/>
      <c r="ET192" s="29" t="str">
        <f t="shared" ca="1" si="678"/>
        <v>TOMA DE HEMOGLOBINA TARDÍA</v>
      </c>
      <c r="EU192" s="25" t="str">
        <f t="shared" si="620"/>
        <v/>
      </c>
      <c r="EV192" s="24" t="s">
        <v>1510</v>
      </c>
      <c r="EW192" s="22">
        <v>45124</v>
      </c>
      <c r="EX192" s="22"/>
      <c r="EY192" s="29">
        <f t="shared" si="693"/>
        <v>20.714285714285715</v>
      </c>
      <c r="EZ192" s="25" t="str">
        <f t="shared" si="694"/>
        <v>SIN RIESGO DE ISOINMUNIZACIÓN</v>
      </c>
      <c r="FA192" s="21">
        <v>74</v>
      </c>
      <c r="FB192" s="22">
        <v>45124</v>
      </c>
      <c r="FC192" s="29">
        <f t="shared" si="621"/>
        <v>20.714285714285715</v>
      </c>
      <c r="FD192" s="29"/>
      <c r="FE192" s="29"/>
      <c r="FF192" s="29"/>
      <c r="FG192" s="21" t="str">
        <f t="shared" ca="1" si="622"/>
        <v>TOMAR PTOG</v>
      </c>
      <c r="FH192" s="31"/>
      <c r="FI192" s="29" t="str">
        <f t="shared" si="623"/>
        <v>TOMAR EXAMEN</v>
      </c>
      <c r="FJ192" s="22"/>
      <c r="FK192" s="22"/>
      <c r="FL192" s="29" t="str">
        <f t="shared" ca="1" si="624"/>
        <v>NO APLICA-INGRESO TARDIO</v>
      </c>
      <c r="FM192" s="22" t="s">
        <v>867</v>
      </c>
      <c r="FN192" s="32">
        <v>45124</v>
      </c>
      <c r="FO192" s="29">
        <f t="shared" ca="1" si="679"/>
        <v>20.714285714285715</v>
      </c>
      <c r="FP192" s="22"/>
      <c r="FQ192" s="32"/>
      <c r="FR192" s="29" t="str">
        <f t="shared" ca="1" si="680"/>
        <v>TOMA INMEDIATA DE TAMIZAJE</v>
      </c>
      <c r="FS192" s="22"/>
      <c r="FT192" s="32"/>
      <c r="FU192" s="29" t="str">
        <f>IF(AND(FJ192="",FM192="",FP192="",FS192=""),"",IF(OR(OR(Tabla1[[#This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92" s="28"/>
      <c r="FW192" s="22"/>
      <c r="FX192" s="29" t="str">
        <f t="shared" si="625"/>
        <v>TOMAR EXAMEN</v>
      </c>
      <c r="FY192" s="22"/>
      <c r="FZ192" s="22"/>
      <c r="GA192" s="29" t="str">
        <f t="shared" ca="1" si="739"/>
        <v>NO APLICA-INGRESO TARDIO</v>
      </c>
      <c r="GB192" s="22" t="s">
        <v>868</v>
      </c>
      <c r="GC192" s="32">
        <v>45124</v>
      </c>
      <c r="GD192" s="29">
        <f t="shared" ca="1" si="732"/>
        <v>20.714285714285715</v>
      </c>
      <c r="GE192" s="22"/>
      <c r="GF192" s="22"/>
      <c r="GG192" s="29" t="str">
        <f t="shared" ca="1" si="682"/>
        <v>TOMA INMEDIATA DE TAMIZAJE</v>
      </c>
      <c r="GH192" s="22"/>
      <c r="GI192" s="29"/>
      <c r="GJ192" s="22"/>
      <c r="GK192" s="22"/>
      <c r="GL192" s="22"/>
      <c r="GM192" s="22"/>
      <c r="GN192" s="28" t="s">
        <v>869</v>
      </c>
      <c r="GO192" s="32">
        <v>45124</v>
      </c>
      <c r="GP192" s="29">
        <f t="shared" si="626"/>
        <v>20.714285714285715</v>
      </c>
      <c r="GQ192" s="28" t="s">
        <v>880</v>
      </c>
      <c r="GR192" s="28"/>
      <c r="GS192" s="22" t="str">
        <f t="shared" si="728"/>
        <v/>
      </c>
      <c r="GT192" s="22">
        <v>45124</v>
      </c>
      <c r="GU192" s="29">
        <f t="shared" si="628"/>
        <v>20.714285714285715</v>
      </c>
      <c r="GV192" s="21" t="str">
        <f t="shared" si="629"/>
        <v>II TRIM</v>
      </c>
      <c r="GW192" s="28"/>
      <c r="GX192" s="30"/>
      <c r="GY192" s="21"/>
      <c r="GZ192" s="21"/>
      <c r="HA192" s="21"/>
      <c r="HB192" s="21"/>
      <c r="HC192" s="21"/>
      <c r="HD192" s="21"/>
      <c r="HE192" s="21"/>
      <c r="HF192" s="22"/>
      <c r="HG192" s="22" t="str">
        <f>IF(OR(O192&gt;0,R192&gt;0),CONCATENATE(IF(Tabla1[[#This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92" s="22" t="e">
        <f t="shared" si="630"/>
        <v>#REF!</v>
      </c>
      <c r="HI192" s="22" t="e">
        <f t="shared" ca="1" si="631"/>
        <v>#REF!</v>
      </c>
      <c r="HJ192" s="21" t="str">
        <f t="shared" ca="1" si="632"/>
        <v>*********************MULTIPARIDAD***RIESGO POR EDAD***************</v>
      </c>
      <c r="HK192" s="21" t="str">
        <f t="shared" si="633"/>
        <v>SIN ANTECEDENTES DE RIESGO</v>
      </c>
      <c r="HL192" s="24" t="str">
        <f t="shared" si="634"/>
        <v>APARENTEMENTE NORMAL</v>
      </c>
      <c r="HM192" s="21" t="e">
        <f t="shared" ca="1" si="635"/>
        <v>#REF!</v>
      </c>
      <c r="HN192" s="30" t="str">
        <f t="shared" si="683"/>
        <v>ACTIVA INGRESO A CPN</v>
      </c>
      <c r="HO192" s="21"/>
      <c r="HP192" s="21"/>
      <c r="HQ192" s="349"/>
      <c r="HR192" s="21" t="str">
        <f>IF(R192="","",IF(Tabla1[[#This Row],[ALARMA FACTORES DE RIESGO COMPLICACIONES HIPERTENSIVAS3]]="SIN ANTECEDENTES DE RIESGO","No Aplica para suministro de ASA",IF(AND(Tabla1[[#This Row],[FECHA INICIO DE SUMINISTRO DE ASA]]&gt;0,RV192&lt;12),"Inicia ASA ANTES de Sem 12",IF(AND(RV192&gt;11,RV192&lt;17,OR(HK192="RIESGO ALTO DE COMPLICACIONES HIPERTENSIVAS VER MANEJO GUIA SUMINISTRO ASA Y CALCIO",HK192="RIESGO MODERADO (2 O MAS CRITERIOS) VER MANEJO GUIA SUMINISTRO ASA Y CALCIO")),"Inicio oportuno de ASA",IF(AND(RV192&gt;12,OR(HK192="RIESGO ALTO DE COMPLICACIONES HIPERTENSIVAS VER MANEJO GUIA SUMINISTRO ASA Y CALCIO",HK192="RIESGO MODERADO (2 O MAS CRITERIOS) VER MANEJO GUIA SUMINISTRO ASA Y CALCIO")),"Inicio no oportuno mayor a 16 semanas",IF(AND(BU192&lt;12,OR(HK192="RIESGO ALTO DE COMPLICACIONES HIPERTENSIVAS VER MANEJO GUIA SUMINISTRO ASA Y CALCIO",HK192="RIESGO MODERADO (2 O MAS CRITERIOS) VER MANEJO GUIA SUMINISTRO ASA Y CALCIO")),"Pendiente Inicio de ASA a la semana 12",IF(AND(BU192&gt;11,BU192&lt;17,OR(HK192="RIESGO ALTO DE COMPLICACIONES HIPERTENSIVAS VER MANEJO GUIA SUMINISTRO ASA Y CALCIO",HK192="RIESGO MODERADO (2 O MAS CRITERIOS) VER MANEJO GUIA SUMINISTRO ASA Y CALCIO")),"Iniciar de inmediato ASA",IF(AND(BU192&gt;16,OR(HK192="RIESGO ALTO DE COMPLICACIONES HIPERTENSIVAS VER MANEJO GUIA SUMINISTRO ASA Y CALCIO",HK192="RIESGO MODERADO (2 O MAS CRITERIOS) VER MANEJO GUIA SUMINISTRO ASA Y CALCIO")),"Pierde Oportunidad, Inicio tardío de ASA","XXXXX"))))))))</f>
        <v>No Aplica para suministro de ASA</v>
      </c>
      <c r="HS192" s="22">
        <v>45073</v>
      </c>
      <c r="HT192" s="22" t="s">
        <v>1518</v>
      </c>
      <c r="HU192" s="22">
        <v>45073</v>
      </c>
      <c r="HV192" s="22" t="s">
        <v>1506</v>
      </c>
      <c r="HW192" s="22">
        <v>45073</v>
      </c>
      <c r="HX192" s="22" t="s">
        <v>1511</v>
      </c>
      <c r="HY192" s="22"/>
      <c r="HZ192" s="28" t="str">
        <f t="shared" si="636"/>
        <v>PENDIENTE CONSULTA</v>
      </c>
      <c r="IA192" s="26"/>
      <c r="IB192" s="26"/>
      <c r="IC192" s="111"/>
      <c r="ID192" s="22"/>
      <c r="IE192" s="22" t="str">
        <f t="shared" ca="1" si="637"/>
        <v>INASISTENTE</v>
      </c>
      <c r="IF192" s="22"/>
      <c r="IG192" s="22">
        <f t="shared" si="638"/>
        <v>45259</v>
      </c>
      <c r="IH192" s="29">
        <f t="shared" ca="1" si="639"/>
        <v>27</v>
      </c>
      <c r="II192" s="22" t="str">
        <f t="shared" ca="1" si="640"/>
        <v>MENOS DE 4 SEMANAS</v>
      </c>
      <c r="IJ192" s="22"/>
      <c r="IK192" s="21"/>
      <c r="IL192" s="21"/>
      <c r="IM192" s="34"/>
      <c r="IN192" s="22"/>
      <c r="IO192" s="21"/>
      <c r="IP192" s="29" t="str">
        <f t="shared" si="730"/>
        <v/>
      </c>
      <c r="IQ192" s="35"/>
      <c r="IR192" s="21"/>
      <c r="IS192" s="21"/>
      <c r="IT192" s="21"/>
      <c r="IU192" s="21"/>
      <c r="IV192" s="21"/>
      <c r="IW192" s="21"/>
      <c r="IX192" s="21"/>
      <c r="IY192" s="21"/>
      <c r="IZ192" s="21"/>
      <c r="JA192" s="21"/>
      <c r="JB192" s="30"/>
      <c r="JC192" s="21"/>
      <c r="JD192" s="36"/>
      <c r="JE192" s="21" t="str">
        <f t="shared" si="733"/>
        <v/>
      </c>
      <c r="JF192" s="30"/>
      <c r="JG192" s="21"/>
      <c r="JH192" s="21"/>
      <c r="JI192" s="21"/>
      <c r="JJ192" s="30"/>
      <c r="JK192" s="22"/>
      <c r="JL192" s="22"/>
      <c r="JM192" s="21"/>
      <c r="JN192" s="36"/>
      <c r="JO192" s="21" t="str">
        <f t="shared" si="734"/>
        <v/>
      </c>
      <c r="JP192" s="22"/>
      <c r="JQ192" s="21"/>
      <c r="JR192" s="21"/>
      <c r="JS192" s="21"/>
      <c r="JT192" s="30"/>
      <c r="JU192" s="22"/>
      <c r="JV192" s="22"/>
      <c r="JW192" s="33"/>
      <c r="JX192" s="28" t="str">
        <f t="shared" si="735"/>
        <v/>
      </c>
      <c r="JY192" s="33"/>
      <c r="JZ192" s="28" t="str">
        <f t="shared" si="736"/>
        <v/>
      </c>
      <c r="KA192" s="21"/>
      <c r="KB192" s="21"/>
      <c r="KC192" s="21"/>
      <c r="KD192" s="37"/>
      <c r="KE192" s="28"/>
      <c r="KF192" s="28"/>
      <c r="KG192" s="28"/>
      <c r="KH192" s="39"/>
      <c r="KI192" s="39"/>
      <c r="KJ192" s="66"/>
      <c r="KK192" s="39"/>
      <c r="KL192" s="39"/>
      <c r="KM192" s="66"/>
      <c r="KN192" s="39"/>
      <c r="KO192" s="39"/>
      <c r="KP192" s="39"/>
      <c r="KQ192" s="39"/>
      <c r="KR192" s="39"/>
      <c r="KS192" s="39"/>
      <c r="KT192" s="39"/>
      <c r="KU192" s="38"/>
      <c r="KV192" s="38"/>
      <c r="KW192" s="38"/>
      <c r="KX192" s="38"/>
      <c r="KY192" s="38"/>
      <c r="KZ192" s="38"/>
      <c r="LA192" s="38"/>
      <c r="LB192" s="38"/>
      <c r="LC192" s="38"/>
      <c r="LD192" s="38"/>
      <c r="LE192" s="38"/>
      <c r="LF192" s="38"/>
      <c r="LG192" s="38"/>
      <c r="LH192" s="38"/>
      <c r="LI192" s="38"/>
      <c r="LJ192" s="38"/>
      <c r="LK192" s="38"/>
      <c r="LL192" s="38"/>
      <c r="LM192" s="38"/>
      <c r="LN192" s="38"/>
      <c r="LO192" s="38"/>
      <c r="LP192" s="38"/>
      <c r="LQ192" s="38"/>
      <c r="LR192" s="38"/>
      <c r="LS192" s="38"/>
      <c r="LT192" s="38"/>
      <c r="LU192" s="38"/>
      <c r="LV192" s="38"/>
      <c r="LW192" s="38"/>
      <c r="LX192" s="38"/>
      <c r="LY192" s="38"/>
      <c r="LZ192" s="38"/>
      <c r="MA192" s="38"/>
      <c r="MB192" s="38"/>
      <c r="MC192" s="38"/>
      <c r="MD192" s="38"/>
      <c r="ME192" s="38"/>
      <c r="MF192" s="38"/>
      <c r="MG192" s="38"/>
      <c r="MH192" s="43">
        <f t="shared" si="697"/>
        <v>0</v>
      </c>
      <c r="MI192" s="43" t="str">
        <f t="shared" si="698"/>
        <v/>
      </c>
      <c r="MJ192" s="43" t="str">
        <f t="shared" si="699"/>
        <v/>
      </c>
      <c r="MK192" s="43">
        <f t="shared" si="700"/>
        <v>0</v>
      </c>
      <c r="ML19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92" s="43">
        <f t="shared" si="701"/>
        <v>13.428571428571429</v>
      </c>
      <c r="MN192" s="43">
        <f t="shared" si="702"/>
        <v>5</v>
      </c>
      <c r="MO192" s="43">
        <f t="shared" si="703"/>
        <v>2023</v>
      </c>
      <c r="MP192" s="43" t="str">
        <f t="shared" si="704"/>
        <v>II TRIMESTRE AÑO</v>
      </c>
      <c r="MQ192" s="43">
        <f t="shared" si="705"/>
        <v>35.096364432763906</v>
      </c>
      <c r="MR192" s="43">
        <f t="shared" si="706"/>
        <v>2</v>
      </c>
      <c r="MS192" s="43" t="str">
        <f t="shared" si="707"/>
        <v xml:space="preserve"> DE 35 A 39 AÑOS</v>
      </c>
      <c r="MT192" s="43">
        <f t="shared" si="708"/>
        <v>0</v>
      </c>
      <c r="MU192" s="43">
        <f t="shared" si="709"/>
        <v>2</v>
      </c>
      <c r="MV192" s="43">
        <f t="shared" si="710"/>
        <v>0</v>
      </c>
      <c r="MW192" s="43">
        <f t="shared" si="711"/>
        <v>0</v>
      </c>
      <c r="MX192" s="43" t="str">
        <f t="shared" si="712"/>
        <v/>
      </c>
      <c r="MY192" s="43" t="str">
        <f t="shared" ca="1" si="737"/>
        <v/>
      </c>
      <c r="MZ192" s="43" t="str">
        <f t="shared" si="713"/>
        <v/>
      </c>
      <c r="NA192" s="43" t="str">
        <f t="shared" si="714"/>
        <v/>
      </c>
      <c r="NB192" s="43" t="str">
        <f t="shared" si="715"/>
        <v/>
      </c>
      <c r="NC192" s="43" t="str">
        <f t="shared" si="716"/>
        <v/>
      </c>
      <c r="ND192" s="43">
        <f t="shared" ca="1" si="717"/>
        <v>4</v>
      </c>
      <c r="NE192" s="43">
        <f>IF(OR(O192&gt;0,R192&gt;0),SUM(COUNTIF(Tabla1[[#This Row],[AÑOS AL INICIO5 CPN]],"&gt;=40"),COUNTIF(AS192,"0"),COUNTIF(AR192,"SI"),COUNTIF(CC192,"SI"),COUNTIF(BQ192,"&gt;119"),COUNTIF(CI192,"&gt;=35")),"")</f>
        <v>0</v>
      </c>
      <c r="NF192" s="43" t="str">
        <f t="shared" si="718"/>
        <v/>
      </c>
      <c r="NG192" s="43">
        <f t="shared" si="719"/>
        <v>0</v>
      </c>
      <c r="NH192" s="43" t="str">
        <f t="shared" si="720"/>
        <v/>
      </c>
      <c r="NI19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CPN",P192="NO"),"Z",IF(AND(Tabla1[[#This Row],[CITA PROXIMO CONTROL]]="CITA MANUAL",Tabla1[[#This Row],[GESTANTES ACTUALES]]="ACTIVA INGRESO A CPN"),"W",IF(AND(Tabla1[[#This Row],[GESTANTES ACTUALES]]="SALIO PROGRAMA",IN192=""),"S",IF(AND(Tabla1[[#This Row],[CITA PROXIMO CONTROL]]&gt;0,IN192=""),(Tabla1[[#This Row],[CITA PROXIMO CONTROL]]-TODAY()),"SD"))))))))</f>
        <v>#REF!</v>
      </c>
      <c r="NJ192" s="43">
        <f>MONTH(Tabla1[[#This Row],[FECHA DE SALIDA  DEL PROGRAMA]])</f>
        <v>1</v>
      </c>
      <c r="NK192" s="43">
        <f>YEAR(Tabla1[[#This Row],[FECHA DE SALIDA  DEL PROGRAMA]])</f>
        <v>1900</v>
      </c>
      <c r="NL192" s="43" t="str">
        <f t="shared" si="721"/>
        <v>X</v>
      </c>
      <c r="NM192" s="43" t="str">
        <f t="shared" si="695"/>
        <v>NO</v>
      </c>
      <c r="NN192" s="43" t="str">
        <f ca="1">IF(AND(O192&gt;0,R192=""),"NO CPN",IF(AND(O192="",R192=""),"",IF(AND(R192&gt;0,Tabla1[[#This Row],[SEMANAS DE GESTACION ACTUALIZADAS]]&lt;=12),"NO APLICA",IF(AND(FH192&lt;&gt;"",FN192&lt;&gt;""),"SI","NO"))))</f>
        <v>NO</v>
      </c>
      <c r="NO192" s="43" t="str">
        <f ca="1">IF(AND(O192&gt;0,R192=""),"NO CPN",IF(AND(O192="",R192=""),"",IF(AND(R192&gt;0,Tabla1[[#This Row],[SEMANAS DE GESTACION ACTUALIZADAS]]&lt;=27),"NO APLICA",IF(AND(ES192&lt;&gt;"",FQ192&lt;&gt;"",GF192&lt;&gt;""),"SI","NO"))))</f>
        <v>NO</v>
      </c>
      <c r="NP192" s="204" t="str">
        <f t="shared" si="722"/>
        <v>II TRIM</v>
      </c>
      <c r="NQ192" s="21" t="str">
        <f t="shared" si="731"/>
        <v/>
      </c>
      <c r="NR192" s="21">
        <f t="shared" ca="1" si="738"/>
        <v>2</v>
      </c>
      <c r="NS192" s="205">
        <f t="shared" ca="1" si="723"/>
        <v>1</v>
      </c>
      <c r="NT192" s="21">
        <f t="shared" ca="1" si="724"/>
        <v>1</v>
      </c>
      <c r="NU192" s="21" t="str">
        <f t="shared" ca="1" si="725"/>
        <v>INCOMPLETO</v>
      </c>
      <c r="NV192" s="21" t="str">
        <f t="shared" ca="1" si="726"/>
        <v>INCOMPLETO</v>
      </c>
      <c r="NW192" s="206" t="str">
        <f>IF(AND(O192="",R192=""),"",IF(OR(AND(Tabla1[[#This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92" s="207" t="str">
        <f t="shared" ca="1" si="727"/>
        <v>SIN VACUNAR</v>
      </c>
      <c r="NY192" s="43">
        <f>ROW(Tabla1[[#This Row],['# DE TAMIZAJES SIFILIS TOMADOS ]])</f>
        <v>192</v>
      </c>
      <c r="NZ192" s="43">
        <f t="shared" si="740"/>
        <v>13</v>
      </c>
      <c r="OA192" s="43" t="str">
        <f t="shared" si="741"/>
        <v/>
      </c>
      <c r="OB192" s="43" t="str">
        <f t="shared" si="742"/>
        <v/>
      </c>
      <c r="OC192" s="43" t="str">
        <f t="shared" si="743"/>
        <v/>
      </c>
      <c r="OD192" s="43" t="str">
        <f t="shared" si="744"/>
        <v/>
      </c>
      <c r="OE192" s="43" t="str">
        <f t="shared" si="745"/>
        <v>NORMAL</v>
      </c>
      <c r="OF192" s="43" t="str">
        <f t="shared" si="746"/>
        <v/>
      </c>
      <c r="OG192" s="43" t="str">
        <f t="shared" si="747"/>
        <v/>
      </c>
      <c r="OH192" s="43" t="str">
        <f t="shared" si="748"/>
        <v/>
      </c>
      <c r="OI192" s="43" t="str">
        <f t="shared" si="749"/>
        <v/>
      </c>
      <c r="OJ192" s="43" t="str">
        <f t="shared" si="750"/>
        <v/>
      </c>
      <c r="OK192" s="43" t="str">
        <f t="shared" si="751"/>
        <v/>
      </c>
      <c r="OL192" s="43" t="str">
        <f t="shared" si="752"/>
        <v/>
      </c>
      <c r="OM192" s="43" t="str">
        <f t="shared" si="753"/>
        <v/>
      </c>
      <c r="ON192" s="43" t="str">
        <f t="shared" si="754"/>
        <v/>
      </c>
      <c r="OO192" s="43" t="str">
        <f t="shared" si="755"/>
        <v/>
      </c>
      <c r="OP192" s="43" t="str">
        <f t="shared" si="756"/>
        <v/>
      </c>
      <c r="OQ192" s="43" t="str">
        <f t="shared" si="757"/>
        <v/>
      </c>
      <c r="OR192" s="43" t="str">
        <f t="shared" si="758"/>
        <v/>
      </c>
      <c r="OS192" s="43" t="str">
        <f t="shared" si="759"/>
        <v/>
      </c>
      <c r="OT192" s="43" t="str">
        <f t="shared" si="760"/>
        <v/>
      </c>
      <c r="OU192" s="43" t="str">
        <f t="shared" si="761"/>
        <v/>
      </c>
      <c r="OV192" s="110" t="str">
        <f t="shared" si="762"/>
        <v/>
      </c>
      <c r="OW192" s="43" t="str">
        <f t="shared" si="763"/>
        <v/>
      </c>
      <c r="OX192" s="43" t="str">
        <f t="shared" si="764"/>
        <v/>
      </c>
      <c r="OY192" s="43" t="str">
        <f t="shared" si="765"/>
        <v/>
      </c>
      <c r="OZ192" s="43" t="str">
        <f t="shared" si="766"/>
        <v/>
      </c>
      <c r="PA192" s="43" t="str">
        <f t="shared" si="767"/>
        <v/>
      </c>
      <c r="PB192" s="43" t="str">
        <f t="shared" si="768"/>
        <v/>
      </c>
      <c r="PC192" s="43" t="str">
        <f t="shared" si="769"/>
        <v/>
      </c>
      <c r="PD192" s="43" t="str">
        <f t="shared" si="770"/>
        <v/>
      </c>
      <c r="PE192" s="43" t="str">
        <f t="shared" si="771"/>
        <v/>
      </c>
      <c r="PF192" s="43" t="str">
        <f t="shared" si="772"/>
        <v/>
      </c>
      <c r="PG192" s="43" t="str">
        <f t="shared" si="773"/>
        <v/>
      </c>
      <c r="PH192" s="43" t="str">
        <f t="shared" si="774"/>
        <v/>
      </c>
      <c r="PI192" s="43">
        <f t="shared" si="775"/>
        <v>20</v>
      </c>
      <c r="PJ192" s="43" t="str">
        <f t="shared" si="776"/>
        <v/>
      </c>
      <c r="PK192" s="43" t="str">
        <f t="shared" si="777"/>
        <v/>
      </c>
      <c r="PL192" s="43" t="str">
        <f t="shared" si="778"/>
        <v/>
      </c>
      <c r="PM192" s="43" t="str">
        <f t="shared" si="779"/>
        <v/>
      </c>
      <c r="PN192" s="43" t="str">
        <f t="shared" si="780"/>
        <v/>
      </c>
      <c r="PO192" s="43" t="str">
        <f t="shared" si="781"/>
        <v/>
      </c>
      <c r="PP192" s="43" t="str">
        <f t="shared" si="782"/>
        <v/>
      </c>
      <c r="PQ192" s="43" t="str">
        <f t="shared" si="783"/>
        <v/>
      </c>
      <c r="PR192" s="43" t="str">
        <f t="shared" si="784"/>
        <v/>
      </c>
      <c r="PS192" s="43" t="str">
        <f t="shared" si="785"/>
        <v/>
      </c>
      <c r="PT192" s="43" t="str">
        <f t="shared" si="786"/>
        <v/>
      </c>
      <c r="PU192" s="43" t="str">
        <f t="shared" si="787"/>
        <v>NORMAL</v>
      </c>
      <c r="PV192" s="43" t="str">
        <f t="shared" si="788"/>
        <v/>
      </c>
      <c r="PW192" s="43" t="str">
        <f t="shared" si="789"/>
        <v/>
      </c>
      <c r="PX192" s="43" t="str">
        <f t="shared" si="790"/>
        <v/>
      </c>
      <c r="PY192" s="43" t="str">
        <f t="shared" si="791"/>
        <v/>
      </c>
      <c r="PZ192" s="43" t="str">
        <f t="shared" si="792"/>
        <v/>
      </c>
      <c r="QA192" s="43" t="str">
        <f t="shared" si="793"/>
        <v/>
      </c>
      <c r="QB192" s="43" t="str">
        <f t="shared" si="794"/>
        <v/>
      </c>
      <c r="QC192" s="43" t="str">
        <f t="shared" si="795"/>
        <v/>
      </c>
      <c r="QD192" s="43" t="str">
        <f t="shared" si="796"/>
        <v/>
      </c>
      <c r="QE192" s="43" t="str">
        <f t="shared" si="797"/>
        <v/>
      </c>
      <c r="QF192" s="43" t="str">
        <f t="shared" si="798"/>
        <v/>
      </c>
      <c r="QG192" s="43" t="str">
        <f t="shared" si="799"/>
        <v/>
      </c>
      <c r="QH192" s="43" t="str">
        <f t="shared" si="800"/>
        <v/>
      </c>
      <c r="QI192" s="43" t="str">
        <f t="shared" si="801"/>
        <v/>
      </c>
      <c r="QJ192" s="43" t="str">
        <f t="shared" si="802"/>
        <v/>
      </c>
      <c r="QK192" s="43" t="str">
        <f t="shared" si="803"/>
        <v/>
      </c>
      <c r="QL192" s="43" t="str">
        <f t="shared" si="804"/>
        <v/>
      </c>
      <c r="QM192" s="43" t="str">
        <f t="shared" si="805"/>
        <v/>
      </c>
      <c r="QN192" s="43" t="str">
        <f t="shared" si="806"/>
        <v/>
      </c>
      <c r="QO192" s="43" t="str">
        <f t="shared" si="807"/>
        <v/>
      </c>
      <c r="QP192" s="43" t="str">
        <f t="shared" si="808"/>
        <v/>
      </c>
      <c r="QQ192" s="43" t="str">
        <f t="shared" si="809"/>
        <v/>
      </c>
      <c r="QR192" s="43">
        <f t="shared" ref="QR192:QR218" si="839">IF(DZ192="","",IF(DZ192&lt;13,"Menor",IF(DZ192&gt;40,"Mayor",DZ192)))</f>
        <v>20</v>
      </c>
      <c r="QS192" s="43"/>
      <c r="QT192" s="21" t="str">
        <f t="shared" si="810"/>
        <v/>
      </c>
      <c r="QU192" s="21" t="str">
        <f t="shared" si="811"/>
        <v/>
      </c>
      <c r="QV192" s="21" t="str">
        <f t="shared" si="812"/>
        <v/>
      </c>
      <c r="QW192" s="21" t="str">
        <f t="shared" si="813"/>
        <v/>
      </c>
      <c r="QX192" s="21" t="str">
        <f t="shared" si="814"/>
        <v/>
      </c>
      <c r="QY192" s="21" t="str">
        <f t="shared" si="815"/>
        <v/>
      </c>
      <c r="QZ192" s="21" t="str">
        <f t="shared" si="816"/>
        <v/>
      </c>
      <c r="RA192" s="21" t="str">
        <f t="shared" si="817"/>
        <v>ADECUADO PARA EDAD GESTACIONAL</v>
      </c>
      <c r="RB192" s="21" t="str">
        <f t="shared" si="818"/>
        <v/>
      </c>
      <c r="RC192" s="21" t="str">
        <f t="shared" si="819"/>
        <v/>
      </c>
      <c r="RD192" s="21" t="str">
        <f t="shared" si="820"/>
        <v/>
      </c>
      <c r="RE192" s="21" t="str">
        <f t="shared" si="821"/>
        <v/>
      </c>
      <c r="RF192" s="21" t="str">
        <f t="shared" si="822"/>
        <v/>
      </c>
      <c r="RG192" s="21" t="str">
        <f t="shared" si="823"/>
        <v/>
      </c>
      <c r="RH192" s="21" t="str">
        <f t="shared" si="824"/>
        <v/>
      </c>
      <c r="RI192" s="21" t="str">
        <f t="shared" si="825"/>
        <v/>
      </c>
      <c r="RJ192" s="21" t="str">
        <f t="shared" si="826"/>
        <v/>
      </c>
      <c r="RK192" s="21" t="str">
        <f t="shared" si="827"/>
        <v/>
      </c>
      <c r="RL192" s="21" t="str">
        <f t="shared" si="828"/>
        <v/>
      </c>
      <c r="RM192" s="21" t="str">
        <f t="shared" si="829"/>
        <v/>
      </c>
      <c r="RN192" s="21" t="str">
        <f t="shared" si="830"/>
        <v/>
      </c>
      <c r="RO192" s="21" t="str">
        <f t="shared" si="831"/>
        <v/>
      </c>
      <c r="RP192" s="21" t="str">
        <f t="shared" si="832"/>
        <v/>
      </c>
      <c r="RQ192" s="21" t="str">
        <f t="shared" si="833"/>
        <v/>
      </c>
      <c r="RR192" s="21" t="str">
        <f t="shared" si="834"/>
        <v/>
      </c>
      <c r="RS192" s="21" t="str">
        <f t="shared" si="835"/>
        <v/>
      </c>
      <c r="RT192" s="21" t="str">
        <f t="shared" si="836"/>
        <v/>
      </c>
      <c r="RU192" s="21" t="str">
        <f t="shared" si="837"/>
        <v/>
      </c>
      <c r="RV192" s="21">
        <f t="shared" si="838"/>
        <v>-1</v>
      </c>
      <c r="RW192" s="284">
        <f>IF(OR(Tabla1[[#This Row],[FUM FORMULA CONFIABLE]]="",Tabla1[[#This Row],[FUM FORMULA CONFIABLE]]="SD"),"",IF(Tabla1[[#This Row],[FUM FORMULA CONFIABLE]]="CORREGIDA",Tabla1[[#This Row],[FUM X ECO 1]],Tabla1[[#This Row],[FUM x AMENORREA]]))</f>
        <v>44979</v>
      </c>
      <c r="RX192" s="21" t="str">
        <f>IF(AND(Tabla1[[#This Row],[FUM X ECO 1]]="",Tabla1[[#This Row],[FUM x AMENORREA]]=""),"",IF(AND(Tabla1[[#This Row],[FUM X ECO 1]]="",Tabla1[[#This Row],[FUM x AMENORREA]]&lt;&gt;""),"X",SUM(Tabla1[[#This Row],[FUM X ECO 1]]-Tabla1[[#This Row],[FUM x AMENORREA]])))</f>
        <v>X</v>
      </c>
      <c r="RY192" s="21" t="str">
        <f t="shared" ref="RY192:RY218" si="840">IF(RX192="","",IF(RX192="x","x",IF(OR(RX192&gt;6,RX192&lt;-7),1,0)))</f>
        <v>x</v>
      </c>
    </row>
    <row r="193" spans="1:493" ht="45" customHeight="1" x14ac:dyDescent="0.25">
      <c r="A193" s="109"/>
      <c r="B193" s="43"/>
      <c r="C193" s="43" t="s">
        <v>845</v>
      </c>
      <c r="D193" s="124"/>
      <c r="E193" s="43" t="s">
        <v>873</v>
      </c>
      <c r="F193" s="43" t="s">
        <v>1091</v>
      </c>
      <c r="G193" s="43" t="s">
        <v>1277</v>
      </c>
      <c r="H193" s="43"/>
      <c r="I193" s="109" t="s">
        <v>851</v>
      </c>
      <c r="J193" s="298">
        <v>1059598472</v>
      </c>
      <c r="K193" s="43" t="s">
        <v>852</v>
      </c>
      <c r="L193" s="175" t="s">
        <v>1509</v>
      </c>
      <c r="M193" s="22">
        <v>32899</v>
      </c>
      <c r="N193" s="213">
        <f t="shared" ca="1" si="601"/>
        <v>33.789041095890411</v>
      </c>
      <c r="O193" s="22">
        <v>45000</v>
      </c>
      <c r="P193" s="214" t="str">
        <f t="shared" si="675"/>
        <v>SI</v>
      </c>
      <c r="Q193" s="26" t="s">
        <v>855</v>
      </c>
      <c r="R193" s="22">
        <v>45000</v>
      </c>
      <c r="S193" s="21" t="s">
        <v>856</v>
      </c>
      <c r="T193" s="24" t="s">
        <v>690</v>
      </c>
      <c r="U193" s="21" t="s">
        <v>857</v>
      </c>
      <c r="V193" s="21" t="s">
        <v>858</v>
      </c>
      <c r="W193" s="21" t="s">
        <v>859</v>
      </c>
      <c r="X193" s="21"/>
      <c r="Y193" s="21" t="s">
        <v>859</v>
      </c>
      <c r="Z193" s="21">
        <v>3116159410</v>
      </c>
      <c r="AA193" s="21" t="s">
        <v>860</v>
      </c>
      <c r="AB193" s="27" t="s">
        <v>861</v>
      </c>
      <c r="AC193" s="26" t="s">
        <v>846</v>
      </c>
      <c r="AD193" s="38" t="s">
        <v>1546</v>
      </c>
      <c r="AE193" s="26" t="s">
        <v>854</v>
      </c>
      <c r="AF193" s="26" t="s">
        <v>854</v>
      </c>
      <c r="AG193" s="23" t="s">
        <v>864</v>
      </c>
      <c r="AH193" s="23" t="s">
        <v>864</v>
      </c>
      <c r="AI193" s="24" t="s">
        <v>863</v>
      </c>
      <c r="AJ193" s="23" t="s">
        <v>864</v>
      </c>
      <c r="AK193" s="220" t="str">
        <f>IF(AND(AD193="",AE193="",AF193="",AG193="",AH193="",AI193="",AJ193=""),"",IF(OR(Tabla1[[#This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EVALUACIÓN",IF(AND(O193="",R193=""),"",IF(AND(OR(O193&gt;0,R193&gt;0),NG193&gt;=0,NG193&lt;2),"SIN RIESGO",IF(AND(OR(O193&gt;0,R193&gt;0),NG193&gt;=2),"CON RIESGO","ASD")))))</f>
        <v>SIN RIESGO</v>
      </c>
      <c r="AL193" s="23" t="s">
        <v>864</v>
      </c>
      <c r="AM193" s="26" t="s">
        <v>864</v>
      </c>
      <c r="AN193" s="26" t="s">
        <v>864</v>
      </c>
      <c r="AO193" s="26" t="s">
        <v>864</v>
      </c>
      <c r="AP193" s="26" t="s">
        <v>864</v>
      </c>
      <c r="AQ193" s="26" t="s">
        <v>864</v>
      </c>
      <c r="AR193" s="26" t="s">
        <v>864</v>
      </c>
      <c r="AS193" s="21">
        <v>6</v>
      </c>
      <c r="AT193" s="21">
        <v>5</v>
      </c>
      <c r="AU193" s="21">
        <v>1</v>
      </c>
      <c r="AV193" s="26" t="s">
        <v>864</v>
      </c>
      <c r="AW193" s="21">
        <v>0</v>
      </c>
      <c r="AX193" s="26" t="s">
        <v>864</v>
      </c>
      <c r="AY193" s="26" t="s">
        <v>864</v>
      </c>
      <c r="AZ193" s="26" t="s">
        <v>864</v>
      </c>
      <c r="BA193" s="26" t="s">
        <v>864</v>
      </c>
      <c r="BB193" s="26" t="s">
        <v>864</v>
      </c>
      <c r="BC193" s="26" t="s">
        <v>864</v>
      </c>
      <c r="BD193" s="26" t="s">
        <v>864</v>
      </c>
      <c r="BE193" s="26" t="s">
        <v>864</v>
      </c>
      <c r="BF193" s="26" t="s">
        <v>864</v>
      </c>
      <c r="BG193" s="26" t="s">
        <v>864</v>
      </c>
      <c r="BH193" s="26" t="s">
        <v>864</v>
      </c>
      <c r="BI193" s="26" t="s">
        <v>864</v>
      </c>
      <c r="BJ193" s="26" t="s">
        <v>864</v>
      </c>
      <c r="BK193" s="26" t="s">
        <v>864</v>
      </c>
      <c r="BL193" s="26" t="s">
        <v>864</v>
      </c>
      <c r="BM193" s="26" t="s">
        <v>864</v>
      </c>
      <c r="BN193" s="22"/>
      <c r="BO193" s="22">
        <v>44933</v>
      </c>
      <c r="BP193" s="21" t="s">
        <v>1380</v>
      </c>
      <c r="BQ193" s="222">
        <f t="shared" si="602"/>
        <v>0</v>
      </c>
      <c r="BR193" s="223">
        <f t="shared" si="603"/>
        <v>44918</v>
      </c>
      <c r="BS193" s="224">
        <f t="shared" si="604"/>
        <v>11.714285714285714</v>
      </c>
      <c r="BT193" s="216" t="str">
        <f t="shared" si="605"/>
        <v>II TRIM</v>
      </c>
      <c r="BU193" s="214" t="str">
        <f t="shared" ca="1" si="606"/>
        <v/>
      </c>
      <c r="BV193" s="25" t="s">
        <v>988</v>
      </c>
      <c r="BW193" s="22">
        <v>45149</v>
      </c>
      <c r="BX193" s="28">
        <v>33</v>
      </c>
      <c r="BY193" s="28"/>
      <c r="BZ193" s="22"/>
      <c r="CA193" s="21"/>
      <c r="CB193" s="26" t="s">
        <v>864</v>
      </c>
      <c r="CC193" s="26" t="s">
        <v>864</v>
      </c>
      <c r="CD193" s="26" t="s">
        <v>878</v>
      </c>
      <c r="CE193" s="26" t="s">
        <v>864</v>
      </c>
      <c r="CF193" s="22" t="s">
        <v>1517</v>
      </c>
      <c r="CG193" s="21">
        <v>1.58</v>
      </c>
      <c r="CH193" s="21">
        <v>60</v>
      </c>
      <c r="CI193" s="214">
        <f t="shared" si="607"/>
        <v>24.034609838166958</v>
      </c>
      <c r="CJ193" s="225" t="e">
        <f>IF(AND(CI193&lt;10,CH193="SD"),"SIN DATO PESO PREGESTACION O I TRIM",IF(AND(OR(R193&gt;0,O193&gt;0),CI193="X"),"INGRESAR DATO DE PESO",IF(CI193="SD","INGRESAR DATO DE TALLA Y PESO",IF(AND(OR(Tabla1[[#This Row],[MOMENTO EN QUE SE REALIZA EL PESO AL INGRESO A CPN]]="PREGESTACIÓN",NZ193="Menor"),CI193&lt;18.5),"BAJO PESO",IF(AND(OR(Tabla1[[#This Row],[MOMENTO EN QUE SE REALIZA EL PESO AL INGRESO A CPN]]="PREGESTACIÓN",NZ193="Menor"),CI193&lt;25),"NORMAL",IF(AND(OR(Tabla1[[#This Row],[MOMENTO EN QUE SE REALIZA EL PESO AL INGRESO A CPN]]="PREGESTACIÓN",NZ193="Menor"),CI193&lt;30),"SOBREPESO",IF(AND(OR(Tabla1[[#This Row],[MOMENTO EN QUE SE REALIZA EL PESO AL INGRESO A CPN]]="PREGESTACIÓN",NZ193="Menor"),CI193&gt;=30,CI193&lt;50),"OBESIDAD",IF(AND(BS193&gt;0,Tabla1[[#This Row],[MOMENTO EN QUE SE REALIZA EL PESO AL INGRESO A CPN]]="GESTACIÓN"),HLOOKUP(NZ193,$OA$2:PH193,NY193),""))))))))</f>
        <v>#REF!</v>
      </c>
      <c r="CK193" s="212">
        <f t="shared" si="608"/>
        <v>45148</v>
      </c>
      <c r="CL193" s="21">
        <v>61.5</v>
      </c>
      <c r="CM193" s="214">
        <f t="shared" si="609"/>
        <v>24.635475084121129</v>
      </c>
      <c r="CN193" s="216">
        <f t="shared" si="610"/>
        <v>32</v>
      </c>
      <c r="CO193" s="216" t="e">
        <f>IF(PI193="","",IF(PI193&gt;0,HLOOKUP(PI193,$PJ$2:QQ193,NY193),""))</f>
        <v>#REF!</v>
      </c>
      <c r="CP193" s="21">
        <v>27</v>
      </c>
      <c r="CQ193" s="216" t="e">
        <f>IF(QR193="Menor","NO APLICA-MENOR 13 SEM",IF(AND(CC193="SI",CN193&gt;23),"NO APLICA- GEMELAR",IF(QR193="","",IF(QR193&gt;0,HLOOKUP(QR193,$QS$2:RU193,NY193),""))))</f>
        <v>#REF!</v>
      </c>
      <c r="CR193" s="21"/>
      <c r="CS193" s="21"/>
      <c r="CT193" s="217" t="str">
        <f>IF(R193="","",IF(AND(BS193&gt;1,BS193&lt;12,Tabla1[[#This Row],[T.A. SISTOLICA - ANTES DE SEMANA 12]]="",Tabla1[[#This Row],[T.A. DIASTOLICA - ANTES DE SEMANA 12]]=""),"REGISTRE DATO TA ANTES SEMANA 12",IF(AND(BS193&gt;11,BS193&lt;43,Tabla1[[#This Row],[T.A. SISTOLICA - ANTES DE SEMANA 12]]="",Tabla1[[#This Row],[T.A. DIASTOLICA - ANTES DE SEMANA 12]]=""),"NO APLICA REGISTRO TA-INGRESO TARDIO",IF(AND(OR(O193&gt;0,R193&gt;0),OR(CR193&gt;=140,CS193&gt;=90)),"DEFINIR ESTADIO HTA",IF(AND(OR(O193&gt;0,R193&gt;0),AND(CR193&gt;120,CR193&lt;=139)),"PRE HTA SEGUIMIENTO",IF(AND(OR(O193&gt;0,R193&gt;0),AND(CS193&gt;80,CS193&lt;=89)),"PRE HTA SEGUIMIENTO",IF(AND(OR(O193&gt;0,R193&gt;0),AND(CR193&gt;=80,CR193&lt;=120)),"APARENTEMENTE NORMAL",IF(AND(OR(O193&gt;0,R193&gt;0),AND(CS193&gt;=50,CS193&lt;=80)),"APARENTEMENTE NORMAL",IF(AND(OR(O193&gt;0,R193&gt;0),AND(CR193&gt;1,CR193&lt;=70),AND(CS193&gt;1,CS193&lt;=40)),"HIPOTENSIÓN","")))))))))</f>
        <v>REGISTRE DATO TA ANTES SEMANA 12</v>
      </c>
      <c r="CU193" s="21"/>
      <c r="CV193" s="21"/>
      <c r="CW193" s="217" t="str">
        <f ca="1">IF(R193="","",IF(AND(CN193&gt;19,CN193&lt;27,Tabla1[[#This Row],[T.A. SISTOLICA (Entre semana 20 y 26)]]="",Tabla1[[#This Row],[T.A. DIATOLICA (Entre semana 20 y 26)]]=""),"ACUDE A CONTROL SEM 20 A 26 REGISTRE TA AHORA",IF(AND(BS193&gt;1,BS193&lt;27,BU193&gt;19,Tabla1[[#This Row],[T.A. SISTOLICA (Entre semana 20 y 26)]]="",Tabla1[[#This Row],[T.A. DIATOLICA (Entre semana 20 y 26)]]=""),"COMPLETE REGISTRO TA CONTROL SEM 20 A26 ",IF(AND(BS193&gt;26,BS193&lt;43,Tabla1[[#This Row],[T.A. SISTOLICA (Entre semana 20 y 26)]]="",Tabla1[[#This Row],[T.A. DIATOLICA (Entre semana 20 y 26)]]=""),"NO APLICA REGISTRO TA-INGRESO TARDIO",IF(AND(OR(O193&gt;0,R193&gt;0),OR(CU193&gt;=140,CV193&gt;=90)),"ALTO RIESGO PREECLAMPSIA,DEFINIR ESTADIO HTA",IF(AND(OR(O193&gt;0,R193&gt;0),AND(CU193&gt;120,CU193&lt;=139)),"PRE HTA SEGUIMIENTO,RIESGO HIPERTENSION INDUCIDA POR EL EMBARAZO",IF(AND(OR(O193&gt;0,R193&gt;0),AND(CV193&gt;80,CV193&lt;=89)),"PRE HTA SEGUIMIENTO, RIESGO HIPERTENSION INDUCIDA POR EL EMBARAZO",IF(AND(OR(O193&lt;&gt;"",R193&lt;&gt;""),CS193&lt;&gt;"",CV193&lt;&gt;"",CS193&lt;=CV193),"VIGILAR CIFRAS PRESION ARTERIAL",IF(AND(OR(O193&gt;0,R193&gt;0),AND(CU193&gt;120,CU193&lt;=139)),"PRE HTA SEGUIMIENTO",IF(AND(OR(O193&gt;0,R193&gt;0),AND(CU193&gt;1,CU193&lt;=70),AND(CV193&gt;1,CV193&lt;=40)),"HIPOTENSIÓN",IF(AND(OR(O193&lt;&gt;"",R193&lt;&gt;""),CS193&lt;&gt;"",CV193&lt;&gt;"",CS193&gt;CV193),"APARENTEMENTE NORMAL",IF(AND(OR(O193&gt;0,R193&gt;0),AND(CU193&gt;=80,CU193&lt;=120)),"APARENTEMENTE NORMAL",IF(AND(OR(O193&gt;0,R193&gt;0),AND(CV193&gt;=50,CV193&lt;=80)),"APARENTEMENTE NORMAL","")))))))))))))</f>
        <v xml:space="preserve">COMPLETE REGISTRO TA CONTROL SEM 20 A26 </v>
      </c>
      <c r="CX193" s="21">
        <v>100</v>
      </c>
      <c r="CY193" s="21">
        <v>60</v>
      </c>
      <c r="CZ193" s="216" t="str">
        <f t="shared" si="729"/>
        <v>APARENTEMENTE NORMAL</v>
      </c>
      <c r="DA193" s="21">
        <v>100</v>
      </c>
      <c r="DB193" s="21">
        <v>60</v>
      </c>
      <c r="DC193" s="217" t="str">
        <f t="shared" si="611"/>
        <v>APARENTEMENTE NORMAL</v>
      </c>
      <c r="DD193" s="22">
        <v>45000</v>
      </c>
      <c r="DE193" s="22">
        <v>45000</v>
      </c>
      <c r="DF193" s="22">
        <v>45068</v>
      </c>
      <c r="DG193" s="22">
        <v>45148</v>
      </c>
      <c r="DH193" s="22"/>
      <c r="DI193" s="22"/>
      <c r="DJ193" s="22"/>
      <c r="DK193" s="22"/>
      <c r="DL193" s="22"/>
      <c r="DM193" s="22"/>
      <c r="DN193" s="22"/>
      <c r="DO193" s="22"/>
      <c r="DP193" s="22"/>
      <c r="DQ193" s="22"/>
      <c r="DR193" s="28"/>
      <c r="DS193" s="22"/>
      <c r="DT193" s="22"/>
      <c r="DU193" s="216" t="str">
        <f t="shared" ca="1" si="676"/>
        <v>CONCERTAR PLAN DE PARTO INMEDIATO</v>
      </c>
      <c r="DV193" s="226" t="str">
        <f t="shared" si="677"/>
        <v>ACTIVA INGRESO A CPN</v>
      </c>
      <c r="DW193"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93" s="216" t="e">
        <f t="shared" ca="1" si="612"/>
        <v>#REF!</v>
      </c>
      <c r="DY193" s="212">
        <f>IF(R193="","",IF(R193&gt;0,MAX(Tabla1[[#This Row],[FECHA C2]:[FECHA C13]],Tabla1[[#This Row],[FECHA CONSULTA PRIMERA VEZ PROGRAMA CPN ]])))</f>
        <v>45148</v>
      </c>
      <c r="DZ193" s="216">
        <f t="shared" si="613"/>
        <v>32</v>
      </c>
      <c r="EA193" s="222">
        <f>IF(R193&gt;0,SUM(COUNTA(DF193:DQ193)+COUNTA(Tabla1[[#This Row],[FECHA CONSULTA PRIMERA VEZ PROGRAMA CPN ]])),"")</f>
        <v>3</v>
      </c>
      <c r="EB193" s="222" t="str">
        <f t="shared" si="614"/>
        <v>NO</v>
      </c>
      <c r="EC193" s="214">
        <f t="shared" si="615"/>
        <v>9</v>
      </c>
      <c r="ED193" s="227">
        <f t="shared" si="616"/>
        <v>0.33333333333333331</v>
      </c>
      <c r="EE193" s="22">
        <v>45000</v>
      </c>
      <c r="EF193" s="22">
        <v>45045</v>
      </c>
      <c r="EG193" s="22">
        <v>45000</v>
      </c>
      <c r="EH193" s="22"/>
      <c r="EI193" s="22">
        <v>45000</v>
      </c>
      <c r="EJ193" s="22"/>
      <c r="EK193" s="22"/>
      <c r="EL193" s="21"/>
      <c r="EM193" s="21"/>
      <c r="EN193" s="22"/>
      <c r="EO193" s="222" t="str">
        <f t="shared" si="617"/>
        <v>TOMAR EXAMEN</v>
      </c>
      <c r="EP193" s="214" t="str">
        <f t="shared" si="618"/>
        <v/>
      </c>
      <c r="EQ193" s="216" t="str">
        <f t="shared" si="619"/>
        <v>POR DEFINIR</v>
      </c>
      <c r="ER193" s="24"/>
      <c r="ES193" s="22"/>
      <c r="ET193" s="29" t="str">
        <f t="shared" ca="1" si="678"/>
        <v>TOMA DE HEMOGLOBINA TARDÍA</v>
      </c>
      <c r="EU193" s="25" t="str">
        <f t="shared" si="620"/>
        <v/>
      </c>
      <c r="EV193" s="24"/>
      <c r="EW193" s="24"/>
      <c r="EX193" s="22"/>
      <c r="EY193" s="29" t="str">
        <f t="shared" si="693"/>
        <v>TOMAR EXAMEN</v>
      </c>
      <c r="EZ193" s="25" t="str">
        <f t="shared" ca="1" si="694"/>
        <v/>
      </c>
      <c r="FA193" s="21"/>
      <c r="FB193" s="22"/>
      <c r="FC193" s="29" t="str">
        <f t="shared" si="621"/>
        <v>TOMAR EXAMEN</v>
      </c>
      <c r="FD193" s="29"/>
      <c r="FE193" s="29"/>
      <c r="FF193" s="29"/>
      <c r="FG193" s="21" t="str">
        <f t="shared" ca="1" si="622"/>
        <v/>
      </c>
      <c r="FH193" s="31"/>
      <c r="FI193" s="29" t="str">
        <f t="shared" si="623"/>
        <v>TOMAR EXAMEN</v>
      </c>
      <c r="FJ193" s="22"/>
      <c r="FK193" s="22"/>
      <c r="FL193" s="29" t="str">
        <f t="shared" ca="1" si="624"/>
        <v>PIERDE TOMA DE TAMIZAJE</v>
      </c>
      <c r="FM193" s="22"/>
      <c r="FN193" s="32"/>
      <c r="FO193" s="29" t="str">
        <f t="shared" ca="1" si="679"/>
        <v>PIERDE TOMA DE TAMIZAJE</v>
      </c>
      <c r="FP193" s="22"/>
      <c r="FQ193" s="32"/>
      <c r="FR193" s="29" t="str">
        <f t="shared" ca="1" si="680"/>
        <v>TOMA INMEDIATA DE TAMIZAJE</v>
      </c>
      <c r="FS193" s="22"/>
      <c r="FT193" s="32"/>
      <c r="FU193" s="29" t="str">
        <f>IF(AND(FJ193="",FM193="",FP193="",FS193=""),"",IF(OR(OR(Tabla1[[#This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93" s="28"/>
      <c r="FW193" s="22"/>
      <c r="FX193" s="29" t="str">
        <f t="shared" si="625"/>
        <v>TOMAR EXAMEN</v>
      </c>
      <c r="FY193" s="22"/>
      <c r="FZ193" s="22"/>
      <c r="GA193" s="29" t="str">
        <f t="shared" ca="1" si="739"/>
        <v>PIERDE TOMA DE TAMIZAJE</v>
      </c>
      <c r="GB193" s="22"/>
      <c r="GC193" s="22"/>
      <c r="GD193" s="29" t="str">
        <f t="shared" ca="1" si="732"/>
        <v>PIERDE TOMA DE TAMIZAJE</v>
      </c>
      <c r="GE193" s="22"/>
      <c r="GF193" s="22"/>
      <c r="GG193" s="29" t="str">
        <f t="shared" ca="1" si="682"/>
        <v>TOMA INMEDIATA DE TAMIZAJE</v>
      </c>
      <c r="GH193" s="22"/>
      <c r="GI193" s="29"/>
      <c r="GJ193" s="22"/>
      <c r="GK193" s="22"/>
      <c r="GL193" s="22"/>
      <c r="GM193" s="22"/>
      <c r="GN193" s="28"/>
      <c r="GO193" s="22"/>
      <c r="GP193" s="29" t="str">
        <f t="shared" si="626"/>
        <v>TOMAR EXAMEN</v>
      </c>
      <c r="GQ193" s="28"/>
      <c r="GR193" s="28"/>
      <c r="GS193" s="22" t="str">
        <f t="shared" si="728"/>
        <v/>
      </c>
      <c r="GT193" s="22"/>
      <c r="GU193" s="29" t="str">
        <f t="shared" si="628"/>
        <v>TOMAR EXAMEN</v>
      </c>
      <c r="GV193" s="21" t="str">
        <f t="shared" si="629"/>
        <v>POR DEFINIR</v>
      </c>
      <c r="GW193" s="28"/>
      <c r="GX193" s="30"/>
      <c r="GY193" s="21"/>
      <c r="GZ193" s="21"/>
      <c r="HA193" s="21"/>
      <c r="HB193" s="21"/>
      <c r="HC193" s="21"/>
      <c r="HD193" s="21"/>
      <c r="HE193" s="21"/>
      <c r="HF193" s="22"/>
      <c r="HG193" s="22" t="str">
        <f>IF(OR(O193&gt;0,R193&gt;0),CONCATENATE(IF(Tabla1[[#This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93" s="22" t="e">
        <f t="shared" si="630"/>
        <v>#REF!</v>
      </c>
      <c r="HI193" s="22" t="e">
        <f t="shared" ca="1" si="631"/>
        <v>#REF!</v>
      </c>
      <c r="HJ193" s="21" t="str">
        <f t="shared" ca="1" si="632"/>
        <v>*********************MULTIPARIDAD******************</v>
      </c>
      <c r="HK193" s="21" t="str">
        <f t="shared" si="633"/>
        <v>SIN ANTECEDENTES DE RIESGO</v>
      </c>
      <c r="HL193" s="24" t="str">
        <f t="shared" si="634"/>
        <v>APARENTEMENTE NORMAL</v>
      </c>
      <c r="HM193" s="21" t="e">
        <f t="shared" ca="1" si="635"/>
        <v>#REF!</v>
      </c>
      <c r="HN193" s="30" t="str">
        <f t="shared" si="683"/>
        <v>ACTIVA INGRESO A CPN</v>
      </c>
      <c r="HO193" s="21"/>
      <c r="HP193" s="21"/>
      <c r="HQ193" s="349"/>
      <c r="HR193" s="21" t="str">
        <f>IF(R193="","",IF(Tabla1[[#This Row],[ALARMA FACTORES DE RIESGO COMPLICACIONES HIPERTENSIVAS3]]="SIN ANTECEDENTES DE RIESGO","No Aplica para suministro de ASA",IF(AND(Tabla1[[#This Row],[FECHA INICIO DE SUMINISTRO DE ASA]]&gt;0,RV193&lt;12),"Inicia ASA ANTES de Sem 12",IF(AND(RV193&gt;11,RV193&lt;17,OR(HK193="RIESGO ALTO DE COMPLICACIONES HIPERTENSIVAS VER MANEJO GUIA SUMINISTRO ASA Y CALCIO",HK193="RIESGO MODERADO (2 O MAS CRITERIOS) VER MANEJO GUIA SUMINISTRO ASA Y CALCIO")),"Inicio oportuno de ASA",IF(AND(RV193&gt;12,OR(HK193="RIESGO ALTO DE COMPLICACIONES HIPERTENSIVAS VER MANEJO GUIA SUMINISTRO ASA Y CALCIO",HK193="RIESGO MODERADO (2 O MAS CRITERIOS) VER MANEJO GUIA SUMINISTRO ASA Y CALCIO")),"Inicio no oportuno mayor a 16 semanas",IF(AND(BU193&lt;12,OR(HK193="RIESGO ALTO DE COMPLICACIONES HIPERTENSIVAS VER MANEJO GUIA SUMINISTRO ASA Y CALCIO",HK193="RIESGO MODERADO (2 O MAS CRITERIOS) VER MANEJO GUIA SUMINISTRO ASA Y CALCIO")),"Pendiente Inicio de ASA a la semana 12",IF(AND(BU193&gt;11,BU193&lt;17,OR(HK193="RIESGO ALTO DE COMPLICACIONES HIPERTENSIVAS VER MANEJO GUIA SUMINISTRO ASA Y CALCIO",HK193="RIESGO MODERADO (2 O MAS CRITERIOS) VER MANEJO GUIA SUMINISTRO ASA Y CALCIO")),"Iniciar de inmediato ASA",IF(AND(BU193&gt;16,OR(HK193="RIESGO ALTO DE COMPLICACIONES HIPERTENSIVAS VER MANEJO GUIA SUMINISTRO ASA Y CALCIO",HK193="RIESGO MODERADO (2 O MAS CRITERIOS) VER MANEJO GUIA SUMINISTRO ASA Y CALCIO")),"Pierde Oportunidad, Inicio tardío de ASA","XXXXX"))))))))</f>
        <v>No Aplica para suministro de ASA</v>
      </c>
      <c r="HS193" s="22">
        <v>45000</v>
      </c>
      <c r="HT193" s="22" t="s">
        <v>1518</v>
      </c>
      <c r="HU193" s="22">
        <v>45000</v>
      </c>
      <c r="HV193" s="22" t="s">
        <v>1506</v>
      </c>
      <c r="HW193" s="22">
        <v>45000</v>
      </c>
      <c r="HX193" s="22" t="s">
        <v>1511</v>
      </c>
      <c r="HY193" s="22"/>
      <c r="HZ193" s="28" t="str">
        <f t="shared" si="636"/>
        <v>PENDIENTE CONSULTA</v>
      </c>
      <c r="IA193" s="26"/>
      <c r="IB193" s="26"/>
      <c r="IC193" s="111"/>
      <c r="ID193" s="22"/>
      <c r="IE193" s="22" t="str">
        <f t="shared" ca="1" si="637"/>
        <v/>
      </c>
      <c r="IF193" s="22"/>
      <c r="IG193" s="22">
        <f t="shared" si="638"/>
        <v>45198</v>
      </c>
      <c r="IH193" s="29">
        <f t="shared" ca="1" si="639"/>
        <v>-34</v>
      </c>
      <c r="II193" s="22" t="str">
        <f t="shared" ca="1" si="640"/>
        <v>POSIBLEMENTE NACIO</v>
      </c>
      <c r="IJ193" s="22"/>
      <c r="IK193" s="21"/>
      <c r="IL193" s="21"/>
      <c r="IM193" s="34"/>
      <c r="IN193" s="22"/>
      <c r="IO193" s="21"/>
      <c r="IP193" s="29" t="str">
        <f t="shared" si="730"/>
        <v/>
      </c>
      <c r="IQ193" s="35"/>
      <c r="IR193" s="21"/>
      <c r="IS193" s="21"/>
      <c r="IT193" s="21"/>
      <c r="IU193" s="21"/>
      <c r="IV193" s="21"/>
      <c r="IW193" s="21"/>
      <c r="IX193" s="21"/>
      <c r="IY193" s="21"/>
      <c r="IZ193" s="21"/>
      <c r="JA193" s="21"/>
      <c r="JB193" s="30"/>
      <c r="JC193" s="21"/>
      <c r="JD193" s="36"/>
      <c r="JE193" s="21" t="str">
        <f t="shared" si="733"/>
        <v/>
      </c>
      <c r="JF193" s="30"/>
      <c r="JG193" s="21"/>
      <c r="JH193" s="21"/>
      <c r="JI193" s="21"/>
      <c r="JJ193" s="30"/>
      <c r="JK193" s="22"/>
      <c r="JL193" s="22"/>
      <c r="JM193" s="21"/>
      <c r="JN193" s="36"/>
      <c r="JO193" s="21" t="str">
        <f t="shared" si="734"/>
        <v/>
      </c>
      <c r="JP193" s="22"/>
      <c r="JQ193" s="21"/>
      <c r="JR193" s="21"/>
      <c r="JS193" s="21"/>
      <c r="JT193" s="30"/>
      <c r="JU193" s="22"/>
      <c r="JV193" s="22"/>
      <c r="JW193" s="33"/>
      <c r="JX193" s="28" t="str">
        <f t="shared" si="735"/>
        <v/>
      </c>
      <c r="JY193" s="33"/>
      <c r="JZ193" s="28" t="str">
        <f t="shared" si="736"/>
        <v/>
      </c>
      <c r="KA193" s="21"/>
      <c r="KB193" s="21"/>
      <c r="KC193" s="21"/>
      <c r="KD193" s="37"/>
      <c r="KE193" s="28"/>
      <c r="KF193" s="28"/>
      <c r="KG193" s="28"/>
      <c r="KH193" s="39"/>
      <c r="KI193" s="39"/>
      <c r="KJ193" s="66"/>
      <c r="KK193" s="39"/>
      <c r="KL193" s="39"/>
      <c r="KM193" s="66"/>
      <c r="KN193" s="39"/>
      <c r="KO193" s="39"/>
      <c r="KP193" s="39"/>
      <c r="KQ193" s="39"/>
      <c r="KR193" s="39"/>
      <c r="KS193" s="39"/>
      <c r="KT193" s="39"/>
      <c r="KU193" s="38"/>
      <c r="KV193" s="38"/>
      <c r="KW193" s="38"/>
      <c r="KX193" s="38"/>
      <c r="KY193" s="38"/>
      <c r="KZ193" s="38"/>
      <c r="LA193" s="38"/>
      <c r="LB193" s="38"/>
      <c r="LC193" s="38"/>
      <c r="LD193" s="38"/>
      <c r="LE193" s="38"/>
      <c r="LF193" s="38"/>
      <c r="LG193" s="38"/>
      <c r="LH193" s="38"/>
      <c r="LI193" s="38"/>
      <c r="LJ193" s="38"/>
      <c r="LK193" s="38"/>
      <c r="LL193" s="38"/>
      <c r="LM193" s="38"/>
      <c r="LN193" s="38"/>
      <c r="LO193" s="38"/>
      <c r="LP193" s="38"/>
      <c r="LQ193" s="38"/>
      <c r="LR193" s="38"/>
      <c r="LS193" s="38"/>
      <c r="LT193" s="38"/>
      <c r="LU193" s="38"/>
      <c r="LV193" s="38"/>
      <c r="LW193" s="38"/>
      <c r="LX193" s="38"/>
      <c r="LY193" s="38"/>
      <c r="LZ193" s="38"/>
      <c r="MA193" s="38"/>
      <c r="MB193" s="38"/>
      <c r="MC193" s="38"/>
      <c r="MD193" s="38"/>
      <c r="ME193" s="38"/>
      <c r="MF193" s="38"/>
      <c r="MG193" s="38"/>
      <c r="MH193" s="43">
        <f t="shared" si="697"/>
        <v>0</v>
      </c>
      <c r="MI193" s="43" t="str">
        <f t="shared" si="698"/>
        <v/>
      </c>
      <c r="MJ193" s="43" t="str">
        <f t="shared" si="699"/>
        <v/>
      </c>
      <c r="MK193" s="43">
        <f t="shared" si="700"/>
        <v>0</v>
      </c>
      <c r="ML19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93" s="43">
        <f t="shared" si="701"/>
        <v>11.714285714285714</v>
      </c>
      <c r="MN193" s="43">
        <f t="shared" si="702"/>
        <v>3</v>
      </c>
      <c r="MO193" s="43">
        <f t="shared" si="703"/>
        <v>2023</v>
      </c>
      <c r="MP193" s="43" t="str">
        <f t="shared" si="704"/>
        <v>I TRIMESTRE AÑO</v>
      </c>
      <c r="MQ193" s="43">
        <f t="shared" si="705"/>
        <v>32.657139728427502</v>
      </c>
      <c r="MR193" s="43">
        <f t="shared" si="706"/>
        <v>0</v>
      </c>
      <c r="MS193" s="43" t="str">
        <f t="shared" si="707"/>
        <v xml:space="preserve"> DE 30 A 34 AÑOS</v>
      </c>
      <c r="MT193" s="43">
        <f t="shared" si="708"/>
        <v>0</v>
      </c>
      <c r="MU193" s="43">
        <f t="shared" si="709"/>
        <v>2</v>
      </c>
      <c r="MV193" s="43">
        <f t="shared" si="710"/>
        <v>0</v>
      </c>
      <c r="MW193" s="43">
        <f t="shared" si="711"/>
        <v>0</v>
      </c>
      <c r="MX193" s="43" t="str">
        <f t="shared" si="712"/>
        <v/>
      </c>
      <c r="MY193" s="43" t="str">
        <f t="shared" ca="1" si="737"/>
        <v/>
      </c>
      <c r="MZ193" s="43" t="str">
        <f t="shared" si="713"/>
        <v/>
      </c>
      <c r="NA193" s="43">
        <f t="shared" si="714"/>
        <v>0</v>
      </c>
      <c r="NB193" s="43" t="str">
        <f t="shared" si="715"/>
        <v/>
      </c>
      <c r="NC193" s="43" t="str">
        <f t="shared" si="716"/>
        <v/>
      </c>
      <c r="ND193" s="43">
        <f t="shared" ca="1" si="717"/>
        <v>2</v>
      </c>
      <c r="NE193" s="43">
        <f>IF(OR(O193&gt;0,R193&gt;0),SUM(COUNTIF(Tabla1[[#This Row],[AÑOS AL INICIO5 CPN]],"&gt;=40"),COUNTIF(AS193,"0"),COUNTIF(AR193,"SI"),COUNTIF(CC193,"SI"),COUNTIF(BQ193,"&gt;119"),COUNTIF(CI193,"&gt;=35")),"")</f>
        <v>0</v>
      </c>
      <c r="NF193" s="43" t="str">
        <f t="shared" si="718"/>
        <v/>
      </c>
      <c r="NG193" s="43">
        <f t="shared" si="719"/>
        <v>0</v>
      </c>
      <c r="NH193" s="43">
        <f t="shared" si="720"/>
        <v>231</v>
      </c>
      <c r="NI19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CPN",P193="NO"),"Z",IF(AND(Tabla1[[#This Row],[CITA PROXIMO CONTROL]]="CITA MANUAL",Tabla1[[#This Row],[GESTANTES ACTUALES]]="ACTIVA INGRESO A CPN"),"W",IF(AND(Tabla1[[#This Row],[GESTANTES ACTUALES]]="SALIO PROGRAMA",IN193=""),"S",IF(AND(Tabla1[[#This Row],[CITA PROXIMO CONTROL]]&gt;0,IN193=""),(Tabla1[[#This Row],[CITA PROXIMO CONTROL]]-TODAY()),"SD"))))))))</f>
        <v>#REF!</v>
      </c>
      <c r="NJ193" s="43">
        <f>MONTH(Tabla1[[#This Row],[FECHA DE SALIDA  DEL PROGRAMA]])</f>
        <v>1</v>
      </c>
      <c r="NK193" s="43">
        <f>YEAR(Tabla1[[#This Row],[FECHA DE SALIDA  DEL PROGRAMA]])</f>
        <v>1900</v>
      </c>
      <c r="NL193" s="43" t="str">
        <f t="shared" si="721"/>
        <v>X</v>
      </c>
      <c r="NM193" s="43" t="str">
        <f t="shared" si="695"/>
        <v>NO</v>
      </c>
      <c r="NN193" s="43" t="str">
        <f ca="1">IF(AND(O193&gt;0,R193=""),"NO CPN",IF(AND(O193="",R193=""),"",IF(AND(R193&gt;0,Tabla1[[#This Row],[SEMANAS DE GESTACION ACTUALIZADAS]]&lt;=12),"NO APLICA",IF(AND(FH193&lt;&gt;"",FN193&lt;&gt;""),"SI","NO"))))</f>
        <v>NO</v>
      </c>
      <c r="NO193" s="43" t="str">
        <f ca="1">IF(AND(O193&gt;0,R193=""),"NO CPN",IF(AND(O193="",R193=""),"",IF(AND(R193&gt;0,Tabla1[[#This Row],[SEMANAS DE GESTACION ACTUALIZADAS]]&lt;=27),"NO APLICA",IF(AND(ES193&lt;&gt;"",FQ193&lt;&gt;"",GF193&lt;&gt;""),"SI","NO"))))</f>
        <v>NO</v>
      </c>
      <c r="NP193" s="204" t="str">
        <f t="shared" si="722"/>
        <v>I TRIM</v>
      </c>
      <c r="NQ193" s="21" t="str">
        <f t="shared" si="731"/>
        <v/>
      </c>
      <c r="NR193" s="21" t="str">
        <f t="shared" ca="1" si="738"/>
        <v>REVISAR FUM O FECHA SALIDA PROGRAMA</v>
      </c>
      <c r="NS193" s="205">
        <f t="shared" ca="1" si="723"/>
        <v>0</v>
      </c>
      <c r="NT193" s="21">
        <f t="shared" ca="1" si="724"/>
        <v>0</v>
      </c>
      <c r="NU193" s="21" t="str">
        <f t="shared" ca="1" si="725"/>
        <v>POR DEFINIR</v>
      </c>
      <c r="NV193" s="21" t="str">
        <f t="shared" ca="1" si="726"/>
        <v>POR DEFINIR</v>
      </c>
      <c r="NW193" s="206" t="str">
        <f>IF(AND(O193="",R193=""),"",IF(OR(AND(Tabla1[[#This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93" s="207" t="str">
        <f t="shared" ca="1" si="727"/>
        <v>SIN VACUNAR</v>
      </c>
      <c r="NY193" s="43">
        <f>ROW(Tabla1[[#This Row],['# DE TAMIZAJES SIFILIS TOMADOS ]])</f>
        <v>193</v>
      </c>
      <c r="NZ193" s="43">
        <f t="shared" si="740"/>
        <v>11</v>
      </c>
      <c r="OA193" s="43" t="str">
        <f t="shared" si="741"/>
        <v/>
      </c>
      <c r="OB193" s="43" t="str">
        <f t="shared" si="742"/>
        <v/>
      </c>
      <c r="OC193" s="43" t="str">
        <f t="shared" si="743"/>
        <v>NORMAL</v>
      </c>
      <c r="OD193" s="43" t="str">
        <f t="shared" si="744"/>
        <v/>
      </c>
      <c r="OE193" s="43" t="str">
        <f t="shared" si="745"/>
        <v/>
      </c>
      <c r="OF193" s="43" t="str">
        <f t="shared" si="746"/>
        <v/>
      </c>
      <c r="OG193" s="43" t="str">
        <f t="shared" si="747"/>
        <v/>
      </c>
      <c r="OH193" s="43" t="str">
        <f t="shared" si="748"/>
        <v/>
      </c>
      <c r="OI193" s="43" t="str">
        <f t="shared" si="749"/>
        <v/>
      </c>
      <c r="OJ193" s="43" t="str">
        <f t="shared" si="750"/>
        <v/>
      </c>
      <c r="OK193" s="43" t="str">
        <f t="shared" si="751"/>
        <v/>
      </c>
      <c r="OL193" s="43" t="str">
        <f t="shared" si="752"/>
        <v/>
      </c>
      <c r="OM193" s="43" t="str">
        <f t="shared" si="753"/>
        <v/>
      </c>
      <c r="ON193" s="43" t="str">
        <f t="shared" si="754"/>
        <v/>
      </c>
      <c r="OO193" s="43" t="str">
        <f t="shared" si="755"/>
        <v/>
      </c>
      <c r="OP193" s="43" t="str">
        <f t="shared" si="756"/>
        <v/>
      </c>
      <c r="OQ193" s="43" t="str">
        <f t="shared" si="757"/>
        <v/>
      </c>
      <c r="OR193" s="43" t="str">
        <f t="shared" si="758"/>
        <v/>
      </c>
      <c r="OS193" s="43" t="str">
        <f t="shared" si="759"/>
        <v/>
      </c>
      <c r="OT193" s="43" t="str">
        <f t="shared" si="760"/>
        <v/>
      </c>
      <c r="OU193" s="43" t="str">
        <f t="shared" si="761"/>
        <v/>
      </c>
      <c r="OV193" s="110" t="str">
        <f t="shared" si="762"/>
        <v/>
      </c>
      <c r="OW193" s="43" t="str">
        <f t="shared" si="763"/>
        <v/>
      </c>
      <c r="OX193" s="43" t="str">
        <f t="shared" si="764"/>
        <v/>
      </c>
      <c r="OY193" s="43" t="str">
        <f t="shared" si="765"/>
        <v/>
      </c>
      <c r="OZ193" s="43" t="str">
        <f t="shared" si="766"/>
        <v/>
      </c>
      <c r="PA193" s="43" t="str">
        <f t="shared" si="767"/>
        <v/>
      </c>
      <c r="PB193" s="43" t="str">
        <f t="shared" si="768"/>
        <v/>
      </c>
      <c r="PC193" s="43" t="str">
        <f t="shared" si="769"/>
        <v/>
      </c>
      <c r="PD193" s="43" t="str">
        <f t="shared" si="770"/>
        <v/>
      </c>
      <c r="PE193" s="43" t="str">
        <f t="shared" si="771"/>
        <v/>
      </c>
      <c r="PF193" s="43" t="str">
        <f t="shared" si="772"/>
        <v/>
      </c>
      <c r="PG193" s="43" t="str">
        <f t="shared" si="773"/>
        <v/>
      </c>
      <c r="PH193" s="43" t="str">
        <f t="shared" si="774"/>
        <v/>
      </c>
      <c r="PI193" s="43">
        <f t="shared" si="775"/>
        <v>32</v>
      </c>
      <c r="PJ193" s="43" t="str">
        <f t="shared" si="776"/>
        <v/>
      </c>
      <c r="PK193" s="43" t="str">
        <f t="shared" si="777"/>
        <v/>
      </c>
      <c r="PL193" s="43" t="str">
        <f t="shared" si="778"/>
        <v/>
      </c>
      <c r="PM193" s="43" t="str">
        <f t="shared" si="779"/>
        <v/>
      </c>
      <c r="PN193" s="43" t="str">
        <f t="shared" si="780"/>
        <v/>
      </c>
      <c r="PO193" s="43" t="str">
        <f t="shared" si="781"/>
        <v/>
      </c>
      <c r="PP193" s="43" t="str">
        <f t="shared" si="782"/>
        <v/>
      </c>
      <c r="PQ193" s="43" t="str">
        <f t="shared" si="783"/>
        <v/>
      </c>
      <c r="PR193" s="43" t="str">
        <f t="shared" si="784"/>
        <v/>
      </c>
      <c r="PS193" s="43" t="str">
        <f t="shared" si="785"/>
        <v/>
      </c>
      <c r="PT193" s="43" t="str">
        <f t="shared" si="786"/>
        <v/>
      </c>
      <c r="PU193" s="43" t="str">
        <f t="shared" si="787"/>
        <v/>
      </c>
      <c r="PV193" s="43" t="str">
        <f t="shared" si="788"/>
        <v/>
      </c>
      <c r="PW193" s="43" t="str">
        <f t="shared" si="789"/>
        <v/>
      </c>
      <c r="PX193" s="43" t="str">
        <f t="shared" si="790"/>
        <v/>
      </c>
      <c r="PY193" s="43" t="str">
        <f t="shared" si="791"/>
        <v/>
      </c>
      <c r="PZ193" s="43" t="str">
        <f t="shared" si="792"/>
        <v/>
      </c>
      <c r="QA193" s="43" t="str">
        <f t="shared" si="793"/>
        <v/>
      </c>
      <c r="QB193" s="43" t="str">
        <f t="shared" si="794"/>
        <v/>
      </c>
      <c r="QC193" s="43" t="str">
        <f t="shared" si="795"/>
        <v/>
      </c>
      <c r="QD193" s="43" t="str">
        <f t="shared" si="796"/>
        <v/>
      </c>
      <c r="QE193" s="43" t="str">
        <f t="shared" si="797"/>
        <v/>
      </c>
      <c r="QF193" s="43" t="str">
        <f t="shared" si="798"/>
        <v/>
      </c>
      <c r="QG193" s="43" t="str">
        <f t="shared" si="799"/>
        <v>NORMAL</v>
      </c>
      <c r="QH193" s="43" t="str">
        <f t="shared" si="800"/>
        <v/>
      </c>
      <c r="QI193" s="43" t="str">
        <f t="shared" si="801"/>
        <v/>
      </c>
      <c r="QJ193" s="43" t="str">
        <f t="shared" si="802"/>
        <v/>
      </c>
      <c r="QK193" s="43" t="str">
        <f t="shared" si="803"/>
        <v/>
      </c>
      <c r="QL193" s="43" t="str">
        <f t="shared" si="804"/>
        <v/>
      </c>
      <c r="QM193" s="43" t="str">
        <f t="shared" si="805"/>
        <v/>
      </c>
      <c r="QN193" s="43" t="str">
        <f t="shared" si="806"/>
        <v/>
      </c>
      <c r="QO193" s="43" t="str">
        <f t="shared" si="807"/>
        <v/>
      </c>
      <c r="QP193" s="43" t="str">
        <f t="shared" si="808"/>
        <v/>
      </c>
      <c r="QQ193" s="43" t="str">
        <f t="shared" si="809"/>
        <v/>
      </c>
      <c r="QR193" s="43">
        <f t="shared" si="839"/>
        <v>32</v>
      </c>
      <c r="QS193" s="43"/>
      <c r="QT193" s="21" t="str">
        <f t="shared" si="810"/>
        <v/>
      </c>
      <c r="QU193" s="21" t="str">
        <f t="shared" si="811"/>
        <v/>
      </c>
      <c r="QV193" s="21" t="str">
        <f t="shared" si="812"/>
        <v/>
      </c>
      <c r="QW193" s="21" t="str">
        <f t="shared" si="813"/>
        <v/>
      </c>
      <c r="QX193" s="21" t="str">
        <f t="shared" si="814"/>
        <v/>
      </c>
      <c r="QY193" s="21" t="str">
        <f t="shared" si="815"/>
        <v/>
      </c>
      <c r="QZ193" s="21" t="str">
        <f t="shared" si="816"/>
        <v/>
      </c>
      <c r="RA193" s="21" t="str">
        <f t="shared" si="817"/>
        <v/>
      </c>
      <c r="RB193" s="21" t="str">
        <f t="shared" si="818"/>
        <v/>
      </c>
      <c r="RC193" s="21" t="str">
        <f t="shared" si="819"/>
        <v/>
      </c>
      <c r="RD193" s="21" t="str">
        <f t="shared" si="820"/>
        <v/>
      </c>
      <c r="RE193" s="21" t="str">
        <f t="shared" si="821"/>
        <v/>
      </c>
      <c r="RF193" s="21" t="str">
        <f t="shared" si="822"/>
        <v/>
      </c>
      <c r="RG193" s="21" t="str">
        <f t="shared" si="823"/>
        <v/>
      </c>
      <c r="RH193" s="21" t="str">
        <f t="shared" si="824"/>
        <v/>
      </c>
      <c r="RI193" s="21" t="str">
        <f t="shared" si="825"/>
        <v/>
      </c>
      <c r="RJ193" s="21" t="str">
        <f t="shared" si="826"/>
        <v/>
      </c>
      <c r="RK193" s="21" t="str">
        <f t="shared" si="827"/>
        <v/>
      </c>
      <c r="RL193" s="21" t="str">
        <f t="shared" si="828"/>
        <v/>
      </c>
      <c r="RM193" s="21" t="str">
        <f t="shared" si="829"/>
        <v>ADECUADO PARA EDAD GESTACIONAL</v>
      </c>
      <c r="RN193" s="21" t="str">
        <f t="shared" si="830"/>
        <v/>
      </c>
      <c r="RO193" s="21" t="str">
        <f t="shared" si="831"/>
        <v/>
      </c>
      <c r="RP193" s="21" t="str">
        <f t="shared" si="832"/>
        <v/>
      </c>
      <c r="RQ193" s="21" t="str">
        <f t="shared" si="833"/>
        <v/>
      </c>
      <c r="RR193" s="21" t="str">
        <f t="shared" si="834"/>
        <v/>
      </c>
      <c r="RS193" s="21" t="str">
        <f t="shared" si="835"/>
        <v/>
      </c>
      <c r="RT193" s="21" t="str">
        <f t="shared" si="836"/>
        <v/>
      </c>
      <c r="RU193" s="21" t="str">
        <f t="shared" si="837"/>
        <v/>
      </c>
      <c r="RV193" s="21">
        <f t="shared" si="838"/>
        <v>-1</v>
      </c>
      <c r="RW193" s="284">
        <f>IF(OR(Tabla1[[#This Row],[FUM FORMULA CONFIABLE]]="",Tabla1[[#This Row],[FUM FORMULA CONFIABLE]]="SD"),"",IF(Tabla1[[#This Row],[FUM FORMULA CONFIABLE]]="CORREGIDA",Tabla1[[#This Row],[FUM X ECO 1]],Tabla1[[#This Row],[FUM x AMENORREA]]))</f>
        <v>44918</v>
      </c>
      <c r="RX193" s="21">
        <f>IF(AND(Tabla1[[#This Row],[FUM X ECO 1]]="",Tabla1[[#This Row],[FUM x AMENORREA]]=""),"",IF(AND(Tabla1[[#This Row],[FUM X ECO 1]]="",Tabla1[[#This Row],[FUM x AMENORREA]]&lt;&gt;""),"X",SUM(Tabla1[[#This Row],[FUM X ECO 1]]-Tabla1[[#This Row],[FUM x AMENORREA]])))</f>
        <v>-15</v>
      </c>
      <c r="RY193" s="21">
        <f t="shared" si="840"/>
        <v>1</v>
      </c>
    </row>
    <row r="194" spans="1:493" ht="45" customHeight="1" x14ac:dyDescent="0.25">
      <c r="A194" s="109"/>
      <c r="B194" s="43"/>
      <c r="C194" s="43" t="s">
        <v>845</v>
      </c>
      <c r="D194" s="124"/>
      <c r="E194" s="43" t="s">
        <v>896</v>
      </c>
      <c r="F194" s="43" t="s">
        <v>1091</v>
      </c>
      <c r="G194" s="43" t="s">
        <v>1538</v>
      </c>
      <c r="H194" s="43"/>
      <c r="I194" s="109" t="s">
        <v>851</v>
      </c>
      <c r="J194" s="110">
        <v>1002846350</v>
      </c>
      <c r="K194" s="43" t="s">
        <v>852</v>
      </c>
      <c r="L194" s="175" t="s">
        <v>1509</v>
      </c>
      <c r="M194" s="22">
        <v>34702</v>
      </c>
      <c r="N194" s="213">
        <f t="shared" ref="N194:N248" ca="1" si="841">IF(M194&gt;0,SUM(TODAY()-M194)/365,"")</f>
        <v>28.849315068493151</v>
      </c>
      <c r="O194" s="22">
        <v>45087</v>
      </c>
      <c r="P194" s="214" t="str">
        <f t="shared" si="675"/>
        <v>SI</v>
      </c>
      <c r="Q194" s="26" t="s">
        <v>855</v>
      </c>
      <c r="R194" s="22">
        <v>45087</v>
      </c>
      <c r="S194" s="21" t="s">
        <v>856</v>
      </c>
      <c r="T194" s="24" t="s">
        <v>690</v>
      </c>
      <c r="U194" s="21" t="s">
        <v>857</v>
      </c>
      <c r="V194" s="21" t="s">
        <v>858</v>
      </c>
      <c r="W194" s="21" t="s">
        <v>920</v>
      </c>
      <c r="X194" s="21"/>
      <c r="Y194" s="21"/>
      <c r="Z194" s="21">
        <v>3153672626</v>
      </c>
      <c r="AA194" s="21" t="s">
        <v>860</v>
      </c>
      <c r="AB194" s="27" t="s">
        <v>861</v>
      </c>
      <c r="AC194" s="26" t="s">
        <v>888</v>
      </c>
      <c r="AD194" s="38" t="s">
        <v>1546</v>
      </c>
      <c r="AE194" s="26" t="s">
        <v>854</v>
      </c>
      <c r="AF194" s="26" t="s">
        <v>854</v>
      </c>
      <c r="AG194" s="23" t="s">
        <v>864</v>
      </c>
      <c r="AH194" s="23" t="s">
        <v>864</v>
      </c>
      <c r="AI194" s="24" t="s">
        <v>863</v>
      </c>
      <c r="AJ194" s="23" t="s">
        <v>864</v>
      </c>
      <c r="AK194" s="220" t="str">
        <f>IF(AND(AD194="",AE194="",AF194="",AG194="",AH194="",AI194="",AJ194=""),"",IF(OR(Tabla1[[#This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EVALUACIÓN",IF(AND(O194="",R194=""),"",IF(AND(OR(O194&gt;0,R194&gt;0),NG194&gt;=0,NG194&lt;2),"SIN RIESGO",IF(AND(OR(O194&gt;0,R194&gt;0),NG194&gt;=2),"CON RIESGO","ASD")))))</f>
        <v>SIN RIESGO</v>
      </c>
      <c r="AL194" s="23" t="s">
        <v>864</v>
      </c>
      <c r="AM194" s="26" t="s">
        <v>865</v>
      </c>
      <c r="AN194" s="26" t="s">
        <v>865</v>
      </c>
      <c r="AO194" s="26" t="s">
        <v>864</v>
      </c>
      <c r="AP194" s="26" t="s">
        <v>864</v>
      </c>
      <c r="AQ194" s="26" t="s">
        <v>864</v>
      </c>
      <c r="AR194" s="26" t="s">
        <v>864</v>
      </c>
      <c r="AS194" s="21">
        <v>3</v>
      </c>
      <c r="AT194" s="21">
        <v>1</v>
      </c>
      <c r="AU194" s="21">
        <v>2</v>
      </c>
      <c r="AV194" s="26" t="s">
        <v>854</v>
      </c>
      <c r="AW194" s="21">
        <v>0</v>
      </c>
      <c r="AX194" s="26" t="s">
        <v>865</v>
      </c>
      <c r="AY194" s="26" t="s">
        <v>864</v>
      </c>
      <c r="AZ194" s="26" t="s">
        <v>864</v>
      </c>
      <c r="BA194" s="26" t="s">
        <v>864</v>
      </c>
      <c r="BB194" s="26" t="s">
        <v>864</v>
      </c>
      <c r="BC194" s="26" t="s">
        <v>864</v>
      </c>
      <c r="BD194" s="26" t="s">
        <v>864</v>
      </c>
      <c r="BE194" s="26" t="s">
        <v>864</v>
      </c>
      <c r="BF194" s="26" t="s">
        <v>864</v>
      </c>
      <c r="BG194" s="26" t="s">
        <v>864</v>
      </c>
      <c r="BH194" s="26" t="s">
        <v>864</v>
      </c>
      <c r="BI194" s="26" t="s">
        <v>864</v>
      </c>
      <c r="BJ194" s="26" t="s">
        <v>864</v>
      </c>
      <c r="BK194" s="26" t="s">
        <v>864</v>
      </c>
      <c r="BL194" s="26" t="s">
        <v>864</v>
      </c>
      <c r="BM194" s="26" t="s">
        <v>864</v>
      </c>
      <c r="BN194" s="22"/>
      <c r="BO194" s="22">
        <v>45003</v>
      </c>
      <c r="BP194" s="21" t="s">
        <v>854</v>
      </c>
      <c r="BQ194" s="222">
        <f t="shared" ref="BQ194:BQ248" si="842">IF(OR(BN194="SD",RW194=""),"",IF(BN194="",0,SUM(RW194-BN194)/30))</f>
        <v>0</v>
      </c>
      <c r="BR194" s="223" t="str">
        <f t="shared" ref="BR194:BR248" si="843">IF(BX194&gt;0,SUM(BW194-NH194),"")</f>
        <v/>
      </c>
      <c r="BS194" s="224">
        <f t="shared" ref="BS194:BS248" si="844">IF(AND(BP194="Corregida",BO194&gt;0,R194&gt;0,ISBLANK(BX194)),"SIN SEMANAS X ECO",IF(AND(BP194="Corregida",BO194&gt;0,R194&gt;0),SUM(R194-BR194)/7,IF(AND(OR(BP194="SI",BP194="NO"),BO194&gt;0,R194&gt;0),SUM(R194-BO194)/7,"")))</f>
        <v>12</v>
      </c>
      <c r="BT194" s="216" t="str">
        <f t="shared" ref="BT194:BT248" si="845">IF(AND(BS194="",IG194=""),"",IF(AND(BS194="",IG194="DEFINIR FPP POR ECO"),"SIN DATO",IF(BS194&lt;0,"ERROR FUM O INGRESO O ECO",IF(BP194="NO","DEFINIR CON ECO",IF(BS194&lt;10,"I TRIM",IF(BS194&lt;27,"II TRIM",IF(AND(BS194&gt;26,BS194&lt;45),"III TRIM","ERROR FUM O INGRESO O ECO")))))))</f>
        <v>II TRIM</v>
      </c>
      <c r="BU194" s="214">
        <f t="shared" ref="BU194:BU204" ca="1" si="846">IF(AND(BO194="",BR194=""),"",IF(SUM((TODAY()-RW194)/7)&gt;43.1,"",IF(AND(RW194&gt;0,OR(BP194="si",BP194="Corregida",BP194="NO")),SUM((TODAY()-RW194)/7),"")))</f>
        <v>32.714285714285715</v>
      </c>
      <c r="BV194" s="25"/>
      <c r="BW194" s="22"/>
      <c r="BX194" s="28"/>
      <c r="BY194" s="28"/>
      <c r="BZ194" s="22"/>
      <c r="CA194" s="21"/>
      <c r="CB194" s="26"/>
      <c r="CC194" s="26"/>
      <c r="CD194" s="26"/>
      <c r="CE194" s="26"/>
      <c r="CF194" s="22" t="s">
        <v>1517</v>
      </c>
      <c r="CG194" s="21">
        <v>1.47</v>
      </c>
      <c r="CH194" s="21">
        <v>56</v>
      </c>
      <c r="CI194" s="214">
        <f t="shared" ref="CI194:CI248" si="847">IF(AND(OR(O194&gt;0,R194&gt;0),CG194=""),"SD",IF(AND(OR(O194="",R194=""),CG194=""),"",IF(AND(OR(O194&gt;0,R194&gt;0),CG194&gt;0,CH194&gt;0),SUM(CH194)/(CG194*CG194),"X")))</f>
        <v>25.915127955944286</v>
      </c>
      <c r="CJ194" s="225" t="e">
        <f>IF(AND(CI194&lt;10,CH194="SD"),"SIN DATO PESO PREGESTACION O I TRIM",IF(AND(OR(R194&gt;0,O194&gt;0),CI194="X"),"INGRESAR DATO DE PESO",IF(CI194="SD","INGRESAR DATO DE TALLA Y PESO",IF(AND(OR(Tabla1[[#This Row],[MOMENTO EN QUE SE REALIZA EL PESO AL INGRESO A CPN]]="PREGESTACIÓN",NZ194="Menor"),CI194&lt;18.5),"BAJO PESO",IF(AND(OR(Tabla1[[#This Row],[MOMENTO EN QUE SE REALIZA EL PESO AL INGRESO A CPN]]="PREGESTACIÓN",NZ194="Menor"),CI194&lt;25),"NORMAL",IF(AND(OR(Tabla1[[#This Row],[MOMENTO EN QUE SE REALIZA EL PESO AL INGRESO A CPN]]="PREGESTACIÓN",NZ194="Menor"),CI194&lt;30),"SOBREPESO",IF(AND(OR(Tabla1[[#This Row],[MOMENTO EN QUE SE REALIZA EL PESO AL INGRESO A CPN]]="PREGESTACIÓN",NZ194="Menor"),CI194&gt;=30,CI194&lt;50),"OBESIDAD",IF(AND(BS194&gt;0,Tabla1[[#This Row],[MOMENTO EN QUE SE REALIZA EL PESO AL INGRESO A CPN]]="GESTACIÓN"),HLOOKUP(NZ194,$OA$2:PH194,NY194),""))))))))</f>
        <v>#REF!</v>
      </c>
      <c r="CK194" s="212">
        <f t="shared" ref="CK194:CK248" si="848">DY194</f>
        <v>45140</v>
      </c>
      <c r="CL194" s="21">
        <v>63.2</v>
      </c>
      <c r="CM194" s="214">
        <f t="shared" ref="CM194:CM248" si="849">IF(AND(OR(O194&gt;0,R194&gt;0),CG194=""),"SD",IF(AND(OR(O194="",R194=""),CG194=""),"",IF(AND(OR(O194&gt;0,R194&gt;0),CG194&gt;0),SUM(CL194)/(CG194*CG194),"X")))</f>
        <v>29.24707297885141</v>
      </c>
      <c r="CN194" s="216">
        <f t="shared" ref="CN194:CN248" si="850">DZ194</f>
        <v>19</v>
      </c>
      <c r="CO194" s="216" t="e">
        <f>IF(PI194="","",IF(PI194&gt;0,HLOOKUP(PI194,$PJ$2:QQ194,NY194),""))</f>
        <v>#REF!</v>
      </c>
      <c r="CP194" s="21">
        <v>17</v>
      </c>
      <c r="CQ194" s="216" t="e">
        <f>IF(QR194="Menor","NO APLICA-MENOR 13 SEM",IF(AND(CC194="SI",CN194&gt;23),"NO APLICA- GEMELAR",IF(QR194="","",IF(QR194&gt;0,HLOOKUP(QR194,$QS$2:RU194,NY194),""))))</f>
        <v>#REF!</v>
      </c>
      <c r="CR194" s="21">
        <v>120</v>
      </c>
      <c r="CS194" s="21">
        <v>80</v>
      </c>
      <c r="CT194" s="217" t="str">
        <f>IF(R194="","",IF(AND(BS194&gt;1,BS194&lt;12,Tabla1[[#This Row],[T.A. SISTOLICA - ANTES DE SEMANA 12]]="",Tabla1[[#This Row],[T.A. DIASTOLICA - ANTES DE SEMANA 12]]=""),"REGISTRE DATO TA ANTES SEMANA 12",IF(AND(BS194&gt;11,BS194&lt;43,Tabla1[[#This Row],[T.A. SISTOLICA - ANTES DE SEMANA 12]]="",Tabla1[[#This Row],[T.A. DIASTOLICA - ANTES DE SEMANA 12]]=""),"NO APLICA REGISTRO TA-INGRESO TARDIO",IF(AND(OR(O194&gt;0,R194&gt;0),OR(CR194&gt;=140,CS194&gt;=90)),"DEFINIR ESTADIO HTA",IF(AND(OR(O194&gt;0,R194&gt;0),AND(CR194&gt;120,CR194&lt;=139)),"PRE HTA SEGUIMIENTO",IF(AND(OR(O194&gt;0,R194&gt;0),AND(CS194&gt;80,CS194&lt;=89)),"PRE HTA SEGUIMIENTO",IF(AND(OR(O194&gt;0,R194&gt;0),AND(CR194&gt;=80,CR194&lt;=120)),"APARENTEMENTE NORMAL",IF(AND(OR(O194&gt;0,R194&gt;0),AND(CS194&gt;=50,CS194&lt;=80)),"APARENTEMENTE NORMAL",IF(AND(OR(O194&gt;0,R194&gt;0),AND(CR194&gt;1,CR194&lt;=70),AND(CS194&gt;1,CS194&lt;=40)),"HIPOTENSIÓN","")))))))))</f>
        <v>APARENTEMENTE NORMAL</v>
      </c>
      <c r="CU194" s="21"/>
      <c r="CV194" s="21"/>
      <c r="CW194" s="217" t="str">
        <f ca="1">IF(R194="","",IF(AND(CN194&gt;19,CN194&lt;27,Tabla1[[#This Row],[T.A. SISTOLICA (Entre semana 20 y 26)]]="",Tabla1[[#This Row],[T.A. DIATOLICA (Entre semana 20 y 26)]]=""),"ACUDE A CONTROL SEM 20 A 26 REGISTRE TA AHORA",IF(AND(BS194&gt;1,BS194&lt;27,BU194&gt;19,Tabla1[[#This Row],[T.A. SISTOLICA (Entre semana 20 y 26)]]="",Tabla1[[#This Row],[T.A. DIATOLICA (Entre semana 20 y 26)]]=""),"COMPLETE REGISTRO TA CONTROL SEM 20 A26 ",IF(AND(BS194&gt;26,BS194&lt;43,Tabla1[[#This Row],[T.A. SISTOLICA (Entre semana 20 y 26)]]="",Tabla1[[#This Row],[T.A. DIATOLICA (Entre semana 20 y 26)]]=""),"NO APLICA REGISTRO TA-INGRESO TARDIO",IF(AND(OR(O194&gt;0,R194&gt;0),OR(CU194&gt;=140,CV194&gt;=90)),"ALTO RIESGO PREECLAMPSIA,DEFINIR ESTADIO HTA",IF(AND(OR(O194&gt;0,R194&gt;0),AND(CU194&gt;120,CU194&lt;=139)),"PRE HTA SEGUIMIENTO,RIESGO HIPERTENSION INDUCIDA POR EL EMBARAZO",IF(AND(OR(O194&gt;0,R194&gt;0),AND(CV194&gt;80,CV194&lt;=89)),"PRE HTA SEGUIMIENTO, RIESGO HIPERTENSION INDUCIDA POR EL EMBARAZO",IF(AND(OR(O194&lt;&gt;"",R194&lt;&gt;""),CS194&lt;&gt;"",CV194&lt;&gt;"",CS194&lt;=CV194),"VIGILAR CIFRAS PRESION ARTERIAL",IF(AND(OR(O194&gt;0,R194&gt;0),AND(CU194&gt;120,CU194&lt;=139)),"PRE HTA SEGUIMIENTO",IF(AND(OR(O194&gt;0,R194&gt;0),AND(CU194&gt;1,CU194&lt;=70),AND(CV194&gt;1,CV194&lt;=40)),"HIPOTENSIÓN",IF(AND(OR(O194&lt;&gt;"",R194&lt;&gt;""),CS194&lt;&gt;"",CV194&lt;&gt;"",CS194&gt;CV194),"APARENTEMENTE NORMAL",IF(AND(OR(O194&gt;0,R194&gt;0),AND(CU194&gt;=80,CU194&lt;=120)),"APARENTEMENTE NORMAL",IF(AND(OR(O194&gt;0,R194&gt;0),AND(CV194&gt;=50,CV194&lt;=80)),"APARENTEMENTE NORMAL","")))))))))))))</f>
        <v xml:space="preserve">COMPLETE REGISTRO TA CONTROL SEM 20 A26 </v>
      </c>
      <c r="CX194" s="21"/>
      <c r="CY194" s="21"/>
      <c r="CZ194" s="216" t="str">
        <f t="shared" si="729"/>
        <v/>
      </c>
      <c r="DA194" s="21">
        <v>90</v>
      </c>
      <c r="DB194" s="21">
        <v>60</v>
      </c>
      <c r="DC194" s="217" t="str">
        <f t="shared" ref="DC194:DC248" si="851">IF(AND(R194="",DA194="",DB194=""),"",IF(AND(R194&lt;&gt;"",DA194="",DB194=""),"REGISTRE DATO PRESIÓN ARTERIAL MENSUAL",IF(AND(OR(O194&gt;0,R194&gt;0),OR(DA194&gt;=140,DB194&gt;=90)),"ESTUDIO INMEDIATO HTA PARA DESCARTAR PREECLAMSIA",IF(AND(OR(O194&gt;0,R194&gt;0),AND(DA194&gt;=130,DA194&lt;=139)),"PRE HTA,RIESGO ALTO PREECLAMPSIA",IF(AND(OR(O194&gt;0,R194&gt;0),AND(DB194&gt;80,DB194&lt;=89)),"PRE HTA,RIESGO ALTO PREECLAMPSIA",IF(AND(OR(O194&gt;0,R194&gt;0),AND(DA194&gt;120,DA194&lt;=129)),"RANGO PREHIPERTENSIVO SEGUIMIENTO HTA",IF(AND(CN194&gt;34,CN194&lt;43,OR(O194&lt;&gt;"",R194&lt;&gt;""),CS194&lt;&gt;"",CY194&lt;&gt;"",DB194&lt;&gt;"",OR(CS194&lt;DB194,CS194&lt;CY194)),"VIGILAR CIFRAS PRESION ARTERIAL",IF(AND(CN194&gt;34,CN194&lt;43,OR(O194&lt;&gt;"",R194&lt;&gt;""),CR194="",CS194="",OR(CY194&lt;DB194,CX194&lt;DA194)),"VIGILAR CIFRAS PRESION ARTERIAL",IF(AND(CN194&gt;34,CN194&lt;43,OR(O194&lt;&gt;"",R194&lt;&gt;""),CS194&lt;&gt;"",CY194&lt;&gt;"",DB194&lt;&gt;"",OR(CS194=DB194,CS194=CY194)),"APARENTEMENTE NORMAL",IF(AND(OR(O194&gt;0,R194&gt;0),AND(DA194&gt;=80,DA194&lt;=120)),"APARENTEMENTE NORMAL",IF(AND(CN194&gt;34,CN194&lt;43,OR(O194&gt;0,R194&gt;0),AND(DB194&gt;=50,DB194&lt;=80)),"APARENTEMENTE NORMAL","")))))))))))</f>
        <v>APARENTEMENTE NORMAL</v>
      </c>
      <c r="DD194" s="22">
        <v>45087</v>
      </c>
      <c r="DE194" s="22">
        <v>45087</v>
      </c>
      <c r="DF194" s="22"/>
      <c r="DG194" s="22">
        <v>45140</v>
      </c>
      <c r="DH194" s="22"/>
      <c r="DI194" s="22"/>
      <c r="DJ194" s="22"/>
      <c r="DK194" s="22"/>
      <c r="DL194" s="22"/>
      <c r="DM194" s="22"/>
      <c r="DN194" s="22"/>
      <c r="DO194" s="22"/>
      <c r="DP194" s="22"/>
      <c r="DQ194" s="22"/>
      <c r="DR194" s="28"/>
      <c r="DS194" s="22"/>
      <c r="DT194" s="22"/>
      <c r="DU194" s="216" t="str">
        <f t="shared" ca="1" si="676"/>
        <v>PLANEAR PLAN DE PARTO</v>
      </c>
      <c r="DV194" s="226" t="str">
        <f t="shared" si="677"/>
        <v>ACTIVA INGRESO A CPN</v>
      </c>
      <c r="DW19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94" s="216" t="str">
        <f t="shared" ref="DX194:DX248" si="852">IF(NI194="SD","",IF(AND(NI194&lt;=33,NI194&gt;=8),"MES DE CONTROL",IF(AND(NI194&gt;=1,NI194&lt;8),"SEMANA DE CONTROL",IF(NI194=0,"DIA DE CONTROL",IF(NI194&lt;0,"INASISTENTE",IF(NI194="Y","SEGUIMIENTO FUERA MUNICIPIO",IF(NI194="Z","BUSCAR PARA INGRESO A CPN",IF(NI194="W","DEFINIR FECHA CITA",IF(NI194="X","NO REALIZO CPN",IF(NI194="I","IVE",IF(NI194="S","DILIGENCIAR FECHA SALIDA PROGRAMA","REVISAR FORMULA")))))))))))</f>
        <v>DIA DE CONTROL</v>
      </c>
      <c r="DY194" s="212">
        <f>IF(R194="","",IF(R194&gt;0,MAX(Tabla1[[#This Row],[FECHA C2]:[FECHA C13]],Tabla1[[#This Row],[FECHA CONSULTA PRIMERA VEZ PROGRAMA CPN ]])))</f>
        <v>45140</v>
      </c>
      <c r="DZ194" s="216">
        <f t="shared" ref="DZ194:DZ248" si="853">IF(AND(DY194="",RW194="",R194=""),"",IF(AND(R194="",RW194&gt;0,DY194=""),"",IF(AND(R194&gt;0,DY194&lt;RW194),"REVISAR FUM O FECHA CPN",IF(AND(R194&gt;0,DY194&gt;0,RW194=""),"SD",IF(AND(R194&gt;0,DY194&gt;0,RW194&gt;0),INT(SUM(DY194-RW194)/7))))))</f>
        <v>19</v>
      </c>
      <c r="EA194" s="222">
        <f>IF(R194&gt;0,SUM(COUNTA(DF194:DQ194)+COUNTA(Tabla1[[#This Row],[FECHA CONSULTA PRIMERA VEZ PROGRAMA CPN ]])),"")</f>
        <v>2</v>
      </c>
      <c r="EB194" s="222" t="str">
        <f t="shared" ref="EB194:EB248" si="854">IF(AND(EA194&gt;=0,EA194&lt;4),"NO",IF(AND(EA194&gt;=4,EA194&lt;12),"SI",""))</f>
        <v>NO</v>
      </c>
      <c r="EC194" s="214">
        <f t="shared" ref="EC194:EC248" si="855">IF(BS194="","",IF(BS194&gt;0,INT(SUM(((40-BS194)/4)+2)),"X"))</f>
        <v>9</v>
      </c>
      <c r="ED194" s="227">
        <f t="shared" ref="ED194:ED248" si="856">IF(EC194="","",IF(EA194&gt;0,SUM(EA194/EC194),"X"))</f>
        <v>0.22222222222222221</v>
      </c>
      <c r="EE194" s="22">
        <v>45087</v>
      </c>
      <c r="EF194" s="22"/>
      <c r="EG194" s="22">
        <v>45087</v>
      </c>
      <c r="EH194" s="22"/>
      <c r="EI194" s="22">
        <v>45087</v>
      </c>
      <c r="EJ194" s="22"/>
      <c r="EK194" s="22"/>
      <c r="EL194" s="21"/>
      <c r="EM194" s="21">
        <v>13.6</v>
      </c>
      <c r="EN194" s="22">
        <v>45087</v>
      </c>
      <c r="EO194" s="222">
        <f t="shared" ref="EO194:EO248" si="857">IF(AND(BT194="ERROR FUM O INGRESO",EN194&gt;0),"ERROR FUM O INGRESO",IF(AND(EN194="",R194="",O194=""),"",IF(OR(AND(EN194&lt;&gt;"",EN194&lt;RW194),AND(EN194&lt;&gt;"",SUM((EN194-RW194)/7)&gt;40)),"CORREGIR FECHA RESULTADO",IF(AND(EN194="",OR(O194&gt;0,R194&gt;0)),"TOMAR EXAMEN",IF(EN194&gt;0,SUM(EN194-RW194)/7,"")))))</f>
        <v>12</v>
      </c>
      <c r="EP194" s="214" t="str">
        <f t="shared" ref="EP194:EP248" si="858">IF(AND(OR(O194&gt;0,R194&gt;0),EM194=""),"",IF(AND(OR(O194&gt;0,R194&gt;0),EM194&gt;0,EM194&lt;11),"MANEJO MD POR ANEMIA FERROPENICA",IF(AND(OR(O194&gt;0,R194&gt;0),EM194&lt;=14),"NORMAL- SUMINISTRAR SULFATO FERROSO",IF(AND(OR(O194&gt;0,R194&gt;0),EM194&lt;20),"NO DAR SULFATO FERROSO",""))))</f>
        <v>NORMAL- SUMINISTRAR SULFATO FERROSO</v>
      </c>
      <c r="EQ194" s="216" t="str">
        <f t="shared" ref="EQ194:EQ248" si="859">IF(AND(EO194="",BT194=""),"",IF(AND(EO194&lt;&gt;"",BT194="SIN DATO"),"SIN DATO",IF(AND(EO194="",BT194&lt;&gt;""),"",IF(AND(EO194&lt;0,BT194&gt;0),"ERROR FUM O INGRESO",IF(EO194&lt;=13,"I TRIM",IF(EO194&lt;28,"II TRIM",IF(AND(EO194&gt;27,EO194&lt;45),"III TRIM","POR DEFINIR")))))))</f>
        <v>I TRIM</v>
      </c>
      <c r="ER194" s="24"/>
      <c r="ES194" s="22"/>
      <c r="ET194" s="29" t="str">
        <f t="shared" ca="1" si="678"/>
        <v>TOMA DE HEMOGLOBINA TARDÍA</v>
      </c>
      <c r="EU194" s="25" t="str">
        <f t="shared" ref="EU194:EU248" si="860">IF(AND(OR(O194&gt;0,R194&gt;0),ER194=""),"",IF(AND(OR(O194&gt;0,R194&gt;0),ER194&gt;0,ER194&lt;10.5),"MANEJO MD POR ANEMIA FERROPENICA",IF(AND(OR(O194&gt;0,R194&gt;0),ER194&lt;14),"NORMAL- SUMINISTRAR SULFATO FERROSO",IF(AND(OR(O194&gt;0,R194&gt;0),ER194&lt;20),"NO DAR SULFATO FERROSO",""))))</f>
        <v/>
      </c>
      <c r="EV194" s="24" t="s">
        <v>1510</v>
      </c>
      <c r="EW194" s="22">
        <v>45087</v>
      </c>
      <c r="EX194" s="22"/>
      <c r="EY194" s="29">
        <f t="shared" si="693"/>
        <v>12</v>
      </c>
      <c r="EZ194" s="25" t="str">
        <f t="shared" si="694"/>
        <v>SIN RIESGO DE ISOINMUNIZACIÓN</v>
      </c>
      <c r="FA194" s="21">
        <v>108</v>
      </c>
      <c r="FB194" s="22">
        <v>45087</v>
      </c>
      <c r="FC194" s="29">
        <f t="shared" ref="FC194:FC248" si="861">IF(AND(BT194="ERROR FUM O INGRESO",FB194&gt;0),"ERROR FUM O INGRESO",IF(AND(FB194="",R194="",O194=""),"",IF(OR(AND(FB194&lt;&gt;"",FB194&lt;RW194),AND(FB194&lt;&gt;"",SUM((FB194-RW194)/7)&gt;40)),"CORREGIR FECHA RESULTADO",IF(AND(FB194="",BS194&gt;=24,OR(O194&gt;0,R194&gt;0)),"PIERDE TOMA TAMIZAJE- INGRESO TARDIO",IF(AND(FB194="",OR(O194&gt;0,R194&gt;0)),"TOMAR EXAMEN",IF(SUM((FB194-RW194)/7)&gt;=24,"NO APLICA &gt; 23 SEM -TOMAR PTOG",IF(AND(SUM((FB194-RW194)/7)&lt;24,FA194&gt;126),"DIABETES PREGESTACIONAL- REMITIR",IF(FB194&gt;0,SUM(FB194-RW194)/7,""))))))))</f>
        <v>12</v>
      </c>
      <c r="FD194" s="29"/>
      <c r="FE194" s="29"/>
      <c r="FF194" s="29"/>
      <c r="FG194" s="21" t="str">
        <f t="shared" ref="FG194:FG248" ca="1" si="862">IF(AND(OR(FD194&gt;0,FE194&gt;0,FF194&gt;0),FI194&gt;0,FI194&lt;24,AND(FD194&gt;1,FD194&lt;92),AND(FE194&gt;1,FE194&lt;180),AND(FF194&gt;1,FF194&lt;153)),"NORMAL, NO DESCARTA DIABETES POR REALIZARLO ANTES DE  SEMANA 24, ",IF(AND(OR(FD194&gt;0,FE194&gt;0,FF194&gt;0),FI194&gt;0,FI194&lt;24,OR(FD194&gt;=92,FE194&gt;=180,FF194&gt;=153)),"DIABETES, REMITIR",IF(AND(BU194="",FH194="",FD194="",FE194="",FF194=""),"",IF(AND(BU194&gt;=19,BU194&lt;24,FH194="",FD194="",FE194="",FF194=""),"PROGRAMAR TOMA PTOG SIGUIENTE CONTROL",IF(AND(BU194&gt;=24,FH194="",FD194="",FE194="",FF194=""),"TOMAR PTOG",IF(OR(FD194&gt;=92,FE194&gt;=180,FF194&gt;=153),"DIABETES, REMITIR",IF(AND(AND(FD194&gt;1,FD194&lt;92),AND(FE194&gt;1,FE194&lt;180),AND(FF194&gt;1,FF194&lt;153)),"NORMAL",IF(AND(FD194&gt;0,OR(FE194=0,FF194=0)),"NO COMPLETA EXAMEN",""))))))))</f>
        <v>TOMAR PTOG</v>
      </c>
      <c r="FH194" s="31"/>
      <c r="FI194" s="29" t="str">
        <f t="shared" ref="FI194:FI248" si="863">IF(AND(BT194="ERROR FUM O INGRESO",FH194&gt;0),"ERROR FUM O INGRESO",IF(AND(FH194="",R194="",O194=""),"",IF(OR(AND(FH194&lt;&gt;"",FH194&lt;RW194),AND(FH194&lt;&gt;"",SUM((FH194-RW194)/7)&gt;40)),"CORREGIR FECHA RESULTADO",IF(AND(FH194="",OR(O194&gt;0,R194&gt;0)),"TOMAR EXAMEN",IF(FH194&gt;0,SUM(FH194-RW194)/7,"")))))</f>
        <v>TOMAR EXAMEN</v>
      </c>
      <c r="FJ194" s="22" t="s">
        <v>867</v>
      </c>
      <c r="FK194" s="22">
        <v>45087</v>
      </c>
      <c r="FL194" s="29">
        <f t="shared" ref="FL194:FL248" ca="1" si="864">IF(AND(BT194="ERROR FUM O INGRESO",FK194&gt;0),"ERROR FUM O INGRESO",IF(AND(FK194="",R194="",O194=""),"",IF(OR(AND(FK194&lt;&gt;"",FK194&lt;RW194),AND(FK194&lt;&gt;"",AND(SUM((FK194-RW194)/7)&gt;=13,SUM((FK194-RW194)/7)&lt;27))),"REGISTRAR EN II TRIMESTRE",IF(OR(AND(FK194&lt;&gt;"",FK194&lt;RW194),AND(FK194&lt;&gt;"",AND(SUM((FK194-RW194)/7)&gt;=27,SUM((FK194-RW194)/7)&lt;44))),"REGISTRAR EN III TRIMESTRE",IF(AND(FK194="",OR(O194&gt;0,R194&gt;0),AND(BU194&gt;1,BU194&lt;10)),"EN RANGO PARA TOMAR EXAMEN",IF(AND(FK194="",OR(O194&gt;0,R194&gt;0),AND(BU194&gt;=10,BU194&lt;13)),"TOMA INMEDIATA DE TAMIZAJE",IF(AND(FK194="",BS194&lt;13,OR(O194&gt;0,R194&gt;0)),"PIERDE TOMA DE TAMIZAJE",IF(AND(FK194="",OR(O194&gt;0,R194&gt;0),AND(BS194&gt;=13,BS194&lt;43)),"NO APLICA-INGRESO TARDIO",IF(FK194&gt;0,SUM(FK194-RW194)/7,"")))))))))</f>
        <v>12</v>
      </c>
      <c r="FM194" s="22"/>
      <c r="FN194" s="32"/>
      <c r="FO194" s="29" t="str">
        <f t="shared" ca="1" si="679"/>
        <v>PIERDE TOMA DE TAMIZAJE</v>
      </c>
      <c r="FP194" s="22"/>
      <c r="FQ194" s="32"/>
      <c r="FR194" s="29" t="str">
        <f t="shared" ca="1" si="680"/>
        <v>EN RANGO PARA TOMAR EXAMEN</v>
      </c>
      <c r="FS194" s="22"/>
      <c r="FT194" s="32"/>
      <c r="FU194" s="29" t="str">
        <f>IF(AND(FJ194="",FM194="",FP194="",FS194=""),"",IF(OR(OR(Tabla1[[#This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94" s="28"/>
      <c r="FW194" s="22"/>
      <c r="FX194" s="29" t="str">
        <f t="shared" ref="FX194:FX248" si="865">IF(AND(BT194="ERROR FUM O INGRESO",FW194&gt;0),"ERROR FUM O INGRESO",IF(AND(FW194="",R194="",O194=""),"",IF(OR(AND(FW194&lt;&gt;"",FW194&lt;RW194),AND(FW194&lt;&gt;"",SUM((FW194-RW194)/7)&gt;40)),"CORREGIR FECHA RESULTADO",IF(AND(FW194="",OR(O194&gt;0,R194&gt;0)),"TOMAR EXAMEN",IF(FW194&gt;0,SUM(FW194-RW194)/7,"")))))</f>
        <v>TOMAR EXAMEN</v>
      </c>
      <c r="FY194" s="22" t="s">
        <v>868</v>
      </c>
      <c r="FZ194" s="22">
        <v>45087</v>
      </c>
      <c r="GA194" s="29">
        <f t="shared" ca="1" si="739"/>
        <v>12</v>
      </c>
      <c r="GB194" s="22"/>
      <c r="GC194" s="22"/>
      <c r="GD194" s="29" t="str">
        <f t="shared" ca="1" si="732"/>
        <v>PIERDE TOMA DE TAMIZAJE</v>
      </c>
      <c r="GE194" s="22"/>
      <c r="GF194" s="22"/>
      <c r="GG194" s="29" t="str">
        <f t="shared" ca="1" si="682"/>
        <v>EN RANGO PARA TOMAR EXAMEN</v>
      </c>
      <c r="GH194" s="22"/>
      <c r="GI194" s="29"/>
      <c r="GJ194" s="22"/>
      <c r="GK194" s="22"/>
      <c r="GL194" s="22"/>
      <c r="GM194" s="22"/>
      <c r="GN194" s="28" t="s">
        <v>869</v>
      </c>
      <c r="GO194" s="22">
        <v>45087</v>
      </c>
      <c r="GP194" s="29">
        <f t="shared" ref="GP194:GP248" si="866">IF(AND(BT194="ERROR FUM O INGRESO",GO194&gt;0),"ERROR FUM O INGRESO",IF(AND(GO194="",R194="",O194=""),"",IF(OR(AND(GO194&lt;&gt;"",GO194&lt;RW194),AND(GO194&lt;&gt;"",SUM((GO194-RW194)/7)&gt;40)),"CORREGIR FECHA RESULTADO",IF(AND(GO194="",OR(O194&gt;0,R194&gt;0)),"TOMAR EXAMEN",IF(GO194&gt;0,SUM(GO194-RW194)/7,"")))))</f>
        <v>12</v>
      </c>
      <c r="GQ194" s="28" t="s">
        <v>869</v>
      </c>
      <c r="GR194" s="28" t="s">
        <v>869</v>
      </c>
      <c r="GS194" s="22" t="str">
        <f t="shared" si="728"/>
        <v>CONTROL Igm</v>
      </c>
      <c r="GT194" s="22">
        <v>45087</v>
      </c>
      <c r="GU194" s="29">
        <f t="shared" ref="GU194:GU248" si="867">IF(AND(BT194="ERROR FUM O INGRESO",GT194&gt;0),"ERROR FUM O INGRESO",IF(AND(GT194="",R194="",O194=""),"",IF(OR(AND(GT194&lt;&gt;"",GT194&lt;BO194),AND(GT194&lt;&gt;"",SUM((GT194-BO194)/7)&gt;40)),"CORREGIR FECHA RESULTADO",IF(AND(GT194="",OR(O194&gt;0,R194&gt;0)),"TOMAR EXAMEN",IF(GT194&gt;0,SUM(GT194-BO194)/7,"")))))</f>
        <v>12</v>
      </c>
      <c r="GV194" s="21" t="str">
        <f t="shared" ref="GV194:GV248" si="868">IF(AND(GU194="",BT194=""),"",IF(AND(GU194&lt;&gt;"",BT194="SIN DATO"),"SIN DATO",IF(AND(GU194="",BT194&lt;&gt;""),"",IF(AND(GU194&lt;0,BT194&gt;0),"ERROR FUM O INGRESO",IF(GU194&lt;=13,"I TRIM",IF(GU194&lt;28,"II TRIM",IF(AND(GU194&gt;27,GU194&lt;45),"III TRIM","POR DEFINIR")))))))</f>
        <v>I TRIM</v>
      </c>
      <c r="GW194" s="28"/>
      <c r="GX194" s="30"/>
      <c r="GY194" s="21"/>
      <c r="GZ194" s="21"/>
      <c r="HA194" s="21"/>
      <c r="HB194" s="21"/>
      <c r="HC194" s="21"/>
      <c r="HD194" s="21"/>
      <c r="HE194" s="21"/>
      <c r="HF194" s="22"/>
      <c r="HG194" s="22" t="str">
        <f>IF(OR(O194&gt;0,R194&gt;0),CONCATENATE(IF(Tabla1[[#This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94" s="22" t="e">
        <f t="shared" ref="HH194:HH248" si="869">IF(OR(O194&gt;0,R194&gt;0),CONCATENATE(IF(AZ194="SI","ANTECEDENTE EMBARAZO MOLAR",""),"*",CONCATENATE(IF(BA194="SI","ANTECEDENTE MUERTE NEONATAL",""),"*",CONCATENATE(IF(AND(BQ194&gt;0,BQ194&lt;13),"PERIODO INTERGENESICO CORTO",""),"*",CONCATENATE(IF(AND(BS194&gt;13,BS194&lt;42),"INGRESO TARDIO A CPN",""),"*",CONCATENATE(IF(CO194="BAJO PESO","BAJO PESO",""),"*",CONCATENATE(IF(CO194="SOBREPESO","SOBREPESO",""),"*",CONCATENATE(IF(CO194="OBESIDAD","OBESIDAD",""),"*",CONCATENATE(IF(GN194="POSITIVO","SEGUIMIENTO INFECCIÓN HEP B",""),"*",CONCATENATE(IF(GS194="TOXOPLASMOSIS, REMITIR PARA MANEJO","INFECCIÓN TOXOPLASMOSIS",""),"*",CONCATENATE(IF(GS194="CONTROL Igm","PREVENCIÓN CONTAGIO TOXOPLASMOSIS",""),"*",CONCATENATE(IF(OR(HF194="COVID19 PRIMER TRIMESTRE",HF194="COVID19 SEGUNDO TRIMESTRE",HF194="COVID19 TERCER TRIMESTRE",HF194="COVID19 PUERPERIO"),"INFECCIÓN SARS-CoV2 CONFIRMADA",""),"*",CONCATENATE(IF(GY194="Esquema vigente – Alterado","DESCARTAR CANCER DE UTERO",""),"*",)))))))))))),"")</f>
        <v>#REF!</v>
      </c>
      <c r="HI194" s="22" t="e">
        <f t="shared" ref="HI194:HI248" si="870">IF(AND(O194="",R194=""),"",IF(AND(OR(O194&lt;&gt;"",R194&lt;&gt;""),OR(HK194="RIESGO ALTO DE COMPLICACIONES HIPERTENSIVAS VER MANEJO GUIA SUMINISTRO ASA Y CALCIO",HK194="RIESGO MODERADO (2 O MAS CRITERIOS) VER MANEJO GUIA SUMINISTRO ASA Y CALCIO")),"ALTO RIESGO",IF(AND(HH194="************",OR(O194&lt;&gt;"",R194&lt;&gt;""),AND(ND194&gt;=0,ND194&lt;3)),"BAJO RIESGO",IF(AND(OR(O194&lt;&gt;"",R194&lt;&gt;""),OR(HF194="COVID19 PRIMER TRIMESTRE",HF194="COVID19 SEGUNDO TRIMESTRE",HF194="COVID19 TERCER TRIMESTRE",HF194="COVID19 PUERPERIO")),"ALTO RIESGO",IF(AND(HH194&lt;&gt;"",OR(O194&lt;&gt;"",R194&lt;&gt;""),AND(ND194&gt;=0,ND194&lt;3)),"CON RIESGO",IF(AND(OR(O194&lt;&gt;"",R194&lt;&gt;""),ND194&gt;2),"ALTO RIESGO",""))))))</f>
        <v>#REF!</v>
      </c>
      <c r="HJ194" s="21" t="str">
        <f t="shared" ref="HJ194:HJ248" ca="1" si="871">IF(OR(O194&gt;0,R194&gt;0),CONCATENATE(IF(AK194="CON RIESGO","RIESGO PSICOSOCIAL",""),"*",CONCATENATE(IF(AL194="SI","ANTECEDENTE PREECLAMPSIA",""),"*",CONCATENATE(IF(AM194="SI","ANTECEDENTE HEMORRAGIA POSTPARTO O RETENCIÓN DE PLACENTA",""),"*",CONCATENATE(IF(AN194="SI","ANTECEDENTE RN BAJO PESO",""),"*",CONCATENATE(IF(AQ194="SI","ANTECEDENTE TRABAJO DE PARTO PROLONGADO",""),"*",CONCATENATE(IF(AV194="SI","INFERTILIDAD",""),"*",CONCATENATE(IF(BD194="SI","ENFERMERDAD AUTOINMUNE",""),"*",CONCATENATE(IF(BE194="SI","DIABETES PREGESTACIONAL",""),"*",CONCATENATE(IF(BF194="SI","ENFERMEDAD CARDIACA",""),"*",CONCATENATE(IF(BG194="SI","HTA CRÓNICA",""),"*",CONCATENATE(IF(BH194="SI","ENFERMEDAD RENAL CRÓNICA",""),"*",CONCATENATE(IF(BK194="SI","ANOMALIA CONGÉNITA",""),"*",CONCATENATE(IF(OR(BL194="SI",BM194="SI"),"HEMORRAGIA DURANTE LA GESTACIÓN",""),"*",CONCATENATE(IF(CB194="SI","RCIU",""),"*",CONCATENATE(IF(CC194="SI","EMBARAZO GEMELAR",""),"*",CONCATENATE(IF(NA194=3,"PRESENTACIÓN FETAL PODALICA O TRANSVERSA",""),"*",CONCATENATE(IF(CE194="SI","POLIHIDRAMNIOS",""),"*",CONCATENATE(IF(FG194="DIABETES, REMITIR","DIABETES GESTACIONAL",""),"*",CONCATENATE(IF(FU194&lt;&gt;"","SEGUIMIENTO PARA SIFILIS GESTACIONAL",""),"*",CONCATENATE(IF(MZ194=3,"SEGUIMIENTO PARA VIH",""),"*",CONCATENATE(IF(MX194=1,"SEGUIMIENTO PARA ANEMIA",""),"*",CONCATENATE(IF(MU194=2,"MULTIPARIDAD",""),"*",CONCATENATE(IF(MU194=1,"MULTIPARIDAD",""),"*",CONCATENATE(IF(MT194=1,"ANTECEDENTE MUERTE PERINATAL",""),"*",CONCATENATE(IF(OR(MR194=2,MR194=1),"RIESGO POR EDAD",""),"*",CONCATENATE(IF(OR(MV194=1,MV194=2),"CESAREAS PREVIAS",""),"*",CONCATENATE(IF(MW194=1,"ANTECEDENTE ECTOPICO O CX UTERINA",""),"*",CONCATENATE(IF(MY194=1,"EMBARAZO PROLONGADO",""),"*",CONCATENATE(IF(NB194=2,"SEGUIMIENTO PARA CHAGAS",""),"*",CONCATENATE(IF(NC194=3,"SEGUIMIENTO PARA MALARIA",""),"*",CONCATENATE(IF(OR(HF194="COVID19 PRIMER TRIMESTRE",HF194="COVID19 SEGUNDO TRIMESTRE",HF194="COVID19 TERCER TRIMESTRE",HF194="COVID19 PUERPERIO"),"SEGUIMIENTO PARA COVID19",""),"*",CONCATENATE(IF(EZ194="COOMBS C/MES Y RESUMAN SEM 28","RIESGO DE ISOINMUNIZACIÓN RH",""),"*",CONCATENATE(IF(EZ194="TOMAR COOMBS CUANTITATIVO Y REMISIÓN","ISOINMUNIZACIÓN RH",""),"*",CONCATENATE(IF(BC194="SI, CONTROLADA","EPILEPSIA CONTROLADA",""),"*",CONCATENATE(IF(BC194="SI, SIN MANEJO","EPILEPSIA SIN MANEJO",""),"*",CONCATENATE(IF(BC194="SI, NO CONTROLADA","EPILEPSIA NO CONTROLADA",""),"*",CONCATENATE(IF(AP194="SI","AMENAZA PARTO PRETERMINO",""),"*",CONCATENATE(IF(AO194="SI","ANTECEDENTE MACROSOMICO",""),"*",CONCATENATE(IF(AD194="Consumo ActualI","USO SUSTANCIAS PSICOACTIVAS",""),"*"))))))))))))))))))))))))))))))))))))))),"")</f>
        <v>*****INFERTILIDAD**********************************</v>
      </c>
      <c r="HK194" s="21" t="str">
        <f t="shared" ref="HK194:HK248" si="872">IF(AND(O194="",R194=""),"",IF(AND(OR(O194&gt;0,R194&gt;0),OR(AL194="SI",BG194="SI",BD194="SI",BE194="SI",BH194="SI")),"RIESGO ALTO DE COMPLICACIONES HIPERTENSIVAS VER MANEJO GUIA SUMINISTRO ASA Y CALCIO",IF(AND(OR(O194&gt;0,R194&gt;0),NE194&gt;1),"RIESGO MODERADO (2 O MAS CRITERIOS) VER MANEJO GUIA SUMINISTRO ASA Y CALCIO","SIN ANTECEDENTES DE RIESGO")))</f>
        <v>SIN ANTECEDENTES DE RIESGO</v>
      </c>
      <c r="HL194" s="24" t="str">
        <f t="shared" ref="HL194:HL248" si="873">DC194</f>
        <v>APARENTEMENTE NORMAL</v>
      </c>
      <c r="HM194" s="21" t="str">
        <f t="shared" ref="HM194:HM248" si="874">IF(NI194="SD","",IF(AND(NI194&lt;=33,NI194&gt;=8),"MES DE CONTROL",IF(AND(NI194&gt;=1,NI194&lt;8),"SEMANA DE CONTROL",IF(NI194=0,"DIA DE CONTROL",IF(NI194&lt;0,"INASISTENTE",IF(NI194="Y","SEGUIMIENTO FUERA MUNICIPIO",IF(NI194="Z","BUSCAR PARA INGRESO A CPN",IF(NI194="W","DEFINIR FECHA CITA",IF(NI194="X","NO REALIZO CPN",IF(NI194="S","DILIGENCIAR FECHA SALIDA PROGRAMA","REVISAR FORMULA"))))))))))</f>
        <v>DIA DE CONTROL</v>
      </c>
      <c r="HN194" s="30" t="str">
        <f t="shared" si="683"/>
        <v>ACTIVA INGRESO A CPN</v>
      </c>
      <c r="HO194" s="21"/>
      <c r="HP194" s="21"/>
      <c r="HQ194" s="349"/>
      <c r="HR194" s="21"/>
      <c r="HS194" s="22"/>
      <c r="HT194" s="22"/>
      <c r="HU194" s="22">
        <v>45087</v>
      </c>
      <c r="HV194" s="22" t="s">
        <v>1506</v>
      </c>
      <c r="HW194" s="22">
        <v>45087</v>
      </c>
      <c r="HX194" s="22" t="s">
        <v>1511</v>
      </c>
      <c r="HY194" s="22">
        <v>45087</v>
      </c>
      <c r="HZ194" s="28">
        <f t="shared" ref="HZ194:HZ248" si="875">IF(AND(BT194="ERROR FUM O INGRESO",HY194&gt;0),"ERROR FUM O INGRESO",IF(AND(HY194="",R194=""),"",IF(OR(AND(HY194&lt;&gt;"",HY194&lt;RW194),AND(HY194&lt;&gt;"",SUM((HY194-RW194)/7)&gt;40)),"CORREGIR FECHA CONSULTA",IF(AND(HY194="",R194&gt;0),"PENDIENTE CONSULTA",IF(HY194&gt;0,SUM(HY194-RW194)/7,"")))))</f>
        <v>12</v>
      </c>
      <c r="IA194" s="26"/>
      <c r="IB194" s="26"/>
      <c r="IC194" s="111"/>
      <c r="ID194" s="22"/>
      <c r="IE194" s="22" t="str">
        <f t="shared" ref="IE194:IE248" ca="1" si="876">IF(AND(RW194="",NF194="SD"),"SIN DATO EDAD GESTACIONAL",IF(AND(RW194="",ID194=""),"",IF(AND(AND(BU194&gt;0,BU194&lt;20),ID194=""),"EN ESPERA PARA VACUNAR",IF(AND(AND(BU194&gt;19,BU194&lt;27),ID194=""),"PROGRAMAR APLICACION DE VACUNA",IF(AND(AND(BU194&gt;26,BU194&lt;43),ID194=""),"INASISTENTE",IF(AND(AND(NF194&gt;19,NF194&lt;27),ID194&gt;0),"VACUNA APLICADA ENTRE SEMANA 20 Y SEMANA 26",IF(AND(NF194&lt;20,ID194&gt;0),"VACUNA APLICADA ANTES SEMANA 20",IF(AND(NF194&gt;26,ID194&gt;0),"VACUNA APLICADA ENTRE SEMANA 27 Y EL PARTO",IF(AND(OR(IK194="CESAREA",IK194="PARTO"),II194="POSIBLEMENTE NACIO",ID194=""),"SALE SIN VACUNA","")))))))))</f>
        <v>INASISTENTE</v>
      </c>
      <c r="IF194" s="22"/>
      <c r="IG194" s="22">
        <f t="shared" ref="IG194:IG248" si="877">IF(OR(BP194="SI",BP194="Corregida",BP194="NO"),(RW194+280),IF(BP194="Sin Dato","DEFINIR FPP POR ECO",""))</f>
        <v>45283</v>
      </c>
      <c r="IH194" s="29">
        <f t="shared" ref="IH194:IH248" ca="1" si="878">IF(OR(IG194="DEFINIR FPP POR ECO",BT194="ERROR FUM O INGRESO"),"SIN DEFINIR",IF(IG194="","",IF(IG194&gt;0,SUM(IG194-TODAY()),"X")))</f>
        <v>51</v>
      </c>
      <c r="II194" s="22" t="str">
        <f t="shared" ref="II194:II248" ca="1" si="879">IF(IH194&lt;0,"POSIBLEMENTE NACIO",IF(IH194="SIN DEFINIR","SIN DATO",IF(AND(IH194&gt;=0,IH194&lt;=7),"SEMANA DE PARTO",IF(AND(IH194&gt;=8,IH194&lt;=28),"MENOS DE 4 SEMANAS",IF(AND(IH194&gt;=29,IH194&lt;=280),"PENDIENTE","")))))</f>
        <v>PENDIENTE</v>
      </c>
      <c r="IJ194" s="22"/>
      <c r="IK194" s="21"/>
      <c r="IL194" s="21"/>
      <c r="IM194" s="34"/>
      <c r="IN194" s="22"/>
      <c r="IO194" s="21"/>
      <c r="IP194" s="29"/>
      <c r="IQ194" s="35"/>
      <c r="IR194" s="21"/>
      <c r="IS194" s="21"/>
      <c r="IT194" s="21"/>
      <c r="IU194" s="21"/>
      <c r="IV194" s="21"/>
      <c r="IW194" s="21"/>
      <c r="IX194" s="21"/>
      <c r="IY194" s="21"/>
      <c r="IZ194" s="21"/>
      <c r="JA194" s="21"/>
      <c r="JB194" s="30"/>
      <c r="JC194" s="21"/>
      <c r="JD194" s="36"/>
      <c r="JE194" s="21"/>
      <c r="JF194" s="30"/>
      <c r="JG194" s="21"/>
      <c r="JH194" s="21"/>
      <c r="JI194" s="21"/>
      <c r="JJ194" s="30"/>
      <c r="JK194" s="22"/>
      <c r="JL194" s="22"/>
      <c r="JM194" s="21"/>
      <c r="JN194" s="36"/>
      <c r="JO194" s="21"/>
      <c r="JP194" s="22"/>
      <c r="JQ194" s="21"/>
      <c r="JR194" s="21"/>
      <c r="JS194" s="21"/>
      <c r="JT194" s="30"/>
      <c r="JU194" s="22"/>
      <c r="JV194" s="22"/>
      <c r="JW194" s="33"/>
      <c r="JX194" s="28"/>
      <c r="JY194" s="33"/>
      <c r="JZ194" s="28"/>
      <c r="KA194" s="21"/>
      <c r="KB194" s="21"/>
      <c r="KC194" s="21"/>
      <c r="KD194" s="37"/>
      <c r="KE194" s="28"/>
      <c r="KF194" s="28"/>
      <c r="KG194" s="28"/>
      <c r="KH194" s="39"/>
      <c r="KI194" s="39"/>
      <c r="KJ194" s="66"/>
      <c r="KK194" s="39"/>
      <c r="KL194" s="39"/>
      <c r="KM194" s="66"/>
      <c r="KN194" s="39"/>
      <c r="KO194" s="39"/>
      <c r="KP194" s="39"/>
      <c r="KQ194" s="39"/>
      <c r="KR194" s="39"/>
      <c r="KS194" s="39"/>
      <c r="KT194" s="39"/>
      <c r="KU194" s="38"/>
      <c r="KV194" s="38"/>
      <c r="KW194" s="38"/>
      <c r="KX194" s="38"/>
      <c r="KY194" s="38"/>
      <c r="KZ194" s="38"/>
      <c r="LA194" s="38"/>
      <c r="LB194" s="38"/>
      <c r="LC194" s="38"/>
      <c r="LD194" s="38"/>
      <c r="LE194" s="38"/>
      <c r="LF194" s="38"/>
      <c r="LG194" s="38"/>
      <c r="LH194" s="38"/>
      <c r="LI194" s="38"/>
      <c r="LJ194" s="38"/>
      <c r="LK194" s="38"/>
      <c r="LL194" s="38"/>
      <c r="LM194" s="38"/>
      <c r="LN194" s="38"/>
      <c r="LO194" s="38"/>
      <c r="LP194" s="38"/>
      <c r="LQ194" s="38"/>
      <c r="LR194" s="38"/>
      <c r="LS194" s="38"/>
      <c r="LT194" s="38"/>
      <c r="LU194" s="38"/>
      <c r="LV194" s="38"/>
      <c r="LW194" s="38"/>
      <c r="LX194" s="38"/>
      <c r="LY194" s="38"/>
      <c r="LZ194" s="38"/>
      <c r="MA194" s="38"/>
      <c r="MB194" s="38"/>
      <c r="MC194" s="38"/>
      <c r="MD194" s="38"/>
      <c r="ME194" s="38"/>
      <c r="MF194" s="38"/>
      <c r="MG194" s="38"/>
      <c r="MH194" s="43"/>
      <c r="MI194" s="43"/>
      <c r="MJ194" s="43"/>
      <c r="MK194" s="43"/>
      <c r="ML194" s="43"/>
      <c r="MM194" s="43"/>
      <c r="MN194" s="43"/>
      <c r="MO194" s="43"/>
      <c r="MP194" s="43"/>
      <c r="MQ194" s="43"/>
      <c r="MR194" s="43"/>
      <c r="MS194" s="43"/>
      <c r="MT194" s="43"/>
      <c r="MU194" s="43"/>
      <c r="MV194" s="43"/>
      <c r="MW194" s="43"/>
      <c r="MX194" s="43"/>
      <c r="MY194" s="43"/>
      <c r="MZ194" s="43"/>
      <c r="NA194" s="43"/>
      <c r="NB194" s="43"/>
      <c r="NC194" s="43"/>
      <c r="ND194" s="43"/>
      <c r="NE194" s="43"/>
      <c r="NF194" s="43"/>
      <c r="NG194" s="43"/>
      <c r="NH194" s="43"/>
      <c r="NI194" s="43"/>
      <c r="NJ194" s="43"/>
      <c r="NK194" s="43"/>
      <c r="NL194" s="43"/>
      <c r="NM194" s="43"/>
      <c r="NN194" s="43"/>
      <c r="NO194" s="43"/>
      <c r="NP194" s="204"/>
      <c r="NQ194" s="21"/>
      <c r="NR194" s="21"/>
      <c r="NS194" s="205"/>
      <c r="NT194" s="21"/>
      <c r="NU194" s="21"/>
      <c r="NV194" s="21"/>
      <c r="NW194" s="206"/>
      <c r="NX194" s="207"/>
      <c r="NY194" s="43">
        <f>ROW(Tabla1[[#This Row],['# DE TAMIZAJES SIFILIS TOMADOS ]])</f>
        <v>194</v>
      </c>
      <c r="NZ194" s="43">
        <f t="shared" si="740"/>
        <v>12</v>
      </c>
      <c r="OA194" s="43" t="str">
        <f t="shared" si="741"/>
        <v/>
      </c>
      <c r="OB194" s="43" t="str">
        <f t="shared" si="742"/>
        <v/>
      </c>
      <c r="OC194" s="43" t="str">
        <f t="shared" si="743"/>
        <v/>
      </c>
      <c r="OD194" s="43" t="str">
        <f t="shared" si="744"/>
        <v>SOBREPESO</v>
      </c>
      <c r="OE194" s="43" t="str">
        <f t="shared" si="745"/>
        <v/>
      </c>
      <c r="OF194" s="43" t="str">
        <f t="shared" si="746"/>
        <v/>
      </c>
      <c r="OG194" s="43" t="str">
        <f t="shared" si="747"/>
        <v/>
      </c>
      <c r="OH194" s="43" t="str">
        <f t="shared" si="748"/>
        <v/>
      </c>
      <c r="OI194" s="43" t="str">
        <f t="shared" si="749"/>
        <v/>
      </c>
      <c r="OJ194" s="43" t="str">
        <f t="shared" si="750"/>
        <v/>
      </c>
      <c r="OK194" s="43" t="str">
        <f t="shared" si="751"/>
        <v/>
      </c>
      <c r="OL194" s="43" t="str">
        <f t="shared" si="752"/>
        <v/>
      </c>
      <c r="OM194" s="43" t="str">
        <f t="shared" si="753"/>
        <v/>
      </c>
      <c r="ON194" s="43" t="str">
        <f t="shared" si="754"/>
        <v/>
      </c>
      <c r="OO194" s="43" t="str">
        <f t="shared" si="755"/>
        <v/>
      </c>
      <c r="OP194" s="43" t="str">
        <f t="shared" si="756"/>
        <v/>
      </c>
      <c r="OQ194" s="43" t="str">
        <f t="shared" si="757"/>
        <v/>
      </c>
      <c r="OR194" s="43" t="str">
        <f t="shared" si="758"/>
        <v/>
      </c>
      <c r="OS194" s="43" t="str">
        <f t="shared" si="759"/>
        <v/>
      </c>
      <c r="OT194" s="43" t="str">
        <f t="shared" si="760"/>
        <v/>
      </c>
      <c r="OU194" s="43" t="str">
        <f t="shared" si="761"/>
        <v/>
      </c>
      <c r="OV194" s="110" t="str">
        <f t="shared" si="762"/>
        <v/>
      </c>
      <c r="OW194" s="43" t="str">
        <f t="shared" si="763"/>
        <v/>
      </c>
      <c r="OX194" s="43" t="str">
        <f t="shared" si="764"/>
        <v/>
      </c>
      <c r="OY194" s="43" t="str">
        <f t="shared" si="765"/>
        <v/>
      </c>
      <c r="OZ194" s="43" t="str">
        <f t="shared" si="766"/>
        <v/>
      </c>
      <c r="PA194" s="43" t="str">
        <f t="shared" si="767"/>
        <v/>
      </c>
      <c r="PB194" s="43" t="str">
        <f t="shared" si="768"/>
        <v/>
      </c>
      <c r="PC194" s="43" t="str">
        <f t="shared" si="769"/>
        <v/>
      </c>
      <c r="PD194" s="43" t="str">
        <f t="shared" si="770"/>
        <v/>
      </c>
      <c r="PE194" s="43" t="str">
        <f t="shared" si="771"/>
        <v/>
      </c>
      <c r="PF194" s="43" t="str">
        <f t="shared" si="772"/>
        <v/>
      </c>
      <c r="PG194" s="43" t="str">
        <f t="shared" si="773"/>
        <v/>
      </c>
      <c r="PH194" s="43" t="str">
        <f t="shared" si="774"/>
        <v/>
      </c>
      <c r="PI194" s="43">
        <f t="shared" si="775"/>
        <v>19</v>
      </c>
      <c r="PJ194" s="43" t="str">
        <f t="shared" si="776"/>
        <v/>
      </c>
      <c r="PK194" s="43" t="str">
        <f t="shared" si="777"/>
        <v/>
      </c>
      <c r="PL194" s="43" t="str">
        <f t="shared" si="778"/>
        <v/>
      </c>
      <c r="PM194" s="43" t="str">
        <f t="shared" si="779"/>
        <v/>
      </c>
      <c r="PN194" s="43" t="str">
        <f t="shared" si="780"/>
        <v/>
      </c>
      <c r="PO194" s="43" t="str">
        <f t="shared" si="781"/>
        <v/>
      </c>
      <c r="PP194" s="43" t="str">
        <f t="shared" si="782"/>
        <v/>
      </c>
      <c r="PQ194" s="43" t="str">
        <f t="shared" si="783"/>
        <v/>
      </c>
      <c r="PR194" s="43" t="str">
        <f t="shared" si="784"/>
        <v/>
      </c>
      <c r="PS194" s="43" t="str">
        <f t="shared" si="785"/>
        <v/>
      </c>
      <c r="PT194" s="43" t="str">
        <f t="shared" si="786"/>
        <v>SOBREPESO</v>
      </c>
      <c r="PU194" s="43" t="str">
        <f t="shared" si="787"/>
        <v/>
      </c>
      <c r="PV194" s="43" t="str">
        <f t="shared" si="788"/>
        <v/>
      </c>
      <c r="PW194" s="43" t="str">
        <f t="shared" si="789"/>
        <v/>
      </c>
      <c r="PX194" s="43" t="str">
        <f t="shared" si="790"/>
        <v/>
      </c>
      <c r="PY194" s="43" t="str">
        <f t="shared" si="791"/>
        <v/>
      </c>
      <c r="PZ194" s="43" t="str">
        <f t="shared" si="792"/>
        <v/>
      </c>
      <c r="QA194" s="43" t="str">
        <f t="shared" si="793"/>
        <v/>
      </c>
      <c r="QB194" s="43" t="str">
        <f t="shared" si="794"/>
        <v/>
      </c>
      <c r="QC194" s="43" t="str">
        <f t="shared" si="795"/>
        <v/>
      </c>
      <c r="QD194" s="43" t="str">
        <f t="shared" si="796"/>
        <v/>
      </c>
      <c r="QE194" s="43" t="str">
        <f t="shared" si="797"/>
        <v/>
      </c>
      <c r="QF194" s="43" t="str">
        <f t="shared" si="798"/>
        <v/>
      </c>
      <c r="QG194" s="43" t="str">
        <f t="shared" si="799"/>
        <v/>
      </c>
      <c r="QH194" s="43" t="str">
        <f t="shared" si="800"/>
        <v/>
      </c>
      <c r="QI194" s="43" t="str">
        <f t="shared" si="801"/>
        <v/>
      </c>
      <c r="QJ194" s="43" t="str">
        <f t="shared" si="802"/>
        <v/>
      </c>
      <c r="QK194" s="43" t="str">
        <f t="shared" si="803"/>
        <v/>
      </c>
      <c r="QL194" s="43" t="str">
        <f t="shared" si="804"/>
        <v/>
      </c>
      <c r="QM194" s="43" t="str">
        <f t="shared" si="805"/>
        <v/>
      </c>
      <c r="QN194" s="43" t="str">
        <f t="shared" si="806"/>
        <v/>
      </c>
      <c r="QO194" s="43" t="str">
        <f t="shared" si="807"/>
        <v/>
      </c>
      <c r="QP194" s="43" t="str">
        <f t="shared" si="808"/>
        <v/>
      </c>
      <c r="QQ194" s="43" t="str">
        <f t="shared" si="809"/>
        <v/>
      </c>
      <c r="QR194" s="43">
        <f t="shared" si="839"/>
        <v>19</v>
      </c>
      <c r="QS194" s="43"/>
      <c r="QT194" s="21" t="str">
        <f t="shared" si="810"/>
        <v/>
      </c>
      <c r="QU194" s="21" t="str">
        <f t="shared" si="811"/>
        <v/>
      </c>
      <c r="QV194" s="21" t="str">
        <f t="shared" si="812"/>
        <v/>
      </c>
      <c r="QW194" s="21" t="str">
        <f t="shared" si="813"/>
        <v/>
      </c>
      <c r="QX194" s="21" t="str">
        <f t="shared" si="814"/>
        <v/>
      </c>
      <c r="QY194" s="21" t="str">
        <f t="shared" si="815"/>
        <v/>
      </c>
      <c r="QZ194" s="21" t="str">
        <f t="shared" si="816"/>
        <v>ADECUADO PARA EDAD GESTACIONAL</v>
      </c>
      <c r="RA194" s="21" t="str">
        <f t="shared" si="817"/>
        <v/>
      </c>
      <c r="RB194" s="21" t="str">
        <f t="shared" si="818"/>
        <v/>
      </c>
      <c r="RC194" s="21" t="str">
        <f t="shared" si="819"/>
        <v/>
      </c>
      <c r="RD194" s="21" t="str">
        <f t="shared" si="820"/>
        <v/>
      </c>
      <c r="RE194" s="21" t="str">
        <f t="shared" si="821"/>
        <v/>
      </c>
      <c r="RF194" s="21" t="str">
        <f t="shared" si="822"/>
        <v/>
      </c>
      <c r="RG194" s="21" t="str">
        <f t="shared" si="823"/>
        <v/>
      </c>
      <c r="RH194" s="21" t="str">
        <f t="shared" si="824"/>
        <v/>
      </c>
      <c r="RI194" s="21" t="str">
        <f t="shared" si="825"/>
        <v/>
      </c>
      <c r="RJ194" s="21" t="str">
        <f t="shared" si="826"/>
        <v/>
      </c>
      <c r="RK194" s="21" t="str">
        <f t="shared" si="827"/>
        <v/>
      </c>
      <c r="RL194" s="21" t="str">
        <f t="shared" si="828"/>
        <v/>
      </c>
      <c r="RM194" s="21" t="str">
        <f t="shared" si="829"/>
        <v/>
      </c>
      <c r="RN194" s="21" t="str">
        <f t="shared" si="830"/>
        <v/>
      </c>
      <c r="RO194" s="21" t="str">
        <f t="shared" si="831"/>
        <v/>
      </c>
      <c r="RP194" s="21" t="str">
        <f t="shared" si="832"/>
        <v/>
      </c>
      <c r="RQ194" s="21" t="str">
        <f t="shared" si="833"/>
        <v/>
      </c>
      <c r="RR194" s="21" t="str">
        <f t="shared" si="834"/>
        <v/>
      </c>
      <c r="RS194" s="21" t="str">
        <f t="shared" si="835"/>
        <v/>
      </c>
      <c r="RT194" s="21" t="str">
        <f t="shared" si="836"/>
        <v/>
      </c>
      <c r="RU194" s="21" t="str">
        <f t="shared" si="837"/>
        <v/>
      </c>
      <c r="RV194" s="21">
        <f t="shared" si="838"/>
        <v>-1</v>
      </c>
      <c r="RW194" s="284">
        <f>IF(OR(Tabla1[[#This Row],[FUM FORMULA CONFIABLE]]="",Tabla1[[#This Row],[FUM FORMULA CONFIABLE]]="SD"),"",IF(Tabla1[[#This Row],[FUM FORMULA CONFIABLE]]="CORREGIDA",Tabla1[[#This Row],[FUM X ECO 1]],Tabla1[[#This Row],[FUM x AMENORREA]]))</f>
        <v>45003</v>
      </c>
      <c r="RX194" s="21" t="str">
        <f>IF(AND(Tabla1[[#This Row],[FUM X ECO 1]]="",Tabla1[[#This Row],[FUM x AMENORREA]]=""),"",IF(AND(Tabla1[[#This Row],[FUM X ECO 1]]="",Tabla1[[#This Row],[FUM x AMENORREA]]&lt;&gt;""),"X",SUM(Tabla1[[#This Row],[FUM X ECO 1]]-Tabla1[[#This Row],[FUM x AMENORREA]])))</f>
        <v>X</v>
      </c>
      <c r="RY194" s="21" t="str">
        <f t="shared" si="840"/>
        <v>x</v>
      </c>
    </row>
    <row r="195" spans="1:493" ht="45" customHeight="1" x14ac:dyDescent="0.25">
      <c r="A195" s="109"/>
      <c r="B195" s="43"/>
      <c r="C195" s="43" t="s">
        <v>845</v>
      </c>
      <c r="D195" s="124"/>
      <c r="E195" s="43" t="s">
        <v>896</v>
      </c>
      <c r="F195" s="43" t="s">
        <v>953</v>
      </c>
      <c r="G195" s="43" t="s">
        <v>1217</v>
      </c>
      <c r="H195" s="43" t="s">
        <v>1471</v>
      </c>
      <c r="I195" s="109" t="s">
        <v>851</v>
      </c>
      <c r="J195" s="288">
        <v>1059602285</v>
      </c>
      <c r="K195" s="43" t="s">
        <v>852</v>
      </c>
      <c r="L195" s="175" t="s">
        <v>1509</v>
      </c>
      <c r="M195" s="22">
        <v>34107</v>
      </c>
      <c r="N195" s="213">
        <f t="shared" ca="1" si="841"/>
        <v>30.479452054794521</v>
      </c>
      <c r="O195" s="22">
        <v>45087</v>
      </c>
      <c r="P195" s="214" t="str">
        <f t="shared" si="675"/>
        <v>SI</v>
      </c>
      <c r="Q195" s="26" t="s">
        <v>855</v>
      </c>
      <c r="R195" s="22">
        <v>45087</v>
      </c>
      <c r="S195" s="21" t="s">
        <v>856</v>
      </c>
      <c r="T195" s="24" t="s">
        <v>690</v>
      </c>
      <c r="U195" s="21" t="s">
        <v>857</v>
      </c>
      <c r="V195" s="21" t="s">
        <v>858</v>
      </c>
      <c r="W195" s="21"/>
      <c r="X195" s="21"/>
      <c r="Y195" s="21"/>
      <c r="Z195" s="21">
        <v>3114020216</v>
      </c>
      <c r="AA195" s="21" t="s">
        <v>860</v>
      </c>
      <c r="AB195" s="27" t="s">
        <v>861</v>
      </c>
      <c r="AC195" s="26" t="s">
        <v>877</v>
      </c>
      <c r="AD195" s="38" t="s">
        <v>1546</v>
      </c>
      <c r="AE195" s="26" t="s">
        <v>854</v>
      </c>
      <c r="AF195" s="26" t="s">
        <v>854</v>
      </c>
      <c r="AG195" s="23" t="s">
        <v>864</v>
      </c>
      <c r="AH195" s="23" t="s">
        <v>864</v>
      </c>
      <c r="AI195" s="24" t="s">
        <v>863</v>
      </c>
      <c r="AJ195" s="23" t="s">
        <v>864</v>
      </c>
      <c r="AK195" s="220" t="str">
        <f>IF(AND(AD195="",AE195="",AF195="",AG195="",AH195="",AI195="",AJ195=""),"",IF(OR(Tabla1[[#This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EVALUACIÓN",IF(AND(O195="",R195=""),"",IF(AND(OR(O195&gt;0,R195&gt;0),NG195&gt;=0,NG195&lt;2),"SIN RIESGO",IF(AND(OR(O195&gt;0,R195&gt;0),NG195&gt;=2),"CON RIESGO","ASD")))))</f>
        <v>SIN RIESGO</v>
      </c>
      <c r="AL195" s="23" t="s">
        <v>864</v>
      </c>
      <c r="AM195" s="26" t="s">
        <v>864</v>
      </c>
      <c r="AN195" s="26" t="s">
        <v>864</v>
      </c>
      <c r="AO195" s="26" t="s">
        <v>864</v>
      </c>
      <c r="AP195" s="26" t="s">
        <v>864</v>
      </c>
      <c r="AQ195" s="26" t="s">
        <v>864</v>
      </c>
      <c r="AR195" s="26" t="s">
        <v>864</v>
      </c>
      <c r="AS195" s="21">
        <v>2</v>
      </c>
      <c r="AT195" s="21">
        <v>2</v>
      </c>
      <c r="AU195" s="21">
        <v>0</v>
      </c>
      <c r="AV195" s="26" t="s">
        <v>864</v>
      </c>
      <c r="AW195" s="21">
        <v>0</v>
      </c>
      <c r="AX195" s="26" t="s">
        <v>864</v>
      </c>
      <c r="AY195" s="26" t="s">
        <v>864</v>
      </c>
      <c r="AZ195" s="26" t="s">
        <v>864</v>
      </c>
      <c r="BA195" s="26" t="s">
        <v>864</v>
      </c>
      <c r="BB195" s="26" t="s">
        <v>864</v>
      </c>
      <c r="BC195" s="26" t="s">
        <v>864</v>
      </c>
      <c r="BD195" s="26" t="s">
        <v>864</v>
      </c>
      <c r="BE195" s="26" t="s">
        <v>864</v>
      </c>
      <c r="BF195" s="26" t="s">
        <v>864</v>
      </c>
      <c r="BG195" s="26" t="s">
        <v>864</v>
      </c>
      <c r="BH195" s="26" t="s">
        <v>864</v>
      </c>
      <c r="BI195" s="26" t="s">
        <v>864</v>
      </c>
      <c r="BJ195" s="26" t="s">
        <v>864</v>
      </c>
      <c r="BK195" s="26" t="s">
        <v>864</v>
      </c>
      <c r="BL195" s="26" t="s">
        <v>864</v>
      </c>
      <c r="BM195" s="26" t="s">
        <v>864</v>
      </c>
      <c r="BN195" s="22">
        <v>43328</v>
      </c>
      <c r="BO195" s="22">
        <v>45032</v>
      </c>
      <c r="BP195" s="21" t="s">
        <v>854</v>
      </c>
      <c r="BQ195" s="222">
        <f t="shared" si="842"/>
        <v>56.8</v>
      </c>
      <c r="BR195" s="223" t="str">
        <f t="shared" si="843"/>
        <v/>
      </c>
      <c r="BS195" s="224">
        <f t="shared" si="844"/>
        <v>7.8571428571428568</v>
      </c>
      <c r="BT195" s="216" t="str">
        <f t="shared" si="845"/>
        <v>I TRIM</v>
      </c>
      <c r="BU195" s="214">
        <f t="shared" ca="1" si="846"/>
        <v>28.571428571428573</v>
      </c>
      <c r="BV195" s="25"/>
      <c r="BW195" s="22"/>
      <c r="BX195" s="28"/>
      <c r="BY195" s="28"/>
      <c r="BZ195" s="22"/>
      <c r="CA195" s="21"/>
      <c r="CB195" s="26"/>
      <c r="CC195" s="26"/>
      <c r="CD195" s="26"/>
      <c r="CE195" s="26"/>
      <c r="CF195" s="22" t="s">
        <v>1517</v>
      </c>
      <c r="CG195" s="21">
        <v>1.48</v>
      </c>
      <c r="CH195" s="21">
        <v>44</v>
      </c>
      <c r="CI195" s="214">
        <f t="shared" si="847"/>
        <v>20.08765522279036</v>
      </c>
      <c r="CJ195" s="225" t="str">
        <f>IF(AND(CI195&lt;10,CH195="SD"),"SIN DATO PESO PREGESTACION O I TRIM",IF(AND(OR(R195&gt;0,O195&gt;0),CI195="X"),"INGRESAR DATO DE PESO",IF(CI195="SD","INGRESAR DATO DE TALLA Y PESO",IF(AND(OR(Tabla1[[#This Row],[MOMENTO EN QUE SE REALIZA EL PESO AL INGRESO A CPN]]="PREGESTACIÓN",NZ195="Menor"),CI195&lt;18.5),"BAJO PESO",IF(AND(OR(Tabla1[[#This Row],[MOMENTO EN QUE SE REALIZA EL PESO AL INGRESO A CPN]]="PREGESTACIÓN",NZ195="Menor"),CI195&lt;25),"NORMAL",IF(AND(OR(Tabla1[[#This Row],[MOMENTO EN QUE SE REALIZA EL PESO AL INGRESO A CPN]]="PREGESTACIÓN",NZ195="Menor"),CI195&lt;30),"SOBREPESO",IF(AND(OR(Tabla1[[#This Row],[MOMENTO EN QUE SE REALIZA EL PESO AL INGRESO A CPN]]="PREGESTACIÓN",NZ195="Menor"),CI195&gt;=30,CI195&lt;50),"OBESIDAD",IF(AND(BS195&gt;0,Tabla1[[#This Row],[MOMENTO EN QUE SE REALIZA EL PESO AL INGRESO A CPN]]="GESTACIÓN"),HLOOKUP(NZ195,$OA$2:PH195,NY195),""))))))))</f>
        <v>NORMAL</v>
      </c>
      <c r="CK195" s="212">
        <f t="shared" si="848"/>
        <v>45142</v>
      </c>
      <c r="CL195" s="21">
        <v>45.1</v>
      </c>
      <c r="CM195" s="214">
        <f t="shared" si="849"/>
        <v>20.589846603360119</v>
      </c>
      <c r="CN195" s="216">
        <f t="shared" si="850"/>
        <v>15</v>
      </c>
      <c r="CO195" s="216" t="e">
        <f>IF(PI195="","",IF(PI195&gt;0,HLOOKUP(PI195,$PJ$2:QQ195,NY195),""))</f>
        <v>#REF!</v>
      </c>
      <c r="CP195" s="21">
        <v>14</v>
      </c>
      <c r="CQ195" s="216" t="e">
        <f>IF(QR195="Menor","NO APLICA-MENOR 13 SEM",IF(AND(CC195="SI",CN195&gt;23),"NO APLICA- GEMELAR",IF(QR195="","",IF(QR195&gt;0,HLOOKUP(QR195,$QS$2:RU195,NY195),""))))</f>
        <v>#REF!</v>
      </c>
      <c r="CR195" s="21">
        <v>100</v>
      </c>
      <c r="CS195" s="21">
        <v>60</v>
      </c>
      <c r="CT195" s="217" t="str">
        <f>IF(R195="","",IF(AND(BS195&gt;1,BS195&lt;12,Tabla1[[#This Row],[T.A. SISTOLICA - ANTES DE SEMANA 12]]="",Tabla1[[#This Row],[T.A. DIASTOLICA - ANTES DE SEMANA 12]]=""),"REGISTRE DATO TA ANTES SEMANA 12",IF(AND(BS195&gt;11,BS195&lt;43,Tabla1[[#This Row],[T.A. SISTOLICA - ANTES DE SEMANA 12]]="",Tabla1[[#This Row],[T.A. DIASTOLICA - ANTES DE SEMANA 12]]=""),"NO APLICA REGISTRO TA-INGRESO TARDIO",IF(AND(OR(O195&gt;0,R195&gt;0),OR(CR195&gt;=140,CS195&gt;=90)),"DEFINIR ESTADIO HTA",IF(AND(OR(O195&gt;0,R195&gt;0),AND(CR195&gt;120,CR195&lt;=139)),"PRE HTA SEGUIMIENTO",IF(AND(OR(O195&gt;0,R195&gt;0),AND(CS195&gt;80,CS195&lt;=89)),"PRE HTA SEGUIMIENTO",IF(AND(OR(O195&gt;0,R195&gt;0),AND(CR195&gt;=80,CR195&lt;=120)),"APARENTEMENTE NORMAL",IF(AND(OR(O195&gt;0,R195&gt;0),AND(CS195&gt;=50,CS195&lt;=80)),"APARENTEMENTE NORMAL",IF(AND(OR(O195&gt;0,R195&gt;0),AND(CR195&gt;1,CR195&lt;=70),AND(CS195&gt;1,CS195&lt;=40)),"HIPOTENSIÓN","")))))))))</f>
        <v>APARENTEMENTE NORMAL</v>
      </c>
      <c r="CU195" s="21"/>
      <c r="CV195" s="21"/>
      <c r="CW195" s="217" t="str">
        <f ca="1">IF(R195="","",IF(AND(CN195&gt;19,CN195&lt;27,Tabla1[[#This Row],[T.A. SISTOLICA (Entre semana 20 y 26)]]="",Tabla1[[#This Row],[T.A. DIATOLICA (Entre semana 20 y 26)]]=""),"ACUDE A CONTROL SEM 20 A 26 REGISTRE TA AHORA",IF(AND(BS195&gt;1,BS195&lt;27,BU195&gt;19,Tabla1[[#This Row],[T.A. SISTOLICA (Entre semana 20 y 26)]]="",Tabla1[[#This Row],[T.A. DIATOLICA (Entre semana 20 y 26)]]=""),"COMPLETE REGISTRO TA CONTROL SEM 20 A26 ",IF(AND(BS195&gt;26,BS195&lt;43,Tabla1[[#This Row],[T.A. SISTOLICA (Entre semana 20 y 26)]]="",Tabla1[[#This Row],[T.A. DIATOLICA (Entre semana 20 y 26)]]=""),"NO APLICA REGISTRO TA-INGRESO TARDIO",IF(AND(OR(O195&gt;0,R195&gt;0),OR(CU195&gt;=140,CV195&gt;=90)),"ALTO RIESGO PREECLAMPSIA,DEFINIR ESTADIO HTA",IF(AND(OR(O195&gt;0,R195&gt;0),AND(CU195&gt;120,CU195&lt;=139)),"PRE HTA SEGUIMIENTO,RIESGO HIPERTENSION INDUCIDA POR EL EMBARAZO",IF(AND(OR(O195&gt;0,R195&gt;0),AND(CV195&gt;80,CV195&lt;=89)),"PRE HTA SEGUIMIENTO, RIESGO HIPERTENSION INDUCIDA POR EL EMBARAZO",IF(AND(OR(O195&lt;&gt;"",R195&lt;&gt;""),CS195&lt;&gt;"",CV195&lt;&gt;"",CS195&lt;=CV195),"VIGILAR CIFRAS PRESION ARTERIAL",IF(AND(OR(O195&gt;0,R195&gt;0),AND(CU195&gt;120,CU195&lt;=139)),"PRE HTA SEGUIMIENTO",IF(AND(OR(O195&gt;0,R195&gt;0),AND(CU195&gt;1,CU195&lt;=70),AND(CV195&gt;1,CV195&lt;=40)),"HIPOTENSIÓN",IF(AND(OR(O195&lt;&gt;"",R195&lt;&gt;""),CS195&lt;&gt;"",CV195&lt;&gt;"",CS195&gt;CV195),"APARENTEMENTE NORMAL",IF(AND(OR(O195&gt;0,R195&gt;0),AND(CU195&gt;=80,CU195&lt;=120)),"APARENTEMENTE NORMAL",IF(AND(OR(O195&gt;0,R195&gt;0),AND(CV195&gt;=50,CV195&lt;=80)),"APARENTEMENTE NORMAL","")))))))))))))</f>
        <v xml:space="preserve">COMPLETE REGISTRO TA CONTROL SEM 20 A26 </v>
      </c>
      <c r="CX195" s="21"/>
      <c r="CY195" s="21"/>
      <c r="CZ195" s="216" t="str">
        <f t="shared" si="729"/>
        <v/>
      </c>
      <c r="DA195" s="21">
        <v>90</v>
      </c>
      <c r="DB195" s="21">
        <v>60</v>
      </c>
      <c r="DC195" s="217" t="str">
        <f t="shared" si="851"/>
        <v>APARENTEMENTE NORMAL</v>
      </c>
      <c r="DD195" s="22">
        <v>45087</v>
      </c>
      <c r="DE195" s="22">
        <v>45087</v>
      </c>
      <c r="DF195" s="22">
        <v>45113</v>
      </c>
      <c r="DG195" s="22"/>
      <c r="DH195" s="22">
        <v>45142</v>
      </c>
      <c r="DI195" s="22"/>
      <c r="DJ195" s="22"/>
      <c r="DK195" s="22"/>
      <c r="DL195" s="22"/>
      <c r="DM195" s="22"/>
      <c r="DN195" s="22"/>
      <c r="DO195" s="22"/>
      <c r="DP195" s="22"/>
      <c r="DQ195" s="22"/>
      <c r="DR195" s="28"/>
      <c r="DS195" s="22"/>
      <c r="DT195" s="22"/>
      <c r="DU195" s="216" t="str">
        <f t="shared" ca="1" si="676"/>
        <v>PLANEAR PLAN DE PARTO</v>
      </c>
      <c r="DV195" s="226" t="str">
        <f t="shared" si="677"/>
        <v>ACTIVA INGRESO A CPN</v>
      </c>
      <c r="DW19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95" s="216" t="str">
        <f t="shared" si="852"/>
        <v>DIA DE CONTROL</v>
      </c>
      <c r="DY195" s="212">
        <f>IF(R195="","",IF(R195&gt;0,MAX(Tabla1[[#This Row],[FECHA C2]:[FECHA C13]],Tabla1[[#This Row],[FECHA CONSULTA PRIMERA VEZ PROGRAMA CPN ]])))</f>
        <v>45142</v>
      </c>
      <c r="DZ195" s="216">
        <f t="shared" si="853"/>
        <v>15</v>
      </c>
      <c r="EA195" s="222">
        <f>IF(R195&gt;0,SUM(COUNTA(DF195:DQ195)+COUNTA(Tabla1[[#This Row],[FECHA CONSULTA PRIMERA VEZ PROGRAMA CPN ]])),"")</f>
        <v>3</v>
      </c>
      <c r="EB195" s="222" t="str">
        <f t="shared" si="854"/>
        <v>NO</v>
      </c>
      <c r="EC195" s="214">
        <f t="shared" si="855"/>
        <v>10</v>
      </c>
      <c r="ED195" s="227">
        <f t="shared" si="856"/>
        <v>0.3</v>
      </c>
      <c r="EE195" s="22">
        <v>45087</v>
      </c>
      <c r="EF195" s="22">
        <v>45087</v>
      </c>
      <c r="EG195" s="22">
        <v>45087</v>
      </c>
      <c r="EH195" s="22"/>
      <c r="EI195" s="22">
        <v>45087</v>
      </c>
      <c r="EJ195" s="22"/>
      <c r="EK195" s="22"/>
      <c r="EL195" s="21"/>
      <c r="EM195" s="21">
        <v>13</v>
      </c>
      <c r="EN195" s="22">
        <v>45087</v>
      </c>
      <c r="EO195" s="222">
        <f t="shared" si="857"/>
        <v>7.8571428571428568</v>
      </c>
      <c r="EP195" s="214" t="str">
        <f t="shared" si="858"/>
        <v>NORMAL- SUMINISTRAR SULFATO FERROSO</v>
      </c>
      <c r="EQ195" s="216" t="str">
        <f t="shared" si="859"/>
        <v>I TRIM</v>
      </c>
      <c r="ER195" s="24"/>
      <c r="ES195" s="22"/>
      <c r="ET195" s="29" t="str">
        <f t="shared" ca="1" si="678"/>
        <v>EN SEMANA 28 TOMA INMEDIATA DE EXAMEN</v>
      </c>
      <c r="EU195" s="25" t="str">
        <f t="shared" si="860"/>
        <v/>
      </c>
      <c r="EV195" s="24" t="s">
        <v>1510</v>
      </c>
      <c r="EW195" s="22">
        <v>45087</v>
      </c>
      <c r="EX195" s="22"/>
      <c r="EY195" s="29">
        <f t="shared" si="693"/>
        <v>7.8571428571428568</v>
      </c>
      <c r="EZ195" s="25" t="str">
        <f t="shared" si="694"/>
        <v>SIN RIESGO DE ISOINMUNIZACIÓN</v>
      </c>
      <c r="FA195" s="21">
        <v>81</v>
      </c>
      <c r="FB195" s="22">
        <v>45087</v>
      </c>
      <c r="FC195" s="29">
        <f t="shared" si="861"/>
        <v>7.8571428571428568</v>
      </c>
      <c r="FD195" s="29"/>
      <c r="FE195" s="29"/>
      <c r="FF195" s="29"/>
      <c r="FG195" s="21" t="str">
        <f t="shared" ca="1" si="862"/>
        <v>TOMAR PTOG</v>
      </c>
      <c r="FH195" s="31"/>
      <c r="FI195" s="29" t="str">
        <f t="shared" si="863"/>
        <v>TOMAR EXAMEN</v>
      </c>
      <c r="FJ195" s="22" t="s">
        <v>867</v>
      </c>
      <c r="FK195" s="22">
        <v>45087</v>
      </c>
      <c r="FL195" s="29">
        <f t="shared" ca="1" si="864"/>
        <v>7.8571428571428568</v>
      </c>
      <c r="FM195" s="22"/>
      <c r="FN195" s="22"/>
      <c r="FO195" s="29" t="str">
        <f t="shared" ca="1" si="679"/>
        <v>PIERDE TOMA DE TAMIZAJE</v>
      </c>
      <c r="FP195" s="22"/>
      <c r="FQ195" s="32"/>
      <c r="FR195" s="29" t="str">
        <f t="shared" ca="1" si="680"/>
        <v>EN RANGO PARA TOMAR EXAMEN</v>
      </c>
      <c r="FS195" s="22"/>
      <c r="FT195" s="32"/>
      <c r="FU195" s="29" t="str">
        <f>IF(AND(FJ195="",FM195="",FP195="",FS195=""),"",IF(OR(OR(Tabla1[[#This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95" s="28"/>
      <c r="FW195" s="22"/>
      <c r="FX195" s="29" t="str">
        <f t="shared" si="865"/>
        <v>TOMAR EXAMEN</v>
      </c>
      <c r="FY195" s="22" t="s">
        <v>868</v>
      </c>
      <c r="FZ195" s="22">
        <v>45087</v>
      </c>
      <c r="GA195" s="29">
        <f t="shared" ca="1" si="739"/>
        <v>7.8571428571428568</v>
      </c>
      <c r="GB195" s="22"/>
      <c r="GC195" s="22"/>
      <c r="GD195" s="29" t="str">
        <f t="shared" ca="1" si="732"/>
        <v>PIERDE TOMA DE TAMIZAJE</v>
      </c>
      <c r="GE195" s="22"/>
      <c r="GF195" s="22"/>
      <c r="GG195" s="29" t="str">
        <f t="shared" ca="1" si="682"/>
        <v>EN RANGO PARA TOMAR EXAMEN</v>
      </c>
      <c r="GH195" s="22"/>
      <c r="GI195" s="29"/>
      <c r="GJ195" s="22"/>
      <c r="GK195" s="22"/>
      <c r="GL195" s="22"/>
      <c r="GM195" s="22"/>
      <c r="GN195" s="28" t="s">
        <v>869</v>
      </c>
      <c r="GO195" s="22">
        <v>45087</v>
      </c>
      <c r="GP195" s="29">
        <f t="shared" si="866"/>
        <v>7.8571428571428568</v>
      </c>
      <c r="GQ195" s="28" t="s">
        <v>869</v>
      </c>
      <c r="GR195" s="28" t="s">
        <v>869</v>
      </c>
      <c r="GS195" s="22" t="str">
        <f t="shared" si="728"/>
        <v>CONTROL Igm</v>
      </c>
      <c r="GT195" s="22">
        <v>45087</v>
      </c>
      <c r="GU195" s="29">
        <f t="shared" si="867"/>
        <v>7.8571428571428568</v>
      </c>
      <c r="GV195" s="21" t="str">
        <f t="shared" si="868"/>
        <v>I TRIM</v>
      </c>
      <c r="GW195" s="28"/>
      <c r="GX195" s="30"/>
      <c r="GY195" s="21"/>
      <c r="GZ195" s="21"/>
      <c r="HA195" s="21"/>
      <c r="HB195" s="21"/>
      <c r="HC195" s="21"/>
      <c r="HD195" s="21"/>
      <c r="HE195" s="21"/>
      <c r="HF195" s="22"/>
      <c r="HG195" s="22" t="str">
        <f>IF(OR(O195&gt;0,R195&gt;0),CONCATENATE(IF(Tabla1[[#This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95" s="22" t="e">
        <f t="shared" si="869"/>
        <v>#REF!</v>
      </c>
      <c r="HI195" s="22" t="e">
        <f t="shared" si="870"/>
        <v>#REF!</v>
      </c>
      <c r="HJ195" s="21" t="str">
        <f t="shared" ca="1" si="871"/>
        <v>***************************************</v>
      </c>
      <c r="HK195" s="21" t="str">
        <f t="shared" si="872"/>
        <v>SIN ANTECEDENTES DE RIESGO</v>
      </c>
      <c r="HL195" s="24" t="str">
        <f t="shared" si="873"/>
        <v>APARENTEMENTE NORMAL</v>
      </c>
      <c r="HM195" s="21" t="str">
        <f t="shared" si="874"/>
        <v>DIA DE CONTROL</v>
      </c>
      <c r="HN195" s="30" t="str">
        <f t="shared" si="683"/>
        <v>ACTIVA INGRESO A CPN</v>
      </c>
      <c r="HO195" s="21" t="s">
        <v>854</v>
      </c>
      <c r="HP195" s="21"/>
      <c r="HQ195" s="349"/>
      <c r="HR195" s="21"/>
      <c r="HS195" s="22"/>
      <c r="HT195" s="22"/>
      <c r="HU195" s="22">
        <v>45087</v>
      </c>
      <c r="HV195" s="22" t="s">
        <v>1506</v>
      </c>
      <c r="HW195" s="22">
        <v>45087</v>
      </c>
      <c r="HX195" s="22" t="s">
        <v>1511</v>
      </c>
      <c r="HY195" s="22"/>
      <c r="HZ195" s="28" t="str">
        <f t="shared" si="875"/>
        <v>PENDIENTE CONSULTA</v>
      </c>
      <c r="IA195" s="26"/>
      <c r="IB195" s="26"/>
      <c r="IC195" s="111"/>
      <c r="ID195" s="22"/>
      <c r="IE195" s="22" t="str">
        <f t="shared" ca="1" si="876"/>
        <v>INASISTENTE</v>
      </c>
      <c r="IF195" s="22"/>
      <c r="IG195" s="22">
        <f t="shared" si="877"/>
        <v>45312</v>
      </c>
      <c r="IH195" s="29">
        <f t="shared" ca="1" si="878"/>
        <v>80</v>
      </c>
      <c r="II195" s="22" t="str">
        <f t="shared" ca="1" si="879"/>
        <v>PENDIENTE</v>
      </c>
      <c r="IJ195" s="22"/>
      <c r="IK195" s="21"/>
      <c r="IL195" s="21"/>
      <c r="IM195" s="34"/>
      <c r="IN195" s="22"/>
      <c r="IO195" s="21"/>
      <c r="IP195" s="29"/>
      <c r="IQ195" s="35"/>
      <c r="IR195" s="21"/>
      <c r="IS195" s="21"/>
      <c r="IT195" s="21"/>
      <c r="IU195" s="21"/>
      <c r="IV195" s="21"/>
      <c r="IW195" s="21"/>
      <c r="IX195" s="21"/>
      <c r="IY195" s="21"/>
      <c r="IZ195" s="21"/>
      <c r="JA195" s="21"/>
      <c r="JB195" s="30"/>
      <c r="JC195" s="21"/>
      <c r="JD195" s="36"/>
      <c r="JE195" s="21"/>
      <c r="JF195" s="30"/>
      <c r="JG195" s="21"/>
      <c r="JH195" s="21"/>
      <c r="JI195" s="21"/>
      <c r="JJ195" s="30"/>
      <c r="JK195" s="22"/>
      <c r="JL195" s="22"/>
      <c r="JM195" s="21"/>
      <c r="JN195" s="36"/>
      <c r="JO195" s="21"/>
      <c r="JP195" s="22"/>
      <c r="JQ195" s="21"/>
      <c r="JR195" s="21"/>
      <c r="JS195" s="21"/>
      <c r="JT195" s="30"/>
      <c r="JU195" s="22"/>
      <c r="JV195" s="22"/>
      <c r="JW195" s="33"/>
      <c r="JX195" s="28"/>
      <c r="JY195" s="33"/>
      <c r="JZ195" s="28"/>
      <c r="KA195" s="21"/>
      <c r="KB195" s="21"/>
      <c r="KC195" s="21"/>
      <c r="KD195" s="37"/>
      <c r="KE195" s="28"/>
      <c r="KF195" s="28"/>
      <c r="KG195" s="28"/>
      <c r="KH195" s="39"/>
      <c r="KI195" s="39"/>
      <c r="KJ195" s="66"/>
      <c r="KK195" s="39"/>
      <c r="KL195" s="39"/>
      <c r="KM195" s="66"/>
      <c r="KN195" s="39"/>
      <c r="KO195" s="39"/>
      <c r="KP195" s="39"/>
      <c r="KQ195" s="39"/>
      <c r="KR195" s="39"/>
      <c r="KS195" s="39"/>
      <c r="KT195" s="39"/>
      <c r="KU195" s="38"/>
      <c r="KV195" s="38"/>
      <c r="KW195" s="38"/>
      <c r="KX195" s="38"/>
      <c r="KY195" s="38"/>
      <c r="KZ195" s="38"/>
      <c r="LA195" s="38"/>
      <c r="LB195" s="38"/>
      <c r="LC195" s="38"/>
      <c r="LD195" s="38"/>
      <c r="LE195" s="38"/>
      <c r="LF195" s="38"/>
      <c r="LG195" s="38"/>
      <c r="LH195" s="38"/>
      <c r="LI195" s="38"/>
      <c r="LJ195" s="38"/>
      <c r="LK195" s="38"/>
      <c r="LL195" s="38"/>
      <c r="LM195" s="38"/>
      <c r="LN195" s="38"/>
      <c r="LO195" s="38"/>
      <c r="LP195" s="38"/>
      <c r="LQ195" s="38"/>
      <c r="LR195" s="38"/>
      <c r="LS195" s="38"/>
      <c r="LT195" s="38"/>
      <c r="LU195" s="38"/>
      <c r="LV195" s="38"/>
      <c r="LW195" s="38"/>
      <c r="LX195" s="38"/>
      <c r="LY195" s="38"/>
      <c r="LZ195" s="38"/>
      <c r="MA195" s="38"/>
      <c r="MB195" s="38"/>
      <c r="MC195" s="38"/>
      <c r="MD195" s="38"/>
      <c r="ME195" s="38"/>
      <c r="MF195" s="38"/>
      <c r="MG195" s="38"/>
      <c r="MH195" s="43"/>
      <c r="MI195" s="43"/>
      <c r="MJ195" s="43"/>
      <c r="MK195" s="43"/>
      <c r="ML195" s="43"/>
      <c r="MM195" s="43"/>
      <c r="MN195" s="43"/>
      <c r="MO195" s="43"/>
      <c r="MP195" s="43"/>
      <c r="MQ195" s="43"/>
      <c r="MR195" s="43"/>
      <c r="MS195" s="43"/>
      <c r="MT195" s="43"/>
      <c r="MU195" s="43"/>
      <c r="MV195" s="43"/>
      <c r="MW195" s="43"/>
      <c r="MX195" s="43"/>
      <c r="MY195" s="43"/>
      <c r="MZ195" s="43"/>
      <c r="NA195" s="43"/>
      <c r="NB195" s="43"/>
      <c r="NC195" s="43"/>
      <c r="ND195" s="43"/>
      <c r="NE195" s="43"/>
      <c r="NF195" s="43"/>
      <c r="NG195" s="43"/>
      <c r="NH195" s="43"/>
      <c r="NI195" s="43"/>
      <c r="NJ195" s="43"/>
      <c r="NK195" s="43"/>
      <c r="NL195" s="43"/>
      <c r="NM195" s="43"/>
      <c r="NN195" s="43"/>
      <c r="NO195" s="43"/>
      <c r="NP195" s="204"/>
      <c r="NQ195" s="21"/>
      <c r="NR195" s="21"/>
      <c r="NS195" s="205"/>
      <c r="NT195" s="21"/>
      <c r="NU195" s="21"/>
      <c r="NV195" s="21"/>
      <c r="NW195" s="206"/>
      <c r="NX195" s="207"/>
      <c r="NY195" s="43">
        <f>ROW(Tabla1[[#This Row],['# DE TAMIZAJES SIFILIS TOMADOS ]])</f>
        <v>195</v>
      </c>
      <c r="NZ195" s="43" t="str">
        <f t="shared" si="740"/>
        <v>Menor</v>
      </c>
      <c r="OA195" s="43" t="str">
        <f t="shared" si="741"/>
        <v>NORMAL</v>
      </c>
      <c r="OB195" s="43" t="str">
        <f t="shared" si="742"/>
        <v/>
      </c>
      <c r="OC195" s="43" t="str">
        <f t="shared" si="743"/>
        <v/>
      </c>
      <c r="OD195" s="43" t="str">
        <f t="shared" si="744"/>
        <v/>
      </c>
      <c r="OE195" s="43" t="str">
        <f t="shared" si="745"/>
        <v/>
      </c>
      <c r="OF195" s="43" t="str">
        <f t="shared" si="746"/>
        <v/>
      </c>
      <c r="OG195" s="43" t="str">
        <f t="shared" si="747"/>
        <v/>
      </c>
      <c r="OH195" s="43" t="str">
        <f t="shared" si="748"/>
        <v/>
      </c>
      <c r="OI195" s="43" t="str">
        <f t="shared" si="749"/>
        <v/>
      </c>
      <c r="OJ195" s="43" t="str">
        <f t="shared" si="750"/>
        <v/>
      </c>
      <c r="OK195" s="43" t="str">
        <f t="shared" si="751"/>
        <v/>
      </c>
      <c r="OL195" s="43" t="str">
        <f t="shared" si="752"/>
        <v/>
      </c>
      <c r="OM195" s="43" t="str">
        <f t="shared" si="753"/>
        <v/>
      </c>
      <c r="ON195" s="43" t="str">
        <f t="shared" si="754"/>
        <v/>
      </c>
      <c r="OO195" s="43" t="str">
        <f t="shared" si="755"/>
        <v/>
      </c>
      <c r="OP195" s="43" t="str">
        <f t="shared" si="756"/>
        <v/>
      </c>
      <c r="OQ195" s="43" t="str">
        <f t="shared" si="757"/>
        <v/>
      </c>
      <c r="OR195" s="43" t="str">
        <f t="shared" si="758"/>
        <v/>
      </c>
      <c r="OS195" s="43" t="str">
        <f t="shared" si="759"/>
        <v/>
      </c>
      <c r="OT195" s="43" t="str">
        <f t="shared" si="760"/>
        <v/>
      </c>
      <c r="OU195" s="43" t="str">
        <f t="shared" si="761"/>
        <v/>
      </c>
      <c r="OV195" s="110" t="str">
        <f t="shared" si="762"/>
        <v/>
      </c>
      <c r="OW195" s="43" t="str">
        <f t="shared" si="763"/>
        <v/>
      </c>
      <c r="OX195" s="43" t="str">
        <f t="shared" si="764"/>
        <v/>
      </c>
      <c r="OY195" s="43" t="str">
        <f t="shared" si="765"/>
        <v/>
      </c>
      <c r="OZ195" s="43" t="str">
        <f t="shared" si="766"/>
        <v/>
      </c>
      <c r="PA195" s="43" t="str">
        <f t="shared" si="767"/>
        <v/>
      </c>
      <c r="PB195" s="43" t="str">
        <f t="shared" si="768"/>
        <v/>
      </c>
      <c r="PC195" s="43" t="str">
        <f t="shared" si="769"/>
        <v/>
      </c>
      <c r="PD195" s="43" t="str">
        <f t="shared" si="770"/>
        <v/>
      </c>
      <c r="PE195" s="43" t="str">
        <f t="shared" si="771"/>
        <v/>
      </c>
      <c r="PF195" s="43" t="str">
        <f t="shared" si="772"/>
        <v/>
      </c>
      <c r="PG195" s="43" t="str">
        <f t="shared" si="773"/>
        <v/>
      </c>
      <c r="PH195" s="43" t="str">
        <f t="shared" si="774"/>
        <v/>
      </c>
      <c r="PI195" s="43">
        <f t="shared" si="775"/>
        <v>15</v>
      </c>
      <c r="PJ195" s="43" t="str">
        <f t="shared" si="776"/>
        <v/>
      </c>
      <c r="PK195" s="43" t="str">
        <f t="shared" si="777"/>
        <v/>
      </c>
      <c r="PL195" s="43" t="str">
        <f t="shared" si="778"/>
        <v/>
      </c>
      <c r="PM195" s="43" t="str">
        <f t="shared" si="779"/>
        <v/>
      </c>
      <c r="PN195" s="43" t="str">
        <f t="shared" si="780"/>
        <v/>
      </c>
      <c r="PO195" s="43" t="str">
        <f t="shared" si="781"/>
        <v/>
      </c>
      <c r="PP195" s="43" t="str">
        <f t="shared" si="782"/>
        <v>BAJO PESO</v>
      </c>
      <c r="PQ195" s="43" t="str">
        <f t="shared" si="783"/>
        <v/>
      </c>
      <c r="PR195" s="43" t="str">
        <f t="shared" si="784"/>
        <v/>
      </c>
      <c r="PS195" s="43" t="str">
        <f t="shared" si="785"/>
        <v/>
      </c>
      <c r="PT195" s="43" t="str">
        <f t="shared" si="786"/>
        <v/>
      </c>
      <c r="PU195" s="43" t="str">
        <f t="shared" si="787"/>
        <v/>
      </c>
      <c r="PV195" s="43" t="str">
        <f t="shared" si="788"/>
        <v/>
      </c>
      <c r="PW195" s="43" t="str">
        <f t="shared" si="789"/>
        <v/>
      </c>
      <c r="PX195" s="43" t="str">
        <f t="shared" si="790"/>
        <v/>
      </c>
      <c r="PY195" s="43" t="str">
        <f t="shared" si="791"/>
        <v/>
      </c>
      <c r="PZ195" s="43" t="str">
        <f t="shared" si="792"/>
        <v/>
      </c>
      <c r="QA195" s="43" t="str">
        <f t="shared" si="793"/>
        <v/>
      </c>
      <c r="QB195" s="43" t="str">
        <f t="shared" si="794"/>
        <v/>
      </c>
      <c r="QC195" s="43" t="str">
        <f t="shared" si="795"/>
        <v/>
      </c>
      <c r="QD195" s="43" t="str">
        <f t="shared" si="796"/>
        <v/>
      </c>
      <c r="QE195" s="43" t="str">
        <f t="shared" si="797"/>
        <v/>
      </c>
      <c r="QF195" s="43" t="str">
        <f t="shared" si="798"/>
        <v/>
      </c>
      <c r="QG195" s="43" t="str">
        <f t="shared" si="799"/>
        <v/>
      </c>
      <c r="QH195" s="43" t="str">
        <f t="shared" si="800"/>
        <v/>
      </c>
      <c r="QI195" s="43" t="str">
        <f t="shared" si="801"/>
        <v/>
      </c>
      <c r="QJ195" s="43" t="str">
        <f t="shared" si="802"/>
        <v/>
      </c>
      <c r="QK195" s="43" t="str">
        <f t="shared" si="803"/>
        <v/>
      </c>
      <c r="QL195" s="43" t="str">
        <f t="shared" si="804"/>
        <v/>
      </c>
      <c r="QM195" s="43" t="str">
        <f t="shared" si="805"/>
        <v/>
      </c>
      <c r="QN195" s="43" t="str">
        <f t="shared" si="806"/>
        <v/>
      </c>
      <c r="QO195" s="43" t="str">
        <f t="shared" si="807"/>
        <v/>
      </c>
      <c r="QP195" s="43" t="str">
        <f t="shared" si="808"/>
        <v/>
      </c>
      <c r="QQ195" s="43" t="str">
        <f t="shared" si="809"/>
        <v/>
      </c>
      <c r="QR195" s="43">
        <f t="shared" si="839"/>
        <v>15</v>
      </c>
      <c r="QS195" s="43"/>
      <c r="QT195" s="21" t="str">
        <f t="shared" si="810"/>
        <v/>
      </c>
      <c r="QU195" s="21" t="str">
        <f t="shared" si="811"/>
        <v/>
      </c>
      <c r="QV195" s="21" t="str">
        <f t="shared" si="812"/>
        <v>ADECUADO PARA EDAD GESTACIONAL</v>
      </c>
      <c r="QW195" s="21" t="str">
        <f t="shared" si="813"/>
        <v/>
      </c>
      <c r="QX195" s="21" t="str">
        <f t="shared" si="814"/>
        <v/>
      </c>
      <c r="QY195" s="21" t="str">
        <f t="shared" si="815"/>
        <v/>
      </c>
      <c r="QZ195" s="21" t="str">
        <f t="shared" si="816"/>
        <v/>
      </c>
      <c r="RA195" s="21" t="str">
        <f t="shared" si="817"/>
        <v/>
      </c>
      <c r="RB195" s="21" t="str">
        <f t="shared" si="818"/>
        <v/>
      </c>
      <c r="RC195" s="21" t="str">
        <f t="shared" si="819"/>
        <v/>
      </c>
      <c r="RD195" s="21" t="str">
        <f t="shared" si="820"/>
        <v/>
      </c>
      <c r="RE195" s="21" t="str">
        <f t="shared" si="821"/>
        <v/>
      </c>
      <c r="RF195" s="21" t="str">
        <f t="shared" si="822"/>
        <v/>
      </c>
      <c r="RG195" s="21" t="str">
        <f t="shared" si="823"/>
        <v/>
      </c>
      <c r="RH195" s="21" t="str">
        <f t="shared" si="824"/>
        <v/>
      </c>
      <c r="RI195" s="21" t="str">
        <f t="shared" si="825"/>
        <v/>
      </c>
      <c r="RJ195" s="21" t="str">
        <f t="shared" si="826"/>
        <v/>
      </c>
      <c r="RK195" s="21" t="str">
        <f t="shared" si="827"/>
        <v/>
      </c>
      <c r="RL195" s="21" t="str">
        <f t="shared" si="828"/>
        <v/>
      </c>
      <c r="RM195" s="21" t="str">
        <f t="shared" si="829"/>
        <v/>
      </c>
      <c r="RN195" s="21" t="str">
        <f t="shared" si="830"/>
        <v/>
      </c>
      <c r="RO195" s="21" t="str">
        <f t="shared" si="831"/>
        <v/>
      </c>
      <c r="RP195" s="21" t="str">
        <f t="shared" si="832"/>
        <v/>
      </c>
      <c r="RQ195" s="21" t="str">
        <f t="shared" si="833"/>
        <v/>
      </c>
      <c r="RR195" s="21" t="str">
        <f t="shared" si="834"/>
        <v/>
      </c>
      <c r="RS195" s="21" t="str">
        <f t="shared" si="835"/>
        <v/>
      </c>
      <c r="RT195" s="21" t="str">
        <f t="shared" si="836"/>
        <v/>
      </c>
      <c r="RU195" s="21" t="str">
        <f t="shared" si="837"/>
        <v/>
      </c>
      <c r="RV195" s="21">
        <f t="shared" si="838"/>
        <v>-1</v>
      </c>
      <c r="RW195" s="284">
        <f>IF(OR(Tabla1[[#This Row],[FUM FORMULA CONFIABLE]]="",Tabla1[[#This Row],[FUM FORMULA CONFIABLE]]="SD"),"",IF(Tabla1[[#This Row],[FUM FORMULA CONFIABLE]]="CORREGIDA",Tabla1[[#This Row],[FUM X ECO 1]],Tabla1[[#This Row],[FUM x AMENORREA]]))</f>
        <v>45032</v>
      </c>
      <c r="RX195" s="21" t="str">
        <f>IF(AND(Tabla1[[#This Row],[FUM X ECO 1]]="",Tabla1[[#This Row],[FUM x AMENORREA]]=""),"",IF(AND(Tabla1[[#This Row],[FUM X ECO 1]]="",Tabla1[[#This Row],[FUM x AMENORREA]]&lt;&gt;""),"X",SUM(Tabla1[[#This Row],[FUM X ECO 1]]-Tabla1[[#This Row],[FUM x AMENORREA]])))</f>
        <v>X</v>
      </c>
      <c r="RY195" s="21" t="str">
        <f t="shared" si="840"/>
        <v>x</v>
      </c>
    </row>
    <row r="196" spans="1:493" ht="45" customHeight="1" x14ac:dyDescent="0.25">
      <c r="A196" s="109"/>
      <c r="B196" s="43"/>
      <c r="C196" s="43" t="s">
        <v>845</v>
      </c>
      <c r="D196" s="124"/>
      <c r="E196" s="43" t="s">
        <v>1540</v>
      </c>
      <c r="F196" s="43" t="s">
        <v>943</v>
      </c>
      <c r="G196" s="43" t="s">
        <v>1541</v>
      </c>
      <c r="H196" s="43" t="s">
        <v>1542</v>
      </c>
      <c r="I196" s="109" t="s">
        <v>851</v>
      </c>
      <c r="J196" s="289" t="s">
        <v>1539</v>
      </c>
      <c r="K196" s="43" t="s">
        <v>852</v>
      </c>
      <c r="L196" s="175" t="s">
        <v>1509</v>
      </c>
      <c r="M196" s="22">
        <v>37989</v>
      </c>
      <c r="N196" s="213">
        <f t="shared" ca="1" si="841"/>
        <v>19.843835616438355</v>
      </c>
      <c r="O196" s="22">
        <v>45090</v>
      </c>
      <c r="P196" s="214" t="str">
        <f t="shared" si="675"/>
        <v>SI</v>
      </c>
      <c r="Q196" s="26" t="s">
        <v>855</v>
      </c>
      <c r="R196" s="22">
        <v>45090</v>
      </c>
      <c r="S196" s="21" t="s">
        <v>856</v>
      </c>
      <c r="T196" s="24" t="s">
        <v>690</v>
      </c>
      <c r="U196" s="21" t="s">
        <v>857</v>
      </c>
      <c r="V196" s="21" t="s">
        <v>858</v>
      </c>
      <c r="W196" s="21" t="s">
        <v>1543</v>
      </c>
      <c r="X196" s="21"/>
      <c r="Y196" s="21"/>
      <c r="Z196" s="21">
        <v>3225143875</v>
      </c>
      <c r="AA196" s="21" t="s">
        <v>860</v>
      </c>
      <c r="AB196" s="27" t="s">
        <v>861</v>
      </c>
      <c r="AC196" s="26" t="s">
        <v>888</v>
      </c>
      <c r="AD196" s="38" t="s">
        <v>1546</v>
      </c>
      <c r="AE196" s="26" t="s">
        <v>854</v>
      </c>
      <c r="AF196" s="26" t="s">
        <v>854</v>
      </c>
      <c r="AG196" s="23" t="s">
        <v>864</v>
      </c>
      <c r="AH196" s="23" t="s">
        <v>864</v>
      </c>
      <c r="AI196" s="24" t="s">
        <v>863</v>
      </c>
      <c r="AJ196" s="23" t="s">
        <v>864</v>
      </c>
      <c r="AK196" s="220" t="str">
        <f>IF(AND(AD196="",AE196="",AF196="",AG196="",AH196="",AI196="",AJ196=""),"",IF(OR(Tabla1[[#This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EVALUACIÓN",IF(AND(O196="",R196=""),"",IF(AND(OR(O196&gt;0,R196&gt;0),NG196&gt;=0,NG196&lt;2),"SIN RIESGO",IF(AND(OR(O196&gt;0,R196&gt;0),NG196&gt;=2),"CON RIESGO","ASD")))))</f>
        <v>SIN RIESGO</v>
      </c>
      <c r="AL196" s="23" t="s">
        <v>864</v>
      </c>
      <c r="AM196" s="26" t="s">
        <v>864</v>
      </c>
      <c r="AN196" s="26" t="s">
        <v>864</v>
      </c>
      <c r="AO196" s="26" t="s">
        <v>864</v>
      </c>
      <c r="AP196" s="26" t="s">
        <v>864</v>
      </c>
      <c r="AQ196" s="26" t="s">
        <v>864</v>
      </c>
      <c r="AR196" s="26" t="s">
        <v>864</v>
      </c>
      <c r="AS196" s="21">
        <v>0</v>
      </c>
      <c r="AT196" s="21">
        <v>0</v>
      </c>
      <c r="AU196" s="21">
        <v>0</v>
      </c>
      <c r="AV196" s="26" t="s">
        <v>864</v>
      </c>
      <c r="AW196" s="21">
        <v>0</v>
      </c>
      <c r="AX196" s="26" t="s">
        <v>864</v>
      </c>
      <c r="AY196" s="26" t="s">
        <v>864</v>
      </c>
      <c r="AZ196" s="26" t="s">
        <v>864</v>
      </c>
      <c r="BA196" s="26" t="s">
        <v>864</v>
      </c>
      <c r="BB196" s="26" t="s">
        <v>864</v>
      </c>
      <c r="BC196" s="26" t="s">
        <v>864</v>
      </c>
      <c r="BD196" s="26" t="s">
        <v>864</v>
      </c>
      <c r="BE196" s="26" t="s">
        <v>864</v>
      </c>
      <c r="BF196" s="26" t="s">
        <v>864</v>
      </c>
      <c r="BG196" s="26" t="s">
        <v>864</v>
      </c>
      <c r="BH196" s="26" t="s">
        <v>864</v>
      </c>
      <c r="BI196" s="26" t="s">
        <v>864</v>
      </c>
      <c r="BJ196" s="26" t="s">
        <v>864</v>
      </c>
      <c r="BK196" s="26" t="s">
        <v>864</v>
      </c>
      <c r="BL196" s="26" t="s">
        <v>864</v>
      </c>
      <c r="BM196" s="26" t="s">
        <v>864</v>
      </c>
      <c r="BN196" s="22"/>
      <c r="BO196" s="22">
        <v>44893</v>
      </c>
      <c r="BP196" s="21" t="s">
        <v>1380</v>
      </c>
      <c r="BQ196" s="222">
        <f t="shared" si="842"/>
        <v>0</v>
      </c>
      <c r="BR196" s="223">
        <f t="shared" si="843"/>
        <v>44944</v>
      </c>
      <c r="BS196" s="224">
        <f t="shared" si="844"/>
        <v>20.857142857142858</v>
      </c>
      <c r="BT196" s="216" t="str">
        <f t="shared" si="845"/>
        <v>II TRIM</v>
      </c>
      <c r="BU196" s="214">
        <f t="shared" ca="1" si="846"/>
        <v>41.142857142857146</v>
      </c>
      <c r="BV196" s="25" t="s">
        <v>1478</v>
      </c>
      <c r="BW196" s="22">
        <v>44944</v>
      </c>
      <c r="BX196" s="28">
        <v>6</v>
      </c>
      <c r="BY196" s="28"/>
      <c r="BZ196" s="22"/>
      <c r="CA196" s="21"/>
      <c r="CB196" s="26"/>
      <c r="CC196" s="26"/>
      <c r="CD196" s="26"/>
      <c r="CE196" s="26"/>
      <c r="CF196" s="22" t="s">
        <v>1517</v>
      </c>
      <c r="CG196" s="21">
        <v>1.54</v>
      </c>
      <c r="CH196" s="21">
        <v>58.6</v>
      </c>
      <c r="CI196" s="214">
        <f t="shared" si="847"/>
        <v>24.709057176589646</v>
      </c>
      <c r="CJ196" s="225" t="e">
        <f>IF(AND(CI196&lt;10,CH196="SD"),"SIN DATO PESO PREGESTACION O I TRIM",IF(AND(OR(R196&gt;0,O196&gt;0),CI196="X"),"INGRESAR DATO DE PESO",IF(CI196="SD","INGRESAR DATO DE TALLA Y PESO",IF(AND(OR(Tabla1[[#This Row],[MOMENTO EN QUE SE REALIZA EL PESO AL INGRESO A CPN]]="PREGESTACIÓN",NZ196="Menor"),CI196&lt;18.5),"BAJO PESO",IF(AND(OR(Tabla1[[#This Row],[MOMENTO EN QUE SE REALIZA EL PESO AL INGRESO A CPN]]="PREGESTACIÓN",NZ196="Menor"),CI196&lt;25),"NORMAL",IF(AND(OR(Tabla1[[#This Row],[MOMENTO EN QUE SE REALIZA EL PESO AL INGRESO A CPN]]="PREGESTACIÓN",NZ196="Menor"),CI196&lt;30),"SOBREPESO",IF(AND(OR(Tabla1[[#This Row],[MOMENTO EN QUE SE REALIZA EL PESO AL INGRESO A CPN]]="PREGESTACIÓN",NZ196="Menor"),CI196&gt;=30,CI196&lt;50),"OBESIDAD",IF(AND(BS196&gt;0,Tabla1[[#This Row],[MOMENTO EN QUE SE REALIZA EL PESO AL INGRESO A CPN]]="GESTACIÓN"),HLOOKUP(NZ196,$OA$2:PH196,NY196),""))))))))</f>
        <v>#REF!</v>
      </c>
      <c r="CK196" s="212">
        <f t="shared" si="848"/>
        <v>45121</v>
      </c>
      <c r="CL196" s="21">
        <v>61.2</v>
      </c>
      <c r="CM196" s="214">
        <f t="shared" si="849"/>
        <v>25.805363467701131</v>
      </c>
      <c r="CN196" s="216">
        <f t="shared" si="850"/>
        <v>25</v>
      </c>
      <c r="CO196" s="216" t="e">
        <f>IF(PI196="","",IF(PI196&gt;0,HLOOKUP(PI196,$PJ$2:QQ196,NY196),""))</f>
        <v>#REF!</v>
      </c>
      <c r="CP196" s="21">
        <v>28</v>
      </c>
      <c r="CQ196" s="216" t="e">
        <f>IF(QR196="Menor","NO APLICA-MENOR 13 SEM",IF(AND(CC196="SI",CN196&gt;23),"NO APLICA- GEMELAR",IF(QR196="","",IF(QR196&gt;0,HLOOKUP(QR196,$QS$2:RU196,NY196),""))))</f>
        <v>#REF!</v>
      </c>
      <c r="CR196" s="21"/>
      <c r="CS196" s="21"/>
      <c r="CT196" s="217" t="str">
        <f>IF(R196="","",IF(AND(BS196&gt;1,BS196&lt;12,Tabla1[[#This Row],[T.A. SISTOLICA - ANTES DE SEMANA 12]]="",Tabla1[[#This Row],[T.A. DIASTOLICA - ANTES DE SEMANA 12]]=""),"REGISTRE DATO TA ANTES SEMANA 12",IF(AND(BS196&gt;11,BS196&lt;43,Tabla1[[#This Row],[T.A. SISTOLICA - ANTES DE SEMANA 12]]="",Tabla1[[#This Row],[T.A. DIASTOLICA - ANTES DE SEMANA 12]]=""),"NO APLICA REGISTRO TA-INGRESO TARDIO",IF(AND(OR(O196&gt;0,R196&gt;0),OR(CR196&gt;=140,CS196&gt;=90)),"DEFINIR ESTADIO HTA",IF(AND(OR(O196&gt;0,R196&gt;0),AND(CR196&gt;120,CR196&lt;=139)),"PRE HTA SEGUIMIENTO",IF(AND(OR(O196&gt;0,R196&gt;0),AND(CS196&gt;80,CS196&lt;=89)),"PRE HTA SEGUIMIENTO",IF(AND(OR(O196&gt;0,R196&gt;0),AND(CR196&gt;=80,CR196&lt;=120)),"APARENTEMENTE NORMAL",IF(AND(OR(O196&gt;0,R196&gt;0),AND(CS196&gt;=50,CS196&lt;=80)),"APARENTEMENTE NORMAL",IF(AND(OR(O196&gt;0,R196&gt;0),AND(CR196&gt;1,CR196&lt;=70),AND(CS196&gt;1,CS196&lt;=40)),"HIPOTENSIÓN","")))))))))</f>
        <v>NO APLICA REGISTRO TA-INGRESO TARDIO</v>
      </c>
      <c r="CU196" s="21">
        <v>90</v>
      </c>
      <c r="CV196" s="21">
        <v>70</v>
      </c>
      <c r="CW196" s="217" t="str">
        <f ca="1">IF(R196="","",IF(AND(CN196&gt;19,CN196&lt;27,Tabla1[[#This Row],[T.A. SISTOLICA (Entre semana 20 y 26)]]="",Tabla1[[#This Row],[T.A. DIATOLICA (Entre semana 20 y 26)]]=""),"ACUDE A CONTROL SEM 20 A 26 REGISTRE TA AHORA",IF(AND(BS196&gt;1,BS196&lt;27,BU196&gt;19,Tabla1[[#This Row],[T.A. SISTOLICA (Entre semana 20 y 26)]]="",Tabla1[[#This Row],[T.A. DIATOLICA (Entre semana 20 y 26)]]=""),"COMPLETE REGISTRO TA CONTROL SEM 20 A26 ",IF(AND(BS196&gt;26,BS196&lt;43,Tabla1[[#This Row],[T.A. SISTOLICA (Entre semana 20 y 26)]]="",Tabla1[[#This Row],[T.A. DIATOLICA (Entre semana 20 y 26)]]=""),"NO APLICA REGISTRO TA-INGRESO TARDIO",IF(AND(OR(O196&gt;0,R196&gt;0),OR(CU196&gt;=140,CV196&gt;=90)),"ALTO RIESGO PREECLAMPSIA,DEFINIR ESTADIO HTA",IF(AND(OR(O196&gt;0,R196&gt;0),AND(CU196&gt;120,CU196&lt;=139)),"PRE HTA SEGUIMIENTO,RIESGO HIPERTENSION INDUCIDA POR EL EMBARAZO",IF(AND(OR(O196&gt;0,R196&gt;0),AND(CV196&gt;80,CV196&lt;=89)),"PRE HTA SEGUIMIENTO, RIESGO HIPERTENSION INDUCIDA POR EL EMBARAZO",IF(AND(OR(O196&lt;&gt;"",R196&lt;&gt;""),CS196&lt;&gt;"",CV196&lt;&gt;"",CS196&lt;=CV196),"VIGILAR CIFRAS PRESION ARTERIAL",IF(AND(OR(O196&gt;0,R196&gt;0),AND(CU196&gt;120,CU196&lt;=139)),"PRE HTA SEGUIMIENTO",IF(AND(OR(O196&gt;0,R196&gt;0),AND(CU196&gt;1,CU196&lt;=70),AND(CV196&gt;1,CV196&lt;=40)),"HIPOTENSIÓN",IF(AND(OR(O196&lt;&gt;"",R196&lt;&gt;""),CS196&lt;&gt;"",CV196&lt;&gt;"",CS196&gt;CV196),"APARENTEMENTE NORMAL",IF(AND(OR(O196&gt;0,R196&gt;0),AND(CU196&gt;=80,CU196&lt;=120)),"APARENTEMENTE NORMAL",IF(AND(OR(O196&gt;0,R196&gt;0),AND(CV196&gt;=50,CV196&lt;=80)),"APARENTEMENTE NORMAL","")))))))))))))</f>
        <v>APARENTEMENTE NORMAL</v>
      </c>
      <c r="CX196" s="21">
        <v>90</v>
      </c>
      <c r="CY196" s="21">
        <v>60</v>
      </c>
      <c r="CZ196" s="216" t="str">
        <f t="shared" si="729"/>
        <v>APARENTEMENTE NORMAL</v>
      </c>
      <c r="DA196" s="21">
        <v>90</v>
      </c>
      <c r="DB196" s="21">
        <v>60</v>
      </c>
      <c r="DC196" s="217" t="str">
        <f t="shared" si="851"/>
        <v>APARENTEMENTE NORMAL</v>
      </c>
      <c r="DD196" s="22">
        <v>45090</v>
      </c>
      <c r="DE196" s="22">
        <v>45090</v>
      </c>
      <c r="DF196" s="22">
        <v>45121</v>
      </c>
      <c r="DG196" s="22"/>
      <c r="DH196" s="22"/>
      <c r="DI196" s="22"/>
      <c r="DJ196" s="22"/>
      <c r="DK196" s="22"/>
      <c r="DL196" s="22"/>
      <c r="DM196" s="22"/>
      <c r="DN196" s="22"/>
      <c r="DO196" s="22"/>
      <c r="DP196" s="22"/>
      <c r="DQ196" s="22"/>
      <c r="DR196" s="28"/>
      <c r="DS196" s="22"/>
      <c r="DT196" s="22"/>
      <c r="DU196" s="216" t="str">
        <f t="shared" ca="1" si="676"/>
        <v>CONCERTAR PLAN DE PARTO INMEDIATO</v>
      </c>
      <c r="DV196" s="226" t="str">
        <f t="shared" si="677"/>
        <v>ACTIVA INGRESO A CPN</v>
      </c>
      <c r="DW19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96" s="216" t="str">
        <f t="shared" si="852"/>
        <v>DIA DE CONTROL</v>
      </c>
      <c r="DY196" s="212">
        <f>IF(R196="","",IF(R196&gt;0,MAX(Tabla1[[#This Row],[FECHA C2]:[FECHA C13]],Tabla1[[#This Row],[FECHA CONSULTA PRIMERA VEZ PROGRAMA CPN ]])))</f>
        <v>45121</v>
      </c>
      <c r="DZ196" s="216">
        <f t="shared" si="853"/>
        <v>25</v>
      </c>
      <c r="EA196" s="222">
        <f>IF(R196&gt;0,SUM(COUNTA(DF196:DQ196)+COUNTA(Tabla1[[#This Row],[FECHA CONSULTA PRIMERA VEZ PROGRAMA CPN ]])),"")</f>
        <v>2</v>
      </c>
      <c r="EB196" s="222" t="str">
        <f t="shared" si="854"/>
        <v>NO</v>
      </c>
      <c r="EC196" s="214">
        <f t="shared" si="855"/>
        <v>6</v>
      </c>
      <c r="ED196" s="227">
        <f t="shared" si="856"/>
        <v>0.33333333333333331</v>
      </c>
      <c r="EE196" s="22">
        <v>45090</v>
      </c>
      <c r="EF196" s="22"/>
      <c r="EG196" s="22">
        <v>45090</v>
      </c>
      <c r="EH196" s="22"/>
      <c r="EI196" s="22">
        <v>45090</v>
      </c>
      <c r="EJ196" s="22"/>
      <c r="EK196" s="22"/>
      <c r="EL196" s="21"/>
      <c r="EM196" s="21">
        <v>15</v>
      </c>
      <c r="EN196" s="22">
        <v>44946</v>
      </c>
      <c r="EO196" s="222">
        <f t="shared" si="857"/>
        <v>0.2857142857142857</v>
      </c>
      <c r="EP196" s="214" t="str">
        <f t="shared" si="858"/>
        <v>NO DAR SULFATO FERROSO</v>
      </c>
      <c r="EQ196" s="216" t="str">
        <f t="shared" si="859"/>
        <v>I TRIM</v>
      </c>
      <c r="ER196" s="24"/>
      <c r="ES196" s="22"/>
      <c r="ET196" s="29" t="str">
        <f t="shared" ca="1" si="678"/>
        <v>TOMA DE HEMOGLOBINA TARDÍA</v>
      </c>
      <c r="EU196" s="25" t="str">
        <f t="shared" si="860"/>
        <v/>
      </c>
      <c r="EV196" s="24" t="s">
        <v>1510</v>
      </c>
      <c r="EW196" s="32">
        <v>44947</v>
      </c>
      <c r="EX196" s="22"/>
      <c r="EY196" s="29">
        <f t="shared" si="693"/>
        <v>0.42857142857142855</v>
      </c>
      <c r="EZ196" s="25" t="str">
        <f t="shared" si="694"/>
        <v>SIN RIESGO DE ISOINMUNIZACIÓN</v>
      </c>
      <c r="FA196" s="21">
        <v>79</v>
      </c>
      <c r="FB196" s="22">
        <v>44947</v>
      </c>
      <c r="FC196" s="29">
        <f t="shared" si="861"/>
        <v>0.42857142857142855</v>
      </c>
      <c r="FD196" s="29">
        <v>73</v>
      </c>
      <c r="FE196" s="29">
        <v>108</v>
      </c>
      <c r="FF196" s="29">
        <v>100</v>
      </c>
      <c r="FG196" s="21" t="str">
        <f t="shared" ca="1" si="862"/>
        <v>NORMAL</v>
      </c>
      <c r="FH196" s="31">
        <v>45121</v>
      </c>
      <c r="FI196" s="29">
        <f t="shared" si="863"/>
        <v>25.285714285714285</v>
      </c>
      <c r="FJ196" s="22" t="s">
        <v>867</v>
      </c>
      <c r="FK196" s="22">
        <v>44947</v>
      </c>
      <c r="FL196" s="29">
        <f t="shared" ca="1" si="864"/>
        <v>0.42857142857142855</v>
      </c>
      <c r="FM196" s="22"/>
      <c r="FN196" s="32"/>
      <c r="FO196" s="29" t="str">
        <f t="shared" ca="1" si="679"/>
        <v>PIERDE TOMA DE TAMIZAJE</v>
      </c>
      <c r="FP196" s="22"/>
      <c r="FQ196" s="32"/>
      <c r="FR196" s="29" t="str">
        <f t="shared" ca="1" si="680"/>
        <v>TOMA INMEDIATA DE TAMIZAJE</v>
      </c>
      <c r="FS196" s="22"/>
      <c r="FT196" s="32"/>
      <c r="FU196" s="29" t="str">
        <f>IF(AND(FJ196="",FM196="",FP196="",FS196=""),"",IF(OR(OR(Tabla1[[#This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96" s="28"/>
      <c r="FW196" s="22"/>
      <c r="FX196" s="29" t="str">
        <f t="shared" si="865"/>
        <v>TOMAR EXAMEN</v>
      </c>
      <c r="FY196" s="22" t="s">
        <v>868</v>
      </c>
      <c r="FZ196" s="22">
        <v>44947</v>
      </c>
      <c r="GA196" s="29">
        <f t="shared" ca="1" si="739"/>
        <v>0.42857142857142855</v>
      </c>
      <c r="GB196" s="22"/>
      <c r="GC196" s="22"/>
      <c r="GD196" s="29" t="str">
        <f t="shared" ca="1" si="732"/>
        <v>PIERDE TOMA DE TAMIZAJE</v>
      </c>
      <c r="GE196" s="22"/>
      <c r="GF196" s="22"/>
      <c r="GG196" s="29" t="str">
        <f t="shared" ca="1" si="682"/>
        <v>TOMA INMEDIATA DE TAMIZAJE</v>
      </c>
      <c r="GH196" s="22"/>
      <c r="GI196" s="29"/>
      <c r="GJ196" s="22"/>
      <c r="GK196" s="22"/>
      <c r="GL196" s="22"/>
      <c r="GM196" s="22"/>
      <c r="GN196" s="28" t="s">
        <v>869</v>
      </c>
      <c r="GO196" s="22">
        <v>44947</v>
      </c>
      <c r="GP196" s="29">
        <f t="shared" si="866"/>
        <v>0.42857142857142855</v>
      </c>
      <c r="GQ196" s="28" t="s">
        <v>869</v>
      </c>
      <c r="GR196" s="28" t="s">
        <v>869</v>
      </c>
      <c r="GS196" s="22" t="str">
        <f t="shared" si="728"/>
        <v>CONTROL Igm</v>
      </c>
      <c r="GT196" s="22">
        <v>44947</v>
      </c>
      <c r="GU196" s="29">
        <f t="shared" si="867"/>
        <v>7.7142857142857144</v>
      </c>
      <c r="GV196" s="21" t="str">
        <f t="shared" si="868"/>
        <v>I TRIM</v>
      </c>
      <c r="GW196" s="28"/>
      <c r="GX196" s="30"/>
      <c r="GY196" s="21"/>
      <c r="GZ196" s="21"/>
      <c r="HA196" s="21"/>
      <c r="HB196" s="21"/>
      <c r="HC196" s="21"/>
      <c r="HD196" s="21"/>
      <c r="HE196" s="21"/>
      <c r="HF196" s="22"/>
      <c r="HG196" s="22" t="str">
        <f>IF(OR(O196&gt;0,R196&gt;0),CONCATENATE(IF(Tabla1[[#This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96" s="22" t="e">
        <f t="shared" si="869"/>
        <v>#REF!</v>
      </c>
      <c r="HI196" s="22" t="e">
        <f t="shared" si="870"/>
        <v>#REF!</v>
      </c>
      <c r="HJ196" s="21" t="str">
        <f t="shared" ca="1" si="871"/>
        <v>***************************************</v>
      </c>
      <c r="HK196" s="21" t="str">
        <f t="shared" si="872"/>
        <v>SIN ANTECEDENTES DE RIESGO</v>
      </c>
      <c r="HL196" s="24" t="str">
        <f t="shared" si="873"/>
        <v>APARENTEMENTE NORMAL</v>
      </c>
      <c r="HM196" s="21" t="str">
        <f t="shared" si="874"/>
        <v>DIA DE CONTROL</v>
      </c>
      <c r="HN196" s="30" t="str">
        <f t="shared" si="683"/>
        <v>ACTIVA INGRESO A CPN</v>
      </c>
      <c r="HO196" s="21"/>
      <c r="HP196" s="21"/>
      <c r="HQ196" s="349"/>
      <c r="HR196" s="21"/>
      <c r="HS196" s="22"/>
      <c r="HT196" s="22"/>
      <c r="HU196" s="22"/>
      <c r="HV196" s="22"/>
      <c r="HW196" s="22"/>
      <c r="HX196" s="22"/>
      <c r="HY196" s="22"/>
      <c r="HZ196" s="28" t="str">
        <f t="shared" si="875"/>
        <v>PENDIENTE CONSULTA</v>
      </c>
      <c r="IA196" s="26"/>
      <c r="IB196" s="26"/>
      <c r="IC196" s="111"/>
      <c r="ID196" s="22"/>
      <c r="IE196" s="22" t="str">
        <f t="shared" ca="1" si="876"/>
        <v>INASISTENTE</v>
      </c>
      <c r="IF196" s="22"/>
      <c r="IG196" s="22">
        <f t="shared" si="877"/>
        <v>45224</v>
      </c>
      <c r="IH196" s="29">
        <f t="shared" ca="1" si="878"/>
        <v>-8</v>
      </c>
      <c r="II196" s="22" t="str">
        <f t="shared" ca="1" si="879"/>
        <v>POSIBLEMENTE NACIO</v>
      </c>
      <c r="IJ196" s="22"/>
      <c r="IK196" s="21"/>
      <c r="IL196" s="21"/>
      <c r="IM196" s="34"/>
      <c r="IN196" s="22"/>
      <c r="IO196" s="21"/>
      <c r="IP196" s="29"/>
      <c r="IQ196" s="35"/>
      <c r="IR196" s="21"/>
      <c r="IS196" s="21"/>
      <c r="IT196" s="21"/>
      <c r="IU196" s="21"/>
      <c r="IV196" s="21"/>
      <c r="IW196" s="21"/>
      <c r="IX196" s="21"/>
      <c r="IY196" s="21"/>
      <c r="IZ196" s="21"/>
      <c r="JA196" s="21"/>
      <c r="JB196" s="30"/>
      <c r="JC196" s="21"/>
      <c r="JD196" s="36"/>
      <c r="JE196" s="21"/>
      <c r="JF196" s="30"/>
      <c r="JG196" s="21"/>
      <c r="JH196" s="21"/>
      <c r="JI196" s="21"/>
      <c r="JJ196" s="30"/>
      <c r="JK196" s="22"/>
      <c r="JL196" s="22"/>
      <c r="JM196" s="21"/>
      <c r="JN196" s="36"/>
      <c r="JO196" s="21"/>
      <c r="JP196" s="22"/>
      <c r="JQ196" s="21"/>
      <c r="JR196" s="21"/>
      <c r="JS196" s="21"/>
      <c r="JT196" s="30"/>
      <c r="JU196" s="22"/>
      <c r="JV196" s="22"/>
      <c r="JW196" s="33"/>
      <c r="JX196" s="28"/>
      <c r="JY196" s="33"/>
      <c r="JZ196" s="28"/>
      <c r="KA196" s="21"/>
      <c r="KB196" s="21"/>
      <c r="KC196" s="21"/>
      <c r="KD196" s="37"/>
      <c r="KE196" s="28"/>
      <c r="KF196" s="28"/>
      <c r="KG196" s="28"/>
      <c r="KH196" s="39"/>
      <c r="KI196" s="39"/>
      <c r="KJ196" s="66"/>
      <c r="KK196" s="39"/>
      <c r="KL196" s="39"/>
      <c r="KM196" s="66"/>
      <c r="KN196" s="39"/>
      <c r="KO196" s="39"/>
      <c r="KP196" s="39"/>
      <c r="KQ196" s="39"/>
      <c r="KR196" s="39"/>
      <c r="KS196" s="39"/>
      <c r="KT196" s="39"/>
      <c r="KU196" s="38"/>
      <c r="KV196" s="38"/>
      <c r="KW196" s="38"/>
      <c r="KX196" s="38"/>
      <c r="KY196" s="38"/>
      <c r="KZ196" s="38"/>
      <c r="LA196" s="38"/>
      <c r="LB196" s="38"/>
      <c r="LC196" s="38"/>
      <c r="LD196" s="38"/>
      <c r="LE196" s="38"/>
      <c r="LF196" s="38"/>
      <c r="LG196" s="38"/>
      <c r="LH196" s="38"/>
      <c r="LI196" s="38"/>
      <c r="LJ196" s="38"/>
      <c r="LK196" s="38"/>
      <c r="LL196" s="38"/>
      <c r="LM196" s="38"/>
      <c r="LN196" s="38"/>
      <c r="LO196" s="38"/>
      <c r="LP196" s="38"/>
      <c r="LQ196" s="38"/>
      <c r="LR196" s="38"/>
      <c r="LS196" s="38"/>
      <c r="LT196" s="38"/>
      <c r="LU196" s="38"/>
      <c r="LV196" s="38"/>
      <c r="LW196" s="38"/>
      <c r="LX196" s="38"/>
      <c r="LY196" s="38"/>
      <c r="LZ196" s="38"/>
      <c r="MA196" s="38"/>
      <c r="MB196" s="38"/>
      <c r="MC196" s="38"/>
      <c r="MD196" s="38"/>
      <c r="ME196" s="38"/>
      <c r="MF196" s="38"/>
      <c r="MG196" s="38"/>
      <c r="MH196" s="43"/>
      <c r="MI196" s="43"/>
      <c r="MJ196" s="43"/>
      <c r="MK196" s="43"/>
      <c r="ML196" s="43"/>
      <c r="MM196" s="43"/>
      <c r="MN196" s="43"/>
      <c r="MO196" s="43"/>
      <c r="MP196" s="43"/>
      <c r="MQ196" s="43"/>
      <c r="MR196" s="43"/>
      <c r="MS196" s="43"/>
      <c r="MT196" s="43"/>
      <c r="MU196" s="43"/>
      <c r="MV196" s="43"/>
      <c r="MW196" s="43"/>
      <c r="MX196" s="43"/>
      <c r="MY196" s="43"/>
      <c r="MZ196" s="43"/>
      <c r="NA196" s="43"/>
      <c r="NB196" s="43"/>
      <c r="NC196" s="43"/>
      <c r="ND196" s="43"/>
      <c r="NE196" s="43"/>
      <c r="NF196" s="43"/>
      <c r="NG196" s="43"/>
      <c r="NH196" s="43"/>
      <c r="NI196" s="43"/>
      <c r="NJ196" s="43"/>
      <c r="NK196" s="43"/>
      <c r="NL196" s="43"/>
      <c r="NM196" s="43"/>
      <c r="NN196" s="43"/>
      <c r="NO196" s="43"/>
      <c r="NP196" s="204"/>
      <c r="NQ196" s="21"/>
      <c r="NR196" s="21"/>
      <c r="NS196" s="205"/>
      <c r="NT196" s="21"/>
      <c r="NU196" s="21"/>
      <c r="NV196" s="21"/>
      <c r="NW196" s="206"/>
      <c r="NX196" s="207"/>
      <c r="NY196" s="43">
        <f>ROW(Tabla1[[#This Row],['# DE TAMIZAJES SIFILIS TOMADOS ]])</f>
        <v>196</v>
      </c>
      <c r="NZ196" s="43">
        <f t="shared" si="740"/>
        <v>20</v>
      </c>
      <c r="OA196" s="43" t="str">
        <f t="shared" si="741"/>
        <v/>
      </c>
      <c r="OB196" s="43" t="str">
        <f t="shared" si="742"/>
        <v/>
      </c>
      <c r="OC196" s="43" t="str">
        <f t="shared" si="743"/>
        <v/>
      </c>
      <c r="OD196" s="43" t="str">
        <f t="shared" si="744"/>
        <v/>
      </c>
      <c r="OE196" s="43" t="str">
        <f t="shared" si="745"/>
        <v/>
      </c>
      <c r="OF196" s="43" t="str">
        <f t="shared" si="746"/>
        <v/>
      </c>
      <c r="OG196" s="43" t="str">
        <f t="shared" si="747"/>
        <v/>
      </c>
      <c r="OH196" s="43" t="str">
        <f t="shared" si="748"/>
        <v/>
      </c>
      <c r="OI196" s="43" t="str">
        <f t="shared" si="749"/>
        <v/>
      </c>
      <c r="OJ196" s="43" t="str">
        <f t="shared" si="750"/>
        <v/>
      </c>
      <c r="OK196" s="43" t="str">
        <f t="shared" si="751"/>
        <v/>
      </c>
      <c r="OL196" s="43" t="str">
        <f t="shared" si="752"/>
        <v>NORMAL</v>
      </c>
      <c r="OM196" s="43" t="str">
        <f t="shared" si="753"/>
        <v/>
      </c>
      <c r="ON196" s="43" t="str">
        <f t="shared" si="754"/>
        <v/>
      </c>
      <c r="OO196" s="43" t="str">
        <f t="shared" si="755"/>
        <v/>
      </c>
      <c r="OP196" s="43" t="str">
        <f t="shared" si="756"/>
        <v/>
      </c>
      <c r="OQ196" s="43" t="str">
        <f t="shared" si="757"/>
        <v/>
      </c>
      <c r="OR196" s="43" t="str">
        <f t="shared" si="758"/>
        <v/>
      </c>
      <c r="OS196" s="43" t="str">
        <f t="shared" si="759"/>
        <v/>
      </c>
      <c r="OT196" s="43" t="str">
        <f t="shared" si="760"/>
        <v/>
      </c>
      <c r="OU196" s="43" t="str">
        <f t="shared" si="761"/>
        <v/>
      </c>
      <c r="OV196" s="110" t="str">
        <f t="shared" si="762"/>
        <v/>
      </c>
      <c r="OW196" s="43" t="str">
        <f t="shared" si="763"/>
        <v/>
      </c>
      <c r="OX196" s="43" t="str">
        <f t="shared" si="764"/>
        <v/>
      </c>
      <c r="OY196" s="43" t="str">
        <f t="shared" si="765"/>
        <v/>
      </c>
      <c r="OZ196" s="43" t="str">
        <f t="shared" si="766"/>
        <v/>
      </c>
      <c r="PA196" s="43" t="str">
        <f t="shared" si="767"/>
        <v/>
      </c>
      <c r="PB196" s="43" t="str">
        <f t="shared" si="768"/>
        <v/>
      </c>
      <c r="PC196" s="43" t="str">
        <f t="shared" si="769"/>
        <v/>
      </c>
      <c r="PD196" s="43" t="str">
        <f t="shared" si="770"/>
        <v/>
      </c>
      <c r="PE196" s="43" t="str">
        <f t="shared" si="771"/>
        <v/>
      </c>
      <c r="PF196" s="43" t="str">
        <f t="shared" si="772"/>
        <v/>
      </c>
      <c r="PG196" s="43" t="str">
        <f t="shared" si="773"/>
        <v/>
      </c>
      <c r="PH196" s="43" t="str">
        <f t="shared" si="774"/>
        <v/>
      </c>
      <c r="PI196" s="43">
        <f t="shared" si="775"/>
        <v>25</v>
      </c>
      <c r="PJ196" s="43" t="str">
        <f t="shared" si="776"/>
        <v/>
      </c>
      <c r="PK196" s="43" t="str">
        <f t="shared" si="777"/>
        <v/>
      </c>
      <c r="PL196" s="43" t="str">
        <f t="shared" si="778"/>
        <v/>
      </c>
      <c r="PM196" s="43" t="str">
        <f t="shared" si="779"/>
        <v/>
      </c>
      <c r="PN196" s="43" t="str">
        <f t="shared" si="780"/>
        <v/>
      </c>
      <c r="PO196" s="43" t="str">
        <f t="shared" si="781"/>
        <v/>
      </c>
      <c r="PP196" s="43" t="str">
        <f t="shared" si="782"/>
        <v/>
      </c>
      <c r="PQ196" s="43" t="str">
        <f t="shared" si="783"/>
        <v/>
      </c>
      <c r="PR196" s="43" t="str">
        <f t="shared" si="784"/>
        <v/>
      </c>
      <c r="PS196" s="43" t="str">
        <f t="shared" si="785"/>
        <v/>
      </c>
      <c r="PT196" s="43" t="str">
        <f t="shared" si="786"/>
        <v/>
      </c>
      <c r="PU196" s="43" t="str">
        <f t="shared" si="787"/>
        <v/>
      </c>
      <c r="PV196" s="43" t="str">
        <f t="shared" si="788"/>
        <v/>
      </c>
      <c r="PW196" s="43" t="str">
        <f t="shared" si="789"/>
        <v/>
      </c>
      <c r="PX196" s="43" t="str">
        <f t="shared" si="790"/>
        <v/>
      </c>
      <c r="PY196" s="43" t="str">
        <f t="shared" si="791"/>
        <v/>
      </c>
      <c r="PZ196" s="43" t="str">
        <f t="shared" si="792"/>
        <v>NORMAL</v>
      </c>
      <c r="QA196" s="43" t="str">
        <f t="shared" si="793"/>
        <v/>
      </c>
      <c r="QB196" s="43" t="str">
        <f t="shared" si="794"/>
        <v/>
      </c>
      <c r="QC196" s="43" t="str">
        <f t="shared" si="795"/>
        <v/>
      </c>
      <c r="QD196" s="43" t="str">
        <f t="shared" si="796"/>
        <v/>
      </c>
      <c r="QE196" s="43" t="str">
        <f t="shared" si="797"/>
        <v/>
      </c>
      <c r="QF196" s="43" t="str">
        <f t="shared" si="798"/>
        <v/>
      </c>
      <c r="QG196" s="43" t="str">
        <f t="shared" si="799"/>
        <v/>
      </c>
      <c r="QH196" s="43" t="str">
        <f t="shared" si="800"/>
        <v/>
      </c>
      <c r="QI196" s="43" t="str">
        <f t="shared" si="801"/>
        <v/>
      </c>
      <c r="QJ196" s="43" t="str">
        <f t="shared" si="802"/>
        <v/>
      </c>
      <c r="QK196" s="43" t="str">
        <f t="shared" si="803"/>
        <v/>
      </c>
      <c r="QL196" s="43" t="str">
        <f t="shared" si="804"/>
        <v/>
      </c>
      <c r="QM196" s="43" t="str">
        <f t="shared" si="805"/>
        <v/>
      </c>
      <c r="QN196" s="43" t="str">
        <f t="shared" si="806"/>
        <v/>
      </c>
      <c r="QO196" s="43" t="str">
        <f t="shared" si="807"/>
        <v/>
      </c>
      <c r="QP196" s="43" t="str">
        <f t="shared" si="808"/>
        <v/>
      </c>
      <c r="QQ196" s="43" t="str">
        <f t="shared" si="809"/>
        <v/>
      </c>
      <c r="QR196" s="43">
        <f t="shared" si="839"/>
        <v>25</v>
      </c>
      <c r="QS196" s="43"/>
      <c r="QT196" s="21" t="str">
        <f t="shared" si="810"/>
        <v/>
      </c>
      <c r="QU196" s="21" t="str">
        <f t="shared" si="811"/>
        <v/>
      </c>
      <c r="QV196" s="21" t="str">
        <f t="shared" si="812"/>
        <v/>
      </c>
      <c r="QW196" s="21" t="str">
        <f t="shared" si="813"/>
        <v/>
      </c>
      <c r="QX196" s="21" t="str">
        <f t="shared" si="814"/>
        <v/>
      </c>
      <c r="QY196" s="21" t="str">
        <f t="shared" si="815"/>
        <v/>
      </c>
      <c r="QZ196" s="21" t="str">
        <f t="shared" si="816"/>
        <v/>
      </c>
      <c r="RA196" s="21" t="str">
        <f t="shared" si="817"/>
        <v/>
      </c>
      <c r="RB196" s="21" t="str">
        <f t="shared" si="818"/>
        <v/>
      </c>
      <c r="RC196" s="21" t="str">
        <f t="shared" si="819"/>
        <v/>
      </c>
      <c r="RD196" s="21" t="str">
        <f t="shared" si="820"/>
        <v/>
      </c>
      <c r="RE196" s="21" t="str">
        <f t="shared" si="821"/>
        <v/>
      </c>
      <c r="RF196" s="21" t="str">
        <f t="shared" si="822"/>
        <v>ALTO PARA EDAD GESTACIONAL</v>
      </c>
      <c r="RG196" s="21" t="str">
        <f t="shared" si="823"/>
        <v/>
      </c>
      <c r="RH196" s="21" t="str">
        <f t="shared" si="824"/>
        <v/>
      </c>
      <c r="RI196" s="21" t="str">
        <f t="shared" si="825"/>
        <v/>
      </c>
      <c r="RJ196" s="21" t="str">
        <f t="shared" si="826"/>
        <v/>
      </c>
      <c r="RK196" s="21" t="str">
        <f t="shared" si="827"/>
        <v/>
      </c>
      <c r="RL196" s="21" t="str">
        <f t="shared" si="828"/>
        <v/>
      </c>
      <c r="RM196" s="21" t="str">
        <f t="shared" si="829"/>
        <v/>
      </c>
      <c r="RN196" s="21" t="str">
        <f t="shared" si="830"/>
        <v/>
      </c>
      <c r="RO196" s="21" t="str">
        <f t="shared" si="831"/>
        <v/>
      </c>
      <c r="RP196" s="21" t="str">
        <f t="shared" si="832"/>
        <v/>
      </c>
      <c r="RQ196" s="21" t="str">
        <f t="shared" si="833"/>
        <v/>
      </c>
      <c r="RR196" s="21" t="str">
        <f t="shared" si="834"/>
        <v/>
      </c>
      <c r="RS196" s="21" t="str">
        <f t="shared" si="835"/>
        <v/>
      </c>
      <c r="RT196" s="21" t="str">
        <f t="shared" si="836"/>
        <v/>
      </c>
      <c r="RU196" s="21" t="str">
        <f t="shared" si="837"/>
        <v/>
      </c>
      <c r="RV196" s="21">
        <f t="shared" si="838"/>
        <v>-1</v>
      </c>
      <c r="RW196" s="284">
        <f>IF(OR(Tabla1[[#This Row],[FUM FORMULA CONFIABLE]]="",Tabla1[[#This Row],[FUM FORMULA CONFIABLE]]="SD"),"",IF(Tabla1[[#This Row],[FUM FORMULA CONFIABLE]]="CORREGIDA",Tabla1[[#This Row],[FUM X ECO 1]],Tabla1[[#This Row],[FUM x AMENORREA]]))</f>
        <v>44944</v>
      </c>
      <c r="RX196" s="21">
        <f>IF(AND(Tabla1[[#This Row],[FUM X ECO 1]]="",Tabla1[[#This Row],[FUM x AMENORREA]]=""),"",IF(AND(Tabla1[[#This Row],[FUM X ECO 1]]="",Tabla1[[#This Row],[FUM x AMENORREA]]&lt;&gt;""),"X",SUM(Tabla1[[#This Row],[FUM X ECO 1]]-Tabla1[[#This Row],[FUM x AMENORREA]])))</f>
        <v>51</v>
      </c>
      <c r="RY196" s="21">
        <f t="shared" si="840"/>
        <v>1</v>
      </c>
    </row>
    <row r="197" spans="1:493" ht="45" customHeight="1" x14ac:dyDescent="0.25">
      <c r="A197" s="109"/>
      <c r="B197" s="43"/>
      <c r="C197" s="43" t="s">
        <v>845</v>
      </c>
      <c r="D197" s="124"/>
      <c r="E197" s="43" t="s">
        <v>1144</v>
      </c>
      <c r="F197" s="43" t="s">
        <v>996</v>
      </c>
      <c r="G197" s="43" t="s">
        <v>1192</v>
      </c>
      <c r="H197" s="43"/>
      <c r="I197" s="109" t="s">
        <v>851</v>
      </c>
      <c r="J197" s="288">
        <v>1059604012</v>
      </c>
      <c r="K197" s="43" t="s">
        <v>852</v>
      </c>
      <c r="L197" s="175" t="s">
        <v>1509</v>
      </c>
      <c r="M197" s="22">
        <v>35124</v>
      </c>
      <c r="N197" s="213">
        <f t="shared" ca="1" si="841"/>
        <v>27.693150684931506</v>
      </c>
      <c r="O197" s="22">
        <v>45092</v>
      </c>
      <c r="P197" s="214" t="str">
        <f t="shared" si="675"/>
        <v>SI</v>
      </c>
      <c r="Q197" s="26" t="s">
        <v>855</v>
      </c>
      <c r="R197" s="22">
        <v>45092</v>
      </c>
      <c r="S197" s="21" t="s">
        <v>856</v>
      </c>
      <c r="T197" s="24" t="s">
        <v>690</v>
      </c>
      <c r="U197" s="21" t="s">
        <v>857</v>
      </c>
      <c r="V197" s="21" t="s">
        <v>858</v>
      </c>
      <c r="W197" s="21" t="s">
        <v>999</v>
      </c>
      <c r="X197" s="21"/>
      <c r="Y197" s="21"/>
      <c r="Z197" s="21">
        <v>3167338398</v>
      </c>
      <c r="AA197" s="21" t="s">
        <v>860</v>
      </c>
      <c r="AB197" s="27" t="s">
        <v>861</v>
      </c>
      <c r="AC197" s="26" t="s">
        <v>888</v>
      </c>
      <c r="AD197" s="38" t="s">
        <v>1546</v>
      </c>
      <c r="AE197" s="26" t="s">
        <v>854</v>
      </c>
      <c r="AF197" s="26" t="s">
        <v>854</v>
      </c>
      <c r="AG197" s="23" t="s">
        <v>864</v>
      </c>
      <c r="AH197" s="23" t="s">
        <v>864</v>
      </c>
      <c r="AI197" s="24" t="s">
        <v>863</v>
      </c>
      <c r="AJ197" s="23" t="s">
        <v>864</v>
      </c>
      <c r="AK197" s="220" t="str">
        <f>IF(AND(AD197="",AE197="",AF197="",AG197="",AH197="",AI197="",AJ197=""),"",IF(OR(Tabla1[[#This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EVALUACIÓN",IF(AND(O197="",R197=""),"",IF(AND(OR(O197&gt;0,R197&gt;0),NG197&gt;=0,NG197&lt;2),"SIN RIESGO",IF(AND(OR(O197&gt;0,R197&gt;0),NG197&gt;=2),"CON RIESGO","ASD")))))</f>
        <v>SIN RIESGO</v>
      </c>
      <c r="AL197" s="23" t="s">
        <v>864</v>
      </c>
      <c r="AM197" s="26" t="s">
        <v>864</v>
      </c>
      <c r="AN197" s="26" t="s">
        <v>864</v>
      </c>
      <c r="AO197" s="26" t="s">
        <v>864</v>
      </c>
      <c r="AP197" s="26" t="s">
        <v>864</v>
      </c>
      <c r="AQ197" s="26" t="s">
        <v>864</v>
      </c>
      <c r="AR197" s="26" t="s">
        <v>864</v>
      </c>
      <c r="AS197" s="21">
        <v>1</v>
      </c>
      <c r="AT197" s="21">
        <v>0</v>
      </c>
      <c r="AU197" s="21">
        <v>0</v>
      </c>
      <c r="AV197" s="26" t="s">
        <v>864</v>
      </c>
      <c r="AW197" s="21">
        <v>1</v>
      </c>
      <c r="AX197" s="26" t="s">
        <v>864</v>
      </c>
      <c r="AY197" s="26" t="s">
        <v>864</v>
      </c>
      <c r="AZ197" s="26" t="s">
        <v>864</v>
      </c>
      <c r="BA197" s="26" t="s">
        <v>864</v>
      </c>
      <c r="BB197" s="26" t="s">
        <v>864</v>
      </c>
      <c r="BC197" s="26" t="s">
        <v>864</v>
      </c>
      <c r="BD197" s="26" t="s">
        <v>864</v>
      </c>
      <c r="BE197" s="26" t="s">
        <v>864</v>
      </c>
      <c r="BF197" s="26" t="s">
        <v>864</v>
      </c>
      <c r="BG197" s="26" t="s">
        <v>864</v>
      </c>
      <c r="BH197" s="26" t="s">
        <v>864</v>
      </c>
      <c r="BI197" s="26" t="s">
        <v>864</v>
      </c>
      <c r="BJ197" s="26" t="s">
        <v>864</v>
      </c>
      <c r="BK197" s="26" t="s">
        <v>864</v>
      </c>
      <c r="BL197" s="26" t="s">
        <v>864</v>
      </c>
      <c r="BM197" s="26" t="s">
        <v>864</v>
      </c>
      <c r="BN197" s="22"/>
      <c r="BO197" s="22">
        <v>45001</v>
      </c>
      <c r="BP197" s="21" t="s">
        <v>854</v>
      </c>
      <c r="BQ197" s="222">
        <f t="shared" si="842"/>
        <v>0</v>
      </c>
      <c r="BR197" s="223" t="str">
        <f t="shared" si="843"/>
        <v/>
      </c>
      <c r="BS197" s="224">
        <f t="shared" si="844"/>
        <v>13</v>
      </c>
      <c r="BT197" s="216" t="str">
        <f t="shared" si="845"/>
        <v>II TRIM</v>
      </c>
      <c r="BU197" s="214">
        <f t="shared" ca="1" si="846"/>
        <v>33</v>
      </c>
      <c r="BV197" s="25"/>
      <c r="BW197" s="22"/>
      <c r="BX197" s="28"/>
      <c r="BY197" s="28"/>
      <c r="BZ197" s="22"/>
      <c r="CA197" s="21"/>
      <c r="CB197" s="26"/>
      <c r="CC197" s="26"/>
      <c r="CD197" s="26"/>
      <c r="CE197" s="26"/>
      <c r="CF197" s="22" t="s">
        <v>1517</v>
      </c>
      <c r="CG197" s="21">
        <v>1.5</v>
      </c>
      <c r="CH197" s="21">
        <v>57</v>
      </c>
      <c r="CI197" s="214">
        <f t="shared" si="847"/>
        <v>25.333333333333332</v>
      </c>
      <c r="CJ197" s="225" t="e">
        <f>IF(AND(CI197&lt;10,CH197="SD"),"SIN DATO PESO PREGESTACION O I TRIM",IF(AND(OR(R197&gt;0,O197&gt;0),CI197="X"),"INGRESAR DATO DE PESO",IF(CI197="SD","INGRESAR DATO DE TALLA Y PESO",IF(AND(OR(Tabla1[[#This Row],[MOMENTO EN QUE SE REALIZA EL PESO AL INGRESO A CPN]]="PREGESTACIÓN",NZ197="Menor"),CI197&lt;18.5),"BAJO PESO",IF(AND(OR(Tabla1[[#This Row],[MOMENTO EN QUE SE REALIZA EL PESO AL INGRESO A CPN]]="PREGESTACIÓN",NZ197="Menor"),CI197&lt;25),"NORMAL",IF(AND(OR(Tabla1[[#This Row],[MOMENTO EN QUE SE REALIZA EL PESO AL INGRESO A CPN]]="PREGESTACIÓN",NZ197="Menor"),CI197&lt;30),"SOBREPESO",IF(AND(OR(Tabla1[[#This Row],[MOMENTO EN QUE SE REALIZA EL PESO AL INGRESO A CPN]]="PREGESTACIÓN",NZ197="Menor"),CI197&gt;=30,CI197&lt;50),"OBESIDAD",IF(AND(BS197&gt;0,Tabla1[[#This Row],[MOMENTO EN QUE SE REALIZA EL PESO AL INGRESO A CPN]]="GESTACIÓN"),HLOOKUP(NZ197,$OA$2:PH197,NY197),""))))))))</f>
        <v>#REF!</v>
      </c>
      <c r="CK197" s="212">
        <f t="shared" si="848"/>
        <v>45092</v>
      </c>
      <c r="CL197" s="21">
        <v>57</v>
      </c>
      <c r="CM197" s="214">
        <f t="shared" si="849"/>
        <v>25.333333333333332</v>
      </c>
      <c r="CN197" s="216">
        <f t="shared" si="850"/>
        <v>13</v>
      </c>
      <c r="CO197" s="216" t="e">
        <f>IF(PI197="","",IF(PI197&gt;0,HLOOKUP(PI197,$PJ$2:QQ197,NY197),""))</f>
        <v>#REF!</v>
      </c>
      <c r="CP197" s="21"/>
      <c r="CQ197" s="216" t="e">
        <f>IF(QR197="Menor","NO APLICA-MENOR 13 SEM",IF(AND(CC197="SI",CN197&gt;23),"NO APLICA- GEMELAR",IF(QR197="","",IF(QR197&gt;0,HLOOKUP(QR197,$QS$2:RU197,NY197),""))))</f>
        <v>#REF!</v>
      </c>
      <c r="CR197" s="21"/>
      <c r="CS197" s="21"/>
      <c r="CT197" s="217" t="str">
        <f>IF(R197="","",IF(AND(BS197&gt;1,BS197&lt;12,Tabla1[[#This Row],[T.A. SISTOLICA - ANTES DE SEMANA 12]]="",Tabla1[[#This Row],[T.A. DIASTOLICA - ANTES DE SEMANA 12]]=""),"REGISTRE DATO TA ANTES SEMANA 12",IF(AND(BS197&gt;11,BS197&lt;43,Tabla1[[#This Row],[T.A. SISTOLICA - ANTES DE SEMANA 12]]="",Tabla1[[#This Row],[T.A. DIASTOLICA - ANTES DE SEMANA 12]]=""),"NO APLICA REGISTRO TA-INGRESO TARDIO",IF(AND(OR(O197&gt;0,R197&gt;0),OR(CR197&gt;=140,CS197&gt;=90)),"DEFINIR ESTADIO HTA",IF(AND(OR(O197&gt;0,R197&gt;0),AND(CR197&gt;120,CR197&lt;=139)),"PRE HTA SEGUIMIENTO",IF(AND(OR(O197&gt;0,R197&gt;0),AND(CS197&gt;80,CS197&lt;=89)),"PRE HTA SEGUIMIENTO",IF(AND(OR(O197&gt;0,R197&gt;0),AND(CR197&gt;=80,CR197&lt;=120)),"APARENTEMENTE NORMAL",IF(AND(OR(O197&gt;0,R197&gt;0),AND(CS197&gt;=50,CS197&lt;=80)),"APARENTEMENTE NORMAL",IF(AND(OR(O197&gt;0,R197&gt;0),AND(CR197&gt;1,CR197&lt;=70),AND(CS197&gt;1,CS197&lt;=40)),"HIPOTENSIÓN","")))))))))</f>
        <v>NO APLICA REGISTRO TA-INGRESO TARDIO</v>
      </c>
      <c r="CU197" s="21"/>
      <c r="CV197" s="21"/>
      <c r="CW197" s="217" t="str">
        <f ca="1">IF(R197="","",IF(AND(CN197&gt;19,CN197&lt;27,Tabla1[[#This Row],[T.A. SISTOLICA (Entre semana 20 y 26)]]="",Tabla1[[#This Row],[T.A. DIATOLICA (Entre semana 20 y 26)]]=""),"ACUDE A CONTROL SEM 20 A 26 REGISTRE TA AHORA",IF(AND(BS197&gt;1,BS197&lt;27,BU197&gt;19,Tabla1[[#This Row],[T.A. SISTOLICA (Entre semana 20 y 26)]]="",Tabla1[[#This Row],[T.A. DIATOLICA (Entre semana 20 y 26)]]=""),"COMPLETE REGISTRO TA CONTROL SEM 20 A26 ",IF(AND(BS197&gt;26,BS197&lt;43,Tabla1[[#This Row],[T.A. SISTOLICA (Entre semana 20 y 26)]]="",Tabla1[[#This Row],[T.A. DIATOLICA (Entre semana 20 y 26)]]=""),"NO APLICA REGISTRO TA-INGRESO TARDIO",IF(AND(OR(O197&gt;0,R197&gt;0),OR(CU197&gt;=140,CV197&gt;=90)),"ALTO RIESGO PREECLAMPSIA,DEFINIR ESTADIO HTA",IF(AND(OR(O197&gt;0,R197&gt;0),AND(CU197&gt;120,CU197&lt;=139)),"PRE HTA SEGUIMIENTO,RIESGO HIPERTENSION INDUCIDA POR EL EMBARAZO",IF(AND(OR(O197&gt;0,R197&gt;0),AND(CV197&gt;80,CV197&lt;=89)),"PRE HTA SEGUIMIENTO, RIESGO HIPERTENSION INDUCIDA POR EL EMBARAZO",IF(AND(OR(O197&lt;&gt;"",R197&lt;&gt;""),CS197&lt;&gt;"",CV197&lt;&gt;"",CS197&lt;=CV197),"VIGILAR CIFRAS PRESION ARTERIAL",IF(AND(OR(O197&gt;0,R197&gt;0),AND(CU197&gt;120,CU197&lt;=139)),"PRE HTA SEGUIMIENTO",IF(AND(OR(O197&gt;0,R197&gt;0),AND(CU197&gt;1,CU197&lt;=70),AND(CV197&gt;1,CV197&lt;=40)),"HIPOTENSIÓN",IF(AND(OR(O197&lt;&gt;"",R197&lt;&gt;""),CS197&lt;&gt;"",CV197&lt;&gt;"",CS197&gt;CV197),"APARENTEMENTE NORMAL",IF(AND(OR(O197&gt;0,R197&gt;0),AND(CU197&gt;=80,CU197&lt;=120)),"APARENTEMENTE NORMAL",IF(AND(OR(O197&gt;0,R197&gt;0),AND(CV197&gt;=50,CV197&lt;=80)),"APARENTEMENTE NORMAL","")))))))))))))</f>
        <v xml:space="preserve">COMPLETE REGISTRO TA CONTROL SEM 20 A26 </v>
      </c>
      <c r="CX197" s="21"/>
      <c r="CY197" s="21"/>
      <c r="CZ197" s="216" t="str">
        <f t="shared" si="729"/>
        <v/>
      </c>
      <c r="DA197" s="21">
        <v>100</v>
      </c>
      <c r="DB197" s="21">
        <v>60</v>
      </c>
      <c r="DC197" s="217" t="str">
        <f t="shared" si="851"/>
        <v>APARENTEMENTE NORMAL</v>
      </c>
      <c r="DD197" s="22">
        <v>45092</v>
      </c>
      <c r="DE197" s="22">
        <v>45092</v>
      </c>
      <c r="DF197" s="22"/>
      <c r="DG197" s="22"/>
      <c r="DH197" s="22"/>
      <c r="DI197" s="22"/>
      <c r="DJ197" s="22"/>
      <c r="DK197" s="22"/>
      <c r="DL197" s="22"/>
      <c r="DM197" s="22"/>
      <c r="DN197" s="22"/>
      <c r="DO197" s="22"/>
      <c r="DP197" s="22"/>
      <c r="DQ197" s="22"/>
      <c r="DR197" s="28"/>
      <c r="DS197" s="22"/>
      <c r="DT197" s="22"/>
      <c r="DU197" s="216" t="str">
        <f t="shared" ca="1" si="676"/>
        <v>PLANEAR PLAN DE PARTO</v>
      </c>
      <c r="DV197" s="226" t="str">
        <f t="shared" si="677"/>
        <v>ACTIVA INGRESO A CPN</v>
      </c>
      <c r="DW19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97" s="216" t="str">
        <f t="shared" si="852"/>
        <v>DIA DE CONTROL</v>
      </c>
      <c r="DY197" s="212">
        <f>IF(R197="","",IF(R197&gt;0,MAX(Tabla1[[#This Row],[FECHA C2]:[FECHA C13]],Tabla1[[#This Row],[FECHA CONSULTA PRIMERA VEZ PROGRAMA CPN ]])))</f>
        <v>45092</v>
      </c>
      <c r="DZ197" s="216">
        <f t="shared" si="853"/>
        <v>13</v>
      </c>
      <c r="EA197" s="222">
        <f>IF(R197&gt;0,SUM(COUNTA(DF197:DQ197)+COUNTA(Tabla1[[#This Row],[FECHA CONSULTA PRIMERA VEZ PROGRAMA CPN ]])),"")</f>
        <v>1</v>
      </c>
      <c r="EB197" s="222" t="str">
        <f t="shared" si="854"/>
        <v>NO</v>
      </c>
      <c r="EC197" s="214">
        <f t="shared" si="855"/>
        <v>8</v>
      </c>
      <c r="ED197" s="227">
        <f t="shared" si="856"/>
        <v>0.125</v>
      </c>
      <c r="EE197" s="22">
        <v>45092</v>
      </c>
      <c r="EF197" s="22">
        <v>45092</v>
      </c>
      <c r="EG197" s="22">
        <v>45092</v>
      </c>
      <c r="EH197" s="22"/>
      <c r="EI197" s="22">
        <v>45092</v>
      </c>
      <c r="EJ197" s="22"/>
      <c r="EK197" s="22"/>
      <c r="EL197" s="21"/>
      <c r="EM197" s="21">
        <v>13.4</v>
      </c>
      <c r="EN197" s="22">
        <v>45092</v>
      </c>
      <c r="EO197" s="222">
        <f t="shared" si="857"/>
        <v>13</v>
      </c>
      <c r="EP197" s="214" t="str">
        <f t="shared" si="858"/>
        <v>NORMAL- SUMINISTRAR SULFATO FERROSO</v>
      </c>
      <c r="EQ197" s="216" t="str">
        <f t="shared" si="859"/>
        <v>I TRIM</v>
      </c>
      <c r="ER197" s="24"/>
      <c r="ES197" s="22"/>
      <c r="ET197" s="29" t="str">
        <f t="shared" ca="1" si="678"/>
        <v>TOMA DE HEMOGLOBINA TARDÍA</v>
      </c>
      <c r="EU197" s="25" t="str">
        <f t="shared" si="860"/>
        <v/>
      </c>
      <c r="EV197" s="24" t="s">
        <v>1510</v>
      </c>
      <c r="EW197" s="32">
        <v>45092</v>
      </c>
      <c r="EX197" s="22"/>
      <c r="EY197" s="29">
        <f t="shared" si="693"/>
        <v>13</v>
      </c>
      <c r="EZ197" s="25" t="str">
        <f t="shared" si="694"/>
        <v>SIN RIESGO DE ISOINMUNIZACIÓN</v>
      </c>
      <c r="FA197" s="21">
        <v>84</v>
      </c>
      <c r="FB197" s="32">
        <v>45092</v>
      </c>
      <c r="FC197" s="29">
        <f t="shared" si="861"/>
        <v>13</v>
      </c>
      <c r="FD197" s="29"/>
      <c r="FE197" s="29"/>
      <c r="FF197" s="29"/>
      <c r="FG197" s="21" t="str">
        <f t="shared" ca="1" si="862"/>
        <v>TOMAR PTOG</v>
      </c>
      <c r="FH197" s="31"/>
      <c r="FI197" s="29" t="str">
        <f t="shared" si="863"/>
        <v>TOMAR EXAMEN</v>
      </c>
      <c r="FJ197" s="22"/>
      <c r="FK197" s="32"/>
      <c r="FL197" s="29" t="str">
        <f t="shared" ca="1" si="864"/>
        <v>NO APLICA-INGRESO TARDIO</v>
      </c>
      <c r="FM197" s="22" t="s">
        <v>867</v>
      </c>
      <c r="FN197" s="32">
        <v>45092</v>
      </c>
      <c r="FO197" s="29">
        <f t="shared" ca="1" si="679"/>
        <v>13</v>
      </c>
      <c r="FP197" s="22"/>
      <c r="FQ197" s="32"/>
      <c r="FR197" s="29" t="str">
        <f t="shared" ca="1" si="680"/>
        <v>EN RANGO PARA TOMAR EXAMEN</v>
      </c>
      <c r="FS197" s="22"/>
      <c r="FT197" s="32"/>
      <c r="FU197" s="29" t="str">
        <f>IF(AND(FJ197="",FM197="",FP197="",FS197=""),"",IF(OR(OR(Tabla1[[#This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97" s="28"/>
      <c r="FW197" s="22"/>
      <c r="FX197" s="29" t="str">
        <f t="shared" si="865"/>
        <v>TOMAR EXAMEN</v>
      </c>
      <c r="FY197" s="22"/>
      <c r="FZ197" s="32"/>
      <c r="GA197" s="29" t="str">
        <f t="shared" ca="1" si="739"/>
        <v>NO APLICA-INGRESO TARDIO</v>
      </c>
      <c r="GB197" s="22" t="s">
        <v>868</v>
      </c>
      <c r="GC197" s="32">
        <v>45092</v>
      </c>
      <c r="GD197" s="29">
        <f t="shared" ca="1" si="732"/>
        <v>13</v>
      </c>
      <c r="GE197" s="22"/>
      <c r="GF197" s="22"/>
      <c r="GG197" s="29" t="str">
        <f t="shared" ca="1" si="682"/>
        <v>EN RANGO PARA TOMAR EXAMEN</v>
      </c>
      <c r="GH197" s="22"/>
      <c r="GI197" s="29"/>
      <c r="GJ197" s="22"/>
      <c r="GK197" s="22"/>
      <c r="GL197" s="22"/>
      <c r="GM197" s="22"/>
      <c r="GN197" s="28" t="s">
        <v>869</v>
      </c>
      <c r="GO197" s="32">
        <v>45092</v>
      </c>
      <c r="GP197" s="29">
        <f t="shared" si="866"/>
        <v>13</v>
      </c>
      <c r="GQ197" s="28" t="s">
        <v>869</v>
      </c>
      <c r="GR197" s="28" t="s">
        <v>869</v>
      </c>
      <c r="GS197" s="22" t="str">
        <f t="shared" si="728"/>
        <v>CONTROL Igm</v>
      </c>
      <c r="GT197" s="32">
        <v>45092</v>
      </c>
      <c r="GU197" s="29">
        <f t="shared" si="867"/>
        <v>13</v>
      </c>
      <c r="GV197" s="21" t="str">
        <f t="shared" si="868"/>
        <v>I TRIM</v>
      </c>
      <c r="GW197" s="28"/>
      <c r="GX197" s="30"/>
      <c r="GY197" s="21"/>
      <c r="GZ197" s="21"/>
      <c r="HA197" s="21"/>
      <c r="HB197" s="21"/>
      <c r="HC197" s="21"/>
      <c r="HD197" s="21"/>
      <c r="HE197" s="21"/>
      <c r="HF197" s="22"/>
      <c r="HG197" s="22" t="str">
        <f>IF(OR(O197&gt;0,R197&gt;0),CONCATENATE(IF(Tabla1[[#This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97" s="22" t="e">
        <f t="shared" si="869"/>
        <v>#REF!</v>
      </c>
      <c r="HI197" s="22" t="e">
        <f t="shared" si="870"/>
        <v>#REF!</v>
      </c>
      <c r="HJ197" s="21" t="str">
        <f t="shared" ca="1" si="871"/>
        <v>***************************************</v>
      </c>
      <c r="HK197" s="21" t="str">
        <f t="shared" si="872"/>
        <v>SIN ANTECEDENTES DE RIESGO</v>
      </c>
      <c r="HL197" s="24" t="str">
        <f t="shared" si="873"/>
        <v>APARENTEMENTE NORMAL</v>
      </c>
      <c r="HM197" s="21" t="str">
        <f t="shared" si="874"/>
        <v>DIA DE CONTROL</v>
      </c>
      <c r="HN197" s="30" t="str">
        <f t="shared" si="683"/>
        <v>ACTIVA INGRESO A CPN</v>
      </c>
      <c r="HO197" s="21"/>
      <c r="HP197" s="21"/>
      <c r="HQ197" s="349"/>
      <c r="HR197" s="21"/>
      <c r="HS197" s="22"/>
      <c r="HT197" s="22"/>
      <c r="HU197" s="22">
        <v>45092</v>
      </c>
      <c r="HV197" s="22" t="s">
        <v>1506</v>
      </c>
      <c r="HW197" s="22">
        <v>45092</v>
      </c>
      <c r="HX197" s="22" t="s">
        <v>1511</v>
      </c>
      <c r="HY197" s="22"/>
      <c r="HZ197" s="28" t="str">
        <f t="shared" si="875"/>
        <v>PENDIENTE CONSULTA</v>
      </c>
      <c r="IA197" s="22">
        <v>45092</v>
      </c>
      <c r="IB197" s="26"/>
      <c r="IC197" s="111"/>
      <c r="ID197" s="22"/>
      <c r="IE197" s="22" t="str">
        <f t="shared" ca="1" si="876"/>
        <v>INASISTENTE</v>
      </c>
      <c r="IF197" s="22"/>
      <c r="IG197" s="22">
        <f t="shared" si="877"/>
        <v>45281</v>
      </c>
      <c r="IH197" s="29">
        <f t="shared" ca="1" si="878"/>
        <v>49</v>
      </c>
      <c r="II197" s="22" t="str">
        <f t="shared" ca="1" si="879"/>
        <v>PENDIENTE</v>
      </c>
      <c r="IJ197" s="22"/>
      <c r="IK197" s="21"/>
      <c r="IL197" s="21"/>
      <c r="IM197" s="34"/>
      <c r="IN197" s="22"/>
      <c r="IO197" s="21"/>
      <c r="IP197" s="29"/>
      <c r="IQ197" s="35"/>
      <c r="IR197" s="21"/>
      <c r="IS197" s="21"/>
      <c r="IT197" s="21"/>
      <c r="IU197" s="21"/>
      <c r="IV197" s="21"/>
      <c r="IW197" s="21"/>
      <c r="IX197" s="21"/>
      <c r="IY197" s="21"/>
      <c r="IZ197" s="21"/>
      <c r="JA197" s="21"/>
      <c r="JB197" s="30"/>
      <c r="JC197" s="21"/>
      <c r="JD197" s="36"/>
      <c r="JE197" s="21"/>
      <c r="JF197" s="30"/>
      <c r="JG197" s="21"/>
      <c r="JH197" s="21"/>
      <c r="JI197" s="21"/>
      <c r="JJ197" s="30"/>
      <c r="JK197" s="22"/>
      <c r="JL197" s="22"/>
      <c r="JM197" s="21"/>
      <c r="JN197" s="36"/>
      <c r="JO197" s="21"/>
      <c r="JP197" s="22"/>
      <c r="JQ197" s="21"/>
      <c r="JR197" s="21"/>
      <c r="JS197" s="21"/>
      <c r="JT197" s="30"/>
      <c r="JU197" s="22"/>
      <c r="JV197" s="22"/>
      <c r="JW197" s="33"/>
      <c r="JX197" s="28"/>
      <c r="JY197" s="33"/>
      <c r="JZ197" s="28"/>
      <c r="KA197" s="21"/>
      <c r="KB197" s="21"/>
      <c r="KC197" s="21"/>
      <c r="KD197" s="37"/>
      <c r="KE197" s="28"/>
      <c r="KF197" s="28"/>
      <c r="KG197" s="28"/>
      <c r="KH197" s="39"/>
      <c r="KI197" s="39"/>
      <c r="KJ197" s="66"/>
      <c r="KK197" s="39"/>
      <c r="KL197" s="39"/>
      <c r="KM197" s="66"/>
      <c r="KN197" s="39"/>
      <c r="KO197" s="39"/>
      <c r="KP197" s="39"/>
      <c r="KQ197" s="39"/>
      <c r="KR197" s="39"/>
      <c r="KS197" s="39"/>
      <c r="KT197" s="39"/>
      <c r="KU197" s="38"/>
      <c r="KV197" s="38"/>
      <c r="KW197" s="38"/>
      <c r="KX197" s="38"/>
      <c r="KY197" s="38"/>
      <c r="KZ197" s="38"/>
      <c r="LA197" s="38"/>
      <c r="LB197" s="38"/>
      <c r="LC197" s="38"/>
      <c r="LD197" s="38"/>
      <c r="LE197" s="38"/>
      <c r="LF197" s="38"/>
      <c r="LG197" s="38"/>
      <c r="LH197" s="38"/>
      <c r="LI197" s="38"/>
      <c r="LJ197" s="38"/>
      <c r="LK197" s="38"/>
      <c r="LL197" s="38"/>
      <c r="LM197" s="38"/>
      <c r="LN197" s="38"/>
      <c r="LO197" s="38"/>
      <c r="LP197" s="38"/>
      <c r="LQ197" s="38"/>
      <c r="LR197" s="38"/>
      <c r="LS197" s="38"/>
      <c r="LT197" s="38"/>
      <c r="LU197" s="38"/>
      <c r="LV197" s="38"/>
      <c r="LW197" s="38"/>
      <c r="LX197" s="38"/>
      <c r="LY197" s="38"/>
      <c r="LZ197" s="38"/>
      <c r="MA197" s="38"/>
      <c r="MB197" s="38"/>
      <c r="MC197" s="38"/>
      <c r="MD197" s="38"/>
      <c r="ME197" s="38"/>
      <c r="MF197" s="38"/>
      <c r="MG197" s="38"/>
      <c r="MH197" s="43"/>
      <c r="MI197" s="43"/>
      <c r="MJ197" s="43"/>
      <c r="MK197" s="43"/>
      <c r="ML197" s="43"/>
      <c r="MM197" s="43"/>
      <c r="MN197" s="43"/>
      <c r="MO197" s="43"/>
      <c r="MP197" s="43"/>
      <c r="MQ197" s="43"/>
      <c r="MR197" s="43"/>
      <c r="MS197" s="43"/>
      <c r="MT197" s="43"/>
      <c r="MU197" s="43"/>
      <c r="MV197" s="43"/>
      <c r="MW197" s="43"/>
      <c r="MX197" s="43"/>
      <c r="MY197" s="43"/>
      <c r="MZ197" s="43"/>
      <c r="NA197" s="43"/>
      <c r="NB197" s="43"/>
      <c r="NC197" s="43"/>
      <c r="ND197" s="43"/>
      <c r="NE197" s="43"/>
      <c r="NF197" s="43"/>
      <c r="NG197" s="43"/>
      <c r="NH197" s="43"/>
      <c r="NI197" s="43"/>
      <c r="NJ197" s="43"/>
      <c r="NK197" s="43"/>
      <c r="NL197" s="43"/>
      <c r="NM197" s="43"/>
      <c r="NN197" s="43"/>
      <c r="NO197" s="43"/>
      <c r="NP197" s="204"/>
      <c r="NQ197" s="21"/>
      <c r="NR197" s="21"/>
      <c r="NS197" s="205"/>
      <c r="NT197" s="21"/>
      <c r="NU197" s="21"/>
      <c r="NV197" s="21"/>
      <c r="NW197" s="206"/>
      <c r="NX197" s="207"/>
      <c r="NY197" s="43">
        <f>ROW(Tabla1[[#This Row],['# DE TAMIZAJES SIFILIS TOMADOS ]])</f>
        <v>197</v>
      </c>
      <c r="NZ197" s="43">
        <f t="shared" si="740"/>
        <v>13</v>
      </c>
      <c r="OA197" s="43" t="str">
        <f t="shared" si="741"/>
        <v/>
      </c>
      <c r="OB197" s="43" t="str">
        <f t="shared" si="742"/>
        <v/>
      </c>
      <c r="OC197" s="43" t="str">
        <f t="shared" si="743"/>
        <v/>
      </c>
      <c r="OD197" s="43" t="str">
        <f t="shared" si="744"/>
        <v/>
      </c>
      <c r="OE197" s="43" t="str">
        <f t="shared" si="745"/>
        <v>NORMAL</v>
      </c>
      <c r="OF197" s="43" t="str">
        <f t="shared" si="746"/>
        <v/>
      </c>
      <c r="OG197" s="43" t="str">
        <f t="shared" si="747"/>
        <v/>
      </c>
      <c r="OH197" s="43" t="str">
        <f t="shared" si="748"/>
        <v/>
      </c>
      <c r="OI197" s="43" t="str">
        <f t="shared" si="749"/>
        <v/>
      </c>
      <c r="OJ197" s="43" t="str">
        <f t="shared" si="750"/>
        <v/>
      </c>
      <c r="OK197" s="43" t="str">
        <f t="shared" si="751"/>
        <v/>
      </c>
      <c r="OL197" s="43" t="str">
        <f t="shared" si="752"/>
        <v/>
      </c>
      <c r="OM197" s="43" t="str">
        <f t="shared" si="753"/>
        <v/>
      </c>
      <c r="ON197" s="43" t="str">
        <f t="shared" si="754"/>
        <v/>
      </c>
      <c r="OO197" s="43" t="str">
        <f t="shared" si="755"/>
        <v/>
      </c>
      <c r="OP197" s="43" t="str">
        <f t="shared" si="756"/>
        <v/>
      </c>
      <c r="OQ197" s="43" t="str">
        <f t="shared" si="757"/>
        <v/>
      </c>
      <c r="OR197" s="43" t="str">
        <f t="shared" si="758"/>
        <v/>
      </c>
      <c r="OS197" s="43" t="str">
        <f t="shared" si="759"/>
        <v/>
      </c>
      <c r="OT197" s="43" t="str">
        <f t="shared" si="760"/>
        <v/>
      </c>
      <c r="OU197" s="43" t="str">
        <f t="shared" si="761"/>
        <v/>
      </c>
      <c r="OV197" s="110" t="str">
        <f t="shared" si="762"/>
        <v/>
      </c>
      <c r="OW197" s="43" t="str">
        <f t="shared" si="763"/>
        <v/>
      </c>
      <c r="OX197" s="43" t="str">
        <f t="shared" si="764"/>
        <v/>
      </c>
      <c r="OY197" s="43" t="str">
        <f t="shared" si="765"/>
        <v/>
      </c>
      <c r="OZ197" s="43" t="str">
        <f t="shared" si="766"/>
        <v/>
      </c>
      <c r="PA197" s="43" t="str">
        <f t="shared" si="767"/>
        <v/>
      </c>
      <c r="PB197" s="43" t="str">
        <f t="shared" si="768"/>
        <v/>
      </c>
      <c r="PC197" s="43" t="str">
        <f t="shared" si="769"/>
        <v/>
      </c>
      <c r="PD197" s="43" t="str">
        <f t="shared" si="770"/>
        <v/>
      </c>
      <c r="PE197" s="43" t="str">
        <f t="shared" si="771"/>
        <v/>
      </c>
      <c r="PF197" s="43" t="str">
        <f t="shared" si="772"/>
        <v/>
      </c>
      <c r="PG197" s="43" t="str">
        <f t="shared" si="773"/>
        <v/>
      </c>
      <c r="PH197" s="43" t="str">
        <f t="shared" si="774"/>
        <v/>
      </c>
      <c r="PI197" s="43">
        <f t="shared" si="775"/>
        <v>13</v>
      </c>
      <c r="PJ197" s="43" t="str">
        <f t="shared" si="776"/>
        <v/>
      </c>
      <c r="PK197" s="43" t="str">
        <f t="shared" si="777"/>
        <v/>
      </c>
      <c r="PL197" s="43" t="str">
        <f t="shared" si="778"/>
        <v/>
      </c>
      <c r="PM197" s="43" t="str">
        <f t="shared" si="779"/>
        <v/>
      </c>
      <c r="PN197" s="43" t="str">
        <f t="shared" si="780"/>
        <v>NORMAL</v>
      </c>
      <c r="PO197" s="43" t="str">
        <f t="shared" si="781"/>
        <v/>
      </c>
      <c r="PP197" s="43" t="str">
        <f t="shared" si="782"/>
        <v/>
      </c>
      <c r="PQ197" s="43" t="str">
        <f t="shared" si="783"/>
        <v/>
      </c>
      <c r="PR197" s="43" t="str">
        <f t="shared" si="784"/>
        <v/>
      </c>
      <c r="PS197" s="43" t="str">
        <f t="shared" si="785"/>
        <v/>
      </c>
      <c r="PT197" s="43" t="str">
        <f t="shared" si="786"/>
        <v/>
      </c>
      <c r="PU197" s="43" t="str">
        <f t="shared" si="787"/>
        <v/>
      </c>
      <c r="PV197" s="43" t="str">
        <f t="shared" si="788"/>
        <v/>
      </c>
      <c r="PW197" s="43" t="str">
        <f t="shared" si="789"/>
        <v/>
      </c>
      <c r="PX197" s="43" t="str">
        <f t="shared" si="790"/>
        <v/>
      </c>
      <c r="PY197" s="43" t="str">
        <f t="shared" si="791"/>
        <v/>
      </c>
      <c r="PZ197" s="43" t="str">
        <f t="shared" si="792"/>
        <v/>
      </c>
      <c r="QA197" s="43" t="str">
        <f t="shared" si="793"/>
        <v/>
      </c>
      <c r="QB197" s="43" t="str">
        <f t="shared" si="794"/>
        <v/>
      </c>
      <c r="QC197" s="43" t="str">
        <f t="shared" si="795"/>
        <v/>
      </c>
      <c r="QD197" s="43" t="str">
        <f t="shared" si="796"/>
        <v/>
      </c>
      <c r="QE197" s="43" t="str">
        <f t="shared" si="797"/>
        <v/>
      </c>
      <c r="QF197" s="43" t="str">
        <f t="shared" si="798"/>
        <v/>
      </c>
      <c r="QG197" s="43" t="str">
        <f t="shared" si="799"/>
        <v/>
      </c>
      <c r="QH197" s="43" t="str">
        <f t="shared" si="800"/>
        <v/>
      </c>
      <c r="QI197" s="43" t="str">
        <f t="shared" si="801"/>
        <v/>
      </c>
      <c r="QJ197" s="43" t="str">
        <f t="shared" si="802"/>
        <v/>
      </c>
      <c r="QK197" s="43" t="str">
        <f t="shared" si="803"/>
        <v/>
      </c>
      <c r="QL197" s="43" t="str">
        <f t="shared" si="804"/>
        <v/>
      </c>
      <c r="QM197" s="43" t="str">
        <f t="shared" si="805"/>
        <v/>
      </c>
      <c r="QN197" s="43" t="str">
        <f t="shared" si="806"/>
        <v/>
      </c>
      <c r="QO197" s="43" t="str">
        <f t="shared" si="807"/>
        <v/>
      </c>
      <c r="QP197" s="43" t="str">
        <f t="shared" si="808"/>
        <v/>
      </c>
      <c r="QQ197" s="43" t="str">
        <f t="shared" si="809"/>
        <v/>
      </c>
      <c r="QR197" s="43">
        <f t="shared" si="839"/>
        <v>13</v>
      </c>
      <c r="QS197" s="43"/>
      <c r="QT197" s="21" t="str">
        <f t="shared" si="810"/>
        <v/>
      </c>
      <c r="QU197" s="21" t="str">
        <f t="shared" si="811"/>
        <v/>
      </c>
      <c r="QV197" s="21" t="str">
        <f t="shared" si="812"/>
        <v/>
      </c>
      <c r="QW197" s="21" t="str">
        <f t="shared" si="813"/>
        <v/>
      </c>
      <c r="QX197" s="21" t="str">
        <f t="shared" si="814"/>
        <v/>
      </c>
      <c r="QY197" s="21" t="str">
        <f t="shared" si="815"/>
        <v/>
      </c>
      <c r="QZ197" s="21" t="str">
        <f t="shared" si="816"/>
        <v/>
      </c>
      <c r="RA197" s="21" t="str">
        <f t="shared" si="817"/>
        <v/>
      </c>
      <c r="RB197" s="21" t="str">
        <f t="shared" si="818"/>
        <v/>
      </c>
      <c r="RC197" s="21" t="str">
        <f t="shared" si="819"/>
        <v/>
      </c>
      <c r="RD197" s="21" t="str">
        <f t="shared" si="820"/>
        <v/>
      </c>
      <c r="RE197" s="21" t="str">
        <f t="shared" si="821"/>
        <v/>
      </c>
      <c r="RF197" s="21" t="str">
        <f t="shared" si="822"/>
        <v/>
      </c>
      <c r="RG197" s="21" t="str">
        <f t="shared" si="823"/>
        <v/>
      </c>
      <c r="RH197" s="21" t="str">
        <f t="shared" si="824"/>
        <v/>
      </c>
      <c r="RI197" s="21" t="str">
        <f t="shared" si="825"/>
        <v/>
      </c>
      <c r="RJ197" s="21" t="str">
        <f t="shared" si="826"/>
        <v/>
      </c>
      <c r="RK197" s="21" t="str">
        <f t="shared" si="827"/>
        <v/>
      </c>
      <c r="RL197" s="21" t="str">
        <f t="shared" si="828"/>
        <v/>
      </c>
      <c r="RM197" s="21" t="str">
        <f t="shared" si="829"/>
        <v/>
      </c>
      <c r="RN197" s="21" t="str">
        <f t="shared" si="830"/>
        <v/>
      </c>
      <c r="RO197" s="21" t="str">
        <f t="shared" si="831"/>
        <v/>
      </c>
      <c r="RP197" s="21" t="str">
        <f t="shared" si="832"/>
        <v/>
      </c>
      <c r="RQ197" s="21" t="str">
        <f t="shared" si="833"/>
        <v/>
      </c>
      <c r="RR197" s="21" t="str">
        <f t="shared" si="834"/>
        <v/>
      </c>
      <c r="RS197" s="21" t="str">
        <f t="shared" si="835"/>
        <v/>
      </c>
      <c r="RT197" s="21" t="str">
        <f t="shared" si="836"/>
        <v/>
      </c>
      <c r="RU197" s="21" t="str">
        <f t="shared" si="837"/>
        <v/>
      </c>
      <c r="RV197" s="21">
        <f t="shared" si="838"/>
        <v>-1</v>
      </c>
      <c r="RW197" s="284">
        <f>IF(OR(Tabla1[[#This Row],[FUM FORMULA CONFIABLE]]="",Tabla1[[#This Row],[FUM FORMULA CONFIABLE]]="SD"),"",IF(Tabla1[[#This Row],[FUM FORMULA CONFIABLE]]="CORREGIDA",Tabla1[[#This Row],[FUM X ECO 1]],Tabla1[[#This Row],[FUM x AMENORREA]]))</f>
        <v>45001</v>
      </c>
      <c r="RX197" s="21" t="str">
        <f>IF(AND(Tabla1[[#This Row],[FUM X ECO 1]]="",Tabla1[[#This Row],[FUM x AMENORREA]]=""),"",IF(AND(Tabla1[[#This Row],[FUM X ECO 1]]="",Tabla1[[#This Row],[FUM x AMENORREA]]&lt;&gt;""),"X",SUM(Tabla1[[#This Row],[FUM X ECO 1]]-Tabla1[[#This Row],[FUM x AMENORREA]])))</f>
        <v>X</v>
      </c>
      <c r="RY197" s="21" t="str">
        <f t="shared" si="840"/>
        <v>x</v>
      </c>
    </row>
    <row r="198" spans="1:493" ht="45" customHeight="1" x14ac:dyDescent="0.25">
      <c r="A198" s="109"/>
      <c r="B198" s="43"/>
      <c r="C198" s="43" t="s">
        <v>845</v>
      </c>
      <c r="D198" s="124"/>
      <c r="E198" s="43" t="s">
        <v>896</v>
      </c>
      <c r="F198" s="43" t="s">
        <v>953</v>
      </c>
      <c r="G198" s="43" t="s">
        <v>1545</v>
      </c>
      <c r="H198" s="43"/>
      <c r="I198" s="109" t="s">
        <v>851</v>
      </c>
      <c r="J198" s="110">
        <v>25545389</v>
      </c>
      <c r="K198" s="43" t="s">
        <v>852</v>
      </c>
      <c r="L198" s="175" t="s">
        <v>1509</v>
      </c>
      <c r="M198" s="22">
        <v>28834</v>
      </c>
      <c r="N198" s="213">
        <f t="shared" ca="1" si="841"/>
        <v>44.926027397260277</v>
      </c>
      <c r="O198" s="22">
        <v>45094</v>
      </c>
      <c r="P198" s="214" t="str">
        <f t="shared" si="675"/>
        <v>SI</v>
      </c>
      <c r="Q198" s="26" t="s">
        <v>855</v>
      </c>
      <c r="R198" s="22">
        <v>45094</v>
      </c>
      <c r="S198" s="21" t="s">
        <v>856</v>
      </c>
      <c r="T198" s="24" t="s">
        <v>690</v>
      </c>
      <c r="U198" s="21" t="s">
        <v>857</v>
      </c>
      <c r="V198" s="21" t="s">
        <v>858</v>
      </c>
      <c r="W198" s="21" t="s">
        <v>920</v>
      </c>
      <c r="X198" s="21"/>
      <c r="Y198" s="21"/>
      <c r="Z198" s="21">
        <v>3183654406</v>
      </c>
      <c r="AA198" s="21" t="s">
        <v>860</v>
      </c>
      <c r="AB198" s="27" t="s">
        <v>861</v>
      </c>
      <c r="AC198" s="26" t="s">
        <v>862</v>
      </c>
      <c r="AD198" s="38" t="s">
        <v>1546</v>
      </c>
      <c r="AE198" s="26" t="s">
        <v>854</v>
      </c>
      <c r="AF198" s="26" t="s">
        <v>854</v>
      </c>
      <c r="AG198" s="23" t="s">
        <v>864</v>
      </c>
      <c r="AH198" s="23" t="s">
        <v>864</v>
      </c>
      <c r="AI198" s="24" t="s">
        <v>863</v>
      </c>
      <c r="AJ198" s="23" t="s">
        <v>864</v>
      </c>
      <c r="AK198" s="220" t="str">
        <f>IF(AND(AD198="",AE198="",AF198="",AG198="",AH198="",AI198="",AJ198=""),"",IF(OR(Tabla1[[#This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EVALUACIÓN",IF(AND(O198="",R198=""),"",IF(AND(OR(O198&gt;0,R198&gt;0),NG198&gt;=0,NG198&lt;2),"SIN RIESGO",IF(AND(OR(O198&gt;0,R198&gt;0),NG198&gt;=2),"CON RIESGO","ASD")))))</f>
        <v>SIN RIESGO</v>
      </c>
      <c r="AL198" s="23" t="s">
        <v>864</v>
      </c>
      <c r="AM198" s="26" t="s">
        <v>864</v>
      </c>
      <c r="AN198" s="26" t="s">
        <v>864</v>
      </c>
      <c r="AO198" s="26" t="s">
        <v>864</v>
      </c>
      <c r="AP198" s="26" t="s">
        <v>864</v>
      </c>
      <c r="AQ198" s="26" t="s">
        <v>864</v>
      </c>
      <c r="AR198" s="26" t="s">
        <v>864</v>
      </c>
      <c r="AS198" s="21">
        <v>7</v>
      </c>
      <c r="AT198" s="21">
        <v>6</v>
      </c>
      <c r="AU198" s="21">
        <v>0</v>
      </c>
      <c r="AV198" s="26" t="s">
        <v>864</v>
      </c>
      <c r="AW198" s="21">
        <v>0</v>
      </c>
      <c r="AX198" s="26" t="s">
        <v>864</v>
      </c>
      <c r="AY198" s="26" t="s">
        <v>864</v>
      </c>
      <c r="AZ198" s="26" t="s">
        <v>864</v>
      </c>
      <c r="BA198" s="26" t="s">
        <v>864</v>
      </c>
      <c r="BB198" s="26" t="s">
        <v>864</v>
      </c>
      <c r="BC198" s="26" t="s">
        <v>864</v>
      </c>
      <c r="BD198" s="26" t="s">
        <v>864</v>
      </c>
      <c r="BE198" s="26" t="s">
        <v>864</v>
      </c>
      <c r="BF198" s="26" t="s">
        <v>864</v>
      </c>
      <c r="BG198" s="26" t="s">
        <v>864</v>
      </c>
      <c r="BH198" s="26" t="s">
        <v>864</v>
      </c>
      <c r="BI198" s="26" t="s">
        <v>864</v>
      </c>
      <c r="BJ198" s="26" t="s">
        <v>864</v>
      </c>
      <c r="BK198" s="26" t="s">
        <v>864</v>
      </c>
      <c r="BL198" s="26" t="s">
        <v>864</v>
      </c>
      <c r="BM198" s="26" t="s">
        <v>864</v>
      </c>
      <c r="BN198" s="22"/>
      <c r="BO198" s="22">
        <v>45038</v>
      </c>
      <c r="BP198" s="21" t="s">
        <v>864</v>
      </c>
      <c r="BQ198" s="222">
        <f t="shared" si="842"/>
        <v>0</v>
      </c>
      <c r="BR198" s="223" t="str">
        <f t="shared" si="843"/>
        <v/>
      </c>
      <c r="BS198" s="224">
        <f t="shared" si="844"/>
        <v>8</v>
      </c>
      <c r="BT198" s="216" t="str">
        <f t="shared" si="845"/>
        <v>DEFINIR CON ECO</v>
      </c>
      <c r="BU198" s="214">
        <f t="shared" ca="1" si="846"/>
        <v>27.714285714285715</v>
      </c>
      <c r="BV198" s="25"/>
      <c r="BW198" s="22"/>
      <c r="BX198" s="28"/>
      <c r="BY198" s="28"/>
      <c r="BZ198" s="22"/>
      <c r="CA198" s="21"/>
      <c r="CB198" s="26"/>
      <c r="CC198" s="26"/>
      <c r="CD198" s="26"/>
      <c r="CE198" s="26"/>
      <c r="CF198" s="22" t="s">
        <v>1517</v>
      </c>
      <c r="CG198" s="21">
        <v>1.45</v>
      </c>
      <c r="CH198" s="21">
        <v>68.599999999999994</v>
      </c>
      <c r="CI198" s="214">
        <f t="shared" si="847"/>
        <v>32.62782401902497</v>
      </c>
      <c r="CJ198" s="225" t="str">
        <f>IF(AND(CI198&lt;10,CH198="SD"),"SIN DATO PESO PREGESTACION O I TRIM",IF(AND(OR(R198&gt;0,O198&gt;0),CI198="X"),"INGRESAR DATO DE PESO",IF(CI198="SD","INGRESAR DATO DE TALLA Y PESO",IF(AND(OR(Tabla1[[#This Row],[MOMENTO EN QUE SE REALIZA EL PESO AL INGRESO A CPN]]="PREGESTACIÓN",NZ198="Menor"),CI198&lt;18.5),"BAJO PESO",IF(AND(OR(Tabla1[[#This Row],[MOMENTO EN QUE SE REALIZA EL PESO AL INGRESO A CPN]]="PREGESTACIÓN",NZ198="Menor"),CI198&lt;25),"NORMAL",IF(AND(OR(Tabla1[[#This Row],[MOMENTO EN QUE SE REALIZA EL PESO AL INGRESO A CPN]]="PREGESTACIÓN",NZ198="Menor"),CI198&lt;30),"SOBREPESO",IF(AND(OR(Tabla1[[#This Row],[MOMENTO EN QUE SE REALIZA EL PESO AL INGRESO A CPN]]="PREGESTACIÓN",NZ198="Menor"),CI198&gt;=30,CI198&lt;50),"OBESIDAD",IF(AND(BS198&gt;0,Tabla1[[#This Row],[MOMENTO EN QUE SE REALIZA EL PESO AL INGRESO A CPN]]="GESTACIÓN"),HLOOKUP(NZ198,$OA$2:PH198,NY198),""))))))))</f>
        <v>OBESIDAD</v>
      </c>
      <c r="CK198" s="212">
        <f t="shared" si="848"/>
        <v>45094</v>
      </c>
      <c r="CL198" s="21">
        <v>68.599999999999994</v>
      </c>
      <c r="CM198" s="214">
        <f t="shared" si="849"/>
        <v>32.62782401902497</v>
      </c>
      <c r="CN198" s="216">
        <f t="shared" si="850"/>
        <v>8</v>
      </c>
      <c r="CO198" s="216" t="e">
        <f>IF(PI198="","",IF(PI198&gt;0,HLOOKUP(PI198,$PJ$2:QQ198,NY198),""))</f>
        <v>#REF!</v>
      </c>
      <c r="CP198" s="21"/>
      <c r="CQ198" s="216" t="str">
        <f>IF(QR198="Menor","NO APLICA-MENOR 13 SEM",IF(AND(CC198="SI",CN198&gt;23),"NO APLICA- GEMELAR",IF(QR198="","",IF(QR198&gt;0,HLOOKUP(QR198,$QS$2:RU198,NY198),""))))</f>
        <v>NO APLICA-MENOR 13 SEM</v>
      </c>
      <c r="CR198" s="21">
        <v>110</v>
      </c>
      <c r="CS198" s="21">
        <v>70</v>
      </c>
      <c r="CT198" s="217" t="str">
        <f>IF(R198="","",IF(AND(BS198&gt;1,BS198&lt;12,Tabla1[[#This Row],[T.A. SISTOLICA - ANTES DE SEMANA 12]]="",Tabla1[[#This Row],[T.A. DIASTOLICA - ANTES DE SEMANA 12]]=""),"REGISTRE DATO TA ANTES SEMANA 12",IF(AND(BS198&gt;11,BS198&lt;43,Tabla1[[#This Row],[T.A. SISTOLICA - ANTES DE SEMANA 12]]="",Tabla1[[#This Row],[T.A. DIASTOLICA - ANTES DE SEMANA 12]]=""),"NO APLICA REGISTRO TA-INGRESO TARDIO",IF(AND(OR(O198&gt;0,R198&gt;0),OR(CR198&gt;=140,CS198&gt;=90)),"DEFINIR ESTADIO HTA",IF(AND(OR(O198&gt;0,R198&gt;0),AND(CR198&gt;120,CR198&lt;=139)),"PRE HTA SEGUIMIENTO",IF(AND(OR(O198&gt;0,R198&gt;0),AND(CS198&gt;80,CS198&lt;=89)),"PRE HTA SEGUIMIENTO",IF(AND(OR(O198&gt;0,R198&gt;0),AND(CR198&gt;=80,CR198&lt;=120)),"APARENTEMENTE NORMAL",IF(AND(OR(O198&gt;0,R198&gt;0),AND(CS198&gt;=50,CS198&lt;=80)),"APARENTEMENTE NORMAL",IF(AND(OR(O198&gt;0,R198&gt;0),AND(CR198&gt;1,CR198&lt;=70),AND(CS198&gt;1,CS198&lt;=40)),"HIPOTENSIÓN","")))))))))</f>
        <v>APARENTEMENTE NORMAL</v>
      </c>
      <c r="CU198" s="21"/>
      <c r="CV198" s="21"/>
      <c r="CW198" s="217" t="str">
        <f ca="1">IF(R198="","",IF(AND(CN198&gt;19,CN198&lt;27,Tabla1[[#This Row],[T.A. SISTOLICA (Entre semana 20 y 26)]]="",Tabla1[[#This Row],[T.A. DIATOLICA (Entre semana 20 y 26)]]=""),"ACUDE A CONTROL SEM 20 A 26 REGISTRE TA AHORA",IF(AND(BS198&gt;1,BS198&lt;27,BU198&gt;19,Tabla1[[#This Row],[T.A. SISTOLICA (Entre semana 20 y 26)]]="",Tabla1[[#This Row],[T.A. DIATOLICA (Entre semana 20 y 26)]]=""),"COMPLETE REGISTRO TA CONTROL SEM 20 A26 ",IF(AND(BS198&gt;26,BS198&lt;43,Tabla1[[#This Row],[T.A. SISTOLICA (Entre semana 20 y 26)]]="",Tabla1[[#This Row],[T.A. DIATOLICA (Entre semana 20 y 26)]]=""),"NO APLICA REGISTRO TA-INGRESO TARDIO",IF(AND(OR(O198&gt;0,R198&gt;0),OR(CU198&gt;=140,CV198&gt;=90)),"ALTO RIESGO PREECLAMPSIA,DEFINIR ESTADIO HTA",IF(AND(OR(O198&gt;0,R198&gt;0),AND(CU198&gt;120,CU198&lt;=139)),"PRE HTA SEGUIMIENTO,RIESGO HIPERTENSION INDUCIDA POR EL EMBARAZO",IF(AND(OR(O198&gt;0,R198&gt;0),AND(CV198&gt;80,CV198&lt;=89)),"PRE HTA SEGUIMIENTO, RIESGO HIPERTENSION INDUCIDA POR EL EMBARAZO",IF(AND(OR(O198&lt;&gt;"",R198&lt;&gt;""),CS198&lt;&gt;"",CV198&lt;&gt;"",CS198&lt;=CV198),"VIGILAR CIFRAS PRESION ARTERIAL",IF(AND(OR(O198&gt;0,R198&gt;0),AND(CU198&gt;120,CU198&lt;=139)),"PRE HTA SEGUIMIENTO",IF(AND(OR(O198&gt;0,R198&gt;0),AND(CU198&gt;1,CU198&lt;=70),AND(CV198&gt;1,CV198&lt;=40)),"HIPOTENSIÓN",IF(AND(OR(O198&lt;&gt;"",R198&lt;&gt;""),CS198&lt;&gt;"",CV198&lt;&gt;"",CS198&gt;CV198),"APARENTEMENTE NORMAL",IF(AND(OR(O198&gt;0,R198&gt;0),AND(CU198&gt;=80,CU198&lt;=120)),"APARENTEMENTE NORMAL",IF(AND(OR(O198&gt;0,R198&gt;0),AND(CV198&gt;=50,CV198&lt;=80)),"APARENTEMENTE NORMAL","")))))))))))))</f>
        <v xml:space="preserve">COMPLETE REGISTRO TA CONTROL SEM 20 A26 </v>
      </c>
      <c r="CX198" s="21"/>
      <c r="CY198" s="21"/>
      <c r="CZ198" s="216" t="str">
        <f t="shared" si="729"/>
        <v/>
      </c>
      <c r="DA198" s="21">
        <v>110</v>
      </c>
      <c r="DB198" s="21">
        <v>70</v>
      </c>
      <c r="DC198" s="217" t="str">
        <f t="shared" si="851"/>
        <v>APARENTEMENTE NORMAL</v>
      </c>
      <c r="DD198" s="22">
        <v>45094</v>
      </c>
      <c r="DE198" s="22">
        <v>45094</v>
      </c>
      <c r="DF198" s="22"/>
      <c r="DG198" s="22"/>
      <c r="DH198" s="22"/>
      <c r="DI198" s="22"/>
      <c r="DJ198" s="22"/>
      <c r="DK198" s="22"/>
      <c r="DL198" s="22"/>
      <c r="DM198" s="22"/>
      <c r="DN198" s="22"/>
      <c r="DO198" s="22"/>
      <c r="DP198" s="22"/>
      <c r="DQ198" s="22"/>
      <c r="DR198" s="28"/>
      <c r="DS198" s="22"/>
      <c r="DT198" s="22"/>
      <c r="DU198" s="216" t="str">
        <f t="shared" ca="1" si="676"/>
        <v>EN ESPERA</v>
      </c>
      <c r="DV198" s="226" t="str">
        <f t="shared" si="677"/>
        <v>ACTIVA INGRESO A CPN</v>
      </c>
      <c r="DW19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98" s="216" t="str">
        <f t="shared" si="852"/>
        <v>DIA DE CONTROL</v>
      </c>
      <c r="DY198" s="212">
        <f>IF(R198="","",IF(R198&gt;0,MAX(Tabla1[[#This Row],[FECHA C2]:[FECHA C13]],Tabla1[[#This Row],[FECHA CONSULTA PRIMERA VEZ PROGRAMA CPN ]])))</f>
        <v>45094</v>
      </c>
      <c r="DZ198" s="216">
        <f t="shared" si="853"/>
        <v>8</v>
      </c>
      <c r="EA198" s="222">
        <f>IF(R198&gt;0,SUM(COUNTA(DF198:DQ198)+COUNTA(Tabla1[[#This Row],[FECHA CONSULTA PRIMERA VEZ PROGRAMA CPN ]])),"")</f>
        <v>1</v>
      </c>
      <c r="EB198" s="222" t="str">
        <f t="shared" si="854"/>
        <v>NO</v>
      </c>
      <c r="EC198" s="214">
        <f t="shared" si="855"/>
        <v>10</v>
      </c>
      <c r="ED198" s="227">
        <f t="shared" si="856"/>
        <v>0.1</v>
      </c>
      <c r="EE198" s="22">
        <v>45094</v>
      </c>
      <c r="EF198" s="22">
        <v>45094</v>
      </c>
      <c r="EG198" s="22">
        <v>45094</v>
      </c>
      <c r="EH198" s="22"/>
      <c r="EI198" s="22">
        <v>45094</v>
      </c>
      <c r="EJ198" s="22"/>
      <c r="EK198" s="22"/>
      <c r="EL198" s="21"/>
      <c r="EM198" s="21">
        <v>14.2</v>
      </c>
      <c r="EN198" s="22">
        <v>45097</v>
      </c>
      <c r="EO198" s="222">
        <f t="shared" si="857"/>
        <v>8.4285714285714288</v>
      </c>
      <c r="EP198" s="214" t="str">
        <f t="shared" si="858"/>
        <v>NO DAR SULFATO FERROSO</v>
      </c>
      <c r="EQ198" s="216" t="str">
        <f t="shared" si="859"/>
        <v>I TRIM</v>
      </c>
      <c r="ER198" s="24"/>
      <c r="ES198" s="22"/>
      <c r="ET198" s="29" t="str">
        <f t="shared" ca="1" si="678"/>
        <v>TOMA HEMOGLOBINA A SEM 28 EN 1 SEMANA</v>
      </c>
      <c r="EU198" s="25" t="str">
        <f t="shared" si="860"/>
        <v/>
      </c>
      <c r="EV198" s="24" t="s">
        <v>1510</v>
      </c>
      <c r="EW198" s="32">
        <v>45097</v>
      </c>
      <c r="EX198" s="22"/>
      <c r="EY198" s="29">
        <f t="shared" si="693"/>
        <v>8.4285714285714288</v>
      </c>
      <c r="EZ198" s="25" t="str">
        <f t="shared" si="694"/>
        <v>SIN RIESGO DE ISOINMUNIZACIÓN</v>
      </c>
      <c r="FA198" s="21">
        <v>140</v>
      </c>
      <c r="FB198" s="22">
        <v>45097</v>
      </c>
      <c r="FC198" s="29" t="str">
        <f t="shared" si="861"/>
        <v>DIABETES PREGESTACIONAL- REMITIR</v>
      </c>
      <c r="FD198" s="29"/>
      <c r="FE198" s="29"/>
      <c r="FF198" s="29"/>
      <c r="FG198" s="21" t="str">
        <f t="shared" ca="1" si="862"/>
        <v>TOMAR PTOG</v>
      </c>
      <c r="FH198" s="31"/>
      <c r="FI198" s="29" t="str">
        <f t="shared" si="863"/>
        <v>TOMAR EXAMEN</v>
      </c>
      <c r="FJ198" s="22" t="s">
        <v>867</v>
      </c>
      <c r="FK198" s="22">
        <v>45097</v>
      </c>
      <c r="FL198" s="29">
        <f t="shared" ca="1" si="864"/>
        <v>8.4285714285714288</v>
      </c>
      <c r="FM198" s="22"/>
      <c r="FN198" s="32"/>
      <c r="FO198" s="29" t="str">
        <f t="shared" ca="1" si="679"/>
        <v>PIERDE TOMA DE TAMIZAJE</v>
      </c>
      <c r="FP198" s="22"/>
      <c r="FQ198" s="32"/>
      <c r="FR198" s="29" t="str">
        <f t="shared" ca="1" si="680"/>
        <v/>
      </c>
      <c r="FS198" s="22"/>
      <c r="FT198" s="32"/>
      <c r="FU198" s="29" t="str">
        <f>IF(AND(FJ198="",FM198="",FP198="",FS198=""),"",IF(OR(OR(Tabla1[[#This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98" s="28"/>
      <c r="FW198" s="22"/>
      <c r="FX198" s="29" t="str">
        <f t="shared" si="865"/>
        <v>TOMAR EXAMEN</v>
      </c>
      <c r="FY198" s="22" t="s">
        <v>868</v>
      </c>
      <c r="FZ198" s="22">
        <v>45097</v>
      </c>
      <c r="GA198" s="29">
        <f t="shared" ca="1" si="739"/>
        <v>8.4285714285714288</v>
      </c>
      <c r="GB198" s="22"/>
      <c r="GC198" s="22"/>
      <c r="GD198" s="29" t="str">
        <f t="shared" ca="1" si="732"/>
        <v>PIERDE TOMA DE TAMIZAJE</v>
      </c>
      <c r="GE198" s="22"/>
      <c r="GF198" s="22"/>
      <c r="GG198" s="29" t="str">
        <f t="shared" ca="1" si="682"/>
        <v>PIERDE TOMA DE TAMIZAJE</v>
      </c>
      <c r="GH198" s="22"/>
      <c r="GI198" s="29"/>
      <c r="GJ198" s="22"/>
      <c r="GK198" s="22"/>
      <c r="GL198" s="22"/>
      <c r="GM198" s="22"/>
      <c r="GN198" s="28" t="s">
        <v>869</v>
      </c>
      <c r="GO198" s="22">
        <v>45097</v>
      </c>
      <c r="GP198" s="29">
        <f t="shared" si="866"/>
        <v>8.4285714285714288</v>
      </c>
      <c r="GQ198" s="28" t="s">
        <v>880</v>
      </c>
      <c r="GR198" s="28" t="s">
        <v>869</v>
      </c>
      <c r="GS198" s="22" t="str">
        <f t="shared" si="728"/>
        <v>SE EXCLUYE INFECCION</v>
      </c>
      <c r="GT198" s="22">
        <v>45097</v>
      </c>
      <c r="GU198" s="29">
        <f t="shared" si="867"/>
        <v>8.4285714285714288</v>
      </c>
      <c r="GV198" s="21" t="str">
        <f t="shared" si="868"/>
        <v>I TRIM</v>
      </c>
      <c r="GW198" s="28"/>
      <c r="GX198" s="30"/>
      <c r="GY198" s="21"/>
      <c r="GZ198" s="21"/>
      <c r="HA198" s="21"/>
      <c r="HB198" s="21"/>
      <c r="HC198" s="21"/>
      <c r="HD198" s="21"/>
      <c r="HE198" s="21"/>
      <c r="HF198" s="22"/>
      <c r="HG198" s="22" t="str">
        <f>IF(OR(O198&gt;0,R198&gt;0),CONCATENATE(IF(Tabla1[[#This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98" s="22" t="e">
        <f t="shared" si="869"/>
        <v>#REF!</v>
      </c>
      <c r="HI198" s="22" t="e">
        <f t="shared" si="870"/>
        <v>#REF!</v>
      </c>
      <c r="HJ198" s="21" t="str">
        <f t="shared" ca="1" si="871"/>
        <v>***************************************</v>
      </c>
      <c r="HK198" s="21" t="str">
        <f t="shared" si="872"/>
        <v>SIN ANTECEDENTES DE RIESGO</v>
      </c>
      <c r="HL198" s="24" t="str">
        <f t="shared" si="873"/>
        <v>APARENTEMENTE NORMAL</v>
      </c>
      <c r="HM198" s="21" t="str">
        <f t="shared" si="874"/>
        <v>DIA DE CONTROL</v>
      </c>
      <c r="HN198" s="30" t="str">
        <f t="shared" si="683"/>
        <v>ACTIVA INGRESO A CPN</v>
      </c>
      <c r="HO198" s="21"/>
      <c r="HP198" s="21"/>
      <c r="HQ198" s="349"/>
      <c r="HR198" s="21"/>
      <c r="HS198" s="22">
        <v>45094</v>
      </c>
      <c r="HT198" s="22" t="s">
        <v>1518</v>
      </c>
      <c r="HU198" s="22">
        <v>45094</v>
      </c>
      <c r="HV198" s="22" t="s">
        <v>1544</v>
      </c>
      <c r="HW198" s="22">
        <v>45094</v>
      </c>
      <c r="HX198" s="22" t="s">
        <v>1511</v>
      </c>
      <c r="HY198" s="22">
        <v>45094</v>
      </c>
      <c r="HZ198" s="28">
        <f t="shared" si="875"/>
        <v>8</v>
      </c>
      <c r="IA198" s="26"/>
      <c r="IB198" s="26"/>
      <c r="IC198" s="111"/>
      <c r="ID198" s="22"/>
      <c r="IE198" s="22" t="str">
        <f t="shared" ca="1" si="876"/>
        <v>INASISTENTE</v>
      </c>
      <c r="IF198" s="22"/>
      <c r="IG198" s="22">
        <f t="shared" si="877"/>
        <v>45318</v>
      </c>
      <c r="IH198" s="29">
        <f t="shared" ca="1" si="878"/>
        <v>86</v>
      </c>
      <c r="II198" s="22" t="str">
        <f t="shared" ca="1" si="879"/>
        <v>PENDIENTE</v>
      </c>
      <c r="IJ198" s="22"/>
      <c r="IK198" s="21"/>
      <c r="IL198" s="21"/>
      <c r="IM198" s="34"/>
      <c r="IN198" s="22"/>
      <c r="IO198" s="21"/>
      <c r="IP198" s="29"/>
      <c r="IQ198" s="35"/>
      <c r="IR198" s="21"/>
      <c r="IS198" s="21"/>
      <c r="IT198" s="21"/>
      <c r="IU198" s="21"/>
      <c r="IV198" s="21"/>
      <c r="IW198" s="21"/>
      <c r="IX198" s="21"/>
      <c r="IY198" s="21"/>
      <c r="IZ198" s="21"/>
      <c r="JA198" s="21"/>
      <c r="JB198" s="30"/>
      <c r="JC198" s="21"/>
      <c r="JD198" s="36"/>
      <c r="JE198" s="21"/>
      <c r="JF198" s="30"/>
      <c r="JG198" s="21"/>
      <c r="JH198" s="21"/>
      <c r="JI198" s="21"/>
      <c r="JJ198" s="30"/>
      <c r="JK198" s="22"/>
      <c r="JL198" s="22"/>
      <c r="JM198" s="21"/>
      <c r="JN198" s="36"/>
      <c r="JO198" s="21"/>
      <c r="JP198" s="22"/>
      <c r="JQ198" s="21"/>
      <c r="JR198" s="21"/>
      <c r="JS198" s="21"/>
      <c r="JT198" s="30"/>
      <c r="JU198" s="22"/>
      <c r="JV198" s="22"/>
      <c r="JW198" s="33"/>
      <c r="JX198" s="28"/>
      <c r="JY198" s="33"/>
      <c r="JZ198" s="28"/>
      <c r="KA198" s="21"/>
      <c r="KB198" s="21"/>
      <c r="KC198" s="21"/>
      <c r="KD198" s="37"/>
      <c r="KE198" s="28"/>
      <c r="KF198" s="28"/>
      <c r="KG198" s="28"/>
      <c r="KH198" s="39"/>
      <c r="KI198" s="39"/>
      <c r="KJ198" s="66"/>
      <c r="KK198" s="39"/>
      <c r="KL198" s="39"/>
      <c r="KM198" s="66"/>
      <c r="KN198" s="39"/>
      <c r="KO198" s="39"/>
      <c r="KP198" s="39"/>
      <c r="KQ198" s="39"/>
      <c r="KR198" s="39"/>
      <c r="KS198" s="39"/>
      <c r="KT198" s="39"/>
      <c r="KU198" s="38"/>
      <c r="KV198" s="38"/>
      <c r="KW198" s="38"/>
      <c r="KX198" s="38"/>
      <c r="KY198" s="38"/>
      <c r="KZ198" s="38"/>
      <c r="LA198" s="38"/>
      <c r="LB198" s="38"/>
      <c r="LC198" s="38"/>
      <c r="LD198" s="38"/>
      <c r="LE198" s="38"/>
      <c r="LF198" s="38"/>
      <c r="LG198" s="38"/>
      <c r="LH198" s="38"/>
      <c r="LI198" s="38"/>
      <c r="LJ198" s="38"/>
      <c r="LK198" s="38"/>
      <c r="LL198" s="38"/>
      <c r="LM198" s="38"/>
      <c r="LN198" s="38"/>
      <c r="LO198" s="38"/>
      <c r="LP198" s="38"/>
      <c r="LQ198" s="38"/>
      <c r="LR198" s="38"/>
      <c r="LS198" s="38"/>
      <c r="LT198" s="38"/>
      <c r="LU198" s="38"/>
      <c r="LV198" s="38"/>
      <c r="LW198" s="38"/>
      <c r="LX198" s="38"/>
      <c r="LY198" s="38"/>
      <c r="LZ198" s="38"/>
      <c r="MA198" s="38"/>
      <c r="MB198" s="38"/>
      <c r="MC198" s="38"/>
      <c r="MD198" s="38"/>
      <c r="ME198" s="38"/>
      <c r="MF198" s="38"/>
      <c r="MG198" s="38"/>
      <c r="MH198" s="43"/>
      <c r="MI198" s="43"/>
      <c r="MJ198" s="43"/>
      <c r="MK198" s="43"/>
      <c r="ML198" s="43"/>
      <c r="MM198" s="43"/>
      <c r="MN198" s="43"/>
      <c r="MO198" s="43"/>
      <c r="MP198" s="43"/>
      <c r="MQ198" s="43"/>
      <c r="MR198" s="43"/>
      <c r="MS198" s="43"/>
      <c r="MT198" s="43"/>
      <c r="MU198" s="43"/>
      <c r="MV198" s="43"/>
      <c r="MW198" s="43"/>
      <c r="MX198" s="43"/>
      <c r="MY198" s="43"/>
      <c r="MZ198" s="43"/>
      <c r="NA198" s="43"/>
      <c r="NB198" s="43"/>
      <c r="NC198" s="43"/>
      <c r="ND198" s="43"/>
      <c r="NE198" s="43"/>
      <c r="NF198" s="43"/>
      <c r="NG198" s="43"/>
      <c r="NH198" s="43"/>
      <c r="NI198" s="43"/>
      <c r="NJ198" s="43"/>
      <c r="NK198" s="43"/>
      <c r="NL198" s="43"/>
      <c r="NM198" s="43"/>
      <c r="NN198" s="43"/>
      <c r="NO198" s="43"/>
      <c r="NP198" s="204"/>
      <c r="NQ198" s="21"/>
      <c r="NR198" s="21"/>
      <c r="NS198" s="205"/>
      <c r="NT198" s="21"/>
      <c r="NU198" s="21"/>
      <c r="NV198" s="21"/>
      <c r="NW198" s="206"/>
      <c r="NX198" s="207"/>
      <c r="NY198" s="43">
        <f>ROW(Tabla1[[#This Row],['# DE TAMIZAJES SIFILIS TOMADOS ]])</f>
        <v>198</v>
      </c>
      <c r="NZ198" s="43" t="str">
        <f t="shared" si="740"/>
        <v>Menor</v>
      </c>
      <c r="OA198" s="43" t="str">
        <f t="shared" si="741"/>
        <v>OBESIDAD</v>
      </c>
      <c r="OB198" s="43" t="str">
        <f t="shared" si="742"/>
        <v/>
      </c>
      <c r="OC198" s="43" t="str">
        <f t="shared" si="743"/>
        <v/>
      </c>
      <c r="OD198" s="43" t="str">
        <f t="shared" si="744"/>
        <v/>
      </c>
      <c r="OE198" s="43" t="str">
        <f t="shared" si="745"/>
        <v/>
      </c>
      <c r="OF198" s="43" t="str">
        <f t="shared" si="746"/>
        <v/>
      </c>
      <c r="OG198" s="43" t="str">
        <f t="shared" si="747"/>
        <v/>
      </c>
      <c r="OH198" s="43" t="str">
        <f t="shared" si="748"/>
        <v/>
      </c>
      <c r="OI198" s="43" t="str">
        <f t="shared" si="749"/>
        <v/>
      </c>
      <c r="OJ198" s="43" t="str">
        <f t="shared" si="750"/>
        <v/>
      </c>
      <c r="OK198" s="43" t="str">
        <f t="shared" si="751"/>
        <v/>
      </c>
      <c r="OL198" s="43" t="str">
        <f t="shared" si="752"/>
        <v/>
      </c>
      <c r="OM198" s="43" t="str">
        <f t="shared" si="753"/>
        <v/>
      </c>
      <c r="ON198" s="43" t="str">
        <f t="shared" si="754"/>
        <v/>
      </c>
      <c r="OO198" s="43" t="str">
        <f t="shared" si="755"/>
        <v/>
      </c>
      <c r="OP198" s="43" t="str">
        <f t="shared" si="756"/>
        <v/>
      </c>
      <c r="OQ198" s="43" t="str">
        <f t="shared" si="757"/>
        <v/>
      </c>
      <c r="OR198" s="43" t="str">
        <f t="shared" si="758"/>
        <v/>
      </c>
      <c r="OS198" s="43" t="str">
        <f t="shared" si="759"/>
        <v/>
      </c>
      <c r="OT198" s="43" t="str">
        <f t="shared" si="760"/>
        <v/>
      </c>
      <c r="OU198" s="43" t="str">
        <f t="shared" si="761"/>
        <v/>
      </c>
      <c r="OV198" s="110" t="str">
        <f t="shared" si="762"/>
        <v/>
      </c>
      <c r="OW198" s="43" t="str">
        <f t="shared" si="763"/>
        <v/>
      </c>
      <c r="OX198" s="43" t="str">
        <f t="shared" si="764"/>
        <v/>
      </c>
      <c r="OY198" s="43" t="str">
        <f t="shared" si="765"/>
        <v/>
      </c>
      <c r="OZ198" s="43" t="str">
        <f t="shared" si="766"/>
        <v/>
      </c>
      <c r="PA198" s="43" t="str">
        <f t="shared" si="767"/>
        <v/>
      </c>
      <c r="PB198" s="43" t="str">
        <f t="shared" si="768"/>
        <v/>
      </c>
      <c r="PC198" s="43" t="str">
        <f t="shared" si="769"/>
        <v/>
      </c>
      <c r="PD198" s="43" t="str">
        <f t="shared" si="770"/>
        <v/>
      </c>
      <c r="PE198" s="43" t="str">
        <f t="shared" si="771"/>
        <v/>
      </c>
      <c r="PF198" s="43" t="str">
        <f t="shared" si="772"/>
        <v/>
      </c>
      <c r="PG198" s="43" t="str">
        <f t="shared" si="773"/>
        <v/>
      </c>
      <c r="PH198" s="43" t="str">
        <f t="shared" si="774"/>
        <v/>
      </c>
      <c r="PI198" s="43" t="str">
        <f t="shared" si="775"/>
        <v>Menor</v>
      </c>
      <c r="PJ198" s="43" t="str">
        <f t="shared" si="776"/>
        <v>OBESIDAD</v>
      </c>
      <c r="PK198" s="43" t="str">
        <f t="shared" si="777"/>
        <v/>
      </c>
      <c r="PL198" s="43" t="str">
        <f t="shared" si="778"/>
        <v/>
      </c>
      <c r="PM198" s="43" t="str">
        <f t="shared" si="779"/>
        <v/>
      </c>
      <c r="PN198" s="43" t="str">
        <f t="shared" si="780"/>
        <v/>
      </c>
      <c r="PO198" s="43" t="str">
        <f t="shared" si="781"/>
        <v/>
      </c>
      <c r="PP198" s="43" t="str">
        <f t="shared" si="782"/>
        <v/>
      </c>
      <c r="PQ198" s="43" t="str">
        <f t="shared" si="783"/>
        <v/>
      </c>
      <c r="PR198" s="43" t="str">
        <f t="shared" si="784"/>
        <v/>
      </c>
      <c r="PS198" s="43" t="str">
        <f t="shared" si="785"/>
        <v/>
      </c>
      <c r="PT198" s="43" t="str">
        <f t="shared" si="786"/>
        <v/>
      </c>
      <c r="PU198" s="43" t="str">
        <f t="shared" si="787"/>
        <v/>
      </c>
      <c r="PV198" s="43" t="str">
        <f t="shared" si="788"/>
        <v/>
      </c>
      <c r="PW198" s="43" t="str">
        <f t="shared" si="789"/>
        <v/>
      </c>
      <c r="PX198" s="43" t="str">
        <f t="shared" si="790"/>
        <v/>
      </c>
      <c r="PY198" s="43" t="str">
        <f t="shared" si="791"/>
        <v/>
      </c>
      <c r="PZ198" s="43" t="str">
        <f t="shared" si="792"/>
        <v/>
      </c>
      <c r="QA198" s="43" t="str">
        <f t="shared" si="793"/>
        <v/>
      </c>
      <c r="QB198" s="43" t="str">
        <f t="shared" si="794"/>
        <v/>
      </c>
      <c r="QC198" s="43" t="str">
        <f t="shared" si="795"/>
        <v/>
      </c>
      <c r="QD198" s="43" t="str">
        <f t="shared" si="796"/>
        <v/>
      </c>
      <c r="QE198" s="43" t="str">
        <f t="shared" si="797"/>
        <v/>
      </c>
      <c r="QF198" s="43" t="str">
        <f t="shared" si="798"/>
        <v/>
      </c>
      <c r="QG198" s="43" t="str">
        <f t="shared" si="799"/>
        <v/>
      </c>
      <c r="QH198" s="43" t="str">
        <f t="shared" si="800"/>
        <v/>
      </c>
      <c r="QI198" s="43" t="str">
        <f t="shared" si="801"/>
        <v/>
      </c>
      <c r="QJ198" s="43" t="str">
        <f t="shared" si="802"/>
        <v/>
      </c>
      <c r="QK198" s="43" t="str">
        <f t="shared" si="803"/>
        <v/>
      </c>
      <c r="QL198" s="43" t="str">
        <f t="shared" si="804"/>
        <v/>
      </c>
      <c r="QM198" s="43" t="str">
        <f t="shared" si="805"/>
        <v/>
      </c>
      <c r="QN198" s="43" t="str">
        <f t="shared" si="806"/>
        <v/>
      </c>
      <c r="QO198" s="43" t="str">
        <f t="shared" si="807"/>
        <v/>
      </c>
      <c r="QP198" s="43" t="str">
        <f t="shared" si="808"/>
        <v/>
      </c>
      <c r="QQ198" s="43" t="str">
        <f t="shared" si="809"/>
        <v/>
      </c>
      <c r="QR198" s="43" t="str">
        <f t="shared" si="839"/>
        <v>Menor</v>
      </c>
      <c r="QS198" s="43"/>
      <c r="QT198" s="21" t="str">
        <f t="shared" si="810"/>
        <v/>
      </c>
      <c r="QU198" s="21" t="str">
        <f t="shared" si="811"/>
        <v/>
      </c>
      <c r="QV198" s="21" t="str">
        <f t="shared" si="812"/>
        <v/>
      </c>
      <c r="QW198" s="21" t="str">
        <f t="shared" si="813"/>
        <v/>
      </c>
      <c r="QX198" s="21" t="str">
        <f t="shared" si="814"/>
        <v/>
      </c>
      <c r="QY198" s="21" t="str">
        <f t="shared" si="815"/>
        <v/>
      </c>
      <c r="QZ198" s="21" t="str">
        <f t="shared" si="816"/>
        <v/>
      </c>
      <c r="RA198" s="21" t="str">
        <f t="shared" si="817"/>
        <v/>
      </c>
      <c r="RB198" s="21" t="str">
        <f t="shared" si="818"/>
        <v/>
      </c>
      <c r="RC198" s="21" t="str">
        <f t="shared" si="819"/>
        <v/>
      </c>
      <c r="RD198" s="21" t="str">
        <f t="shared" si="820"/>
        <v/>
      </c>
      <c r="RE198" s="21" t="str">
        <f t="shared" si="821"/>
        <v/>
      </c>
      <c r="RF198" s="21" t="str">
        <f t="shared" si="822"/>
        <v/>
      </c>
      <c r="RG198" s="21" t="str">
        <f t="shared" si="823"/>
        <v/>
      </c>
      <c r="RH198" s="21" t="str">
        <f t="shared" si="824"/>
        <v/>
      </c>
      <c r="RI198" s="21" t="str">
        <f t="shared" si="825"/>
        <v/>
      </c>
      <c r="RJ198" s="21" t="str">
        <f t="shared" si="826"/>
        <v/>
      </c>
      <c r="RK198" s="21" t="str">
        <f t="shared" si="827"/>
        <v/>
      </c>
      <c r="RL198" s="21" t="str">
        <f t="shared" si="828"/>
        <v/>
      </c>
      <c r="RM198" s="21" t="str">
        <f t="shared" si="829"/>
        <v/>
      </c>
      <c r="RN198" s="21" t="str">
        <f t="shared" si="830"/>
        <v/>
      </c>
      <c r="RO198" s="21" t="str">
        <f t="shared" si="831"/>
        <v/>
      </c>
      <c r="RP198" s="21" t="str">
        <f t="shared" si="832"/>
        <v/>
      </c>
      <c r="RQ198" s="21" t="str">
        <f t="shared" si="833"/>
        <v/>
      </c>
      <c r="RR198" s="21" t="str">
        <f t="shared" si="834"/>
        <v/>
      </c>
      <c r="RS198" s="21" t="str">
        <f t="shared" si="835"/>
        <v/>
      </c>
      <c r="RT198" s="21" t="str">
        <f t="shared" si="836"/>
        <v/>
      </c>
      <c r="RU198" s="21" t="str">
        <f t="shared" si="837"/>
        <v/>
      </c>
      <c r="RV198" s="21">
        <f t="shared" si="838"/>
        <v>-1</v>
      </c>
      <c r="RW198" s="284">
        <f>IF(OR(Tabla1[[#This Row],[FUM FORMULA CONFIABLE]]="",Tabla1[[#This Row],[FUM FORMULA CONFIABLE]]="SD"),"",IF(Tabla1[[#This Row],[FUM FORMULA CONFIABLE]]="CORREGIDA",Tabla1[[#This Row],[FUM X ECO 1]],Tabla1[[#This Row],[FUM x AMENORREA]]))</f>
        <v>45038</v>
      </c>
      <c r="RX198" s="21" t="str">
        <f>IF(AND(Tabla1[[#This Row],[FUM X ECO 1]]="",Tabla1[[#This Row],[FUM x AMENORREA]]=""),"",IF(AND(Tabla1[[#This Row],[FUM X ECO 1]]="",Tabla1[[#This Row],[FUM x AMENORREA]]&lt;&gt;""),"X",SUM(Tabla1[[#This Row],[FUM X ECO 1]]-Tabla1[[#This Row],[FUM x AMENORREA]])))</f>
        <v>X</v>
      </c>
      <c r="RY198" s="21" t="str">
        <f t="shared" si="840"/>
        <v>x</v>
      </c>
    </row>
    <row r="199" spans="1:493" ht="45" customHeight="1" x14ac:dyDescent="0.25">
      <c r="A199" s="109"/>
      <c r="B199" s="43"/>
      <c r="C199" s="43" t="s">
        <v>845</v>
      </c>
      <c r="D199" s="124"/>
      <c r="E199" s="43" t="s">
        <v>1156</v>
      </c>
      <c r="F199" s="43" t="s">
        <v>980</v>
      </c>
      <c r="G199" s="43" t="s">
        <v>1547</v>
      </c>
      <c r="H199" s="43"/>
      <c r="I199" s="109" t="s">
        <v>1094</v>
      </c>
      <c r="J199" s="110">
        <v>1059597328</v>
      </c>
      <c r="K199" s="43" t="s">
        <v>852</v>
      </c>
      <c r="L199" s="175" t="s">
        <v>1509</v>
      </c>
      <c r="M199" s="22">
        <v>39129</v>
      </c>
      <c r="N199" s="213">
        <f t="shared" ca="1" si="841"/>
        <v>16.720547945205478</v>
      </c>
      <c r="O199" s="22">
        <v>45094</v>
      </c>
      <c r="P199" s="214" t="str">
        <f t="shared" si="675"/>
        <v>SI</v>
      </c>
      <c r="Q199" s="26" t="s">
        <v>855</v>
      </c>
      <c r="R199" s="22">
        <v>45094</v>
      </c>
      <c r="S199" s="21" t="s">
        <v>856</v>
      </c>
      <c r="T199" s="24" t="s">
        <v>690</v>
      </c>
      <c r="U199" s="21" t="s">
        <v>857</v>
      </c>
      <c r="V199" s="21" t="s">
        <v>858</v>
      </c>
      <c r="W199" s="21" t="s">
        <v>1338</v>
      </c>
      <c r="X199" s="21"/>
      <c r="Y199" s="21" t="s">
        <v>859</v>
      </c>
      <c r="Z199" s="21" t="s">
        <v>1568</v>
      </c>
      <c r="AA199" s="21" t="s">
        <v>860</v>
      </c>
      <c r="AB199" s="27" t="s">
        <v>861</v>
      </c>
      <c r="AC199" s="26" t="s">
        <v>888</v>
      </c>
      <c r="AD199" s="38" t="s">
        <v>1546</v>
      </c>
      <c r="AE199" s="26" t="s">
        <v>854</v>
      </c>
      <c r="AF199" s="26" t="s">
        <v>854</v>
      </c>
      <c r="AG199" s="23" t="s">
        <v>864</v>
      </c>
      <c r="AH199" s="23" t="s">
        <v>864</v>
      </c>
      <c r="AI199" s="24" t="s">
        <v>863</v>
      </c>
      <c r="AJ199" s="23" t="s">
        <v>864</v>
      </c>
      <c r="AK199" s="220" t="str">
        <f>IF(AND(AD199="",AE199="",AF199="",AG199="",AH199="",AI199="",AJ199=""),"",IF(OR(Tabla1[[#This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EVALUACIÓN",IF(AND(O199="",R199=""),"",IF(AND(OR(O199&gt;0,R199&gt;0),NG199&gt;=0,NG199&lt;2),"SIN RIESGO",IF(AND(OR(O199&gt;0,R199&gt;0),NG199&gt;=2),"CON RIESGO","ASD")))))</f>
        <v>SIN RIESGO</v>
      </c>
      <c r="AL199" s="23" t="s">
        <v>864</v>
      </c>
      <c r="AM199" s="26" t="s">
        <v>864</v>
      </c>
      <c r="AN199" s="26" t="s">
        <v>864</v>
      </c>
      <c r="AO199" s="26" t="s">
        <v>864</v>
      </c>
      <c r="AP199" s="26" t="s">
        <v>864</v>
      </c>
      <c r="AQ199" s="26" t="s">
        <v>864</v>
      </c>
      <c r="AR199" s="26" t="s">
        <v>864</v>
      </c>
      <c r="AS199" s="21">
        <v>0</v>
      </c>
      <c r="AT199" s="21">
        <v>0</v>
      </c>
      <c r="AU199" s="21">
        <v>0</v>
      </c>
      <c r="AV199" s="26" t="s">
        <v>864</v>
      </c>
      <c r="AW199" s="21">
        <v>0</v>
      </c>
      <c r="AX199" s="26" t="s">
        <v>864</v>
      </c>
      <c r="AY199" s="26" t="s">
        <v>864</v>
      </c>
      <c r="AZ199" s="26" t="s">
        <v>864</v>
      </c>
      <c r="BA199" s="26" t="s">
        <v>864</v>
      </c>
      <c r="BB199" s="26" t="s">
        <v>864</v>
      </c>
      <c r="BC199" s="26" t="s">
        <v>864</v>
      </c>
      <c r="BD199" s="26" t="s">
        <v>864</v>
      </c>
      <c r="BE199" s="26" t="s">
        <v>864</v>
      </c>
      <c r="BF199" s="26" t="s">
        <v>864</v>
      </c>
      <c r="BG199" s="26" t="s">
        <v>864</v>
      </c>
      <c r="BH199" s="26" t="s">
        <v>864</v>
      </c>
      <c r="BI199" s="26" t="s">
        <v>864</v>
      </c>
      <c r="BJ199" s="26" t="s">
        <v>864</v>
      </c>
      <c r="BK199" s="26" t="s">
        <v>864</v>
      </c>
      <c r="BL199" s="26" t="s">
        <v>864</v>
      </c>
      <c r="BM199" s="26" t="s">
        <v>864</v>
      </c>
      <c r="BN199" s="22"/>
      <c r="BO199" s="22">
        <v>45001</v>
      </c>
      <c r="BP199" s="21" t="s">
        <v>1380</v>
      </c>
      <c r="BQ199" s="222">
        <f t="shared" si="842"/>
        <v>0</v>
      </c>
      <c r="BR199" s="223">
        <f t="shared" si="843"/>
        <v>45121</v>
      </c>
      <c r="BS199" s="224">
        <f t="shared" si="844"/>
        <v>-3.8571428571428572</v>
      </c>
      <c r="BT199" s="216" t="str">
        <f t="shared" si="845"/>
        <v>ERROR FUM O INGRESO O ECO</v>
      </c>
      <c r="BU199" s="214">
        <f t="shared" ca="1" si="846"/>
        <v>15.857142857142858</v>
      </c>
      <c r="BV199" s="25" t="s">
        <v>988</v>
      </c>
      <c r="BW199" s="22">
        <v>45121</v>
      </c>
      <c r="BX199" s="28">
        <v>18.399999999999999</v>
      </c>
      <c r="BY199" s="28"/>
      <c r="BZ199" s="22"/>
      <c r="CA199" s="21"/>
      <c r="CB199" s="26" t="s">
        <v>864</v>
      </c>
      <c r="CC199" s="26" t="s">
        <v>864</v>
      </c>
      <c r="CD199" s="26"/>
      <c r="CE199" s="26" t="s">
        <v>864</v>
      </c>
      <c r="CF199" s="22" t="s">
        <v>1517</v>
      </c>
      <c r="CG199" s="21">
        <v>1.52</v>
      </c>
      <c r="CH199" s="21">
        <v>58.8</v>
      </c>
      <c r="CI199" s="214">
        <f t="shared" si="847"/>
        <v>25.450138504155124</v>
      </c>
      <c r="CJ199" s="225" t="str">
        <f>IF(AND(CI199&lt;10,CH199="SD"),"SIN DATO PESO PREGESTACION O I TRIM",IF(AND(OR(R199&gt;0,O199&gt;0),CI199="X"),"INGRESAR DATO DE PESO",IF(CI199="SD","INGRESAR DATO DE TALLA Y PESO",IF(AND(OR(Tabla1[[#This Row],[MOMENTO EN QUE SE REALIZA EL PESO AL INGRESO A CPN]]="PREGESTACIÓN",NZ199="Menor"),CI199&lt;18.5),"BAJO PESO",IF(AND(OR(Tabla1[[#This Row],[MOMENTO EN QUE SE REALIZA EL PESO AL INGRESO A CPN]]="PREGESTACIÓN",NZ199="Menor"),CI199&lt;25),"NORMAL",IF(AND(OR(Tabla1[[#This Row],[MOMENTO EN QUE SE REALIZA EL PESO AL INGRESO A CPN]]="PREGESTACIÓN",NZ199="Menor"),CI199&lt;30),"SOBREPESO",IF(AND(OR(Tabla1[[#This Row],[MOMENTO EN QUE SE REALIZA EL PESO AL INGRESO A CPN]]="PREGESTACIÓN",NZ199="Menor"),CI199&gt;=30,CI199&lt;50),"OBESIDAD",IF(AND(BS199&gt;0,Tabla1[[#This Row],[MOMENTO EN QUE SE REALIZA EL PESO AL INGRESO A CPN]]="GESTACIÓN"),HLOOKUP(NZ199,$OA$2:PH199,NY199),""))))))))</f>
        <v>SOBREPESO</v>
      </c>
      <c r="CK199" s="212">
        <f t="shared" si="848"/>
        <v>45149</v>
      </c>
      <c r="CL199" s="21">
        <v>63</v>
      </c>
      <c r="CM199" s="214">
        <f t="shared" si="849"/>
        <v>27.268005540166204</v>
      </c>
      <c r="CN199" s="216">
        <f t="shared" si="850"/>
        <v>4</v>
      </c>
      <c r="CO199" s="216" t="e">
        <f>IF(PI199="","",IF(PI199&gt;0,HLOOKUP(PI199,$PJ$2:QQ199,NY199),""))</f>
        <v>#REF!</v>
      </c>
      <c r="CP199" s="21">
        <v>24</v>
      </c>
      <c r="CQ199" s="216" t="str">
        <f>IF(QR199="Menor","NO APLICA-MENOR 13 SEM",IF(AND(CC199="SI",CN199&gt;23),"NO APLICA- GEMELAR",IF(QR199="","",IF(QR199&gt;0,HLOOKUP(QR199,$QS$2:RU199,NY199),""))))</f>
        <v>NO APLICA-MENOR 13 SEM</v>
      </c>
      <c r="CR199" s="21"/>
      <c r="CS199" s="21"/>
      <c r="CT199" s="217" t="str">
        <f>IF(R199="","",IF(AND(BS199&gt;1,BS199&lt;12,Tabla1[[#This Row],[T.A. SISTOLICA - ANTES DE SEMANA 12]]="",Tabla1[[#This Row],[T.A. DIASTOLICA - ANTES DE SEMANA 12]]=""),"REGISTRE DATO TA ANTES SEMANA 12",IF(AND(BS199&gt;11,BS199&lt;43,Tabla1[[#This Row],[T.A. SISTOLICA - ANTES DE SEMANA 12]]="",Tabla1[[#This Row],[T.A. DIASTOLICA - ANTES DE SEMANA 12]]=""),"NO APLICA REGISTRO TA-INGRESO TARDIO",IF(AND(OR(O199&gt;0,R199&gt;0),OR(CR199&gt;=140,CS199&gt;=90)),"DEFINIR ESTADIO HTA",IF(AND(OR(O199&gt;0,R199&gt;0),AND(CR199&gt;120,CR199&lt;=139)),"PRE HTA SEGUIMIENTO",IF(AND(OR(O199&gt;0,R199&gt;0),AND(CS199&gt;80,CS199&lt;=89)),"PRE HTA SEGUIMIENTO",IF(AND(OR(O199&gt;0,R199&gt;0),AND(CR199&gt;=80,CR199&lt;=120)),"APARENTEMENTE NORMAL",IF(AND(OR(O199&gt;0,R199&gt;0),AND(CS199&gt;=50,CS199&lt;=80)),"APARENTEMENTE NORMAL",IF(AND(OR(O199&gt;0,R199&gt;0),AND(CR199&gt;1,CR199&lt;=70),AND(CS199&gt;1,CS199&lt;=40)),"HIPOTENSIÓN","")))))))))</f>
        <v/>
      </c>
      <c r="CU199" s="21">
        <v>100</v>
      </c>
      <c r="CV199" s="21">
        <v>60</v>
      </c>
      <c r="CW199" s="217" t="str">
        <f ca="1">IF(R199="","",IF(AND(CN199&gt;19,CN199&lt;27,Tabla1[[#This Row],[T.A. SISTOLICA (Entre semana 20 y 26)]]="",Tabla1[[#This Row],[T.A. DIATOLICA (Entre semana 20 y 26)]]=""),"ACUDE A CONTROL SEM 20 A 26 REGISTRE TA AHORA",IF(AND(BS199&gt;1,BS199&lt;27,BU199&gt;19,Tabla1[[#This Row],[T.A. SISTOLICA (Entre semana 20 y 26)]]="",Tabla1[[#This Row],[T.A. DIATOLICA (Entre semana 20 y 26)]]=""),"COMPLETE REGISTRO TA CONTROL SEM 20 A26 ",IF(AND(BS199&gt;26,BS199&lt;43,Tabla1[[#This Row],[T.A. SISTOLICA (Entre semana 20 y 26)]]="",Tabla1[[#This Row],[T.A. DIATOLICA (Entre semana 20 y 26)]]=""),"NO APLICA REGISTRO TA-INGRESO TARDIO",IF(AND(OR(O199&gt;0,R199&gt;0),OR(CU199&gt;=140,CV199&gt;=90)),"ALTO RIESGO PREECLAMPSIA,DEFINIR ESTADIO HTA",IF(AND(OR(O199&gt;0,R199&gt;0),AND(CU199&gt;120,CU199&lt;=139)),"PRE HTA SEGUIMIENTO,RIESGO HIPERTENSION INDUCIDA POR EL EMBARAZO",IF(AND(OR(O199&gt;0,R199&gt;0),AND(CV199&gt;80,CV199&lt;=89)),"PRE HTA SEGUIMIENTO, RIESGO HIPERTENSION INDUCIDA POR EL EMBARAZO",IF(AND(OR(O199&lt;&gt;"",R199&lt;&gt;""),CS199&lt;&gt;"",CV199&lt;&gt;"",CS199&lt;=CV199),"VIGILAR CIFRAS PRESION ARTERIAL",IF(AND(OR(O199&gt;0,R199&gt;0),AND(CU199&gt;120,CU199&lt;=139)),"PRE HTA SEGUIMIENTO",IF(AND(OR(O199&gt;0,R199&gt;0),AND(CU199&gt;1,CU199&lt;=70),AND(CV199&gt;1,CV199&lt;=40)),"HIPOTENSIÓN",IF(AND(OR(O199&lt;&gt;"",R199&lt;&gt;""),CS199&lt;&gt;"",CV199&lt;&gt;"",CS199&gt;CV199),"APARENTEMENTE NORMAL",IF(AND(OR(O199&gt;0,R199&gt;0),AND(CU199&gt;=80,CU199&lt;=120)),"APARENTEMENTE NORMAL",IF(AND(OR(O199&gt;0,R199&gt;0),AND(CV199&gt;=50,CV199&lt;=80)),"APARENTEMENTE NORMAL","")))))))))))))</f>
        <v>APARENTEMENTE NORMAL</v>
      </c>
      <c r="CX199" s="21"/>
      <c r="CY199" s="21"/>
      <c r="CZ199" s="216" t="e">
        <f>IF(R199="","",IF(AND(CN199&gt;31,CN199&lt;35,CX199="",CY199=""),"ACUDE A CONTROL SEM 30 A 34- REGISTRE AHORA",IF(AND(BS199&gt;34,BS199&lt;43,#REF!="",#REF!=""),"NO APLICA-INGRESO TARDIO",IF(AND(OR(O199&gt;0,R199&gt;0),OR(CX199&gt;=140,CY199&gt;=90)),"ESTUDIO INMEDIATO HTA PARA DESCARTAR PREECLAMSIA",IF(AND(OR(O199&gt;0,R199&gt;0),AND(CX199&gt;=130,CX199&lt;=139)),"PRE HTA,RIESGO ALTO PREECLAMPSIA",IF(AND(OR(O199&gt;0,R199&gt;0),AND(CY199&gt;80,CY199&lt;=89)),"PRE HTA,RIESGO ALTO PREECLAMPSIA",IF(AND(OR(O199&gt;0,R199&gt;0),AND(CX199&gt;120,CX199&lt;=129)),"RANGO PREHIPERTENSIVO SEGUIMIENTO HTA",IF(AND(OR(O199&lt;&gt;"",R199&lt;&gt;""),CS199&lt;&gt;"",CY199&lt;&gt;"",CS199&lt;CY199),"VIGILAR CIFRAS PRESION ARTERIAL",IF(AND(OR(O199&lt;&gt;"",R199&lt;&gt;""),CS199&lt;&gt;"",CY199&lt;&gt;"",CS199=CY199),"APARENTEMENTE NORMAL",IF(AND(OR(O199&gt;0,R199&gt;0),CX199&gt;=80,CX199&lt;=120),"APARENTEMENTE NORMAL",IF(AND(OR(O199&gt;0,R199&gt;0),CY199&gt;=50,CY199&lt;=80),"APARENTEMENTE NORMAL","")))))))))))</f>
        <v>#REF!</v>
      </c>
      <c r="DA199" s="21">
        <v>90</v>
      </c>
      <c r="DB199" s="21">
        <v>60</v>
      </c>
      <c r="DC199" s="217" t="str">
        <f t="shared" si="851"/>
        <v>APARENTEMENTE NORMAL</v>
      </c>
      <c r="DD199" s="22">
        <v>45094</v>
      </c>
      <c r="DE199" s="22">
        <v>45094</v>
      </c>
      <c r="DF199" s="22">
        <v>45121</v>
      </c>
      <c r="DG199" s="22">
        <v>45149</v>
      </c>
      <c r="DH199" s="22"/>
      <c r="DI199" s="22"/>
      <c r="DJ199" s="22"/>
      <c r="DK199" s="22"/>
      <c r="DL199" s="22"/>
      <c r="DM199" s="22"/>
      <c r="DN199" s="22"/>
      <c r="DO199" s="22"/>
      <c r="DP199" s="22"/>
      <c r="DQ199" s="22"/>
      <c r="DR199" s="28"/>
      <c r="DS199" s="22"/>
      <c r="DT199" s="22"/>
      <c r="DU199" s="216" t="str">
        <f t="shared" ca="1" si="676"/>
        <v>EN ESPERA</v>
      </c>
      <c r="DV199" s="226" t="str">
        <f t="shared" si="677"/>
        <v>ACTIVA INGRESO A CPN</v>
      </c>
      <c r="DW199"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99" s="216" t="str">
        <f t="shared" si="852"/>
        <v>DIA DE CONTROL</v>
      </c>
      <c r="DY199" s="212">
        <f>IF(R199="","",IF(R199&gt;0,MAX(Tabla1[[#This Row],[FECHA C2]:[FECHA C13]],Tabla1[[#This Row],[FECHA CONSULTA PRIMERA VEZ PROGRAMA CPN ]])))</f>
        <v>45149</v>
      </c>
      <c r="DZ199" s="216">
        <f t="shared" si="853"/>
        <v>4</v>
      </c>
      <c r="EA199" s="222">
        <f>IF(R199&gt;0,SUM(COUNTA(DF199:DQ199)+COUNTA(Tabla1[[#This Row],[FECHA CONSULTA PRIMERA VEZ PROGRAMA CPN ]])),"")</f>
        <v>3</v>
      </c>
      <c r="EB199" s="222" t="str">
        <f t="shared" si="854"/>
        <v>NO</v>
      </c>
      <c r="EC199" s="214" t="str">
        <f t="shared" si="855"/>
        <v>X</v>
      </c>
      <c r="ED199" s="227" t="e">
        <f t="shared" si="856"/>
        <v>#VALUE!</v>
      </c>
      <c r="EE199" s="22">
        <v>45094</v>
      </c>
      <c r="EF199" s="22">
        <v>45094</v>
      </c>
      <c r="EG199" s="22">
        <v>45094</v>
      </c>
      <c r="EH199" s="22"/>
      <c r="EI199" s="22">
        <v>45094</v>
      </c>
      <c r="EJ199" s="22">
        <v>45148</v>
      </c>
      <c r="EK199" s="22"/>
      <c r="EL199" s="21"/>
      <c r="EM199" s="21">
        <v>12.7</v>
      </c>
      <c r="EN199" s="22">
        <v>45140</v>
      </c>
      <c r="EO199" s="222">
        <f t="shared" si="857"/>
        <v>2.7142857142857144</v>
      </c>
      <c r="EP199" s="214" t="str">
        <f t="shared" si="858"/>
        <v>NORMAL- SUMINISTRAR SULFATO FERROSO</v>
      </c>
      <c r="EQ199" s="216" t="str">
        <f t="shared" si="859"/>
        <v>I TRIM</v>
      </c>
      <c r="ER199" s="24"/>
      <c r="ES199" s="22"/>
      <c r="ET199" s="29" t="str">
        <f t="shared" ca="1" si="678"/>
        <v>EN ESPERA PARA TOMA EXAMEN</v>
      </c>
      <c r="EU199" s="25" t="str">
        <f t="shared" si="860"/>
        <v/>
      </c>
      <c r="EV199" s="24" t="s">
        <v>1510</v>
      </c>
      <c r="EW199" s="22">
        <v>45140</v>
      </c>
      <c r="EX199" s="22"/>
      <c r="EY199" s="29">
        <f t="shared" si="693"/>
        <v>2.7142857142857144</v>
      </c>
      <c r="EZ199" s="25" t="str">
        <f t="shared" si="694"/>
        <v>SIN RIESGO DE ISOINMUNIZACIÓN</v>
      </c>
      <c r="FA199" s="21">
        <v>64</v>
      </c>
      <c r="FB199" s="22">
        <v>45140</v>
      </c>
      <c r="FC199" s="29">
        <f t="shared" si="861"/>
        <v>2.7142857142857144</v>
      </c>
      <c r="FD199" s="29"/>
      <c r="FE199" s="29"/>
      <c r="FF199" s="29"/>
      <c r="FG199" s="21" t="str">
        <f t="shared" ca="1" si="862"/>
        <v/>
      </c>
      <c r="FH199" s="31"/>
      <c r="FI199" s="29" t="str">
        <f t="shared" si="863"/>
        <v>TOMAR EXAMEN</v>
      </c>
      <c r="FJ199" s="22" t="s">
        <v>867</v>
      </c>
      <c r="FK199" s="22">
        <v>45140</v>
      </c>
      <c r="FL199" s="29">
        <f t="shared" ca="1" si="864"/>
        <v>2.7142857142857144</v>
      </c>
      <c r="FM199" s="22"/>
      <c r="FN199" s="32"/>
      <c r="FO199" s="29" t="str">
        <f t="shared" ca="1" si="679"/>
        <v>EN RANGO PARA TOMAR EXAMEN</v>
      </c>
      <c r="FP199" s="22"/>
      <c r="FQ199" s="32"/>
      <c r="FR199" s="29" t="str">
        <f t="shared" ca="1" si="680"/>
        <v>EN ESPERA-ESTÁ I TRIM O II TRIM</v>
      </c>
      <c r="FS199" s="22"/>
      <c r="FT199" s="32"/>
      <c r="FU199" s="29" t="str">
        <f>IF(AND(FJ199="",FM199="",FP199="",FS199=""),"",IF(OR(OR(Tabla1[[#This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99" s="28"/>
      <c r="FW199" s="22"/>
      <c r="FX199" s="29" t="str">
        <f t="shared" si="865"/>
        <v>TOMAR EXAMEN</v>
      </c>
      <c r="FY199" s="22" t="s">
        <v>868</v>
      </c>
      <c r="FZ199" s="22">
        <v>45140</v>
      </c>
      <c r="GA199" s="29">
        <f t="shared" ca="1" si="739"/>
        <v>2.7142857142857144</v>
      </c>
      <c r="GB199" s="22"/>
      <c r="GC199" s="22"/>
      <c r="GD199" s="29" t="str">
        <f t="shared" ca="1" si="732"/>
        <v>EN RANGO PARA TOMAR EXAMEN</v>
      </c>
      <c r="GE199" s="22"/>
      <c r="GF199" s="22"/>
      <c r="GG199" s="29" t="str">
        <f t="shared" ca="1" si="682"/>
        <v>EN ESPERA-ESTÁ I TRIM O II TRIM</v>
      </c>
      <c r="GH199" s="22"/>
      <c r="GI199" s="29"/>
      <c r="GJ199" s="22"/>
      <c r="GK199" s="22"/>
      <c r="GL199" s="22"/>
      <c r="GM199" s="22"/>
      <c r="GN199" s="28" t="s">
        <v>869</v>
      </c>
      <c r="GO199" s="22">
        <v>45140</v>
      </c>
      <c r="GP199" s="29">
        <f t="shared" si="866"/>
        <v>2.7142857142857144</v>
      </c>
      <c r="GQ199" s="28" t="s">
        <v>869</v>
      </c>
      <c r="GR199" s="22" t="s">
        <v>869</v>
      </c>
      <c r="GS199" s="22" t="str">
        <f t="shared" si="728"/>
        <v>CONTROL Igm</v>
      </c>
      <c r="GT199" s="22">
        <v>45140</v>
      </c>
      <c r="GU199" s="29">
        <f t="shared" si="867"/>
        <v>19.857142857142858</v>
      </c>
      <c r="GV199" s="21" t="str">
        <f t="shared" si="868"/>
        <v>II TRIM</v>
      </c>
      <c r="GW199" s="28"/>
      <c r="GX199" s="30"/>
      <c r="GY199" s="21"/>
      <c r="GZ199" s="21"/>
      <c r="HA199" s="21"/>
      <c r="HB199" s="21"/>
      <c r="HC199" s="21"/>
      <c r="HD199" s="21"/>
      <c r="HE199" s="21"/>
      <c r="HF199" s="22"/>
      <c r="HG199" s="22" t="str">
        <f>IF(OR(O199&gt;0,R199&gt;0),CONCATENATE(IF(Tabla1[[#This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99" s="22" t="e">
        <f t="shared" si="869"/>
        <v>#REF!</v>
      </c>
      <c r="HI199" s="22" t="e">
        <f t="shared" si="870"/>
        <v>#REF!</v>
      </c>
      <c r="HJ199" s="21" t="str">
        <f t="shared" ca="1" si="871"/>
        <v>***************************************</v>
      </c>
      <c r="HK199" s="21" t="str">
        <f t="shared" si="872"/>
        <v>SIN ANTECEDENTES DE RIESGO</v>
      </c>
      <c r="HL199" s="24" t="str">
        <f t="shared" si="873"/>
        <v>APARENTEMENTE NORMAL</v>
      </c>
      <c r="HM199" s="21" t="str">
        <f t="shared" si="874"/>
        <v>DIA DE CONTROL</v>
      </c>
      <c r="HN199" s="30" t="str">
        <f t="shared" si="683"/>
        <v>ACTIVA INGRESO A CPN</v>
      </c>
      <c r="HO199" s="21"/>
      <c r="HP199" s="21"/>
      <c r="HQ199" s="349"/>
      <c r="HR199" s="21"/>
      <c r="HS199" s="22"/>
      <c r="HT199" s="22"/>
      <c r="HU199" s="22"/>
      <c r="HV199" s="22" t="s">
        <v>1544</v>
      </c>
      <c r="HW199" s="22">
        <v>45094</v>
      </c>
      <c r="HX199" s="22" t="s">
        <v>1511</v>
      </c>
      <c r="HY199" s="22">
        <v>45094</v>
      </c>
      <c r="HZ199" s="28" t="str">
        <f t="shared" si="875"/>
        <v>CORREGIR FECHA CONSULTA</v>
      </c>
      <c r="IA199" s="26"/>
      <c r="IB199" s="26"/>
      <c r="IC199" s="111"/>
      <c r="ID199" s="22"/>
      <c r="IE199" s="22" t="str">
        <f t="shared" ca="1" si="876"/>
        <v>EN ESPERA PARA VACUNAR</v>
      </c>
      <c r="IF199" s="22"/>
      <c r="IG199" s="22">
        <f t="shared" si="877"/>
        <v>45401</v>
      </c>
      <c r="IH199" s="29">
        <f t="shared" ca="1" si="878"/>
        <v>169</v>
      </c>
      <c r="II199" s="22" t="str">
        <f t="shared" ca="1" si="879"/>
        <v>PENDIENTE</v>
      </c>
      <c r="IJ199" s="22"/>
      <c r="IK199" s="21"/>
      <c r="IL199" s="21"/>
      <c r="IM199" s="34"/>
      <c r="IN199" s="22"/>
      <c r="IO199" s="21"/>
      <c r="IP199" s="29"/>
      <c r="IQ199" s="35"/>
      <c r="IR199" s="21"/>
      <c r="IS199" s="21"/>
      <c r="IT199" s="21"/>
      <c r="IU199" s="21"/>
      <c r="IV199" s="21"/>
      <c r="IW199" s="21"/>
      <c r="IX199" s="21"/>
      <c r="IY199" s="21"/>
      <c r="IZ199" s="21"/>
      <c r="JA199" s="21"/>
      <c r="JB199" s="30"/>
      <c r="JC199" s="21"/>
      <c r="JD199" s="36"/>
      <c r="JE199" s="21"/>
      <c r="JF199" s="30"/>
      <c r="JG199" s="21"/>
      <c r="JH199" s="21"/>
      <c r="JI199" s="21"/>
      <c r="JJ199" s="30"/>
      <c r="JK199" s="22"/>
      <c r="JL199" s="22"/>
      <c r="JM199" s="21"/>
      <c r="JN199" s="36"/>
      <c r="JO199" s="21"/>
      <c r="JP199" s="22"/>
      <c r="JQ199" s="21"/>
      <c r="JR199" s="21"/>
      <c r="JS199" s="21"/>
      <c r="JT199" s="30"/>
      <c r="JU199" s="22"/>
      <c r="JV199" s="22"/>
      <c r="JW199" s="33"/>
      <c r="JX199" s="28"/>
      <c r="JY199" s="33"/>
      <c r="JZ199" s="28"/>
      <c r="KA199" s="21"/>
      <c r="KB199" s="21"/>
      <c r="KC199" s="21"/>
      <c r="KD199" s="37"/>
      <c r="KE199" s="28"/>
      <c r="KF199" s="28"/>
      <c r="KG199" s="28"/>
      <c r="KH199" s="39"/>
      <c r="KI199" s="39"/>
      <c r="KJ199" s="66"/>
      <c r="KK199" s="39"/>
      <c r="KL199" s="39"/>
      <c r="KM199" s="66"/>
      <c r="KN199" s="39"/>
      <c r="KO199" s="39"/>
      <c r="KP199" s="39"/>
      <c r="KQ199" s="39"/>
      <c r="KR199" s="39"/>
      <c r="KS199" s="39"/>
      <c r="KT199" s="39"/>
      <c r="KU199" s="38"/>
      <c r="KV199" s="38"/>
      <c r="KW199" s="38"/>
      <c r="KX199" s="38"/>
      <c r="KY199" s="38"/>
      <c r="KZ199" s="38"/>
      <c r="LA199" s="38"/>
      <c r="LB199" s="38"/>
      <c r="LC199" s="38"/>
      <c r="LD199" s="38"/>
      <c r="LE199" s="38"/>
      <c r="LF199" s="38"/>
      <c r="LG199" s="38"/>
      <c r="LH199" s="38"/>
      <c r="LI199" s="38"/>
      <c r="LJ199" s="38"/>
      <c r="LK199" s="38"/>
      <c r="LL199" s="38"/>
      <c r="LM199" s="38"/>
      <c r="LN199" s="38"/>
      <c r="LO199" s="38"/>
      <c r="LP199" s="38"/>
      <c r="LQ199" s="38"/>
      <c r="LR199" s="38"/>
      <c r="LS199" s="38"/>
      <c r="LT199" s="38"/>
      <c r="LU199" s="38"/>
      <c r="LV199" s="38"/>
      <c r="LW199" s="38"/>
      <c r="LX199" s="38"/>
      <c r="LY199" s="38"/>
      <c r="LZ199" s="38"/>
      <c r="MA199" s="38"/>
      <c r="MB199" s="38"/>
      <c r="MC199" s="38"/>
      <c r="MD199" s="38"/>
      <c r="ME199" s="38"/>
      <c r="MF199" s="38"/>
      <c r="MG199" s="38"/>
      <c r="MH199" s="43"/>
      <c r="MI199" s="43"/>
      <c r="MJ199" s="43"/>
      <c r="MK199" s="43"/>
      <c r="ML199" s="43"/>
      <c r="MM199" s="43"/>
      <c r="MN199" s="43"/>
      <c r="MO199" s="43"/>
      <c r="MP199" s="43"/>
      <c r="MQ199" s="43"/>
      <c r="MR199" s="43"/>
      <c r="MS199" s="43"/>
      <c r="MT199" s="43"/>
      <c r="MU199" s="43"/>
      <c r="MV199" s="43"/>
      <c r="MW199" s="43"/>
      <c r="MX199" s="43"/>
      <c r="MY199" s="43"/>
      <c r="MZ199" s="43"/>
      <c r="NA199" s="43"/>
      <c r="NB199" s="43"/>
      <c r="NC199" s="43"/>
      <c r="ND199" s="43"/>
      <c r="NE199" s="43"/>
      <c r="NF199" s="43"/>
      <c r="NG199" s="43"/>
      <c r="NH199" s="43"/>
      <c r="NI199" s="43"/>
      <c r="NJ199" s="43"/>
      <c r="NK199" s="43"/>
      <c r="NL199" s="43"/>
      <c r="NM199" s="43"/>
      <c r="NN199" s="43"/>
      <c r="NO199" s="43"/>
      <c r="NP199" s="204"/>
      <c r="NQ199" s="21"/>
      <c r="NR199" s="21"/>
      <c r="NS199" s="205"/>
      <c r="NT199" s="21"/>
      <c r="NU199" s="21"/>
      <c r="NV199" s="21"/>
      <c r="NW199" s="206"/>
      <c r="NX199" s="207"/>
      <c r="NY199" s="43">
        <f>ROW(Tabla1[[#This Row],['# DE TAMIZAJES SIFILIS TOMADOS ]])</f>
        <v>199</v>
      </c>
      <c r="NZ199" s="43" t="str">
        <f t="shared" si="740"/>
        <v>Menor</v>
      </c>
      <c r="OA199" s="43" t="str">
        <f t="shared" si="741"/>
        <v>SOBREPESO</v>
      </c>
      <c r="OB199" s="43" t="str">
        <f t="shared" si="742"/>
        <v/>
      </c>
      <c r="OC199" s="43" t="str">
        <f t="shared" si="743"/>
        <v/>
      </c>
      <c r="OD199" s="43" t="str">
        <f t="shared" si="744"/>
        <v/>
      </c>
      <c r="OE199" s="43" t="str">
        <f t="shared" si="745"/>
        <v/>
      </c>
      <c r="OF199" s="43" t="str">
        <f t="shared" si="746"/>
        <v/>
      </c>
      <c r="OG199" s="43" t="str">
        <f t="shared" si="747"/>
        <v/>
      </c>
      <c r="OH199" s="43" t="str">
        <f t="shared" si="748"/>
        <v/>
      </c>
      <c r="OI199" s="43" t="str">
        <f t="shared" si="749"/>
        <v/>
      </c>
      <c r="OJ199" s="43" t="str">
        <f t="shared" si="750"/>
        <v/>
      </c>
      <c r="OK199" s="43" t="str">
        <f t="shared" si="751"/>
        <v/>
      </c>
      <c r="OL199" s="43" t="str">
        <f t="shared" si="752"/>
        <v/>
      </c>
      <c r="OM199" s="43" t="str">
        <f t="shared" si="753"/>
        <v/>
      </c>
      <c r="ON199" s="43" t="str">
        <f t="shared" si="754"/>
        <v/>
      </c>
      <c r="OO199" s="43" t="str">
        <f t="shared" si="755"/>
        <v/>
      </c>
      <c r="OP199" s="43" t="str">
        <f t="shared" si="756"/>
        <v/>
      </c>
      <c r="OQ199" s="43" t="str">
        <f t="shared" si="757"/>
        <v/>
      </c>
      <c r="OR199" s="43" t="str">
        <f t="shared" si="758"/>
        <v/>
      </c>
      <c r="OS199" s="43" t="str">
        <f t="shared" si="759"/>
        <v/>
      </c>
      <c r="OT199" s="43" t="str">
        <f t="shared" si="760"/>
        <v/>
      </c>
      <c r="OU199" s="43" t="str">
        <f t="shared" si="761"/>
        <v/>
      </c>
      <c r="OV199" s="110" t="str">
        <f t="shared" si="762"/>
        <v/>
      </c>
      <c r="OW199" s="43" t="str">
        <f t="shared" si="763"/>
        <v/>
      </c>
      <c r="OX199" s="43" t="str">
        <f t="shared" si="764"/>
        <v/>
      </c>
      <c r="OY199" s="43" t="str">
        <f t="shared" si="765"/>
        <v/>
      </c>
      <c r="OZ199" s="43" t="str">
        <f t="shared" si="766"/>
        <v/>
      </c>
      <c r="PA199" s="43" t="str">
        <f t="shared" si="767"/>
        <v/>
      </c>
      <c r="PB199" s="43" t="str">
        <f t="shared" si="768"/>
        <v/>
      </c>
      <c r="PC199" s="43" t="str">
        <f t="shared" si="769"/>
        <v/>
      </c>
      <c r="PD199" s="43" t="str">
        <f t="shared" si="770"/>
        <v/>
      </c>
      <c r="PE199" s="43" t="str">
        <f t="shared" si="771"/>
        <v/>
      </c>
      <c r="PF199" s="43" t="str">
        <f t="shared" si="772"/>
        <v/>
      </c>
      <c r="PG199" s="43" t="str">
        <f t="shared" si="773"/>
        <v/>
      </c>
      <c r="PH199" s="43" t="str">
        <f t="shared" si="774"/>
        <v/>
      </c>
      <c r="PI199" s="43" t="str">
        <f t="shared" si="775"/>
        <v>Menor</v>
      </c>
      <c r="PJ199" s="43" t="str">
        <f t="shared" si="776"/>
        <v>SOBREPESO</v>
      </c>
      <c r="PK199" s="43" t="str">
        <f t="shared" si="777"/>
        <v/>
      </c>
      <c r="PL199" s="43" t="str">
        <f t="shared" si="778"/>
        <v/>
      </c>
      <c r="PM199" s="43" t="str">
        <f t="shared" si="779"/>
        <v/>
      </c>
      <c r="PN199" s="43" t="str">
        <f t="shared" si="780"/>
        <v/>
      </c>
      <c r="PO199" s="43" t="str">
        <f t="shared" si="781"/>
        <v/>
      </c>
      <c r="PP199" s="43" t="str">
        <f t="shared" si="782"/>
        <v/>
      </c>
      <c r="PQ199" s="43" t="str">
        <f t="shared" si="783"/>
        <v/>
      </c>
      <c r="PR199" s="43" t="str">
        <f t="shared" si="784"/>
        <v/>
      </c>
      <c r="PS199" s="43" t="str">
        <f t="shared" si="785"/>
        <v/>
      </c>
      <c r="PT199" s="43" t="str">
        <f t="shared" si="786"/>
        <v/>
      </c>
      <c r="PU199" s="43" t="str">
        <f t="shared" si="787"/>
        <v/>
      </c>
      <c r="PV199" s="43" t="str">
        <f t="shared" si="788"/>
        <v/>
      </c>
      <c r="PW199" s="43" t="str">
        <f t="shared" si="789"/>
        <v/>
      </c>
      <c r="PX199" s="43" t="str">
        <f t="shared" si="790"/>
        <v/>
      </c>
      <c r="PY199" s="43" t="str">
        <f t="shared" si="791"/>
        <v/>
      </c>
      <c r="PZ199" s="43" t="str">
        <f t="shared" si="792"/>
        <v/>
      </c>
      <c r="QA199" s="43" t="str">
        <f t="shared" si="793"/>
        <v/>
      </c>
      <c r="QB199" s="43" t="str">
        <f t="shared" si="794"/>
        <v/>
      </c>
      <c r="QC199" s="43" t="str">
        <f t="shared" si="795"/>
        <v/>
      </c>
      <c r="QD199" s="43" t="str">
        <f t="shared" si="796"/>
        <v/>
      </c>
      <c r="QE199" s="43" t="str">
        <f t="shared" si="797"/>
        <v/>
      </c>
      <c r="QF199" s="43" t="str">
        <f t="shared" si="798"/>
        <v/>
      </c>
      <c r="QG199" s="43" t="str">
        <f t="shared" si="799"/>
        <v/>
      </c>
      <c r="QH199" s="43" t="str">
        <f t="shared" si="800"/>
        <v/>
      </c>
      <c r="QI199" s="43" t="str">
        <f t="shared" si="801"/>
        <v/>
      </c>
      <c r="QJ199" s="43" t="str">
        <f t="shared" si="802"/>
        <v/>
      </c>
      <c r="QK199" s="43" t="str">
        <f t="shared" si="803"/>
        <v/>
      </c>
      <c r="QL199" s="43" t="str">
        <f t="shared" si="804"/>
        <v/>
      </c>
      <c r="QM199" s="43" t="str">
        <f t="shared" si="805"/>
        <v/>
      </c>
      <c r="QN199" s="43" t="str">
        <f t="shared" si="806"/>
        <v/>
      </c>
      <c r="QO199" s="43" t="str">
        <f t="shared" si="807"/>
        <v/>
      </c>
      <c r="QP199" s="43" t="str">
        <f t="shared" si="808"/>
        <v/>
      </c>
      <c r="QQ199" s="43" t="str">
        <f t="shared" si="809"/>
        <v/>
      </c>
      <c r="QR199" s="43" t="str">
        <f t="shared" si="839"/>
        <v>Menor</v>
      </c>
      <c r="QS199" s="43"/>
      <c r="QT199" s="21" t="str">
        <f t="shared" si="810"/>
        <v/>
      </c>
      <c r="QU199" s="21" t="str">
        <f t="shared" si="811"/>
        <v/>
      </c>
      <c r="QV199" s="21" t="str">
        <f t="shared" si="812"/>
        <v/>
      </c>
      <c r="QW199" s="21" t="str">
        <f t="shared" si="813"/>
        <v/>
      </c>
      <c r="QX199" s="21" t="str">
        <f t="shared" si="814"/>
        <v/>
      </c>
      <c r="QY199" s="21" t="str">
        <f t="shared" si="815"/>
        <v/>
      </c>
      <c r="QZ199" s="21" t="str">
        <f t="shared" si="816"/>
        <v/>
      </c>
      <c r="RA199" s="21" t="str">
        <f t="shared" si="817"/>
        <v/>
      </c>
      <c r="RB199" s="21" t="str">
        <f t="shared" si="818"/>
        <v/>
      </c>
      <c r="RC199" s="21" t="str">
        <f t="shared" si="819"/>
        <v/>
      </c>
      <c r="RD199" s="21" t="str">
        <f t="shared" si="820"/>
        <v/>
      </c>
      <c r="RE199" s="21" t="str">
        <f t="shared" si="821"/>
        <v/>
      </c>
      <c r="RF199" s="21" t="str">
        <f t="shared" si="822"/>
        <v/>
      </c>
      <c r="RG199" s="21" t="str">
        <f t="shared" si="823"/>
        <v/>
      </c>
      <c r="RH199" s="21" t="str">
        <f t="shared" si="824"/>
        <v/>
      </c>
      <c r="RI199" s="21" t="str">
        <f t="shared" si="825"/>
        <v/>
      </c>
      <c r="RJ199" s="21" t="str">
        <f t="shared" si="826"/>
        <v/>
      </c>
      <c r="RK199" s="21" t="str">
        <f t="shared" si="827"/>
        <v/>
      </c>
      <c r="RL199" s="21" t="str">
        <f t="shared" si="828"/>
        <v/>
      </c>
      <c r="RM199" s="21" t="str">
        <f t="shared" si="829"/>
        <v/>
      </c>
      <c r="RN199" s="21" t="str">
        <f t="shared" si="830"/>
        <v/>
      </c>
      <c r="RO199" s="21" t="str">
        <f t="shared" si="831"/>
        <v/>
      </c>
      <c r="RP199" s="21" t="str">
        <f t="shared" si="832"/>
        <v/>
      </c>
      <c r="RQ199" s="21" t="str">
        <f t="shared" si="833"/>
        <v/>
      </c>
      <c r="RR199" s="21" t="str">
        <f t="shared" si="834"/>
        <v/>
      </c>
      <c r="RS199" s="21" t="str">
        <f t="shared" si="835"/>
        <v/>
      </c>
      <c r="RT199" s="21" t="str">
        <f t="shared" si="836"/>
        <v/>
      </c>
      <c r="RU199" s="21" t="str">
        <f t="shared" si="837"/>
        <v/>
      </c>
      <c r="RV199" s="21">
        <f t="shared" si="838"/>
        <v>-1</v>
      </c>
      <c r="RW199" s="284">
        <f>IF(OR(Tabla1[[#This Row],[FUM FORMULA CONFIABLE]]="",Tabla1[[#This Row],[FUM FORMULA CONFIABLE]]="SD"),"",IF(Tabla1[[#This Row],[FUM FORMULA CONFIABLE]]="CORREGIDA",Tabla1[[#This Row],[FUM X ECO 1]],Tabla1[[#This Row],[FUM x AMENORREA]]))</f>
        <v>45121</v>
      </c>
      <c r="RX199" s="21">
        <f>IF(AND(Tabla1[[#This Row],[FUM X ECO 1]]="",Tabla1[[#This Row],[FUM x AMENORREA]]=""),"",IF(AND(Tabla1[[#This Row],[FUM X ECO 1]]="",Tabla1[[#This Row],[FUM x AMENORREA]]&lt;&gt;""),"X",SUM(Tabla1[[#This Row],[FUM X ECO 1]]-Tabla1[[#This Row],[FUM x AMENORREA]])))</f>
        <v>120</v>
      </c>
      <c r="RY199" s="21">
        <f t="shared" si="840"/>
        <v>1</v>
      </c>
    </row>
    <row r="200" spans="1:493" ht="45" customHeight="1" x14ac:dyDescent="0.25">
      <c r="A200" s="109"/>
      <c r="B200" s="43"/>
      <c r="C200" s="43" t="s">
        <v>845</v>
      </c>
      <c r="D200" s="124"/>
      <c r="E200" s="43" t="s">
        <v>1549</v>
      </c>
      <c r="F200" s="43" t="s">
        <v>1298</v>
      </c>
      <c r="G200" s="43" t="s">
        <v>1550</v>
      </c>
      <c r="H200" s="43" t="s">
        <v>1551</v>
      </c>
      <c r="I200" s="109" t="s">
        <v>851</v>
      </c>
      <c r="J200" s="291" t="s">
        <v>1548</v>
      </c>
      <c r="K200" s="43" t="s">
        <v>852</v>
      </c>
      <c r="L200" s="175" t="s">
        <v>1509</v>
      </c>
      <c r="M200" s="22">
        <v>37158</v>
      </c>
      <c r="N200" s="213">
        <f t="shared" ca="1" si="841"/>
        <v>22.12054794520548</v>
      </c>
      <c r="O200" s="22">
        <v>45098</v>
      </c>
      <c r="P200" s="214" t="str">
        <f t="shared" si="675"/>
        <v>SI</v>
      </c>
      <c r="Q200" s="26" t="s">
        <v>855</v>
      </c>
      <c r="R200" s="22">
        <v>45098</v>
      </c>
      <c r="S200" s="21" t="s">
        <v>856</v>
      </c>
      <c r="T200" s="24" t="s">
        <v>690</v>
      </c>
      <c r="U200" s="21" t="s">
        <v>857</v>
      </c>
      <c r="V200" s="21" t="s">
        <v>858</v>
      </c>
      <c r="W200" s="21" t="s">
        <v>1552</v>
      </c>
      <c r="X200" s="21"/>
      <c r="Y200" s="21"/>
      <c r="Z200" s="21" t="s">
        <v>1564</v>
      </c>
      <c r="AA200" s="21" t="s">
        <v>860</v>
      </c>
      <c r="AB200" s="27" t="s">
        <v>861</v>
      </c>
      <c r="AC200" s="26" t="s">
        <v>888</v>
      </c>
      <c r="AD200" s="38" t="s">
        <v>1546</v>
      </c>
      <c r="AE200" s="26" t="s">
        <v>854</v>
      </c>
      <c r="AF200" s="26" t="s">
        <v>854</v>
      </c>
      <c r="AG200" s="23" t="s">
        <v>864</v>
      </c>
      <c r="AH200" s="23" t="s">
        <v>864</v>
      </c>
      <c r="AI200" s="24" t="s">
        <v>863</v>
      </c>
      <c r="AJ200" s="23" t="s">
        <v>864</v>
      </c>
      <c r="AK200" s="220" t="str">
        <f>IF(AND(AD200="",AE200="",AF200="",AG200="",AH200="",AI200="",AJ200=""),"",IF(OR(Tabla1[[#This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EVALUACIÓN",IF(AND(O200="",R200=""),"",IF(AND(OR(O200&gt;0,R200&gt;0),NG200&gt;=0,NG200&lt;2),"SIN RIESGO",IF(AND(OR(O200&gt;0,R200&gt;0),NG200&gt;=2),"CON RIESGO","ASD")))))</f>
        <v>SIN RIESGO</v>
      </c>
      <c r="AL200" s="23" t="s">
        <v>864</v>
      </c>
      <c r="AM200" s="26" t="s">
        <v>864</v>
      </c>
      <c r="AN200" s="26" t="s">
        <v>864</v>
      </c>
      <c r="AO200" s="26" t="s">
        <v>864</v>
      </c>
      <c r="AP200" s="26" t="s">
        <v>864</v>
      </c>
      <c r="AQ200" s="26" t="s">
        <v>864</v>
      </c>
      <c r="AR200" s="26" t="s">
        <v>864</v>
      </c>
      <c r="AS200" s="21">
        <v>1</v>
      </c>
      <c r="AT200" s="21">
        <v>1</v>
      </c>
      <c r="AU200" s="21">
        <v>0</v>
      </c>
      <c r="AV200" s="26" t="s">
        <v>864</v>
      </c>
      <c r="AW200" s="21">
        <v>0</v>
      </c>
      <c r="AX200" s="26" t="s">
        <v>864</v>
      </c>
      <c r="AY200" s="26" t="s">
        <v>864</v>
      </c>
      <c r="AZ200" s="26" t="s">
        <v>864</v>
      </c>
      <c r="BA200" s="26" t="s">
        <v>864</v>
      </c>
      <c r="BB200" s="26" t="s">
        <v>864</v>
      </c>
      <c r="BC200" s="26" t="s">
        <v>864</v>
      </c>
      <c r="BD200" s="26" t="s">
        <v>864</v>
      </c>
      <c r="BE200" s="26" t="s">
        <v>864</v>
      </c>
      <c r="BF200" s="26" t="s">
        <v>864</v>
      </c>
      <c r="BG200" s="26" t="s">
        <v>864</v>
      </c>
      <c r="BH200" s="26" t="s">
        <v>864</v>
      </c>
      <c r="BI200" s="26" t="s">
        <v>864</v>
      </c>
      <c r="BJ200" s="26" t="s">
        <v>864</v>
      </c>
      <c r="BK200" s="26" t="s">
        <v>864</v>
      </c>
      <c r="BL200" s="26" t="s">
        <v>864</v>
      </c>
      <c r="BM200" s="26" t="s">
        <v>864</v>
      </c>
      <c r="BN200" s="22"/>
      <c r="BO200" s="22">
        <v>45046</v>
      </c>
      <c r="BP200" s="21" t="s">
        <v>1380</v>
      </c>
      <c r="BQ200" s="222">
        <f t="shared" si="842"/>
        <v>0</v>
      </c>
      <c r="BR200" s="223">
        <f t="shared" si="843"/>
        <v>45121</v>
      </c>
      <c r="BS200" s="224">
        <f t="shared" si="844"/>
        <v>-3.2857142857142856</v>
      </c>
      <c r="BT200" s="216" t="str">
        <f t="shared" si="845"/>
        <v>ERROR FUM O INGRESO O ECO</v>
      </c>
      <c r="BU200" s="214">
        <f t="shared" ca="1" si="846"/>
        <v>15.857142857142858</v>
      </c>
      <c r="BV200" s="25" t="s">
        <v>1478</v>
      </c>
      <c r="BW200" s="22">
        <v>45121</v>
      </c>
      <c r="BX200" s="28">
        <v>11</v>
      </c>
      <c r="BY200" s="28"/>
      <c r="BZ200" s="22"/>
      <c r="CA200" s="21"/>
      <c r="CB200" s="26" t="s">
        <v>864</v>
      </c>
      <c r="CC200" s="26" t="s">
        <v>864</v>
      </c>
      <c r="CD200" s="26"/>
      <c r="CE200" s="26" t="s">
        <v>864</v>
      </c>
      <c r="CF200" s="22" t="s">
        <v>1517</v>
      </c>
      <c r="CG200" s="21">
        <v>1.58</v>
      </c>
      <c r="CH200" s="21">
        <v>56</v>
      </c>
      <c r="CI200" s="214">
        <f t="shared" si="847"/>
        <v>22.432302515622492</v>
      </c>
      <c r="CJ200" s="225" t="str">
        <f>IF(AND(CI200&lt;10,CH200="SD"),"SIN DATO PESO PREGESTACION O I TRIM",IF(AND(OR(R200&gt;0,O200&gt;0),CI200="X"),"INGRESAR DATO DE PESO",IF(CI200="SD","INGRESAR DATO DE TALLA Y PESO",IF(AND(OR(Tabla1[[#This Row],[MOMENTO EN QUE SE REALIZA EL PESO AL INGRESO A CPN]]="PREGESTACIÓN",NZ200="Menor"),CI200&lt;18.5),"BAJO PESO",IF(AND(OR(Tabla1[[#This Row],[MOMENTO EN QUE SE REALIZA EL PESO AL INGRESO A CPN]]="PREGESTACIÓN",NZ200="Menor"),CI200&lt;25),"NORMAL",IF(AND(OR(Tabla1[[#This Row],[MOMENTO EN QUE SE REALIZA EL PESO AL INGRESO A CPN]]="PREGESTACIÓN",NZ200="Menor"),CI200&lt;30),"SOBREPESO",IF(AND(OR(Tabla1[[#This Row],[MOMENTO EN QUE SE REALIZA EL PESO AL INGRESO A CPN]]="PREGESTACIÓN",NZ200="Menor"),CI200&gt;=30,CI200&lt;50),"OBESIDAD",IF(AND(BS200&gt;0,Tabla1[[#This Row],[MOMENTO EN QUE SE REALIZA EL PESO AL INGRESO A CPN]]="GESTACIÓN"),HLOOKUP(NZ200,$OA$2:PH200,NY200),""))))))))</f>
        <v>NORMAL</v>
      </c>
      <c r="CK200" s="212">
        <f t="shared" si="848"/>
        <v>45164</v>
      </c>
      <c r="CL200" s="21">
        <v>56</v>
      </c>
      <c r="CM200" s="214">
        <f t="shared" si="849"/>
        <v>22.432302515622492</v>
      </c>
      <c r="CN200" s="216">
        <f t="shared" si="850"/>
        <v>6</v>
      </c>
      <c r="CO200" s="216" t="e">
        <f>IF(PI200="","",IF(PI200&gt;0,HLOOKUP(PI200,$PJ$2:QQ200,NY200),""))</f>
        <v>#REF!</v>
      </c>
      <c r="CP200" s="21"/>
      <c r="CQ200" s="216" t="str">
        <f>IF(QR200="Menor","NO APLICA-MENOR 13 SEM",IF(AND(CC200="SI",CN200&gt;23),"NO APLICA- GEMELAR",IF(QR200="","",IF(QR200&gt;0,HLOOKUP(QR200,$QS$2:RU200,NY200),""))))</f>
        <v>NO APLICA-MENOR 13 SEM</v>
      </c>
      <c r="CR200" s="21">
        <v>90</v>
      </c>
      <c r="CS200" s="21">
        <v>60</v>
      </c>
      <c r="CT200" s="217" t="str">
        <f>IF(R200="","",IF(AND(BS200&gt;1,BS200&lt;12,Tabla1[[#This Row],[T.A. SISTOLICA - ANTES DE SEMANA 12]]="",Tabla1[[#This Row],[T.A. DIASTOLICA - ANTES DE SEMANA 12]]=""),"REGISTRE DATO TA ANTES SEMANA 12",IF(AND(BS200&gt;11,BS200&lt;43,Tabla1[[#This Row],[T.A. SISTOLICA - ANTES DE SEMANA 12]]="",Tabla1[[#This Row],[T.A. DIASTOLICA - ANTES DE SEMANA 12]]=""),"NO APLICA REGISTRO TA-INGRESO TARDIO",IF(AND(OR(O200&gt;0,R200&gt;0),OR(CR200&gt;=140,CS200&gt;=90)),"DEFINIR ESTADIO HTA",IF(AND(OR(O200&gt;0,R200&gt;0),AND(CR200&gt;120,CR200&lt;=139)),"PRE HTA SEGUIMIENTO",IF(AND(OR(O200&gt;0,R200&gt;0),AND(CS200&gt;80,CS200&lt;=89)),"PRE HTA SEGUIMIENTO",IF(AND(OR(O200&gt;0,R200&gt;0),AND(CR200&gt;=80,CR200&lt;=120)),"APARENTEMENTE NORMAL",IF(AND(OR(O200&gt;0,R200&gt;0),AND(CS200&gt;=50,CS200&lt;=80)),"APARENTEMENTE NORMAL",IF(AND(OR(O200&gt;0,R200&gt;0),AND(CR200&gt;1,CR200&lt;=70),AND(CS200&gt;1,CS200&lt;=40)),"HIPOTENSIÓN","")))))))))</f>
        <v>APARENTEMENTE NORMAL</v>
      </c>
      <c r="CU200" s="21"/>
      <c r="CV200" s="21"/>
      <c r="CW200" s="217" t="str">
        <f ca="1">IF(R200="","",IF(AND(CN200&gt;19,CN200&lt;27,Tabla1[[#This Row],[T.A. SISTOLICA (Entre semana 20 y 26)]]="",Tabla1[[#This Row],[T.A. DIATOLICA (Entre semana 20 y 26)]]=""),"ACUDE A CONTROL SEM 20 A 26 REGISTRE TA AHORA",IF(AND(BS200&gt;1,BS200&lt;27,BU200&gt;19,Tabla1[[#This Row],[T.A. SISTOLICA (Entre semana 20 y 26)]]="",Tabla1[[#This Row],[T.A. DIATOLICA (Entre semana 20 y 26)]]=""),"COMPLETE REGISTRO TA CONTROL SEM 20 A26 ",IF(AND(BS200&gt;26,BS200&lt;43,Tabla1[[#This Row],[T.A. SISTOLICA (Entre semana 20 y 26)]]="",Tabla1[[#This Row],[T.A. DIATOLICA (Entre semana 20 y 26)]]=""),"NO APLICA REGISTRO TA-INGRESO TARDIO",IF(AND(OR(O200&gt;0,R200&gt;0),OR(CU200&gt;=140,CV200&gt;=90)),"ALTO RIESGO PREECLAMPSIA,DEFINIR ESTADIO HTA",IF(AND(OR(O200&gt;0,R200&gt;0),AND(CU200&gt;120,CU200&lt;=139)),"PRE HTA SEGUIMIENTO,RIESGO HIPERTENSION INDUCIDA POR EL EMBARAZO",IF(AND(OR(O200&gt;0,R200&gt;0),AND(CV200&gt;80,CV200&lt;=89)),"PRE HTA SEGUIMIENTO, RIESGO HIPERTENSION INDUCIDA POR EL EMBARAZO",IF(AND(OR(O200&lt;&gt;"",R200&lt;&gt;""),CS200&lt;&gt;"",CV200&lt;&gt;"",CS200&lt;=CV200),"VIGILAR CIFRAS PRESION ARTERIAL",IF(AND(OR(O200&gt;0,R200&gt;0),AND(CU200&gt;120,CU200&lt;=139)),"PRE HTA SEGUIMIENTO",IF(AND(OR(O200&gt;0,R200&gt;0),AND(CU200&gt;1,CU200&lt;=70),AND(CV200&gt;1,CV200&lt;=40)),"HIPOTENSIÓN",IF(AND(OR(O200&lt;&gt;"",R200&lt;&gt;""),CS200&lt;&gt;"",CV200&lt;&gt;"",CS200&gt;CV200),"APARENTEMENTE NORMAL",IF(AND(OR(O200&gt;0,R200&gt;0),AND(CU200&gt;=80,CU200&lt;=120)),"APARENTEMENTE NORMAL",IF(AND(OR(O200&gt;0,R200&gt;0),AND(CV200&gt;=50,CV200&lt;=80)),"APARENTEMENTE NORMAL","")))))))))))))</f>
        <v/>
      </c>
      <c r="CX200" s="21"/>
      <c r="CY200" s="21"/>
      <c r="CZ200" s="216" t="str">
        <f>IF(R200="","",IF(AND(CN200&gt;31,CN200&lt;35,CX200="",CY200=""),"ACUDE A CONTROL SEM 30 A 34- REGISTRE AHORA",IF(AND(BS200&gt;34,BS200&lt;43,CX201="",CY201=""),"NO APLICA-INGRESO TARDIO",IF(AND(OR(O200&gt;0,R200&gt;0),OR(CX200&gt;=140,CY200&gt;=90)),"ESTUDIO INMEDIATO HTA PARA DESCARTAR PREECLAMSIA",IF(AND(OR(O200&gt;0,R200&gt;0),AND(CX200&gt;=130,CX200&lt;=139)),"PRE HTA,RIESGO ALTO PREECLAMPSIA",IF(AND(OR(O200&gt;0,R200&gt;0),AND(CY200&gt;80,CY200&lt;=89)),"PRE HTA,RIESGO ALTO PREECLAMPSIA",IF(AND(OR(O200&gt;0,R200&gt;0),AND(CX200&gt;120,CX200&lt;=129)),"RANGO PREHIPERTENSIVO SEGUIMIENTO HTA",IF(AND(OR(O200&lt;&gt;"",R200&lt;&gt;""),CS200&lt;&gt;"",CY200&lt;&gt;"",CS200&lt;CY200),"VIGILAR CIFRAS PRESION ARTERIAL",IF(AND(OR(O200&lt;&gt;"",R200&lt;&gt;""),CS200&lt;&gt;"",CY200&lt;&gt;"",CS200=CY200),"APARENTEMENTE NORMAL",IF(AND(OR(O200&gt;0,R200&gt;0),CX200&gt;=80,CX200&lt;=120),"APARENTEMENTE NORMAL",IF(AND(OR(O200&gt;0,R200&gt;0),CY200&gt;=50,CY200&lt;=80),"APARENTEMENTE NORMAL","")))))))))))</f>
        <v/>
      </c>
      <c r="DA200" s="21">
        <v>90</v>
      </c>
      <c r="DB200" s="21">
        <v>60</v>
      </c>
      <c r="DC200" s="217" t="str">
        <f t="shared" si="851"/>
        <v>APARENTEMENTE NORMAL</v>
      </c>
      <c r="DD200" s="22">
        <v>45098</v>
      </c>
      <c r="DE200" s="22">
        <v>45098</v>
      </c>
      <c r="DF200" s="22">
        <v>45164</v>
      </c>
      <c r="DG200" s="22"/>
      <c r="DH200" s="22"/>
      <c r="DI200" s="22"/>
      <c r="DJ200" s="22"/>
      <c r="DK200" s="22"/>
      <c r="DL200" s="22"/>
      <c r="DM200" s="22"/>
      <c r="DN200" s="22"/>
      <c r="DO200" s="22"/>
      <c r="DP200" s="22"/>
      <c r="DQ200" s="22"/>
      <c r="DR200" s="28"/>
      <c r="DS200" s="22"/>
      <c r="DT200" s="22"/>
      <c r="DU200" s="216" t="str">
        <f t="shared" ca="1" si="676"/>
        <v>EN ESPERA</v>
      </c>
      <c r="DV200" s="226" t="str">
        <f t="shared" si="677"/>
        <v>ACTIVA INGRESO A CPN</v>
      </c>
      <c r="DW200"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00" s="216" t="str">
        <f t="shared" si="852"/>
        <v>DIA DE CONTROL</v>
      </c>
      <c r="DY200" s="212">
        <f>IF(R200="","",IF(R200&gt;0,MAX(Tabla1[[#This Row],[FECHA C2]:[FECHA C13]],Tabla1[[#This Row],[FECHA CONSULTA PRIMERA VEZ PROGRAMA CPN ]])))</f>
        <v>45164</v>
      </c>
      <c r="DZ200" s="216">
        <f t="shared" si="853"/>
        <v>6</v>
      </c>
      <c r="EA200" s="222">
        <f>IF(R200&gt;0,SUM(COUNTA(DF200:DQ200)+COUNTA(Tabla1[[#This Row],[FECHA CONSULTA PRIMERA VEZ PROGRAMA CPN ]])),"")</f>
        <v>2</v>
      </c>
      <c r="EB200" s="222" t="str">
        <f t="shared" si="854"/>
        <v>NO</v>
      </c>
      <c r="EC200" s="214" t="str">
        <f t="shared" si="855"/>
        <v>X</v>
      </c>
      <c r="ED200" s="227" t="e">
        <f t="shared" si="856"/>
        <v>#VALUE!</v>
      </c>
      <c r="EE200" s="22">
        <v>45098</v>
      </c>
      <c r="EF200" s="22">
        <v>45121</v>
      </c>
      <c r="EG200" s="22">
        <v>45098</v>
      </c>
      <c r="EH200" s="22"/>
      <c r="EI200" s="22">
        <v>45098</v>
      </c>
      <c r="EJ200" s="22"/>
      <c r="EK200" s="22"/>
      <c r="EL200" s="21"/>
      <c r="EM200" s="21">
        <v>14.2</v>
      </c>
      <c r="EN200" s="22">
        <v>45099</v>
      </c>
      <c r="EO200" s="222" t="str">
        <f t="shared" si="857"/>
        <v>CORREGIR FECHA RESULTADO</v>
      </c>
      <c r="EP200" s="214" t="str">
        <f t="shared" si="858"/>
        <v>NO DAR SULFATO FERROSO</v>
      </c>
      <c r="EQ200" s="216" t="str">
        <f t="shared" si="859"/>
        <v>POR DEFINIR</v>
      </c>
      <c r="ER200" s="24"/>
      <c r="ES200" s="22"/>
      <c r="ET200" s="29" t="str">
        <f t="shared" ca="1" si="678"/>
        <v>EN ESPERA PARA TOMA EXAMEN</v>
      </c>
      <c r="EU200" s="25" t="str">
        <f t="shared" si="860"/>
        <v/>
      </c>
      <c r="EV200" s="24" t="s">
        <v>1510</v>
      </c>
      <c r="EW200" s="32">
        <v>45099</v>
      </c>
      <c r="EX200" s="22"/>
      <c r="EY200" s="29" t="str">
        <f t="shared" si="693"/>
        <v>CORREGIR FECHA RESULTADO</v>
      </c>
      <c r="EZ200" s="25" t="str">
        <f t="shared" si="694"/>
        <v>SIN RIESGO DE ISOINMUNIZACIÓN</v>
      </c>
      <c r="FA200" s="21"/>
      <c r="FB200" s="22"/>
      <c r="FC200" s="29" t="str">
        <f t="shared" si="861"/>
        <v>TOMAR EXAMEN</v>
      </c>
      <c r="FD200" s="29"/>
      <c r="FE200" s="29"/>
      <c r="FF200" s="29"/>
      <c r="FG200" s="21" t="str">
        <f t="shared" ca="1" si="862"/>
        <v/>
      </c>
      <c r="FH200" s="31"/>
      <c r="FI200" s="29" t="str">
        <f t="shared" si="863"/>
        <v>TOMAR EXAMEN</v>
      </c>
      <c r="FJ200" s="22"/>
      <c r="FK200" s="22"/>
      <c r="FL200" s="29" t="str">
        <f t="shared" ca="1" si="864"/>
        <v>PIERDE TOMA DE TAMIZAJE</v>
      </c>
      <c r="FM200" s="22"/>
      <c r="FN200" s="32"/>
      <c r="FO200" s="29" t="str">
        <f t="shared" ca="1" si="679"/>
        <v>EN RANGO PARA TOMAR EXAMEN</v>
      </c>
      <c r="FP200" s="22"/>
      <c r="FQ200" s="32"/>
      <c r="FR200" s="29" t="str">
        <f t="shared" ca="1" si="680"/>
        <v>EN ESPERA-ESTÁ I TRIM O II TRIM</v>
      </c>
      <c r="FS200" s="22"/>
      <c r="FT200" s="32"/>
      <c r="FU200" s="29" t="str">
        <f>IF(AND(FJ200="",FM200="",FP200="",FS200=""),"",IF(OR(OR(Tabla1[[#This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00" s="28"/>
      <c r="FW200" s="22"/>
      <c r="FX200" s="29" t="str">
        <f t="shared" si="865"/>
        <v>TOMAR EXAMEN</v>
      </c>
      <c r="FY200" s="22"/>
      <c r="FZ200" s="22"/>
      <c r="GA200" s="29" t="str">
        <f t="shared" ca="1" si="739"/>
        <v>PIERDE TOMA DE TAMIZAJE</v>
      </c>
      <c r="GB200" s="22"/>
      <c r="GC200" s="22"/>
      <c r="GD200" s="29" t="str">
        <f t="shared" ca="1" si="732"/>
        <v>EN RANGO PARA TOMAR EXAMEN</v>
      </c>
      <c r="GE200" s="22"/>
      <c r="GF200" s="22"/>
      <c r="GG200" s="29" t="str">
        <f t="shared" ca="1" si="682"/>
        <v>EN ESPERA-ESTÁ I TRIM O II TRIM</v>
      </c>
      <c r="GH200" s="22"/>
      <c r="GI200" s="29"/>
      <c r="GJ200" s="22"/>
      <c r="GK200" s="22"/>
      <c r="GL200" s="22"/>
      <c r="GM200" s="22"/>
      <c r="GN200" s="28"/>
      <c r="GO200" s="22"/>
      <c r="GP200" s="29" t="str">
        <f t="shared" si="866"/>
        <v>TOMAR EXAMEN</v>
      </c>
      <c r="GQ200" s="28"/>
      <c r="GR200" s="28"/>
      <c r="GS200" s="22" t="str">
        <f t="shared" si="728"/>
        <v/>
      </c>
      <c r="GT200" s="22"/>
      <c r="GU200" s="29" t="str">
        <f t="shared" si="867"/>
        <v>TOMAR EXAMEN</v>
      </c>
      <c r="GV200" s="21" t="str">
        <f t="shared" si="868"/>
        <v>POR DEFINIR</v>
      </c>
      <c r="GW200" s="28"/>
      <c r="GX200" s="30"/>
      <c r="GY200" s="21"/>
      <c r="GZ200" s="21"/>
      <c r="HA200" s="21"/>
      <c r="HB200" s="21"/>
      <c r="HC200" s="21"/>
      <c r="HD200" s="21"/>
      <c r="HE200" s="21"/>
      <c r="HF200" s="22"/>
      <c r="HG200" s="22" t="str">
        <f>IF(OR(O200&gt;0,R200&gt;0),CONCATENATE(IF(Tabla1[[#This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00" s="22" t="e">
        <f t="shared" si="869"/>
        <v>#REF!</v>
      </c>
      <c r="HI200" s="22" t="e">
        <f t="shared" si="870"/>
        <v>#REF!</v>
      </c>
      <c r="HJ200" s="21" t="str">
        <f t="shared" ca="1" si="871"/>
        <v>***************************************</v>
      </c>
      <c r="HK200" s="21" t="str">
        <f t="shared" si="872"/>
        <v>SIN ANTECEDENTES DE RIESGO</v>
      </c>
      <c r="HL200" s="24" t="str">
        <f t="shared" si="873"/>
        <v>APARENTEMENTE NORMAL</v>
      </c>
      <c r="HM200" s="21" t="str">
        <f t="shared" si="874"/>
        <v>DIA DE CONTROL</v>
      </c>
      <c r="HN200" s="30" t="str">
        <f t="shared" si="683"/>
        <v>ACTIVA INGRESO A CPN</v>
      </c>
      <c r="HO200" s="21"/>
      <c r="HP200" s="21"/>
      <c r="HQ200" s="349"/>
      <c r="HR200" s="21"/>
      <c r="HS200" s="22"/>
      <c r="HT200" s="22"/>
      <c r="HU200" s="22"/>
      <c r="HV200" s="22" t="s">
        <v>1544</v>
      </c>
      <c r="HW200" s="22">
        <v>45098</v>
      </c>
      <c r="HX200" s="22"/>
      <c r="HY200" s="22">
        <v>45098</v>
      </c>
      <c r="HZ200" s="28" t="str">
        <f t="shared" si="875"/>
        <v>CORREGIR FECHA CONSULTA</v>
      </c>
      <c r="IA200" s="26"/>
      <c r="IB200" s="26"/>
      <c r="IC200" s="111"/>
      <c r="ID200" s="22"/>
      <c r="IE200" s="22" t="str">
        <f t="shared" ca="1" si="876"/>
        <v>EN ESPERA PARA VACUNAR</v>
      </c>
      <c r="IF200" s="22"/>
      <c r="IG200" s="22">
        <f t="shared" si="877"/>
        <v>45401</v>
      </c>
      <c r="IH200" s="29">
        <f t="shared" ca="1" si="878"/>
        <v>169</v>
      </c>
      <c r="II200" s="22" t="str">
        <f t="shared" ca="1" si="879"/>
        <v>PENDIENTE</v>
      </c>
      <c r="IJ200" s="22"/>
      <c r="IK200" s="21"/>
      <c r="IL200" s="21"/>
      <c r="IM200" s="34"/>
      <c r="IN200" s="22"/>
      <c r="IO200" s="21"/>
      <c r="IP200" s="29"/>
      <c r="IQ200" s="35"/>
      <c r="IR200" s="21"/>
      <c r="IS200" s="21"/>
      <c r="IT200" s="21"/>
      <c r="IU200" s="21"/>
      <c r="IV200" s="21"/>
      <c r="IW200" s="21"/>
      <c r="IX200" s="21"/>
      <c r="IY200" s="21"/>
      <c r="IZ200" s="21"/>
      <c r="JA200" s="21"/>
      <c r="JB200" s="30"/>
      <c r="JC200" s="21"/>
      <c r="JD200" s="36"/>
      <c r="JE200" s="21"/>
      <c r="JF200" s="30"/>
      <c r="JG200" s="21"/>
      <c r="JH200" s="21"/>
      <c r="JI200" s="21"/>
      <c r="JJ200" s="30"/>
      <c r="JK200" s="22"/>
      <c r="JL200" s="22"/>
      <c r="JM200" s="21"/>
      <c r="JN200" s="36"/>
      <c r="JO200" s="21"/>
      <c r="JP200" s="22"/>
      <c r="JQ200" s="21"/>
      <c r="JR200" s="21"/>
      <c r="JS200" s="21"/>
      <c r="JT200" s="30"/>
      <c r="JU200" s="22"/>
      <c r="JV200" s="22"/>
      <c r="JW200" s="33"/>
      <c r="JX200" s="28"/>
      <c r="JY200" s="33"/>
      <c r="JZ200" s="28"/>
      <c r="KA200" s="21"/>
      <c r="KB200" s="21"/>
      <c r="KC200" s="21"/>
      <c r="KD200" s="37"/>
      <c r="KE200" s="28"/>
      <c r="KF200" s="28"/>
      <c r="KG200" s="28"/>
      <c r="KH200" s="39"/>
      <c r="KI200" s="39"/>
      <c r="KJ200" s="66"/>
      <c r="KK200" s="39"/>
      <c r="KL200" s="39"/>
      <c r="KM200" s="66"/>
      <c r="KN200" s="39"/>
      <c r="KO200" s="39"/>
      <c r="KP200" s="39"/>
      <c r="KQ200" s="39"/>
      <c r="KR200" s="39"/>
      <c r="KS200" s="39"/>
      <c r="KT200" s="39"/>
      <c r="KU200" s="38"/>
      <c r="KV200" s="38"/>
      <c r="KW200" s="38"/>
      <c r="KX200" s="38"/>
      <c r="KY200" s="38"/>
      <c r="KZ200" s="38"/>
      <c r="LA200" s="38"/>
      <c r="LB200" s="38"/>
      <c r="LC200" s="38"/>
      <c r="LD200" s="38"/>
      <c r="LE200" s="38"/>
      <c r="LF200" s="38"/>
      <c r="LG200" s="38"/>
      <c r="LH200" s="38"/>
      <c r="LI200" s="38"/>
      <c r="LJ200" s="38"/>
      <c r="LK200" s="38"/>
      <c r="LL200" s="38"/>
      <c r="LM200" s="38"/>
      <c r="LN200" s="38"/>
      <c r="LO200" s="38"/>
      <c r="LP200" s="38"/>
      <c r="LQ200" s="38"/>
      <c r="LR200" s="38"/>
      <c r="LS200" s="38"/>
      <c r="LT200" s="38"/>
      <c r="LU200" s="38"/>
      <c r="LV200" s="38"/>
      <c r="LW200" s="38"/>
      <c r="LX200" s="38"/>
      <c r="LY200" s="38"/>
      <c r="LZ200" s="38"/>
      <c r="MA200" s="38"/>
      <c r="MB200" s="38"/>
      <c r="MC200" s="38"/>
      <c r="MD200" s="38"/>
      <c r="ME200" s="38"/>
      <c r="MF200" s="38"/>
      <c r="MG200" s="38"/>
      <c r="MH200" s="43"/>
      <c r="MI200" s="43"/>
      <c r="MJ200" s="43"/>
      <c r="MK200" s="43"/>
      <c r="ML200" s="43"/>
      <c r="MM200" s="43"/>
      <c r="MN200" s="43"/>
      <c r="MO200" s="43"/>
      <c r="MP200" s="43"/>
      <c r="MQ200" s="43"/>
      <c r="MR200" s="43"/>
      <c r="MS200" s="43"/>
      <c r="MT200" s="43"/>
      <c r="MU200" s="43"/>
      <c r="MV200" s="43"/>
      <c r="MW200" s="43"/>
      <c r="MX200" s="43"/>
      <c r="MY200" s="43"/>
      <c r="MZ200" s="43"/>
      <c r="NA200" s="43"/>
      <c r="NB200" s="43"/>
      <c r="NC200" s="43"/>
      <c r="ND200" s="43"/>
      <c r="NE200" s="43"/>
      <c r="NF200" s="43"/>
      <c r="NG200" s="43"/>
      <c r="NH200" s="43"/>
      <c r="NI200" s="43"/>
      <c r="NJ200" s="43"/>
      <c r="NK200" s="43"/>
      <c r="NL200" s="43"/>
      <c r="NM200" s="43"/>
      <c r="NN200" s="43"/>
      <c r="NO200" s="43"/>
      <c r="NP200" s="204"/>
      <c r="NQ200" s="21"/>
      <c r="NR200" s="21"/>
      <c r="NS200" s="205"/>
      <c r="NT200" s="21"/>
      <c r="NU200" s="21"/>
      <c r="NV200" s="21"/>
      <c r="NW200" s="206"/>
      <c r="NX200" s="207"/>
      <c r="NY200" s="43">
        <f>ROW(Tabla1[[#This Row],['# DE TAMIZAJES SIFILIS TOMADOS ]])</f>
        <v>200</v>
      </c>
      <c r="NZ200" s="43" t="str">
        <f t="shared" si="740"/>
        <v>Menor</v>
      </c>
      <c r="OA200" s="43" t="str">
        <f t="shared" si="741"/>
        <v>NORMAL</v>
      </c>
      <c r="OB200" s="43" t="str">
        <f t="shared" si="742"/>
        <v/>
      </c>
      <c r="OC200" s="43" t="str">
        <f t="shared" si="743"/>
        <v/>
      </c>
      <c r="OD200" s="43" t="str">
        <f t="shared" si="744"/>
        <v/>
      </c>
      <c r="OE200" s="43" t="str">
        <f t="shared" si="745"/>
        <v/>
      </c>
      <c r="OF200" s="43" t="str">
        <f t="shared" si="746"/>
        <v/>
      </c>
      <c r="OG200" s="43" t="str">
        <f t="shared" si="747"/>
        <v/>
      </c>
      <c r="OH200" s="43" t="str">
        <f t="shared" si="748"/>
        <v/>
      </c>
      <c r="OI200" s="43" t="str">
        <f t="shared" si="749"/>
        <v/>
      </c>
      <c r="OJ200" s="43" t="str">
        <f t="shared" si="750"/>
        <v/>
      </c>
      <c r="OK200" s="43" t="str">
        <f t="shared" si="751"/>
        <v/>
      </c>
      <c r="OL200" s="43" t="str">
        <f t="shared" si="752"/>
        <v/>
      </c>
      <c r="OM200" s="43" t="str">
        <f t="shared" si="753"/>
        <v/>
      </c>
      <c r="ON200" s="43" t="str">
        <f t="shared" si="754"/>
        <v/>
      </c>
      <c r="OO200" s="43" t="str">
        <f t="shared" si="755"/>
        <v/>
      </c>
      <c r="OP200" s="43" t="str">
        <f t="shared" si="756"/>
        <v/>
      </c>
      <c r="OQ200" s="43" t="str">
        <f t="shared" si="757"/>
        <v/>
      </c>
      <c r="OR200" s="43" t="str">
        <f t="shared" si="758"/>
        <v/>
      </c>
      <c r="OS200" s="43" t="str">
        <f t="shared" si="759"/>
        <v/>
      </c>
      <c r="OT200" s="43" t="str">
        <f t="shared" si="760"/>
        <v/>
      </c>
      <c r="OU200" s="43" t="str">
        <f t="shared" si="761"/>
        <v/>
      </c>
      <c r="OV200" s="110" t="str">
        <f t="shared" si="762"/>
        <v/>
      </c>
      <c r="OW200" s="43" t="str">
        <f t="shared" si="763"/>
        <v/>
      </c>
      <c r="OX200" s="43" t="str">
        <f t="shared" si="764"/>
        <v/>
      </c>
      <c r="OY200" s="43" t="str">
        <f t="shared" si="765"/>
        <v/>
      </c>
      <c r="OZ200" s="43" t="str">
        <f t="shared" si="766"/>
        <v/>
      </c>
      <c r="PA200" s="43" t="str">
        <f t="shared" si="767"/>
        <v/>
      </c>
      <c r="PB200" s="43" t="str">
        <f t="shared" si="768"/>
        <v/>
      </c>
      <c r="PC200" s="43" t="str">
        <f t="shared" si="769"/>
        <v/>
      </c>
      <c r="PD200" s="43" t="str">
        <f t="shared" si="770"/>
        <v/>
      </c>
      <c r="PE200" s="43" t="str">
        <f t="shared" si="771"/>
        <v/>
      </c>
      <c r="PF200" s="43" t="str">
        <f t="shared" si="772"/>
        <v/>
      </c>
      <c r="PG200" s="43" t="str">
        <f t="shared" si="773"/>
        <v/>
      </c>
      <c r="PH200" s="43" t="str">
        <f t="shared" si="774"/>
        <v/>
      </c>
      <c r="PI200" s="43" t="str">
        <f t="shared" si="775"/>
        <v>Menor</v>
      </c>
      <c r="PJ200" s="43" t="str">
        <f t="shared" si="776"/>
        <v>NORMAL</v>
      </c>
      <c r="PK200" s="43" t="str">
        <f t="shared" si="777"/>
        <v/>
      </c>
      <c r="PL200" s="43" t="str">
        <f t="shared" si="778"/>
        <v/>
      </c>
      <c r="PM200" s="43" t="str">
        <f t="shared" si="779"/>
        <v/>
      </c>
      <c r="PN200" s="43" t="str">
        <f t="shared" si="780"/>
        <v/>
      </c>
      <c r="PO200" s="43" t="str">
        <f t="shared" si="781"/>
        <v/>
      </c>
      <c r="PP200" s="43" t="str">
        <f t="shared" si="782"/>
        <v/>
      </c>
      <c r="PQ200" s="43" t="str">
        <f t="shared" si="783"/>
        <v/>
      </c>
      <c r="PR200" s="43" t="str">
        <f t="shared" si="784"/>
        <v/>
      </c>
      <c r="PS200" s="43" t="str">
        <f t="shared" si="785"/>
        <v/>
      </c>
      <c r="PT200" s="43" t="str">
        <f t="shared" si="786"/>
        <v/>
      </c>
      <c r="PU200" s="43" t="str">
        <f t="shared" si="787"/>
        <v/>
      </c>
      <c r="PV200" s="43" t="str">
        <f t="shared" si="788"/>
        <v/>
      </c>
      <c r="PW200" s="43" t="str">
        <f t="shared" si="789"/>
        <v/>
      </c>
      <c r="PX200" s="43" t="str">
        <f t="shared" si="790"/>
        <v/>
      </c>
      <c r="PY200" s="43" t="str">
        <f t="shared" si="791"/>
        <v/>
      </c>
      <c r="PZ200" s="43" t="str">
        <f t="shared" si="792"/>
        <v/>
      </c>
      <c r="QA200" s="43" t="str">
        <f t="shared" si="793"/>
        <v/>
      </c>
      <c r="QB200" s="43" t="str">
        <f t="shared" si="794"/>
        <v/>
      </c>
      <c r="QC200" s="43" t="str">
        <f t="shared" si="795"/>
        <v/>
      </c>
      <c r="QD200" s="43" t="str">
        <f t="shared" si="796"/>
        <v/>
      </c>
      <c r="QE200" s="43" t="str">
        <f t="shared" si="797"/>
        <v/>
      </c>
      <c r="QF200" s="43" t="str">
        <f t="shared" si="798"/>
        <v/>
      </c>
      <c r="QG200" s="43" t="str">
        <f t="shared" si="799"/>
        <v/>
      </c>
      <c r="QH200" s="43" t="str">
        <f t="shared" si="800"/>
        <v/>
      </c>
      <c r="QI200" s="43" t="str">
        <f t="shared" si="801"/>
        <v/>
      </c>
      <c r="QJ200" s="43" t="str">
        <f t="shared" si="802"/>
        <v/>
      </c>
      <c r="QK200" s="43" t="str">
        <f t="shared" si="803"/>
        <v/>
      </c>
      <c r="QL200" s="43" t="str">
        <f t="shared" si="804"/>
        <v/>
      </c>
      <c r="QM200" s="43" t="str">
        <f t="shared" si="805"/>
        <v/>
      </c>
      <c r="QN200" s="43" t="str">
        <f t="shared" si="806"/>
        <v/>
      </c>
      <c r="QO200" s="43" t="str">
        <f t="shared" si="807"/>
        <v/>
      </c>
      <c r="QP200" s="43" t="str">
        <f t="shared" si="808"/>
        <v/>
      </c>
      <c r="QQ200" s="43" t="str">
        <f t="shared" si="809"/>
        <v/>
      </c>
      <c r="QR200" s="43" t="str">
        <f t="shared" si="839"/>
        <v>Menor</v>
      </c>
      <c r="QS200" s="43"/>
      <c r="QT200" s="21" t="str">
        <f t="shared" si="810"/>
        <v/>
      </c>
      <c r="QU200" s="21" t="str">
        <f t="shared" si="811"/>
        <v/>
      </c>
      <c r="QV200" s="21" t="str">
        <f t="shared" si="812"/>
        <v/>
      </c>
      <c r="QW200" s="21" t="str">
        <f t="shared" si="813"/>
        <v/>
      </c>
      <c r="QX200" s="21" t="str">
        <f t="shared" si="814"/>
        <v/>
      </c>
      <c r="QY200" s="21" t="str">
        <f t="shared" si="815"/>
        <v/>
      </c>
      <c r="QZ200" s="21" t="str">
        <f t="shared" si="816"/>
        <v/>
      </c>
      <c r="RA200" s="21" t="str">
        <f t="shared" si="817"/>
        <v/>
      </c>
      <c r="RB200" s="21" t="str">
        <f t="shared" si="818"/>
        <v/>
      </c>
      <c r="RC200" s="21" t="str">
        <f t="shared" si="819"/>
        <v/>
      </c>
      <c r="RD200" s="21" t="str">
        <f t="shared" si="820"/>
        <v/>
      </c>
      <c r="RE200" s="21" t="str">
        <f t="shared" si="821"/>
        <v/>
      </c>
      <c r="RF200" s="21" t="str">
        <f t="shared" si="822"/>
        <v/>
      </c>
      <c r="RG200" s="21" t="str">
        <f t="shared" si="823"/>
        <v/>
      </c>
      <c r="RH200" s="21" t="str">
        <f t="shared" si="824"/>
        <v/>
      </c>
      <c r="RI200" s="21" t="str">
        <f t="shared" si="825"/>
        <v/>
      </c>
      <c r="RJ200" s="21" t="str">
        <f t="shared" si="826"/>
        <v/>
      </c>
      <c r="RK200" s="21" t="str">
        <f t="shared" si="827"/>
        <v/>
      </c>
      <c r="RL200" s="21" t="str">
        <f t="shared" si="828"/>
        <v/>
      </c>
      <c r="RM200" s="21" t="str">
        <f t="shared" si="829"/>
        <v/>
      </c>
      <c r="RN200" s="21" t="str">
        <f t="shared" si="830"/>
        <v/>
      </c>
      <c r="RO200" s="21" t="str">
        <f t="shared" si="831"/>
        <v/>
      </c>
      <c r="RP200" s="21" t="str">
        <f t="shared" si="832"/>
        <v/>
      </c>
      <c r="RQ200" s="21" t="str">
        <f t="shared" si="833"/>
        <v/>
      </c>
      <c r="RR200" s="21" t="str">
        <f t="shared" si="834"/>
        <v/>
      </c>
      <c r="RS200" s="21" t="str">
        <f t="shared" si="835"/>
        <v/>
      </c>
      <c r="RT200" s="21" t="str">
        <f t="shared" si="836"/>
        <v/>
      </c>
      <c r="RU200" s="21" t="str">
        <f t="shared" si="837"/>
        <v/>
      </c>
      <c r="RV200" s="21">
        <f t="shared" si="838"/>
        <v>-1</v>
      </c>
      <c r="RW200" s="284">
        <f>IF(OR(Tabla1[[#This Row],[FUM FORMULA CONFIABLE]]="",Tabla1[[#This Row],[FUM FORMULA CONFIABLE]]="SD"),"",IF(Tabla1[[#This Row],[FUM FORMULA CONFIABLE]]="CORREGIDA",Tabla1[[#This Row],[FUM X ECO 1]],Tabla1[[#This Row],[FUM x AMENORREA]]))</f>
        <v>45121</v>
      </c>
      <c r="RX200" s="21">
        <f>IF(AND(Tabla1[[#This Row],[FUM X ECO 1]]="",Tabla1[[#This Row],[FUM x AMENORREA]]=""),"",IF(AND(Tabla1[[#This Row],[FUM X ECO 1]]="",Tabla1[[#This Row],[FUM x AMENORREA]]&lt;&gt;""),"X",SUM(Tabla1[[#This Row],[FUM X ECO 1]]-Tabla1[[#This Row],[FUM x AMENORREA]])))</f>
        <v>75</v>
      </c>
      <c r="RY200" s="21">
        <f t="shared" si="840"/>
        <v>1</v>
      </c>
    </row>
    <row r="201" spans="1:493" ht="45" customHeight="1" x14ac:dyDescent="0.25">
      <c r="A201" s="109"/>
      <c r="B201" s="43"/>
      <c r="C201" s="43" t="s">
        <v>845</v>
      </c>
      <c r="D201" s="124"/>
      <c r="E201" s="43" t="s">
        <v>943</v>
      </c>
      <c r="F201" s="43" t="s">
        <v>848</v>
      </c>
      <c r="G201" s="43" t="s">
        <v>1553</v>
      </c>
      <c r="H201" s="43"/>
      <c r="I201" s="109"/>
      <c r="J201" s="110">
        <v>1059594153</v>
      </c>
      <c r="K201" s="43" t="s">
        <v>852</v>
      </c>
      <c r="L201" s="175" t="s">
        <v>1509</v>
      </c>
      <c r="M201" s="22">
        <v>30485</v>
      </c>
      <c r="N201" s="213">
        <f t="shared" ca="1" si="841"/>
        <v>40.402739726027399</v>
      </c>
      <c r="O201" s="22">
        <v>45099</v>
      </c>
      <c r="P201" s="214" t="str">
        <f t="shared" si="675"/>
        <v>SI</v>
      </c>
      <c r="Q201" s="26" t="s">
        <v>855</v>
      </c>
      <c r="R201" s="22">
        <v>45099</v>
      </c>
      <c r="S201" s="21" t="s">
        <v>856</v>
      </c>
      <c r="T201" s="24" t="s">
        <v>690</v>
      </c>
      <c r="U201" s="21" t="s">
        <v>857</v>
      </c>
      <c r="V201" s="21" t="s">
        <v>858</v>
      </c>
      <c r="W201" s="21" t="s">
        <v>1062</v>
      </c>
      <c r="X201" s="21"/>
      <c r="Y201" s="21"/>
      <c r="Z201" s="21"/>
      <c r="AA201" s="21" t="s">
        <v>860</v>
      </c>
      <c r="AB201" s="27" t="s">
        <v>861</v>
      </c>
      <c r="AC201" s="26" t="s">
        <v>888</v>
      </c>
      <c r="AD201" s="38" t="s">
        <v>1546</v>
      </c>
      <c r="AE201" s="26" t="s">
        <v>854</v>
      </c>
      <c r="AF201" s="26" t="s">
        <v>854</v>
      </c>
      <c r="AG201" s="23" t="s">
        <v>864</v>
      </c>
      <c r="AH201" s="23" t="s">
        <v>864</v>
      </c>
      <c r="AI201" s="24" t="s">
        <v>863</v>
      </c>
      <c r="AJ201" s="23" t="s">
        <v>864</v>
      </c>
      <c r="AK201" s="220" t="str">
        <f>IF(AND(AD201="",AE201="",AF201="",AG201="",AH201="",AI201="",AJ201=""),"",IF(OR(Tabla1[[#This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EVALUACIÓN",IF(AND(O201="",R201=""),"",IF(AND(OR(O201&gt;0,R201&gt;0),NG201&gt;=0,NG201&lt;2),"SIN RIESGO",IF(AND(OR(O201&gt;0,R201&gt;0),NG201&gt;=2),"CON RIESGO","ASD")))))</f>
        <v>SIN RIESGO</v>
      </c>
      <c r="AL201" s="23" t="s">
        <v>864</v>
      </c>
      <c r="AM201" s="26" t="s">
        <v>864</v>
      </c>
      <c r="AN201" s="26" t="s">
        <v>864</v>
      </c>
      <c r="AO201" s="26" t="s">
        <v>864</v>
      </c>
      <c r="AP201" s="26" t="s">
        <v>864</v>
      </c>
      <c r="AQ201" s="26" t="s">
        <v>864</v>
      </c>
      <c r="AR201" s="26" t="s">
        <v>864</v>
      </c>
      <c r="AS201" s="21">
        <v>0</v>
      </c>
      <c r="AT201" s="21">
        <v>0</v>
      </c>
      <c r="AU201" s="21">
        <v>0</v>
      </c>
      <c r="AV201" s="26" t="s">
        <v>864</v>
      </c>
      <c r="AW201" s="21">
        <v>0</v>
      </c>
      <c r="AX201" s="26" t="s">
        <v>864</v>
      </c>
      <c r="AY201" s="26" t="s">
        <v>864</v>
      </c>
      <c r="AZ201" s="26" t="s">
        <v>864</v>
      </c>
      <c r="BA201" s="26" t="s">
        <v>864</v>
      </c>
      <c r="BB201" s="26" t="s">
        <v>864</v>
      </c>
      <c r="BC201" s="26" t="s">
        <v>864</v>
      </c>
      <c r="BD201" s="26" t="s">
        <v>864</v>
      </c>
      <c r="BE201" s="26" t="s">
        <v>864</v>
      </c>
      <c r="BF201" s="26" t="s">
        <v>864</v>
      </c>
      <c r="BG201" s="26" t="s">
        <v>864</v>
      </c>
      <c r="BH201" s="26" t="s">
        <v>864</v>
      </c>
      <c r="BI201" s="26" t="s">
        <v>864</v>
      </c>
      <c r="BJ201" s="26" t="s">
        <v>864</v>
      </c>
      <c r="BK201" s="26" t="s">
        <v>864</v>
      </c>
      <c r="BL201" s="26" t="s">
        <v>864</v>
      </c>
      <c r="BM201" s="26" t="s">
        <v>864</v>
      </c>
      <c r="BN201" s="22"/>
      <c r="BO201" s="22">
        <v>44966</v>
      </c>
      <c r="BP201" s="21" t="s">
        <v>854</v>
      </c>
      <c r="BQ201" s="222">
        <f t="shared" si="842"/>
        <v>0</v>
      </c>
      <c r="BR201" s="223" t="str">
        <f t="shared" si="843"/>
        <v/>
      </c>
      <c r="BS201" s="224">
        <f t="shared" si="844"/>
        <v>19</v>
      </c>
      <c r="BT201" s="216" t="str">
        <f t="shared" si="845"/>
        <v>II TRIM</v>
      </c>
      <c r="BU201" s="214">
        <f t="shared" ca="1" si="846"/>
        <v>38</v>
      </c>
      <c r="BV201" s="25"/>
      <c r="BW201" s="22"/>
      <c r="BX201" s="28"/>
      <c r="BY201" s="28"/>
      <c r="BZ201" s="22"/>
      <c r="CA201" s="21"/>
      <c r="CB201" s="26"/>
      <c r="CC201" s="26"/>
      <c r="CD201" s="26"/>
      <c r="CE201" s="26"/>
      <c r="CF201" s="22" t="s">
        <v>1517</v>
      </c>
      <c r="CG201" s="21">
        <v>1.45</v>
      </c>
      <c r="CH201" s="21">
        <v>73.2</v>
      </c>
      <c r="CI201" s="214">
        <f t="shared" si="847"/>
        <v>34.815695600475628</v>
      </c>
      <c r="CJ201" s="225" t="e">
        <f>IF(AND(CI201&lt;10,CH201="SD"),"SIN DATO PESO PREGESTACION O I TRIM",IF(AND(OR(R201&gt;0,O201&gt;0),CI201="X"),"INGRESAR DATO DE PESO",IF(CI201="SD","INGRESAR DATO DE TALLA Y PESO",IF(AND(OR(Tabla1[[#This Row],[MOMENTO EN QUE SE REALIZA EL PESO AL INGRESO A CPN]]="PREGESTACIÓN",NZ201="Menor"),CI201&lt;18.5),"BAJO PESO",IF(AND(OR(Tabla1[[#This Row],[MOMENTO EN QUE SE REALIZA EL PESO AL INGRESO A CPN]]="PREGESTACIÓN",NZ201="Menor"),CI201&lt;25),"NORMAL",IF(AND(OR(Tabla1[[#This Row],[MOMENTO EN QUE SE REALIZA EL PESO AL INGRESO A CPN]]="PREGESTACIÓN",NZ201="Menor"),CI201&lt;30),"SOBREPESO",IF(AND(OR(Tabla1[[#This Row],[MOMENTO EN QUE SE REALIZA EL PESO AL INGRESO A CPN]]="PREGESTACIÓN",NZ201="Menor"),CI201&gt;=30,CI201&lt;50),"OBESIDAD",IF(AND(BS201&gt;0,Tabla1[[#This Row],[MOMENTO EN QUE SE REALIZA EL PESO AL INGRESO A CPN]]="GESTACIÓN"),HLOOKUP(NZ201,$OA$2:PH201,NY201),""))))))))</f>
        <v>#REF!</v>
      </c>
      <c r="CK201" s="212">
        <f t="shared" si="848"/>
        <v>45162</v>
      </c>
      <c r="CL201" s="21">
        <v>73.2</v>
      </c>
      <c r="CM201" s="214">
        <f t="shared" si="849"/>
        <v>34.815695600475628</v>
      </c>
      <c r="CN201" s="216">
        <f t="shared" si="850"/>
        <v>28</v>
      </c>
      <c r="CO201" s="216" t="e">
        <f>IF(PI201="","",IF(PI201&gt;0,HLOOKUP(PI201,$PJ$2:QQ201,NY201),""))</f>
        <v>#REF!</v>
      </c>
      <c r="CP201" s="21">
        <v>30</v>
      </c>
      <c r="CQ201" s="216" t="e">
        <f>IF(QR201="Menor","NO APLICA-MENOR 13 SEM",IF(AND(CC201="SI",CN201&gt;23),"NO APLICA- GEMELAR",IF(QR201="","",IF(QR201&gt;0,HLOOKUP(QR201,$QS$2:RU201,NY201),""))))</f>
        <v>#REF!</v>
      </c>
      <c r="CR201" s="21"/>
      <c r="CS201" s="21"/>
      <c r="CT201" s="217" t="str">
        <f>IF(R201="","",IF(AND(BS201&gt;1,BS201&lt;12,Tabla1[[#This Row],[T.A. SISTOLICA - ANTES DE SEMANA 12]]="",Tabla1[[#This Row],[T.A. DIASTOLICA - ANTES DE SEMANA 12]]=""),"REGISTRE DATO TA ANTES SEMANA 12",IF(AND(BS201&gt;11,BS201&lt;43,Tabla1[[#This Row],[T.A. SISTOLICA - ANTES DE SEMANA 12]]="",Tabla1[[#This Row],[T.A. DIASTOLICA - ANTES DE SEMANA 12]]=""),"NO APLICA REGISTRO TA-INGRESO TARDIO",IF(AND(OR(O201&gt;0,R201&gt;0),OR(CR201&gt;=140,CS201&gt;=90)),"DEFINIR ESTADIO HTA",IF(AND(OR(O201&gt;0,R201&gt;0),AND(CR201&gt;120,CR201&lt;=139)),"PRE HTA SEGUIMIENTO",IF(AND(OR(O201&gt;0,R201&gt;0),AND(CS201&gt;80,CS201&lt;=89)),"PRE HTA SEGUIMIENTO",IF(AND(OR(O201&gt;0,R201&gt;0),AND(CR201&gt;=80,CR201&lt;=120)),"APARENTEMENTE NORMAL",IF(AND(OR(O201&gt;0,R201&gt;0),AND(CS201&gt;=50,CS201&lt;=80)),"APARENTEMENTE NORMAL",IF(AND(OR(O201&gt;0,R201&gt;0),AND(CR201&gt;1,CR201&lt;=70),AND(CS201&gt;1,CS201&lt;=40)),"HIPOTENSIÓN","")))))))))</f>
        <v>NO APLICA REGISTRO TA-INGRESO TARDIO</v>
      </c>
      <c r="CU201" s="21"/>
      <c r="CV201" s="21"/>
      <c r="CW201" s="217" t="str">
        <f ca="1">IF(R201="","",IF(AND(CN201&gt;19,CN201&lt;27,Tabla1[[#This Row],[T.A. SISTOLICA (Entre semana 20 y 26)]]="",Tabla1[[#This Row],[T.A. DIATOLICA (Entre semana 20 y 26)]]=""),"ACUDE A CONTROL SEM 20 A 26 REGISTRE TA AHORA",IF(AND(BS201&gt;1,BS201&lt;27,BU201&gt;19,Tabla1[[#This Row],[T.A. SISTOLICA (Entre semana 20 y 26)]]="",Tabla1[[#This Row],[T.A. DIATOLICA (Entre semana 20 y 26)]]=""),"COMPLETE REGISTRO TA CONTROL SEM 20 A26 ",IF(AND(BS201&gt;26,BS201&lt;43,Tabla1[[#This Row],[T.A. SISTOLICA (Entre semana 20 y 26)]]="",Tabla1[[#This Row],[T.A. DIATOLICA (Entre semana 20 y 26)]]=""),"NO APLICA REGISTRO TA-INGRESO TARDIO",IF(AND(OR(O201&gt;0,R201&gt;0),OR(CU201&gt;=140,CV201&gt;=90)),"ALTO RIESGO PREECLAMPSIA,DEFINIR ESTADIO HTA",IF(AND(OR(O201&gt;0,R201&gt;0),AND(CU201&gt;120,CU201&lt;=139)),"PRE HTA SEGUIMIENTO,RIESGO HIPERTENSION INDUCIDA POR EL EMBARAZO",IF(AND(OR(O201&gt;0,R201&gt;0),AND(CV201&gt;80,CV201&lt;=89)),"PRE HTA SEGUIMIENTO, RIESGO HIPERTENSION INDUCIDA POR EL EMBARAZO",IF(AND(OR(O201&lt;&gt;"",R201&lt;&gt;""),CS201&lt;&gt;"",CV201&lt;&gt;"",CS201&lt;=CV201),"VIGILAR CIFRAS PRESION ARTERIAL",IF(AND(OR(O201&gt;0,R201&gt;0),AND(CU201&gt;120,CU201&lt;=139)),"PRE HTA SEGUIMIENTO",IF(AND(OR(O201&gt;0,R201&gt;0),AND(CU201&gt;1,CU201&lt;=70),AND(CV201&gt;1,CV201&lt;=40)),"HIPOTENSIÓN",IF(AND(OR(O201&lt;&gt;"",R201&lt;&gt;""),CS201&lt;&gt;"",CV201&lt;&gt;"",CS201&gt;CV201),"APARENTEMENTE NORMAL",IF(AND(OR(O201&gt;0,R201&gt;0),AND(CU201&gt;=80,CU201&lt;=120)),"APARENTEMENTE NORMAL",IF(AND(OR(O201&gt;0,R201&gt;0),AND(CV201&gt;=50,CV201&lt;=80)),"APARENTEMENTE NORMAL","")))))))))))))</f>
        <v xml:space="preserve">COMPLETE REGISTRO TA CONTROL SEM 20 A26 </v>
      </c>
      <c r="CX201" s="21"/>
      <c r="CY201" s="21"/>
      <c r="CZ201" s="216" t="e">
        <f>IF(R201="","",IF(AND(CN201&gt;31,CN201&lt;35,CX201="",CY201=""),"ACUDE A CONTROL SEM 30 A 34- REGISTRE AHORA",IF(AND(BS201&gt;34,BS201&lt;43,#REF!="",#REF!=""),"NO APLICA-INGRESO TARDIO",IF(AND(OR(O201&gt;0,R201&gt;0),OR(CX201&gt;=140,CY201&gt;=90)),"ESTUDIO INMEDIATO HTA PARA DESCARTAR PREECLAMSIA",IF(AND(OR(O201&gt;0,R201&gt;0),AND(CX201&gt;=130,CX201&lt;=139)),"PRE HTA,RIESGO ALTO PREECLAMPSIA",IF(AND(OR(O201&gt;0,R201&gt;0),AND(CY201&gt;80,CY201&lt;=89)),"PRE HTA,RIESGO ALTO PREECLAMPSIA",IF(AND(OR(O201&gt;0,R201&gt;0),AND(CX201&gt;120,CX201&lt;=129)),"RANGO PREHIPERTENSIVO SEGUIMIENTO HTA",IF(AND(OR(O201&lt;&gt;"",R201&lt;&gt;""),CS201&lt;&gt;"",CY201&lt;&gt;"",CS201&lt;CY201),"VIGILAR CIFRAS PRESION ARTERIAL",IF(AND(OR(O201&lt;&gt;"",R201&lt;&gt;""),CS201&lt;&gt;"",CY201&lt;&gt;"",CS201=CY201),"APARENTEMENTE NORMAL",IF(AND(OR(O201&gt;0,R201&gt;0),CX201&gt;=80,CX201&lt;=120),"APARENTEMENTE NORMAL",IF(AND(OR(O201&gt;0,R201&gt;0),CY201&gt;=50,CY201&lt;=80),"APARENTEMENTE NORMAL","")))))))))))</f>
        <v>#REF!</v>
      </c>
      <c r="DA201" s="21">
        <v>90</v>
      </c>
      <c r="DB201" s="21">
        <v>60</v>
      </c>
      <c r="DC201" s="217" t="str">
        <f t="shared" si="851"/>
        <v>APARENTEMENTE NORMAL</v>
      </c>
      <c r="DD201" s="22">
        <v>45099</v>
      </c>
      <c r="DE201" s="22">
        <v>45099</v>
      </c>
      <c r="DF201" s="22">
        <v>45162</v>
      </c>
      <c r="DG201" s="22"/>
      <c r="DH201" s="22"/>
      <c r="DI201" s="22"/>
      <c r="DJ201" s="22"/>
      <c r="DK201" s="22"/>
      <c r="DL201" s="22"/>
      <c r="DM201" s="22"/>
      <c r="DN201" s="22"/>
      <c r="DO201" s="22"/>
      <c r="DP201" s="22"/>
      <c r="DQ201" s="22"/>
      <c r="DR201" s="28"/>
      <c r="DS201" s="22"/>
      <c r="DT201" s="22"/>
      <c r="DU201" s="216" t="str">
        <f t="shared" ca="1" si="676"/>
        <v>CONCERTAR PLAN DE PARTO INMEDIATO</v>
      </c>
      <c r="DV201" s="226" t="str">
        <f t="shared" si="677"/>
        <v>ACTIVA INGRESO A CPN</v>
      </c>
      <c r="DW20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01" s="216" t="str">
        <f t="shared" si="852"/>
        <v>DIA DE CONTROL</v>
      </c>
      <c r="DY201" s="212">
        <f>IF(R201="","",IF(R201&gt;0,MAX(Tabla1[[#This Row],[FECHA C2]:[FECHA C13]],Tabla1[[#This Row],[FECHA CONSULTA PRIMERA VEZ PROGRAMA CPN ]])))</f>
        <v>45162</v>
      </c>
      <c r="DZ201" s="216">
        <f t="shared" si="853"/>
        <v>28</v>
      </c>
      <c r="EA201" s="222">
        <f>IF(R201&gt;0,SUM(COUNTA(DF201:DQ201)+COUNTA(Tabla1[[#This Row],[FECHA CONSULTA PRIMERA VEZ PROGRAMA CPN ]])),"")</f>
        <v>2</v>
      </c>
      <c r="EB201" s="222" t="str">
        <f t="shared" si="854"/>
        <v>NO</v>
      </c>
      <c r="EC201" s="214">
        <f t="shared" si="855"/>
        <v>7</v>
      </c>
      <c r="ED201" s="227">
        <f t="shared" si="856"/>
        <v>0.2857142857142857</v>
      </c>
      <c r="EE201" s="22">
        <v>45099</v>
      </c>
      <c r="EF201" s="22">
        <v>45164</v>
      </c>
      <c r="EG201" s="22">
        <v>45099</v>
      </c>
      <c r="EH201" s="22"/>
      <c r="EI201" s="22">
        <v>45099</v>
      </c>
      <c r="EJ201" s="22"/>
      <c r="EK201" s="22"/>
      <c r="EL201" s="21"/>
      <c r="EM201" s="21">
        <v>12.4</v>
      </c>
      <c r="EN201" s="22">
        <v>45126</v>
      </c>
      <c r="EO201" s="222">
        <f t="shared" si="857"/>
        <v>22.857142857142858</v>
      </c>
      <c r="EP201" s="214" t="str">
        <f t="shared" si="858"/>
        <v>NORMAL- SUMINISTRAR SULFATO FERROSO</v>
      </c>
      <c r="EQ201" s="216" t="str">
        <f t="shared" si="859"/>
        <v>II TRIM</v>
      </c>
      <c r="ER201" s="24"/>
      <c r="ES201" s="22"/>
      <c r="ET201" s="29" t="str">
        <f t="shared" ca="1" si="678"/>
        <v>TOMA DE HEMOGLOBINA TARDÍA</v>
      </c>
      <c r="EU201" s="25" t="str">
        <f t="shared" si="860"/>
        <v/>
      </c>
      <c r="EV201" s="24" t="s">
        <v>1510</v>
      </c>
      <c r="EW201" s="22">
        <v>45126</v>
      </c>
      <c r="EX201" s="22"/>
      <c r="EY201" s="29">
        <f t="shared" si="693"/>
        <v>22.857142857142858</v>
      </c>
      <c r="EZ201" s="25" t="str">
        <f t="shared" si="694"/>
        <v>SIN RIESGO DE ISOINMUNIZACIÓN</v>
      </c>
      <c r="FA201" s="21">
        <v>75</v>
      </c>
      <c r="FB201" s="24" t="s">
        <v>1510</v>
      </c>
      <c r="FC201" s="22">
        <v>45126</v>
      </c>
      <c r="FD201" s="29"/>
      <c r="FE201" s="29"/>
      <c r="FF201" s="29"/>
      <c r="FG201" s="21" t="str">
        <f t="shared" ca="1" si="862"/>
        <v>TOMAR PTOG</v>
      </c>
      <c r="FH201" s="31"/>
      <c r="FI201" s="29" t="str">
        <f t="shared" si="863"/>
        <v>TOMAR EXAMEN</v>
      </c>
      <c r="FJ201" s="22"/>
      <c r="FK201" s="290"/>
      <c r="FL201" s="29" t="str">
        <f t="shared" ca="1" si="864"/>
        <v>NO APLICA-INGRESO TARDIO</v>
      </c>
      <c r="FM201" s="22" t="s">
        <v>867</v>
      </c>
      <c r="FN201" s="22">
        <v>45126</v>
      </c>
      <c r="FO201" s="29">
        <f t="shared" ca="1" si="679"/>
        <v>22.857142857142858</v>
      </c>
      <c r="FP201" s="22"/>
      <c r="FQ201" s="32"/>
      <c r="FR201" s="29" t="str">
        <f t="shared" ca="1" si="680"/>
        <v>TOMA INMEDIATA DE TAMIZAJE</v>
      </c>
      <c r="FS201" s="22"/>
      <c r="FT201" s="32"/>
      <c r="FU201" s="29" t="str">
        <f>IF(AND(FJ201="",FM201="",FP201="",FS201=""),"",IF(OR(OR(Tabla1[[#This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01" s="28"/>
      <c r="FW201" s="22"/>
      <c r="FX201" s="29" t="str">
        <f t="shared" si="865"/>
        <v>TOMAR EXAMEN</v>
      </c>
      <c r="FY201" s="22"/>
      <c r="FZ201" s="22"/>
      <c r="GA201" s="29" t="str">
        <f t="shared" ca="1" si="739"/>
        <v>NO APLICA-INGRESO TARDIO</v>
      </c>
      <c r="GB201" s="22" t="s">
        <v>868</v>
      </c>
      <c r="GC201" s="22">
        <v>45126</v>
      </c>
      <c r="GD201" s="29">
        <f t="shared" ca="1" si="732"/>
        <v>22.857142857142858</v>
      </c>
      <c r="GE201" s="22"/>
      <c r="GF201" s="22"/>
      <c r="GG201" s="29" t="str">
        <f t="shared" ca="1" si="682"/>
        <v>TOMA INMEDIATA DE TAMIZAJE</v>
      </c>
      <c r="GH201" s="22"/>
      <c r="GI201" s="29"/>
      <c r="GJ201" s="22"/>
      <c r="GK201" s="22"/>
      <c r="GL201" s="22"/>
      <c r="GM201" s="22"/>
      <c r="GN201" s="28" t="s">
        <v>869</v>
      </c>
      <c r="GO201" s="22">
        <v>45126</v>
      </c>
      <c r="GP201" s="29">
        <f t="shared" si="866"/>
        <v>22.857142857142858</v>
      </c>
      <c r="GQ201" s="28" t="s">
        <v>846</v>
      </c>
      <c r="GR201" s="28" t="s">
        <v>869</v>
      </c>
      <c r="GS201" s="22" t="str">
        <f t="shared" si="728"/>
        <v/>
      </c>
      <c r="GT201" s="28" t="s">
        <v>869</v>
      </c>
      <c r="GU201" s="22">
        <v>45126</v>
      </c>
      <c r="GV201" s="21" t="str">
        <f t="shared" si="868"/>
        <v>POR DEFINIR</v>
      </c>
      <c r="GW201" s="28"/>
      <c r="GX201" s="30"/>
      <c r="GY201" s="21"/>
      <c r="GZ201" s="21"/>
      <c r="HA201" s="21"/>
      <c r="HB201" s="21"/>
      <c r="HC201" s="21"/>
      <c r="HD201" s="21"/>
      <c r="HE201" s="21"/>
      <c r="HF201" s="22"/>
      <c r="HG201" s="22" t="str">
        <f>IF(OR(O201&gt;0,R201&gt;0),CONCATENATE(IF(Tabla1[[#This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01" s="22" t="e">
        <f t="shared" si="869"/>
        <v>#REF!</v>
      </c>
      <c r="HI201" s="22" t="e">
        <f t="shared" si="870"/>
        <v>#REF!</v>
      </c>
      <c r="HJ201" s="21" t="str">
        <f t="shared" ca="1" si="871"/>
        <v>***************************************</v>
      </c>
      <c r="HK201" s="21" t="str">
        <f t="shared" si="872"/>
        <v>SIN ANTECEDENTES DE RIESGO</v>
      </c>
      <c r="HL201" s="24" t="str">
        <f t="shared" si="873"/>
        <v>APARENTEMENTE NORMAL</v>
      </c>
      <c r="HM201" s="21" t="str">
        <f t="shared" si="874"/>
        <v>DIA DE CONTROL</v>
      </c>
      <c r="HN201" s="30" t="str">
        <f t="shared" si="683"/>
        <v>ACTIVA INGRESO A CPN</v>
      </c>
      <c r="HO201" s="21"/>
      <c r="HP201" s="21"/>
      <c r="HQ201" s="349"/>
      <c r="HR201" s="21"/>
      <c r="HS201" s="22">
        <v>45098</v>
      </c>
      <c r="HT201" s="22" t="s">
        <v>1518</v>
      </c>
      <c r="HU201" s="22"/>
      <c r="HV201" s="22"/>
      <c r="HW201" s="22">
        <v>45098</v>
      </c>
      <c r="HX201" s="22" t="s">
        <v>1511</v>
      </c>
      <c r="HY201" s="22">
        <v>45098</v>
      </c>
      <c r="HZ201" s="28">
        <f t="shared" si="875"/>
        <v>18.857142857142858</v>
      </c>
      <c r="IA201" s="26"/>
      <c r="IB201" s="26"/>
      <c r="IC201" s="111"/>
      <c r="ID201" s="22"/>
      <c r="IE201" s="22" t="str">
        <f t="shared" ca="1" si="876"/>
        <v>INASISTENTE</v>
      </c>
      <c r="IF201" s="22"/>
      <c r="IG201" s="22">
        <f t="shared" si="877"/>
        <v>45246</v>
      </c>
      <c r="IH201" s="29">
        <f t="shared" ca="1" si="878"/>
        <v>14</v>
      </c>
      <c r="II201" s="22" t="str">
        <f t="shared" ca="1" si="879"/>
        <v>MENOS DE 4 SEMANAS</v>
      </c>
      <c r="IJ201" s="22"/>
      <c r="IK201" s="21"/>
      <c r="IL201" s="21"/>
      <c r="IM201" s="34"/>
      <c r="IN201" s="22"/>
      <c r="IO201" s="21"/>
      <c r="IP201" s="29"/>
      <c r="IQ201" s="35"/>
      <c r="IR201" s="21"/>
      <c r="IS201" s="21"/>
      <c r="IT201" s="21"/>
      <c r="IU201" s="21"/>
      <c r="IV201" s="21"/>
      <c r="IW201" s="21"/>
      <c r="IX201" s="21"/>
      <c r="IY201" s="21"/>
      <c r="IZ201" s="21"/>
      <c r="JA201" s="21"/>
      <c r="JB201" s="30"/>
      <c r="JC201" s="21"/>
      <c r="JD201" s="36"/>
      <c r="JE201" s="21"/>
      <c r="JF201" s="30"/>
      <c r="JG201" s="21"/>
      <c r="JH201" s="21"/>
      <c r="JI201" s="21"/>
      <c r="JJ201" s="30"/>
      <c r="JK201" s="22"/>
      <c r="JL201" s="22"/>
      <c r="JM201" s="21"/>
      <c r="JN201" s="36"/>
      <c r="JO201" s="21"/>
      <c r="JP201" s="22"/>
      <c r="JQ201" s="21"/>
      <c r="JR201" s="21"/>
      <c r="JS201" s="21"/>
      <c r="JT201" s="30"/>
      <c r="JU201" s="22"/>
      <c r="JV201" s="22"/>
      <c r="JW201" s="33"/>
      <c r="JX201" s="28"/>
      <c r="JY201" s="33"/>
      <c r="JZ201" s="28"/>
      <c r="KA201" s="21"/>
      <c r="KB201" s="21"/>
      <c r="KC201" s="21"/>
      <c r="KD201" s="37"/>
      <c r="KE201" s="28"/>
      <c r="KF201" s="28"/>
      <c r="KG201" s="28"/>
      <c r="KH201" s="39"/>
      <c r="KI201" s="39"/>
      <c r="KJ201" s="66"/>
      <c r="KK201" s="39"/>
      <c r="KL201" s="39"/>
      <c r="KM201" s="66"/>
      <c r="KN201" s="39"/>
      <c r="KO201" s="39"/>
      <c r="KP201" s="39"/>
      <c r="KQ201" s="39"/>
      <c r="KR201" s="39"/>
      <c r="KS201" s="39"/>
      <c r="KT201" s="39"/>
      <c r="KU201" s="38"/>
      <c r="KV201" s="38"/>
      <c r="KW201" s="38"/>
      <c r="KX201" s="38"/>
      <c r="KY201" s="38"/>
      <c r="KZ201" s="38"/>
      <c r="LA201" s="38"/>
      <c r="LB201" s="38"/>
      <c r="LC201" s="38"/>
      <c r="LD201" s="38"/>
      <c r="LE201" s="38"/>
      <c r="LF201" s="38"/>
      <c r="LG201" s="38"/>
      <c r="LH201" s="38"/>
      <c r="LI201" s="38"/>
      <c r="LJ201" s="38"/>
      <c r="LK201" s="38"/>
      <c r="LL201" s="38"/>
      <c r="LM201" s="38"/>
      <c r="LN201" s="38"/>
      <c r="LO201" s="38"/>
      <c r="LP201" s="38"/>
      <c r="LQ201" s="38"/>
      <c r="LR201" s="38"/>
      <c r="LS201" s="38"/>
      <c r="LT201" s="38"/>
      <c r="LU201" s="38"/>
      <c r="LV201" s="38"/>
      <c r="LW201" s="38"/>
      <c r="LX201" s="38"/>
      <c r="LY201" s="38"/>
      <c r="LZ201" s="38"/>
      <c r="MA201" s="38"/>
      <c r="MB201" s="38"/>
      <c r="MC201" s="38"/>
      <c r="MD201" s="38"/>
      <c r="ME201" s="38"/>
      <c r="MF201" s="38"/>
      <c r="MG201" s="38"/>
      <c r="MH201" s="43"/>
      <c r="MI201" s="43"/>
      <c r="MJ201" s="43"/>
      <c r="MK201" s="43"/>
      <c r="ML201" s="43"/>
      <c r="MM201" s="43"/>
      <c r="MN201" s="43"/>
      <c r="MO201" s="43"/>
      <c r="MP201" s="43"/>
      <c r="MQ201" s="43"/>
      <c r="MR201" s="43"/>
      <c r="MS201" s="43"/>
      <c r="MT201" s="43"/>
      <c r="MU201" s="43"/>
      <c r="MV201" s="43"/>
      <c r="MW201" s="43"/>
      <c r="MX201" s="43"/>
      <c r="MY201" s="43"/>
      <c r="MZ201" s="43"/>
      <c r="NA201" s="43"/>
      <c r="NB201" s="43"/>
      <c r="NC201" s="43"/>
      <c r="ND201" s="43"/>
      <c r="NE201" s="43"/>
      <c r="NF201" s="43"/>
      <c r="NG201" s="43"/>
      <c r="NH201" s="43"/>
      <c r="NI201" s="43"/>
      <c r="NJ201" s="43"/>
      <c r="NK201" s="43"/>
      <c r="NL201" s="43"/>
      <c r="NM201" s="43"/>
      <c r="NN201" s="43"/>
      <c r="NO201" s="43"/>
      <c r="NP201" s="204"/>
      <c r="NQ201" s="21"/>
      <c r="NR201" s="21"/>
      <c r="NS201" s="205"/>
      <c r="NT201" s="21"/>
      <c r="NU201" s="21"/>
      <c r="NV201" s="21"/>
      <c r="NW201" s="206"/>
      <c r="NX201" s="207"/>
      <c r="NY201" s="43">
        <f>ROW(Tabla1[[#This Row],['# DE TAMIZAJES SIFILIS TOMADOS ]])</f>
        <v>201</v>
      </c>
      <c r="NZ201" s="43">
        <f t="shared" si="740"/>
        <v>19</v>
      </c>
      <c r="OA201" s="43" t="str">
        <f t="shared" si="741"/>
        <v/>
      </c>
      <c r="OB201" s="43" t="str">
        <f t="shared" si="742"/>
        <v/>
      </c>
      <c r="OC201" s="43" t="str">
        <f t="shared" si="743"/>
        <v/>
      </c>
      <c r="OD201" s="43" t="str">
        <f t="shared" si="744"/>
        <v/>
      </c>
      <c r="OE201" s="43" t="str">
        <f t="shared" si="745"/>
        <v/>
      </c>
      <c r="OF201" s="43" t="str">
        <f t="shared" si="746"/>
        <v/>
      </c>
      <c r="OG201" s="43" t="str">
        <f t="shared" si="747"/>
        <v/>
      </c>
      <c r="OH201" s="43" t="str">
        <f t="shared" si="748"/>
        <v/>
      </c>
      <c r="OI201" s="43" t="str">
        <f t="shared" si="749"/>
        <v/>
      </c>
      <c r="OJ201" s="43" t="str">
        <f t="shared" si="750"/>
        <v/>
      </c>
      <c r="OK201" s="43" t="str">
        <f t="shared" si="751"/>
        <v>OBESIDAD</v>
      </c>
      <c r="OL201" s="43" t="str">
        <f t="shared" si="752"/>
        <v/>
      </c>
      <c r="OM201" s="43" t="str">
        <f t="shared" si="753"/>
        <v/>
      </c>
      <c r="ON201" s="43" t="str">
        <f t="shared" si="754"/>
        <v/>
      </c>
      <c r="OO201" s="43" t="str">
        <f t="shared" si="755"/>
        <v/>
      </c>
      <c r="OP201" s="43" t="str">
        <f t="shared" si="756"/>
        <v/>
      </c>
      <c r="OQ201" s="43" t="str">
        <f t="shared" si="757"/>
        <v/>
      </c>
      <c r="OR201" s="43" t="str">
        <f t="shared" si="758"/>
        <v/>
      </c>
      <c r="OS201" s="43" t="str">
        <f t="shared" si="759"/>
        <v/>
      </c>
      <c r="OT201" s="43" t="str">
        <f t="shared" si="760"/>
        <v/>
      </c>
      <c r="OU201" s="43" t="str">
        <f t="shared" si="761"/>
        <v/>
      </c>
      <c r="OV201" s="110" t="str">
        <f t="shared" si="762"/>
        <v/>
      </c>
      <c r="OW201" s="43" t="str">
        <f t="shared" si="763"/>
        <v/>
      </c>
      <c r="OX201" s="43" t="str">
        <f t="shared" si="764"/>
        <v/>
      </c>
      <c r="OY201" s="43" t="str">
        <f t="shared" si="765"/>
        <v/>
      </c>
      <c r="OZ201" s="43" t="str">
        <f t="shared" si="766"/>
        <v/>
      </c>
      <c r="PA201" s="43" t="str">
        <f t="shared" si="767"/>
        <v/>
      </c>
      <c r="PB201" s="43" t="str">
        <f t="shared" si="768"/>
        <v/>
      </c>
      <c r="PC201" s="43" t="str">
        <f t="shared" si="769"/>
        <v/>
      </c>
      <c r="PD201" s="43" t="str">
        <f t="shared" si="770"/>
        <v/>
      </c>
      <c r="PE201" s="43" t="str">
        <f t="shared" si="771"/>
        <v/>
      </c>
      <c r="PF201" s="43" t="str">
        <f t="shared" si="772"/>
        <v/>
      </c>
      <c r="PG201" s="43" t="str">
        <f t="shared" si="773"/>
        <v/>
      </c>
      <c r="PH201" s="43" t="str">
        <f t="shared" si="774"/>
        <v/>
      </c>
      <c r="PI201" s="43">
        <f t="shared" si="775"/>
        <v>28</v>
      </c>
      <c r="PJ201" s="43" t="str">
        <f t="shared" si="776"/>
        <v/>
      </c>
      <c r="PK201" s="43" t="str">
        <f t="shared" si="777"/>
        <v/>
      </c>
      <c r="PL201" s="43" t="str">
        <f t="shared" si="778"/>
        <v/>
      </c>
      <c r="PM201" s="43" t="str">
        <f t="shared" si="779"/>
        <v/>
      </c>
      <c r="PN201" s="43" t="str">
        <f t="shared" si="780"/>
        <v/>
      </c>
      <c r="PO201" s="43" t="str">
        <f t="shared" si="781"/>
        <v/>
      </c>
      <c r="PP201" s="43" t="str">
        <f t="shared" si="782"/>
        <v/>
      </c>
      <c r="PQ201" s="43" t="str">
        <f t="shared" si="783"/>
        <v/>
      </c>
      <c r="PR201" s="43" t="str">
        <f t="shared" si="784"/>
        <v/>
      </c>
      <c r="PS201" s="43" t="str">
        <f t="shared" si="785"/>
        <v/>
      </c>
      <c r="PT201" s="43" t="str">
        <f t="shared" si="786"/>
        <v/>
      </c>
      <c r="PU201" s="43" t="str">
        <f t="shared" si="787"/>
        <v/>
      </c>
      <c r="PV201" s="43" t="str">
        <f t="shared" si="788"/>
        <v/>
      </c>
      <c r="PW201" s="43" t="str">
        <f t="shared" si="789"/>
        <v/>
      </c>
      <c r="PX201" s="43" t="str">
        <f t="shared" si="790"/>
        <v/>
      </c>
      <c r="PY201" s="43" t="str">
        <f t="shared" si="791"/>
        <v/>
      </c>
      <c r="PZ201" s="43" t="str">
        <f t="shared" si="792"/>
        <v/>
      </c>
      <c r="QA201" s="43" t="str">
        <f t="shared" si="793"/>
        <v/>
      </c>
      <c r="QB201" s="43" t="str">
        <f t="shared" si="794"/>
        <v/>
      </c>
      <c r="QC201" s="43" t="str">
        <f t="shared" si="795"/>
        <v>OBESIDAD</v>
      </c>
      <c r="QD201" s="43" t="str">
        <f t="shared" si="796"/>
        <v/>
      </c>
      <c r="QE201" s="43" t="str">
        <f t="shared" si="797"/>
        <v/>
      </c>
      <c r="QF201" s="43" t="str">
        <f t="shared" si="798"/>
        <v/>
      </c>
      <c r="QG201" s="43" t="str">
        <f t="shared" si="799"/>
        <v/>
      </c>
      <c r="QH201" s="43" t="str">
        <f t="shared" si="800"/>
        <v/>
      </c>
      <c r="QI201" s="43" t="str">
        <f t="shared" si="801"/>
        <v/>
      </c>
      <c r="QJ201" s="43" t="str">
        <f t="shared" si="802"/>
        <v/>
      </c>
      <c r="QK201" s="43" t="str">
        <f t="shared" si="803"/>
        <v/>
      </c>
      <c r="QL201" s="43" t="str">
        <f t="shared" si="804"/>
        <v/>
      </c>
      <c r="QM201" s="43" t="str">
        <f t="shared" si="805"/>
        <v/>
      </c>
      <c r="QN201" s="43" t="str">
        <f t="shared" si="806"/>
        <v/>
      </c>
      <c r="QO201" s="43" t="str">
        <f t="shared" si="807"/>
        <v/>
      </c>
      <c r="QP201" s="43" t="str">
        <f t="shared" si="808"/>
        <v/>
      </c>
      <c r="QQ201" s="43" t="str">
        <f t="shared" si="809"/>
        <v/>
      </c>
      <c r="QR201" s="43">
        <f t="shared" si="839"/>
        <v>28</v>
      </c>
      <c r="QS201" s="43"/>
      <c r="QT201" s="21" t="str">
        <f t="shared" si="810"/>
        <v/>
      </c>
      <c r="QU201" s="21" t="str">
        <f t="shared" si="811"/>
        <v/>
      </c>
      <c r="QV201" s="21" t="str">
        <f t="shared" si="812"/>
        <v/>
      </c>
      <c r="QW201" s="21" t="str">
        <f t="shared" si="813"/>
        <v/>
      </c>
      <c r="QX201" s="21" t="str">
        <f t="shared" si="814"/>
        <v/>
      </c>
      <c r="QY201" s="21" t="str">
        <f t="shared" si="815"/>
        <v/>
      </c>
      <c r="QZ201" s="21" t="str">
        <f t="shared" si="816"/>
        <v/>
      </c>
      <c r="RA201" s="21" t="str">
        <f t="shared" si="817"/>
        <v/>
      </c>
      <c r="RB201" s="21" t="str">
        <f t="shared" si="818"/>
        <v/>
      </c>
      <c r="RC201" s="21" t="str">
        <f t="shared" si="819"/>
        <v/>
      </c>
      <c r="RD201" s="21" t="str">
        <f t="shared" si="820"/>
        <v/>
      </c>
      <c r="RE201" s="21" t="str">
        <f t="shared" si="821"/>
        <v/>
      </c>
      <c r="RF201" s="21" t="str">
        <f t="shared" si="822"/>
        <v/>
      </c>
      <c r="RG201" s="21" t="str">
        <f t="shared" si="823"/>
        <v/>
      </c>
      <c r="RH201" s="21" t="str">
        <f t="shared" si="824"/>
        <v/>
      </c>
      <c r="RI201" s="21" t="str">
        <f t="shared" si="825"/>
        <v>ALTO PARA EDAD GESTACIONAL</v>
      </c>
      <c r="RJ201" s="21" t="str">
        <f t="shared" si="826"/>
        <v/>
      </c>
      <c r="RK201" s="21" t="str">
        <f t="shared" si="827"/>
        <v/>
      </c>
      <c r="RL201" s="21" t="str">
        <f t="shared" si="828"/>
        <v/>
      </c>
      <c r="RM201" s="21" t="str">
        <f t="shared" si="829"/>
        <v/>
      </c>
      <c r="RN201" s="21" t="str">
        <f t="shared" si="830"/>
        <v/>
      </c>
      <c r="RO201" s="21" t="str">
        <f t="shared" si="831"/>
        <v/>
      </c>
      <c r="RP201" s="21" t="str">
        <f t="shared" si="832"/>
        <v/>
      </c>
      <c r="RQ201" s="21" t="str">
        <f t="shared" si="833"/>
        <v/>
      </c>
      <c r="RR201" s="21" t="str">
        <f t="shared" si="834"/>
        <v/>
      </c>
      <c r="RS201" s="21" t="str">
        <f t="shared" si="835"/>
        <v/>
      </c>
      <c r="RT201" s="21" t="str">
        <f t="shared" si="836"/>
        <v/>
      </c>
      <c r="RU201" s="21" t="str">
        <f t="shared" si="837"/>
        <v/>
      </c>
      <c r="RV201" s="21">
        <f t="shared" si="838"/>
        <v>-1</v>
      </c>
      <c r="RW201" s="284">
        <f>IF(OR(Tabla1[[#This Row],[FUM FORMULA CONFIABLE]]="",Tabla1[[#This Row],[FUM FORMULA CONFIABLE]]="SD"),"",IF(Tabla1[[#This Row],[FUM FORMULA CONFIABLE]]="CORREGIDA",Tabla1[[#This Row],[FUM X ECO 1]],Tabla1[[#This Row],[FUM x AMENORREA]]))</f>
        <v>44966</v>
      </c>
      <c r="RX201" s="21" t="str">
        <f>IF(AND(Tabla1[[#This Row],[FUM X ECO 1]]="",Tabla1[[#This Row],[FUM x AMENORREA]]=""),"",IF(AND(Tabla1[[#This Row],[FUM X ECO 1]]="",Tabla1[[#This Row],[FUM x AMENORREA]]&lt;&gt;""),"X",SUM(Tabla1[[#This Row],[FUM X ECO 1]]-Tabla1[[#This Row],[FUM x AMENORREA]])))</f>
        <v>X</v>
      </c>
      <c r="RY201" s="21" t="str">
        <f t="shared" si="840"/>
        <v>x</v>
      </c>
    </row>
    <row r="202" spans="1:493" ht="45" customHeight="1" x14ac:dyDescent="0.25">
      <c r="A202" s="109"/>
      <c r="B202" s="43"/>
      <c r="C202" s="43" t="s">
        <v>845</v>
      </c>
      <c r="D202" s="124"/>
      <c r="E202" s="43" t="s">
        <v>943</v>
      </c>
      <c r="F202" s="43" t="s">
        <v>1144</v>
      </c>
      <c r="G202" s="43" t="s">
        <v>1504</v>
      </c>
      <c r="H202" s="43" t="s">
        <v>1281</v>
      </c>
      <c r="I202" s="109" t="s">
        <v>1094</v>
      </c>
      <c r="J202" s="110">
        <v>1059599329</v>
      </c>
      <c r="K202" s="43" t="s">
        <v>852</v>
      </c>
      <c r="L202" s="175" t="s">
        <v>1509</v>
      </c>
      <c r="M202" s="22">
        <v>39559</v>
      </c>
      <c r="N202" s="213">
        <f t="shared" ca="1" si="841"/>
        <v>15.542465753424658</v>
      </c>
      <c r="O202" s="293">
        <v>45101</v>
      </c>
      <c r="P202" s="214" t="str">
        <f t="shared" si="675"/>
        <v>SI</v>
      </c>
      <c r="Q202" s="26" t="s">
        <v>855</v>
      </c>
      <c r="R202" s="293">
        <v>45101</v>
      </c>
      <c r="S202" s="21" t="s">
        <v>856</v>
      </c>
      <c r="T202" s="24" t="s">
        <v>690</v>
      </c>
      <c r="U202" s="21" t="s">
        <v>857</v>
      </c>
      <c r="V202" s="21" t="s">
        <v>858</v>
      </c>
      <c r="W202" s="21" t="s">
        <v>1062</v>
      </c>
      <c r="X202" s="21"/>
      <c r="Y202" s="21"/>
      <c r="Z202" s="21"/>
      <c r="AA202" s="21" t="s">
        <v>860</v>
      </c>
      <c r="AB202" s="27" t="s">
        <v>861</v>
      </c>
      <c r="AC202" s="26" t="s">
        <v>897</v>
      </c>
      <c r="AD202" s="38" t="s">
        <v>1546</v>
      </c>
      <c r="AE202" s="26" t="s">
        <v>854</v>
      </c>
      <c r="AF202" s="26" t="s">
        <v>854</v>
      </c>
      <c r="AG202" s="23" t="s">
        <v>864</v>
      </c>
      <c r="AH202" s="23" t="s">
        <v>864</v>
      </c>
      <c r="AI202" s="24" t="s">
        <v>863</v>
      </c>
      <c r="AJ202" s="23" t="s">
        <v>864</v>
      </c>
      <c r="AK202" s="220" t="str">
        <f>IF(AND(AD202="",AE202="",AF202="",AG202="",AH202="",AI202="",AJ202=""),"",IF(OR(Tabla1[[#This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EVALUACIÓN",IF(AND(O202="",R202=""),"",IF(AND(OR(O202&gt;0,R202&gt;0),NG202&gt;=0,NG202&lt;2),"SIN RIESGO",IF(AND(OR(O202&gt;0,R202&gt;0),NG202&gt;=2),"CON RIESGO","ASD")))))</f>
        <v>SIN RIESGO</v>
      </c>
      <c r="AL202" s="23" t="s">
        <v>864</v>
      </c>
      <c r="AM202" s="26" t="s">
        <v>864</v>
      </c>
      <c r="AN202" s="26" t="s">
        <v>864</v>
      </c>
      <c r="AO202" s="26" t="s">
        <v>864</v>
      </c>
      <c r="AP202" s="26" t="s">
        <v>864</v>
      </c>
      <c r="AQ202" s="26" t="s">
        <v>864</v>
      </c>
      <c r="AR202" s="26" t="s">
        <v>864</v>
      </c>
      <c r="AS202" s="294">
        <v>0</v>
      </c>
      <c r="AT202" s="294">
        <v>0</v>
      </c>
      <c r="AU202" s="294">
        <v>0</v>
      </c>
      <c r="AV202" s="26" t="s">
        <v>864</v>
      </c>
      <c r="AW202" s="294">
        <v>0</v>
      </c>
      <c r="AX202" s="26" t="s">
        <v>864</v>
      </c>
      <c r="AY202" s="26" t="s">
        <v>864</v>
      </c>
      <c r="AZ202" s="26" t="s">
        <v>864</v>
      </c>
      <c r="BA202" s="26" t="s">
        <v>864</v>
      </c>
      <c r="BB202" s="26" t="s">
        <v>864</v>
      </c>
      <c r="BC202" s="26" t="s">
        <v>864</v>
      </c>
      <c r="BD202" s="26" t="s">
        <v>864</v>
      </c>
      <c r="BE202" s="26" t="s">
        <v>864</v>
      </c>
      <c r="BF202" s="26" t="s">
        <v>864</v>
      </c>
      <c r="BG202" s="26" t="s">
        <v>864</v>
      </c>
      <c r="BH202" s="26" t="s">
        <v>864</v>
      </c>
      <c r="BI202" s="26" t="s">
        <v>864</v>
      </c>
      <c r="BJ202" s="26" t="s">
        <v>864</v>
      </c>
      <c r="BK202" s="26" t="s">
        <v>864</v>
      </c>
      <c r="BL202" s="26" t="s">
        <v>864</v>
      </c>
      <c r="BM202" s="26" t="s">
        <v>864</v>
      </c>
      <c r="BN202" s="22"/>
      <c r="BO202" s="22">
        <v>45026</v>
      </c>
      <c r="BP202" s="21" t="s">
        <v>854</v>
      </c>
      <c r="BQ202" s="222">
        <f t="shared" si="842"/>
        <v>0</v>
      </c>
      <c r="BR202" s="223" t="str">
        <f t="shared" si="843"/>
        <v/>
      </c>
      <c r="BS202" s="224">
        <f t="shared" si="844"/>
        <v>10.714285714285714</v>
      </c>
      <c r="BT202" s="294" t="str">
        <f t="shared" si="845"/>
        <v>II TRIM</v>
      </c>
      <c r="BU202" s="214">
        <f t="shared" ca="1" si="846"/>
        <v>29.428571428571427</v>
      </c>
      <c r="BV202" s="25"/>
      <c r="BW202" s="22"/>
      <c r="BX202" s="28"/>
      <c r="BY202" s="28"/>
      <c r="BZ202" s="22"/>
      <c r="CA202" s="21"/>
      <c r="CB202" s="26"/>
      <c r="CC202" s="26"/>
      <c r="CD202" s="26"/>
      <c r="CE202" s="26"/>
      <c r="CF202" s="22" t="s">
        <v>1517</v>
      </c>
      <c r="CG202" s="21">
        <v>1.52</v>
      </c>
      <c r="CH202" s="21">
        <v>58</v>
      </c>
      <c r="CI202" s="214">
        <f t="shared" si="847"/>
        <v>25.103878116343491</v>
      </c>
      <c r="CJ202" s="225" t="e">
        <f>IF(AND(CI202&lt;10,CH202="SD"),"SIN DATO PESO PREGESTACION O I TRIM",IF(AND(OR(R202&gt;0,O202&gt;0),CI202="X"),"INGRESAR DATO DE PESO",IF(CI202="SD","INGRESAR DATO DE TALLA Y PESO",IF(AND(OR(Tabla1[[#This Row],[MOMENTO EN QUE SE REALIZA EL PESO AL INGRESO A CPN]]="PREGESTACIÓN",NZ202="Menor"),CI202&lt;18.5),"BAJO PESO",IF(AND(OR(Tabla1[[#This Row],[MOMENTO EN QUE SE REALIZA EL PESO AL INGRESO A CPN]]="PREGESTACIÓN",NZ202="Menor"),CI202&lt;25),"NORMAL",IF(AND(OR(Tabla1[[#This Row],[MOMENTO EN QUE SE REALIZA EL PESO AL INGRESO A CPN]]="PREGESTACIÓN",NZ202="Menor"),CI202&lt;30),"SOBREPESO",IF(AND(OR(Tabla1[[#This Row],[MOMENTO EN QUE SE REALIZA EL PESO AL INGRESO A CPN]]="PREGESTACIÓN",NZ202="Menor"),CI202&gt;=30,CI202&lt;50),"OBESIDAD",IF(AND(BS202&gt;0,Tabla1[[#This Row],[MOMENTO EN QUE SE REALIZA EL PESO AL INGRESO A CPN]]="GESTACIÓN"),HLOOKUP(NZ202,$OA$2:PH202,NY202),""))))))))</f>
        <v>#REF!</v>
      </c>
      <c r="CK202" s="212">
        <f t="shared" si="848"/>
        <v>45134</v>
      </c>
      <c r="CL202" s="21">
        <v>60.5</v>
      </c>
      <c r="CM202" s="214">
        <f t="shared" si="849"/>
        <v>26.185941828254848</v>
      </c>
      <c r="CN202" s="216">
        <f t="shared" si="850"/>
        <v>15</v>
      </c>
      <c r="CO202" s="216" t="e">
        <f>IF(PI202="","",IF(PI202&gt;0,HLOOKUP(PI202,$PJ$2:QQ202,NY202),""))</f>
        <v>#REF!</v>
      </c>
      <c r="CP202" s="21">
        <v>14</v>
      </c>
      <c r="CQ202" s="216" t="e">
        <f>IF(QR202="Menor","NO APLICA-MENOR 13 SEM",IF(AND(CC202="SI",CN202&gt;23),"NO APLICA- GEMELAR",IF(QR202="","",IF(QR202&gt;0,HLOOKUP(QR202,$QS$2:RU202,NY202),""))))</f>
        <v>#REF!</v>
      </c>
      <c r="CR202" s="21">
        <v>90</v>
      </c>
      <c r="CS202" s="21">
        <v>60</v>
      </c>
      <c r="CT202" s="217" t="str">
        <f>IF(R202="","",IF(AND(BS202&gt;1,BS202&lt;12,Tabla1[[#This Row],[T.A. SISTOLICA - ANTES DE SEMANA 12]]="",Tabla1[[#This Row],[T.A. DIASTOLICA - ANTES DE SEMANA 12]]=""),"REGISTRE DATO TA ANTES SEMANA 12",IF(AND(BS202&gt;11,BS202&lt;43,Tabla1[[#This Row],[T.A. SISTOLICA - ANTES DE SEMANA 12]]="",Tabla1[[#This Row],[T.A. DIASTOLICA - ANTES DE SEMANA 12]]=""),"NO APLICA REGISTRO TA-INGRESO TARDIO",IF(AND(OR(O202&gt;0,R202&gt;0),OR(CR202&gt;=140,CS202&gt;=90)),"DEFINIR ESTADIO HTA",IF(AND(OR(O202&gt;0,R202&gt;0),AND(CR202&gt;120,CR202&lt;=139)),"PRE HTA SEGUIMIENTO",IF(AND(OR(O202&gt;0,R202&gt;0),AND(CS202&gt;80,CS202&lt;=89)),"PRE HTA SEGUIMIENTO",IF(AND(OR(O202&gt;0,R202&gt;0),AND(CR202&gt;=80,CR202&lt;=120)),"APARENTEMENTE NORMAL",IF(AND(OR(O202&gt;0,R202&gt;0),AND(CS202&gt;=50,CS202&lt;=80)),"APARENTEMENTE NORMAL",IF(AND(OR(O202&gt;0,R202&gt;0),AND(CR202&gt;1,CR202&lt;=70),AND(CS202&gt;1,CS202&lt;=40)),"HIPOTENSIÓN","")))))))))</f>
        <v>APARENTEMENTE NORMAL</v>
      </c>
      <c r="CU202" s="21"/>
      <c r="CV202" s="21"/>
      <c r="CW202" s="217" t="str">
        <f ca="1">IF(R202="","",IF(AND(CN202&gt;19,CN202&lt;27,Tabla1[[#This Row],[T.A. SISTOLICA (Entre semana 20 y 26)]]="",Tabla1[[#This Row],[T.A. DIATOLICA (Entre semana 20 y 26)]]=""),"ACUDE A CONTROL SEM 20 A 26 REGISTRE TA AHORA",IF(AND(BS202&gt;1,BS202&lt;27,BU202&gt;19,Tabla1[[#This Row],[T.A. SISTOLICA (Entre semana 20 y 26)]]="",Tabla1[[#This Row],[T.A. DIATOLICA (Entre semana 20 y 26)]]=""),"COMPLETE REGISTRO TA CONTROL SEM 20 A26 ",IF(AND(BS202&gt;26,BS202&lt;43,Tabla1[[#This Row],[T.A. SISTOLICA (Entre semana 20 y 26)]]="",Tabla1[[#This Row],[T.A. DIATOLICA (Entre semana 20 y 26)]]=""),"NO APLICA REGISTRO TA-INGRESO TARDIO",IF(AND(OR(O202&gt;0,R202&gt;0),OR(CU202&gt;=140,CV202&gt;=90)),"ALTO RIESGO PREECLAMPSIA,DEFINIR ESTADIO HTA",IF(AND(OR(O202&gt;0,R202&gt;0),AND(CU202&gt;120,CU202&lt;=139)),"PRE HTA SEGUIMIENTO,RIESGO HIPERTENSION INDUCIDA POR EL EMBARAZO",IF(AND(OR(O202&gt;0,R202&gt;0),AND(CV202&gt;80,CV202&lt;=89)),"PRE HTA SEGUIMIENTO, RIESGO HIPERTENSION INDUCIDA POR EL EMBARAZO",IF(AND(OR(O202&lt;&gt;"",R202&lt;&gt;""),CS202&lt;&gt;"",CV202&lt;&gt;"",CS202&lt;=CV202),"VIGILAR CIFRAS PRESION ARTERIAL",IF(AND(OR(O202&gt;0,R202&gt;0),AND(CU202&gt;120,CU202&lt;=139)),"PRE HTA SEGUIMIENTO",IF(AND(OR(O202&gt;0,R202&gt;0),AND(CU202&gt;1,CU202&lt;=70),AND(CV202&gt;1,CV202&lt;=40)),"HIPOTENSIÓN",IF(AND(OR(O202&lt;&gt;"",R202&lt;&gt;""),CS202&lt;&gt;"",CV202&lt;&gt;"",CS202&gt;CV202),"APARENTEMENTE NORMAL",IF(AND(OR(O202&gt;0,R202&gt;0),AND(CU202&gt;=80,CU202&lt;=120)),"APARENTEMENTE NORMAL",IF(AND(OR(O202&gt;0,R202&gt;0),AND(CV202&gt;=50,CV202&lt;=80)),"APARENTEMENTE NORMAL","")))))))))))))</f>
        <v xml:space="preserve">COMPLETE REGISTRO TA CONTROL SEM 20 A26 </v>
      </c>
      <c r="CX202" s="21"/>
      <c r="CY202" s="21"/>
      <c r="CZ202" s="216" t="str">
        <f>IF(R202="","",IF(AND(CN202&gt;31,CN202&lt;35,CX202="",CY202=""),"ACUDE A CONTROL SEM 30 A 34- REGISTRE AHORA",IF(AND(BS202&gt;34,BS202&lt;43,CX203="",CY203=""),"NO APLICA-INGRESO TARDIO",IF(AND(OR(O202&gt;0,R202&gt;0),OR(CX202&gt;=140,CY202&gt;=90)),"ESTUDIO INMEDIATO HTA PARA DESCARTAR PREECLAMSIA",IF(AND(OR(O202&gt;0,R202&gt;0),AND(CX202&gt;=130,CX202&lt;=139)),"PRE HTA,RIESGO ALTO PREECLAMPSIA",IF(AND(OR(O202&gt;0,R202&gt;0),AND(CY202&gt;80,CY202&lt;=89)),"PRE HTA,RIESGO ALTO PREECLAMPSIA",IF(AND(OR(O202&gt;0,R202&gt;0),AND(CX202&gt;120,CX202&lt;=129)),"RANGO PREHIPERTENSIVO SEGUIMIENTO HTA",IF(AND(OR(O202&lt;&gt;"",R202&lt;&gt;""),CS202&lt;&gt;"",CY202&lt;&gt;"",CS202&lt;CY202),"VIGILAR CIFRAS PRESION ARTERIAL",IF(AND(OR(O202&lt;&gt;"",R202&lt;&gt;""),CS202&lt;&gt;"",CY202&lt;&gt;"",CS202=CY202),"APARENTEMENTE NORMAL",IF(AND(OR(O202&gt;0,R202&gt;0),CX202&gt;=80,CX202&lt;=120),"APARENTEMENTE NORMAL",IF(AND(OR(O202&gt;0,R202&gt;0),CY202&gt;=50,CY202&lt;=80),"APARENTEMENTE NORMAL","")))))))))))</f>
        <v/>
      </c>
      <c r="DA202" s="21">
        <v>100</v>
      </c>
      <c r="DB202" s="21">
        <v>60</v>
      </c>
      <c r="DC202" s="217" t="str">
        <f t="shared" si="851"/>
        <v>APARENTEMENTE NORMAL</v>
      </c>
      <c r="DD202" s="22">
        <v>45101</v>
      </c>
      <c r="DE202" s="22">
        <v>45101</v>
      </c>
      <c r="DF202" s="22">
        <v>45134</v>
      </c>
      <c r="DG202" s="22"/>
      <c r="DH202" s="22"/>
      <c r="DI202" s="22"/>
      <c r="DJ202" s="22"/>
      <c r="DK202" s="22"/>
      <c r="DL202" s="22"/>
      <c r="DM202" s="22"/>
      <c r="DN202" s="22"/>
      <c r="DO202" s="22"/>
      <c r="DP202" s="22"/>
      <c r="DQ202" s="22"/>
      <c r="DR202" s="28"/>
      <c r="DS202" s="22"/>
      <c r="DT202" s="22"/>
      <c r="DU202" s="216" t="str">
        <f t="shared" ca="1" si="676"/>
        <v>PLANEAR PLAN DE PARTO</v>
      </c>
      <c r="DV202" s="226" t="str">
        <f t="shared" si="677"/>
        <v>ACTIVA INGRESO A CPN</v>
      </c>
      <c r="DW202"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02" s="216" t="e">
        <f t="shared" ca="1" si="852"/>
        <v>#REF!</v>
      </c>
      <c r="DY202" s="212">
        <f>IF(R202="","",IF(R202&gt;0,MAX(Tabla1[[#This Row],[FECHA C2]:[FECHA C13]],Tabla1[[#This Row],[FECHA CONSULTA PRIMERA VEZ PROGRAMA CPN ]])))</f>
        <v>45134</v>
      </c>
      <c r="DZ202" s="216">
        <f t="shared" si="853"/>
        <v>15</v>
      </c>
      <c r="EA202" s="222">
        <f>IF(R202&gt;0,SUM(COUNTA(DF202:DQ202)+COUNTA(Tabla1[[#This Row],[FECHA CONSULTA PRIMERA VEZ PROGRAMA CPN ]])),"")</f>
        <v>2</v>
      </c>
      <c r="EB202" s="222" t="str">
        <f t="shared" si="854"/>
        <v>NO</v>
      </c>
      <c r="EC202" s="214">
        <f t="shared" si="855"/>
        <v>9</v>
      </c>
      <c r="ED202" s="227">
        <f t="shared" si="856"/>
        <v>0.22222222222222221</v>
      </c>
      <c r="EE202" s="22">
        <v>45101</v>
      </c>
      <c r="EF202" s="22"/>
      <c r="EG202" s="22">
        <v>45101</v>
      </c>
      <c r="EH202" s="22"/>
      <c r="EI202" s="22">
        <v>45101</v>
      </c>
      <c r="EJ202" s="22"/>
      <c r="EK202" s="22"/>
      <c r="EL202" s="21"/>
      <c r="EM202" s="21">
        <v>13.3</v>
      </c>
      <c r="EN202" s="22">
        <v>45101</v>
      </c>
      <c r="EO202" s="222">
        <f t="shared" si="857"/>
        <v>10.714285714285714</v>
      </c>
      <c r="EP202" s="214" t="str">
        <f t="shared" si="858"/>
        <v>NORMAL- SUMINISTRAR SULFATO FERROSO</v>
      </c>
      <c r="EQ202" s="216" t="str">
        <f t="shared" si="859"/>
        <v>I TRIM</v>
      </c>
      <c r="ER202" s="24"/>
      <c r="ES202" s="22"/>
      <c r="ET202" s="29" t="str">
        <f t="shared" ca="1" si="678"/>
        <v>EN SEMANA 28 TOMA INMEDIATA DE EXAMEN</v>
      </c>
      <c r="EU202" s="25" t="str">
        <f t="shared" si="860"/>
        <v/>
      </c>
      <c r="EV202" s="24" t="s">
        <v>1510</v>
      </c>
      <c r="EW202" s="22">
        <v>45101</v>
      </c>
      <c r="EX202" s="22"/>
      <c r="EY202" s="29">
        <f t="shared" si="693"/>
        <v>10.714285714285714</v>
      </c>
      <c r="EZ202" s="25" t="str">
        <f t="shared" si="694"/>
        <v>SIN RIESGO DE ISOINMUNIZACIÓN</v>
      </c>
      <c r="FA202" s="21">
        <v>91</v>
      </c>
      <c r="FB202" s="22">
        <v>45101</v>
      </c>
      <c r="FC202" s="29">
        <f t="shared" si="861"/>
        <v>10.714285714285714</v>
      </c>
      <c r="FD202" s="29"/>
      <c r="FE202" s="29"/>
      <c r="FF202" s="29"/>
      <c r="FG202" s="21" t="str">
        <f t="shared" ca="1" si="862"/>
        <v>TOMAR PTOG</v>
      </c>
      <c r="FH202" s="31"/>
      <c r="FI202" s="29" t="str">
        <f t="shared" si="863"/>
        <v>TOMAR EXAMEN</v>
      </c>
      <c r="FJ202" s="22" t="s">
        <v>867</v>
      </c>
      <c r="FK202" s="22">
        <v>45101</v>
      </c>
      <c r="FL202" s="29">
        <f t="shared" ca="1" si="864"/>
        <v>10.714285714285714</v>
      </c>
      <c r="FM202" s="22"/>
      <c r="FN202" s="32"/>
      <c r="FO202" s="29" t="str">
        <f t="shared" ca="1" si="679"/>
        <v>PIERDE TOMA DE TAMIZAJE</v>
      </c>
      <c r="FP202" s="22"/>
      <c r="FQ202" s="32"/>
      <c r="FR202" s="29" t="str">
        <f t="shared" ca="1" si="680"/>
        <v>EN RANGO PARA TOMAR EXAMEN</v>
      </c>
      <c r="FS202" s="22"/>
      <c r="FT202" s="32"/>
      <c r="FU202" s="29" t="str">
        <f>IF(AND(FJ202="",FM202="",FP202="",FS202=""),"",IF(OR(OR(Tabla1[[#This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02" s="28"/>
      <c r="FW202" s="22"/>
      <c r="FX202" s="29" t="str">
        <f t="shared" si="865"/>
        <v>TOMAR EXAMEN</v>
      </c>
      <c r="FY202" s="22" t="s">
        <v>868</v>
      </c>
      <c r="FZ202" s="22">
        <v>45101</v>
      </c>
      <c r="GA202" s="29">
        <f t="shared" ca="1" si="739"/>
        <v>10.714285714285714</v>
      </c>
      <c r="GB202" s="22"/>
      <c r="GC202" s="22"/>
      <c r="GD202" s="29" t="str">
        <f t="shared" ca="1" si="732"/>
        <v>PIERDE TOMA DE TAMIZAJE</v>
      </c>
      <c r="GE202" s="22"/>
      <c r="GF202" s="22"/>
      <c r="GG202" s="29" t="str">
        <f t="shared" ca="1" si="682"/>
        <v>EN RANGO PARA TOMAR EXAMEN</v>
      </c>
      <c r="GH202" s="22"/>
      <c r="GI202" s="29"/>
      <c r="GJ202" s="22"/>
      <c r="GK202" s="22"/>
      <c r="GL202" s="22"/>
      <c r="GM202" s="22"/>
      <c r="GN202" s="28" t="s">
        <v>869</v>
      </c>
      <c r="GO202" s="22">
        <v>45101</v>
      </c>
      <c r="GP202" s="29">
        <f t="shared" si="866"/>
        <v>10.714285714285714</v>
      </c>
      <c r="GQ202" s="28" t="s">
        <v>869</v>
      </c>
      <c r="GR202" s="22"/>
      <c r="GS202" s="22" t="str">
        <f t="shared" si="728"/>
        <v>CONTROL Igm</v>
      </c>
      <c r="GT202" s="22">
        <v>45101</v>
      </c>
      <c r="GU202" s="29">
        <f t="shared" si="867"/>
        <v>10.714285714285714</v>
      </c>
      <c r="GV202" s="21" t="str">
        <f t="shared" si="868"/>
        <v>I TRIM</v>
      </c>
      <c r="GW202" s="28"/>
      <c r="GX202" s="30"/>
      <c r="GY202" s="21"/>
      <c r="GZ202" s="21"/>
      <c r="HA202" s="21"/>
      <c r="HB202" s="21"/>
      <c r="HC202" s="21"/>
      <c r="HD202" s="21"/>
      <c r="HE202" s="21"/>
      <c r="HF202" s="22"/>
      <c r="HG202" s="22" t="str">
        <f>IF(OR(O202&gt;0,R202&gt;0),CONCATENATE(IF(Tabla1[[#This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02" s="22" t="e">
        <f t="shared" si="869"/>
        <v>#REF!</v>
      </c>
      <c r="HI202" s="22" t="e">
        <f t="shared" ca="1" si="870"/>
        <v>#REF!</v>
      </c>
      <c r="HJ202" s="21" t="str">
        <f t="shared" ca="1" si="871"/>
        <v>**********************MULTIPARIDAD**RIESGO POR EDAD***************</v>
      </c>
      <c r="HK202" s="21" t="str">
        <f t="shared" si="872"/>
        <v>SIN ANTECEDENTES DE RIESGO</v>
      </c>
      <c r="HL202" s="24" t="str">
        <f t="shared" si="873"/>
        <v>APARENTEMENTE NORMAL</v>
      </c>
      <c r="HM202" s="21" t="e">
        <f t="shared" ca="1" si="874"/>
        <v>#REF!</v>
      </c>
      <c r="HN202" s="30" t="str">
        <f t="shared" si="683"/>
        <v>ACTIVA INGRESO A CPN</v>
      </c>
      <c r="HO202" s="21"/>
      <c r="HP202" s="21"/>
      <c r="HQ202" s="349"/>
      <c r="HR202" s="21" t="str">
        <f>IF(R202="","",IF(Tabla1[[#This Row],[ALARMA FACTORES DE RIESGO COMPLICACIONES HIPERTENSIVAS3]]="SIN ANTECEDENTES DE RIESGO","No Aplica para suministro de ASA",IF(AND(Tabla1[[#This Row],[FECHA INICIO DE SUMINISTRO DE ASA]]&gt;0,RV202&lt;12),"Inicia ASA ANTES de Sem 12",IF(AND(RV202&gt;11,RV202&lt;17,OR(HK202="RIESGO ALTO DE COMPLICACIONES HIPERTENSIVAS VER MANEJO GUIA SUMINISTRO ASA Y CALCIO",HK202="RIESGO MODERADO (2 O MAS CRITERIOS) VER MANEJO GUIA SUMINISTRO ASA Y CALCIO")),"Inicio oportuno de ASA",IF(AND(RV202&gt;12,OR(HK202="RIESGO ALTO DE COMPLICACIONES HIPERTENSIVAS VER MANEJO GUIA SUMINISTRO ASA Y CALCIO",HK202="RIESGO MODERADO (2 O MAS CRITERIOS) VER MANEJO GUIA SUMINISTRO ASA Y CALCIO")),"Inicio no oportuno mayor a 16 semanas",IF(AND(BU202&lt;12,OR(HK202="RIESGO ALTO DE COMPLICACIONES HIPERTENSIVAS VER MANEJO GUIA SUMINISTRO ASA Y CALCIO",HK202="RIESGO MODERADO (2 O MAS CRITERIOS) VER MANEJO GUIA SUMINISTRO ASA Y CALCIO")),"Pendiente Inicio de ASA a la semana 12",IF(AND(BU202&gt;11,BU202&lt;17,OR(HK202="RIESGO ALTO DE COMPLICACIONES HIPERTENSIVAS VER MANEJO GUIA SUMINISTRO ASA Y CALCIO",HK202="RIESGO MODERADO (2 O MAS CRITERIOS) VER MANEJO GUIA SUMINISTRO ASA Y CALCIO")),"Iniciar de inmediato ASA",IF(AND(BU202&gt;16,OR(HK202="RIESGO ALTO DE COMPLICACIONES HIPERTENSIVAS VER MANEJO GUIA SUMINISTRO ASA Y CALCIO",HK202="RIESGO MODERADO (2 O MAS CRITERIOS) VER MANEJO GUIA SUMINISTRO ASA Y CALCIO")),"Pierde Oportunidad, Inicio tardío de ASA","XXXXX"))))))))</f>
        <v>No Aplica para suministro de ASA</v>
      </c>
      <c r="HS202" s="295">
        <v>45101</v>
      </c>
      <c r="HT202" s="294" t="s">
        <v>1518</v>
      </c>
      <c r="HU202" s="295">
        <v>45101</v>
      </c>
      <c r="HV202" s="22" t="s">
        <v>1544</v>
      </c>
      <c r="HW202" s="295">
        <v>45101</v>
      </c>
      <c r="HX202" s="22" t="s">
        <v>1511</v>
      </c>
      <c r="HY202" s="22"/>
      <c r="HZ202" s="28" t="str">
        <f t="shared" si="875"/>
        <v>PENDIENTE CONSULTA</v>
      </c>
      <c r="IA202" s="26"/>
      <c r="IB202" s="26"/>
      <c r="IC202" s="111"/>
      <c r="ID202" s="22"/>
      <c r="IE202" s="22" t="str">
        <f t="shared" ca="1" si="876"/>
        <v>INASISTENTE</v>
      </c>
      <c r="IF202" s="22"/>
      <c r="IG202" s="22">
        <f t="shared" si="877"/>
        <v>45306</v>
      </c>
      <c r="IH202" s="29">
        <f t="shared" ca="1" si="878"/>
        <v>74</v>
      </c>
      <c r="II202" s="22" t="str">
        <f t="shared" ca="1" si="879"/>
        <v>PENDIENTE</v>
      </c>
      <c r="IJ202" s="22"/>
      <c r="IK202" s="21"/>
      <c r="IL202" s="21"/>
      <c r="IM202" s="34"/>
      <c r="IN202" s="22"/>
      <c r="IO202" s="21"/>
      <c r="IP202" s="29" t="str">
        <f t="shared" ref="IP202:IP248" si="880">IF(AND(IN202&gt;0,IK202&lt;&gt;""),SUM(IN202-RW202)/7,"")</f>
        <v/>
      </c>
      <c r="IQ202" s="35"/>
      <c r="IR202" s="21"/>
      <c r="IS202" s="21"/>
      <c r="IT202" s="21"/>
      <c r="IU202" s="21"/>
      <c r="IV202" s="21"/>
      <c r="IW202" s="21"/>
      <c r="IX202" s="21"/>
      <c r="IY202" s="21"/>
      <c r="IZ202" s="21"/>
      <c r="JA202" s="21"/>
      <c r="JB202" s="30"/>
      <c r="JC202" s="21"/>
      <c r="JD202" s="36"/>
      <c r="JE202" s="21" t="str">
        <f t="shared" ref="JE202:JE248" si="881">IF(AND(JD202&gt;700,JD202&lt;2500,IP202&gt;36),"BAJO PESO AL NACER",IF(AND(JD202&gt;500,JD202&lt;2500,IP202&lt;37),"PREMATURO",IF(AND(JD202&gt;2499,JD202&lt;5000,IP202&lt;37),"ERROR VERIFICAR DATO EDAD GESTACIONAL VS PESO",IF(AND(JD202&gt;2499,JD202&lt;4000,IP202&gt;36),"PESO ADECUADO EDAD GESTACIONAL",IF(AND(JD202&gt;3999,JD202&lt;6000,IP202&gt;36),"PESO GRANDE EDAD GESTACIONAL","")))))</f>
        <v/>
      </c>
      <c r="JF202" s="30"/>
      <c r="JG202" s="21"/>
      <c r="JH202" s="21"/>
      <c r="JI202" s="21"/>
      <c r="JJ202" s="30"/>
      <c r="JK202" s="22"/>
      <c r="JL202" s="22"/>
      <c r="JM202" s="21"/>
      <c r="JN202" s="36"/>
      <c r="JO202" s="21" t="str">
        <f t="shared" ref="JO202:JO248" si="882">IF(AND(JN202&gt;700,JN202&lt;2500,IP202&gt;36,IP202&lt;43),"BAJO PESO AL NACER",IF(AND(JN202&gt;700,JN202&lt;2500,IP202&lt;37),"PREMATURO",IF(AND(JN202&gt;2499,JN202&lt;5000,IP202&lt;37),"ERROR VERIFICAR DATO EDAD GESTACIONAL VS PESO",IF(AND(JN202&gt;2499,JN202&lt;4000,IP202&gt;36,IP202&lt;43),"PESO ADECUADO EDAD GESTACIONAL",IF(AND(JN202&gt;3999,JN202&lt;6000,IP202&gt;36,IP202&lt;43),"PESO GRANDE EDAD GESTACIONAL","")))))</f>
        <v/>
      </c>
      <c r="JP202" s="22"/>
      <c r="JQ202" s="21"/>
      <c r="JR202" s="21"/>
      <c r="JS202" s="21"/>
      <c r="JT202" s="30"/>
      <c r="JU202" s="22"/>
      <c r="JV202" s="22"/>
      <c r="JW202" s="33"/>
      <c r="JX202" s="28" t="str">
        <f t="shared" ref="JX202:JX248" si="883">IF(AND(JW202&lt;&gt;"",JW202&lt;IN202),"INCONSISTENCIA FECHA CONTROL",IF(AND(OR(IK202="Parto",IK202="Cesarea"),JW202&gt;0,IN202&gt;0),SUM(JW202-IN202),IF(AND(OR(IK202="Parto",IK202="Cesarea"),JW202="",IN202&gt;0),"INASISTENTE","")))</f>
        <v/>
      </c>
      <c r="JY202" s="33"/>
      <c r="JZ202" s="28" t="str">
        <f t="shared" ref="JZ202:JZ248" si="884">IF(AND(JY202&lt;&gt;"",JY202&lt;IN202),"INCONSISTENCIA FECHA CONTROL",IF(AND(OR(IK202="Parto",IK202="Cesarea",IK202="Aborto Espontaneo",IK202="Aborto Inducido",IK202="IVE"),JY202&gt;0,IN202&gt;0),SUM(JY202-IN202),IF(AND(JY202&lt;&gt;"",JY202&lt;IN202),"INCONSISTENCIA FECHA CONTROL",IF(AND(OR(IK202="Parto",IK202="Cesarea",IK202="Aborto Espontaneo",IK202="Aborto Inducido",IK202="IVE"),JY202="",IN202&gt;0),"INASISTENTE",""))))</f>
        <v/>
      </c>
      <c r="KA202" s="21"/>
      <c r="KB202" s="21"/>
      <c r="KC202" s="21"/>
      <c r="KD202" s="37"/>
      <c r="KE202" s="28"/>
      <c r="KF202" s="28"/>
      <c r="KG202" s="28"/>
      <c r="KH202" s="39"/>
      <c r="KI202" s="39"/>
      <c r="KJ202" s="66"/>
      <c r="KK202" s="39"/>
      <c r="KL202" s="39"/>
      <c r="KM202" s="66"/>
      <c r="KN202" s="39"/>
      <c r="KO202" s="39"/>
      <c r="KP202" s="39"/>
      <c r="KQ202" s="39"/>
      <c r="KR202" s="39"/>
      <c r="KS202" s="39"/>
      <c r="KT202" s="39"/>
      <c r="KU202" s="38"/>
      <c r="KV202" s="38"/>
      <c r="KW202" s="38"/>
      <c r="KX202" s="38"/>
      <c r="KY202" s="38"/>
      <c r="KZ202" s="38"/>
      <c r="LA202" s="38"/>
      <c r="LB202" s="38"/>
      <c r="LC202" s="38"/>
      <c r="LD202" s="38"/>
      <c r="LE202" s="38"/>
      <c r="LF202" s="38"/>
      <c r="LG202" s="38"/>
      <c r="LH202" s="38"/>
      <c r="LI202" s="38"/>
      <c r="LJ202" s="38"/>
      <c r="LK202" s="38"/>
      <c r="LL202" s="38"/>
      <c r="LM202" s="38"/>
      <c r="LN202" s="38"/>
      <c r="LO202" s="38"/>
      <c r="LP202" s="38"/>
      <c r="LQ202" s="38"/>
      <c r="LR202" s="38"/>
      <c r="LS202" s="38"/>
      <c r="LT202" s="38"/>
      <c r="LU202" s="38"/>
      <c r="LV202" s="38"/>
      <c r="LW202" s="38"/>
      <c r="LX202" s="38"/>
      <c r="LY202" s="38"/>
      <c r="LZ202" s="38"/>
      <c r="MA202" s="38"/>
      <c r="MB202" s="38"/>
      <c r="MC202" s="38"/>
      <c r="MD202" s="38"/>
      <c r="ME202" s="38"/>
      <c r="MF202" s="38"/>
      <c r="MG202" s="38"/>
      <c r="MH202" s="43">
        <f t="shared" ref="MH202:MH248" si="885">SUM(COUNTIF(KU202,"PARTERO (A)"),COUNTIF(KY202,"PARTERO (A)"),COUNTIF(LC202,"PARTERO (A)"),COUNTIF(LG202,"PARTERO (A)"),COUNTIF(LK202,"PARTERO (A)"),COUNTIF(LO202,"PARTERO (A)"),COUNTIF(ME202,"PARTERO (A)"))</f>
        <v>0</v>
      </c>
      <c r="MI202" s="43" t="str">
        <f t="shared" ref="MI202:MI206" si="886">IF(AND(R202="",O202=""),"",IF(AND(OR(O202&gt;0,R202&gt;0),KT202&gt;0),SUM(KT202-RW202)/7,""))</f>
        <v/>
      </c>
      <c r="MJ202" s="43" t="str">
        <f t="shared" ref="MJ202:MJ248" si="887">IF(AND(MI202="",BT202=""),"",IF(AND(MI202&lt;&gt;"",BT202="SIN DATO"),"SIN DATO",IF(AND(MI202="",BT202&lt;&gt;""),"",IF(AND(MI202&lt;0,BT202&gt;0),"ERROR FUM O INGRESO",IF(MI202&lt;=13,"I TRIM",IF(MI202&lt;28,"II TRIM",IF(AND(MI202&gt;27,MI202&lt;45),"III TRIM","POR DEFINIR")))))))</f>
        <v/>
      </c>
      <c r="MK202" s="43">
        <f t="shared" ref="MK202:MK248" si="888">SUM(COUNTIF(KU202,"MEDICO (A) TRADICIONAL"),COUNTIF(KY202,"MEDICO (A) TRADICIONAL"),COUNTIF(LC202,"MEDICO (A) TRADICIONAL"),COUNTIF(LG202,"MEDICO (A) TRADICIONAL"),COUNTIF(LK202,"MEDICO (A) TRADICIONAL"),COUNTIF(LO202,"MEDICO (A) TRADICIONAL"),COUNTIF(ME202,"MEDICO (A) TRADICIONAL"))</f>
        <v>0</v>
      </c>
      <c r="ML20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02" s="43">
        <f t="shared" ref="MM202:MM206" si="889">IF(AND(O202&gt;0,RW202&gt;0),SUM(O202-RW202)/7,"")</f>
        <v>10.714285714285714</v>
      </c>
      <c r="MN202" s="43">
        <f t="shared" ref="MN202:MN206" si="890">IF(R202&gt;0,MONTH(R202),"")</f>
        <v>6</v>
      </c>
      <c r="MO202" s="43">
        <f t="shared" ref="MO202:MO206" si="891">IF(R202&gt;0,YEAR(R202),"")</f>
        <v>2023</v>
      </c>
      <c r="MP202" s="43" t="str">
        <f t="shared" ref="MP202:MP248" si="892">IF(AND(MN202&gt;=1,MN202&lt;=3),"I TRIMESTRE AÑO",IF(AND(MN202&gt;=4,MN202&lt;=6),"II TRIMESTRE AÑO",IF(AND(MN202&gt;=7,MN202&lt;=9),"III TRIMESTRE AÑO",IF(AND(MN202&gt;=10,MN202&lt;=12),"IV TRIMESTRE AÑO",""))))</f>
        <v>II TRIMESTRE AÑO</v>
      </c>
      <c r="MQ202" s="43">
        <f t="shared" ref="MQ202:MQ206" si="893">IF(AND(M202&gt;0,R202&gt;0),DAYS360(M202,R202)/30.44/12,IF(AND(M202&gt;0,O202&gt;0,R202=""),DAYS360(M202,O202)/30.44/12,""))</f>
        <v>14.955650459921157</v>
      </c>
      <c r="MR202" s="43">
        <f t="shared" ref="MR202:MR248" si="894">IF(AND(MQ202&gt;7,MQ202&lt;14),2,IF(MQ202&lt;16,1,IF(MQ202&lt;=35,0,IF(AND(MQ202&gt;35,MQ202&lt;50),2,""))))</f>
        <v>1</v>
      </c>
      <c r="MS202" s="43" t="str">
        <f t="shared" ref="MS202:MS248" si="895">+IF(MQ202="","",IF(MQ202&lt;14,"MENOR 14 AÑOS",IF(MQ202&lt;20,"DE 14 A 19AÑOS",IF(MQ202&lt;25," DE 20 A 24 AÑOS",IF(MQ202&lt;30," DE 25 A 29 AÑOS",IF(MQ202&lt;35," DE 30 A 34 AÑOS",IF(MQ202&lt;40," DE 35 A 39 AÑOS"," DE 40 Y MAS")))))))</f>
        <v>DE 14 A 19AÑOS</v>
      </c>
      <c r="MT202" s="43">
        <f t="shared" ref="MT202:MT248" si="896">IF(OR(AX202="SI",BA202="SI"),1,IF(AND(AX202="NO",BA202="NO"),0,""))</f>
        <v>0</v>
      </c>
      <c r="MU202" s="43">
        <f t="shared" ref="MU202:MU248" si="897">IF(AT202="","",IF(AT202=0,1,IF(AND(AT202&gt;=1,AT202&lt;=4),0,IF(AT202&gt;=5,2,"X"))))</f>
        <v>1</v>
      </c>
      <c r="MV202" s="43">
        <f t="shared" ref="MV202:MV248" si="898">IF(AW202="","",IF(AW202=0,0,IF(AW202=1,1,IF(OR(AW202=2,AW202="3 o MAS"),2,"X"))))</f>
        <v>0</v>
      </c>
      <c r="MW202" s="43">
        <f t="shared" ref="MW202:MW248" si="899">IF(AY202="SI",1,IF(AY202="NO",0,""))</f>
        <v>0</v>
      </c>
      <c r="MX202" s="43" t="str">
        <f t="shared" ref="MX202:MX248" si="900">IF(OR(AND(EM202&gt;0,EM202&lt;11),AND(ER202&gt;0,ER202&lt;10.5)),1,"")</f>
        <v/>
      </c>
      <c r="MY202" s="43" t="str">
        <f t="shared" ref="MY202:MY248" ca="1" si="901">IF(AND(AND(BU202&gt;40.9,BU202&lt;43),IN202=""),1,"")</f>
        <v/>
      </c>
      <c r="MZ202" s="43" t="str">
        <f t="shared" ref="MZ202:MZ248" si="902">IF(AND(GJ202="",GL202="",BB202=""),"",IF(OR(OR(GJ202="P.R REACTIVA",GJ202="ELISA REACTIVA"),OR(BB202="SI",GL202="POSITIVA",GL202="NO CONCLUYENTE")),3,""))</f>
        <v/>
      </c>
      <c r="NA202" s="43" t="str">
        <f t="shared" ref="NA202:NA248" si="903">IF(CD202="","",IF(OR(CD202="CEFÁLICA",CD202="SD"),0,IF(OR(CD202="PODÁLICA",CD202="TRANSVERSA O DE FRENTE",CD202="OBLICUA"),3,"")))</f>
        <v/>
      </c>
      <c r="NB202" s="43" t="str">
        <f t="shared" ref="NB202:NB248" si="904">IF(GZ202="","",IF(GZ202="POSITIVO",2,"0"))</f>
        <v/>
      </c>
      <c r="NC202" s="43" t="str">
        <f t="shared" ref="NC202:NC248" si="905">IF(AND(HB202="",HD202=""),"",IF(OR(HB202="POSITIVO",HD202="POSITIVO"),3,0))</f>
        <v/>
      </c>
      <c r="ND202" s="43">
        <f t="shared" ref="ND202:ND206" ca="1" si="906">IF(AND(O202="",R202=""),"",IF(OR(O202&lt;&gt;"",R202&lt;&gt;""),SUM(COUNTIF(AL202:AR202,"SI"),COUNTIF(AV202,"SI"),COUNTIF(BC202,"SI, CONTROLADA"),COUNTIF(BI202,"SI"),COUNTIF(BM202,"SI"),SUM(COUNTIF(BC202,"SI, SIN MANEJO")*3),SUM(COUNTIF(BC202,"SI, NO CONTROLADA")*3),SUM(COUNTIF(BD202:BG202,"SI")*3),SUM(COUNTIF(CB202:CC202,"SI")*3),SUM(COUNTIF(AD202,"Consumo Actual")*3),SUM(COUNTIF(AD202,"Hasta Antes de la Gestación")*2),SUM(COUNTIF(BK202,"SI")*3),SUM(COUNTIF(BL202,"SI")*2),SUM(COUNTIF(CE202,"SI")*2),SUM(COUNTIF(BH202,"SI")*2),SUM(COUNTIF(FG202,"DIABETES, REMITIR")*2),SUM(MT202:NC202),SUM(MR202),SUM(NG202),SUM(COUNTIF(EZ202,"COOMBS C/MES Y RESUMAN SEM 28")*2),SUM(COUNTIF(EZ202,"TOMAR COOMBS CUANTITATIVO Y REMISIÓN")*3),SUM(COUNTIF(FU202,"SIFILIS GESTACIONAL")*3)),""))</f>
        <v>2</v>
      </c>
      <c r="NE202" s="43">
        <f>IF(OR(O202&gt;0,R202&gt;0),SUM(COUNTIF(Tabla1[[#This Row],[AÑOS AL INICIO5 CPN]],"&gt;=40"),COUNTIF(AS202,"0"),COUNTIF(AR202,"SI"),COUNTIF(CC202,"SI"),COUNTIF(BQ202,"&gt;119"),COUNTIF(CI202,"&gt;=35")),"")</f>
        <v>1</v>
      </c>
      <c r="NF202" s="43" t="str">
        <f t="shared" ref="NF202:NF206" si="907">IF(AND(R202="",O202=""),"",IF(AND(OR(O202&gt;0,R202&gt;0),RW202=""),"SD",IF(AND(OR(O202&gt;0,R202&gt;0),ID202&gt;0),SUM(ID202-RW202)/7,"")))</f>
        <v/>
      </c>
      <c r="NG202" s="43">
        <f t="shared" ref="NG202:NG248" si="908">IF(AND(AD202="",AE202="",AF202="",AG202="",AH202="",AI202="",AJ202=""),"",SUM(COUNTIF(AD202,"Hasta Antes de la Gestación")/2,SUM(COUNTIF(AE202,"NO")/2),COUNTIF(AF202,"NO"),SUM(COUNTIF(AG202,"SI")/2),COUNTIF(AH202,"SI"),SUM(COUNTIF(AJ202,"SI")*2),COUNTIF(AD202,"Consumo Actual"),COUNTIF(AI202,"HABITANTE DE CALLE"),COUNTIF(AI202,"DESPLAZADA"),COUNTIF(AI202,"MIGRATORIA"),COUNTIF(AI202,"DISCAPACIDAD FISICA"),COUNTIF(AI202,"DISCAPACIDAD CONDUCTUAL"),COUNTIF(AI202,"DISCAPACIDAD VISUAL"),COUNTIF(AI202,"DISCAPACIDAD AUDITIVA"),COUNTIF(AI202,"DISCAPACIDAD MULTIPLE"),COUNTIF(AI202,"DISCAPACIDAD SISTEMICA")))</f>
        <v>0</v>
      </c>
      <c r="NH202" s="43" t="str">
        <f t="shared" ref="NH202:NH248" si="909">IF(BX202&gt;0,BX202*7,"")</f>
        <v/>
      </c>
      <c r="NI20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CPN",P202="NO"),"Z",IF(AND(Tabla1[[#This Row],[CITA PROXIMO CONTROL]]="CITA MANUAL",Tabla1[[#This Row],[GESTANTES ACTUALES]]="ACTIVA INGRESO A CPN"),"W",IF(AND(Tabla1[[#This Row],[GESTANTES ACTUALES]]="SALIO PROGRAMA",IN202=""),"S",IF(AND(Tabla1[[#This Row],[CITA PROXIMO CONTROL]]&gt;0,IN202=""),(Tabla1[[#This Row],[CITA PROXIMO CONTROL]]-TODAY()),"SD"))))))))</f>
        <v>#REF!</v>
      </c>
      <c r="NJ202" s="43">
        <f>MONTH(Tabla1[[#This Row],[FECHA DE SALIDA  DEL PROGRAMA]])</f>
        <v>1</v>
      </c>
      <c r="NK202" s="43">
        <f>YEAR(Tabla1[[#This Row],[FECHA DE SALIDA  DEL PROGRAMA]])</f>
        <v>1900</v>
      </c>
      <c r="NL202" s="43" t="str">
        <f t="shared" ref="NL202:NL206" si="910">IF(AND(O202&gt;0,R202=""),"NO CPN",IF(AND(O202="",R202=""),"",IF(AND(R202&gt;0,EJ202&gt;0,EI202&gt;0),_xlfn.DAYS(EJ202,EI202),IF(AND(R202&gt;0,EJ202&gt;0,EI202=""),"NO CITA","X"))))</f>
        <v>X</v>
      </c>
      <c r="NM202" s="43" t="str">
        <f t="shared" ref="NM202:NM206" si="911">IF(AND(O202&gt;0,R202=""),"NO CPN",IF(AND(O202="",R202=""),"",IF(AND(EN202&lt;&gt;"",EX202&lt;&gt;"",FB202&lt;&gt;"",FK202&lt;&gt;"",FW202&lt;&gt;"",FZ202&lt;&gt;"",GO202&lt;&gt;"",GQ202&lt;&gt;"",GR202&lt;&gt;""),"SI","NO")))</f>
        <v>NO</v>
      </c>
      <c r="NN202" s="43" t="str">
        <f ca="1">IF(AND(O202&gt;0,R202=""),"NO CPN",IF(AND(O202="",R202=""),"",IF(AND(R202&gt;0,Tabla1[[#This Row],[SEMANAS DE GESTACION ACTUALIZADAS]]&lt;=12),"NO APLICA",IF(AND(FH202&lt;&gt;"",FN202&lt;&gt;""),"SI","NO"))))</f>
        <v>NO</v>
      </c>
      <c r="NO202" s="43" t="str">
        <f ca="1">IF(AND(O202&gt;0,R202=""),"NO CPN",IF(AND(O202="",R202=""),"",IF(AND(R202&gt;0,Tabla1[[#This Row],[SEMANAS DE GESTACION ACTUALIZADAS]]&lt;=27),"NO APLICA",IF(AND(ES202&lt;&gt;"",FQ202&lt;&gt;"",GF202&lt;&gt;""),"SI","NO"))))</f>
        <v>NO</v>
      </c>
      <c r="NP202" s="204" t="str">
        <f t="shared" ref="NP202:NP248" si="912">IF(AND(BS202="",IG202=""),"",IF(AND(BS202="",IG202="DEFINIR FPP POR ECO"),"SIN DATO",IF(BS202&lt;0,"ERROR FUM O INGRESO",IF(BP202="NO","DEFINIR CON ECO",IF(BS202&lt;12,"I TRIM",IF(BS202&lt;27,"II TRIM",IF(AND(BS202&gt;26,BS202&lt;45),"III TRIM","ERROR FUM O INGRESO")))))))</f>
        <v>I TRIM</v>
      </c>
      <c r="NQ202" s="21" t="str">
        <f>IF(AND(IP203&gt;0,IP203&lt;37),10,IF(OR(CD203="Transversa",CD203="Oblicua"),9,IF(CC203="SI",8,IF(AND(AT203=0,AW203=0,CC203="NO",CD203="Cefálica",IP203&gt;=37,IT203="INICIO ESPONTÁNEO"),1,IF(AND(AND(AT203=0,AW203=0,CC203="NO",CD203="Cefálica",IP203&gt;=37),OR(IT203="LE HACEN INDUCCIÓN",IT203="LE HACEN CESÁREA SIN INICIO TRABAJO DE PARTO")),2,IF(AND(AT203&gt;=1,AW203=0,CC203="NO",CD203="Cefálica",IP203&gt;=37,IT203="INICIO ESPONTÁNEO"),3,IF(AND(AND(AT203&gt;=1,AW203=0,CC203="NO",CD203="Cefálica",IP203&gt;=37),OR(IT203="LE HACEN INDUCCIÓN",IT203="LE HACEN CESÁREA SIN INICIO TRABAJO DE PARTO")),4,IF(AND(AND(AT203&gt;=1,AW203&gt;=1,CC203="NO",CD203="Cefálica",IP203&gt;=37),OR(IT203="LE HACEN INDUCCIÓN",IT203="LE HACEN CESÁREA SIN INICIO TRABAJO DE PARTO",IT203="INICIO ESPONTÁNEO")),5,IF(AND(AND(AT203=0,AW203=0,CC203="NO",CD203="Podálica",IP203&gt;=1),OR(IT203="LE HACEN INDUCCIÓN",IT203="LE HACEN CESÁREA SIN INICIO TRABAJO DE PARTO",IT203="INICIO ESPONTÁNEO")),6,IF(AND(AND(AT203&gt;=1,CC203="NO",CD203="Podálica",IP203&gt;=1),OR(IT203="LE HACEN INDUCCIÓN",IT203="LE HACEN CESÁREA SIN INICIO TRABAJO DE PARTO",IT203="INICIO ESPONTÁNEO"),OR(AW203=0,AW203&gt;=1)),7,""))))))))))</f>
        <v/>
      </c>
      <c r="NR202" s="21">
        <f t="shared" ref="NR202:NR206" ca="1" si="913">IF(AND(O202="",R202=""),"",IF(AND(BS202&gt;0,BS202&lt;12,IP202&gt;28,IP202&lt;44),3, IF(OR(AND(BS202&gt;=12,BS202&lt;28,IP202&gt;=28,IP202&lt;44),AND(BS202&gt;0,BS202&lt;12,IP202&gt;=12,IP202&lt;29)),2,IF(OR(AND(BS202&gt;=28,BS202&lt;44),AND(BS202&gt;0,BS202&lt;12,IP202&gt;0,IP202&lt;12),AND(BS202&gt;=12,BS202&lt;28,IP202&gt;=12,IP202&lt;28)),1,IF(AND(BS202&gt;0,BS202&lt;12,BU202&gt;=28,BU202&lt;44,DV202="ACTIVA INGRESO A CPN"),3,IF(OR(AND(BS202&gt;0,BS202&lt;12,BU202&gt;=12,BU202&lt;28,DV202="ACTIVA INGRESO A CPN"),AND(BS202&gt;=12,BS202&lt;28,BU202&gt;=28,BU202&lt;44,DV202="ACTIVA INGRESO A CPN")),2,IF(OR(AND(BS202&gt;0,BS202&lt;12,BU202&gt;0,BU202&lt;12,DV202="ACTIVA INGRESO A CPN"),AND(BS202&gt;=12,BS202&lt;28,BU202&gt;=12,BU202&lt;28,DV202="ACTIVA INGRESO A CPN")),1,"REVISAR FUM O FECHA SALIDA PROGRAMA")))))))</f>
        <v>3</v>
      </c>
      <c r="NS202" s="205">
        <f t="shared" ref="NS202:NS248" ca="1" si="914">COUNT(FL202,FO202,FR202,FT202)</f>
        <v>1</v>
      </c>
      <c r="NT202" s="21">
        <f t="shared" ref="NT202:NT248" ca="1" si="915">COUNT(GA202,GD202,GG202,GI202)</f>
        <v>1</v>
      </c>
      <c r="NU202" s="21" t="str">
        <f t="shared" ref="NU202:NU248" ca="1" si="916">IF(NR202="","",IF(NR202="REVISAR FUM O FECHA SALIDA PROGRAMA","POR DEFINIR",IF(OR(NR202=NS202,NS202&gt;NR202),"COMPLETO",IF(NS202&lt;NR202,"INCOMPLETO",""))))</f>
        <v>INCOMPLETO</v>
      </c>
      <c r="NV202" s="21" t="str">
        <f t="shared" ref="NV202:NV248" ca="1" si="917">IF(NR202="","",IF(NR202="REVISAR FUM O FECHA SALIDA PROGRAMA","POR DEFINIR",IF(OR(NR202=NT202,NT202&gt;NR202),"COMPLETO",IF(NT202&lt;NR202,"INCOMPLETO",""))))</f>
        <v>INCOMPLETO</v>
      </c>
      <c r="NW202" s="206" t="str">
        <f>IF(AND(O202="",R202=""),"",IF(OR(AND(Tabla1[[#This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02" s="207" t="str">
        <f t="shared" ref="NX202:NX206" ca="1" si="918">IF(AND(O202="",R202=""),"",IF(OR(IE202="VACUNA APLICADA ENTRE SEMANA 20 Y SEMANA 26",IE202="VACUNA APLICADA ENTRE SEMANA 27 Y EL PARTO",IE202="VACUNA APLICADA ANTES SEMANA 20"),"VACUNADA","SIN VACUNAR"))</f>
        <v>SIN VACUNAR</v>
      </c>
      <c r="NY202" s="43">
        <f>ROW(Tabla1[[#This Row],['# DE TAMIZAJES SIFILIS TOMADOS ]])</f>
        <v>202</v>
      </c>
      <c r="NZ202" s="43">
        <f t="shared" si="740"/>
        <v>10</v>
      </c>
      <c r="OA202" s="43" t="str">
        <f t="shared" si="741"/>
        <v/>
      </c>
      <c r="OB202" s="43" t="str">
        <f t="shared" si="742"/>
        <v>NORMAL</v>
      </c>
      <c r="OC202" s="43" t="str">
        <f t="shared" si="743"/>
        <v/>
      </c>
      <c r="OD202" s="43" t="str">
        <f t="shared" si="744"/>
        <v/>
      </c>
      <c r="OE202" s="43" t="str">
        <f t="shared" si="745"/>
        <v/>
      </c>
      <c r="OF202" s="43" t="str">
        <f t="shared" si="746"/>
        <v/>
      </c>
      <c r="OG202" s="43" t="str">
        <f t="shared" si="747"/>
        <v/>
      </c>
      <c r="OH202" s="43" t="str">
        <f t="shared" si="748"/>
        <v/>
      </c>
      <c r="OI202" s="43" t="str">
        <f t="shared" si="749"/>
        <v/>
      </c>
      <c r="OJ202" s="43" t="str">
        <f t="shared" si="750"/>
        <v/>
      </c>
      <c r="OK202" s="43" t="str">
        <f t="shared" si="751"/>
        <v/>
      </c>
      <c r="OL202" s="43" t="str">
        <f t="shared" si="752"/>
        <v/>
      </c>
      <c r="OM202" s="43" t="str">
        <f t="shared" si="753"/>
        <v/>
      </c>
      <c r="ON202" s="43" t="str">
        <f t="shared" si="754"/>
        <v/>
      </c>
      <c r="OO202" s="43" t="str">
        <f t="shared" si="755"/>
        <v/>
      </c>
      <c r="OP202" s="43" t="str">
        <f t="shared" si="756"/>
        <v/>
      </c>
      <c r="OQ202" s="43" t="str">
        <f t="shared" si="757"/>
        <v/>
      </c>
      <c r="OR202" s="43" t="str">
        <f t="shared" si="758"/>
        <v/>
      </c>
      <c r="OS202" s="43" t="str">
        <f t="shared" si="759"/>
        <v/>
      </c>
      <c r="OT202" s="43" t="str">
        <f t="shared" si="760"/>
        <v/>
      </c>
      <c r="OU202" s="43" t="str">
        <f t="shared" si="761"/>
        <v/>
      </c>
      <c r="OV202" s="110" t="str">
        <f t="shared" si="762"/>
        <v/>
      </c>
      <c r="OW202" s="43" t="str">
        <f t="shared" si="763"/>
        <v/>
      </c>
      <c r="OX202" s="43" t="str">
        <f t="shared" si="764"/>
        <v/>
      </c>
      <c r="OY202" s="43" t="str">
        <f t="shared" si="765"/>
        <v/>
      </c>
      <c r="OZ202" s="43" t="str">
        <f t="shared" si="766"/>
        <v/>
      </c>
      <c r="PA202" s="43" t="str">
        <f t="shared" si="767"/>
        <v/>
      </c>
      <c r="PB202" s="43" t="str">
        <f t="shared" si="768"/>
        <v/>
      </c>
      <c r="PC202" s="43" t="str">
        <f t="shared" si="769"/>
        <v/>
      </c>
      <c r="PD202" s="43" t="str">
        <f t="shared" si="770"/>
        <v/>
      </c>
      <c r="PE202" s="43" t="str">
        <f t="shared" si="771"/>
        <v/>
      </c>
      <c r="PF202" s="43" t="str">
        <f t="shared" si="772"/>
        <v/>
      </c>
      <c r="PG202" s="43" t="str">
        <f t="shared" si="773"/>
        <v/>
      </c>
      <c r="PH202" s="43" t="str">
        <f t="shared" si="774"/>
        <v/>
      </c>
      <c r="PI202" s="43">
        <f t="shared" si="775"/>
        <v>15</v>
      </c>
      <c r="PJ202" s="43" t="str">
        <f t="shared" si="776"/>
        <v/>
      </c>
      <c r="PK202" s="43" t="str">
        <f t="shared" si="777"/>
        <v/>
      </c>
      <c r="PL202" s="43" t="str">
        <f t="shared" si="778"/>
        <v/>
      </c>
      <c r="PM202" s="43" t="str">
        <f t="shared" si="779"/>
        <v/>
      </c>
      <c r="PN202" s="43" t="str">
        <f t="shared" si="780"/>
        <v/>
      </c>
      <c r="PO202" s="43" t="str">
        <f t="shared" si="781"/>
        <v/>
      </c>
      <c r="PP202" s="43" t="str">
        <f t="shared" si="782"/>
        <v>SOBREPESO</v>
      </c>
      <c r="PQ202" s="43" t="str">
        <f t="shared" si="783"/>
        <v/>
      </c>
      <c r="PR202" s="43" t="str">
        <f t="shared" si="784"/>
        <v/>
      </c>
      <c r="PS202" s="43" t="str">
        <f t="shared" si="785"/>
        <v/>
      </c>
      <c r="PT202" s="43" t="str">
        <f t="shared" si="786"/>
        <v/>
      </c>
      <c r="PU202" s="43" t="str">
        <f t="shared" si="787"/>
        <v/>
      </c>
      <c r="PV202" s="43" t="str">
        <f t="shared" si="788"/>
        <v/>
      </c>
      <c r="PW202" s="43" t="str">
        <f t="shared" si="789"/>
        <v/>
      </c>
      <c r="PX202" s="43" t="str">
        <f t="shared" si="790"/>
        <v/>
      </c>
      <c r="PY202" s="43" t="str">
        <f t="shared" si="791"/>
        <v/>
      </c>
      <c r="PZ202" s="43" t="str">
        <f t="shared" si="792"/>
        <v/>
      </c>
      <c r="QA202" s="43" t="str">
        <f t="shared" si="793"/>
        <v/>
      </c>
      <c r="QB202" s="43" t="str">
        <f t="shared" si="794"/>
        <v/>
      </c>
      <c r="QC202" s="43" t="str">
        <f t="shared" si="795"/>
        <v/>
      </c>
      <c r="QD202" s="43" t="str">
        <f t="shared" si="796"/>
        <v/>
      </c>
      <c r="QE202" s="43" t="str">
        <f t="shared" si="797"/>
        <v/>
      </c>
      <c r="QF202" s="43" t="str">
        <f t="shared" si="798"/>
        <v/>
      </c>
      <c r="QG202" s="43" t="str">
        <f t="shared" si="799"/>
        <v/>
      </c>
      <c r="QH202" s="43" t="str">
        <f t="shared" si="800"/>
        <v/>
      </c>
      <c r="QI202" s="43" t="str">
        <f t="shared" si="801"/>
        <v/>
      </c>
      <c r="QJ202" s="43" t="str">
        <f t="shared" si="802"/>
        <v/>
      </c>
      <c r="QK202" s="43" t="str">
        <f t="shared" si="803"/>
        <v/>
      </c>
      <c r="QL202" s="43" t="str">
        <f t="shared" si="804"/>
        <v/>
      </c>
      <c r="QM202" s="43" t="str">
        <f t="shared" si="805"/>
        <v/>
      </c>
      <c r="QN202" s="43" t="str">
        <f t="shared" si="806"/>
        <v/>
      </c>
      <c r="QO202" s="43" t="str">
        <f t="shared" si="807"/>
        <v/>
      </c>
      <c r="QP202" s="43" t="str">
        <f t="shared" si="808"/>
        <v/>
      </c>
      <c r="QQ202" s="43" t="str">
        <f t="shared" si="809"/>
        <v/>
      </c>
      <c r="QR202" s="43">
        <f t="shared" si="839"/>
        <v>15</v>
      </c>
      <c r="QS202" s="43"/>
      <c r="QT202" s="21" t="str">
        <f t="shared" si="810"/>
        <v/>
      </c>
      <c r="QU202" s="21" t="str">
        <f t="shared" si="811"/>
        <v/>
      </c>
      <c r="QV202" s="21" t="str">
        <f t="shared" si="812"/>
        <v>ADECUADO PARA EDAD GESTACIONAL</v>
      </c>
      <c r="QW202" s="21" t="str">
        <f t="shared" si="813"/>
        <v/>
      </c>
      <c r="QX202" s="21" t="str">
        <f t="shared" si="814"/>
        <v/>
      </c>
      <c r="QY202" s="21" t="str">
        <f t="shared" si="815"/>
        <v/>
      </c>
      <c r="QZ202" s="21" t="str">
        <f t="shared" si="816"/>
        <v/>
      </c>
      <c r="RA202" s="21" t="str">
        <f t="shared" si="817"/>
        <v/>
      </c>
      <c r="RB202" s="21" t="str">
        <f t="shared" si="818"/>
        <v/>
      </c>
      <c r="RC202" s="21" t="str">
        <f t="shared" si="819"/>
        <v/>
      </c>
      <c r="RD202" s="21" t="str">
        <f t="shared" si="820"/>
        <v/>
      </c>
      <c r="RE202" s="21" t="str">
        <f t="shared" si="821"/>
        <v/>
      </c>
      <c r="RF202" s="21" t="str">
        <f t="shared" si="822"/>
        <v/>
      </c>
      <c r="RG202" s="21" t="str">
        <f t="shared" si="823"/>
        <v/>
      </c>
      <c r="RH202" s="21" t="str">
        <f t="shared" si="824"/>
        <v/>
      </c>
      <c r="RI202" s="21" t="str">
        <f t="shared" si="825"/>
        <v/>
      </c>
      <c r="RJ202" s="21" t="str">
        <f t="shared" si="826"/>
        <v/>
      </c>
      <c r="RK202" s="21" t="str">
        <f t="shared" si="827"/>
        <v/>
      </c>
      <c r="RL202" s="21" t="str">
        <f t="shared" si="828"/>
        <v/>
      </c>
      <c r="RM202" s="21" t="str">
        <f t="shared" si="829"/>
        <v/>
      </c>
      <c r="RN202" s="21" t="str">
        <f t="shared" si="830"/>
        <v/>
      </c>
      <c r="RO202" s="21" t="str">
        <f t="shared" si="831"/>
        <v/>
      </c>
      <c r="RP202" s="21" t="str">
        <f t="shared" si="832"/>
        <v/>
      </c>
      <c r="RQ202" s="21" t="str">
        <f t="shared" si="833"/>
        <v/>
      </c>
      <c r="RR202" s="21" t="str">
        <f t="shared" si="834"/>
        <v/>
      </c>
      <c r="RS202" s="21" t="str">
        <f t="shared" si="835"/>
        <v/>
      </c>
      <c r="RT202" s="21" t="str">
        <f t="shared" si="836"/>
        <v/>
      </c>
      <c r="RU202" s="21" t="str">
        <f t="shared" si="837"/>
        <v/>
      </c>
      <c r="RV202" s="21">
        <f t="shared" si="838"/>
        <v>-1</v>
      </c>
      <c r="RW202" s="284">
        <f>IF(OR(Tabla1[[#This Row],[FUM FORMULA CONFIABLE]]="",Tabla1[[#This Row],[FUM FORMULA CONFIABLE]]="SD"),"",IF(Tabla1[[#This Row],[FUM FORMULA CONFIABLE]]="CORREGIDA",Tabla1[[#This Row],[FUM X ECO 1]],Tabla1[[#This Row],[FUM x AMENORREA]]))</f>
        <v>45026</v>
      </c>
      <c r="RX202" s="21" t="str">
        <f>IF(AND(Tabla1[[#This Row],[FUM X ECO 1]]="",Tabla1[[#This Row],[FUM x AMENORREA]]=""),"",IF(AND(Tabla1[[#This Row],[FUM X ECO 1]]="",Tabla1[[#This Row],[FUM x AMENORREA]]&lt;&gt;""),"X",SUM(Tabla1[[#This Row],[FUM X ECO 1]]-Tabla1[[#This Row],[FUM x AMENORREA]])))</f>
        <v>X</v>
      </c>
      <c r="RY202" s="21" t="str">
        <f t="shared" si="840"/>
        <v>x</v>
      </c>
    </row>
    <row r="203" spans="1:493" ht="45" customHeight="1" x14ac:dyDescent="0.25">
      <c r="A203" s="109"/>
      <c r="B203" s="43" t="s">
        <v>1555</v>
      </c>
      <c r="C203" s="43" t="s">
        <v>845</v>
      </c>
      <c r="D203" s="124"/>
      <c r="E203" s="43" t="s">
        <v>953</v>
      </c>
      <c r="F203" s="43" t="s">
        <v>1249</v>
      </c>
      <c r="G203" s="43" t="s">
        <v>1556</v>
      </c>
      <c r="H203" s="43"/>
      <c r="I203" s="109" t="s">
        <v>1094</v>
      </c>
      <c r="J203" s="110">
        <v>1059599873</v>
      </c>
      <c r="K203" s="43" t="s">
        <v>852</v>
      </c>
      <c r="L203" s="175" t="s">
        <v>1509</v>
      </c>
      <c r="M203" s="22">
        <v>40138</v>
      </c>
      <c r="N203" s="213">
        <f t="shared" ca="1" si="841"/>
        <v>13.956164383561644</v>
      </c>
      <c r="O203" s="22">
        <v>45120</v>
      </c>
      <c r="P203" s="214" t="str">
        <f t="shared" si="675"/>
        <v>SI</v>
      </c>
      <c r="Q203" s="26" t="s">
        <v>855</v>
      </c>
      <c r="R203" s="22">
        <v>45120</v>
      </c>
      <c r="S203" s="21" t="s">
        <v>856</v>
      </c>
      <c r="T203" s="24" t="s">
        <v>690</v>
      </c>
      <c r="U203" s="21" t="s">
        <v>857</v>
      </c>
      <c r="V203" s="21" t="s">
        <v>858</v>
      </c>
      <c r="W203" s="21" t="s">
        <v>1062</v>
      </c>
      <c r="X203" s="21" t="s">
        <v>1200</v>
      </c>
      <c r="Y203" s="21"/>
      <c r="Z203" s="21" t="s">
        <v>1554</v>
      </c>
      <c r="AA203" s="21" t="s">
        <v>860</v>
      </c>
      <c r="AB203" s="27" t="s">
        <v>861</v>
      </c>
      <c r="AC203" s="26" t="s">
        <v>862</v>
      </c>
      <c r="AD203" s="38" t="s">
        <v>1546</v>
      </c>
      <c r="AE203" s="26" t="s">
        <v>854</v>
      </c>
      <c r="AF203" s="26" t="s">
        <v>854</v>
      </c>
      <c r="AG203" s="23" t="s">
        <v>864</v>
      </c>
      <c r="AH203" s="23" t="s">
        <v>864</v>
      </c>
      <c r="AI203" s="24" t="s">
        <v>863</v>
      </c>
      <c r="AJ203" s="23" t="s">
        <v>864</v>
      </c>
      <c r="AK203" s="220" t="str">
        <f>IF(AND(AD203="",AE203="",AF203="",AG203="",AH203="",AI203="",AJ203=""),"",IF(OR(Tabla1[[#This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EVALUACIÓN",IF(AND(O203="",R203=""),"",IF(AND(OR(O203&gt;0,R203&gt;0),NG203&gt;=0,NG203&lt;2),"SIN RIESGO",IF(AND(OR(O203&gt;0,R203&gt;0),NG203&gt;=2),"CON RIESGO","ASD")))))</f>
        <v>SIN RIESGO</v>
      </c>
      <c r="AL203" s="23" t="s">
        <v>864</v>
      </c>
      <c r="AM203" s="26" t="s">
        <v>864</v>
      </c>
      <c r="AN203" s="26" t="s">
        <v>864</v>
      </c>
      <c r="AO203" s="26" t="s">
        <v>864</v>
      </c>
      <c r="AP203" s="26" t="s">
        <v>864</v>
      </c>
      <c r="AQ203" s="26" t="s">
        <v>864</v>
      </c>
      <c r="AR203" s="26" t="s">
        <v>864</v>
      </c>
      <c r="AS203" s="21">
        <v>0</v>
      </c>
      <c r="AT203" s="21">
        <v>0</v>
      </c>
      <c r="AU203" s="21">
        <v>0</v>
      </c>
      <c r="AV203" s="26" t="s">
        <v>864</v>
      </c>
      <c r="AW203" s="21">
        <v>0</v>
      </c>
      <c r="AX203" s="26" t="s">
        <v>864</v>
      </c>
      <c r="AY203" s="26" t="s">
        <v>864</v>
      </c>
      <c r="AZ203" s="26" t="s">
        <v>864</v>
      </c>
      <c r="BA203" s="26" t="s">
        <v>864</v>
      </c>
      <c r="BB203" s="26" t="s">
        <v>864</v>
      </c>
      <c r="BC203" s="26" t="s">
        <v>864</v>
      </c>
      <c r="BD203" s="26" t="s">
        <v>864</v>
      </c>
      <c r="BE203" s="26" t="s">
        <v>864</v>
      </c>
      <c r="BF203" s="26" t="s">
        <v>864</v>
      </c>
      <c r="BG203" s="26" t="s">
        <v>864</v>
      </c>
      <c r="BH203" s="26" t="s">
        <v>864</v>
      </c>
      <c r="BI203" s="26" t="s">
        <v>864</v>
      </c>
      <c r="BJ203" s="26" t="s">
        <v>864</v>
      </c>
      <c r="BK203" s="26" t="s">
        <v>864</v>
      </c>
      <c r="BL203" s="26" t="s">
        <v>864</v>
      </c>
      <c r="BM203" s="26" t="s">
        <v>864</v>
      </c>
      <c r="BN203" s="22"/>
      <c r="BO203" s="22">
        <v>45017</v>
      </c>
      <c r="BP203" s="21" t="s">
        <v>1380</v>
      </c>
      <c r="BQ203" s="222">
        <f t="shared" si="842"/>
        <v>0</v>
      </c>
      <c r="BR203" s="223">
        <f t="shared" si="843"/>
        <v>44981</v>
      </c>
      <c r="BS203" s="224">
        <f t="shared" si="844"/>
        <v>19.857142857142858</v>
      </c>
      <c r="BT203" s="294" t="str">
        <f t="shared" si="845"/>
        <v>II TRIM</v>
      </c>
      <c r="BU203" s="214">
        <f t="shared" ca="1" si="846"/>
        <v>35.857142857142854</v>
      </c>
      <c r="BV203" s="25" t="s">
        <v>988</v>
      </c>
      <c r="BW203" s="22">
        <v>45121</v>
      </c>
      <c r="BX203" s="28">
        <v>20</v>
      </c>
      <c r="BY203" s="25" t="s">
        <v>988</v>
      </c>
      <c r="BZ203" s="22">
        <v>45149</v>
      </c>
      <c r="CA203" s="21">
        <v>24</v>
      </c>
      <c r="CB203" s="26" t="s">
        <v>864</v>
      </c>
      <c r="CC203" s="26" t="s">
        <v>864</v>
      </c>
      <c r="CD203" s="26"/>
      <c r="CE203" s="26" t="s">
        <v>864</v>
      </c>
      <c r="CF203" s="22" t="s">
        <v>1517</v>
      </c>
      <c r="CG203" s="21">
        <v>1.49</v>
      </c>
      <c r="CH203" s="21">
        <v>56</v>
      </c>
      <c r="CI203" s="214">
        <f t="shared" si="847"/>
        <v>25.224089004999776</v>
      </c>
      <c r="CJ203" s="225" t="e">
        <f>IF(AND(CI203&lt;10,CH203="SD"),"SIN DATO PESO PREGESTACION O I TRIM",IF(AND(OR(R203&gt;0,O203&gt;0),CI203="X"),"INGRESAR DATO DE PESO",IF(CI203="SD","INGRESAR DATO DE TALLA Y PESO",IF(AND(OR(Tabla1[[#This Row],[MOMENTO EN QUE SE REALIZA EL PESO AL INGRESO A CPN]]="PREGESTACIÓN",NZ203="Menor"),CI203&lt;18.5),"BAJO PESO",IF(AND(OR(Tabla1[[#This Row],[MOMENTO EN QUE SE REALIZA EL PESO AL INGRESO A CPN]]="PREGESTACIÓN",NZ203="Menor"),CI203&lt;25),"NORMAL",IF(AND(OR(Tabla1[[#This Row],[MOMENTO EN QUE SE REALIZA EL PESO AL INGRESO A CPN]]="PREGESTACIÓN",NZ203="Menor"),CI203&lt;30),"SOBREPESO",IF(AND(OR(Tabla1[[#This Row],[MOMENTO EN QUE SE REALIZA EL PESO AL INGRESO A CPN]]="PREGESTACIÓN",NZ203="Menor"),CI203&gt;=30,CI203&lt;50),"OBESIDAD",IF(AND(BS203&gt;0,Tabla1[[#This Row],[MOMENTO EN QUE SE REALIZA EL PESO AL INGRESO A CPN]]="GESTACIÓN"),HLOOKUP(NZ203,$OA$2:PH203,NY203),""))))))))</f>
        <v>#REF!</v>
      </c>
      <c r="CK203" s="212">
        <f t="shared" si="848"/>
        <v>45149</v>
      </c>
      <c r="CL203" s="21">
        <v>58</v>
      </c>
      <c r="CM203" s="214">
        <f t="shared" si="849"/>
        <v>26.124949326606909</v>
      </c>
      <c r="CN203" s="216">
        <f t="shared" si="850"/>
        <v>24</v>
      </c>
      <c r="CO203" s="216" t="e">
        <f>IF(PI203="","",IF(PI203&gt;0,HLOOKUP(PI203,$PJ$2:QQ203,NY203),""))</f>
        <v>#REF!</v>
      </c>
      <c r="CP203" s="21">
        <v>22</v>
      </c>
      <c r="CQ203" s="216" t="e">
        <f>IF(QR203="Menor","NO APLICA-MENOR 13 SEM",IF(AND(CC203="SI",CN203&gt;23),"NO APLICA- GEMELAR",IF(QR203="","",IF(QR203&gt;0,HLOOKUP(QR203,$QS$2:RU203,NY203),""))))</f>
        <v>#REF!</v>
      </c>
      <c r="CR203" s="21"/>
      <c r="CS203" s="21"/>
      <c r="CT203" s="217" t="str">
        <f>IF(R203="","",IF(AND(BS203&gt;1,BS203&lt;12,Tabla1[[#This Row],[T.A. SISTOLICA - ANTES DE SEMANA 12]]="",Tabla1[[#This Row],[T.A. DIASTOLICA - ANTES DE SEMANA 12]]=""),"REGISTRE DATO TA ANTES SEMANA 12",IF(AND(BS203&gt;11,BS203&lt;43,Tabla1[[#This Row],[T.A. SISTOLICA - ANTES DE SEMANA 12]]="",Tabla1[[#This Row],[T.A. DIASTOLICA - ANTES DE SEMANA 12]]=""),"NO APLICA REGISTRO TA-INGRESO TARDIO",IF(AND(OR(O203&gt;0,R203&gt;0),OR(CR203&gt;=140,CS203&gt;=90)),"DEFINIR ESTADIO HTA",IF(AND(OR(O203&gt;0,R203&gt;0),AND(CR203&gt;120,CR203&lt;=139)),"PRE HTA SEGUIMIENTO",IF(AND(OR(O203&gt;0,R203&gt;0),AND(CS203&gt;80,CS203&lt;=89)),"PRE HTA SEGUIMIENTO",IF(AND(OR(O203&gt;0,R203&gt;0),AND(CR203&gt;=80,CR203&lt;=120)),"APARENTEMENTE NORMAL",IF(AND(OR(O203&gt;0,R203&gt;0),AND(CS203&gt;=50,CS203&lt;=80)),"APARENTEMENTE NORMAL",IF(AND(OR(O203&gt;0,R203&gt;0),AND(CR203&gt;1,CR203&lt;=70),AND(CS203&gt;1,CS203&lt;=40)),"HIPOTENSIÓN","")))))))))</f>
        <v>NO APLICA REGISTRO TA-INGRESO TARDIO</v>
      </c>
      <c r="CU203" s="21"/>
      <c r="CV203" s="21"/>
      <c r="CW203" s="217" t="str">
        <f>IF(R203="","",IF(AND(CN203&gt;19,CN203&lt;27,Tabla1[[#This Row],[T.A. SISTOLICA (Entre semana 20 y 26)]]="",Tabla1[[#This Row],[T.A. DIATOLICA (Entre semana 20 y 26)]]=""),"ACUDE A CONTROL SEM 20 A 26 REGISTRE TA AHORA",IF(AND(BS203&gt;1,BS203&lt;27,BU203&gt;19,Tabla1[[#This Row],[T.A. SISTOLICA (Entre semana 20 y 26)]]="",Tabla1[[#This Row],[T.A. DIATOLICA (Entre semana 20 y 26)]]=""),"COMPLETE REGISTRO TA CONTROL SEM 20 A26 ",IF(AND(BS203&gt;26,BS203&lt;43,Tabla1[[#This Row],[T.A. SISTOLICA (Entre semana 20 y 26)]]="",Tabla1[[#This Row],[T.A. DIATOLICA (Entre semana 20 y 26)]]=""),"NO APLICA REGISTRO TA-INGRESO TARDIO",IF(AND(OR(O203&gt;0,R203&gt;0),OR(CU203&gt;=140,CV203&gt;=90)),"ALTO RIESGO PREECLAMPSIA,DEFINIR ESTADIO HTA",IF(AND(OR(O203&gt;0,R203&gt;0),AND(CU203&gt;120,CU203&lt;=139)),"PRE HTA SEGUIMIENTO,RIESGO HIPERTENSION INDUCIDA POR EL EMBARAZO",IF(AND(OR(O203&gt;0,R203&gt;0),AND(CV203&gt;80,CV203&lt;=89)),"PRE HTA SEGUIMIENTO, RIESGO HIPERTENSION INDUCIDA POR EL EMBARAZO",IF(AND(OR(O203&lt;&gt;"",R203&lt;&gt;""),CS203&lt;&gt;"",CV203&lt;&gt;"",CS203&lt;=CV203),"VIGILAR CIFRAS PRESION ARTERIAL",IF(AND(OR(O203&gt;0,R203&gt;0),AND(CU203&gt;120,CU203&lt;=139)),"PRE HTA SEGUIMIENTO",IF(AND(OR(O203&gt;0,R203&gt;0),AND(CU203&gt;1,CU203&lt;=70),AND(CV203&gt;1,CV203&lt;=40)),"HIPOTENSIÓN",IF(AND(OR(O203&lt;&gt;"",R203&lt;&gt;""),CS203&lt;&gt;"",CV203&lt;&gt;"",CS203&gt;CV203),"APARENTEMENTE NORMAL",IF(AND(OR(O203&gt;0,R203&gt;0),AND(CU203&gt;=80,CU203&lt;=120)),"APARENTEMENTE NORMAL",IF(AND(OR(O203&gt;0,R203&gt;0),AND(CV203&gt;=50,CV203&lt;=80)),"APARENTEMENTE NORMAL","")))))))))))))</f>
        <v>ACUDE A CONTROL SEM 20 A 26 REGISTRE TA AHORA</v>
      </c>
      <c r="CX203" s="21"/>
      <c r="CY203" s="21"/>
      <c r="CZ203" s="216" t="str">
        <f>IF(R203="","",IF(AND(CN203&gt;31,CN203&lt;35,CX203="",CY203=""),"ACUDE A CONTROL SEM 30 A 34- REGISTRE AHORA",IF(AND(BS203&gt;34,BS203&lt;43,CX204="",CY204=""),"NO APLICA-INGRESO TARDIO",IF(AND(OR(O203&gt;0,R203&gt;0),OR(CX203&gt;=140,CY203&gt;=90)),"ESTUDIO INMEDIATO HTA PARA DESCARTAR PREECLAMSIA",IF(AND(OR(O203&gt;0,R203&gt;0),AND(CX203&gt;=130,CX203&lt;=139)),"PRE HTA,RIESGO ALTO PREECLAMPSIA",IF(AND(OR(O203&gt;0,R203&gt;0),AND(CY203&gt;80,CY203&lt;=89)),"PRE HTA,RIESGO ALTO PREECLAMPSIA",IF(AND(OR(O203&gt;0,R203&gt;0),AND(CX203&gt;120,CX203&lt;=129)),"RANGO PREHIPERTENSIVO SEGUIMIENTO HTA",IF(AND(OR(O203&lt;&gt;"",R203&lt;&gt;""),CS203&lt;&gt;"",CY203&lt;&gt;"",CS203&lt;CY203),"VIGILAR CIFRAS PRESION ARTERIAL",IF(AND(OR(O203&lt;&gt;"",R203&lt;&gt;""),CS203&lt;&gt;"",CY203&lt;&gt;"",CS203=CY203),"APARENTEMENTE NORMAL",IF(AND(OR(O203&gt;0,R203&gt;0),CX203&gt;=80,CX203&lt;=120),"APARENTEMENTE NORMAL",IF(AND(OR(O203&gt;0,R203&gt;0),CY203&gt;=50,CY203&lt;=80),"APARENTEMENTE NORMAL","")))))))))))</f>
        <v/>
      </c>
      <c r="DA203" s="21">
        <v>90</v>
      </c>
      <c r="DB203" s="21">
        <v>60</v>
      </c>
      <c r="DC203" s="217" t="str">
        <f t="shared" si="851"/>
        <v>APARENTEMENTE NORMAL</v>
      </c>
      <c r="DD203" s="22">
        <v>45120</v>
      </c>
      <c r="DE203" s="22">
        <v>45120</v>
      </c>
      <c r="DF203" s="22">
        <v>45149</v>
      </c>
      <c r="DG203" s="22"/>
      <c r="DH203" s="22"/>
      <c r="DI203" s="22"/>
      <c r="DJ203" s="22"/>
      <c r="DK203" s="22"/>
      <c r="DL203" s="22"/>
      <c r="DM203" s="22"/>
      <c r="DN203" s="22"/>
      <c r="DO203" s="22"/>
      <c r="DP203" s="22"/>
      <c r="DQ203" s="22"/>
      <c r="DR203" s="28"/>
      <c r="DS203" s="22"/>
      <c r="DT203" s="22"/>
      <c r="DU203" s="216" t="str">
        <f t="shared" ca="1" si="676"/>
        <v>CONCERTAR PLAN DE PARTO INMEDIATO</v>
      </c>
      <c r="DV203" s="226" t="str">
        <f t="shared" si="677"/>
        <v>ACTIVA INGRESO A CPN</v>
      </c>
      <c r="DW203"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03" s="216" t="e">
        <f t="shared" ca="1" si="852"/>
        <v>#REF!</v>
      </c>
      <c r="DY203" s="212">
        <f>IF(R203="","",IF(R203&gt;0,MAX(Tabla1[[#This Row],[FECHA C2]:[FECHA C13]],Tabla1[[#This Row],[FECHA CONSULTA PRIMERA VEZ PROGRAMA CPN ]])))</f>
        <v>45149</v>
      </c>
      <c r="DZ203" s="216">
        <f t="shared" si="853"/>
        <v>24</v>
      </c>
      <c r="EA203" s="222">
        <f>IF(R203&gt;0,SUM(COUNTA(DF203:DQ203)+COUNTA(Tabla1[[#This Row],[FECHA CONSULTA PRIMERA VEZ PROGRAMA CPN ]])),"")</f>
        <v>2</v>
      </c>
      <c r="EB203" s="222" t="str">
        <f t="shared" si="854"/>
        <v>NO</v>
      </c>
      <c r="EC203" s="214">
        <f t="shared" si="855"/>
        <v>7</v>
      </c>
      <c r="ED203" s="227">
        <f t="shared" si="856"/>
        <v>0.2857142857142857</v>
      </c>
      <c r="EE203" s="22">
        <v>45120</v>
      </c>
      <c r="EF203" s="22">
        <v>45120</v>
      </c>
      <c r="EG203" s="22">
        <v>45120</v>
      </c>
      <c r="EH203" s="22">
        <v>45131</v>
      </c>
      <c r="EI203" s="22">
        <v>45120</v>
      </c>
      <c r="EJ203" s="22">
        <v>45131</v>
      </c>
      <c r="EK203" s="22">
        <v>45131</v>
      </c>
      <c r="EL203" s="21">
        <v>1</v>
      </c>
      <c r="EM203" s="21">
        <v>11.8</v>
      </c>
      <c r="EN203" s="22">
        <v>45120</v>
      </c>
      <c r="EO203" s="222">
        <f t="shared" si="857"/>
        <v>19.857142857142858</v>
      </c>
      <c r="EP203" s="214" t="str">
        <f t="shared" si="858"/>
        <v>NORMAL- SUMINISTRAR SULFATO FERROSO</v>
      </c>
      <c r="EQ203" s="216" t="str">
        <f t="shared" si="859"/>
        <v>II TRIM</v>
      </c>
      <c r="ER203" s="24"/>
      <c r="ES203" s="32"/>
      <c r="ET203" s="29" t="str">
        <f t="shared" ca="1" si="678"/>
        <v>TOMA DE HEMOGLOBINA TARDÍA</v>
      </c>
      <c r="EU203" s="25" t="str">
        <f t="shared" si="860"/>
        <v/>
      </c>
      <c r="EV203" s="24" t="s">
        <v>1510</v>
      </c>
      <c r="EW203" s="32">
        <v>45121</v>
      </c>
      <c r="EX203" s="22"/>
      <c r="EY203" s="29">
        <f t="shared" si="693"/>
        <v>20</v>
      </c>
      <c r="EZ203" s="25" t="str">
        <f t="shared" si="694"/>
        <v>SIN RIESGO DE ISOINMUNIZACIÓN</v>
      </c>
      <c r="FA203" s="21">
        <v>70</v>
      </c>
      <c r="FB203" s="32">
        <v>45121</v>
      </c>
      <c r="FC203" s="29">
        <f t="shared" si="861"/>
        <v>20</v>
      </c>
      <c r="FD203" s="29"/>
      <c r="FE203" s="29"/>
      <c r="FF203" s="29"/>
      <c r="FG203" s="21" t="str">
        <f t="shared" ca="1" si="862"/>
        <v>TOMAR PTOG</v>
      </c>
      <c r="FH203" s="31"/>
      <c r="FI203" s="29" t="str">
        <f t="shared" si="863"/>
        <v>TOMAR EXAMEN</v>
      </c>
      <c r="FJ203" s="22"/>
      <c r="FK203" s="22"/>
      <c r="FL203" s="29" t="str">
        <f t="shared" ca="1" si="864"/>
        <v>NO APLICA-INGRESO TARDIO</v>
      </c>
      <c r="FM203" s="22" t="s">
        <v>867</v>
      </c>
      <c r="FN203" s="32">
        <v>45121</v>
      </c>
      <c r="FO203" s="29">
        <f t="shared" ca="1" si="679"/>
        <v>20</v>
      </c>
      <c r="FP203" s="22"/>
      <c r="FQ203" s="32"/>
      <c r="FR203" s="29" t="str">
        <f t="shared" ca="1" si="680"/>
        <v>TOMA INMEDIATA DE TAMIZAJE</v>
      </c>
      <c r="FS203" s="22"/>
      <c r="FT203" s="32"/>
      <c r="FU203" s="29" t="str">
        <f>IF(AND(FJ203="",FM203="",FP203="",FS203=""),"",IF(OR(OR(Tabla1[[#This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03" s="28"/>
      <c r="FW203" s="22"/>
      <c r="FX203" s="29" t="str">
        <f t="shared" si="865"/>
        <v>TOMAR EXAMEN</v>
      </c>
      <c r="FY203" s="22"/>
      <c r="FZ203" s="22"/>
      <c r="GA203" s="29" t="str">
        <f t="shared" ca="1" si="739"/>
        <v>NO APLICA-INGRESO TARDIO</v>
      </c>
      <c r="GB203" s="22" t="s">
        <v>868</v>
      </c>
      <c r="GC203" s="22">
        <v>45121</v>
      </c>
      <c r="GD203" s="29">
        <f t="shared" ca="1" si="732"/>
        <v>20</v>
      </c>
      <c r="GE203" s="22"/>
      <c r="GF203" s="22"/>
      <c r="GG203" s="29" t="str">
        <f t="shared" ca="1" si="682"/>
        <v>TOMA INMEDIATA DE TAMIZAJE</v>
      </c>
      <c r="GH203" s="22"/>
      <c r="GI203" s="29"/>
      <c r="GJ203" s="22"/>
      <c r="GK203" s="22"/>
      <c r="GL203" s="22"/>
      <c r="GM203" s="22"/>
      <c r="GN203" s="28" t="s">
        <v>869</v>
      </c>
      <c r="GO203" s="22">
        <v>45121</v>
      </c>
      <c r="GP203" s="29">
        <f t="shared" si="866"/>
        <v>20</v>
      </c>
      <c r="GQ203" s="28"/>
      <c r="GR203" s="28" t="s">
        <v>869</v>
      </c>
      <c r="GS203" s="22" t="str">
        <f t="shared" si="728"/>
        <v/>
      </c>
      <c r="GT203" s="22">
        <v>45121</v>
      </c>
      <c r="GU203" s="29">
        <f t="shared" si="867"/>
        <v>14.857142857142858</v>
      </c>
      <c r="GV203" s="21" t="str">
        <f t="shared" si="868"/>
        <v>II TRIM</v>
      </c>
      <c r="GW203" s="28"/>
      <c r="GX203" s="30"/>
      <c r="GY203" s="21"/>
      <c r="GZ203" s="21"/>
      <c r="HA203" s="21"/>
      <c r="HB203" s="21"/>
      <c r="HC203" s="21"/>
      <c r="HD203" s="21"/>
      <c r="HE203" s="21"/>
      <c r="HF203" s="22"/>
      <c r="HG203" s="22" t="str">
        <f>IF(OR(O203&gt;0,R203&gt;0),CONCATENATE(IF(Tabla1[[#This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03" s="22" t="e">
        <f t="shared" si="869"/>
        <v>#REF!</v>
      </c>
      <c r="HI203" s="22" t="e">
        <f t="shared" ca="1" si="870"/>
        <v>#REF!</v>
      </c>
      <c r="HJ203" s="21" t="str">
        <f t="shared" ca="1" si="871"/>
        <v>**********************MULTIPARIDAD**RIESGO POR EDAD***************</v>
      </c>
      <c r="HK203" s="21" t="str">
        <f t="shared" si="872"/>
        <v>SIN ANTECEDENTES DE RIESGO</v>
      </c>
      <c r="HL203" s="24" t="str">
        <f t="shared" si="873"/>
        <v>APARENTEMENTE NORMAL</v>
      </c>
      <c r="HM203" s="21" t="e">
        <f t="shared" ca="1" si="874"/>
        <v>#REF!</v>
      </c>
      <c r="HN203" s="30" t="str">
        <f t="shared" si="683"/>
        <v>ACTIVA INGRESO A CPN</v>
      </c>
      <c r="HO203" s="21"/>
      <c r="HP203" s="21"/>
      <c r="HQ203" s="349"/>
      <c r="HR203" s="21" t="str">
        <f>IF(R203="","",IF(Tabla1[[#This Row],[ALARMA FACTORES DE RIESGO COMPLICACIONES HIPERTENSIVAS3]]="SIN ANTECEDENTES DE RIESGO","No Aplica para suministro de ASA",IF(AND(Tabla1[[#This Row],[FECHA INICIO DE SUMINISTRO DE ASA]]&gt;0,RV203&lt;12),"Inicia ASA ANTES de Sem 12",IF(AND(RV203&gt;11,RV203&lt;17,OR(HK203="RIESGO ALTO DE COMPLICACIONES HIPERTENSIVAS VER MANEJO GUIA SUMINISTRO ASA Y CALCIO",HK203="RIESGO MODERADO (2 O MAS CRITERIOS) VER MANEJO GUIA SUMINISTRO ASA Y CALCIO")),"Inicio oportuno de ASA",IF(AND(RV203&gt;12,OR(HK203="RIESGO ALTO DE COMPLICACIONES HIPERTENSIVAS VER MANEJO GUIA SUMINISTRO ASA Y CALCIO",HK203="RIESGO MODERADO (2 O MAS CRITERIOS) VER MANEJO GUIA SUMINISTRO ASA Y CALCIO")),"Inicio no oportuno mayor a 16 semanas",IF(AND(BU203&lt;12,OR(HK203="RIESGO ALTO DE COMPLICACIONES HIPERTENSIVAS VER MANEJO GUIA SUMINISTRO ASA Y CALCIO",HK203="RIESGO MODERADO (2 O MAS CRITERIOS) VER MANEJO GUIA SUMINISTRO ASA Y CALCIO")),"Pendiente Inicio de ASA a la semana 12",IF(AND(BU203&gt;11,BU203&lt;17,OR(HK203="RIESGO ALTO DE COMPLICACIONES HIPERTENSIVAS VER MANEJO GUIA SUMINISTRO ASA Y CALCIO",HK203="RIESGO MODERADO (2 O MAS CRITERIOS) VER MANEJO GUIA SUMINISTRO ASA Y CALCIO")),"Iniciar de inmediato ASA",IF(AND(BU203&gt;16,OR(HK203="RIESGO ALTO DE COMPLICACIONES HIPERTENSIVAS VER MANEJO GUIA SUMINISTRO ASA Y CALCIO",HK203="RIESGO MODERADO (2 O MAS CRITERIOS) VER MANEJO GUIA SUMINISTRO ASA Y CALCIO")),"Pierde Oportunidad, Inicio tardío de ASA","XXXXX"))))))))</f>
        <v>No Aplica para suministro de ASA</v>
      </c>
      <c r="HS203" s="22">
        <v>45120</v>
      </c>
      <c r="HT203" s="22" t="s">
        <v>935</v>
      </c>
      <c r="HU203" s="22">
        <v>45120</v>
      </c>
      <c r="HV203" s="22" t="s">
        <v>1523</v>
      </c>
      <c r="HW203" s="22">
        <v>45120</v>
      </c>
      <c r="HX203" s="22" t="s">
        <v>1511</v>
      </c>
      <c r="HY203" s="22"/>
      <c r="HZ203" s="28" t="str">
        <f t="shared" si="875"/>
        <v>PENDIENTE CONSULTA</v>
      </c>
      <c r="IA203" s="26"/>
      <c r="IB203" s="26"/>
      <c r="IC203" s="111"/>
      <c r="ID203" s="22"/>
      <c r="IE203" s="22" t="str">
        <f t="shared" ca="1" si="876"/>
        <v>INASISTENTE</v>
      </c>
      <c r="IF203" s="22"/>
      <c r="IG203" s="22">
        <f t="shared" si="877"/>
        <v>45261</v>
      </c>
      <c r="IH203" s="29">
        <f t="shared" ca="1" si="878"/>
        <v>29</v>
      </c>
      <c r="II203" s="22" t="str">
        <f t="shared" ca="1" si="879"/>
        <v>PENDIENTE</v>
      </c>
      <c r="IJ203" s="22"/>
      <c r="IK203" s="21"/>
      <c r="IL203" s="21"/>
      <c r="IM203" s="34"/>
      <c r="IN203" s="22"/>
      <c r="IO203" s="21"/>
      <c r="IP203" s="29" t="str">
        <f t="shared" si="880"/>
        <v/>
      </c>
      <c r="IQ203" s="35"/>
      <c r="IR203" s="21"/>
      <c r="IS203" s="21"/>
      <c r="IT203" s="21"/>
      <c r="IU203" s="21"/>
      <c r="IV203" s="21"/>
      <c r="IW203" s="21"/>
      <c r="IX203" s="21"/>
      <c r="IY203" s="21"/>
      <c r="IZ203" s="21"/>
      <c r="JA203" s="21"/>
      <c r="JB203" s="30"/>
      <c r="JC203" s="21"/>
      <c r="JD203" s="36"/>
      <c r="JE203" s="21" t="str">
        <f t="shared" si="881"/>
        <v/>
      </c>
      <c r="JF203" s="30"/>
      <c r="JG203" s="21"/>
      <c r="JH203" s="21"/>
      <c r="JI203" s="21"/>
      <c r="JJ203" s="30"/>
      <c r="JK203" s="22"/>
      <c r="JL203" s="22"/>
      <c r="JM203" s="21"/>
      <c r="JN203" s="36"/>
      <c r="JO203" s="21" t="str">
        <f t="shared" si="882"/>
        <v/>
      </c>
      <c r="JP203" s="22"/>
      <c r="JQ203" s="21"/>
      <c r="JR203" s="21"/>
      <c r="JS203" s="21"/>
      <c r="JT203" s="30"/>
      <c r="JU203" s="22"/>
      <c r="JV203" s="22"/>
      <c r="JW203" s="33"/>
      <c r="JX203" s="28" t="str">
        <f t="shared" si="883"/>
        <v/>
      </c>
      <c r="JY203" s="33"/>
      <c r="JZ203" s="28" t="str">
        <f t="shared" si="884"/>
        <v/>
      </c>
      <c r="KA203" s="21"/>
      <c r="KB203" s="21"/>
      <c r="KC203" s="21"/>
      <c r="KD203" s="37"/>
      <c r="KE203" s="28"/>
      <c r="KF203" s="28"/>
      <c r="KG203" s="28"/>
      <c r="KH203" s="39"/>
      <c r="KI203" s="39"/>
      <c r="KJ203" s="66"/>
      <c r="KK203" s="39"/>
      <c r="KL203" s="39"/>
      <c r="KM203" s="66"/>
      <c r="KN203" s="39"/>
      <c r="KO203" s="39"/>
      <c r="KP203" s="39"/>
      <c r="KQ203" s="39"/>
      <c r="KR203" s="39"/>
      <c r="KS203" s="39"/>
      <c r="KT203" s="39"/>
      <c r="KU203" s="38"/>
      <c r="KV203" s="38"/>
      <c r="KW203" s="38"/>
      <c r="KX203" s="38"/>
      <c r="KY203" s="38"/>
      <c r="KZ203" s="38"/>
      <c r="LA203" s="38"/>
      <c r="LB203" s="38"/>
      <c r="LC203" s="38"/>
      <c r="LD203" s="38"/>
      <c r="LE203" s="38"/>
      <c r="LF203" s="38"/>
      <c r="LG203" s="38"/>
      <c r="LH203" s="38"/>
      <c r="LI203" s="38"/>
      <c r="LJ203" s="38"/>
      <c r="LK203" s="38"/>
      <c r="LL203" s="38"/>
      <c r="LM203" s="38"/>
      <c r="LN203" s="38"/>
      <c r="LO203" s="38"/>
      <c r="LP203" s="38"/>
      <c r="LQ203" s="38"/>
      <c r="LR203" s="38"/>
      <c r="LS203" s="38"/>
      <c r="LT203" s="38"/>
      <c r="LU203" s="38"/>
      <c r="LV203" s="38"/>
      <c r="LW203" s="38"/>
      <c r="LX203" s="38"/>
      <c r="LY203" s="38"/>
      <c r="LZ203" s="38"/>
      <c r="MA203" s="38"/>
      <c r="MB203" s="38"/>
      <c r="MC203" s="38"/>
      <c r="MD203" s="38"/>
      <c r="ME203" s="38"/>
      <c r="MF203" s="38"/>
      <c r="MG203" s="38"/>
      <c r="MH203" s="43">
        <f t="shared" si="885"/>
        <v>0</v>
      </c>
      <c r="MI203" s="43" t="str">
        <f t="shared" si="886"/>
        <v/>
      </c>
      <c r="MJ203" s="43" t="str">
        <f t="shared" si="887"/>
        <v/>
      </c>
      <c r="MK203" s="43">
        <f t="shared" si="888"/>
        <v>0</v>
      </c>
      <c r="ML20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03" s="43">
        <f t="shared" si="889"/>
        <v>19.857142857142858</v>
      </c>
      <c r="MN203" s="43">
        <f t="shared" si="890"/>
        <v>7</v>
      </c>
      <c r="MO203" s="43">
        <f t="shared" si="891"/>
        <v>2023</v>
      </c>
      <c r="MP203" s="43" t="str">
        <f t="shared" si="892"/>
        <v>III TRIMESTRE AÑO</v>
      </c>
      <c r="MQ203" s="43">
        <f t="shared" si="893"/>
        <v>13.447218572054313</v>
      </c>
      <c r="MR203" s="43">
        <f t="shared" si="894"/>
        <v>2</v>
      </c>
      <c r="MS203" s="43" t="str">
        <f t="shared" si="895"/>
        <v>MENOR 14 AÑOS</v>
      </c>
      <c r="MT203" s="43">
        <f t="shared" si="896"/>
        <v>0</v>
      </c>
      <c r="MU203" s="43">
        <f t="shared" si="897"/>
        <v>1</v>
      </c>
      <c r="MV203" s="43">
        <f t="shared" si="898"/>
        <v>0</v>
      </c>
      <c r="MW203" s="43">
        <f t="shared" si="899"/>
        <v>0</v>
      </c>
      <c r="MX203" s="43" t="str">
        <f t="shared" si="900"/>
        <v/>
      </c>
      <c r="MY203" s="43" t="str">
        <f t="shared" ca="1" si="901"/>
        <v/>
      </c>
      <c r="MZ203" s="43" t="str">
        <f t="shared" si="902"/>
        <v/>
      </c>
      <c r="NA203" s="43" t="str">
        <f t="shared" si="903"/>
        <v/>
      </c>
      <c r="NB203" s="43" t="str">
        <f t="shared" si="904"/>
        <v/>
      </c>
      <c r="NC203" s="43" t="str">
        <f t="shared" si="905"/>
        <v/>
      </c>
      <c r="ND203" s="43">
        <f t="shared" ca="1" si="906"/>
        <v>3</v>
      </c>
      <c r="NE203" s="43">
        <f>IF(OR(O203&gt;0,R203&gt;0),SUM(COUNTIF(Tabla1[[#This Row],[AÑOS AL INICIO5 CPN]],"&gt;=40"),COUNTIF(AS203,"0"),COUNTIF(AR203,"SI"),COUNTIF(CC203,"SI"),COUNTIF(BQ203,"&gt;119"),COUNTIF(CI203,"&gt;=35")),"")</f>
        <v>1</v>
      </c>
      <c r="NF203" s="43" t="str">
        <f t="shared" si="907"/>
        <v/>
      </c>
      <c r="NG203" s="43">
        <f t="shared" si="908"/>
        <v>0</v>
      </c>
      <c r="NH203" s="43">
        <f t="shared" si="909"/>
        <v>140</v>
      </c>
      <c r="NI20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CPN",P203="NO"),"Z",IF(AND(Tabla1[[#This Row],[CITA PROXIMO CONTROL]]="CITA MANUAL",Tabla1[[#This Row],[GESTANTES ACTUALES]]="ACTIVA INGRESO A CPN"),"W",IF(AND(Tabla1[[#This Row],[GESTANTES ACTUALES]]="SALIO PROGRAMA",IN203=""),"S",IF(AND(Tabla1[[#This Row],[CITA PROXIMO CONTROL]]&gt;0,IN203=""),(Tabla1[[#This Row],[CITA PROXIMO CONTROL]]-TODAY()),"SD"))))))))</f>
        <v>#REF!</v>
      </c>
      <c r="NJ203" s="43">
        <f>MONTH(Tabla1[[#This Row],[FECHA DE SALIDA  DEL PROGRAMA]])</f>
        <v>1</v>
      </c>
      <c r="NK203" s="43">
        <f>YEAR(Tabla1[[#This Row],[FECHA DE SALIDA  DEL PROGRAMA]])</f>
        <v>1900</v>
      </c>
      <c r="NL203" s="43">
        <f t="shared" si="910"/>
        <v>11</v>
      </c>
      <c r="NM203" s="43" t="str">
        <f t="shared" si="911"/>
        <v>NO</v>
      </c>
      <c r="NN203" s="43" t="str">
        <f ca="1">IF(AND(O203&gt;0,R203=""),"NO CPN",IF(AND(O203="",R203=""),"",IF(AND(R203&gt;0,Tabla1[[#This Row],[SEMANAS DE GESTACION ACTUALIZADAS]]&lt;=12),"NO APLICA",IF(AND(FH203&lt;&gt;"",FN203&lt;&gt;""),"SI","NO"))))</f>
        <v>NO</v>
      </c>
      <c r="NO203" s="43" t="str">
        <f ca="1">IF(AND(O203&gt;0,R203=""),"NO CPN",IF(AND(O203="",R203=""),"",IF(AND(R203&gt;0,Tabla1[[#This Row],[SEMANAS DE GESTACION ACTUALIZADAS]]&lt;=27),"NO APLICA",IF(AND(ES203&lt;&gt;"",FQ203&lt;&gt;"",GF203&lt;&gt;""),"SI","NO"))))</f>
        <v>NO</v>
      </c>
      <c r="NP203" s="204" t="str">
        <f t="shared" si="912"/>
        <v>II TRIM</v>
      </c>
      <c r="NQ203" s="21" t="str">
        <f>IF(AND(IP204&gt;0,IP204&lt;37),10,IF(OR(CD204="Transversa",CD204="Oblicua"),9,IF(CC204="SI",8,IF(AND(AT204=0,AW204=0,CC204="NO",CD204="Cefálica",IP204&gt;=37,IT204="INICIO ESPONTÁNEO"),1,IF(AND(AND(AT204=0,AW204=0,CC204="NO",CD204="Cefálica",IP204&gt;=37),OR(IT204="LE HACEN INDUCCIÓN",IT204="LE HACEN CESÁREA SIN INICIO TRABAJO DE PARTO")),2,IF(AND(AT204&gt;=1,AW204=0,CC204="NO",CD204="Cefálica",IP204&gt;=37,IT204="INICIO ESPONTÁNEO"),3,IF(AND(AND(AT204&gt;=1,AW204=0,CC204="NO",CD204="Cefálica",IP204&gt;=37),OR(IT204="LE HACEN INDUCCIÓN",IT204="LE HACEN CESÁREA SIN INICIO TRABAJO DE PARTO")),4,IF(AND(AND(AT204&gt;=1,AW204&gt;=1,CC204="NO",CD204="Cefálica",IP204&gt;=37),OR(IT204="LE HACEN INDUCCIÓN",IT204="LE HACEN CESÁREA SIN INICIO TRABAJO DE PARTO",IT204="INICIO ESPONTÁNEO")),5,IF(AND(AND(AT204=0,AW204=0,CC204="NO",CD204="Podálica",IP204&gt;=1),OR(IT204="LE HACEN INDUCCIÓN",IT204="LE HACEN CESÁREA SIN INICIO TRABAJO DE PARTO",IT204="INICIO ESPONTÁNEO")),6,IF(AND(AND(AT204&gt;=1,CC204="NO",CD204="Podálica",IP204&gt;=1),OR(IT204="LE HACEN INDUCCIÓN",IT204="LE HACEN CESÁREA SIN INICIO TRABAJO DE PARTO",IT204="INICIO ESPONTÁNEO"),OR(AW204=0,AW204&gt;=1)),7,""))))))))))</f>
        <v/>
      </c>
      <c r="NR203" s="21">
        <f t="shared" ca="1" si="913"/>
        <v>2</v>
      </c>
      <c r="NS203" s="205">
        <f t="shared" ca="1" si="914"/>
        <v>1</v>
      </c>
      <c r="NT203" s="21">
        <f t="shared" ca="1" si="915"/>
        <v>1</v>
      </c>
      <c r="NU203" s="21" t="str">
        <f t="shared" ca="1" si="916"/>
        <v>INCOMPLETO</v>
      </c>
      <c r="NV203" s="21" t="str">
        <f t="shared" ca="1" si="917"/>
        <v>INCOMPLETO</v>
      </c>
      <c r="NW203" s="206" t="str">
        <f>IF(AND(O203="",R203=""),"",IF(OR(AND(Tabla1[[#This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03" s="207" t="str">
        <f t="shared" ca="1" si="918"/>
        <v>SIN VACUNAR</v>
      </c>
      <c r="NY203" s="43">
        <f>ROW(Tabla1[[#This Row],['# DE TAMIZAJES SIFILIS TOMADOS ]])</f>
        <v>203</v>
      </c>
      <c r="NZ203" s="43">
        <f t="shared" si="740"/>
        <v>19</v>
      </c>
      <c r="OA203" s="43" t="str">
        <f t="shared" si="741"/>
        <v/>
      </c>
      <c r="OB203" s="43" t="str">
        <f t="shared" si="742"/>
        <v/>
      </c>
      <c r="OC203" s="43" t="str">
        <f t="shared" si="743"/>
        <v/>
      </c>
      <c r="OD203" s="43" t="str">
        <f t="shared" si="744"/>
        <v/>
      </c>
      <c r="OE203" s="43" t="str">
        <f t="shared" si="745"/>
        <v/>
      </c>
      <c r="OF203" s="43" t="str">
        <f t="shared" si="746"/>
        <v/>
      </c>
      <c r="OG203" s="43" t="str">
        <f t="shared" si="747"/>
        <v/>
      </c>
      <c r="OH203" s="43" t="str">
        <f t="shared" si="748"/>
        <v/>
      </c>
      <c r="OI203" s="43" t="str">
        <f t="shared" si="749"/>
        <v/>
      </c>
      <c r="OJ203" s="43" t="str">
        <f t="shared" si="750"/>
        <v/>
      </c>
      <c r="OK203" s="43" t="str">
        <f t="shared" si="751"/>
        <v>NORMAL</v>
      </c>
      <c r="OL203" s="43" t="str">
        <f t="shared" si="752"/>
        <v/>
      </c>
      <c r="OM203" s="43" t="str">
        <f t="shared" si="753"/>
        <v/>
      </c>
      <c r="ON203" s="43" t="str">
        <f t="shared" si="754"/>
        <v/>
      </c>
      <c r="OO203" s="43" t="str">
        <f t="shared" si="755"/>
        <v/>
      </c>
      <c r="OP203" s="43" t="str">
        <f t="shared" si="756"/>
        <v/>
      </c>
      <c r="OQ203" s="43" t="str">
        <f t="shared" si="757"/>
        <v/>
      </c>
      <c r="OR203" s="43" t="str">
        <f t="shared" si="758"/>
        <v/>
      </c>
      <c r="OS203" s="43" t="str">
        <f t="shared" si="759"/>
        <v/>
      </c>
      <c r="OT203" s="43" t="str">
        <f t="shared" si="760"/>
        <v/>
      </c>
      <c r="OU203" s="43" t="str">
        <f t="shared" si="761"/>
        <v/>
      </c>
      <c r="OV203" s="110" t="str">
        <f t="shared" si="762"/>
        <v/>
      </c>
      <c r="OW203" s="43" t="str">
        <f t="shared" si="763"/>
        <v/>
      </c>
      <c r="OX203" s="43" t="str">
        <f t="shared" si="764"/>
        <v/>
      </c>
      <c r="OY203" s="43" t="str">
        <f t="shared" si="765"/>
        <v/>
      </c>
      <c r="OZ203" s="43" t="str">
        <f t="shared" si="766"/>
        <v/>
      </c>
      <c r="PA203" s="43" t="str">
        <f t="shared" si="767"/>
        <v/>
      </c>
      <c r="PB203" s="43" t="str">
        <f t="shared" si="768"/>
        <v/>
      </c>
      <c r="PC203" s="43" t="str">
        <f t="shared" si="769"/>
        <v/>
      </c>
      <c r="PD203" s="43" t="str">
        <f t="shared" si="770"/>
        <v/>
      </c>
      <c r="PE203" s="43" t="str">
        <f t="shared" si="771"/>
        <v/>
      </c>
      <c r="PF203" s="43" t="str">
        <f t="shared" si="772"/>
        <v/>
      </c>
      <c r="PG203" s="43" t="str">
        <f t="shared" si="773"/>
        <v/>
      </c>
      <c r="PH203" s="43" t="str">
        <f t="shared" si="774"/>
        <v/>
      </c>
      <c r="PI203" s="43">
        <f t="shared" si="775"/>
        <v>24</v>
      </c>
      <c r="PJ203" s="43" t="str">
        <f t="shared" si="776"/>
        <v/>
      </c>
      <c r="PK203" s="43" t="str">
        <f t="shared" si="777"/>
        <v/>
      </c>
      <c r="PL203" s="43" t="str">
        <f t="shared" si="778"/>
        <v/>
      </c>
      <c r="PM203" s="43" t="str">
        <f t="shared" si="779"/>
        <v/>
      </c>
      <c r="PN203" s="43" t="str">
        <f t="shared" si="780"/>
        <v/>
      </c>
      <c r="PO203" s="43" t="str">
        <f t="shared" si="781"/>
        <v/>
      </c>
      <c r="PP203" s="43" t="str">
        <f t="shared" si="782"/>
        <v/>
      </c>
      <c r="PQ203" s="43" t="str">
        <f t="shared" si="783"/>
        <v/>
      </c>
      <c r="PR203" s="43" t="str">
        <f t="shared" si="784"/>
        <v/>
      </c>
      <c r="PS203" s="43" t="str">
        <f t="shared" si="785"/>
        <v/>
      </c>
      <c r="PT203" s="43" t="str">
        <f t="shared" si="786"/>
        <v/>
      </c>
      <c r="PU203" s="43" t="str">
        <f t="shared" si="787"/>
        <v/>
      </c>
      <c r="PV203" s="43" t="str">
        <f t="shared" si="788"/>
        <v/>
      </c>
      <c r="PW203" s="43" t="str">
        <f t="shared" si="789"/>
        <v/>
      </c>
      <c r="PX203" s="43" t="str">
        <f t="shared" si="790"/>
        <v/>
      </c>
      <c r="PY203" s="43" t="str">
        <f t="shared" si="791"/>
        <v>NORMAL</v>
      </c>
      <c r="PZ203" s="43" t="str">
        <f t="shared" si="792"/>
        <v/>
      </c>
      <c r="QA203" s="43" t="str">
        <f t="shared" si="793"/>
        <v/>
      </c>
      <c r="QB203" s="43" t="str">
        <f t="shared" si="794"/>
        <v/>
      </c>
      <c r="QC203" s="43" t="str">
        <f t="shared" si="795"/>
        <v/>
      </c>
      <c r="QD203" s="43" t="str">
        <f t="shared" si="796"/>
        <v/>
      </c>
      <c r="QE203" s="43" t="str">
        <f t="shared" si="797"/>
        <v/>
      </c>
      <c r="QF203" s="43" t="str">
        <f t="shared" si="798"/>
        <v/>
      </c>
      <c r="QG203" s="43" t="str">
        <f t="shared" si="799"/>
        <v/>
      </c>
      <c r="QH203" s="43" t="str">
        <f t="shared" si="800"/>
        <v/>
      </c>
      <c r="QI203" s="43" t="str">
        <f t="shared" si="801"/>
        <v/>
      </c>
      <c r="QJ203" s="43" t="str">
        <f t="shared" si="802"/>
        <v/>
      </c>
      <c r="QK203" s="43" t="str">
        <f t="shared" si="803"/>
        <v/>
      </c>
      <c r="QL203" s="43" t="str">
        <f t="shared" si="804"/>
        <v/>
      </c>
      <c r="QM203" s="43" t="str">
        <f t="shared" si="805"/>
        <v/>
      </c>
      <c r="QN203" s="43" t="str">
        <f t="shared" si="806"/>
        <v/>
      </c>
      <c r="QO203" s="43" t="str">
        <f t="shared" si="807"/>
        <v/>
      </c>
      <c r="QP203" s="43" t="str">
        <f t="shared" si="808"/>
        <v/>
      </c>
      <c r="QQ203" s="43" t="str">
        <f t="shared" si="809"/>
        <v/>
      </c>
      <c r="QR203" s="43">
        <f t="shared" si="839"/>
        <v>24</v>
      </c>
      <c r="QS203" s="43"/>
      <c r="QT203" s="21" t="str">
        <f t="shared" si="810"/>
        <v/>
      </c>
      <c r="QU203" s="21" t="str">
        <f t="shared" si="811"/>
        <v/>
      </c>
      <c r="QV203" s="21" t="str">
        <f t="shared" si="812"/>
        <v/>
      </c>
      <c r="QW203" s="21" t="str">
        <f t="shared" si="813"/>
        <v/>
      </c>
      <c r="QX203" s="21" t="str">
        <f t="shared" si="814"/>
        <v/>
      </c>
      <c r="QY203" s="21" t="str">
        <f t="shared" si="815"/>
        <v/>
      </c>
      <c r="QZ203" s="21" t="str">
        <f t="shared" si="816"/>
        <v/>
      </c>
      <c r="RA203" s="21" t="str">
        <f t="shared" si="817"/>
        <v/>
      </c>
      <c r="RB203" s="21" t="str">
        <f t="shared" si="818"/>
        <v/>
      </c>
      <c r="RC203" s="21" t="str">
        <f t="shared" si="819"/>
        <v/>
      </c>
      <c r="RD203" s="21" t="str">
        <f t="shared" si="820"/>
        <v/>
      </c>
      <c r="RE203" s="21" t="str">
        <f t="shared" si="821"/>
        <v>ADECUADO PARA EDAD GESTACIONAL</v>
      </c>
      <c r="RF203" s="21" t="str">
        <f t="shared" si="822"/>
        <v/>
      </c>
      <c r="RG203" s="21" t="str">
        <f t="shared" si="823"/>
        <v/>
      </c>
      <c r="RH203" s="21" t="str">
        <f t="shared" si="824"/>
        <v/>
      </c>
      <c r="RI203" s="21" t="str">
        <f t="shared" si="825"/>
        <v/>
      </c>
      <c r="RJ203" s="21" t="str">
        <f t="shared" si="826"/>
        <v/>
      </c>
      <c r="RK203" s="21" t="str">
        <f t="shared" si="827"/>
        <v/>
      </c>
      <c r="RL203" s="21" t="str">
        <f t="shared" si="828"/>
        <v/>
      </c>
      <c r="RM203" s="21" t="str">
        <f t="shared" si="829"/>
        <v/>
      </c>
      <c r="RN203" s="21" t="str">
        <f t="shared" si="830"/>
        <v/>
      </c>
      <c r="RO203" s="21" t="str">
        <f t="shared" si="831"/>
        <v/>
      </c>
      <c r="RP203" s="21" t="str">
        <f t="shared" si="832"/>
        <v/>
      </c>
      <c r="RQ203" s="21" t="str">
        <f t="shared" si="833"/>
        <v/>
      </c>
      <c r="RR203" s="21" t="str">
        <f t="shared" si="834"/>
        <v/>
      </c>
      <c r="RS203" s="21" t="str">
        <f t="shared" si="835"/>
        <v/>
      </c>
      <c r="RT203" s="21" t="str">
        <f t="shared" si="836"/>
        <v/>
      </c>
      <c r="RU203" s="21" t="str">
        <f t="shared" si="837"/>
        <v/>
      </c>
      <c r="RV203" s="21">
        <f t="shared" si="838"/>
        <v>-1</v>
      </c>
      <c r="RW203" s="284">
        <f>IF(OR(Tabla1[[#This Row],[FUM FORMULA CONFIABLE]]="",Tabla1[[#This Row],[FUM FORMULA CONFIABLE]]="SD"),"",IF(Tabla1[[#This Row],[FUM FORMULA CONFIABLE]]="CORREGIDA",Tabla1[[#This Row],[FUM X ECO 1]],Tabla1[[#This Row],[FUM x AMENORREA]]))</f>
        <v>44981</v>
      </c>
      <c r="RX203" s="21">
        <f>IF(AND(Tabla1[[#This Row],[FUM X ECO 1]]="",Tabla1[[#This Row],[FUM x AMENORREA]]=""),"",IF(AND(Tabla1[[#This Row],[FUM X ECO 1]]="",Tabla1[[#This Row],[FUM x AMENORREA]]&lt;&gt;""),"X",SUM(Tabla1[[#This Row],[FUM X ECO 1]]-Tabla1[[#This Row],[FUM x AMENORREA]])))</f>
        <v>-36</v>
      </c>
      <c r="RY203" s="21">
        <f t="shared" si="840"/>
        <v>1</v>
      </c>
    </row>
    <row r="204" spans="1:493" ht="45" customHeight="1" x14ac:dyDescent="0.25">
      <c r="A204" s="109" t="s">
        <v>1561</v>
      </c>
      <c r="B204" s="43" t="s">
        <v>1558</v>
      </c>
      <c r="C204" s="43" t="s">
        <v>845</v>
      </c>
      <c r="D204" s="124"/>
      <c r="E204" s="43" t="s">
        <v>996</v>
      </c>
      <c r="F204" s="43" t="s">
        <v>1559</v>
      </c>
      <c r="G204" s="43" t="s">
        <v>1560</v>
      </c>
      <c r="H204" s="43"/>
      <c r="I204" s="109" t="s">
        <v>851</v>
      </c>
      <c r="J204" s="110">
        <v>25552089</v>
      </c>
      <c r="K204" s="43" t="s">
        <v>852</v>
      </c>
      <c r="L204" s="175" t="s">
        <v>1509</v>
      </c>
      <c r="M204" s="22">
        <v>28912</v>
      </c>
      <c r="N204" s="213">
        <f t="shared" ca="1" si="841"/>
        <v>44.712328767123289</v>
      </c>
      <c r="O204" s="22">
        <v>45118</v>
      </c>
      <c r="P204" s="214" t="str">
        <f t="shared" ref="P204:P248" si="919">IF(AND(O204="",R204&gt;0),"ACUDE ESPONTANEAMENTE",IF(AND(AND(O204&gt;0,R204=""),OR(IN204&gt;0,IK204&lt;&gt;"")),"NA",IF(AND(O204&gt;0,IN204="",R204=""),"NO",IF(AND(O204&gt;0,R204&gt;0),"SI",""))))</f>
        <v>SI</v>
      </c>
      <c r="Q204" s="26" t="s">
        <v>855</v>
      </c>
      <c r="R204" s="22">
        <v>45118</v>
      </c>
      <c r="S204" s="21" t="s">
        <v>856</v>
      </c>
      <c r="T204" s="24" t="s">
        <v>690</v>
      </c>
      <c r="U204" s="21" t="s">
        <v>857</v>
      </c>
      <c r="V204" s="21" t="s">
        <v>858</v>
      </c>
      <c r="W204" s="21" t="s">
        <v>1062</v>
      </c>
      <c r="X204" s="21" t="s">
        <v>1624</v>
      </c>
      <c r="Y204" s="21"/>
      <c r="Z204" s="21" t="s">
        <v>1557</v>
      </c>
      <c r="AA204" s="21" t="s">
        <v>860</v>
      </c>
      <c r="AB204" s="27" t="s">
        <v>861</v>
      </c>
      <c r="AC204" s="26" t="s">
        <v>862</v>
      </c>
      <c r="AD204" s="38" t="s">
        <v>1546</v>
      </c>
      <c r="AE204" s="26" t="s">
        <v>854</v>
      </c>
      <c r="AF204" s="26" t="s">
        <v>854</v>
      </c>
      <c r="AG204" s="23" t="s">
        <v>864</v>
      </c>
      <c r="AH204" s="23" t="s">
        <v>864</v>
      </c>
      <c r="AI204" s="24" t="s">
        <v>863</v>
      </c>
      <c r="AJ204" s="23" t="s">
        <v>864</v>
      </c>
      <c r="AK204" s="220" t="str">
        <f>IF(AND(AD204="",AE204="",AF204="",AG204="",AH204="",AI204="",AJ204=""),"",IF(OR(Tabla1[[#This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EVALUACIÓN",IF(AND(O204="",R204=""),"",IF(AND(OR(O204&gt;0,R204&gt;0),NG204&gt;=0,NG204&lt;2),"SIN RIESGO",IF(AND(OR(O204&gt;0,R204&gt;0),NG204&gt;=2),"CON RIESGO","ASD")))))</f>
        <v>SIN RIESGO</v>
      </c>
      <c r="AL204" s="23" t="s">
        <v>864</v>
      </c>
      <c r="AM204" s="26" t="s">
        <v>864</v>
      </c>
      <c r="AN204" s="26" t="s">
        <v>864</v>
      </c>
      <c r="AO204" s="26" t="s">
        <v>864</v>
      </c>
      <c r="AP204" s="26" t="s">
        <v>864</v>
      </c>
      <c r="AQ204" s="26" t="s">
        <v>864</v>
      </c>
      <c r="AR204" s="26" t="s">
        <v>864</v>
      </c>
      <c r="AS204" s="21">
        <v>3</v>
      </c>
      <c r="AT204" s="21">
        <v>3</v>
      </c>
      <c r="AU204" s="21">
        <v>0</v>
      </c>
      <c r="AV204" s="26" t="s">
        <v>864</v>
      </c>
      <c r="AW204" s="21">
        <v>0</v>
      </c>
      <c r="AX204" s="26" t="s">
        <v>864</v>
      </c>
      <c r="AY204" s="26" t="s">
        <v>864</v>
      </c>
      <c r="AZ204" s="26" t="s">
        <v>864</v>
      </c>
      <c r="BA204" s="26" t="s">
        <v>864</v>
      </c>
      <c r="BB204" s="26" t="s">
        <v>864</v>
      </c>
      <c r="BC204" s="26" t="s">
        <v>864</v>
      </c>
      <c r="BD204" s="26" t="s">
        <v>864</v>
      </c>
      <c r="BE204" s="26" t="s">
        <v>864</v>
      </c>
      <c r="BF204" s="26" t="s">
        <v>864</v>
      </c>
      <c r="BG204" s="26" t="s">
        <v>864</v>
      </c>
      <c r="BH204" s="26" t="s">
        <v>864</v>
      </c>
      <c r="BI204" s="26" t="s">
        <v>864</v>
      </c>
      <c r="BJ204" s="26" t="s">
        <v>864</v>
      </c>
      <c r="BK204" s="26" t="s">
        <v>864</v>
      </c>
      <c r="BL204" s="26" t="s">
        <v>864</v>
      </c>
      <c r="BM204" s="26" t="s">
        <v>864</v>
      </c>
      <c r="BN204" s="22">
        <v>40964</v>
      </c>
      <c r="BO204" s="22">
        <v>45030</v>
      </c>
      <c r="BP204" s="21" t="s">
        <v>854</v>
      </c>
      <c r="BQ204" s="222">
        <f t="shared" si="842"/>
        <v>135.53333333333333</v>
      </c>
      <c r="BR204" s="223">
        <f t="shared" si="843"/>
        <v>45030</v>
      </c>
      <c r="BS204" s="224">
        <f t="shared" si="844"/>
        <v>12.571428571428571</v>
      </c>
      <c r="BT204" s="294" t="str">
        <f t="shared" si="845"/>
        <v>II TRIM</v>
      </c>
      <c r="BU204" s="214">
        <f t="shared" ca="1" si="846"/>
        <v>28.857142857142858</v>
      </c>
      <c r="BV204" s="25" t="s">
        <v>988</v>
      </c>
      <c r="BW204" s="22">
        <v>45121</v>
      </c>
      <c r="BX204" s="28">
        <v>13</v>
      </c>
      <c r="BY204" s="28"/>
      <c r="BZ204" s="22"/>
      <c r="CA204" s="21"/>
      <c r="CB204" s="26" t="s">
        <v>864</v>
      </c>
      <c r="CC204" s="26" t="s">
        <v>864</v>
      </c>
      <c r="CD204" s="26"/>
      <c r="CE204" s="26" t="s">
        <v>864</v>
      </c>
      <c r="CF204" s="22" t="s">
        <v>1517</v>
      </c>
      <c r="CG204" s="21">
        <v>1.55</v>
      </c>
      <c r="CH204" s="21">
        <v>61</v>
      </c>
      <c r="CI204" s="214">
        <f t="shared" si="847"/>
        <v>25.390218522372525</v>
      </c>
      <c r="CJ204" s="225" t="e">
        <f>IF(AND(CI204&lt;10,CH204="SD"),"SIN DATO PESO PREGESTACION O I TRIM",IF(AND(OR(R204&gt;0,O204&gt;0),CI204="X"),"INGRESAR DATO DE PESO",IF(CI204="SD","INGRESAR DATO DE TALLA Y PESO",IF(AND(OR(Tabla1[[#This Row],[MOMENTO EN QUE SE REALIZA EL PESO AL INGRESO A CPN]]="PREGESTACIÓN",NZ204="Menor"),CI204&lt;18.5),"BAJO PESO",IF(AND(OR(Tabla1[[#This Row],[MOMENTO EN QUE SE REALIZA EL PESO AL INGRESO A CPN]]="PREGESTACIÓN",NZ204="Menor"),CI204&lt;25),"NORMAL",IF(AND(OR(Tabla1[[#This Row],[MOMENTO EN QUE SE REALIZA EL PESO AL INGRESO A CPN]]="PREGESTACIÓN",NZ204="Menor"),CI204&lt;30),"SOBREPESO",IF(AND(OR(Tabla1[[#This Row],[MOMENTO EN QUE SE REALIZA EL PESO AL INGRESO A CPN]]="PREGESTACIÓN",NZ204="Menor"),CI204&gt;=30,CI204&lt;50),"OBESIDAD",IF(AND(BS204&gt;0,Tabla1[[#This Row],[MOMENTO EN QUE SE REALIZA EL PESO AL INGRESO A CPN]]="GESTACIÓN"),HLOOKUP(NZ204,$OA$2:PH204,NY204),""))))))))</f>
        <v>#REF!</v>
      </c>
      <c r="CK204" s="212">
        <f t="shared" si="848"/>
        <v>45118</v>
      </c>
      <c r="CL204" s="21">
        <v>61</v>
      </c>
      <c r="CM204" s="214">
        <f t="shared" si="849"/>
        <v>25.390218522372525</v>
      </c>
      <c r="CN204" s="216">
        <f t="shared" si="850"/>
        <v>12</v>
      </c>
      <c r="CO204" s="216" t="e">
        <f>IF(PI204="","",IF(PI204&gt;0,HLOOKUP(PI204,$PJ$2:QQ204,NY204),""))</f>
        <v>#REF!</v>
      </c>
      <c r="CP204" s="21">
        <v>13.6</v>
      </c>
      <c r="CQ204" s="216" t="str">
        <f>IF(QR204="Menor","NO APLICA-MENOR 13 SEM",IF(AND(CC204="SI",CN204&gt;23),"NO APLICA- GEMELAR",IF(QR204="","",IF(QR204&gt;0,HLOOKUP(QR204,$QS$2:RU204,NY204),""))))</f>
        <v>NO APLICA-MENOR 13 SEM</v>
      </c>
      <c r="CR204" s="21">
        <v>90</v>
      </c>
      <c r="CS204" s="21">
        <v>60</v>
      </c>
      <c r="CT204" s="217" t="str">
        <f>IF(R204="","",IF(AND(BS204&gt;1,BS204&lt;12,Tabla1[[#This Row],[T.A. SISTOLICA - ANTES DE SEMANA 12]]="",Tabla1[[#This Row],[T.A. DIASTOLICA - ANTES DE SEMANA 12]]=""),"REGISTRE DATO TA ANTES SEMANA 12",IF(AND(BS204&gt;11,BS204&lt;43,Tabla1[[#This Row],[T.A. SISTOLICA - ANTES DE SEMANA 12]]="",Tabla1[[#This Row],[T.A. DIASTOLICA - ANTES DE SEMANA 12]]=""),"NO APLICA REGISTRO TA-INGRESO TARDIO",IF(AND(OR(O204&gt;0,R204&gt;0),OR(CR204&gt;=140,CS204&gt;=90)),"DEFINIR ESTADIO HTA",IF(AND(OR(O204&gt;0,R204&gt;0),AND(CR204&gt;120,CR204&lt;=139)),"PRE HTA SEGUIMIENTO",IF(AND(OR(O204&gt;0,R204&gt;0),AND(CS204&gt;80,CS204&lt;=89)),"PRE HTA SEGUIMIENTO",IF(AND(OR(O204&gt;0,R204&gt;0),AND(CR204&gt;=80,CR204&lt;=120)),"APARENTEMENTE NORMAL",IF(AND(OR(O204&gt;0,R204&gt;0),AND(CS204&gt;=50,CS204&lt;=80)),"APARENTEMENTE NORMAL",IF(AND(OR(O204&gt;0,R204&gt;0),AND(CR204&gt;1,CR204&lt;=70),AND(CS204&gt;1,CS204&lt;=40)),"HIPOTENSIÓN","")))))))))</f>
        <v>APARENTEMENTE NORMAL</v>
      </c>
      <c r="CU204" s="21"/>
      <c r="CV204" s="21"/>
      <c r="CW204" s="217" t="str">
        <f ca="1">IF(R204="","",IF(AND(CN204&gt;19,CN204&lt;27,Tabla1[[#This Row],[T.A. SISTOLICA (Entre semana 20 y 26)]]="",Tabla1[[#This Row],[T.A. DIATOLICA (Entre semana 20 y 26)]]=""),"ACUDE A CONTROL SEM 20 A 26 REGISTRE TA AHORA",IF(AND(BS204&gt;1,BS204&lt;27,BU204&gt;19,Tabla1[[#This Row],[T.A. SISTOLICA (Entre semana 20 y 26)]]="",Tabla1[[#This Row],[T.A. DIATOLICA (Entre semana 20 y 26)]]=""),"COMPLETE REGISTRO TA CONTROL SEM 20 A26 ",IF(AND(BS204&gt;26,BS204&lt;43,Tabla1[[#This Row],[T.A. SISTOLICA (Entre semana 20 y 26)]]="",Tabla1[[#This Row],[T.A. DIATOLICA (Entre semana 20 y 26)]]=""),"NO APLICA REGISTRO TA-INGRESO TARDIO",IF(AND(OR(O204&gt;0,R204&gt;0),OR(CU204&gt;=140,CV204&gt;=90)),"ALTO RIESGO PREECLAMPSIA,DEFINIR ESTADIO HTA",IF(AND(OR(O204&gt;0,R204&gt;0),AND(CU204&gt;120,CU204&lt;=139)),"PRE HTA SEGUIMIENTO,RIESGO HIPERTENSION INDUCIDA POR EL EMBARAZO",IF(AND(OR(O204&gt;0,R204&gt;0),AND(CV204&gt;80,CV204&lt;=89)),"PRE HTA SEGUIMIENTO, RIESGO HIPERTENSION INDUCIDA POR EL EMBARAZO",IF(AND(OR(O204&lt;&gt;"",R204&lt;&gt;""),CS204&lt;&gt;"",CV204&lt;&gt;"",CS204&lt;=CV204),"VIGILAR CIFRAS PRESION ARTERIAL",IF(AND(OR(O204&gt;0,R204&gt;0),AND(CU204&gt;120,CU204&lt;=139)),"PRE HTA SEGUIMIENTO",IF(AND(OR(O204&gt;0,R204&gt;0),AND(CU204&gt;1,CU204&lt;=70),AND(CV204&gt;1,CV204&lt;=40)),"HIPOTENSIÓN",IF(AND(OR(O204&lt;&gt;"",R204&lt;&gt;""),CS204&lt;&gt;"",CV204&lt;&gt;"",CS204&gt;CV204),"APARENTEMENTE NORMAL",IF(AND(OR(O204&gt;0,R204&gt;0),AND(CU204&gt;=80,CU204&lt;=120)),"APARENTEMENTE NORMAL",IF(AND(OR(O204&gt;0,R204&gt;0),AND(CV204&gt;=50,CV204&lt;=80)),"APARENTEMENTE NORMAL","")))))))))))))</f>
        <v xml:space="preserve">COMPLETE REGISTRO TA CONTROL SEM 20 A26 </v>
      </c>
      <c r="CX204" s="21"/>
      <c r="CY204" s="21"/>
      <c r="CZ204" s="216" t="str">
        <f>IF(R204="","",IF(AND(CN204&gt;31,CN204&lt;35,CX204="",CY204=""),"ACUDE A CONTROL SEM 30 A 34- REGISTRE AHORA",IF(AND(BS204&gt;34,BS204&lt;43,CX205="",CY205=""),"NO APLICA-INGRESO TARDIO",IF(AND(OR(O204&gt;0,R204&gt;0),OR(CX204&gt;=140,CY204&gt;=90)),"ESTUDIO INMEDIATO HTA PARA DESCARTAR PREECLAMSIA",IF(AND(OR(O204&gt;0,R204&gt;0),AND(CX204&gt;=130,CX204&lt;=139)),"PRE HTA,RIESGO ALTO PREECLAMPSIA",IF(AND(OR(O204&gt;0,R204&gt;0),AND(CY204&gt;80,CY204&lt;=89)),"PRE HTA,RIESGO ALTO PREECLAMPSIA",IF(AND(OR(O204&gt;0,R204&gt;0),AND(CX204&gt;120,CX204&lt;=129)),"RANGO PREHIPERTENSIVO SEGUIMIENTO HTA",IF(AND(OR(O204&lt;&gt;"",R204&lt;&gt;""),CS204&lt;&gt;"",CY204&lt;&gt;"",CS204&lt;CY204),"VIGILAR CIFRAS PRESION ARTERIAL",IF(AND(OR(O204&lt;&gt;"",R204&lt;&gt;""),CS204&lt;&gt;"",CY204&lt;&gt;"",CS204=CY204),"APARENTEMENTE NORMAL",IF(AND(OR(O204&gt;0,R204&gt;0),CX204&gt;=80,CX204&lt;=120),"APARENTEMENTE NORMAL",IF(AND(OR(O204&gt;0,R204&gt;0),CY204&gt;=50,CY204&lt;=80),"APARENTEMENTE NORMAL","")))))))))))</f>
        <v/>
      </c>
      <c r="DA204" s="21">
        <v>90</v>
      </c>
      <c r="DB204" s="21">
        <v>60</v>
      </c>
      <c r="DC204" s="217" t="str">
        <f t="shared" si="851"/>
        <v>APARENTEMENTE NORMAL</v>
      </c>
      <c r="DD204" s="22">
        <v>45118</v>
      </c>
      <c r="DE204" s="22">
        <v>45118</v>
      </c>
      <c r="DF204" s="22"/>
      <c r="DG204" s="22"/>
      <c r="DH204" s="22"/>
      <c r="DI204" s="22"/>
      <c r="DJ204" s="22"/>
      <c r="DK204" s="22"/>
      <c r="DL204" s="22"/>
      <c r="DM204" s="22"/>
      <c r="DN204" s="22"/>
      <c r="DO204" s="22"/>
      <c r="DP204" s="22"/>
      <c r="DQ204" s="22"/>
      <c r="DR204" s="28"/>
      <c r="DS204" s="22"/>
      <c r="DT204" s="22"/>
      <c r="DU204" s="216" t="str">
        <f t="shared" ref="DU204:DU248" ca="1" si="920">IF(AND(BT204="ERROR FUM O INGRESO",DS204&gt;0),"ERROR FUM O INGRESO",IF(AND(DS204="",R204="",O204=""),"",IF(OR(AND(DS204&lt;&gt;"",DS204&lt;RW204),AND(DS204&lt;&gt;"",AND(SUM((DS204-RW204)/7)&gt;0,SUM((DS204-RW204)/7)&lt;28))),"PLAN REALIZADO ANTES III TRIM", IF(AND(DS204="",OR(O204&gt;0,R204&gt;0),AND(BU204&gt;=28, BU204&lt;35,DV204="ACTIVA INGRESO A CPN")),"PLANEAR PLAN DE PARTO", IF(AND(DS204="",OR(O204&gt;0,R204&gt;0),BU204&gt;=35,DV204="ACTIVA INGRESO A CPN"),"CONCERTAR PLAN DE PARTO INMEDIATO", IF(AND(DS204="",OR(O204&gt;0,R204&gt;0),AND(BU204&gt;0, BU204&lt;28),OR(DV204="ACTIVA INGRESO A CPN", DV204=" ACTIVA SIN INGRESO CPN")),"EN ESPERA", IF(AND(DS204="",OR(O204&gt;0,R204&gt;0),AND(IP204&gt;0, IP204&lt;28)),"NO APLICA SALE PROGRAMA ANTES III TRIM", IF(AND(DS204="",OR(O204&gt;0,R204&gt;0),AND(IP204&gt;=28, IP204&lt;35)),"SALE PROGRAMA ANTES SEMANA 35", IF(AND(DS204="",OR(O204&gt;0,R204&gt;0),IP204&gt;35),"SALE SIN PLAN DE PARTO",IF(DS204&gt;0,SUM(DS204-BO204)/7,""))))))))))</f>
        <v>PLANEAR PLAN DE PARTO</v>
      </c>
      <c r="DV204" s="226" t="str">
        <f t="shared" ref="DV204:DV248" si="921">IF(AND(R204&lt;&gt;"",IK204="CAMBIO DE RESIDENCIA",IK204="CAMBIO DE IPS",IK204="CAMBIO DE EPS"),"SEGUIMIENTO REPORTE EPS",IF(IK204="IVE","IVE",IF(AND(R204&lt;&gt;"",OR(IK204&lt;&gt;"",IN204&lt;&gt;"")),"SALIO PROGRAMA",IF(AND(AND(R204="",O204&gt;0),OR(IK204&lt;&gt;"",IN204&lt;&gt;"")),"SALE SIN INGRESO CPN",IF(AND(R204="",O204&gt;0,IK204="",IN204=""),"ACTIVA SIN INGRESO CPN",IF(AND(R204&lt;&gt;"",OR(IK204="",IN204="")),"ACTIVA INGRESO A CPN",""))))))</f>
        <v>ACTIVA INGRESO A CPN</v>
      </c>
      <c r="DW20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04" s="216" t="e">
        <f t="shared" ca="1" si="852"/>
        <v>#REF!</v>
      </c>
      <c r="DY204" s="212">
        <f>IF(R204="","",IF(R204&gt;0,MAX(Tabla1[[#This Row],[FECHA C2]:[FECHA C13]],Tabla1[[#This Row],[FECHA CONSULTA PRIMERA VEZ PROGRAMA CPN ]])))</f>
        <v>45118</v>
      </c>
      <c r="DZ204" s="216">
        <f t="shared" si="853"/>
        <v>12</v>
      </c>
      <c r="EA204" s="222">
        <f>IF(R204&gt;0,SUM(COUNTA(DF204:DQ204)+COUNTA(Tabla1[[#This Row],[FECHA CONSULTA PRIMERA VEZ PROGRAMA CPN ]])),"")</f>
        <v>1</v>
      </c>
      <c r="EB204" s="222" t="str">
        <f t="shared" si="854"/>
        <v>NO</v>
      </c>
      <c r="EC204" s="214">
        <f t="shared" si="855"/>
        <v>8</v>
      </c>
      <c r="ED204" s="227">
        <f t="shared" si="856"/>
        <v>0.125</v>
      </c>
      <c r="EE204" s="22">
        <v>45121</v>
      </c>
      <c r="EF204" s="22">
        <v>45121</v>
      </c>
      <c r="EG204" s="22">
        <v>45121</v>
      </c>
      <c r="EH204" s="22"/>
      <c r="EI204" s="22">
        <v>45121</v>
      </c>
      <c r="EJ204" s="22"/>
      <c r="EK204" s="22"/>
      <c r="EL204" s="21"/>
      <c r="EM204" s="21">
        <v>13.1</v>
      </c>
      <c r="EN204" s="22">
        <v>45121</v>
      </c>
      <c r="EO204" s="222">
        <f t="shared" si="857"/>
        <v>13</v>
      </c>
      <c r="EP204" s="214" t="str">
        <f t="shared" si="858"/>
        <v>NORMAL- SUMINISTRAR SULFATO FERROSO</v>
      </c>
      <c r="EQ204" s="216" t="str">
        <f t="shared" si="859"/>
        <v>I TRIM</v>
      </c>
      <c r="ER204" s="24"/>
      <c r="ES204" s="22"/>
      <c r="ET204" s="29" t="str">
        <f t="shared" ref="ET204:ET248" ca="1" si="922">IF(AND(BT204="ERROR FUM O INGRESO",ES204&gt;0),"ERROR FUM O INGRESO",IF(AND(ES204="",R204="",O204=""),"",IF(OR(AND(ES204&lt;&gt;"",ES204&lt;RW204),AND(ES204&lt;&gt;"",SUM((ES204-RW204)/7)&gt;40)),"CORREGIR FECHA RESULTADO",IF(AND(BU204&gt;1,BU204&lt;23,ER204="",ES204=""),"EN ESPERA PARA TOMA EXAMEN",IF(AND(BU204&gt;22,BU204&lt;26,ER204="",ES204=""),"PROGRAMAR TOMA HEMOGLOBINA A SEM 28",IF(AND(BU204&gt;25,BU204&lt;28,ER204="",ES204=""),"TOMA HEMOGLOBINA A SEM 28 EN 1 SEMANA",IF(AND(BU204&gt;27,BU204&lt;31,ES204="",OR(O204&gt;0,R204&gt;0)),"EN SEMANA 28 TOMA INMEDIATA DE EXAMEN",IF(AND(IP204&gt;0,IP204&lt;28,ES204="",OR(O204&gt;0,R204&gt;0)),"NO APLICA-SALE ANTES SEM 28",IF(AND(IP204&gt;28,IP204&lt;43,ES204="",OR(O204&gt;0,R204&gt;0)),"SALE SIN TAMIZAJE HEMOGLOBINA SEM 28",IF(AND(BS204&gt;0,ES204="",OR(O204&gt;0,R204&gt;0)),"TOMA DE HEMOGLOBINA TARDÍA",IF(ES204&gt;0,SUM(ES204-RW204)/7,"")))))))))))</f>
        <v>EN SEMANA 28 TOMA INMEDIATA DE EXAMEN</v>
      </c>
      <c r="EU204" s="25" t="str">
        <f t="shared" si="860"/>
        <v/>
      </c>
      <c r="EV204" s="24" t="s">
        <v>1510</v>
      </c>
      <c r="EW204" s="32">
        <v>45121</v>
      </c>
      <c r="EX204" s="22"/>
      <c r="EY204" s="29">
        <f t="shared" si="693"/>
        <v>13</v>
      </c>
      <c r="EZ204" s="25" t="str">
        <f t="shared" si="694"/>
        <v>SIN RIESGO DE ISOINMUNIZACIÓN</v>
      </c>
      <c r="FA204" s="21">
        <v>89</v>
      </c>
      <c r="FB204" s="22">
        <v>45121</v>
      </c>
      <c r="FC204" s="29">
        <f t="shared" si="861"/>
        <v>13</v>
      </c>
      <c r="FD204" s="29"/>
      <c r="FE204" s="29"/>
      <c r="FF204" s="29"/>
      <c r="FG204" s="21" t="str">
        <f t="shared" ca="1" si="862"/>
        <v>TOMAR PTOG</v>
      </c>
      <c r="FH204" s="31"/>
      <c r="FI204" s="29" t="str">
        <f t="shared" si="863"/>
        <v>TOMAR EXAMEN</v>
      </c>
      <c r="FJ204" s="22"/>
      <c r="FK204" s="22"/>
      <c r="FL204" s="29" t="str">
        <f t="shared" ca="1" si="864"/>
        <v>PIERDE TOMA DE TAMIZAJE</v>
      </c>
      <c r="FM204" s="22" t="s">
        <v>867</v>
      </c>
      <c r="FN204" s="22">
        <v>45121</v>
      </c>
      <c r="FO204" s="29">
        <f t="shared" ref="FO204:FO248" ca="1" si="923">IF(AND(BT204="ERROR FUM O INGRESO",FN204&gt;0),"ERROR FUM O INGRESO",IF(AND(FN204="",R204="",O204=""),"",IF(AND(FN204&lt;&gt;"",FN204&lt;RW204), "INCOHERENCIA FUM Y FECHA TAMIZAJE",IF(AND(FN204="",DV204="ACTIVA INGRESO A CPN",AND(BU204&gt;0,BU204&lt;13)),"EN ESPERA-ESTÁ I TRIM", IF(AND(FN204="",AND(BS204&gt;0, BS204&lt;13),OR(O204&gt;0,R204&gt;0),AND(IP204&gt;0,IP204&lt;13)),"NO APLICA-SALIO DEL PROGRAMA I TRIM",IF(AND(FN204&lt;&gt;"",AND(SUM((FN204-RW204)/7)&gt;0,SUM((FN204-RW204)/7)&lt;13)),"REGISTRAR EN I TRIMESTRE",IF(AND(FN204&lt;&gt;"",AND(SUM((FN204-RW204)/7)&gt;=27,SUM((FN204-RW204)/7)&lt;44)),"REGISTRAR EN III TRIMESTRE",IF(AND(FN204="",OR(O204&gt;0,R204&gt;0),AND(BU204&gt;=13,BU204&lt;24),DV204="ACTIVA INGRESO A CPN"),"EN RANGO PARA TOMAR EXAMEN",IF(AND(FN204="",OR(O204&gt;0,R204&gt;0),AND(BU204&gt;=25,BU204&lt;27),DV204="ACTIVA INGRESO A CPN"),"TOMA INMEDIATA DE TAMIZAJE",IF(AND(FN204="",OR(O204&gt;0,R204&gt;0),AND(BS204&gt;=27,BS204&lt;44)),"NO APLICA-INGRESO TARDIO",IF(AND(FN204="",BS204&lt;27,OR(AND(IP204&gt;12,IP204&lt;44),BU204&gt;12)),"PIERDE TOMA DE TAMIZAJE",IF(FN204&gt;0,SUM(FN204-RW204)/7,""))))))))))))</f>
        <v>13</v>
      </c>
      <c r="FP204" s="22"/>
      <c r="FQ204" s="32"/>
      <c r="FR204" s="29" t="str">
        <f t="shared" ref="FR204:FR248" ca="1" si="924">IF(AND(BT204="ERROR FUM O INGRESO",FQ204&gt;0),"ERROR FUM O INGRESO",IF(AND(FQ204="",R204="",O204=""),"",IF(AND(FQ204&lt;&gt;"",FQ204&lt;RW204), "INCOHERENCIA FUM Y FECHA TAMIZAJE",IF(AND(FQ204="",DV204="ACTIVA INGRESO A CPN",AND(BU204&gt;0,BU204&lt;27)),"EN ESPERA-ESTÁ I TRIM O II TRIM", IF(AND(FQ204="",AND(BS204&gt;0, BS204&lt;27),OR(O204&gt;0,R204&gt;0),AND(IP204&gt;0,IP204&lt;27)),"NO APLICA-SALIO DEL PROGRAMA I O II TRIM",IF(AND(FQ204&lt;&gt;"",AND(SUM((FQ204-RW204)/7)&gt;0,SUM((FQ204-RW204)/7)&lt;13)),"REGISTAR EN I TRIMESTRE",IF(AND(FQ204&lt;&gt;"",AND(SUM((FQ204-RW204)/7)&gt;=13,SUM((FQ204-RW204)/7)&lt;27)),"REGISTRAR EN II TRIMESTRE",IF(AND(FQ204="",OR(O204&gt;0,R204&gt;0),AND(BU204&gt;=28,BU204&lt;35),DV204="ACTIVA INGRESO A CPN"),"EN RANGO PARA TOMAR EXAMEN",IF(AND(FQ204="",OR(O204&gt;0,R204&gt;0),BU204&gt;=35, DV204="ACTIVA INGRESO A CPN"),"TOMA INMEDIATA DE TAMIZAJE",IF(AND(FQ204="",DV204= "SALE SIN INGRESO CPN"),"NO APLICA-SIN CPN",IF(AND(FQ204="",AND(IP204&gt;26,IP204&lt;43)),"PIERDE TOMA DE TAMIZAJE",IF(FQ204&gt;0,SUM(FQ204-RW204)/7,""))))))))))))</f>
        <v>EN RANGO PARA TOMAR EXAMEN</v>
      </c>
      <c r="FS204" s="22"/>
      <c r="FT204" s="32"/>
      <c r="FU204" s="29" t="str">
        <f>IF(AND(FJ204="",FM204="",FP204="",FS204=""),"",IF(OR(OR(Tabla1[[#This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04" s="28"/>
      <c r="FW204" s="22"/>
      <c r="FX204" s="29" t="str">
        <f t="shared" si="865"/>
        <v>TOMAR EXAMEN</v>
      </c>
      <c r="FY204" s="22"/>
      <c r="FZ204" s="22"/>
      <c r="GA204" s="29" t="str">
        <f t="shared" ca="1" si="739"/>
        <v/>
      </c>
      <c r="GB204" s="22" t="s">
        <v>868</v>
      </c>
      <c r="GC204" s="22">
        <v>45121</v>
      </c>
      <c r="GD204" s="29">
        <f t="shared" ref="GD204:GD209" ca="1" si="925">IF(AND(BT204="ERROR FUM O INGRESO",GC204&gt;0),"ERROR FUM O INGRESO",IF(AND(GC204="",R204="",O204=""),"",IF(AND(GC204&lt;&gt;"",GC204&lt;RW204), "INCOHERENCIA FUM Y FECHA TAMIZAJE",IF(AND(GC204="",DV204="ACTIVA INGRESO A CPN",AND(BU204&gt;0,BU204&lt;13)),"EN ESPERA-ESTÁ I TRIM", IF(AND(GC204="",AND(BS204&gt;0, BS204&lt;12),OR(O204&gt;0,R204&gt;0),AND(IP204&gt;0,IP204&lt;13)),"NO APLICA-SALIO DEL PROGRAMA I TRIM",IF(AND(GC204&lt;&gt;"",AND(SUM((GC204-RW204)/7)&gt;0,SUM((GC204-RW204)/7)&lt;13)),"REGISTRAR EN I TRIMESTRE",IF(AND(GC204&lt;&gt;"",AND(SUM((GC204-RW204)/7)&gt;=27,SUM((GC204-RW204)/7)&lt;44)),"REGISTRAR EN III TRIMESTRE",IF(AND(GC204="",OR(O204&gt;0,R204&gt;0),AND(BU204&gt;=12,BU204&lt;25),DV204="ACTIVA INGRESO A CPN"),"EN RANGO PARA TOMAR EXAMEN",IF(AND(GC204="",OR(O204&gt;0,R204&gt;0),AND(BU204&gt;=25,BU204&lt;27),DV204="ACTIVA INGRESO A CPN"),"TOMA INMEDIATA DE TAMIZAJE",IF(AND(GC204="",OR(O204&gt;0,R204&gt;0),AND(BS204&gt;=27,BS204&lt;43)),"NO APLICA-INGRESO TARDIO",IF(AND(GC204="",BS204&lt;27),"PIERDE TOMA DE TAMIZAJE",IF(GC204&gt;0,SUM(GC204-RW204)/7,""))))))))))))</f>
        <v>13</v>
      </c>
      <c r="GE204" s="22"/>
      <c r="GF204" s="22"/>
      <c r="GG204" s="29" t="str">
        <f t="shared" ref="GG204:GG248" ca="1" si="926">IF(AND(BT204="ERROR FUM O INGRESO",GF204&gt;0),"ERROR FUM O INGRESO",IF(AND(GF204="",R204="",O204=""),"",IF(AND(GF204&lt;&gt;"",GF204&lt;RW204), "INCOHERENCIA FUM Y FECHA TAMIZAJE",IF(AND(GF204="",DV204="ACTIVA INGRESO A CPN",AND(BU204&gt;0,BU204&lt;27)),"EN ESPERA-ESTÁ I TRIM O II TRIM", IF(AND(GF204="",AND(BS204&gt;0, BS204&lt;28),OR(O204&gt;0,R204&gt;0),AND(IP204&gt;0,IP204&lt;28)),"NO APLICA-SALIO DEL PROGRAMA I O II TRIM",IF(AND(GF204&lt;&gt;"",AND(SUM((GF204-RW204)/7)&gt;0,SUM((GF204-RW204)/7)&lt;13)),"REGISTAR EN I TRIMESTRE",IF(AND(GF204&lt;&gt;"",AND(SUM((GF204-RW204)/7)&gt;=13,SUM((GF204-RW204)/7)&lt;27)),"REGISTRAR EN II TRIMESTRE",IF(AND(GF204="",OR(O204&gt;0,R204&gt;0),AND(BU204&gt;=28,BU204&lt;35),DV204="ACTIVA INGRESO A CPN"),"EN RANGO PARA TOMAR EXAMEN",IF(AND(GF204="",OR(O204&gt;0,R204&gt;0),BU204&gt;=35, DV204="ACTIVA INGRESO A CPN"),"TOMA INMEDIATA DE TAMIZAJE",IF(AND(GF204="",DV204= "SALE SIN INGRESO CPN"),"NO APLICA-SIN CPN",IF(AND(GF204="",BS204&lt;44),"PIERDE TOMA DE TAMIZAJE",IF(GF204&gt;0,SUM(GF204-RW204)/7,""))))))))))))</f>
        <v>EN RANGO PARA TOMAR EXAMEN</v>
      </c>
      <c r="GH204" s="22"/>
      <c r="GI204" s="29"/>
      <c r="GJ204" s="22"/>
      <c r="GK204" s="22"/>
      <c r="GL204" s="22"/>
      <c r="GM204" s="22"/>
      <c r="GN204" s="28" t="s">
        <v>869</v>
      </c>
      <c r="GO204" s="22">
        <v>45121</v>
      </c>
      <c r="GP204" s="29">
        <f t="shared" si="866"/>
        <v>13</v>
      </c>
      <c r="GQ204" s="28"/>
      <c r="GR204" s="28" t="s">
        <v>869</v>
      </c>
      <c r="GS204" s="22" t="str">
        <f t="shared" si="728"/>
        <v/>
      </c>
      <c r="GT204" s="22">
        <v>44999</v>
      </c>
      <c r="GU204" s="29" t="str">
        <f t="shared" si="867"/>
        <v>CORREGIR FECHA RESULTADO</v>
      </c>
      <c r="GV204" s="21" t="str">
        <f t="shared" si="868"/>
        <v>POR DEFINIR</v>
      </c>
      <c r="GW204" s="28"/>
      <c r="GX204" s="30"/>
      <c r="GY204" s="21"/>
      <c r="GZ204" s="21"/>
      <c r="HA204" s="21"/>
      <c r="HB204" s="21"/>
      <c r="HC204" s="21"/>
      <c r="HD204" s="21"/>
      <c r="HE204" s="21"/>
      <c r="HF204" s="22"/>
      <c r="HG204" s="22" t="str">
        <f>IF(OR(O204&gt;0,R204&gt;0),CONCATENATE(IF(Tabla1[[#This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04" s="22" t="e">
        <f t="shared" si="869"/>
        <v>#REF!</v>
      </c>
      <c r="HI204" s="22" t="str">
        <f t="shared" si="870"/>
        <v>ALTO RIESGO</v>
      </c>
      <c r="HJ204" s="21" t="str">
        <f t="shared" ca="1" si="871"/>
        <v>************************RIESGO POR EDAD***************</v>
      </c>
      <c r="HK204" s="21" t="str">
        <f t="shared" si="872"/>
        <v>RIESGO MODERADO (2 O MAS CRITERIOS) VER MANEJO GUIA SUMINISTRO ASA Y CALCIO</v>
      </c>
      <c r="HL204" s="24" t="str">
        <f t="shared" si="873"/>
        <v>APARENTEMENTE NORMAL</v>
      </c>
      <c r="HM204" s="21" t="e">
        <f t="shared" ca="1" si="874"/>
        <v>#REF!</v>
      </c>
      <c r="HN204" s="30" t="str">
        <f t="shared" ref="HN204:HN248" si="927">IF(AND(R204&lt;&gt;"",IK204="CAMBIO DE RESIDENCIA"),"SEGUIMIENTO REPORTE EPS",IF(AND(R204&lt;&gt;"",OR(IK204&lt;&gt;"",IN204&lt;&gt;"")),"SALIO PROGRAMA",IF(AND(AND(R204="",O204&gt;0),OR(IK204&lt;&gt;"",IN204&lt;&gt;"")),"SALE SIN INGRESO CPN",IF(AND(R204="",O204&gt;0,IK204="",IN204=""),"ACTIVA SIN INGRESO CPN",IF(AND(R204&lt;&gt;"",OR(IK204="",IN204="")),"ACTIVA INGRESO A CPN","")))))</f>
        <v>ACTIVA INGRESO A CPN</v>
      </c>
      <c r="HO204" s="21"/>
      <c r="HP204" s="21"/>
      <c r="HQ204" s="349"/>
      <c r="HR204" s="21" t="str">
        <f ca="1">IF(R204="","",IF(Tabla1[[#This Row],[ALARMA FACTORES DE RIESGO COMPLICACIONES HIPERTENSIVAS3]]="SIN ANTECEDENTES DE RIESGO","No Aplica para suministro de ASA",IF(AND(Tabla1[[#This Row],[FECHA INICIO DE SUMINISTRO DE ASA]]&gt;0,RV204&lt;12),"Inicia ASA ANTES de Sem 12",IF(AND(RV204&gt;11,RV204&lt;17,OR(HK204="RIESGO ALTO DE COMPLICACIONES HIPERTENSIVAS VER MANEJO GUIA SUMINISTRO ASA Y CALCIO",HK204="RIESGO MODERADO (2 O MAS CRITERIOS) VER MANEJO GUIA SUMINISTRO ASA Y CALCIO")),"Inicio oportuno de ASA",IF(AND(RV204&gt;12,OR(HK204="RIESGO ALTO DE COMPLICACIONES HIPERTENSIVAS VER MANEJO GUIA SUMINISTRO ASA Y CALCIO",HK204="RIESGO MODERADO (2 O MAS CRITERIOS) VER MANEJO GUIA SUMINISTRO ASA Y CALCIO")),"Inicio no oportuno mayor a 16 semanas",IF(AND(BU204&lt;12,OR(HK204="RIESGO ALTO DE COMPLICACIONES HIPERTENSIVAS VER MANEJO GUIA SUMINISTRO ASA Y CALCIO",HK204="RIESGO MODERADO (2 O MAS CRITERIOS) VER MANEJO GUIA SUMINISTRO ASA Y CALCIO")),"Pendiente Inicio de ASA a la semana 12",IF(AND(BU204&gt;11,BU204&lt;17,OR(HK204="RIESGO ALTO DE COMPLICACIONES HIPERTENSIVAS VER MANEJO GUIA SUMINISTRO ASA Y CALCIO",HK204="RIESGO MODERADO (2 O MAS CRITERIOS) VER MANEJO GUIA SUMINISTRO ASA Y CALCIO")),"Iniciar de inmediato ASA",IF(AND(BU204&gt;16,OR(HK204="RIESGO ALTO DE COMPLICACIONES HIPERTENSIVAS VER MANEJO GUIA SUMINISTRO ASA Y CALCIO",HK204="RIESGO MODERADO (2 O MAS CRITERIOS) VER MANEJO GUIA SUMINISTRO ASA Y CALCIO")),"Pierde Oportunidad, Inicio tardío de ASA","XXXXX"))))))))</f>
        <v>Pierde Oportunidad, Inicio tardío de ASA</v>
      </c>
      <c r="HS204" s="22">
        <v>45118</v>
      </c>
      <c r="HT204" s="22" t="s">
        <v>1518</v>
      </c>
      <c r="HU204" s="22">
        <v>45118</v>
      </c>
      <c r="HV204" s="22" t="s">
        <v>1544</v>
      </c>
      <c r="HW204" s="22">
        <v>45118</v>
      </c>
      <c r="HX204" s="22" t="s">
        <v>1511</v>
      </c>
      <c r="HY204" s="22">
        <v>45120</v>
      </c>
      <c r="HZ204" s="28">
        <f t="shared" si="875"/>
        <v>12.857142857142858</v>
      </c>
      <c r="IA204" s="26"/>
      <c r="IB204" s="26"/>
      <c r="IC204" s="111"/>
      <c r="ID204" s="22"/>
      <c r="IE204" s="22" t="str">
        <f t="shared" ca="1" si="876"/>
        <v>INASISTENTE</v>
      </c>
      <c r="IF204" s="22"/>
      <c r="IG204" s="22">
        <f t="shared" si="877"/>
        <v>45310</v>
      </c>
      <c r="IH204" s="29">
        <f t="shared" ca="1" si="878"/>
        <v>78</v>
      </c>
      <c r="II204" s="22" t="str">
        <f t="shared" ca="1" si="879"/>
        <v>PENDIENTE</v>
      </c>
      <c r="IJ204" s="22"/>
      <c r="IK204" s="21"/>
      <c r="IL204" s="21"/>
      <c r="IM204" s="34"/>
      <c r="IN204" s="22"/>
      <c r="IO204" s="21"/>
      <c r="IP204" s="29" t="str">
        <f t="shared" si="880"/>
        <v/>
      </c>
      <c r="IQ204" s="35"/>
      <c r="IR204" s="21"/>
      <c r="IS204" s="21"/>
      <c r="IT204" s="21"/>
      <c r="IU204" s="21"/>
      <c r="IV204" s="21"/>
      <c r="IW204" s="21"/>
      <c r="IX204" s="21"/>
      <c r="IY204" s="21"/>
      <c r="IZ204" s="21"/>
      <c r="JA204" s="21"/>
      <c r="JB204" s="30"/>
      <c r="JC204" s="21"/>
      <c r="JD204" s="36"/>
      <c r="JE204" s="21" t="str">
        <f t="shared" si="881"/>
        <v/>
      </c>
      <c r="JF204" s="30"/>
      <c r="JG204" s="21"/>
      <c r="JH204" s="21"/>
      <c r="JI204" s="21"/>
      <c r="JJ204" s="30"/>
      <c r="JK204" s="22"/>
      <c r="JL204" s="22"/>
      <c r="JM204" s="21"/>
      <c r="JN204" s="36"/>
      <c r="JO204" s="21" t="str">
        <f t="shared" si="882"/>
        <v/>
      </c>
      <c r="JP204" s="22"/>
      <c r="JQ204" s="21"/>
      <c r="JR204" s="21"/>
      <c r="JS204" s="21"/>
      <c r="JT204" s="30"/>
      <c r="JU204" s="22"/>
      <c r="JV204" s="22"/>
      <c r="JW204" s="33"/>
      <c r="JX204" s="28" t="str">
        <f t="shared" si="883"/>
        <v/>
      </c>
      <c r="JY204" s="33"/>
      <c r="JZ204" s="28" t="str">
        <f t="shared" si="884"/>
        <v/>
      </c>
      <c r="KA204" s="21"/>
      <c r="KB204" s="21"/>
      <c r="KC204" s="21"/>
      <c r="KD204" s="37"/>
      <c r="KE204" s="28"/>
      <c r="KF204" s="28"/>
      <c r="KG204" s="28"/>
      <c r="KH204" s="39"/>
      <c r="KI204" s="39"/>
      <c r="KJ204" s="66"/>
      <c r="KK204" s="39"/>
      <c r="KL204" s="39"/>
      <c r="KM204" s="66"/>
      <c r="KN204" s="39"/>
      <c r="KO204" s="39"/>
      <c r="KP204" s="39"/>
      <c r="KQ204" s="39"/>
      <c r="KR204" s="39"/>
      <c r="KS204" s="39"/>
      <c r="KT204" s="39"/>
      <c r="KU204" s="38"/>
      <c r="KV204" s="38"/>
      <c r="KW204" s="38"/>
      <c r="KX204" s="38"/>
      <c r="KY204" s="38"/>
      <c r="KZ204" s="38"/>
      <c r="LA204" s="38"/>
      <c r="LB204" s="38"/>
      <c r="LC204" s="38"/>
      <c r="LD204" s="38"/>
      <c r="LE204" s="38"/>
      <c r="LF204" s="38"/>
      <c r="LG204" s="38"/>
      <c r="LH204" s="38"/>
      <c r="LI204" s="38"/>
      <c r="LJ204" s="38"/>
      <c r="LK204" s="38"/>
      <c r="LL204" s="38"/>
      <c r="LM204" s="38"/>
      <c r="LN204" s="38"/>
      <c r="LO204" s="38"/>
      <c r="LP204" s="38"/>
      <c r="LQ204" s="38"/>
      <c r="LR204" s="38"/>
      <c r="LS204" s="38"/>
      <c r="LT204" s="38"/>
      <c r="LU204" s="38"/>
      <c r="LV204" s="38"/>
      <c r="LW204" s="38"/>
      <c r="LX204" s="38"/>
      <c r="LY204" s="38"/>
      <c r="LZ204" s="38"/>
      <c r="MA204" s="38"/>
      <c r="MB204" s="38"/>
      <c r="MC204" s="38"/>
      <c r="MD204" s="38"/>
      <c r="ME204" s="38"/>
      <c r="MF204" s="38"/>
      <c r="MG204" s="38"/>
      <c r="MH204" s="43">
        <f t="shared" si="885"/>
        <v>0</v>
      </c>
      <c r="MI204" s="43" t="str">
        <f t="shared" si="886"/>
        <v/>
      </c>
      <c r="MJ204" s="43" t="str">
        <f t="shared" si="887"/>
        <v/>
      </c>
      <c r="MK204" s="43">
        <f t="shared" si="888"/>
        <v>0</v>
      </c>
      <c r="ML20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04" s="43">
        <f t="shared" si="889"/>
        <v>12.571428571428571</v>
      </c>
      <c r="MN204" s="43">
        <f t="shared" si="890"/>
        <v>7</v>
      </c>
      <c r="MO204" s="43">
        <f t="shared" si="891"/>
        <v>2023</v>
      </c>
      <c r="MP204" s="43" t="str">
        <f t="shared" si="892"/>
        <v>III TRIMESTRE AÑO</v>
      </c>
      <c r="MQ204" s="43">
        <f t="shared" si="893"/>
        <v>43.733574244415244</v>
      </c>
      <c r="MR204" s="43">
        <f t="shared" si="894"/>
        <v>2</v>
      </c>
      <c r="MS204" s="43" t="str">
        <f t="shared" si="895"/>
        <v xml:space="preserve"> DE 40 Y MAS</v>
      </c>
      <c r="MT204" s="43">
        <f t="shared" si="896"/>
        <v>0</v>
      </c>
      <c r="MU204" s="43">
        <f t="shared" si="897"/>
        <v>0</v>
      </c>
      <c r="MV204" s="43">
        <f t="shared" si="898"/>
        <v>0</v>
      </c>
      <c r="MW204" s="43">
        <f t="shared" si="899"/>
        <v>0</v>
      </c>
      <c r="MX204" s="43" t="str">
        <f t="shared" si="900"/>
        <v/>
      </c>
      <c r="MY204" s="43" t="str">
        <f t="shared" ca="1" si="901"/>
        <v/>
      </c>
      <c r="MZ204" s="43" t="str">
        <f t="shared" si="902"/>
        <v/>
      </c>
      <c r="NA204" s="43" t="str">
        <f t="shared" si="903"/>
        <v/>
      </c>
      <c r="NB204" s="43" t="str">
        <f t="shared" si="904"/>
        <v/>
      </c>
      <c r="NC204" s="43" t="str">
        <f t="shared" si="905"/>
        <v/>
      </c>
      <c r="ND204" s="43">
        <f t="shared" ca="1" si="906"/>
        <v>2</v>
      </c>
      <c r="NE204" s="43">
        <f>IF(OR(O204&gt;0,R204&gt;0),SUM(COUNTIF(Tabla1[[#This Row],[AÑOS AL INICIO5 CPN]],"&gt;=40"),COUNTIF(AS204,"0"),COUNTIF(AR204,"SI"),COUNTIF(CC204,"SI"),COUNTIF(BQ204,"&gt;119"),COUNTIF(CI204,"&gt;=35")),"")</f>
        <v>2</v>
      </c>
      <c r="NF204" s="43" t="str">
        <f t="shared" si="907"/>
        <v/>
      </c>
      <c r="NG204" s="43">
        <f t="shared" si="908"/>
        <v>0</v>
      </c>
      <c r="NH204" s="43">
        <f t="shared" si="909"/>
        <v>91</v>
      </c>
      <c r="NI20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CPN",P204="NO"),"Z",IF(AND(Tabla1[[#This Row],[CITA PROXIMO CONTROL]]="CITA MANUAL",Tabla1[[#This Row],[GESTANTES ACTUALES]]="ACTIVA INGRESO A CPN"),"W",IF(AND(Tabla1[[#This Row],[GESTANTES ACTUALES]]="SALIO PROGRAMA",IN204=""),"S",IF(AND(Tabla1[[#This Row],[CITA PROXIMO CONTROL]]&gt;0,IN204=""),(Tabla1[[#This Row],[CITA PROXIMO CONTROL]]-TODAY()),"SD"))))))))</f>
        <v>#REF!</v>
      </c>
      <c r="NJ204" s="43">
        <f>MONTH(Tabla1[[#This Row],[FECHA DE SALIDA  DEL PROGRAMA]])</f>
        <v>1</v>
      </c>
      <c r="NK204" s="43">
        <f>YEAR(Tabla1[[#This Row],[FECHA DE SALIDA  DEL PROGRAMA]])</f>
        <v>1900</v>
      </c>
      <c r="NL204" s="43" t="str">
        <f t="shared" si="910"/>
        <v>X</v>
      </c>
      <c r="NM204" s="43" t="str">
        <f t="shared" si="911"/>
        <v>NO</v>
      </c>
      <c r="NN204" s="43" t="str">
        <f ca="1">IF(AND(O204&gt;0,R204=""),"NO CPN",IF(AND(O204="",R204=""),"",IF(AND(R204&gt;0,Tabla1[[#This Row],[SEMANAS DE GESTACION ACTUALIZADAS]]&lt;=12),"NO APLICA",IF(AND(FH204&lt;&gt;"",FN204&lt;&gt;""),"SI","NO"))))</f>
        <v>NO</v>
      </c>
      <c r="NO204" s="43" t="str">
        <f ca="1">IF(AND(O204&gt;0,R204=""),"NO CPN",IF(AND(O204="",R204=""),"",IF(AND(R204&gt;0,Tabla1[[#This Row],[SEMANAS DE GESTACION ACTUALIZADAS]]&lt;=27),"NO APLICA",IF(AND(ES204&lt;&gt;"",FQ204&lt;&gt;"",GF204&lt;&gt;""),"SI","NO"))))</f>
        <v>NO</v>
      </c>
      <c r="NP204" s="204" t="str">
        <f t="shared" si="912"/>
        <v>II TRIM</v>
      </c>
      <c r="NQ204" s="21" t="str">
        <f>IF(AND(IP205&gt;0,IP205&lt;37),10,IF(OR(CD205="Transversa",CD205="Oblicua"),9,IF(CC205="SI",8,IF(AND(AT205=0,AW205=0,CC205="NO",CD205="Cefálica",IP205&gt;=37,IT205="INICIO ESPONTÁNEO"),1,IF(AND(AND(AT205=0,AW205=0,CC205="NO",CD205="Cefálica",IP205&gt;=37),OR(IT205="LE HACEN INDUCCIÓN",IT205="LE HACEN CESÁREA SIN INICIO TRABAJO DE PARTO")),2,IF(AND(AT205&gt;=1,AW205=0,CC205="NO",CD205="Cefálica",IP205&gt;=37,IT205="INICIO ESPONTÁNEO"),3,IF(AND(AND(AT205&gt;=1,AW205=0,CC205="NO",CD205="Cefálica",IP205&gt;=37),OR(IT205="LE HACEN INDUCCIÓN",IT205="LE HACEN CESÁREA SIN INICIO TRABAJO DE PARTO")),4,IF(AND(AND(AT205&gt;=1,AW205&gt;=1,CC205="NO",CD205="Cefálica",IP205&gt;=37),OR(IT205="LE HACEN INDUCCIÓN",IT205="LE HACEN CESÁREA SIN INICIO TRABAJO DE PARTO",IT205="INICIO ESPONTÁNEO")),5,IF(AND(AND(AT205=0,AW205=0,CC205="NO",CD205="Podálica",IP205&gt;=1),OR(IT205="LE HACEN INDUCCIÓN",IT205="LE HACEN CESÁREA SIN INICIO TRABAJO DE PARTO",IT205="INICIO ESPONTÁNEO")),6,IF(AND(AND(AT205&gt;=1,CC205="NO",CD205="Podálica",IP205&gt;=1),OR(IT205="LE HACEN INDUCCIÓN",IT205="LE HACEN CESÁREA SIN INICIO TRABAJO DE PARTO",IT205="INICIO ESPONTÁNEO"),OR(AW205=0,AW205&gt;=1)),7,""))))))))))</f>
        <v/>
      </c>
      <c r="NR204" s="21">
        <f t="shared" ca="1" si="913"/>
        <v>2</v>
      </c>
      <c r="NS204" s="205">
        <f t="shared" ca="1" si="914"/>
        <v>1</v>
      </c>
      <c r="NT204" s="21">
        <f t="shared" ca="1" si="915"/>
        <v>1</v>
      </c>
      <c r="NU204" s="21" t="str">
        <f t="shared" ca="1" si="916"/>
        <v>INCOMPLETO</v>
      </c>
      <c r="NV204" s="21" t="str">
        <f t="shared" ca="1" si="917"/>
        <v>INCOMPLETO</v>
      </c>
      <c r="NW204" s="206" t="str">
        <f>IF(AND(O204="",R204=""),"",IF(OR(AND(Tabla1[[#This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04" s="207" t="str">
        <f t="shared" ca="1" si="918"/>
        <v>SIN VACUNAR</v>
      </c>
      <c r="NY204" s="43">
        <f>ROW(Tabla1[[#This Row],['# DE TAMIZAJES SIFILIS TOMADOS ]])</f>
        <v>204</v>
      </c>
      <c r="NZ204" s="43">
        <f t="shared" si="740"/>
        <v>12</v>
      </c>
      <c r="OA204" s="43" t="str">
        <f t="shared" si="741"/>
        <v/>
      </c>
      <c r="OB204" s="43" t="str">
        <f t="shared" si="742"/>
        <v/>
      </c>
      <c r="OC204" s="43" t="str">
        <f t="shared" si="743"/>
        <v/>
      </c>
      <c r="OD204" s="43" t="str">
        <f t="shared" si="744"/>
        <v>NORMAL</v>
      </c>
      <c r="OE204" s="43" t="str">
        <f t="shared" si="745"/>
        <v/>
      </c>
      <c r="OF204" s="43" t="str">
        <f t="shared" si="746"/>
        <v/>
      </c>
      <c r="OG204" s="43" t="str">
        <f t="shared" si="747"/>
        <v/>
      </c>
      <c r="OH204" s="43" t="str">
        <f t="shared" si="748"/>
        <v/>
      </c>
      <c r="OI204" s="43" t="str">
        <f t="shared" si="749"/>
        <v/>
      </c>
      <c r="OJ204" s="43" t="str">
        <f t="shared" si="750"/>
        <v/>
      </c>
      <c r="OK204" s="43" t="str">
        <f t="shared" si="751"/>
        <v/>
      </c>
      <c r="OL204" s="43" t="str">
        <f t="shared" si="752"/>
        <v/>
      </c>
      <c r="OM204" s="43" t="str">
        <f t="shared" si="753"/>
        <v/>
      </c>
      <c r="ON204" s="43" t="str">
        <f t="shared" si="754"/>
        <v/>
      </c>
      <c r="OO204" s="43" t="str">
        <f t="shared" si="755"/>
        <v/>
      </c>
      <c r="OP204" s="43" t="str">
        <f t="shared" si="756"/>
        <v/>
      </c>
      <c r="OQ204" s="43" t="str">
        <f t="shared" si="757"/>
        <v/>
      </c>
      <c r="OR204" s="43" t="str">
        <f t="shared" si="758"/>
        <v/>
      </c>
      <c r="OS204" s="43" t="str">
        <f t="shared" si="759"/>
        <v/>
      </c>
      <c r="OT204" s="43" t="str">
        <f t="shared" si="760"/>
        <v/>
      </c>
      <c r="OU204" s="43" t="str">
        <f t="shared" si="761"/>
        <v/>
      </c>
      <c r="OV204" s="110" t="str">
        <f t="shared" si="762"/>
        <v/>
      </c>
      <c r="OW204" s="43" t="str">
        <f t="shared" si="763"/>
        <v/>
      </c>
      <c r="OX204" s="43" t="str">
        <f t="shared" si="764"/>
        <v/>
      </c>
      <c r="OY204" s="43" t="str">
        <f t="shared" si="765"/>
        <v/>
      </c>
      <c r="OZ204" s="43" t="str">
        <f t="shared" si="766"/>
        <v/>
      </c>
      <c r="PA204" s="43" t="str">
        <f t="shared" si="767"/>
        <v/>
      </c>
      <c r="PB204" s="43" t="str">
        <f t="shared" si="768"/>
        <v/>
      </c>
      <c r="PC204" s="43" t="str">
        <f t="shared" si="769"/>
        <v/>
      </c>
      <c r="PD204" s="43" t="str">
        <f t="shared" si="770"/>
        <v/>
      </c>
      <c r="PE204" s="43" t="str">
        <f t="shared" si="771"/>
        <v/>
      </c>
      <c r="PF204" s="43" t="str">
        <f t="shared" si="772"/>
        <v/>
      </c>
      <c r="PG204" s="43" t="str">
        <f t="shared" si="773"/>
        <v/>
      </c>
      <c r="PH204" s="43" t="str">
        <f t="shared" si="774"/>
        <v/>
      </c>
      <c r="PI204" s="43">
        <f t="shared" si="775"/>
        <v>12</v>
      </c>
      <c r="PJ204" s="43" t="str">
        <f t="shared" si="776"/>
        <v/>
      </c>
      <c r="PK204" s="43" t="str">
        <f t="shared" si="777"/>
        <v/>
      </c>
      <c r="PL204" s="43" t="str">
        <f t="shared" si="778"/>
        <v/>
      </c>
      <c r="PM204" s="43" t="str">
        <f t="shared" si="779"/>
        <v>NORMAL</v>
      </c>
      <c r="PN204" s="43" t="str">
        <f t="shared" si="780"/>
        <v/>
      </c>
      <c r="PO204" s="43" t="str">
        <f t="shared" si="781"/>
        <v/>
      </c>
      <c r="PP204" s="43" t="str">
        <f t="shared" si="782"/>
        <v/>
      </c>
      <c r="PQ204" s="43" t="str">
        <f t="shared" si="783"/>
        <v/>
      </c>
      <c r="PR204" s="43" t="str">
        <f t="shared" si="784"/>
        <v/>
      </c>
      <c r="PS204" s="43" t="str">
        <f t="shared" si="785"/>
        <v/>
      </c>
      <c r="PT204" s="43" t="str">
        <f t="shared" si="786"/>
        <v/>
      </c>
      <c r="PU204" s="43" t="str">
        <f t="shared" si="787"/>
        <v/>
      </c>
      <c r="PV204" s="43" t="str">
        <f t="shared" si="788"/>
        <v/>
      </c>
      <c r="PW204" s="43" t="str">
        <f t="shared" si="789"/>
        <v/>
      </c>
      <c r="PX204" s="43" t="str">
        <f t="shared" si="790"/>
        <v/>
      </c>
      <c r="PY204" s="43" t="str">
        <f t="shared" si="791"/>
        <v/>
      </c>
      <c r="PZ204" s="43" t="str">
        <f t="shared" si="792"/>
        <v/>
      </c>
      <c r="QA204" s="43" t="str">
        <f t="shared" si="793"/>
        <v/>
      </c>
      <c r="QB204" s="43" t="str">
        <f t="shared" si="794"/>
        <v/>
      </c>
      <c r="QC204" s="43" t="str">
        <f t="shared" si="795"/>
        <v/>
      </c>
      <c r="QD204" s="43" t="str">
        <f t="shared" si="796"/>
        <v/>
      </c>
      <c r="QE204" s="43" t="str">
        <f t="shared" si="797"/>
        <v/>
      </c>
      <c r="QF204" s="43" t="str">
        <f t="shared" si="798"/>
        <v/>
      </c>
      <c r="QG204" s="43" t="str">
        <f t="shared" si="799"/>
        <v/>
      </c>
      <c r="QH204" s="43" t="str">
        <f t="shared" si="800"/>
        <v/>
      </c>
      <c r="QI204" s="43" t="str">
        <f t="shared" si="801"/>
        <v/>
      </c>
      <c r="QJ204" s="43" t="str">
        <f t="shared" si="802"/>
        <v/>
      </c>
      <c r="QK204" s="43" t="str">
        <f t="shared" si="803"/>
        <v/>
      </c>
      <c r="QL204" s="43" t="str">
        <f t="shared" si="804"/>
        <v/>
      </c>
      <c r="QM204" s="43" t="str">
        <f t="shared" si="805"/>
        <v/>
      </c>
      <c r="QN204" s="43" t="str">
        <f t="shared" si="806"/>
        <v/>
      </c>
      <c r="QO204" s="43" t="str">
        <f t="shared" si="807"/>
        <v/>
      </c>
      <c r="QP204" s="43" t="str">
        <f t="shared" si="808"/>
        <v/>
      </c>
      <c r="QQ204" s="43" t="str">
        <f t="shared" si="809"/>
        <v/>
      </c>
      <c r="QR204" s="43" t="str">
        <f t="shared" si="839"/>
        <v>Menor</v>
      </c>
      <c r="QS204" s="43"/>
      <c r="QT204" s="21" t="str">
        <f t="shared" si="810"/>
        <v/>
      </c>
      <c r="QU204" s="21" t="str">
        <f t="shared" si="811"/>
        <v/>
      </c>
      <c r="QV204" s="21" t="str">
        <f t="shared" si="812"/>
        <v/>
      </c>
      <c r="QW204" s="21" t="str">
        <f t="shared" si="813"/>
        <v/>
      </c>
      <c r="QX204" s="21" t="str">
        <f t="shared" si="814"/>
        <v/>
      </c>
      <c r="QY204" s="21" t="str">
        <f t="shared" si="815"/>
        <v/>
      </c>
      <c r="QZ204" s="21" t="str">
        <f t="shared" si="816"/>
        <v/>
      </c>
      <c r="RA204" s="21" t="str">
        <f t="shared" si="817"/>
        <v/>
      </c>
      <c r="RB204" s="21" t="str">
        <f t="shared" si="818"/>
        <v/>
      </c>
      <c r="RC204" s="21" t="str">
        <f t="shared" si="819"/>
        <v/>
      </c>
      <c r="RD204" s="21" t="str">
        <f t="shared" si="820"/>
        <v/>
      </c>
      <c r="RE204" s="21" t="str">
        <f t="shared" si="821"/>
        <v/>
      </c>
      <c r="RF204" s="21" t="str">
        <f t="shared" si="822"/>
        <v/>
      </c>
      <c r="RG204" s="21" t="str">
        <f t="shared" si="823"/>
        <v/>
      </c>
      <c r="RH204" s="21" t="str">
        <f t="shared" si="824"/>
        <v/>
      </c>
      <c r="RI204" s="21" t="str">
        <f t="shared" si="825"/>
        <v/>
      </c>
      <c r="RJ204" s="21" t="str">
        <f t="shared" si="826"/>
        <v/>
      </c>
      <c r="RK204" s="21" t="str">
        <f t="shared" si="827"/>
        <v/>
      </c>
      <c r="RL204" s="21" t="str">
        <f t="shared" si="828"/>
        <v/>
      </c>
      <c r="RM204" s="21" t="str">
        <f t="shared" si="829"/>
        <v/>
      </c>
      <c r="RN204" s="21" t="str">
        <f t="shared" si="830"/>
        <v/>
      </c>
      <c r="RO204" s="21" t="str">
        <f t="shared" si="831"/>
        <v/>
      </c>
      <c r="RP204" s="21" t="str">
        <f t="shared" si="832"/>
        <v/>
      </c>
      <c r="RQ204" s="21" t="str">
        <f t="shared" si="833"/>
        <v/>
      </c>
      <c r="RR204" s="21" t="str">
        <f t="shared" si="834"/>
        <v/>
      </c>
      <c r="RS204" s="21" t="str">
        <f t="shared" si="835"/>
        <v/>
      </c>
      <c r="RT204" s="21" t="str">
        <f t="shared" si="836"/>
        <v/>
      </c>
      <c r="RU204" s="21" t="str">
        <f t="shared" si="837"/>
        <v/>
      </c>
      <c r="RV204" s="21">
        <f t="shared" si="838"/>
        <v>-1</v>
      </c>
      <c r="RW204" s="284">
        <f>IF(OR(Tabla1[[#This Row],[FUM FORMULA CONFIABLE]]="",Tabla1[[#This Row],[FUM FORMULA CONFIABLE]]="SD"),"",IF(Tabla1[[#This Row],[FUM FORMULA CONFIABLE]]="CORREGIDA",Tabla1[[#This Row],[FUM X ECO 1]],Tabla1[[#This Row],[FUM x AMENORREA]]))</f>
        <v>45030</v>
      </c>
      <c r="RX204" s="21">
        <f>IF(AND(Tabla1[[#This Row],[FUM X ECO 1]]="",Tabla1[[#This Row],[FUM x AMENORREA]]=""),"",IF(AND(Tabla1[[#This Row],[FUM X ECO 1]]="",Tabla1[[#This Row],[FUM x AMENORREA]]&lt;&gt;""),"X",SUM(Tabla1[[#This Row],[FUM X ECO 1]]-Tabla1[[#This Row],[FUM x AMENORREA]])))</f>
        <v>0</v>
      </c>
      <c r="RY204" s="21">
        <f t="shared" si="840"/>
        <v>0</v>
      </c>
    </row>
    <row r="205" spans="1:493" ht="45" customHeight="1" x14ac:dyDescent="0.25">
      <c r="A205" s="109"/>
      <c r="B205" s="43"/>
      <c r="C205" s="43" t="s">
        <v>845</v>
      </c>
      <c r="D205" s="124"/>
      <c r="E205" s="43" t="s">
        <v>848</v>
      </c>
      <c r="F205" s="43" t="s">
        <v>943</v>
      </c>
      <c r="G205" s="43" t="s">
        <v>1565</v>
      </c>
      <c r="H205" s="43"/>
      <c r="I205" s="109" t="s">
        <v>851</v>
      </c>
      <c r="J205" s="110">
        <v>1059606933</v>
      </c>
      <c r="K205" s="43" t="s">
        <v>852</v>
      </c>
      <c r="L205" s="175" t="s">
        <v>1509</v>
      </c>
      <c r="M205" s="22">
        <v>36102</v>
      </c>
      <c r="N205" s="213">
        <f t="shared" ca="1" si="841"/>
        <v>25.013698630136986</v>
      </c>
      <c r="O205" s="22">
        <v>44992</v>
      </c>
      <c r="P205" s="214" t="str">
        <f t="shared" si="919"/>
        <v>SI</v>
      </c>
      <c r="Q205" s="26" t="s">
        <v>855</v>
      </c>
      <c r="R205" s="22">
        <v>44992</v>
      </c>
      <c r="S205" s="21" t="s">
        <v>856</v>
      </c>
      <c r="T205" s="24" t="s">
        <v>690</v>
      </c>
      <c r="U205" s="21" t="s">
        <v>857</v>
      </c>
      <c r="V205" s="21" t="s">
        <v>858</v>
      </c>
      <c r="W205" s="21" t="s">
        <v>1062</v>
      </c>
      <c r="X205" s="21"/>
      <c r="Y205" s="21" t="s">
        <v>955</v>
      </c>
      <c r="Z205" s="21" t="s">
        <v>894</v>
      </c>
      <c r="AA205" s="21" t="s">
        <v>860</v>
      </c>
      <c r="AB205" s="27" t="s">
        <v>861</v>
      </c>
      <c r="AC205" s="26" t="s">
        <v>862</v>
      </c>
      <c r="AD205" s="38" t="s">
        <v>1546</v>
      </c>
      <c r="AE205" s="26" t="s">
        <v>854</v>
      </c>
      <c r="AF205" s="26" t="s">
        <v>854</v>
      </c>
      <c r="AG205" s="23" t="s">
        <v>864</v>
      </c>
      <c r="AH205" s="23" t="s">
        <v>864</v>
      </c>
      <c r="AI205" s="24" t="s">
        <v>863</v>
      </c>
      <c r="AJ205" s="23" t="s">
        <v>864</v>
      </c>
      <c r="AK205" s="220" t="str">
        <f>IF(AND(AD205="",AE205="",AF205="",AG205="",AH205="",AI205="",AJ205=""),"",IF(OR(Tabla1[[#This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EVALUACIÓN",IF(AND(O205="",R205=""),"",IF(AND(OR(O205&gt;0,R205&gt;0),NG205&gt;=0,NG205&lt;2),"SIN RIESGO",IF(AND(OR(O205&gt;0,R205&gt;0),NG205&gt;=2),"CON RIESGO","ASD")))))</f>
        <v>SIN RIESGO</v>
      </c>
      <c r="AL205" s="23" t="s">
        <v>864</v>
      </c>
      <c r="AM205" s="26" t="s">
        <v>864</v>
      </c>
      <c r="AN205" s="26" t="s">
        <v>864</v>
      </c>
      <c r="AO205" s="26" t="s">
        <v>864</v>
      </c>
      <c r="AP205" s="26" t="s">
        <v>864</v>
      </c>
      <c r="AQ205" s="26" t="s">
        <v>864</v>
      </c>
      <c r="AR205" s="26" t="s">
        <v>864</v>
      </c>
      <c r="AS205" s="21">
        <v>2</v>
      </c>
      <c r="AT205" s="21">
        <v>1</v>
      </c>
      <c r="AU205" s="21">
        <v>0</v>
      </c>
      <c r="AV205" s="26" t="s">
        <v>864</v>
      </c>
      <c r="AW205" s="21">
        <v>1</v>
      </c>
      <c r="AX205" s="26" t="s">
        <v>864</v>
      </c>
      <c r="AY205" s="26" t="s">
        <v>864</v>
      </c>
      <c r="AZ205" s="26" t="s">
        <v>864</v>
      </c>
      <c r="BA205" s="26" t="s">
        <v>864</v>
      </c>
      <c r="BB205" s="26" t="s">
        <v>864</v>
      </c>
      <c r="BC205" s="26" t="s">
        <v>864</v>
      </c>
      <c r="BD205" s="26" t="s">
        <v>864</v>
      </c>
      <c r="BE205" s="26" t="s">
        <v>864</v>
      </c>
      <c r="BF205" s="26" t="s">
        <v>864</v>
      </c>
      <c r="BG205" s="26" t="s">
        <v>864</v>
      </c>
      <c r="BH205" s="26" t="s">
        <v>864</v>
      </c>
      <c r="BI205" s="26" t="s">
        <v>864</v>
      </c>
      <c r="BJ205" s="26" t="s">
        <v>864</v>
      </c>
      <c r="BK205" s="26" t="s">
        <v>864</v>
      </c>
      <c r="BL205" s="26" t="s">
        <v>864</v>
      </c>
      <c r="BM205" s="26" t="s">
        <v>864</v>
      </c>
      <c r="BN205" s="22">
        <v>44512</v>
      </c>
      <c r="BO205" s="22">
        <v>44868</v>
      </c>
      <c r="BP205" s="21" t="s">
        <v>1380</v>
      </c>
      <c r="BQ205" s="222">
        <f t="shared" si="842"/>
        <v>12.576666666666764</v>
      </c>
      <c r="BR205" s="223">
        <f t="shared" si="843"/>
        <v>44889.3</v>
      </c>
      <c r="BS205" s="224">
        <f t="shared" si="844"/>
        <v>14.671428571428155</v>
      </c>
      <c r="BT205" s="294" t="str">
        <f t="shared" si="845"/>
        <v>II TRIM</v>
      </c>
      <c r="BU205" s="214"/>
      <c r="BV205" s="25" t="s">
        <v>988</v>
      </c>
      <c r="BW205" s="22">
        <v>45121</v>
      </c>
      <c r="BX205" s="28">
        <v>33.1</v>
      </c>
      <c r="BY205" s="28"/>
      <c r="BZ205" s="22"/>
      <c r="CA205" s="21"/>
      <c r="CB205" s="26" t="s">
        <v>864</v>
      </c>
      <c r="CC205" s="26" t="s">
        <v>864</v>
      </c>
      <c r="CD205" s="26"/>
      <c r="CE205" s="26" t="s">
        <v>864</v>
      </c>
      <c r="CF205" s="22" t="s">
        <v>1517</v>
      </c>
      <c r="CG205" s="21">
        <v>1.49</v>
      </c>
      <c r="CH205" s="21">
        <v>54</v>
      </c>
      <c r="CI205" s="214">
        <f t="shared" si="847"/>
        <v>24.323228683392639</v>
      </c>
      <c r="CJ205" s="225" t="e">
        <f>IF(AND(CI205&lt;10,CH205="SD"),"SIN DATO PESO PREGESTACION O I TRIM",IF(AND(OR(R205&gt;0,O205&gt;0),CI205="X"),"INGRESAR DATO DE PESO",IF(CI205="SD","INGRESAR DATO DE TALLA Y PESO",IF(AND(OR(Tabla1[[#This Row],[MOMENTO EN QUE SE REALIZA EL PESO AL INGRESO A CPN]]="PREGESTACIÓN",NZ205="Menor"),CI205&lt;18.5),"BAJO PESO",IF(AND(OR(Tabla1[[#This Row],[MOMENTO EN QUE SE REALIZA EL PESO AL INGRESO A CPN]]="PREGESTACIÓN",NZ205="Menor"),CI205&lt;25),"NORMAL",IF(AND(OR(Tabla1[[#This Row],[MOMENTO EN QUE SE REALIZA EL PESO AL INGRESO A CPN]]="PREGESTACIÓN",NZ205="Menor"),CI205&lt;30),"SOBREPESO",IF(AND(OR(Tabla1[[#This Row],[MOMENTO EN QUE SE REALIZA EL PESO AL INGRESO A CPN]]="PREGESTACIÓN",NZ205="Menor"),CI205&gt;=30,CI205&lt;50),"OBESIDAD",IF(AND(BS205&gt;0,Tabla1[[#This Row],[MOMENTO EN QUE SE REALIZA EL PESO AL INGRESO A CPN]]="GESTACIÓN"),HLOOKUP(NZ205,$OA$2:PH205,NY205),""))))))))</f>
        <v>#REF!</v>
      </c>
      <c r="CK205" s="212">
        <f t="shared" si="848"/>
        <v>45113</v>
      </c>
      <c r="CL205" s="21">
        <v>62.4</v>
      </c>
      <c r="CM205" s="214">
        <f t="shared" si="849"/>
        <v>28.106842034142606</v>
      </c>
      <c r="CN205" s="216">
        <f t="shared" si="850"/>
        <v>31</v>
      </c>
      <c r="CO205" s="216" t="e">
        <f>IF(PI205="","",IF(PI205&gt;0,HLOOKUP(PI205,$PJ$2:QQ205,NY205),""))</f>
        <v>#REF!</v>
      </c>
      <c r="CP205" s="21">
        <v>34</v>
      </c>
      <c r="CQ205" s="216"/>
      <c r="CR205" s="21">
        <v>100</v>
      </c>
      <c r="CS205" s="21">
        <v>80</v>
      </c>
      <c r="CT205" s="217" t="str">
        <f>IF(R205="","",IF(AND(BS205&gt;1,BS205&lt;12,Tabla1[[#This Row],[T.A. SISTOLICA - ANTES DE SEMANA 12]]="",Tabla1[[#This Row],[T.A. DIASTOLICA - ANTES DE SEMANA 12]]=""),"REGISTRE DATO TA ANTES SEMANA 12",IF(AND(BS205&gt;11,BS205&lt;43,Tabla1[[#This Row],[T.A. SISTOLICA - ANTES DE SEMANA 12]]="",Tabla1[[#This Row],[T.A. DIASTOLICA - ANTES DE SEMANA 12]]=""),"NO APLICA REGISTRO TA-INGRESO TARDIO",IF(AND(OR(O205&gt;0,R205&gt;0),OR(CR205&gt;=140,CS205&gt;=90)),"DEFINIR ESTADIO HTA",IF(AND(OR(O205&gt;0,R205&gt;0),AND(CR205&gt;120,CR205&lt;=139)),"PRE HTA SEGUIMIENTO",IF(AND(OR(O205&gt;0,R205&gt;0),AND(CS205&gt;80,CS205&lt;=89)),"PRE HTA SEGUIMIENTO",IF(AND(OR(O205&gt;0,R205&gt;0),AND(CR205&gt;=80,CR205&lt;=120)),"APARENTEMENTE NORMAL",IF(AND(OR(O205&gt;0,R205&gt;0),AND(CS205&gt;=50,CS205&lt;=80)),"APARENTEMENTE NORMAL",IF(AND(OR(O205&gt;0,R205&gt;0),AND(CR205&gt;1,CR205&lt;=70),AND(CS205&gt;1,CS205&lt;=40)),"HIPOTENSIÓN","")))))))))</f>
        <v>APARENTEMENTE NORMAL</v>
      </c>
      <c r="CU205" s="21">
        <v>100</v>
      </c>
      <c r="CV205" s="21">
        <v>60</v>
      </c>
      <c r="CW205" s="217" t="str">
        <f>IF(R205="","",IF(AND(CN205&gt;19,CN205&lt;27,Tabla1[[#This Row],[T.A. SISTOLICA (Entre semana 20 y 26)]]="",Tabla1[[#This Row],[T.A. DIATOLICA (Entre semana 20 y 26)]]=""),"ACUDE A CONTROL SEM 20 A 26 REGISTRE TA AHORA",IF(AND(BS205&gt;1,BS205&lt;27,BU205&gt;19,Tabla1[[#This Row],[T.A. SISTOLICA (Entre semana 20 y 26)]]="",Tabla1[[#This Row],[T.A. DIATOLICA (Entre semana 20 y 26)]]=""),"COMPLETE REGISTRO TA CONTROL SEM 20 A26 ",IF(AND(BS205&gt;26,BS205&lt;43,Tabla1[[#This Row],[T.A. SISTOLICA (Entre semana 20 y 26)]]="",Tabla1[[#This Row],[T.A. DIATOLICA (Entre semana 20 y 26)]]=""),"NO APLICA REGISTRO TA-INGRESO TARDIO",IF(AND(OR(O205&gt;0,R205&gt;0),OR(CU205&gt;=140,CV205&gt;=90)),"ALTO RIESGO PREECLAMPSIA,DEFINIR ESTADIO HTA",IF(AND(OR(O205&gt;0,R205&gt;0),AND(CU205&gt;120,CU205&lt;=139)),"PRE HTA SEGUIMIENTO,RIESGO HIPERTENSION INDUCIDA POR EL EMBARAZO",IF(AND(OR(O205&gt;0,R205&gt;0),AND(CV205&gt;80,CV205&lt;=89)),"PRE HTA SEGUIMIENTO, RIESGO HIPERTENSION INDUCIDA POR EL EMBARAZO",IF(AND(OR(O205&lt;&gt;"",R205&lt;&gt;""),CS205&lt;&gt;"",CV205&lt;&gt;"",CS205&lt;=CV205),"VIGILAR CIFRAS PRESION ARTERIAL",IF(AND(OR(O205&gt;0,R205&gt;0),AND(CU205&gt;120,CU205&lt;=139)),"PRE HTA SEGUIMIENTO",IF(AND(OR(O205&gt;0,R205&gt;0),AND(CU205&gt;1,CU205&lt;=70),AND(CV205&gt;1,CV205&lt;=40)),"HIPOTENSIÓN",IF(AND(OR(O205&lt;&gt;"",R205&lt;&gt;""),CS205&lt;&gt;"",CV205&lt;&gt;"",CS205&gt;CV205),"APARENTEMENTE NORMAL",IF(AND(OR(O205&gt;0,R205&gt;0),AND(CU205&gt;=80,CU205&lt;=120)),"APARENTEMENTE NORMAL",IF(AND(OR(O205&gt;0,R205&gt;0),AND(CV205&gt;=50,CV205&lt;=80)),"APARENTEMENTE NORMAL","")))))))))))))</f>
        <v>APARENTEMENTE NORMAL</v>
      </c>
      <c r="CX205" s="21">
        <v>100</v>
      </c>
      <c r="CY205" s="21">
        <v>60</v>
      </c>
      <c r="CZ205" s="216" t="str">
        <f>IF(R205="","",IF(AND(CN205&gt;31,CN205&lt;35,CX205="",CY205=""),"ACUDE A CONTROL SEM 30 A 34- REGISTRE AHORA",IF(AND(BS205&gt;34,BS205&lt;43,CX206="",CY206=""),"NO APLICA-INGRESO TARDIO",IF(AND(OR(O205&gt;0,R205&gt;0),OR(CX205&gt;=140,CY205&gt;=90)),"ESTUDIO INMEDIATO HTA PARA DESCARTAR PREECLAMSIA",IF(AND(OR(O205&gt;0,R205&gt;0),AND(CX205&gt;=130,CX205&lt;=139)),"PRE HTA,RIESGO ALTO PREECLAMPSIA",IF(AND(OR(O205&gt;0,R205&gt;0),AND(CY205&gt;80,CY205&lt;=89)),"PRE HTA,RIESGO ALTO PREECLAMPSIA",IF(AND(OR(O205&gt;0,R205&gt;0),AND(CX205&gt;120,CX205&lt;=129)),"RANGO PREHIPERTENSIVO SEGUIMIENTO HTA",IF(AND(OR(O205&lt;&gt;"",R205&lt;&gt;""),CS205&lt;&gt;"",CY205&lt;&gt;"",CS205&lt;CY205),"VIGILAR CIFRAS PRESION ARTERIAL",IF(AND(OR(O205&lt;&gt;"",R205&lt;&gt;""),CS205&lt;&gt;"",CY205&lt;&gt;"",CS205=CY205),"APARENTEMENTE NORMAL",IF(AND(OR(O205&gt;0,R205&gt;0),CX205&gt;=80,CX205&lt;=120),"APARENTEMENTE NORMAL",IF(AND(OR(O205&gt;0,R205&gt;0),CY205&gt;=50,CY205&lt;=80),"APARENTEMENTE NORMAL","")))))))))))</f>
        <v>APARENTEMENTE NORMAL</v>
      </c>
      <c r="DA205" s="21">
        <v>100</v>
      </c>
      <c r="DB205" s="21">
        <v>60</v>
      </c>
      <c r="DC205" s="217" t="str">
        <f t="shared" si="851"/>
        <v>APARENTEMENTE NORMAL</v>
      </c>
      <c r="DD205" s="22">
        <v>44992</v>
      </c>
      <c r="DE205" s="22">
        <v>44992</v>
      </c>
      <c r="DF205" s="22">
        <v>45062</v>
      </c>
      <c r="DG205" s="22">
        <v>45113</v>
      </c>
      <c r="DH205" s="22"/>
      <c r="DI205" s="22"/>
      <c r="DJ205" s="22"/>
      <c r="DK205" s="22"/>
      <c r="DL205" s="22"/>
      <c r="DM205" s="22"/>
      <c r="DN205" s="22"/>
      <c r="DO205" s="22"/>
      <c r="DP205" s="22"/>
      <c r="DQ205" s="22"/>
      <c r="DR205" s="28"/>
      <c r="DS205" s="22"/>
      <c r="DT205" s="22"/>
      <c r="DU205" s="216" t="str">
        <f t="shared" si="920"/>
        <v>SALE SIN PLAN DE PARTO</v>
      </c>
      <c r="DV205" s="226" t="str">
        <f t="shared" si="921"/>
        <v>ACTIVA INGRESO A CPN</v>
      </c>
      <c r="DW20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05" s="216" t="e">
        <f t="shared" ca="1" si="852"/>
        <v>#REF!</v>
      </c>
      <c r="DY205" s="212">
        <f>IF(R205="","",IF(R205&gt;0,MAX(Tabla1[[#This Row],[FECHA C2]:[FECHA C13]],Tabla1[[#This Row],[FECHA CONSULTA PRIMERA VEZ PROGRAMA CPN ]])))</f>
        <v>45113</v>
      </c>
      <c r="DZ205" s="216">
        <f t="shared" si="853"/>
        <v>31</v>
      </c>
      <c r="EA205" s="222">
        <f>IF(R205&gt;0,SUM(COUNTA(DF205:DQ205)+COUNTA(Tabla1[[#This Row],[FECHA CONSULTA PRIMERA VEZ PROGRAMA CPN ]])),"")</f>
        <v>3</v>
      </c>
      <c r="EB205" s="222" t="str">
        <f t="shared" si="854"/>
        <v>NO</v>
      </c>
      <c r="EC205" s="214">
        <f t="shared" si="855"/>
        <v>8</v>
      </c>
      <c r="ED205" s="227">
        <f t="shared" si="856"/>
        <v>0.375</v>
      </c>
      <c r="EE205" s="296">
        <v>44992</v>
      </c>
      <c r="EF205" s="22">
        <v>45121</v>
      </c>
      <c r="EG205" s="296">
        <v>44992</v>
      </c>
      <c r="EH205" s="22"/>
      <c r="EI205" s="296">
        <v>44992</v>
      </c>
      <c r="EJ205" s="22"/>
      <c r="EK205" s="22"/>
      <c r="EL205" s="21"/>
      <c r="EM205" s="21">
        <v>11.5</v>
      </c>
      <c r="EN205" s="22">
        <v>45066</v>
      </c>
      <c r="EO205" s="222">
        <f t="shared" si="857"/>
        <v>25.242857142856728</v>
      </c>
      <c r="EP205" s="214" t="str">
        <f t="shared" si="858"/>
        <v>NORMAL- SUMINISTRAR SULFATO FERROSO</v>
      </c>
      <c r="EQ205" s="216" t="str">
        <f t="shared" si="859"/>
        <v>II TRIM</v>
      </c>
      <c r="ER205" s="24">
        <v>11.2</v>
      </c>
      <c r="ES205" s="22">
        <v>45124</v>
      </c>
      <c r="ET205" s="29">
        <f t="shared" si="922"/>
        <v>33.528571428571013</v>
      </c>
      <c r="EU205" s="25" t="str">
        <f t="shared" si="860"/>
        <v>NORMAL- SUMINISTRAR SULFATO FERROSO</v>
      </c>
      <c r="EV205" s="24" t="s">
        <v>1510</v>
      </c>
      <c r="EW205" s="22">
        <v>45066</v>
      </c>
      <c r="EX205" s="22"/>
      <c r="EY205" s="29">
        <f t="shared" si="693"/>
        <v>25.242857142856728</v>
      </c>
      <c r="EZ205" s="25" t="str">
        <f t="shared" si="694"/>
        <v>SIN RIESGO DE ISOINMUNIZACIÓN</v>
      </c>
      <c r="FA205" s="21">
        <v>82</v>
      </c>
      <c r="FB205" s="22">
        <v>45066</v>
      </c>
      <c r="FC205" s="29" t="str">
        <f t="shared" si="861"/>
        <v>NO APLICA &gt; 23 SEM -TOMAR PTOG</v>
      </c>
      <c r="FD205" s="29">
        <v>57</v>
      </c>
      <c r="FE205" s="29">
        <v>109</v>
      </c>
      <c r="FF205" s="29">
        <v>90</v>
      </c>
      <c r="FG205" s="21" t="str">
        <f t="shared" si="862"/>
        <v>NORMAL</v>
      </c>
      <c r="FH205" s="31">
        <v>45121</v>
      </c>
      <c r="FI205" s="29">
        <f t="shared" si="863"/>
        <v>33.099999999999582</v>
      </c>
      <c r="FJ205" s="22"/>
      <c r="FK205" s="22"/>
      <c r="FL205" s="29" t="str">
        <f t="shared" si="864"/>
        <v>NO APLICA-INGRESO TARDIO</v>
      </c>
      <c r="FM205" s="22" t="s">
        <v>867</v>
      </c>
      <c r="FN205" s="32">
        <v>45066</v>
      </c>
      <c r="FO205" s="29">
        <f t="shared" si="923"/>
        <v>25.242857142856728</v>
      </c>
      <c r="FP205" s="22" t="s">
        <v>867</v>
      </c>
      <c r="FQ205" s="32">
        <v>45121</v>
      </c>
      <c r="FR205" s="29">
        <f t="shared" si="924"/>
        <v>33.099999999999582</v>
      </c>
      <c r="FS205" s="22"/>
      <c r="FT205" s="32"/>
      <c r="FU205" s="29" t="str">
        <f>IF(AND(FJ205="",FM205="",FP205="",FS205=""),"",IF(OR(OR(Tabla1[[#This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05" s="28"/>
      <c r="FW205" s="22"/>
      <c r="FX205" s="29" t="str">
        <f t="shared" si="865"/>
        <v>TOMAR EXAMEN</v>
      </c>
      <c r="FY205" s="22"/>
      <c r="FZ205" s="22"/>
      <c r="GA205" s="29" t="str">
        <f t="shared" si="739"/>
        <v>NO APLICA-INGRESO TARDIO</v>
      </c>
      <c r="GB205" s="22" t="s">
        <v>868</v>
      </c>
      <c r="GC205" s="22">
        <v>45066</v>
      </c>
      <c r="GD205" s="29">
        <f t="shared" si="925"/>
        <v>25.242857142856728</v>
      </c>
      <c r="GE205" s="22" t="s">
        <v>868</v>
      </c>
      <c r="GF205" s="22">
        <v>45121</v>
      </c>
      <c r="GG205" s="29">
        <f t="shared" si="926"/>
        <v>33.099999999999582</v>
      </c>
      <c r="GH205" s="22"/>
      <c r="GI205" s="29"/>
      <c r="GJ205" s="22"/>
      <c r="GK205" s="22"/>
      <c r="GL205" s="22"/>
      <c r="GM205" s="22"/>
      <c r="GN205" s="28" t="s">
        <v>869</v>
      </c>
      <c r="GO205" s="22">
        <v>45066</v>
      </c>
      <c r="GP205" s="29">
        <f t="shared" si="866"/>
        <v>25.242857142856728</v>
      </c>
      <c r="GQ205" s="28" t="s">
        <v>869</v>
      </c>
      <c r="GR205" s="28" t="s">
        <v>869</v>
      </c>
      <c r="GS205" s="22" t="str">
        <f t="shared" si="728"/>
        <v>CONTROL Igm</v>
      </c>
      <c r="GT205" s="22">
        <v>45066</v>
      </c>
      <c r="GU205" s="29">
        <f t="shared" si="867"/>
        <v>28.285714285714285</v>
      </c>
      <c r="GV205" s="21" t="str">
        <f t="shared" si="868"/>
        <v>III TRIM</v>
      </c>
      <c r="GW205" s="28"/>
      <c r="GX205" s="30"/>
      <c r="GY205" s="21"/>
      <c r="GZ205" s="21"/>
      <c r="HA205" s="21"/>
      <c r="HB205" s="21"/>
      <c r="HC205" s="21"/>
      <c r="HD205" s="21"/>
      <c r="HE205" s="21"/>
      <c r="HF205" s="22"/>
      <c r="HG205" s="22" t="str">
        <f>IF(OR(O205&gt;0,R205&gt;0),CONCATENATE(IF(Tabla1[[#This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05" s="22" t="e">
        <f t="shared" si="869"/>
        <v>#REF!</v>
      </c>
      <c r="HI205" s="22" t="e">
        <f t="shared" si="870"/>
        <v>#REF!</v>
      </c>
      <c r="HJ205" s="21" t="str">
        <f t="shared" si="871"/>
        <v>*************************CESAREAS PREVIAS**************</v>
      </c>
      <c r="HK205" s="21" t="str">
        <f t="shared" si="872"/>
        <v>SIN ANTECEDENTES DE RIESGO</v>
      </c>
      <c r="HL205" s="24" t="str">
        <f t="shared" si="873"/>
        <v>APARENTEMENTE NORMAL</v>
      </c>
      <c r="HM205" s="21" t="e">
        <f t="shared" ca="1" si="874"/>
        <v>#REF!</v>
      </c>
      <c r="HN205" s="30" t="str">
        <f t="shared" si="927"/>
        <v>ACTIVA INGRESO A CPN</v>
      </c>
      <c r="HO205" s="21"/>
      <c r="HP205" s="21"/>
      <c r="HQ205" s="21"/>
      <c r="HR205" s="21" t="str">
        <f>IF(R205="","",IF(Tabla1[[#This Row],[ALARMA FACTORES DE RIESGO COMPLICACIONES HIPERTENSIVAS3]]="SIN ANTECEDENTES DE RIESGO","No Aplica para suministro de ASA",IF(AND(Tabla1[[#This Row],[FECHA INICIO DE SUMINISTRO DE ASA]]&gt;0,RV205&lt;12),"Inicia ASA ANTES de Sem 12",IF(AND(RV205&gt;11,RV205&lt;17,OR(HK205="RIESGO ALTO DE COMPLICACIONES HIPERTENSIVAS VER MANEJO GUIA SUMINISTRO ASA Y CALCIO",HK205="RIESGO MODERADO (2 O MAS CRITERIOS) VER MANEJO GUIA SUMINISTRO ASA Y CALCIO")),"Inicio oportuno de ASA",IF(AND(RV205&gt;12,OR(HK205="RIESGO ALTO DE COMPLICACIONES HIPERTENSIVAS VER MANEJO GUIA SUMINISTRO ASA Y CALCIO",HK205="RIESGO MODERADO (2 O MAS CRITERIOS) VER MANEJO GUIA SUMINISTRO ASA Y CALCIO")),"Inicio no oportuno mayor a 16 semanas",IF(AND(BU205&lt;12,OR(HK205="RIESGO ALTO DE COMPLICACIONES HIPERTENSIVAS VER MANEJO GUIA SUMINISTRO ASA Y CALCIO",HK205="RIESGO MODERADO (2 O MAS CRITERIOS) VER MANEJO GUIA SUMINISTRO ASA Y CALCIO")),"Pendiente Inicio de ASA a la semana 12",IF(AND(BU205&gt;11,BU205&lt;17,OR(HK205="RIESGO ALTO DE COMPLICACIONES HIPERTENSIVAS VER MANEJO GUIA SUMINISTRO ASA Y CALCIO",HK205="RIESGO MODERADO (2 O MAS CRITERIOS) VER MANEJO GUIA SUMINISTRO ASA Y CALCIO")),"Iniciar de inmediato ASA",IF(AND(BU205&gt;16,OR(HK205="RIESGO ALTO DE COMPLICACIONES HIPERTENSIVAS VER MANEJO GUIA SUMINISTRO ASA Y CALCIO",HK205="RIESGO MODERADO (2 O MAS CRITERIOS) VER MANEJO GUIA SUMINISTRO ASA Y CALCIO")),"Pierde Oportunidad, Inicio tardío de ASA","XXXXX"))))))))</f>
        <v>No Aplica para suministro de ASA</v>
      </c>
      <c r="HS205" s="22">
        <v>44992</v>
      </c>
      <c r="HT205" s="22" t="s">
        <v>1518</v>
      </c>
      <c r="HU205" s="22">
        <v>44992</v>
      </c>
      <c r="HV205" s="22" t="s">
        <v>1544</v>
      </c>
      <c r="HW205" s="22">
        <v>44992</v>
      </c>
      <c r="HX205" s="22" t="s">
        <v>1511</v>
      </c>
      <c r="HY205" s="22">
        <v>44992</v>
      </c>
      <c r="HZ205" s="28">
        <f t="shared" si="875"/>
        <v>14.671428571428155</v>
      </c>
      <c r="IA205" s="26" t="s">
        <v>864</v>
      </c>
      <c r="IB205" s="26"/>
      <c r="IC205" s="22">
        <v>45091</v>
      </c>
      <c r="ID205" s="22">
        <v>45091</v>
      </c>
      <c r="IE205" s="22" t="str">
        <f t="shared" si="876"/>
        <v>VACUNA APLICADA ENTRE SEMANA 27 Y EL PARTO</v>
      </c>
      <c r="IF205" s="22"/>
      <c r="IG205" s="22">
        <f t="shared" si="877"/>
        <v>45169.3</v>
      </c>
      <c r="IH205" s="29">
        <f t="shared" ca="1" si="878"/>
        <v>-62.69999999999709</v>
      </c>
      <c r="II205" s="22" t="str">
        <f t="shared" ca="1" si="879"/>
        <v>POSIBLEMENTE NACIO</v>
      </c>
      <c r="IJ205" s="22"/>
      <c r="IK205" s="21"/>
      <c r="IL205" s="21"/>
      <c r="IM205" s="34"/>
      <c r="IN205" s="349"/>
      <c r="IO205" s="21"/>
      <c r="IP205" s="29" t="str">
        <f t="shared" si="880"/>
        <v/>
      </c>
      <c r="IQ205" s="35"/>
      <c r="IR205" s="21"/>
      <c r="IS205" s="21"/>
      <c r="IT205" s="21"/>
      <c r="IU205" s="21"/>
      <c r="IV205" s="21"/>
      <c r="IW205" s="21"/>
      <c r="IX205" s="21"/>
      <c r="IY205" s="21"/>
      <c r="IZ205" s="21"/>
      <c r="JA205" s="21"/>
      <c r="JB205" s="30"/>
      <c r="JC205" s="21"/>
      <c r="JD205" s="36"/>
      <c r="JE205" s="21" t="str">
        <f t="shared" si="881"/>
        <v/>
      </c>
      <c r="JF205" s="30"/>
      <c r="JG205" s="21"/>
      <c r="JH205" s="21"/>
      <c r="JI205" s="21"/>
      <c r="JJ205" s="30"/>
      <c r="JK205" s="22"/>
      <c r="JL205" s="22"/>
      <c r="JM205" s="21"/>
      <c r="JN205" s="36"/>
      <c r="JO205" s="21" t="str">
        <f t="shared" si="882"/>
        <v/>
      </c>
      <c r="JP205" s="22"/>
      <c r="JQ205" s="21"/>
      <c r="JR205" s="21"/>
      <c r="JS205" s="21"/>
      <c r="JT205" s="30"/>
      <c r="JU205" s="22"/>
      <c r="JV205" s="22"/>
      <c r="JW205" s="33"/>
      <c r="JX205" s="28" t="str">
        <f t="shared" si="883"/>
        <v/>
      </c>
      <c r="JY205" s="33"/>
      <c r="JZ205" s="28" t="str">
        <f t="shared" si="884"/>
        <v/>
      </c>
      <c r="KA205" s="21"/>
      <c r="KB205" s="21"/>
      <c r="KC205" s="21"/>
      <c r="KD205" s="37"/>
      <c r="KE205" s="28"/>
      <c r="KF205" s="28"/>
      <c r="KG205" s="28"/>
      <c r="KH205" s="39"/>
      <c r="KI205" s="39"/>
      <c r="KJ205" s="66"/>
      <c r="KK205" s="39"/>
      <c r="KL205" s="39"/>
      <c r="KM205" s="66"/>
      <c r="KN205" s="39"/>
      <c r="KO205" s="39"/>
      <c r="KP205" s="39"/>
      <c r="KQ205" s="39"/>
      <c r="KR205" s="39"/>
      <c r="KS205" s="39"/>
      <c r="KT205" s="39"/>
      <c r="KU205" s="38"/>
      <c r="KV205" s="38"/>
      <c r="KW205" s="38"/>
      <c r="KX205" s="38"/>
      <c r="KY205" s="38"/>
      <c r="KZ205" s="38"/>
      <c r="LA205" s="38"/>
      <c r="LB205" s="38"/>
      <c r="LC205" s="38"/>
      <c r="LD205" s="38"/>
      <c r="LE205" s="38"/>
      <c r="LF205" s="38"/>
      <c r="LG205" s="38"/>
      <c r="LH205" s="38"/>
      <c r="LI205" s="38"/>
      <c r="LJ205" s="38"/>
      <c r="LK205" s="38"/>
      <c r="LL205" s="38"/>
      <c r="LM205" s="38"/>
      <c r="LN205" s="38"/>
      <c r="LO205" s="38"/>
      <c r="LP205" s="38"/>
      <c r="LQ205" s="38"/>
      <c r="LR205" s="38"/>
      <c r="LS205" s="38"/>
      <c r="LT205" s="38"/>
      <c r="LU205" s="38"/>
      <c r="LV205" s="38"/>
      <c r="LW205" s="38"/>
      <c r="LX205" s="38"/>
      <c r="LY205" s="38"/>
      <c r="LZ205" s="38"/>
      <c r="MA205" s="38"/>
      <c r="MB205" s="38"/>
      <c r="MC205" s="38"/>
      <c r="MD205" s="38"/>
      <c r="ME205" s="38"/>
      <c r="MF205" s="38"/>
      <c r="MG205" s="38"/>
      <c r="MH205" s="43">
        <f t="shared" si="885"/>
        <v>0</v>
      </c>
      <c r="MI205" s="43" t="str">
        <f t="shared" si="886"/>
        <v/>
      </c>
      <c r="MJ205" s="43" t="str">
        <f t="shared" si="887"/>
        <v/>
      </c>
      <c r="MK205" s="43">
        <f t="shared" si="888"/>
        <v>0</v>
      </c>
      <c r="ML20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05" s="43">
        <f t="shared" si="889"/>
        <v>14.671428571428155</v>
      </c>
      <c r="MN205" s="43">
        <f t="shared" si="890"/>
        <v>3</v>
      </c>
      <c r="MO205" s="43">
        <f t="shared" si="891"/>
        <v>2023</v>
      </c>
      <c r="MP205" s="43" t="str">
        <f t="shared" si="892"/>
        <v>I TRIMESTRE AÑO</v>
      </c>
      <c r="MQ205" s="43">
        <f t="shared" si="893"/>
        <v>23.992553657468239</v>
      </c>
      <c r="MR205" s="43">
        <f t="shared" si="894"/>
        <v>0</v>
      </c>
      <c r="MS205" s="43" t="str">
        <f t="shared" si="895"/>
        <v xml:space="preserve"> DE 20 A 24 AÑOS</v>
      </c>
      <c r="MT205" s="43">
        <f t="shared" si="896"/>
        <v>0</v>
      </c>
      <c r="MU205" s="43">
        <f t="shared" si="897"/>
        <v>0</v>
      </c>
      <c r="MV205" s="43">
        <f t="shared" si="898"/>
        <v>1</v>
      </c>
      <c r="MW205" s="43">
        <f t="shared" si="899"/>
        <v>0</v>
      </c>
      <c r="MX205" s="43" t="str">
        <f t="shared" si="900"/>
        <v/>
      </c>
      <c r="MY205" s="43" t="str">
        <f t="shared" si="901"/>
        <v/>
      </c>
      <c r="MZ205" s="43" t="str">
        <f t="shared" si="902"/>
        <v/>
      </c>
      <c r="NA205" s="43" t="str">
        <f t="shared" si="903"/>
        <v/>
      </c>
      <c r="NB205" s="43" t="str">
        <f t="shared" si="904"/>
        <v/>
      </c>
      <c r="NC205" s="43" t="str">
        <f t="shared" si="905"/>
        <v/>
      </c>
      <c r="ND205" s="43">
        <f t="shared" si="906"/>
        <v>1</v>
      </c>
      <c r="NE205" s="43">
        <f>IF(OR(O205&gt;0,R205&gt;0),SUM(COUNTIF(Tabla1[[#This Row],[AÑOS AL INICIO5 CPN]],"&gt;=40"),COUNTIF(AS205,"0"),COUNTIF(AR205,"SI"),COUNTIF(CC205,"SI"),COUNTIF(BQ205,"&gt;119"),COUNTIF(CI205,"&gt;=35")),"")</f>
        <v>0</v>
      </c>
      <c r="NF205" s="43">
        <f t="shared" si="907"/>
        <v>28.814285714285298</v>
      </c>
      <c r="NG205" s="43">
        <f t="shared" si="908"/>
        <v>0</v>
      </c>
      <c r="NH205" s="43">
        <f t="shared" si="909"/>
        <v>231.70000000000002</v>
      </c>
      <c r="NI20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CPN",P205="NO"),"Z",IF(AND(Tabla1[[#This Row],[CITA PROXIMO CONTROL]]="CITA MANUAL",Tabla1[[#This Row],[GESTANTES ACTUALES]]="ACTIVA INGRESO A CPN"),"W",IF(AND(Tabla1[[#This Row],[GESTANTES ACTUALES]]="SALIO PROGRAMA",IN205=""),"S",IF(AND(Tabla1[[#This Row],[CITA PROXIMO CONTROL]]&gt;0,IN205=""),(Tabla1[[#This Row],[CITA PROXIMO CONTROL]]-TODAY()),"SD"))))))))</f>
        <v>#REF!</v>
      </c>
      <c r="NJ205" s="43">
        <f>MONTH(Tabla1[[#This Row],[FECHA DE SALIDA  DEL PROGRAMA]])</f>
        <v>1</v>
      </c>
      <c r="NK205" s="43">
        <f>YEAR(Tabla1[[#This Row],[FECHA DE SALIDA  DEL PROGRAMA]])</f>
        <v>1900</v>
      </c>
      <c r="NL205" s="43" t="str">
        <f t="shared" si="910"/>
        <v>X</v>
      </c>
      <c r="NM205" s="43" t="str">
        <f t="shared" si="911"/>
        <v>NO</v>
      </c>
      <c r="NN205" s="43" t="str">
        <f>IF(AND(O205&gt;0,R205=""),"NO CPN",IF(AND(O205="",R205=""),"",IF(AND(R205&gt;0,Tabla1[[#This Row],[SEMANAS DE GESTACION ACTUALIZADAS]]&lt;=12),"NO APLICA",IF(AND(FH205&lt;&gt;"",FN205&lt;&gt;""),"SI","NO"))))</f>
        <v>NO APLICA</v>
      </c>
      <c r="NO205" s="43" t="str">
        <f>IF(AND(O205&gt;0,R205=""),"NO CPN",IF(AND(O205="",R205=""),"",IF(AND(R205&gt;0,Tabla1[[#This Row],[SEMANAS DE GESTACION ACTUALIZADAS]]&lt;=27),"NO APLICA",IF(AND(ES205&lt;&gt;"",FQ205&lt;&gt;"",GF205&lt;&gt;""),"SI","NO"))))</f>
        <v>NO APLICA</v>
      </c>
      <c r="NP205" s="204" t="str">
        <f t="shared" si="912"/>
        <v>II TRIM</v>
      </c>
      <c r="NQ205" s="21" t="str">
        <f>IF(AND(IP206&gt;0,IP206&lt;37),10,IF(OR(CD206="Transversa",CD206="Oblicua"),9,IF(CC206="SI",8,IF(AND(AT206=0,AW206=0,CC206="NO",CD206="Cefálica",IP206&gt;=37,IT206="INICIO ESPONTÁNEO"),1,IF(AND(AND(AT206=0,AW206=0,CC206="NO",CD206="Cefálica",IP206&gt;=37),OR(IT206="LE HACEN INDUCCIÓN",IT206="LE HACEN CESÁREA SIN INICIO TRABAJO DE PARTO")),2,IF(AND(AT206&gt;=1,AW206=0,CC206="NO",CD206="Cefálica",IP206&gt;=37,IT206="INICIO ESPONTÁNEO"),3,IF(AND(AND(AT206&gt;=1,AW206=0,CC206="NO",CD206="Cefálica",IP206&gt;=37),OR(IT206="LE HACEN INDUCCIÓN",IT206="LE HACEN CESÁREA SIN INICIO TRABAJO DE PARTO")),4,IF(AND(AND(AT206&gt;=1,AW206&gt;=1,CC206="NO",CD206="Cefálica",IP206&gt;=37),OR(IT206="LE HACEN INDUCCIÓN",IT206="LE HACEN CESÁREA SIN INICIO TRABAJO DE PARTO",IT206="INICIO ESPONTÁNEO")),5,IF(AND(AND(AT206=0,AW206=0,CC206="NO",CD206="Podálica",IP206&gt;=1),OR(IT206="LE HACEN INDUCCIÓN",IT206="LE HACEN CESÁREA SIN INICIO TRABAJO DE PARTO",IT206="INICIO ESPONTÁNEO")),6,IF(AND(AND(AT206&gt;=1,CC206="NO",CD206="Podálica",IP206&gt;=1),OR(IT206="LE HACEN INDUCCIÓN",IT206="LE HACEN CESÁREA SIN INICIO TRABAJO DE PARTO",IT206="INICIO ESPONTÁNEO"),OR(AW206=0,AW206&gt;=1)),7,""))))))))))</f>
        <v/>
      </c>
      <c r="NR205" s="21" t="str">
        <f t="shared" si="913"/>
        <v>REVISAR FUM O FECHA SALIDA PROGRAMA</v>
      </c>
      <c r="NS205" s="205">
        <f t="shared" si="914"/>
        <v>2</v>
      </c>
      <c r="NT205" s="21">
        <f t="shared" si="915"/>
        <v>2</v>
      </c>
      <c r="NU205" s="21" t="str">
        <f t="shared" si="916"/>
        <v>POR DEFINIR</v>
      </c>
      <c r="NV205" s="21" t="str">
        <f t="shared" si="917"/>
        <v>POR DEFINIR</v>
      </c>
      <c r="NW205" s="206" t="str">
        <f>IF(AND(O205="",R205=""),"",IF(OR(AND(Tabla1[[#This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05" s="207" t="str">
        <f t="shared" si="918"/>
        <v>VACUNADA</v>
      </c>
      <c r="NY205" s="43">
        <f>ROW(Tabla1[[#This Row],['# DE TAMIZAJES SIFILIS TOMADOS ]])</f>
        <v>205</v>
      </c>
      <c r="NZ205" s="43">
        <f t="shared" si="740"/>
        <v>14</v>
      </c>
      <c r="OA205" s="43" t="str">
        <f t="shared" si="741"/>
        <v/>
      </c>
      <c r="OB205" s="43" t="str">
        <f t="shared" si="742"/>
        <v/>
      </c>
      <c r="OC205" s="43" t="str">
        <f t="shared" si="743"/>
        <v/>
      </c>
      <c r="OD205" s="43" t="str">
        <f t="shared" si="744"/>
        <v/>
      </c>
      <c r="OE205" s="43" t="str">
        <f t="shared" si="745"/>
        <v/>
      </c>
      <c r="OF205" s="43" t="str">
        <f t="shared" si="746"/>
        <v>NORMAL</v>
      </c>
      <c r="OG205" s="43" t="str">
        <f t="shared" si="747"/>
        <v/>
      </c>
      <c r="OH205" s="43" t="str">
        <f t="shared" si="748"/>
        <v/>
      </c>
      <c r="OI205" s="43" t="str">
        <f t="shared" si="749"/>
        <v/>
      </c>
      <c r="OJ205" s="43" t="str">
        <f t="shared" si="750"/>
        <v/>
      </c>
      <c r="OK205" s="43" t="str">
        <f t="shared" si="751"/>
        <v/>
      </c>
      <c r="OL205" s="43" t="str">
        <f t="shared" si="752"/>
        <v/>
      </c>
      <c r="OM205" s="43" t="str">
        <f t="shared" si="753"/>
        <v/>
      </c>
      <c r="ON205" s="43" t="str">
        <f t="shared" si="754"/>
        <v/>
      </c>
      <c r="OO205" s="43" t="str">
        <f t="shared" si="755"/>
        <v/>
      </c>
      <c r="OP205" s="43" t="str">
        <f t="shared" si="756"/>
        <v/>
      </c>
      <c r="OQ205" s="43" t="str">
        <f t="shared" si="757"/>
        <v/>
      </c>
      <c r="OR205" s="43" t="str">
        <f t="shared" si="758"/>
        <v/>
      </c>
      <c r="OS205" s="43" t="str">
        <f t="shared" si="759"/>
        <v/>
      </c>
      <c r="OT205" s="43" t="str">
        <f t="shared" si="760"/>
        <v/>
      </c>
      <c r="OU205" s="43" t="str">
        <f t="shared" si="761"/>
        <v/>
      </c>
      <c r="OV205" s="110" t="str">
        <f t="shared" si="762"/>
        <v/>
      </c>
      <c r="OW205" s="43" t="str">
        <f t="shared" si="763"/>
        <v/>
      </c>
      <c r="OX205" s="43" t="str">
        <f t="shared" si="764"/>
        <v/>
      </c>
      <c r="OY205" s="43" t="str">
        <f t="shared" si="765"/>
        <v/>
      </c>
      <c r="OZ205" s="43" t="str">
        <f t="shared" si="766"/>
        <v/>
      </c>
      <c r="PA205" s="43" t="str">
        <f t="shared" si="767"/>
        <v/>
      </c>
      <c r="PB205" s="43" t="str">
        <f t="shared" si="768"/>
        <v/>
      </c>
      <c r="PC205" s="43" t="str">
        <f t="shared" si="769"/>
        <v/>
      </c>
      <c r="PD205" s="43" t="str">
        <f t="shared" si="770"/>
        <v/>
      </c>
      <c r="PE205" s="43" t="str">
        <f t="shared" si="771"/>
        <v/>
      </c>
      <c r="PF205" s="43" t="str">
        <f t="shared" si="772"/>
        <v/>
      </c>
      <c r="PG205" s="43" t="str">
        <f t="shared" si="773"/>
        <v/>
      </c>
      <c r="PH205" s="43" t="str">
        <f t="shared" si="774"/>
        <v/>
      </c>
      <c r="PI205" s="43">
        <f t="shared" si="775"/>
        <v>31</v>
      </c>
      <c r="PJ205" s="43" t="str">
        <f t="shared" si="776"/>
        <v/>
      </c>
      <c r="PK205" s="43" t="str">
        <f t="shared" si="777"/>
        <v/>
      </c>
      <c r="PL205" s="43" t="str">
        <f t="shared" si="778"/>
        <v/>
      </c>
      <c r="PM205" s="43" t="str">
        <f t="shared" si="779"/>
        <v/>
      </c>
      <c r="PN205" s="43" t="str">
        <f t="shared" si="780"/>
        <v/>
      </c>
      <c r="PO205" s="43" t="str">
        <f t="shared" si="781"/>
        <v/>
      </c>
      <c r="PP205" s="43" t="str">
        <f t="shared" si="782"/>
        <v/>
      </c>
      <c r="PQ205" s="43" t="str">
        <f t="shared" si="783"/>
        <v/>
      </c>
      <c r="PR205" s="43" t="str">
        <f t="shared" si="784"/>
        <v/>
      </c>
      <c r="PS205" s="43" t="str">
        <f t="shared" si="785"/>
        <v/>
      </c>
      <c r="PT205" s="43" t="str">
        <f t="shared" si="786"/>
        <v/>
      </c>
      <c r="PU205" s="43" t="str">
        <f t="shared" si="787"/>
        <v/>
      </c>
      <c r="PV205" s="43" t="str">
        <f t="shared" si="788"/>
        <v/>
      </c>
      <c r="PW205" s="43" t="str">
        <f t="shared" si="789"/>
        <v/>
      </c>
      <c r="PX205" s="43" t="str">
        <f t="shared" si="790"/>
        <v/>
      </c>
      <c r="PY205" s="43" t="str">
        <f t="shared" si="791"/>
        <v/>
      </c>
      <c r="PZ205" s="43" t="str">
        <f t="shared" si="792"/>
        <v/>
      </c>
      <c r="QA205" s="43" t="str">
        <f t="shared" si="793"/>
        <v/>
      </c>
      <c r="QB205" s="43" t="str">
        <f t="shared" si="794"/>
        <v/>
      </c>
      <c r="QC205" s="43" t="str">
        <f t="shared" si="795"/>
        <v/>
      </c>
      <c r="QD205" s="43" t="str">
        <f t="shared" si="796"/>
        <v/>
      </c>
      <c r="QE205" s="43" t="str">
        <f t="shared" si="797"/>
        <v/>
      </c>
      <c r="QF205" s="43" t="str">
        <f t="shared" si="798"/>
        <v>SOBREPESO</v>
      </c>
      <c r="QG205" s="43" t="str">
        <f t="shared" si="799"/>
        <v/>
      </c>
      <c r="QH205" s="43" t="str">
        <f t="shared" si="800"/>
        <v/>
      </c>
      <c r="QI205" s="43" t="str">
        <f t="shared" si="801"/>
        <v/>
      </c>
      <c r="QJ205" s="43" t="str">
        <f t="shared" si="802"/>
        <v/>
      </c>
      <c r="QK205" s="43" t="str">
        <f t="shared" si="803"/>
        <v/>
      </c>
      <c r="QL205" s="43" t="str">
        <f t="shared" si="804"/>
        <v/>
      </c>
      <c r="QM205" s="43" t="str">
        <f t="shared" si="805"/>
        <v/>
      </c>
      <c r="QN205" s="43" t="str">
        <f t="shared" si="806"/>
        <v/>
      </c>
      <c r="QO205" s="43" t="str">
        <f t="shared" si="807"/>
        <v/>
      </c>
      <c r="QP205" s="43" t="str">
        <f t="shared" si="808"/>
        <v/>
      </c>
      <c r="QQ205" s="43" t="str">
        <f t="shared" si="809"/>
        <v/>
      </c>
      <c r="QR205" s="43">
        <f t="shared" si="839"/>
        <v>31</v>
      </c>
      <c r="QS205" s="43"/>
      <c r="QT205" s="21" t="str">
        <f t="shared" si="810"/>
        <v/>
      </c>
      <c r="QU205" s="21" t="str">
        <f t="shared" si="811"/>
        <v/>
      </c>
      <c r="QV205" s="21" t="str">
        <f t="shared" si="812"/>
        <v/>
      </c>
      <c r="QW205" s="21" t="str">
        <f t="shared" si="813"/>
        <v/>
      </c>
      <c r="QX205" s="21" t="str">
        <f t="shared" si="814"/>
        <v/>
      </c>
      <c r="QY205" s="21" t="str">
        <f t="shared" si="815"/>
        <v/>
      </c>
      <c r="QZ205" s="21" t="str">
        <f t="shared" si="816"/>
        <v/>
      </c>
      <c r="RA205" s="21" t="str">
        <f t="shared" si="817"/>
        <v/>
      </c>
      <c r="RB205" s="21" t="str">
        <f t="shared" si="818"/>
        <v/>
      </c>
      <c r="RC205" s="21" t="str">
        <f t="shared" si="819"/>
        <v/>
      </c>
      <c r="RD205" s="21" t="str">
        <f t="shared" si="820"/>
        <v/>
      </c>
      <c r="RE205" s="21" t="str">
        <f t="shared" si="821"/>
        <v/>
      </c>
      <c r="RF205" s="21" t="str">
        <f t="shared" si="822"/>
        <v/>
      </c>
      <c r="RG205" s="21" t="str">
        <f t="shared" si="823"/>
        <v/>
      </c>
      <c r="RH205" s="21" t="str">
        <f t="shared" si="824"/>
        <v/>
      </c>
      <c r="RI205" s="21" t="str">
        <f t="shared" si="825"/>
        <v/>
      </c>
      <c r="RJ205" s="21" t="str">
        <f t="shared" si="826"/>
        <v/>
      </c>
      <c r="RK205" s="21" t="str">
        <f t="shared" si="827"/>
        <v/>
      </c>
      <c r="RL205" s="21" t="str">
        <f t="shared" si="828"/>
        <v>ALTO PARA EDAD GESTACIONAL</v>
      </c>
      <c r="RM205" s="21" t="str">
        <f t="shared" si="829"/>
        <v/>
      </c>
      <c r="RN205" s="21" t="str">
        <f t="shared" si="830"/>
        <v/>
      </c>
      <c r="RO205" s="21" t="str">
        <f t="shared" si="831"/>
        <v/>
      </c>
      <c r="RP205" s="21" t="str">
        <f t="shared" si="832"/>
        <v/>
      </c>
      <c r="RQ205" s="21" t="str">
        <f t="shared" si="833"/>
        <v/>
      </c>
      <c r="RR205" s="21" t="str">
        <f t="shared" si="834"/>
        <v/>
      </c>
      <c r="RS205" s="21" t="str">
        <f t="shared" si="835"/>
        <v/>
      </c>
      <c r="RT205" s="21" t="str">
        <f t="shared" si="836"/>
        <v/>
      </c>
      <c r="RU205" s="21" t="str">
        <f t="shared" si="837"/>
        <v/>
      </c>
      <c r="RV205" s="21">
        <f t="shared" si="838"/>
        <v>-1</v>
      </c>
      <c r="RW205" s="284">
        <f>IF(OR(Tabla1[[#This Row],[FUM FORMULA CONFIABLE]]="",Tabla1[[#This Row],[FUM FORMULA CONFIABLE]]="SD"),"",IF(Tabla1[[#This Row],[FUM FORMULA CONFIABLE]]="CORREGIDA",Tabla1[[#This Row],[FUM X ECO 1]],Tabla1[[#This Row],[FUM x AMENORREA]]))</f>
        <v>44889.3</v>
      </c>
      <c r="RX205" s="21">
        <f>IF(AND(Tabla1[[#This Row],[FUM X ECO 1]]="",Tabla1[[#This Row],[FUM x AMENORREA]]=""),"",IF(AND(Tabla1[[#This Row],[FUM X ECO 1]]="",Tabla1[[#This Row],[FUM x AMENORREA]]&lt;&gt;""),"X",SUM(Tabla1[[#This Row],[FUM X ECO 1]]-Tabla1[[#This Row],[FUM x AMENORREA]])))</f>
        <v>21.30000000000291</v>
      </c>
      <c r="RY205" s="21">
        <f t="shared" si="840"/>
        <v>1</v>
      </c>
    </row>
    <row r="206" spans="1:493" ht="45" customHeight="1" x14ac:dyDescent="0.25">
      <c r="A206" s="109"/>
      <c r="B206" s="43"/>
      <c r="C206" s="43" t="s">
        <v>845</v>
      </c>
      <c r="D206" s="124"/>
      <c r="E206" s="43" t="s">
        <v>1361</v>
      </c>
      <c r="F206" s="43" t="s">
        <v>1470</v>
      </c>
      <c r="G206" s="43" t="s">
        <v>1553</v>
      </c>
      <c r="H206" s="43"/>
      <c r="I206" s="109" t="s">
        <v>851</v>
      </c>
      <c r="J206" s="110">
        <v>1059595865</v>
      </c>
      <c r="K206" s="43" t="s">
        <v>852</v>
      </c>
      <c r="L206" s="175" t="s">
        <v>1509</v>
      </c>
      <c r="M206" s="22">
        <v>31513</v>
      </c>
      <c r="N206" s="213">
        <f t="shared" ca="1" si="841"/>
        <v>37.586301369863016</v>
      </c>
      <c r="O206" s="22">
        <v>45112</v>
      </c>
      <c r="P206" s="214" t="str">
        <f t="shared" si="919"/>
        <v>SI</v>
      </c>
      <c r="Q206" s="26" t="s">
        <v>855</v>
      </c>
      <c r="R206" s="22">
        <v>45112</v>
      </c>
      <c r="S206" s="21" t="s">
        <v>856</v>
      </c>
      <c r="T206" s="24" t="s">
        <v>690</v>
      </c>
      <c r="U206" s="21" t="s">
        <v>857</v>
      </c>
      <c r="V206" s="21" t="s">
        <v>858</v>
      </c>
      <c r="W206" s="21" t="s">
        <v>1062</v>
      </c>
      <c r="X206" s="21" t="s">
        <v>859</v>
      </c>
      <c r="Y206" s="21" t="s">
        <v>859</v>
      </c>
      <c r="Z206" s="21" t="s">
        <v>894</v>
      </c>
      <c r="AA206" s="21" t="s">
        <v>860</v>
      </c>
      <c r="AB206" s="27" t="s">
        <v>861</v>
      </c>
      <c r="AC206" s="26" t="s">
        <v>862</v>
      </c>
      <c r="AD206" s="38" t="s">
        <v>1546</v>
      </c>
      <c r="AE206" s="26" t="s">
        <v>854</v>
      </c>
      <c r="AF206" s="26" t="s">
        <v>854</v>
      </c>
      <c r="AG206" s="23" t="s">
        <v>864</v>
      </c>
      <c r="AH206" s="23" t="s">
        <v>864</v>
      </c>
      <c r="AI206" s="24" t="s">
        <v>863</v>
      </c>
      <c r="AJ206" s="23" t="s">
        <v>864</v>
      </c>
      <c r="AK206" s="220" t="str">
        <f>IF(AND(AD206="",AE206="",AF206="",AG206="",AH206="",AI206="",AJ206=""),"",IF(OR(Tabla1[[#This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EVALUACIÓN",IF(AND(O206="",R206=""),"",IF(AND(OR(O206&gt;0,R206&gt;0),NG206&gt;=0,NG206&lt;2),"SIN RIESGO",IF(AND(OR(O206&gt;0,R206&gt;0),NG206&gt;=2),"CON RIESGO","ASD")))))</f>
        <v>SIN RIESGO</v>
      </c>
      <c r="AL206" s="23" t="s">
        <v>864</v>
      </c>
      <c r="AM206" s="26" t="s">
        <v>864</v>
      </c>
      <c r="AN206" s="26" t="s">
        <v>864</v>
      </c>
      <c r="AO206" s="26" t="s">
        <v>864</v>
      </c>
      <c r="AP206" s="26" t="s">
        <v>864</v>
      </c>
      <c r="AQ206" s="26" t="s">
        <v>864</v>
      </c>
      <c r="AR206" s="26" t="s">
        <v>864</v>
      </c>
      <c r="AS206" s="21">
        <v>4</v>
      </c>
      <c r="AT206" s="21">
        <v>4</v>
      </c>
      <c r="AU206" s="21">
        <v>0</v>
      </c>
      <c r="AV206" s="26" t="s">
        <v>864</v>
      </c>
      <c r="AW206" s="21">
        <v>0</v>
      </c>
      <c r="AX206" s="26" t="s">
        <v>864</v>
      </c>
      <c r="AY206" s="26" t="s">
        <v>864</v>
      </c>
      <c r="AZ206" s="26" t="s">
        <v>864</v>
      </c>
      <c r="BA206" s="26" t="s">
        <v>864</v>
      </c>
      <c r="BB206" s="26" t="s">
        <v>864</v>
      </c>
      <c r="BC206" s="26" t="s">
        <v>864</v>
      </c>
      <c r="BD206" s="26" t="s">
        <v>864</v>
      </c>
      <c r="BE206" s="26" t="s">
        <v>864</v>
      </c>
      <c r="BF206" s="26" t="s">
        <v>864</v>
      </c>
      <c r="BG206" s="26" t="s">
        <v>864</v>
      </c>
      <c r="BH206" s="26" t="s">
        <v>864</v>
      </c>
      <c r="BI206" s="26" t="s">
        <v>864</v>
      </c>
      <c r="BJ206" s="26" t="s">
        <v>864</v>
      </c>
      <c r="BK206" s="26" t="s">
        <v>864</v>
      </c>
      <c r="BL206" s="26" t="s">
        <v>864</v>
      </c>
      <c r="BM206" s="26" t="s">
        <v>864</v>
      </c>
      <c r="BN206" s="22">
        <v>43397</v>
      </c>
      <c r="BO206" s="22">
        <v>45076</v>
      </c>
      <c r="BP206" s="21" t="s">
        <v>854</v>
      </c>
      <c r="BQ206" s="222">
        <f t="shared" si="842"/>
        <v>55.966666666666669</v>
      </c>
      <c r="BR206" s="223">
        <f t="shared" si="843"/>
        <v>45075.5</v>
      </c>
      <c r="BS206" s="224">
        <f t="shared" si="844"/>
        <v>5.1428571428571432</v>
      </c>
      <c r="BT206" s="216" t="str">
        <f t="shared" si="845"/>
        <v>I TRIM</v>
      </c>
      <c r="BU206" s="214">
        <f t="shared" ref="BU206:BU248" ca="1" si="928">IF(AND(BO206="",BR206=""),"",IF(SUM((TODAY()-RW206)/7)&gt;43.1,"",IF(AND(RW206&gt;0,OR(BP206="si",BP206="Corregida",BP206="NO")),SUM((TODAY()-RW206)/7),"")))</f>
        <v>22.285714285714285</v>
      </c>
      <c r="BV206" s="25" t="s">
        <v>1478</v>
      </c>
      <c r="BW206" s="22">
        <v>45121</v>
      </c>
      <c r="BX206" s="28">
        <v>6.5</v>
      </c>
      <c r="BY206" s="28"/>
      <c r="BZ206" s="22"/>
      <c r="CA206" s="21"/>
      <c r="CB206" s="26" t="s">
        <v>864</v>
      </c>
      <c r="CC206" s="26" t="s">
        <v>864</v>
      </c>
      <c r="CD206" s="26"/>
      <c r="CE206" s="26" t="s">
        <v>864</v>
      </c>
      <c r="CF206" s="22" t="s">
        <v>1517</v>
      </c>
      <c r="CG206" s="21">
        <v>1.51</v>
      </c>
      <c r="CH206" s="21">
        <v>48.6</v>
      </c>
      <c r="CI206" s="214">
        <f t="shared" si="847"/>
        <v>21.314854611639841</v>
      </c>
      <c r="CJ206" s="225" t="str">
        <f>IF(AND(CI206&lt;10,CH206="SD"),"SIN DATO PESO PREGESTACION O I TRIM",IF(AND(OR(R206&gt;0,O206&gt;0),CI206="X"),"INGRESAR DATO DE PESO",IF(CI206="SD","INGRESAR DATO DE TALLA Y PESO",IF(AND(OR(Tabla1[[#This Row],[MOMENTO EN QUE SE REALIZA EL PESO AL INGRESO A CPN]]="PREGESTACIÓN",NZ206="Menor"),CI206&lt;18.5),"BAJO PESO",IF(AND(OR(Tabla1[[#This Row],[MOMENTO EN QUE SE REALIZA EL PESO AL INGRESO A CPN]]="PREGESTACIÓN",NZ206="Menor"),CI206&lt;25),"NORMAL",IF(AND(OR(Tabla1[[#This Row],[MOMENTO EN QUE SE REALIZA EL PESO AL INGRESO A CPN]]="PREGESTACIÓN",NZ206="Menor"),CI206&lt;30),"SOBREPESO",IF(AND(OR(Tabla1[[#This Row],[MOMENTO EN QUE SE REALIZA EL PESO AL INGRESO A CPN]]="PREGESTACIÓN",NZ206="Menor"),CI206&gt;=30,CI206&lt;50),"OBESIDAD",IF(AND(BS206&gt;0,Tabla1[[#This Row],[MOMENTO EN QUE SE REALIZA EL PESO AL INGRESO A CPN]]="GESTACIÓN"),HLOOKUP(NZ206,$OA$2:PH206,NY206),""))))))))</f>
        <v>NORMAL</v>
      </c>
      <c r="CK206" s="212">
        <f t="shared" si="848"/>
        <v>45147</v>
      </c>
      <c r="CL206" s="21">
        <v>50</v>
      </c>
      <c r="CM206" s="214">
        <f t="shared" si="849"/>
        <v>21.928862769176792</v>
      </c>
      <c r="CN206" s="216">
        <f t="shared" si="850"/>
        <v>10</v>
      </c>
      <c r="CO206" s="216" t="e">
        <f>IF(PI206="","",IF(PI206&gt;0,HLOOKUP(PI206,$PJ$2:QQ206,NY206),""))</f>
        <v>#REF!</v>
      </c>
      <c r="CP206" s="21"/>
      <c r="CQ206" s="216" t="str">
        <f>IF(QR206="Menor","NO APLICA-MENOR 13 SEM",IF(AND(CC206="SI",CN206&gt;23),"NO APLICA- GEMELAR",IF(QR206="","",IF(QR206&gt;0,HLOOKUP(QR206,$QS$2:RU206,NY206),""))))</f>
        <v>NO APLICA-MENOR 13 SEM</v>
      </c>
      <c r="CR206" s="21">
        <v>120</v>
      </c>
      <c r="CS206" s="21">
        <v>80</v>
      </c>
      <c r="CT206" s="217" t="str">
        <f>IF(R206="","",IF(AND(BS206&gt;1,BS206&lt;12,Tabla1[[#This Row],[T.A. SISTOLICA - ANTES DE SEMANA 12]]="",Tabla1[[#This Row],[T.A. DIASTOLICA - ANTES DE SEMANA 12]]=""),"REGISTRE DATO TA ANTES SEMANA 12",IF(AND(BS206&gt;11,BS206&lt;43,Tabla1[[#This Row],[T.A. SISTOLICA - ANTES DE SEMANA 12]]="",Tabla1[[#This Row],[T.A. DIASTOLICA - ANTES DE SEMANA 12]]=""),"NO APLICA REGISTRO TA-INGRESO TARDIO",IF(AND(OR(O206&gt;0,R206&gt;0),OR(CR206&gt;=140,CS206&gt;=90)),"DEFINIR ESTADIO HTA",IF(AND(OR(O206&gt;0,R206&gt;0),AND(CR206&gt;120,CR206&lt;=139)),"PRE HTA SEGUIMIENTO",IF(AND(OR(O206&gt;0,R206&gt;0),AND(CS206&gt;80,CS206&lt;=89)),"PRE HTA SEGUIMIENTO",IF(AND(OR(O206&gt;0,R206&gt;0),AND(CR206&gt;=80,CR206&lt;=120)),"APARENTEMENTE NORMAL",IF(AND(OR(O206&gt;0,R206&gt;0),AND(CS206&gt;=50,CS206&lt;=80)),"APARENTEMENTE NORMAL",IF(AND(OR(O206&gt;0,R206&gt;0),AND(CR206&gt;1,CR206&lt;=70),AND(CS206&gt;1,CS206&lt;=40)),"HIPOTENSIÓN","")))))))))</f>
        <v>APARENTEMENTE NORMAL</v>
      </c>
      <c r="CU206" s="21"/>
      <c r="CV206" s="21"/>
      <c r="CW206" s="217" t="str">
        <f ca="1">IF(R206="","",IF(AND(CN206&gt;19,CN206&lt;27,Tabla1[[#This Row],[T.A. SISTOLICA (Entre semana 20 y 26)]]="",Tabla1[[#This Row],[T.A. DIATOLICA (Entre semana 20 y 26)]]=""),"ACUDE A CONTROL SEM 20 A 26 REGISTRE TA AHORA",IF(AND(BS206&gt;1,BS206&lt;27,BU206&gt;19,Tabla1[[#This Row],[T.A. SISTOLICA (Entre semana 20 y 26)]]="",Tabla1[[#This Row],[T.A. DIATOLICA (Entre semana 20 y 26)]]=""),"COMPLETE REGISTRO TA CONTROL SEM 20 A26 ",IF(AND(BS206&gt;26,BS206&lt;43,Tabla1[[#This Row],[T.A. SISTOLICA (Entre semana 20 y 26)]]="",Tabla1[[#This Row],[T.A. DIATOLICA (Entre semana 20 y 26)]]=""),"NO APLICA REGISTRO TA-INGRESO TARDIO",IF(AND(OR(O206&gt;0,R206&gt;0),OR(CU206&gt;=140,CV206&gt;=90)),"ALTO RIESGO PREECLAMPSIA,DEFINIR ESTADIO HTA",IF(AND(OR(O206&gt;0,R206&gt;0),AND(CU206&gt;120,CU206&lt;=139)),"PRE HTA SEGUIMIENTO,RIESGO HIPERTENSION INDUCIDA POR EL EMBARAZO",IF(AND(OR(O206&gt;0,R206&gt;0),AND(CV206&gt;80,CV206&lt;=89)),"PRE HTA SEGUIMIENTO, RIESGO HIPERTENSION INDUCIDA POR EL EMBARAZO",IF(AND(OR(O206&lt;&gt;"",R206&lt;&gt;""),CS206&lt;&gt;"",CV206&lt;&gt;"",CS206&lt;=CV206),"VIGILAR CIFRAS PRESION ARTERIAL",IF(AND(OR(O206&gt;0,R206&gt;0),AND(CU206&gt;120,CU206&lt;=139)),"PRE HTA SEGUIMIENTO",IF(AND(OR(O206&gt;0,R206&gt;0),AND(CU206&gt;1,CU206&lt;=70),AND(CV206&gt;1,CV206&lt;=40)),"HIPOTENSIÓN",IF(AND(OR(O206&lt;&gt;"",R206&lt;&gt;""),CS206&lt;&gt;"",CV206&lt;&gt;"",CS206&gt;CV206),"APARENTEMENTE NORMAL",IF(AND(OR(O206&gt;0,R206&gt;0),AND(CU206&gt;=80,CU206&lt;=120)),"APARENTEMENTE NORMAL",IF(AND(OR(O206&gt;0,R206&gt;0),AND(CV206&gt;=50,CV206&lt;=80)),"APARENTEMENTE NORMAL","")))))))))))))</f>
        <v xml:space="preserve">COMPLETE REGISTRO TA CONTROL SEM 20 A26 </v>
      </c>
      <c r="CX206" s="21"/>
      <c r="CY206" s="21"/>
      <c r="CZ206" s="216" t="e">
        <f>IF(R206="","",IF(AND(CN206&gt;31,CN206&lt;35,CX206="",CY206=""),"ACUDE A CONTROL SEM 30 A 34- REGISTRE AHORA",IF(AND(BS206&gt;34,BS206&lt;43,#REF!="",#REF!=""),"NO APLICA-INGRESO TARDIO",IF(AND(OR(O206&gt;0,R206&gt;0),OR(CX206&gt;=140,CY206&gt;=90)),"ESTUDIO INMEDIATO HTA PARA DESCARTAR PREECLAMSIA",IF(AND(OR(O206&gt;0,R206&gt;0),AND(CX206&gt;=130,CX206&lt;=139)),"PRE HTA,RIESGO ALTO PREECLAMPSIA",IF(AND(OR(O206&gt;0,R206&gt;0),AND(CY206&gt;80,CY206&lt;=89)),"PRE HTA,RIESGO ALTO PREECLAMPSIA",IF(AND(OR(O206&gt;0,R206&gt;0),AND(CX206&gt;120,CX206&lt;=129)),"RANGO PREHIPERTENSIVO SEGUIMIENTO HTA",IF(AND(OR(O206&lt;&gt;"",R206&lt;&gt;""),CS206&lt;&gt;"",CY206&lt;&gt;"",CS206&lt;CY206),"VIGILAR CIFRAS PRESION ARTERIAL",IF(AND(OR(O206&lt;&gt;"",R206&lt;&gt;""),CS206&lt;&gt;"",CY206&lt;&gt;"",CS206=CY206),"APARENTEMENTE NORMAL",IF(AND(OR(O206&gt;0,R206&gt;0),CX206&gt;=80,CX206&lt;=120),"APARENTEMENTE NORMAL",IF(AND(OR(O206&gt;0,R206&gt;0),CY206&gt;=50,CY206&lt;=80),"APARENTEMENTE NORMAL","")))))))))))</f>
        <v>#REF!</v>
      </c>
      <c r="DA206" s="21">
        <v>120</v>
      </c>
      <c r="DB206" s="21">
        <v>70</v>
      </c>
      <c r="DC206" s="217" t="str">
        <f t="shared" si="851"/>
        <v>APARENTEMENTE NORMAL</v>
      </c>
      <c r="DD206" s="22">
        <v>45112</v>
      </c>
      <c r="DE206" s="22">
        <v>45112</v>
      </c>
      <c r="DF206" s="22">
        <v>45147</v>
      </c>
      <c r="DG206" s="22"/>
      <c r="DH206" s="22"/>
      <c r="DI206" s="22"/>
      <c r="DJ206" s="22"/>
      <c r="DK206" s="22"/>
      <c r="DL206" s="22"/>
      <c r="DM206" s="22"/>
      <c r="DN206" s="22"/>
      <c r="DO206" s="22"/>
      <c r="DP206" s="22"/>
      <c r="DQ206" s="22"/>
      <c r="DR206" s="28"/>
      <c r="DS206" s="22"/>
      <c r="DT206" s="22"/>
      <c r="DU206" s="216" t="str">
        <f t="shared" ca="1" si="920"/>
        <v>EN ESPERA</v>
      </c>
      <c r="DV206" s="226" t="str">
        <f t="shared" si="921"/>
        <v>ACTIVA INGRESO A CPN</v>
      </c>
      <c r="DW20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06" s="216" t="e">
        <f t="shared" ca="1" si="852"/>
        <v>#REF!</v>
      </c>
      <c r="DY206" s="212">
        <f>IF(R206="","",IF(R206&gt;0,MAX(Tabla1[[#This Row],[FECHA C2]:[FECHA C13]],Tabla1[[#This Row],[FECHA CONSULTA PRIMERA VEZ PROGRAMA CPN ]])))</f>
        <v>45147</v>
      </c>
      <c r="DZ206" s="216">
        <f t="shared" si="853"/>
        <v>10</v>
      </c>
      <c r="EA206" s="222">
        <f>IF(R206&gt;0,SUM(COUNTA(DF206:DQ206)+COUNTA(Tabla1[[#This Row],[FECHA CONSULTA PRIMERA VEZ PROGRAMA CPN ]])),"")</f>
        <v>2</v>
      </c>
      <c r="EB206" s="222" t="str">
        <f t="shared" si="854"/>
        <v>NO</v>
      </c>
      <c r="EC206" s="214">
        <f t="shared" si="855"/>
        <v>10</v>
      </c>
      <c r="ED206" s="227">
        <f t="shared" si="856"/>
        <v>0.2</v>
      </c>
      <c r="EE206" s="22">
        <v>45112</v>
      </c>
      <c r="EF206" s="22">
        <v>45121</v>
      </c>
      <c r="EG206" s="22">
        <v>45112</v>
      </c>
      <c r="EH206" s="22"/>
      <c r="EI206" s="22">
        <v>45112</v>
      </c>
      <c r="EJ206" s="22"/>
      <c r="EK206" s="22"/>
      <c r="EL206" s="21"/>
      <c r="EM206" s="21">
        <v>12.6</v>
      </c>
      <c r="EN206" s="22">
        <v>45112</v>
      </c>
      <c r="EO206" s="222">
        <f t="shared" si="857"/>
        <v>5.1428571428571432</v>
      </c>
      <c r="EP206" s="214" t="str">
        <f t="shared" si="858"/>
        <v>NORMAL- SUMINISTRAR SULFATO FERROSO</v>
      </c>
      <c r="EQ206" s="216" t="str">
        <f t="shared" si="859"/>
        <v>I TRIM</v>
      </c>
      <c r="ER206" s="24"/>
      <c r="ES206" s="22"/>
      <c r="ET206" s="29" t="str">
        <f t="shared" ca="1" si="922"/>
        <v>EN ESPERA PARA TOMA EXAMEN</v>
      </c>
      <c r="EU206" s="25" t="str">
        <f t="shared" si="860"/>
        <v/>
      </c>
      <c r="EV206" s="24" t="s">
        <v>1628</v>
      </c>
      <c r="EW206" s="32">
        <v>45114</v>
      </c>
      <c r="EX206" s="22"/>
      <c r="EY206" s="29">
        <f t="shared" si="693"/>
        <v>5.4285714285714288</v>
      </c>
      <c r="EZ206" s="25" t="str">
        <f t="shared" ca="1" si="694"/>
        <v>TOMAR COOMBS INMEDIATO PARA DEFINIR MANEJO</v>
      </c>
      <c r="FA206" s="21">
        <v>77</v>
      </c>
      <c r="FB206" s="32">
        <v>45114</v>
      </c>
      <c r="FC206" s="29">
        <f t="shared" si="861"/>
        <v>5.4285714285714288</v>
      </c>
      <c r="FD206" s="29"/>
      <c r="FE206" s="29"/>
      <c r="FF206" s="29"/>
      <c r="FG206" s="21" t="str">
        <f t="shared" ca="1" si="862"/>
        <v>PROGRAMAR TOMA PTOG SIGUIENTE CONTROL</v>
      </c>
      <c r="FH206" s="31"/>
      <c r="FI206" s="29" t="str">
        <f t="shared" si="863"/>
        <v>TOMAR EXAMEN</v>
      </c>
      <c r="FJ206" s="22" t="s">
        <v>867</v>
      </c>
      <c r="FK206" s="32">
        <v>45114</v>
      </c>
      <c r="FL206" s="29">
        <f t="shared" ca="1" si="864"/>
        <v>5.4285714285714288</v>
      </c>
      <c r="FM206" s="22"/>
      <c r="FN206" s="32"/>
      <c r="FO206" s="29" t="str">
        <f t="shared" ca="1" si="923"/>
        <v>EN RANGO PARA TOMAR EXAMEN</v>
      </c>
      <c r="FP206" s="22"/>
      <c r="FQ206" s="32"/>
      <c r="FR206" s="29" t="str">
        <f t="shared" ca="1" si="924"/>
        <v>EN ESPERA-ESTÁ I TRIM O II TRIM</v>
      </c>
      <c r="FS206" s="22"/>
      <c r="FT206" s="32"/>
      <c r="FU206" s="29" t="str">
        <f>IF(AND(FJ206="",FM206="",FP206="",FS206=""),"",IF(OR(OR(Tabla1[[#This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06" s="28"/>
      <c r="FW206" s="22"/>
      <c r="FX206" s="29" t="str">
        <f t="shared" si="865"/>
        <v>TOMAR EXAMEN</v>
      </c>
      <c r="FY206" s="22" t="s">
        <v>868</v>
      </c>
      <c r="FZ206" s="32">
        <v>45114</v>
      </c>
      <c r="GA206" s="29">
        <f t="shared" ca="1" si="739"/>
        <v>5.4285714285714288</v>
      </c>
      <c r="GB206" s="22"/>
      <c r="GC206" s="22"/>
      <c r="GD206" s="29" t="str">
        <f t="shared" ca="1" si="925"/>
        <v>EN RANGO PARA TOMAR EXAMEN</v>
      </c>
      <c r="GE206" s="22"/>
      <c r="GF206" s="22"/>
      <c r="GG206" s="29" t="str">
        <f t="shared" ca="1" si="926"/>
        <v>EN ESPERA-ESTÁ I TRIM O II TRIM</v>
      </c>
      <c r="GH206" s="22"/>
      <c r="GI206" s="29"/>
      <c r="GJ206" s="22"/>
      <c r="GK206" s="22"/>
      <c r="GL206" s="22"/>
      <c r="GM206" s="22"/>
      <c r="GN206" s="28" t="s">
        <v>869</v>
      </c>
      <c r="GO206" s="32">
        <v>45114</v>
      </c>
      <c r="GP206" s="29">
        <f t="shared" si="866"/>
        <v>5.4285714285714288</v>
      </c>
      <c r="GQ206" s="28" t="s">
        <v>880</v>
      </c>
      <c r="GR206" s="28" t="s">
        <v>869</v>
      </c>
      <c r="GS206" s="22" t="str">
        <f t="shared" si="728"/>
        <v>SE EXCLUYE INFECCION</v>
      </c>
      <c r="GT206" s="22">
        <v>45114</v>
      </c>
      <c r="GU206" s="29">
        <f t="shared" si="867"/>
        <v>5.4285714285714288</v>
      </c>
      <c r="GV206" s="21" t="str">
        <f t="shared" si="868"/>
        <v>I TRIM</v>
      </c>
      <c r="GW206" s="28"/>
      <c r="GX206" s="30"/>
      <c r="GY206" s="21"/>
      <c r="GZ206" s="21"/>
      <c r="HA206" s="21"/>
      <c r="HB206" s="21"/>
      <c r="HC206" s="21"/>
      <c r="HD206" s="21"/>
      <c r="HE206" s="21"/>
      <c r="HF206" s="22"/>
      <c r="HG206" s="22" t="str">
        <f>IF(OR(O206&gt;0,R206&gt;0),CONCATENATE(IF(Tabla1[[#This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06" s="22" t="e">
        <f t="shared" si="869"/>
        <v>#REF!</v>
      </c>
      <c r="HI206" s="22" t="e">
        <f t="shared" ca="1" si="870"/>
        <v>#REF!</v>
      </c>
      <c r="HJ206" s="21" t="str">
        <f t="shared" ca="1" si="871"/>
        <v>************************RIESGO POR EDAD***************</v>
      </c>
      <c r="HK206" s="21" t="str">
        <f t="shared" si="872"/>
        <v>SIN ANTECEDENTES DE RIESGO</v>
      </c>
      <c r="HL206" s="24" t="str">
        <f t="shared" si="873"/>
        <v>APARENTEMENTE NORMAL</v>
      </c>
      <c r="HM206" s="21" t="e">
        <f t="shared" ca="1" si="874"/>
        <v>#REF!</v>
      </c>
      <c r="HN206" s="30" t="str">
        <f t="shared" si="927"/>
        <v>ACTIVA INGRESO A CPN</v>
      </c>
      <c r="HO206" s="21"/>
      <c r="HP206" s="21"/>
      <c r="HQ206" s="349"/>
      <c r="HR206" s="21" t="str">
        <f>IF(R206="","",IF(Tabla1[[#This Row],[ALARMA FACTORES DE RIESGO COMPLICACIONES HIPERTENSIVAS3]]="SIN ANTECEDENTES DE RIESGO","No Aplica para suministro de ASA",IF(AND(Tabla1[[#This Row],[FECHA INICIO DE SUMINISTRO DE ASA]]&gt;0,RV206&lt;12),"Inicia ASA ANTES de Sem 12",IF(AND(RV206&gt;11,RV206&lt;17,OR(HK206="RIESGO ALTO DE COMPLICACIONES HIPERTENSIVAS VER MANEJO GUIA SUMINISTRO ASA Y CALCIO",HK206="RIESGO MODERADO (2 O MAS CRITERIOS) VER MANEJO GUIA SUMINISTRO ASA Y CALCIO")),"Inicio oportuno de ASA",IF(AND(RV206&gt;12,OR(HK206="RIESGO ALTO DE COMPLICACIONES HIPERTENSIVAS VER MANEJO GUIA SUMINISTRO ASA Y CALCIO",HK206="RIESGO MODERADO (2 O MAS CRITERIOS) VER MANEJO GUIA SUMINISTRO ASA Y CALCIO")),"Inicio no oportuno mayor a 16 semanas",IF(AND(BU206&lt;12,OR(HK206="RIESGO ALTO DE COMPLICACIONES HIPERTENSIVAS VER MANEJO GUIA SUMINISTRO ASA Y CALCIO",HK206="RIESGO MODERADO (2 O MAS CRITERIOS) VER MANEJO GUIA SUMINISTRO ASA Y CALCIO")),"Pendiente Inicio de ASA a la semana 12",IF(AND(BU206&gt;11,BU206&lt;17,OR(HK206="RIESGO ALTO DE COMPLICACIONES HIPERTENSIVAS VER MANEJO GUIA SUMINISTRO ASA Y CALCIO",HK206="RIESGO MODERADO (2 O MAS CRITERIOS) VER MANEJO GUIA SUMINISTRO ASA Y CALCIO")),"Iniciar de inmediato ASA",IF(AND(BU206&gt;16,OR(HK206="RIESGO ALTO DE COMPLICACIONES HIPERTENSIVAS VER MANEJO GUIA SUMINISTRO ASA Y CALCIO",HK206="RIESGO MODERADO (2 O MAS CRITERIOS) VER MANEJO GUIA SUMINISTRO ASA Y CALCIO")),"Pierde Oportunidad, Inicio tardío de ASA","XXXXX"))))))))</f>
        <v>No Aplica para suministro de ASA</v>
      </c>
      <c r="HS206" s="22">
        <v>45114</v>
      </c>
      <c r="HT206" s="22" t="s">
        <v>1518</v>
      </c>
      <c r="HU206" s="22">
        <v>45114</v>
      </c>
      <c r="HV206" s="22" t="s">
        <v>1544</v>
      </c>
      <c r="HW206" s="22">
        <v>45114</v>
      </c>
      <c r="HX206" s="22" t="s">
        <v>1511</v>
      </c>
      <c r="HY206" s="22">
        <v>45112</v>
      </c>
      <c r="HZ206" s="28">
        <f t="shared" si="875"/>
        <v>5.1428571428571432</v>
      </c>
      <c r="IA206" s="26"/>
      <c r="IB206" s="26"/>
      <c r="IC206" s="111"/>
      <c r="ID206" s="22"/>
      <c r="IE206" s="22" t="str">
        <f t="shared" ca="1" si="876"/>
        <v>PROGRAMAR APLICACION DE VACUNA</v>
      </c>
      <c r="IF206" s="22"/>
      <c r="IG206" s="22">
        <f t="shared" si="877"/>
        <v>45356</v>
      </c>
      <c r="IH206" s="29">
        <f t="shared" ca="1" si="878"/>
        <v>124</v>
      </c>
      <c r="II206" s="22" t="str">
        <f t="shared" ca="1" si="879"/>
        <v>PENDIENTE</v>
      </c>
      <c r="IJ206" s="22"/>
      <c r="IK206" s="21"/>
      <c r="IL206" s="21"/>
      <c r="IM206" s="34"/>
      <c r="IN206" s="22"/>
      <c r="IO206" s="21"/>
      <c r="IP206" s="29" t="str">
        <f t="shared" si="880"/>
        <v/>
      </c>
      <c r="IQ206" s="35"/>
      <c r="IR206" s="21"/>
      <c r="IS206" s="21"/>
      <c r="IT206" s="21"/>
      <c r="IU206" s="21"/>
      <c r="IV206" s="21"/>
      <c r="IW206" s="21"/>
      <c r="IX206" s="21"/>
      <c r="IY206" s="21"/>
      <c r="IZ206" s="21"/>
      <c r="JA206" s="21"/>
      <c r="JB206" s="30"/>
      <c r="JC206" s="21"/>
      <c r="JD206" s="36"/>
      <c r="JE206" s="21" t="str">
        <f t="shared" si="881"/>
        <v/>
      </c>
      <c r="JF206" s="30"/>
      <c r="JG206" s="21"/>
      <c r="JH206" s="21"/>
      <c r="JI206" s="21"/>
      <c r="JJ206" s="30"/>
      <c r="JK206" s="22"/>
      <c r="JL206" s="22"/>
      <c r="JM206" s="21"/>
      <c r="JN206" s="36"/>
      <c r="JO206" s="21" t="str">
        <f t="shared" si="882"/>
        <v/>
      </c>
      <c r="JP206" s="22"/>
      <c r="JQ206" s="21"/>
      <c r="JR206" s="21"/>
      <c r="JS206" s="21"/>
      <c r="JT206" s="30"/>
      <c r="JU206" s="22"/>
      <c r="JV206" s="22"/>
      <c r="JW206" s="33"/>
      <c r="JX206" s="28" t="str">
        <f t="shared" si="883"/>
        <v/>
      </c>
      <c r="JY206" s="33"/>
      <c r="JZ206" s="28" t="str">
        <f t="shared" si="884"/>
        <v/>
      </c>
      <c r="KA206" s="21"/>
      <c r="KB206" s="21"/>
      <c r="KC206" s="21"/>
      <c r="KD206" s="37"/>
      <c r="KE206" s="28"/>
      <c r="KF206" s="28"/>
      <c r="KG206" s="28"/>
      <c r="KH206" s="39"/>
      <c r="KI206" s="39"/>
      <c r="KJ206" s="66"/>
      <c r="KK206" s="39"/>
      <c r="KL206" s="39"/>
      <c r="KM206" s="66"/>
      <c r="KN206" s="39"/>
      <c r="KO206" s="39"/>
      <c r="KP206" s="39"/>
      <c r="KQ206" s="39"/>
      <c r="KR206" s="39"/>
      <c r="KS206" s="39"/>
      <c r="KT206" s="39"/>
      <c r="KU206" s="38"/>
      <c r="KV206" s="38"/>
      <c r="KW206" s="38"/>
      <c r="KX206" s="38"/>
      <c r="KY206" s="38"/>
      <c r="KZ206" s="38"/>
      <c r="LA206" s="38"/>
      <c r="LB206" s="38"/>
      <c r="LC206" s="38"/>
      <c r="LD206" s="38"/>
      <c r="LE206" s="38"/>
      <c r="LF206" s="38"/>
      <c r="LG206" s="38"/>
      <c r="LH206" s="38"/>
      <c r="LI206" s="38"/>
      <c r="LJ206" s="38"/>
      <c r="LK206" s="38"/>
      <c r="LL206" s="38"/>
      <c r="LM206" s="38"/>
      <c r="LN206" s="38"/>
      <c r="LO206" s="38"/>
      <c r="LP206" s="38"/>
      <c r="LQ206" s="38"/>
      <c r="LR206" s="38"/>
      <c r="LS206" s="38"/>
      <c r="LT206" s="38"/>
      <c r="LU206" s="38"/>
      <c r="LV206" s="38"/>
      <c r="LW206" s="38"/>
      <c r="LX206" s="38"/>
      <c r="LY206" s="38"/>
      <c r="LZ206" s="38"/>
      <c r="MA206" s="38"/>
      <c r="MB206" s="38"/>
      <c r="MC206" s="38"/>
      <c r="MD206" s="38"/>
      <c r="ME206" s="38"/>
      <c r="MF206" s="38"/>
      <c r="MG206" s="38"/>
      <c r="MH206" s="43">
        <f t="shared" si="885"/>
        <v>0</v>
      </c>
      <c r="MI206" s="43" t="str">
        <f t="shared" si="886"/>
        <v/>
      </c>
      <c r="MJ206" s="43" t="str">
        <f t="shared" si="887"/>
        <v/>
      </c>
      <c r="MK206" s="43">
        <f t="shared" si="888"/>
        <v>0</v>
      </c>
      <c r="ML20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06" s="43">
        <f t="shared" si="889"/>
        <v>5.1428571428571432</v>
      </c>
      <c r="MN206" s="43">
        <f t="shared" si="890"/>
        <v>7</v>
      </c>
      <c r="MO206" s="43">
        <f t="shared" si="891"/>
        <v>2023</v>
      </c>
      <c r="MP206" s="43" t="str">
        <f t="shared" si="892"/>
        <v>III TRIMESTRE AÑO</v>
      </c>
      <c r="MQ206" s="43">
        <f t="shared" si="893"/>
        <v>36.695137976346906</v>
      </c>
      <c r="MR206" s="43">
        <f t="shared" si="894"/>
        <v>2</v>
      </c>
      <c r="MS206" s="43" t="str">
        <f t="shared" si="895"/>
        <v xml:space="preserve"> DE 35 A 39 AÑOS</v>
      </c>
      <c r="MT206" s="43">
        <f t="shared" si="896"/>
        <v>0</v>
      </c>
      <c r="MU206" s="43">
        <f t="shared" si="897"/>
        <v>0</v>
      </c>
      <c r="MV206" s="43">
        <f t="shared" si="898"/>
        <v>0</v>
      </c>
      <c r="MW206" s="43">
        <f t="shared" si="899"/>
        <v>0</v>
      </c>
      <c r="MX206" s="43" t="str">
        <f t="shared" si="900"/>
        <v/>
      </c>
      <c r="MY206" s="43" t="str">
        <f t="shared" ca="1" si="901"/>
        <v/>
      </c>
      <c r="MZ206" s="43" t="str">
        <f t="shared" si="902"/>
        <v/>
      </c>
      <c r="NA206" s="43" t="str">
        <f t="shared" si="903"/>
        <v/>
      </c>
      <c r="NB206" s="43" t="str">
        <f t="shared" si="904"/>
        <v/>
      </c>
      <c r="NC206" s="43" t="str">
        <f t="shared" si="905"/>
        <v/>
      </c>
      <c r="ND206" s="43">
        <f t="shared" ca="1" si="906"/>
        <v>2</v>
      </c>
      <c r="NE206" s="43">
        <f>IF(OR(O206&gt;0,R206&gt;0),SUM(COUNTIF(Tabla1[[#This Row],[AÑOS AL INICIO5 CPN]],"&gt;=40"),COUNTIF(AS206,"0"),COUNTIF(AR206,"SI"),COUNTIF(CC206,"SI"),COUNTIF(BQ206,"&gt;119"),COUNTIF(CI206,"&gt;=35")),"")</f>
        <v>0</v>
      </c>
      <c r="NF206" s="43" t="str">
        <f t="shared" si="907"/>
        <v/>
      </c>
      <c r="NG206" s="43">
        <f t="shared" si="908"/>
        <v>0</v>
      </c>
      <c r="NH206" s="43">
        <f t="shared" si="909"/>
        <v>45.5</v>
      </c>
      <c r="NI20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CPN",P206="NO"),"Z",IF(AND(Tabla1[[#This Row],[CITA PROXIMO CONTROL]]="CITA MANUAL",Tabla1[[#This Row],[GESTANTES ACTUALES]]="ACTIVA INGRESO A CPN"),"W",IF(AND(Tabla1[[#This Row],[GESTANTES ACTUALES]]="SALIO PROGRAMA",IN206=""),"S",IF(AND(Tabla1[[#This Row],[CITA PROXIMO CONTROL]]&gt;0,IN206=""),(Tabla1[[#This Row],[CITA PROXIMO CONTROL]]-TODAY()),"SD"))))))))</f>
        <v>#REF!</v>
      </c>
      <c r="NJ206" s="43">
        <f>MONTH(Tabla1[[#This Row],[FECHA DE SALIDA  DEL PROGRAMA]])</f>
        <v>1</v>
      </c>
      <c r="NK206" s="43">
        <f>YEAR(Tabla1[[#This Row],[FECHA DE SALIDA  DEL PROGRAMA]])</f>
        <v>1900</v>
      </c>
      <c r="NL206" s="43" t="str">
        <f t="shared" si="910"/>
        <v>X</v>
      </c>
      <c r="NM206" s="43" t="str">
        <f t="shared" si="911"/>
        <v>NO</v>
      </c>
      <c r="NN206" s="43" t="str">
        <f ca="1">IF(AND(O206&gt;0,R206=""),"NO CPN",IF(AND(O206="",R206=""),"",IF(AND(R206&gt;0,Tabla1[[#This Row],[SEMANAS DE GESTACION ACTUALIZADAS]]&lt;=12),"NO APLICA",IF(AND(FH206&lt;&gt;"",FN206&lt;&gt;""),"SI","NO"))))</f>
        <v>NO</v>
      </c>
      <c r="NO206" s="43" t="str">
        <f ca="1">IF(AND(O206&gt;0,R206=""),"NO CPN",IF(AND(O206="",R206=""),"",IF(AND(R206&gt;0,Tabla1[[#This Row],[SEMANAS DE GESTACION ACTUALIZADAS]]&lt;=27),"NO APLICA",IF(AND(ES206&lt;&gt;"",FQ206&lt;&gt;"",GF206&lt;&gt;""),"SI","NO"))))</f>
        <v>NO APLICA</v>
      </c>
      <c r="NP206" s="204" t="str">
        <f t="shared" si="912"/>
        <v>I TRIM</v>
      </c>
      <c r="NQ206"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206" s="21">
        <f t="shared" ca="1" si="913"/>
        <v>2</v>
      </c>
      <c r="NS206" s="205">
        <f t="shared" ca="1" si="914"/>
        <v>1</v>
      </c>
      <c r="NT206" s="21">
        <f t="shared" ca="1" si="915"/>
        <v>1</v>
      </c>
      <c r="NU206" s="21" t="str">
        <f t="shared" ca="1" si="916"/>
        <v>INCOMPLETO</v>
      </c>
      <c r="NV206" s="21" t="str">
        <f t="shared" ca="1" si="917"/>
        <v>INCOMPLETO</v>
      </c>
      <c r="NW206" s="206" t="str">
        <f>IF(AND(O206="",R206=""),"",IF(OR(AND(Tabla1[[#This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06" s="207" t="str">
        <f t="shared" ca="1" si="918"/>
        <v>SIN VACUNAR</v>
      </c>
      <c r="NY206" s="43">
        <f>ROW(Tabla1[[#This Row],['# DE TAMIZAJES SIFILIS TOMADOS ]])</f>
        <v>206</v>
      </c>
      <c r="NZ206" s="43" t="str">
        <f t="shared" si="740"/>
        <v>Menor</v>
      </c>
      <c r="OA206" s="43" t="str">
        <f t="shared" si="741"/>
        <v>NORMAL</v>
      </c>
      <c r="OB206" s="43" t="str">
        <f t="shared" si="742"/>
        <v/>
      </c>
      <c r="OC206" s="43" t="str">
        <f t="shared" si="743"/>
        <v/>
      </c>
      <c r="OD206" s="43" t="str">
        <f t="shared" si="744"/>
        <v/>
      </c>
      <c r="OE206" s="43" t="str">
        <f t="shared" si="745"/>
        <v/>
      </c>
      <c r="OF206" s="43" t="str">
        <f t="shared" si="746"/>
        <v/>
      </c>
      <c r="OG206" s="43" t="str">
        <f t="shared" si="747"/>
        <v/>
      </c>
      <c r="OH206" s="43" t="str">
        <f t="shared" si="748"/>
        <v/>
      </c>
      <c r="OI206" s="43" t="str">
        <f t="shared" si="749"/>
        <v/>
      </c>
      <c r="OJ206" s="43" t="str">
        <f t="shared" si="750"/>
        <v/>
      </c>
      <c r="OK206" s="43" t="str">
        <f t="shared" si="751"/>
        <v/>
      </c>
      <c r="OL206" s="43" t="str">
        <f t="shared" si="752"/>
        <v/>
      </c>
      <c r="OM206" s="43" t="str">
        <f t="shared" si="753"/>
        <v/>
      </c>
      <c r="ON206" s="43" t="str">
        <f t="shared" si="754"/>
        <v/>
      </c>
      <c r="OO206" s="43" t="str">
        <f t="shared" si="755"/>
        <v/>
      </c>
      <c r="OP206" s="43" t="str">
        <f t="shared" si="756"/>
        <v/>
      </c>
      <c r="OQ206" s="43" t="str">
        <f t="shared" si="757"/>
        <v/>
      </c>
      <c r="OR206" s="43" t="str">
        <f t="shared" si="758"/>
        <v/>
      </c>
      <c r="OS206" s="43" t="str">
        <f t="shared" si="759"/>
        <v/>
      </c>
      <c r="OT206" s="43" t="str">
        <f t="shared" si="760"/>
        <v/>
      </c>
      <c r="OU206" s="43" t="str">
        <f t="shared" si="761"/>
        <v/>
      </c>
      <c r="OV206" s="110" t="str">
        <f t="shared" si="762"/>
        <v/>
      </c>
      <c r="OW206" s="43" t="str">
        <f t="shared" si="763"/>
        <v/>
      </c>
      <c r="OX206" s="43" t="str">
        <f t="shared" si="764"/>
        <v/>
      </c>
      <c r="OY206" s="43" t="str">
        <f t="shared" si="765"/>
        <v/>
      </c>
      <c r="OZ206" s="43" t="str">
        <f t="shared" si="766"/>
        <v/>
      </c>
      <c r="PA206" s="43" t="str">
        <f t="shared" si="767"/>
        <v/>
      </c>
      <c r="PB206" s="43" t="str">
        <f t="shared" si="768"/>
        <v/>
      </c>
      <c r="PC206" s="43" t="str">
        <f t="shared" si="769"/>
        <v/>
      </c>
      <c r="PD206" s="43" t="str">
        <f t="shared" si="770"/>
        <v/>
      </c>
      <c r="PE206" s="43" t="str">
        <f t="shared" si="771"/>
        <v/>
      </c>
      <c r="PF206" s="43" t="str">
        <f t="shared" si="772"/>
        <v/>
      </c>
      <c r="PG206" s="43" t="str">
        <f t="shared" si="773"/>
        <v/>
      </c>
      <c r="PH206" s="43" t="str">
        <f t="shared" si="774"/>
        <v/>
      </c>
      <c r="PI206" s="43">
        <f t="shared" si="775"/>
        <v>10</v>
      </c>
      <c r="PJ206" s="43" t="str">
        <f t="shared" si="776"/>
        <v/>
      </c>
      <c r="PK206" s="43" t="str">
        <f t="shared" si="777"/>
        <v>NORMAL</v>
      </c>
      <c r="PL206" s="43" t="str">
        <f t="shared" si="778"/>
        <v/>
      </c>
      <c r="PM206" s="43" t="str">
        <f t="shared" si="779"/>
        <v/>
      </c>
      <c r="PN206" s="43" t="str">
        <f t="shared" si="780"/>
        <v/>
      </c>
      <c r="PO206" s="43" t="str">
        <f t="shared" si="781"/>
        <v/>
      </c>
      <c r="PP206" s="43" t="str">
        <f t="shared" si="782"/>
        <v/>
      </c>
      <c r="PQ206" s="43" t="str">
        <f t="shared" si="783"/>
        <v/>
      </c>
      <c r="PR206" s="43" t="str">
        <f t="shared" si="784"/>
        <v/>
      </c>
      <c r="PS206" s="43" t="str">
        <f t="shared" si="785"/>
        <v/>
      </c>
      <c r="PT206" s="43" t="str">
        <f t="shared" si="786"/>
        <v/>
      </c>
      <c r="PU206" s="43" t="str">
        <f t="shared" si="787"/>
        <v/>
      </c>
      <c r="PV206" s="43" t="str">
        <f t="shared" si="788"/>
        <v/>
      </c>
      <c r="PW206" s="43" t="str">
        <f t="shared" si="789"/>
        <v/>
      </c>
      <c r="PX206" s="43" t="str">
        <f t="shared" si="790"/>
        <v/>
      </c>
      <c r="PY206" s="43" t="str">
        <f t="shared" si="791"/>
        <v/>
      </c>
      <c r="PZ206" s="43" t="str">
        <f t="shared" si="792"/>
        <v/>
      </c>
      <c r="QA206" s="43" t="str">
        <f t="shared" si="793"/>
        <v/>
      </c>
      <c r="QB206" s="43" t="str">
        <f t="shared" si="794"/>
        <v/>
      </c>
      <c r="QC206" s="43" t="str">
        <f t="shared" si="795"/>
        <v/>
      </c>
      <c r="QD206" s="43" t="str">
        <f t="shared" si="796"/>
        <v/>
      </c>
      <c r="QE206" s="43" t="str">
        <f t="shared" si="797"/>
        <v/>
      </c>
      <c r="QF206" s="43" t="str">
        <f t="shared" si="798"/>
        <v/>
      </c>
      <c r="QG206" s="43" t="str">
        <f t="shared" si="799"/>
        <v/>
      </c>
      <c r="QH206" s="43" t="str">
        <f t="shared" si="800"/>
        <v/>
      </c>
      <c r="QI206" s="43" t="str">
        <f t="shared" si="801"/>
        <v/>
      </c>
      <c r="QJ206" s="43" t="str">
        <f t="shared" si="802"/>
        <v/>
      </c>
      <c r="QK206" s="43" t="str">
        <f t="shared" si="803"/>
        <v/>
      </c>
      <c r="QL206" s="43" t="str">
        <f t="shared" si="804"/>
        <v/>
      </c>
      <c r="QM206" s="43" t="str">
        <f t="shared" si="805"/>
        <v/>
      </c>
      <c r="QN206" s="43" t="str">
        <f t="shared" si="806"/>
        <v/>
      </c>
      <c r="QO206" s="43" t="str">
        <f t="shared" si="807"/>
        <v/>
      </c>
      <c r="QP206" s="43" t="str">
        <f t="shared" si="808"/>
        <v/>
      </c>
      <c r="QQ206" s="43" t="str">
        <f t="shared" si="809"/>
        <v/>
      </c>
      <c r="QR206" s="43" t="str">
        <f t="shared" si="839"/>
        <v>Menor</v>
      </c>
      <c r="QS206" s="43"/>
      <c r="QT206" s="21" t="str">
        <f t="shared" si="810"/>
        <v/>
      </c>
      <c r="QU206" s="21" t="str">
        <f t="shared" si="811"/>
        <v/>
      </c>
      <c r="QV206" s="21" t="str">
        <f t="shared" si="812"/>
        <v/>
      </c>
      <c r="QW206" s="21" t="str">
        <f t="shared" si="813"/>
        <v/>
      </c>
      <c r="QX206" s="21" t="str">
        <f t="shared" si="814"/>
        <v/>
      </c>
      <c r="QY206" s="21" t="str">
        <f t="shared" si="815"/>
        <v/>
      </c>
      <c r="QZ206" s="21" t="str">
        <f t="shared" si="816"/>
        <v/>
      </c>
      <c r="RA206" s="21" t="str">
        <f t="shared" si="817"/>
        <v/>
      </c>
      <c r="RB206" s="21" t="str">
        <f t="shared" si="818"/>
        <v/>
      </c>
      <c r="RC206" s="21" t="str">
        <f t="shared" si="819"/>
        <v/>
      </c>
      <c r="RD206" s="21" t="str">
        <f t="shared" si="820"/>
        <v/>
      </c>
      <c r="RE206" s="21" t="str">
        <f t="shared" si="821"/>
        <v/>
      </c>
      <c r="RF206" s="21" t="str">
        <f t="shared" si="822"/>
        <v/>
      </c>
      <c r="RG206" s="21" t="str">
        <f t="shared" si="823"/>
        <v/>
      </c>
      <c r="RH206" s="21" t="str">
        <f t="shared" si="824"/>
        <v/>
      </c>
      <c r="RI206" s="21" t="str">
        <f t="shared" si="825"/>
        <v/>
      </c>
      <c r="RJ206" s="21" t="str">
        <f t="shared" si="826"/>
        <v/>
      </c>
      <c r="RK206" s="21" t="str">
        <f t="shared" si="827"/>
        <v/>
      </c>
      <c r="RL206" s="21" t="str">
        <f t="shared" si="828"/>
        <v/>
      </c>
      <c r="RM206" s="21" t="str">
        <f t="shared" si="829"/>
        <v/>
      </c>
      <c r="RN206" s="21" t="str">
        <f t="shared" si="830"/>
        <v/>
      </c>
      <c r="RO206" s="21" t="str">
        <f t="shared" si="831"/>
        <v/>
      </c>
      <c r="RP206" s="21" t="str">
        <f t="shared" si="832"/>
        <v/>
      </c>
      <c r="RQ206" s="21" t="str">
        <f t="shared" si="833"/>
        <v/>
      </c>
      <c r="RR206" s="21" t="str">
        <f t="shared" si="834"/>
        <v/>
      </c>
      <c r="RS206" s="21" t="str">
        <f t="shared" si="835"/>
        <v/>
      </c>
      <c r="RT206" s="21" t="str">
        <f t="shared" si="836"/>
        <v/>
      </c>
      <c r="RU206" s="21" t="str">
        <f t="shared" si="837"/>
        <v/>
      </c>
      <c r="RV206" s="21">
        <f t="shared" si="838"/>
        <v>-1</v>
      </c>
      <c r="RW206" s="284">
        <f>IF(OR(Tabla1[[#This Row],[FUM FORMULA CONFIABLE]]="",Tabla1[[#This Row],[FUM FORMULA CONFIABLE]]="SD"),"",IF(Tabla1[[#This Row],[FUM FORMULA CONFIABLE]]="CORREGIDA",Tabla1[[#This Row],[FUM X ECO 1]],Tabla1[[#This Row],[FUM x AMENORREA]]))</f>
        <v>45076</v>
      </c>
      <c r="RX206" s="21">
        <f>IF(AND(Tabla1[[#This Row],[FUM X ECO 1]]="",Tabla1[[#This Row],[FUM x AMENORREA]]=""),"",IF(AND(Tabla1[[#This Row],[FUM X ECO 1]]="",Tabla1[[#This Row],[FUM x AMENORREA]]&lt;&gt;""),"X",SUM(Tabla1[[#This Row],[FUM X ECO 1]]-Tabla1[[#This Row],[FUM x AMENORREA]])))</f>
        <v>-0.5</v>
      </c>
      <c r="RY206" s="21">
        <f t="shared" si="840"/>
        <v>0</v>
      </c>
    </row>
    <row r="207" spans="1:493" ht="45" customHeight="1" x14ac:dyDescent="0.25">
      <c r="A207" s="109"/>
      <c r="B207" s="43"/>
      <c r="C207" s="43" t="s">
        <v>845</v>
      </c>
      <c r="D207" s="124" t="s">
        <v>1627</v>
      </c>
      <c r="E207" s="43" t="s">
        <v>953</v>
      </c>
      <c r="F207" s="43" t="s">
        <v>1378</v>
      </c>
      <c r="G207" s="43" t="s">
        <v>1617</v>
      </c>
      <c r="H207" s="43"/>
      <c r="I207" s="109" t="s">
        <v>851</v>
      </c>
      <c r="J207" s="110">
        <v>1059606238</v>
      </c>
      <c r="K207" s="43" t="s">
        <v>852</v>
      </c>
      <c r="L207" s="175" t="s">
        <v>1509</v>
      </c>
      <c r="M207" s="22">
        <v>36014</v>
      </c>
      <c r="N207" s="213">
        <f t="shared" ca="1" si="841"/>
        <v>25.254794520547946</v>
      </c>
      <c r="O207" s="22">
        <v>45115</v>
      </c>
      <c r="P207" s="214" t="str">
        <f t="shared" si="919"/>
        <v>SI</v>
      </c>
      <c r="Q207" s="26" t="s">
        <v>855</v>
      </c>
      <c r="R207" s="22">
        <v>45115</v>
      </c>
      <c r="S207" s="21" t="s">
        <v>856</v>
      </c>
      <c r="T207" s="24" t="s">
        <v>690</v>
      </c>
      <c r="U207" s="21" t="s">
        <v>857</v>
      </c>
      <c r="V207" s="21" t="s">
        <v>858</v>
      </c>
      <c r="W207" s="21" t="s">
        <v>1062</v>
      </c>
      <c r="X207" s="21" t="s">
        <v>1259</v>
      </c>
      <c r="Y207" s="21" t="s">
        <v>859</v>
      </c>
      <c r="Z207" s="21">
        <v>3178188154</v>
      </c>
      <c r="AA207" s="21" t="s">
        <v>860</v>
      </c>
      <c r="AB207" s="27" t="s">
        <v>861</v>
      </c>
      <c r="AC207" s="26" t="s">
        <v>877</v>
      </c>
      <c r="AD207" s="38" t="s">
        <v>1546</v>
      </c>
      <c r="AE207" s="26" t="s">
        <v>854</v>
      </c>
      <c r="AF207" s="26" t="s">
        <v>854</v>
      </c>
      <c r="AG207" s="23" t="s">
        <v>864</v>
      </c>
      <c r="AH207" s="23" t="s">
        <v>864</v>
      </c>
      <c r="AI207" s="24" t="s">
        <v>863</v>
      </c>
      <c r="AJ207" s="23" t="s">
        <v>864</v>
      </c>
      <c r="AK207" s="220" t="str">
        <f>IF(AND(AD207="",AE207="",AF207="",AG207="",AH207="",AI207="",AJ207=""),"",IF(OR(Tabla1[[#This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EVALUACIÓN",IF(AND(O207="",R207=""),"",IF(AND(OR(O207&gt;0,R207&gt;0),NG207&gt;=0,NG207&lt;2),"SIN RIESGO",IF(AND(OR(O207&gt;0,R207&gt;0),NG207&gt;=2),"CON RIESGO","ASD")))))</f>
        <v>SIN RIESGO</v>
      </c>
      <c r="AL207" s="23" t="s">
        <v>864</v>
      </c>
      <c r="AM207" s="23" t="s">
        <v>864</v>
      </c>
      <c r="AN207" s="23" t="s">
        <v>864</v>
      </c>
      <c r="AO207" s="23" t="s">
        <v>864</v>
      </c>
      <c r="AP207" s="23" t="s">
        <v>864</v>
      </c>
      <c r="AQ207" s="23" t="s">
        <v>864</v>
      </c>
      <c r="AR207" s="23" t="s">
        <v>864</v>
      </c>
      <c r="AS207" s="21">
        <v>1</v>
      </c>
      <c r="AT207" s="21">
        <v>1</v>
      </c>
      <c r="AU207" s="21">
        <v>0</v>
      </c>
      <c r="AV207" s="26" t="s">
        <v>864</v>
      </c>
      <c r="AW207" s="21">
        <v>0</v>
      </c>
      <c r="AX207" s="26" t="s">
        <v>864</v>
      </c>
      <c r="AY207" s="26" t="s">
        <v>864</v>
      </c>
      <c r="AZ207" s="26" t="s">
        <v>864</v>
      </c>
      <c r="BA207" s="26" t="s">
        <v>864</v>
      </c>
      <c r="BB207" s="26" t="s">
        <v>864</v>
      </c>
      <c r="BC207" s="26" t="s">
        <v>864</v>
      </c>
      <c r="BD207" s="26" t="s">
        <v>864</v>
      </c>
      <c r="BE207" s="26" t="s">
        <v>864</v>
      </c>
      <c r="BF207" s="26" t="s">
        <v>864</v>
      </c>
      <c r="BG207" s="26" t="s">
        <v>864</v>
      </c>
      <c r="BH207" s="26" t="s">
        <v>864</v>
      </c>
      <c r="BI207" s="26" t="s">
        <v>864</v>
      </c>
      <c r="BJ207" s="26" t="s">
        <v>864</v>
      </c>
      <c r="BK207" s="26" t="s">
        <v>864</v>
      </c>
      <c r="BL207" s="26" t="s">
        <v>864</v>
      </c>
      <c r="BM207" s="26" t="s">
        <v>864</v>
      </c>
      <c r="BN207" s="22">
        <v>41570</v>
      </c>
      <c r="BO207" s="22">
        <v>45076</v>
      </c>
      <c r="BP207" s="21" t="s">
        <v>1380</v>
      </c>
      <c r="BQ207" s="222">
        <f t="shared" si="842"/>
        <v>116.96666666666667</v>
      </c>
      <c r="BR207" s="223">
        <f t="shared" si="843"/>
        <v>45079</v>
      </c>
      <c r="BS207" s="224">
        <f t="shared" si="844"/>
        <v>5.1428571428571432</v>
      </c>
      <c r="BT207" s="216" t="str">
        <f t="shared" si="845"/>
        <v>I TRIM</v>
      </c>
      <c r="BU207" s="214">
        <f t="shared" ca="1" si="928"/>
        <v>21.857142857142858</v>
      </c>
      <c r="BV207" s="25" t="s">
        <v>1478</v>
      </c>
      <c r="BW207" s="22">
        <v>45121</v>
      </c>
      <c r="BX207" s="28">
        <v>6</v>
      </c>
      <c r="BY207" s="28"/>
      <c r="BZ207" s="22"/>
      <c r="CA207" s="21"/>
      <c r="CB207" s="26" t="s">
        <v>864</v>
      </c>
      <c r="CC207" s="26" t="s">
        <v>864</v>
      </c>
      <c r="CD207" s="26"/>
      <c r="CE207" s="26" t="s">
        <v>864</v>
      </c>
      <c r="CF207" s="22" t="s">
        <v>1517</v>
      </c>
      <c r="CG207" s="21">
        <v>1.5</v>
      </c>
      <c r="CH207" s="21">
        <v>49.2</v>
      </c>
      <c r="CI207" s="214">
        <f t="shared" si="847"/>
        <v>21.866666666666667</v>
      </c>
      <c r="CJ207" s="225" t="str">
        <f>IF(AND(CI207&lt;10,CH207="SD"),"SIN DATO PESO PREGESTACION O I TRIM",IF(AND(OR(R207&gt;0,O207&gt;0),CI207="X"),"INGRESAR DATO DE PESO",IF(CI207="SD","INGRESAR DATO DE TALLA Y PESO",IF(AND(OR(Tabla1[[#This Row],[MOMENTO EN QUE SE REALIZA EL PESO AL INGRESO A CPN]]="PREGESTACIÓN",NZ207="Menor"),CI207&lt;18.5),"BAJO PESO",IF(AND(OR(Tabla1[[#This Row],[MOMENTO EN QUE SE REALIZA EL PESO AL INGRESO A CPN]]="PREGESTACIÓN",NZ207="Menor"),CI207&lt;25),"NORMAL",IF(AND(OR(Tabla1[[#This Row],[MOMENTO EN QUE SE REALIZA EL PESO AL INGRESO A CPN]]="PREGESTACIÓN",NZ207="Menor"),CI207&lt;30),"SOBREPESO",IF(AND(OR(Tabla1[[#This Row],[MOMENTO EN QUE SE REALIZA EL PESO AL INGRESO A CPN]]="PREGESTACIÓN",NZ207="Menor"),CI207&gt;=30,CI207&lt;50),"OBESIDAD",IF(AND(BS207&gt;0,Tabla1[[#This Row],[MOMENTO EN QUE SE REALIZA EL PESO AL INGRESO A CPN]]="GESTACIÓN"),HLOOKUP(NZ207,$OA$2:PH207,NY207),""))))))))</f>
        <v>NORMAL</v>
      </c>
      <c r="CK207" s="212">
        <f t="shared" si="848"/>
        <v>45115</v>
      </c>
      <c r="CL207" s="21">
        <v>49.2</v>
      </c>
      <c r="CM207" s="214">
        <f t="shared" si="849"/>
        <v>21.866666666666667</v>
      </c>
      <c r="CN207" s="216">
        <f t="shared" si="850"/>
        <v>5</v>
      </c>
      <c r="CO207" s="216" t="e">
        <f>IF(PI207="","",IF(PI207&gt;0,HLOOKUP(PI207,$PJ$2:QQ207,NY207),""))</f>
        <v>#REF!</v>
      </c>
      <c r="CP207" s="21"/>
      <c r="CQ207" s="216" t="str">
        <f>IF(QR207="Menor","NO APLICA-MENOR 13 SEM",IF(AND(CC207="SI",CN207&gt;23),"NO APLICA- GEMELAR",IF(QR207="","",IF(QR207&gt;0,HLOOKUP(QR207,$QS$2:RU207,NY207),""))))</f>
        <v>NO APLICA-MENOR 13 SEM</v>
      </c>
      <c r="CR207" s="21">
        <v>110</v>
      </c>
      <c r="CS207" s="21">
        <v>70</v>
      </c>
      <c r="CT207" s="217" t="str">
        <f>IF(R207="","",IF(AND(BS207&gt;1,BS207&lt;12,Tabla1[[#This Row],[T.A. SISTOLICA - ANTES DE SEMANA 12]]="",Tabla1[[#This Row],[T.A. DIASTOLICA - ANTES DE SEMANA 12]]=""),"REGISTRE DATO TA ANTES SEMANA 12",IF(AND(BS207&gt;11,BS207&lt;43,Tabla1[[#This Row],[T.A. SISTOLICA - ANTES DE SEMANA 12]]="",Tabla1[[#This Row],[T.A. DIASTOLICA - ANTES DE SEMANA 12]]=""),"NO APLICA REGISTRO TA-INGRESO TARDIO",IF(AND(OR(O207&gt;0,R207&gt;0),OR(CR207&gt;=140,CS207&gt;=90)),"DEFINIR ESTADIO HTA",IF(AND(OR(O207&gt;0,R207&gt;0),AND(CR207&gt;120,CR207&lt;=139)),"PRE HTA SEGUIMIENTO",IF(AND(OR(O207&gt;0,R207&gt;0),AND(CS207&gt;80,CS207&lt;=89)),"PRE HTA SEGUIMIENTO",IF(AND(OR(O207&gt;0,R207&gt;0),AND(CR207&gt;=80,CR207&lt;=120)),"APARENTEMENTE NORMAL",IF(AND(OR(O207&gt;0,R207&gt;0),AND(CS207&gt;=50,CS207&lt;=80)),"APARENTEMENTE NORMAL",IF(AND(OR(O207&gt;0,R207&gt;0),AND(CR207&gt;1,CR207&lt;=70),AND(CS207&gt;1,CS207&lt;=40)),"HIPOTENSIÓN","")))))))))</f>
        <v>APARENTEMENTE NORMAL</v>
      </c>
      <c r="CU207" s="21"/>
      <c r="CV207" s="21"/>
      <c r="CW207" s="217" t="str">
        <f ca="1">IF(R207="","",IF(AND(CN207&gt;19,CN207&lt;27,Tabla1[[#This Row],[T.A. SISTOLICA (Entre semana 20 y 26)]]="",Tabla1[[#This Row],[T.A. DIATOLICA (Entre semana 20 y 26)]]=""),"ACUDE A CONTROL SEM 20 A 26 REGISTRE TA AHORA",IF(AND(BS207&gt;1,BS207&lt;27,BU207&gt;19,Tabla1[[#This Row],[T.A. SISTOLICA (Entre semana 20 y 26)]]="",Tabla1[[#This Row],[T.A. DIATOLICA (Entre semana 20 y 26)]]=""),"COMPLETE REGISTRO TA CONTROL SEM 20 A26 ",IF(AND(BS207&gt;26,BS207&lt;43,Tabla1[[#This Row],[T.A. SISTOLICA (Entre semana 20 y 26)]]="",Tabla1[[#This Row],[T.A. DIATOLICA (Entre semana 20 y 26)]]=""),"NO APLICA REGISTRO TA-INGRESO TARDIO",IF(AND(OR(O207&gt;0,R207&gt;0),OR(CU207&gt;=140,CV207&gt;=90)),"ALTO RIESGO PREECLAMPSIA,DEFINIR ESTADIO HTA",IF(AND(OR(O207&gt;0,R207&gt;0),AND(CU207&gt;120,CU207&lt;=139)),"PRE HTA SEGUIMIENTO,RIESGO HIPERTENSION INDUCIDA POR EL EMBARAZO",IF(AND(OR(O207&gt;0,R207&gt;0),AND(CV207&gt;80,CV207&lt;=89)),"PRE HTA SEGUIMIENTO, RIESGO HIPERTENSION INDUCIDA POR EL EMBARAZO",IF(AND(OR(O207&lt;&gt;"",R207&lt;&gt;""),CS207&lt;&gt;"",CV207&lt;&gt;"",CS207&lt;=CV207),"VIGILAR CIFRAS PRESION ARTERIAL",IF(AND(OR(O207&gt;0,R207&gt;0),AND(CU207&gt;120,CU207&lt;=139)),"PRE HTA SEGUIMIENTO",IF(AND(OR(O207&gt;0,R207&gt;0),AND(CU207&gt;1,CU207&lt;=70),AND(CV207&gt;1,CV207&lt;=40)),"HIPOTENSIÓN",IF(AND(OR(O207&lt;&gt;"",R207&lt;&gt;""),CS207&lt;&gt;"",CV207&lt;&gt;"",CS207&gt;CV207),"APARENTEMENTE NORMAL",IF(AND(OR(O207&gt;0,R207&gt;0),AND(CU207&gt;=80,CU207&lt;=120)),"APARENTEMENTE NORMAL",IF(AND(OR(O207&gt;0,R207&gt;0),AND(CV207&gt;=50,CV207&lt;=80)),"APARENTEMENTE NORMAL","")))))))))))))</f>
        <v xml:space="preserve">COMPLETE REGISTRO TA CONTROL SEM 20 A26 </v>
      </c>
      <c r="CX207" s="21"/>
      <c r="CY207" s="21"/>
      <c r="CZ207" s="216" t="str">
        <f>IF(R207="","",IF(AND(CN207&gt;31,CN207&lt;35,CX207="",CY207=""),"ACUDE A CONTROL SEM 30 A 34- REGISTRE AHORA",IF(AND(BS207&gt;34,BS207&lt;43,CX208="",CY208=""),"NO APLICA-INGRESO TARDIO",IF(AND(OR(O207&gt;0,R207&gt;0),OR(CX207&gt;=140,CY207&gt;=90)),"ESTUDIO INMEDIATO HTA PARA DESCARTAR PREECLAMSIA",IF(AND(OR(O207&gt;0,R207&gt;0),AND(CX207&gt;=130,CX207&lt;=139)),"PRE HTA,RIESGO ALTO PREECLAMPSIA",IF(AND(OR(O207&gt;0,R207&gt;0),AND(CY207&gt;80,CY207&lt;=89)),"PRE HTA,RIESGO ALTO PREECLAMPSIA",IF(AND(OR(O207&gt;0,R207&gt;0),AND(CX207&gt;120,CX207&lt;=129)),"RANGO PREHIPERTENSIVO SEGUIMIENTO HTA",IF(AND(OR(O207&lt;&gt;"",R207&lt;&gt;""),CS207&lt;&gt;"",CY207&lt;&gt;"",CS207&lt;CY207),"VIGILAR CIFRAS PRESION ARTERIAL",IF(AND(OR(O207&lt;&gt;"",R207&lt;&gt;""),CS207&lt;&gt;"",CY207&lt;&gt;"",CS207=CY207),"APARENTEMENTE NORMAL",IF(AND(OR(O207&gt;0,R207&gt;0),CX207&gt;=80,CX207&lt;=120),"APARENTEMENTE NORMAL",IF(AND(OR(O207&gt;0,R207&gt;0),CY207&gt;=50,CY207&lt;=80),"APARENTEMENTE NORMAL","")))))))))))</f>
        <v/>
      </c>
      <c r="DA207" s="21">
        <v>110</v>
      </c>
      <c r="DB207" s="21">
        <v>70</v>
      </c>
      <c r="DC207" s="217" t="str">
        <f t="shared" si="851"/>
        <v>APARENTEMENTE NORMAL</v>
      </c>
      <c r="DD207" s="22">
        <v>45115</v>
      </c>
      <c r="DE207" s="22">
        <v>45115</v>
      </c>
      <c r="DF207" s="22"/>
      <c r="DG207" s="22"/>
      <c r="DH207" s="22"/>
      <c r="DI207" s="22"/>
      <c r="DJ207" s="22"/>
      <c r="DK207" s="22"/>
      <c r="DL207" s="22"/>
      <c r="DM207" s="22"/>
      <c r="DN207" s="22"/>
      <c r="DO207" s="22"/>
      <c r="DP207" s="22"/>
      <c r="DQ207" s="22"/>
      <c r="DR207" s="28"/>
      <c r="DS207" s="22"/>
      <c r="DT207" s="22"/>
      <c r="DU207" s="216" t="str">
        <f t="shared" ca="1" si="920"/>
        <v>EN ESPERA</v>
      </c>
      <c r="DV207" s="226" t="str">
        <f t="shared" si="921"/>
        <v>ACTIVA INGRESO A CPN</v>
      </c>
      <c r="DW20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07" s="216" t="e">
        <f t="shared" ca="1" si="852"/>
        <v>#REF!</v>
      </c>
      <c r="DY207" s="212">
        <f>IF(R207="","",IF(R207&gt;0,MAX(Tabla1[[#This Row],[FECHA C2]:[FECHA C13]],Tabla1[[#This Row],[FECHA CONSULTA PRIMERA VEZ PROGRAMA CPN ]])))</f>
        <v>45115</v>
      </c>
      <c r="DZ207" s="216">
        <f t="shared" si="853"/>
        <v>5</v>
      </c>
      <c r="EA207" s="222">
        <f>IF(R207&gt;0,SUM(COUNTA(DF207:DQ207)+COUNTA(Tabla1[[#This Row],[FECHA CONSULTA PRIMERA VEZ PROGRAMA CPN ]])),"")</f>
        <v>1</v>
      </c>
      <c r="EB207" s="222" t="str">
        <f t="shared" si="854"/>
        <v>NO</v>
      </c>
      <c r="EC207" s="214">
        <f t="shared" si="855"/>
        <v>10</v>
      </c>
      <c r="ED207" s="227">
        <f t="shared" si="856"/>
        <v>0.1</v>
      </c>
      <c r="EE207" s="22">
        <v>45115</v>
      </c>
      <c r="EF207" s="22">
        <v>45121</v>
      </c>
      <c r="EG207" s="22">
        <v>45115</v>
      </c>
      <c r="EH207" s="22"/>
      <c r="EI207" s="22">
        <v>45115</v>
      </c>
      <c r="EJ207" s="22"/>
      <c r="EK207" s="22"/>
      <c r="EL207" s="21"/>
      <c r="EM207" s="21">
        <v>13.1</v>
      </c>
      <c r="EN207" s="22">
        <v>45115</v>
      </c>
      <c r="EO207" s="222">
        <f t="shared" si="857"/>
        <v>5.1428571428571432</v>
      </c>
      <c r="EP207" s="214" t="str">
        <f t="shared" si="858"/>
        <v>NORMAL- SUMINISTRAR SULFATO FERROSO</v>
      </c>
      <c r="EQ207" s="216" t="str">
        <f t="shared" si="859"/>
        <v>I TRIM</v>
      </c>
      <c r="ER207" s="24"/>
      <c r="ES207" s="22"/>
      <c r="ET207" s="29" t="str">
        <f t="shared" ca="1" si="922"/>
        <v>EN ESPERA PARA TOMA EXAMEN</v>
      </c>
      <c r="EU207" s="25" t="str">
        <f t="shared" si="860"/>
        <v/>
      </c>
      <c r="EV207" s="24" t="s">
        <v>1510</v>
      </c>
      <c r="EW207" s="32">
        <v>45115</v>
      </c>
      <c r="EX207" s="22"/>
      <c r="EY207" s="29">
        <f t="shared" si="693"/>
        <v>5.1428571428571432</v>
      </c>
      <c r="EZ207" s="25" t="str">
        <f t="shared" si="694"/>
        <v>SIN RIESGO DE ISOINMUNIZACIÓN</v>
      </c>
      <c r="FA207" s="21">
        <v>88</v>
      </c>
      <c r="FB207" s="32">
        <v>45115</v>
      </c>
      <c r="FC207" s="29">
        <f t="shared" si="861"/>
        <v>5.1428571428571432</v>
      </c>
      <c r="FD207" s="29"/>
      <c r="FE207" s="29"/>
      <c r="FF207" s="29"/>
      <c r="FG207" s="21" t="str">
        <f t="shared" ca="1" si="862"/>
        <v>PROGRAMAR TOMA PTOG SIGUIENTE CONTROL</v>
      </c>
      <c r="FH207" s="31"/>
      <c r="FI207" s="29" t="str">
        <f t="shared" si="863"/>
        <v>TOMAR EXAMEN</v>
      </c>
      <c r="FJ207" s="22" t="s">
        <v>867</v>
      </c>
      <c r="FK207" s="32">
        <v>45115</v>
      </c>
      <c r="FL207" s="29">
        <f t="shared" ca="1" si="864"/>
        <v>5.1428571428571432</v>
      </c>
      <c r="FM207" s="22"/>
      <c r="FN207" s="32"/>
      <c r="FO207" s="29" t="str">
        <f t="shared" ca="1" si="923"/>
        <v>EN RANGO PARA TOMAR EXAMEN</v>
      </c>
      <c r="FP207" s="22"/>
      <c r="FQ207" s="32"/>
      <c r="FR207" s="29" t="str">
        <f t="shared" ca="1" si="924"/>
        <v>EN ESPERA-ESTÁ I TRIM O II TRIM</v>
      </c>
      <c r="FS207" s="22"/>
      <c r="FT207" s="32"/>
      <c r="FU207" s="29" t="str">
        <f>IF(AND(FJ207="",FM207="",FP207="",FS207=""),"",IF(OR(OR(Tabla1[[#This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07" s="28"/>
      <c r="FW207" s="22"/>
      <c r="FX207" s="29" t="str">
        <f t="shared" si="865"/>
        <v>TOMAR EXAMEN</v>
      </c>
      <c r="FY207" s="22" t="s">
        <v>868</v>
      </c>
      <c r="FZ207" s="32">
        <v>45115</v>
      </c>
      <c r="GA207" s="29">
        <f t="shared" ca="1" si="739"/>
        <v>5.1428571428571432</v>
      </c>
      <c r="GB207" s="22"/>
      <c r="GC207" s="22"/>
      <c r="GD207" s="29" t="str">
        <f t="shared" ca="1" si="925"/>
        <v>EN RANGO PARA TOMAR EXAMEN</v>
      </c>
      <c r="GE207" s="22"/>
      <c r="GF207" s="22"/>
      <c r="GG207" s="29" t="str">
        <f t="shared" ca="1" si="926"/>
        <v>EN ESPERA-ESTÁ I TRIM O II TRIM</v>
      </c>
      <c r="GH207" s="22"/>
      <c r="GI207" s="29"/>
      <c r="GJ207" s="22"/>
      <c r="GK207" s="22"/>
      <c r="GL207" s="22"/>
      <c r="GM207" s="22"/>
      <c r="GN207" s="28" t="s">
        <v>869</v>
      </c>
      <c r="GO207" s="32">
        <v>45115</v>
      </c>
      <c r="GP207" s="29">
        <f t="shared" si="866"/>
        <v>5.1428571428571432</v>
      </c>
      <c r="GQ207" s="28" t="s">
        <v>846</v>
      </c>
      <c r="GR207" s="28" t="s">
        <v>869</v>
      </c>
      <c r="GS207" s="22" t="str">
        <f t="shared" si="728"/>
        <v/>
      </c>
      <c r="GT207" s="22">
        <v>45115</v>
      </c>
      <c r="GU207" s="29">
        <f t="shared" si="867"/>
        <v>5.5714285714285712</v>
      </c>
      <c r="GV207" s="21" t="str">
        <f t="shared" si="868"/>
        <v>I TRIM</v>
      </c>
      <c r="GW207" s="28"/>
      <c r="GX207" s="30"/>
      <c r="GY207" s="21"/>
      <c r="GZ207" s="21"/>
      <c r="HA207" s="21"/>
      <c r="HB207" s="21"/>
      <c r="HC207" s="21"/>
      <c r="HD207" s="21"/>
      <c r="HE207" s="21"/>
      <c r="HF207" s="22"/>
      <c r="HG207" s="22" t="str">
        <f>IF(OR(O207&gt;0,R207&gt;0),CONCATENATE(IF(Tabla1[[#This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07" s="22" t="e">
        <f t="shared" si="869"/>
        <v>#REF!</v>
      </c>
      <c r="HI207" s="22" t="e">
        <f t="shared" si="870"/>
        <v>#REF!</v>
      </c>
      <c r="HJ207" s="21" t="e">
        <f t="shared" ca="1" si="871"/>
        <v>#REF!</v>
      </c>
      <c r="HK207" s="21" t="e">
        <f t="shared" si="872"/>
        <v>#REF!</v>
      </c>
      <c r="HL207" s="24" t="str">
        <f t="shared" si="873"/>
        <v>APARENTEMENTE NORMAL</v>
      </c>
      <c r="HM207" s="21" t="e">
        <f t="shared" ca="1" si="874"/>
        <v>#REF!</v>
      </c>
      <c r="HN207" s="30" t="str">
        <f t="shared" si="927"/>
        <v>ACTIVA INGRESO A CPN</v>
      </c>
      <c r="HO207" s="21"/>
      <c r="HP207" s="21"/>
      <c r="HQ207" s="349"/>
      <c r="HR207" s="21" t="e">
        <f>IF(R207="","",IF(Tabla1[[#This Row],[ALARMA FACTORES DE RIESGO COMPLICACIONES HIPERTENSIVAS3]]="SIN ANTECEDENTES DE RIESGO","No Aplica para suministro de ASA",IF(AND(Tabla1[[#This Row],[FECHA INICIO DE SUMINISTRO DE ASA]]&gt;0,RV207&lt;12),"Inicia ASA ANTES de Sem 12",IF(AND(RV207&gt;11,RV207&lt;17,OR(HK207="RIESGO ALTO DE COMPLICACIONES HIPERTENSIVAS VER MANEJO GUIA SUMINISTRO ASA Y CALCIO",HK207="RIESGO MODERADO (2 O MAS CRITERIOS) VER MANEJO GUIA SUMINISTRO ASA Y CALCIO")),"Inicio oportuno de ASA",IF(AND(RV207&gt;12,OR(HK207="RIESGO ALTO DE COMPLICACIONES HIPERTENSIVAS VER MANEJO GUIA SUMINISTRO ASA Y CALCIO",HK207="RIESGO MODERADO (2 O MAS CRITERIOS) VER MANEJO GUIA SUMINISTRO ASA Y CALCIO")),"Inicio no oportuno mayor a 16 semanas",IF(AND(BU207&lt;12,OR(HK207="RIESGO ALTO DE COMPLICACIONES HIPERTENSIVAS VER MANEJO GUIA SUMINISTRO ASA Y CALCIO",HK207="RIESGO MODERADO (2 O MAS CRITERIOS) VER MANEJO GUIA SUMINISTRO ASA Y CALCIO")),"Pendiente Inicio de ASA a la semana 12",IF(AND(BU207&gt;11,BU207&lt;17,OR(HK207="RIESGO ALTO DE COMPLICACIONES HIPERTENSIVAS VER MANEJO GUIA SUMINISTRO ASA Y CALCIO",HK207="RIESGO MODERADO (2 O MAS CRITERIOS) VER MANEJO GUIA SUMINISTRO ASA Y CALCIO")),"Iniciar de inmediato ASA",IF(AND(BU207&gt;16,OR(HK207="RIESGO ALTO DE COMPLICACIONES HIPERTENSIVAS VER MANEJO GUIA SUMINISTRO ASA Y CALCIO",HK207="RIESGO MODERADO (2 O MAS CRITERIOS) VER MANEJO GUIA SUMINISTRO ASA Y CALCIO")),"Pierde Oportunidad, Inicio tardío de ASA","XXXXX"))))))))</f>
        <v>#REF!</v>
      </c>
      <c r="HS207" s="22">
        <v>45115</v>
      </c>
      <c r="HT207" s="22" t="s">
        <v>1518</v>
      </c>
      <c r="HU207" s="22">
        <v>45115</v>
      </c>
      <c r="HV207" s="22" t="s">
        <v>1544</v>
      </c>
      <c r="HW207" s="22">
        <v>45115</v>
      </c>
      <c r="HX207" s="22" t="s">
        <v>1511</v>
      </c>
      <c r="HY207" s="22">
        <v>45115</v>
      </c>
      <c r="HZ207" s="28">
        <f t="shared" si="875"/>
        <v>5.1428571428571432</v>
      </c>
      <c r="IA207" s="26"/>
      <c r="IB207" s="26"/>
      <c r="IC207" s="111"/>
      <c r="ID207" s="22"/>
      <c r="IE207" s="22" t="e">
        <f t="shared" si="876"/>
        <v>#REF!</v>
      </c>
      <c r="IF207" s="22"/>
      <c r="IG207" s="22">
        <f t="shared" si="877"/>
        <v>45359</v>
      </c>
      <c r="IH207" s="29">
        <f t="shared" ca="1" si="878"/>
        <v>127</v>
      </c>
      <c r="II207" s="22" t="str">
        <f t="shared" ca="1" si="879"/>
        <v>PENDIENTE</v>
      </c>
      <c r="IJ207" s="22"/>
      <c r="IK207" s="21"/>
      <c r="IL207" s="21"/>
      <c r="IM207" s="34"/>
      <c r="IN207" s="22"/>
      <c r="IO207" s="21"/>
      <c r="IP207" s="29" t="str">
        <f t="shared" si="880"/>
        <v/>
      </c>
      <c r="IQ207" s="35"/>
      <c r="IR207" s="21"/>
      <c r="IS207" s="21"/>
      <c r="IT207" s="21"/>
      <c r="IU207" s="21"/>
      <c r="IV207" s="21"/>
      <c r="IW207" s="21"/>
      <c r="IX207" s="21"/>
      <c r="IY207" s="21"/>
      <c r="IZ207" s="21"/>
      <c r="JA207" s="21"/>
      <c r="JB207" s="30"/>
      <c r="JC207" s="21"/>
      <c r="JD207" s="36"/>
      <c r="JE207" s="21" t="str">
        <f t="shared" si="881"/>
        <v/>
      </c>
      <c r="JF207" s="30"/>
      <c r="JG207" s="21"/>
      <c r="JH207" s="21"/>
      <c r="JI207" s="21"/>
      <c r="JJ207" s="30"/>
      <c r="JK207" s="22"/>
      <c r="JL207" s="22"/>
      <c r="JM207" s="21"/>
      <c r="JN207" s="36"/>
      <c r="JO207" s="21" t="str">
        <f t="shared" si="882"/>
        <v/>
      </c>
      <c r="JP207" s="22"/>
      <c r="JQ207" s="21"/>
      <c r="JR207" s="21"/>
      <c r="JS207" s="21"/>
      <c r="JT207" s="30"/>
      <c r="JU207" s="22"/>
      <c r="JV207" s="22"/>
      <c r="JW207" s="33"/>
      <c r="JX207" s="28" t="str">
        <f t="shared" si="883"/>
        <v/>
      </c>
      <c r="JY207" s="33"/>
      <c r="JZ207" s="28" t="str">
        <f t="shared" si="884"/>
        <v/>
      </c>
      <c r="KA207" s="21"/>
      <c r="KB207" s="21"/>
      <c r="KC207" s="21"/>
      <c r="KD207" s="37"/>
      <c r="KE207" s="28"/>
      <c r="KF207" s="28"/>
      <c r="KG207" s="28"/>
      <c r="KH207" s="39"/>
      <c r="KI207" s="39"/>
      <c r="KJ207" s="66"/>
      <c r="KK207" s="39"/>
      <c r="KL207" s="39"/>
      <c r="KM207" s="66"/>
      <c r="KN207" s="39"/>
      <c r="KO207" s="39"/>
      <c r="KP207" s="39"/>
      <c r="KQ207" s="39"/>
      <c r="KR207" s="39"/>
      <c r="KS207" s="39"/>
      <c r="KT207" s="39"/>
      <c r="KU207" s="38"/>
      <c r="KV207" s="38"/>
      <c r="KW207" s="38"/>
      <c r="KX207" s="38"/>
      <c r="KY207" s="38"/>
      <c r="KZ207" s="38"/>
      <c r="LA207" s="38"/>
      <c r="LB207" s="38"/>
      <c r="LC207" s="38"/>
      <c r="LD207" s="38"/>
      <c r="LE207" s="38"/>
      <c r="LF207" s="38"/>
      <c r="LG207" s="38"/>
      <c r="LH207" s="38"/>
      <c r="LI207" s="38"/>
      <c r="LJ207" s="38"/>
      <c r="LK207" s="38"/>
      <c r="LL207" s="38"/>
      <c r="LM207" s="38"/>
      <c r="LN207" s="38"/>
      <c r="LO207" s="38"/>
      <c r="LP207" s="38"/>
      <c r="LQ207" s="38"/>
      <c r="LR207" s="38"/>
      <c r="LS207" s="38"/>
      <c r="LT207" s="38"/>
      <c r="LU207" s="38"/>
      <c r="LV207" s="38"/>
      <c r="LW207" s="38"/>
      <c r="LX207" s="38"/>
      <c r="LY207" s="38"/>
      <c r="LZ207" s="38"/>
      <c r="MA207" s="38"/>
      <c r="MB207" s="38"/>
      <c r="MC207" s="38"/>
      <c r="MD207" s="38"/>
      <c r="ME207" s="38"/>
      <c r="MF207" s="38"/>
      <c r="MG207" s="38"/>
      <c r="MH207" s="43">
        <f t="shared" si="885"/>
        <v>0</v>
      </c>
      <c r="MI207" s="43" t="e">
        <f>IF(AND(#REF!="",#REF!=""),"",IF(AND(OR(#REF!&gt;0,#REF!&gt;0),KT207&gt;0),SUM(KT207-RW207)/7,""))</f>
        <v>#REF!</v>
      </c>
      <c r="MJ207" s="43" t="e">
        <f t="shared" si="887"/>
        <v>#REF!</v>
      </c>
      <c r="MK207" s="43">
        <f t="shared" si="888"/>
        <v>0</v>
      </c>
      <c r="ML20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07" s="43" t="e">
        <f>IF(AND(#REF!&gt;0,RW207&gt;0),SUM(#REF!-RW207)/7,"")</f>
        <v>#REF!</v>
      </c>
      <c r="MN207" s="43" t="e">
        <f>IF(#REF!&gt;0,MONTH(#REF!),"")</f>
        <v>#REF!</v>
      </c>
      <c r="MO207" s="43" t="e">
        <f>IF(#REF!&gt;0,YEAR(#REF!),"")</f>
        <v>#REF!</v>
      </c>
      <c r="MP207" s="43" t="e">
        <f t="shared" si="892"/>
        <v>#REF!</v>
      </c>
      <c r="MQ207" s="43" t="e">
        <f>IF(AND(#REF!&gt;0,#REF!&gt;0),DAYS360(#REF!,#REF!)/30.44/12,IF(AND(#REF!&gt;0,#REF!&gt;0,#REF!=""),DAYS360(#REF!,#REF!)/30.44/12,""))</f>
        <v>#REF!</v>
      </c>
      <c r="MR207" s="43" t="e">
        <f t="shared" si="894"/>
        <v>#REF!</v>
      </c>
      <c r="MS207" s="43" t="e">
        <f t="shared" si="895"/>
        <v>#REF!</v>
      </c>
      <c r="MT207" s="43">
        <f t="shared" si="896"/>
        <v>0</v>
      </c>
      <c r="MU207" s="43">
        <f t="shared" si="897"/>
        <v>0</v>
      </c>
      <c r="MV207" s="43">
        <f t="shared" si="898"/>
        <v>0</v>
      </c>
      <c r="MW207" s="43">
        <f t="shared" si="899"/>
        <v>0</v>
      </c>
      <c r="MX207" s="43" t="str">
        <f t="shared" si="900"/>
        <v/>
      </c>
      <c r="MY207" s="43" t="str">
        <f t="shared" ca="1" si="901"/>
        <v/>
      </c>
      <c r="MZ207" s="43" t="str">
        <f t="shared" si="902"/>
        <v/>
      </c>
      <c r="NA207" s="43" t="str">
        <f t="shared" si="903"/>
        <v/>
      </c>
      <c r="NB207" s="43" t="str">
        <f t="shared" si="904"/>
        <v/>
      </c>
      <c r="NC207" s="43" t="str">
        <f t="shared" si="905"/>
        <v/>
      </c>
      <c r="ND207" s="43" t="e">
        <f>IF(AND(#REF!="",#REF!=""),"",IF(OR(#REF!&lt;&gt;"",#REF!&lt;&gt;""),SUM(COUNTIF(AL207:AR207,"SI"),COUNTIF(AV207,"SI"),COUNTIF(BC207,"SI, CONTROLADA"),COUNTIF(BI207,"SI"),COUNTIF(BM207,"SI"),SUM(COUNTIF(BC207,"SI, SIN MANEJO")*3),SUM(COUNTIF(BC207,"SI, NO CONTROLADA")*3),SUM(COUNTIF(BD207:BG207,"SI")*3),SUM(COUNTIF(CB207:CC207,"SI")*3),SUM(COUNTIF(AD207,"Consumo Actual")*3),SUM(COUNTIF(AD207,"Hasta Antes de la Gestación")*2),SUM(COUNTIF(BK207,"SI")*3),SUM(COUNTIF(BL207,"SI")*2),SUM(COUNTIF(CE207,"SI")*2),SUM(COUNTIF(BH207,"SI")*2),SUM(COUNTIF(FG207,"DIABETES, REMITIR")*2),SUM(MT207:NC207),SUM(MR207),SUM(NG207),SUM(COUNTIF(EZ207,"COOMBS C/MES Y RESUMAN SEM 28")*2),SUM(COUNTIF(EZ207,"TOMAR COOMBS CUANTITATIVO Y REMISIÓN")*3),SUM(COUNTIF(FU207,"SIFILIS GESTACIONAL")*3)),""))</f>
        <v>#REF!</v>
      </c>
      <c r="NE207" s="43" t="e">
        <f>IF(OR(#REF!&gt;0,#REF!&gt;0),SUM(COUNTIF(Tabla1[[#This Row],[AÑOS AL INICIO5 CPN]],"&gt;=40"),COUNTIF(AS207,"0"),COUNTIF(AR207,"SI"),COUNTIF(CC207,"SI"),COUNTIF(BQ207,"&gt;119"),COUNTIF(CI207,"&gt;=35")),"")</f>
        <v>#REF!</v>
      </c>
      <c r="NF207" s="43" t="e">
        <f>IF(AND(#REF!="",#REF!=""),"",IF(AND(OR(#REF!&gt;0,#REF!&gt;0),RW207=""),"SD",IF(AND(OR(#REF!&gt;0,#REF!&gt;0),ID207&gt;0),SUM(ID207-RW207)/7,"")))</f>
        <v>#REF!</v>
      </c>
      <c r="NG207" s="43">
        <f t="shared" si="908"/>
        <v>0</v>
      </c>
      <c r="NH207" s="43">
        <f t="shared" si="909"/>
        <v>42</v>
      </c>
      <c r="NI20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CPN",#REF!="NO"),"Z",IF(AND(Tabla1[[#This Row],[CITA PROXIMO CONTROL]]="CITA MANUAL",Tabla1[[#This Row],[GESTANTES ACTUALES]]="ACTIVA INGRESO A CPN"),"W",IF(AND(Tabla1[[#This Row],[GESTANTES ACTUALES]]="SALIO PROGRAMA",IN207=""),"S",IF(AND(Tabla1[[#This Row],[CITA PROXIMO CONTROL]]&gt;0,IN207=""),(Tabla1[[#This Row],[CITA PROXIMO CONTROL]]-TODAY()),"SD"))))))))</f>
        <v>#REF!</v>
      </c>
      <c r="NJ207" s="43">
        <f>MONTH(Tabla1[[#This Row],[FECHA DE SALIDA  DEL PROGRAMA]])</f>
        <v>1</v>
      </c>
      <c r="NK207" s="43">
        <f>YEAR(Tabla1[[#This Row],[FECHA DE SALIDA  DEL PROGRAMA]])</f>
        <v>1900</v>
      </c>
      <c r="NL207" s="43" t="e">
        <f>IF(AND(#REF!&gt;0,#REF!=""),"NO CPN",IF(AND(#REF!="",#REF!=""),"",IF(AND(#REF!&gt;0,EJ207&gt;0,EI207&gt;0),_xlfn.DAYS(EJ207,EI207),IF(AND(#REF!&gt;0,EJ207&gt;0,EI207=""),"NO CITA","X"))))</f>
        <v>#REF!</v>
      </c>
      <c r="NM207" s="43" t="e">
        <f>IF(AND(#REF!&gt;0,#REF!=""),"NO CPN",IF(AND(#REF!="",#REF!=""),"",IF(AND(EN207&lt;&gt;"",EX207&lt;&gt;"",FB207&lt;&gt;"",FK207&lt;&gt;"",FW207&lt;&gt;"",FZ207&lt;&gt;"",GO207&lt;&gt;"",GQ207&lt;&gt;"",GR207&lt;&gt;""),"SI","NO")))</f>
        <v>#REF!</v>
      </c>
      <c r="NN207" s="43" t="e">
        <f>IF(AND(#REF!&gt;0,#REF!=""),"NO CPN",IF(AND(#REF!="",#REF!=""),"",IF(AND(#REF!&gt;0,Tabla1[[#This Row],[SEMANAS DE GESTACION ACTUALIZADAS]]&lt;=12),"NO APLICA",IF(AND(FH207&lt;&gt;"",FN207&lt;&gt;""),"SI","NO"))))</f>
        <v>#REF!</v>
      </c>
      <c r="NO207" s="43" t="e">
        <f>IF(AND(#REF!&gt;0,#REF!=""),"NO CPN",IF(AND(#REF!="",#REF!=""),"",IF(AND(#REF!&gt;0,Tabla1[[#This Row],[SEMANAS DE GESTACION ACTUALIZADAS]]&lt;=27),"NO APLICA",IF(AND(ES207&lt;&gt;"",FQ207&lt;&gt;"",GF207&lt;&gt;""),"SI","NO"))))</f>
        <v>#REF!</v>
      </c>
      <c r="NP207" s="204" t="str">
        <f t="shared" si="912"/>
        <v>I TRIM</v>
      </c>
      <c r="NQ207" s="21" t="str">
        <f>IF(AND(IP208&gt;0,IP208&lt;37),10,IF(OR(CD208="Transversa",CD208="Oblicua"),9,IF(CC208="SI",8,IF(AND(AT208=0,AW208=0,CC208="NO",CD208="Cefálica",IP208&gt;=37,IT208="INICIO ESPONTÁNEO"),1,IF(AND(AND(AT208=0,AW208=0,CC208="NO",CD208="Cefálica",IP208&gt;=37),OR(IT208="LE HACEN INDUCCIÓN",IT208="LE HACEN CESÁREA SIN INICIO TRABAJO DE PARTO")),2,IF(AND(AT208&gt;=1,AW208=0,CC208="NO",CD208="Cefálica",IP208&gt;=37,IT208="INICIO ESPONTÁNEO"),3,IF(AND(AND(AT208&gt;=1,AW208=0,CC208="NO",CD208="Cefálica",IP208&gt;=37),OR(IT208="LE HACEN INDUCCIÓN",IT208="LE HACEN CESÁREA SIN INICIO TRABAJO DE PARTO")),4,IF(AND(AND(AT208&gt;=1,AW208&gt;=1,CC208="NO",CD208="Cefálica",IP208&gt;=37),OR(IT208="LE HACEN INDUCCIÓN",IT208="LE HACEN CESÁREA SIN INICIO TRABAJO DE PARTO",IT208="INICIO ESPONTÁNEO")),5,IF(AND(AND(AT208=0,AW208=0,CC208="NO",CD208="Podálica",IP208&gt;=1),OR(IT208="LE HACEN INDUCCIÓN",IT208="LE HACEN CESÁREA SIN INICIO TRABAJO DE PARTO",IT208="INICIO ESPONTÁNEO")),6,IF(AND(AND(AT208&gt;=1,CC208="NO",CD208="Podálica",IP208&gt;=1),OR(IT208="LE HACEN INDUCCIÓN",IT208="LE HACEN CESÁREA SIN INICIO TRABAJO DE PARTO",IT208="INICIO ESPONTÁNEO"),OR(AW208=0,AW208&gt;=1)),7,""))))))))))</f>
        <v/>
      </c>
      <c r="NR207" s="21" t="e">
        <f>IF(AND(#REF!="",#REF!=""),"",IF(AND(BS207&gt;0,BS207&lt;12,IP207&gt;28,IP207&lt;44),3, IF(OR(AND(BS207&gt;=12,BS207&lt;28,IP207&gt;=28,IP207&lt;44),AND(BS207&gt;0,BS207&lt;12,IP207&gt;=12,IP207&lt;29)),2,IF(OR(AND(BS207&gt;=28,BS207&lt;44),AND(BS207&gt;0,BS207&lt;12,IP207&gt;0,IP207&lt;12),AND(BS207&gt;=12,BS207&lt;28,IP207&gt;=12,IP207&lt;28)),1,IF(AND(BS207&gt;0,BS207&lt;12,BU207&gt;=28,BU207&lt;44,DV207="ACTIVA INGRESO A CPN"),3,IF(OR(AND(BS207&gt;0,BS207&lt;12,BU207&gt;=12,BU207&lt;28,DV207="ACTIVA INGRESO A CPN"),AND(BS207&gt;=12,BS207&lt;28,BU207&gt;=28,BU207&lt;44,DV207="ACTIVA INGRESO A CPN")),2,IF(OR(AND(BS207&gt;0,BS207&lt;12,BU207&gt;0,BU207&lt;12,DV207="ACTIVA INGRESO A CPN"),AND(BS207&gt;=12,BS207&lt;28,BU207&gt;=12,BU207&lt;28,DV207="ACTIVA INGRESO A CPN")),1,"REVISAR FUM O FECHA SALIDA PROGRAMA")))))))</f>
        <v>#REF!</v>
      </c>
      <c r="NS207" s="205">
        <f t="shared" ca="1" si="914"/>
        <v>1</v>
      </c>
      <c r="NT207" s="21">
        <f t="shared" ca="1" si="915"/>
        <v>1</v>
      </c>
      <c r="NU207" s="21" t="e">
        <f t="shared" si="916"/>
        <v>#REF!</v>
      </c>
      <c r="NV207" s="21" t="e">
        <f t="shared" si="917"/>
        <v>#REF!</v>
      </c>
      <c r="NW207" s="206" t="e">
        <f>IF(AND(#REF!="",#REF!=""),"",IF(OR(AND(Tabla1[[#This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#REF!</v>
      </c>
      <c r="NX207" s="207" t="e">
        <f>IF(AND(#REF!="",#REF!=""),"",IF(OR(IE207="VACUNA APLICADA ENTRE SEMANA 20 Y SEMANA 26",IE207="VACUNA APLICADA ENTRE SEMANA 27 Y EL PARTO",IE207="VACUNA APLICADA ANTES SEMANA 20"),"VACUNADA","SIN VACUNAR"))</f>
        <v>#REF!</v>
      </c>
      <c r="NY207" s="43">
        <f>ROW(Tabla1[[#This Row],['# DE TAMIZAJES SIFILIS TOMADOS ]])</f>
        <v>207</v>
      </c>
      <c r="NZ207" s="43" t="str">
        <f t="shared" si="740"/>
        <v>Menor</v>
      </c>
      <c r="OA207" s="43" t="str">
        <f t="shared" si="741"/>
        <v>NORMAL</v>
      </c>
      <c r="OB207" s="43" t="str">
        <f t="shared" si="742"/>
        <v/>
      </c>
      <c r="OC207" s="43" t="str">
        <f t="shared" si="743"/>
        <v/>
      </c>
      <c r="OD207" s="43" t="str">
        <f t="shared" si="744"/>
        <v/>
      </c>
      <c r="OE207" s="43" t="str">
        <f t="shared" si="745"/>
        <v/>
      </c>
      <c r="OF207" s="43" t="str">
        <f t="shared" si="746"/>
        <v/>
      </c>
      <c r="OG207" s="43" t="str">
        <f t="shared" si="747"/>
        <v/>
      </c>
      <c r="OH207" s="43" t="str">
        <f t="shared" si="748"/>
        <v/>
      </c>
      <c r="OI207" s="43" t="str">
        <f t="shared" si="749"/>
        <v/>
      </c>
      <c r="OJ207" s="43" t="str">
        <f t="shared" si="750"/>
        <v/>
      </c>
      <c r="OK207" s="43" t="str">
        <f t="shared" si="751"/>
        <v/>
      </c>
      <c r="OL207" s="43" t="str">
        <f t="shared" si="752"/>
        <v/>
      </c>
      <c r="OM207" s="43" t="str">
        <f t="shared" si="753"/>
        <v/>
      </c>
      <c r="ON207" s="43" t="str">
        <f t="shared" si="754"/>
        <v/>
      </c>
      <c r="OO207" s="43" t="str">
        <f t="shared" si="755"/>
        <v/>
      </c>
      <c r="OP207" s="43" t="str">
        <f t="shared" si="756"/>
        <v/>
      </c>
      <c r="OQ207" s="43" t="str">
        <f t="shared" si="757"/>
        <v/>
      </c>
      <c r="OR207" s="43" t="str">
        <f t="shared" si="758"/>
        <v/>
      </c>
      <c r="OS207" s="43" t="str">
        <f t="shared" si="759"/>
        <v/>
      </c>
      <c r="OT207" s="43" t="str">
        <f t="shared" si="760"/>
        <v/>
      </c>
      <c r="OU207" s="43" t="str">
        <f t="shared" si="761"/>
        <v/>
      </c>
      <c r="OV207" s="110" t="str">
        <f t="shared" si="762"/>
        <v/>
      </c>
      <c r="OW207" s="43" t="str">
        <f t="shared" si="763"/>
        <v/>
      </c>
      <c r="OX207" s="43" t="str">
        <f t="shared" si="764"/>
        <v/>
      </c>
      <c r="OY207" s="43" t="str">
        <f t="shared" si="765"/>
        <v/>
      </c>
      <c r="OZ207" s="43" t="str">
        <f t="shared" si="766"/>
        <v/>
      </c>
      <c r="PA207" s="43" t="str">
        <f t="shared" si="767"/>
        <v/>
      </c>
      <c r="PB207" s="43" t="str">
        <f t="shared" si="768"/>
        <v/>
      </c>
      <c r="PC207" s="43" t="str">
        <f t="shared" si="769"/>
        <v/>
      </c>
      <c r="PD207" s="43" t="str">
        <f t="shared" si="770"/>
        <v/>
      </c>
      <c r="PE207" s="43" t="str">
        <f t="shared" si="771"/>
        <v/>
      </c>
      <c r="PF207" s="43" t="str">
        <f t="shared" si="772"/>
        <v/>
      </c>
      <c r="PG207" s="43" t="str">
        <f t="shared" si="773"/>
        <v/>
      </c>
      <c r="PH207" s="43" t="str">
        <f t="shared" si="774"/>
        <v/>
      </c>
      <c r="PI207" s="43" t="str">
        <f t="shared" si="775"/>
        <v>Menor</v>
      </c>
      <c r="PJ207" s="43" t="str">
        <f t="shared" si="776"/>
        <v>NORMAL</v>
      </c>
      <c r="PK207" s="43" t="str">
        <f t="shared" si="777"/>
        <v/>
      </c>
      <c r="PL207" s="43" t="str">
        <f t="shared" si="778"/>
        <v/>
      </c>
      <c r="PM207" s="43" t="str">
        <f t="shared" si="779"/>
        <v/>
      </c>
      <c r="PN207" s="43" t="str">
        <f t="shared" si="780"/>
        <v/>
      </c>
      <c r="PO207" s="43" t="str">
        <f t="shared" si="781"/>
        <v/>
      </c>
      <c r="PP207" s="43" t="str">
        <f t="shared" si="782"/>
        <v/>
      </c>
      <c r="PQ207" s="43" t="str">
        <f t="shared" si="783"/>
        <v/>
      </c>
      <c r="PR207" s="43" t="str">
        <f t="shared" si="784"/>
        <v/>
      </c>
      <c r="PS207" s="43" t="str">
        <f t="shared" si="785"/>
        <v/>
      </c>
      <c r="PT207" s="43" t="str">
        <f t="shared" si="786"/>
        <v/>
      </c>
      <c r="PU207" s="43" t="str">
        <f t="shared" si="787"/>
        <v/>
      </c>
      <c r="PV207" s="43" t="str">
        <f t="shared" si="788"/>
        <v/>
      </c>
      <c r="PW207" s="43" t="str">
        <f t="shared" si="789"/>
        <v/>
      </c>
      <c r="PX207" s="43" t="str">
        <f t="shared" si="790"/>
        <v/>
      </c>
      <c r="PY207" s="43" t="str">
        <f t="shared" si="791"/>
        <v/>
      </c>
      <c r="PZ207" s="43" t="str">
        <f t="shared" si="792"/>
        <v/>
      </c>
      <c r="QA207" s="43" t="str">
        <f t="shared" si="793"/>
        <v/>
      </c>
      <c r="QB207" s="43" t="str">
        <f t="shared" si="794"/>
        <v/>
      </c>
      <c r="QC207" s="43" t="str">
        <f t="shared" si="795"/>
        <v/>
      </c>
      <c r="QD207" s="43" t="str">
        <f t="shared" si="796"/>
        <v/>
      </c>
      <c r="QE207" s="43" t="str">
        <f t="shared" si="797"/>
        <v/>
      </c>
      <c r="QF207" s="43" t="str">
        <f t="shared" si="798"/>
        <v/>
      </c>
      <c r="QG207" s="43" t="str">
        <f t="shared" si="799"/>
        <v/>
      </c>
      <c r="QH207" s="43" t="str">
        <f t="shared" si="800"/>
        <v/>
      </c>
      <c r="QI207" s="43" t="str">
        <f t="shared" si="801"/>
        <v/>
      </c>
      <c r="QJ207" s="43" t="str">
        <f t="shared" si="802"/>
        <v/>
      </c>
      <c r="QK207" s="43" t="str">
        <f t="shared" si="803"/>
        <v/>
      </c>
      <c r="QL207" s="43" t="str">
        <f t="shared" si="804"/>
        <v/>
      </c>
      <c r="QM207" s="43" t="str">
        <f t="shared" si="805"/>
        <v/>
      </c>
      <c r="QN207" s="43" t="str">
        <f t="shared" si="806"/>
        <v/>
      </c>
      <c r="QO207" s="43" t="str">
        <f t="shared" si="807"/>
        <v/>
      </c>
      <c r="QP207" s="43" t="str">
        <f t="shared" si="808"/>
        <v/>
      </c>
      <c r="QQ207" s="43" t="str">
        <f t="shared" si="809"/>
        <v/>
      </c>
      <c r="QR207" s="43" t="str">
        <f t="shared" si="839"/>
        <v>Menor</v>
      </c>
      <c r="QS207" s="43"/>
      <c r="QT207" s="21" t="str">
        <f t="shared" si="810"/>
        <v/>
      </c>
      <c r="QU207" s="21" t="str">
        <f t="shared" si="811"/>
        <v/>
      </c>
      <c r="QV207" s="21" t="str">
        <f t="shared" si="812"/>
        <v/>
      </c>
      <c r="QW207" s="21" t="str">
        <f t="shared" si="813"/>
        <v/>
      </c>
      <c r="QX207" s="21" t="str">
        <f t="shared" si="814"/>
        <v/>
      </c>
      <c r="QY207" s="21" t="str">
        <f t="shared" si="815"/>
        <v/>
      </c>
      <c r="QZ207" s="21" t="str">
        <f t="shared" si="816"/>
        <v/>
      </c>
      <c r="RA207" s="21" t="str">
        <f t="shared" si="817"/>
        <v/>
      </c>
      <c r="RB207" s="21" t="str">
        <f t="shared" si="818"/>
        <v/>
      </c>
      <c r="RC207" s="21" t="str">
        <f t="shared" si="819"/>
        <v/>
      </c>
      <c r="RD207" s="21" t="str">
        <f t="shared" si="820"/>
        <v/>
      </c>
      <c r="RE207" s="21" t="str">
        <f t="shared" si="821"/>
        <v/>
      </c>
      <c r="RF207" s="21" t="str">
        <f t="shared" si="822"/>
        <v/>
      </c>
      <c r="RG207" s="21" t="str">
        <f t="shared" si="823"/>
        <v/>
      </c>
      <c r="RH207" s="21" t="str">
        <f t="shared" si="824"/>
        <v/>
      </c>
      <c r="RI207" s="21" t="str">
        <f t="shared" si="825"/>
        <v/>
      </c>
      <c r="RJ207" s="21" t="str">
        <f t="shared" si="826"/>
        <v/>
      </c>
      <c r="RK207" s="21" t="str">
        <f t="shared" si="827"/>
        <v/>
      </c>
      <c r="RL207" s="21" t="str">
        <f t="shared" si="828"/>
        <v/>
      </c>
      <c r="RM207" s="21" t="str">
        <f t="shared" si="829"/>
        <v/>
      </c>
      <c r="RN207" s="21" t="str">
        <f t="shared" si="830"/>
        <v/>
      </c>
      <c r="RO207" s="21" t="str">
        <f t="shared" si="831"/>
        <v/>
      </c>
      <c r="RP207" s="21" t="str">
        <f t="shared" si="832"/>
        <v/>
      </c>
      <c r="RQ207" s="21" t="str">
        <f t="shared" si="833"/>
        <v/>
      </c>
      <c r="RR207" s="21" t="str">
        <f t="shared" si="834"/>
        <v/>
      </c>
      <c r="RS207" s="21" t="str">
        <f t="shared" si="835"/>
        <v/>
      </c>
      <c r="RT207" s="21" t="str">
        <f t="shared" si="836"/>
        <v/>
      </c>
      <c r="RU207" s="21" t="str">
        <f t="shared" si="837"/>
        <v/>
      </c>
      <c r="RV207" s="21" t="e">
        <f>IF(AND(#REF!="",HQ207=""),"",IF(SUM((HQ207-RW207)/7)&gt;43.1,"",IF(SUM((HQ207-RW207)/7)&lt;0,-1,SUM((HQ207-RW207)/7))))</f>
        <v>#REF!</v>
      </c>
      <c r="RW207" s="284">
        <f>IF(OR(Tabla1[[#This Row],[FUM FORMULA CONFIABLE]]="",Tabla1[[#This Row],[FUM FORMULA CONFIABLE]]="SD"),"",IF(Tabla1[[#This Row],[FUM FORMULA CONFIABLE]]="CORREGIDA",Tabla1[[#This Row],[FUM X ECO 1]],Tabla1[[#This Row],[FUM x AMENORREA]]))</f>
        <v>45079</v>
      </c>
      <c r="RX207" s="21">
        <f>IF(AND(Tabla1[[#This Row],[FUM X ECO 1]]="",Tabla1[[#This Row],[FUM x AMENORREA]]=""),"",IF(AND(Tabla1[[#This Row],[FUM X ECO 1]]="",Tabla1[[#This Row],[FUM x AMENORREA]]&lt;&gt;""),"X",SUM(Tabla1[[#This Row],[FUM X ECO 1]]-Tabla1[[#This Row],[FUM x AMENORREA]])))</f>
        <v>3</v>
      </c>
      <c r="RY207" s="21">
        <f t="shared" si="840"/>
        <v>0</v>
      </c>
    </row>
    <row r="208" spans="1:493" ht="45" customHeight="1" x14ac:dyDescent="0.25">
      <c r="A208" s="109"/>
      <c r="B208" s="43"/>
      <c r="C208" s="43" t="s">
        <v>845</v>
      </c>
      <c r="D208" s="124" t="s">
        <v>1627</v>
      </c>
      <c r="E208" s="43" t="s">
        <v>874</v>
      </c>
      <c r="F208" s="43" t="s">
        <v>873</v>
      </c>
      <c r="G208" s="43" t="s">
        <v>1635</v>
      </c>
      <c r="H208" s="43" t="s">
        <v>1294</v>
      </c>
      <c r="I208" s="109" t="s">
        <v>1094</v>
      </c>
      <c r="J208" s="110">
        <v>1059597986</v>
      </c>
      <c r="K208" s="43" t="s">
        <v>852</v>
      </c>
      <c r="L208" s="175" t="s">
        <v>1509</v>
      </c>
      <c r="M208" s="22">
        <v>39304</v>
      </c>
      <c r="N208" s="213">
        <f t="shared" ca="1" si="841"/>
        <v>16.241095890410961</v>
      </c>
      <c r="O208" s="22">
        <v>45115</v>
      </c>
      <c r="P208" s="214" t="str">
        <f t="shared" si="919"/>
        <v>SI</v>
      </c>
      <c r="Q208" s="26" t="s">
        <v>855</v>
      </c>
      <c r="R208" s="22">
        <v>45115</v>
      </c>
      <c r="S208" s="21" t="s">
        <v>856</v>
      </c>
      <c r="T208" s="24" t="s">
        <v>690</v>
      </c>
      <c r="U208" s="21" t="s">
        <v>857</v>
      </c>
      <c r="V208" s="21" t="s">
        <v>858</v>
      </c>
      <c r="W208" s="21" t="s">
        <v>1062</v>
      </c>
      <c r="X208" s="21" t="s">
        <v>1139</v>
      </c>
      <c r="Y208" s="21"/>
      <c r="Z208" s="21">
        <v>3216377263</v>
      </c>
      <c r="AA208" s="21" t="s">
        <v>860</v>
      </c>
      <c r="AB208" s="27" t="s">
        <v>861</v>
      </c>
      <c r="AC208" s="26" t="s">
        <v>897</v>
      </c>
      <c r="AD208" s="38" t="s">
        <v>1546</v>
      </c>
      <c r="AE208" s="26" t="s">
        <v>864</v>
      </c>
      <c r="AF208" s="26" t="s">
        <v>854</v>
      </c>
      <c r="AG208" s="23" t="s">
        <v>864</v>
      </c>
      <c r="AH208" s="23" t="s">
        <v>864</v>
      </c>
      <c r="AI208" s="24" t="s">
        <v>863</v>
      </c>
      <c r="AJ208" s="23" t="s">
        <v>864</v>
      </c>
      <c r="AK208" s="220" t="str">
        <f>IF(AND(AD208="",AE208="",AF208="",AG208="",AH208="",AI208="",AJ208=""),"",IF(OR(Tabla1[[#This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EVALUACIÓN",IF(AND(O208="",R208=""),"",IF(AND(OR(O208&gt;0,R208&gt;0),NG208&gt;=0,NG208&lt;2),"SIN RIESGO",IF(AND(OR(O208&gt;0,R208&gt;0),NG208&gt;=2),"CON RIESGO","ASD")))))</f>
        <v>SIN RIESGO</v>
      </c>
      <c r="AL208" s="23" t="s">
        <v>864</v>
      </c>
      <c r="AM208" s="23" t="s">
        <v>864</v>
      </c>
      <c r="AN208" s="23" t="s">
        <v>864</v>
      </c>
      <c r="AO208" s="23" t="s">
        <v>864</v>
      </c>
      <c r="AP208" s="23" t="s">
        <v>864</v>
      </c>
      <c r="AQ208" s="23" t="s">
        <v>864</v>
      </c>
      <c r="AR208" s="23" t="s">
        <v>864</v>
      </c>
      <c r="AS208" s="21">
        <v>0</v>
      </c>
      <c r="AT208" s="21">
        <v>0</v>
      </c>
      <c r="AU208" s="21">
        <v>0</v>
      </c>
      <c r="AV208" s="26" t="s">
        <v>864</v>
      </c>
      <c r="AW208" s="21">
        <v>0</v>
      </c>
      <c r="AX208" s="26" t="s">
        <v>864</v>
      </c>
      <c r="AY208" s="26" t="s">
        <v>864</v>
      </c>
      <c r="AZ208" s="26" t="s">
        <v>864</v>
      </c>
      <c r="BA208" s="26" t="s">
        <v>864</v>
      </c>
      <c r="BB208" s="26" t="s">
        <v>864</v>
      </c>
      <c r="BC208" s="26" t="s">
        <v>864</v>
      </c>
      <c r="BD208" s="26" t="s">
        <v>864</v>
      </c>
      <c r="BE208" s="26" t="s">
        <v>864</v>
      </c>
      <c r="BF208" s="26" t="s">
        <v>864</v>
      </c>
      <c r="BG208" s="26" t="s">
        <v>864</v>
      </c>
      <c r="BH208" s="26" t="s">
        <v>864</v>
      </c>
      <c r="BI208" s="26" t="s">
        <v>864</v>
      </c>
      <c r="BJ208" s="26" t="s">
        <v>864</v>
      </c>
      <c r="BK208" s="26" t="s">
        <v>864</v>
      </c>
      <c r="BL208" s="26" t="s">
        <v>864</v>
      </c>
      <c r="BM208" s="26" t="s">
        <v>864</v>
      </c>
      <c r="BN208" s="22"/>
      <c r="BO208" s="22">
        <v>45073</v>
      </c>
      <c r="BP208" s="21" t="s">
        <v>854</v>
      </c>
      <c r="BQ208" s="222">
        <f t="shared" si="842"/>
        <v>0</v>
      </c>
      <c r="BR208" s="223">
        <f t="shared" si="843"/>
        <v>45071.3</v>
      </c>
      <c r="BS208" s="224">
        <f t="shared" si="844"/>
        <v>6</v>
      </c>
      <c r="BT208" s="216" t="str">
        <f t="shared" si="845"/>
        <v>I TRIM</v>
      </c>
      <c r="BU208" s="214">
        <f t="shared" ca="1" si="928"/>
        <v>22.714285714285715</v>
      </c>
      <c r="BV208" s="25" t="s">
        <v>1478</v>
      </c>
      <c r="BW208" s="22">
        <v>45121</v>
      </c>
      <c r="BX208" s="28">
        <v>7.1</v>
      </c>
      <c r="BY208" s="28"/>
      <c r="BZ208" s="22"/>
      <c r="CA208" s="21"/>
      <c r="CB208" s="26" t="s">
        <v>864</v>
      </c>
      <c r="CC208" s="26" t="s">
        <v>864</v>
      </c>
      <c r="CD208" s="26"/>
      <c r="CE208" s="26" t="s">
        <v>864</v>
      </c>
      <c r="CF208" s="22" t="s">
        <v>1517</v>
      </c>
      <c r="CG208" s="21">
        <v>1.5</v>
      </c>
      <c r="CH208" s="21">
        <v>42</v>
      </c>
      <c r="CI208" s="214">
        <f t="shared" si="847"/>
        <v>18.666666666666668</v>
      </c>
      <c r="CJ208" s="225" t="str">
        <f>IF(AND(CI208&lt;10,CH208="SD"),"SIN DATO PESO PREGESTACION O I TRIM",IF(AND(OR(R208&gt;0,O208&gt;0),CI208="X"),"INGRESAR DATO DE PESO",IF(CI208="SD","INGRESAR DATO DE TALLA Y PESO",IF(AND(OR(Tabla1[[#This Row],[MOMENTO EN QUE SE REALIZA EL PESO AL INGRESO A CPN]]="PREGESTACIÓN",NZ208="Menor"),CI208&lt;18.5),"BAJO PESO",IF(AND(OR(Tabla1[[#This Row],[MOMENTO EN QUE SE REALIZA EL PESO AL INGRESO A CPN]]="PREGESTACIÓN",NZ208="Menor"),CI208&lt;25),"NORMAL",IF(AND(OR(Tabla1[[#This Row],[MOMENTO EN QUE SE REALIZA EL PESO AL INGRESO A CPN]]="PREGESTACIÓN",NZ208="Menor"),CI208&lt;30),"SOBREPESO",IF(AND(OR(Tabla1[[#This Row],[MOMENTO EN QUE SE REALIZA EL PESO AL INGRESO A CPN]]="PREGESTACIÓN",NZ208="Menor"),CI208&gt;=30,CI208&lt;50),"OBESIDAD",IF(AND(BS208&gt;0,Tabla1[[#This Row],[MOMENTO EN QUE SE REALIZA EL PESO AL INGRESO A CPN]]="GESTACIÓN"),HLOOKUP(NZ208,$OA$2:PH208,NY208),""))))))))</f>
        <v>NORMAL</v>
      </c>
      <c r="CK208" s="212">
        <f t="shared" si="848"/>
        <v>45146</v>
      </c>
      <c r="CL208" s="21">
        <v>42</v>
      </c>
      <c r="CM208" s="214">
        <f t="shared" si="849"/>
        <v>18.666666666666668</v>
      </c>
      <c r="CN208" s="216">
        <f t="shared" si="850"/>
        <v>10</v>
      </c>
      <c r="CO208" s="216" t="e">
        <f>IF(PI208="","",IF(PI208&gt;0,HLOOKUP(PI208,$PJ$2:QQ208,NY208),""))</f>
        <v>#REF!</v>
      </c>
      <c r="CP208" s="21"/>
      <c r="CQ208" s="216" t="str">
        <f>IF(QR208="Menor","NO APLICA-MENOR 13 SEM",IF(AND(CC208="SI",CN208&gt;23),"NO APLICA- GEMELAR",IF(QR208="","",IF(QR208&gt;0,HLOOKUP(QR208,$QS$2:RU208,NY208),""))))</f>
        <v>NO APLICA-MENOR 13 SEM</v>
      </c>
      <c r="CR208" s="21">
        <v>100</v>
      </c>
      <c r="CS208" s="21">
        <v>60</v>
      </c>
      <c r="CT208" s="217" t="str">
        <f>IF(R208="","",IF(AND(BS208&gt;1,BS208&lt;12,Tabla1[[#This Row],[T.A. SISTOLICA - ANTES DE SEMANA 12]]="",Tabla1[[#This Row],[T.A. DIASTOLICA - ANTES DE SEMANA 12]]=""),"REGISTRE DATO TA ANTES SEMANA 12",IF(AND(BS208&gt;11,BS208&lt;43,Tabla1[[#This Row],[T.A. SISTOLICA - ANTES DE SEMANA 12]]="",Tabla1[[#This Row],[T.A. DIASTOLICA - ANTES DE SEMANA 12]]=""),"NO APLICA REGISTRO TA-INGRESO TARDIO",IF(AND(OR(O208&gt;0,R208&gt;0),OR(CR208&gt;=140,CS208&gt;=90)),"DEFINIR ESTADIO HTA",IF(AND(OR(O208&gt;0,R208&gt;0),AND(CR208&gt;120,CR208&lt;=139)),"PRE HTA SEGUIMIENTO",IF(AND(OR(O208&gt;0,R208&gt;0),AND(CS208&gt;80,CS208&lt;=89)),"PRE HTA SEGUIMIENTO",IF(AND(OR(O208&gt;0,R208&gt;0),AND(CR208&gt;=80,CR208&lt;=120)),"APARENTEMENTE NORMAL",IF(AND(OR(O208&gt;0,R208&gt;0),AND(CS208&gt;=50,CS208&lt;=80)),"APARENTEMENTE NORMAL",IF(AND(OR(O208&gt;0,R208&gt;0),AND(CR208&gt;1,CR208&lt;=70),AND(CS208&gt;1,CS208&lt;=40)),"HIPOTENSIÓN","")))))))))</f>
        <v>APARENTEMENTE NORMAL</v>
      </c>
      <c r="CU208" s="21"/>
      <c r="CV208" s="21"/>
      <c r="CW208" s="217" t="str">
        <f ca="1">IF(R208="","",IF(AND(CN208&gt;19,CN208&lt;27,Tabla1[[#This Row],[T.A. SISTOLICA (Entre semana 20 y 26)]]="",Tabla1[[#This Row],[T.A. DIATOLICA (Entre semana 20 y 26)]]=""),"ACUDE A CONTROL SEM 20 A 26 REGISTRE TA AHORA",IF(AND(BS208&gt;1,BS208&lt;27,BU208&gt;19,Tabla1[[#This Row],[T.A. SISTOLICA (Entre semana 20 y 26)]]="",Tabla1[[#This Row],[T.A. DIATOLICA (Entre semana 20 y 26)]]=""),"COMPLETE REGISTRO TA CONTROL SEM 20 A26 ",IF(AND(BS208&gt;26,BS208&lt;43,Tabla1[[#This Row],[T.A. SISTOLICA (Entre semana 20 y 26)]]="",Tabla1[[#This Row],[T.A. DIATOLICA (Entre semana 20 y 26)]]=""),"NO APLICA REGISTRO TA-INGRESO TARDIO",IF(AND(OR(O208&gt;0,R208&gt;0),OR(CU208&gt;=140,CV208&gt;=90)),"ALTO RIESGO PREECLAMPSIA,DEFINIR ESTADIO HTA",IF(AND(OR(O208&gt;0,R208&gt;0),AND(CU208&gt;120,CU208&lt;=139)),"PRE HTA SEGUIMIENTO,RIESGO HIPERTENSION INDUCIDA POR EL EMBARAZO",IF(AND(OR(O208&gt;0,R208&gt;0),AND(CV208&gt;80,CV208&lt;=89)),"PRE HTA SEGUIMIENTO, RIESGO HIPERTENSION INDUCIDA POR EL EMBARAZO",IF(AND(OR(O208&lt;&gt;"",R208&lt;&gt;""),CS208&lt;&gt;"",CV208&lt;&gt;"",CS208&lt;=CV208),"VIGILAR CIFRAS PRESION ARTERIAL",IF(AND(OR(O208&gt;0,R208&gt;0),AND(CU208&gt;120,CU208&lt;=139)),"PRE HTA SEGUIMIENTO",IF(AND(OR(O208&gt;0,R208&gt;0),AND(CU208&gt;1,CU208&lt;=70),AND(CV208&gt;1,CV208&lt;=40)),"HIPOTENSIÓN",IF(AND(OR(O208&lt;&gt;"",R208&lt;&gt;""),CS208&lt;&gt;"",CV208&lt;&gt;"",CS208&gt;CV208),"APARENTEMENTE NORMAL",IF(AND(OR(O208&gt;0,R208&gt;0),AND(CU208&gt;=80,CU208&lt;=120)),"APARENTEMENTE NORMAL",IF(AND(OR(O208&gt;0,R208&gt;0),AND(CV208&gt;=50,CV208&lt;=80)),"APARENTEMENTE NORMAL","")))))))))))))</f>
        <v xml:space="preserve">COMPLETE REGISTRO TA CONTROL SEM 20 A26 </v>
      </c>
      <c r="CX208" s="21"/>
      <c r="CY208" s="21"/>
      <c r="CZ208" s="216" t="str">
        <f>IF(R208="","",IF(AND(CN208&gt;31,CN208&lt;35,CX208="",CY208=""),"ACUDE A CONTROL SEM 30 A 34- REGISTRE AHORA",IF(AND(BS208&gt;34,BS208&lt;43,CX209="",CY209=""),"NO APLICA-INGRESO TARDIO",IF(AND(OR(O208&gt;0,R208&gt;0),OR(CX208&gt;=140,CY208&gt;=90)),"ESTUDIO INMEDIATO HTA PARA DESCARTAR PREECLAMSIA",IF(AND(OR(O208&gt;0,R208&gt;0),AND(CX208&gt;=130,CX208&lt;=139)),"PRE HTA,RIESGO ALTO PREECLAMPSIA",IF(AND(OR(O208&gt;0,R208&gt;0),AND(CY208&gt;80,CY208&lt;=89)),"PRE HTA,RIESGO ALTO PREECLAMPSIA",IF(AND(OR(O208&gt;0,R208&gt;0),AND(CX208&gt;120,CX208&lt;=129)),"RANGO PREHIPERTENSIVO SEGUIMIENTO HTA",IF(AND(OR(O208&lt;&gt;"",R208&lt;&gt;""),CS208&lt;&gt;"",CY208&lt;&gt;"",CS208&lt;CY208),"VIGILAR CIFRAS PRESION ARTERIAL",IF(AND(OR(O208&lt;&gt;"",R208&lt;&gt;""),CS208&lt;&gt;"",CY208&lt;&gt;"",CS208=CY208),"APARENTEMENTE NORMAL",IF(AND(OR(O208&gt;0,R208&gt;0),CX208&gt;=80,CX208&lt;=120),"APARENTEMENTE NORMAL",IF(AND(OR(O208&gt;0,R208&gt;0),CY208&gt;=50,CY208&lt;=80),"APARENTEMENTE NORMAL","")))))))))))</f>
        <v/>
      </c>
      <c r="DA208" s="21">
        <v>90</v>
      </c>
      <c r="DB208" s="21">
        <v>60</v>
      </c>
      <c r="DC208" s="217" t="str">
        <f t="shared" si="851"/>
        <v>APARENTEMENTE NORMAL</v>
      </c>
      <c r="DD208" s="22">
        <v>45115</v>
      </c>
      <c r="DE208" s="22">
        <v>45115</v>
      </c>
      <c r="DF208" s="22">
        <v>45146</v>
      </c>
      <c r="DG208" s="22"/>
      <c r="DH208" s="22"/>
      <c r="DI208" s="22"/>
      <c r="DJ208" s="22"/>
      <c r="DK208" s="22"/>
      <c r="DL208" s="22"/>
      <c r="DM208" s="22"/>
      <c r="DN208" s="22"/>
      <c r="DO208" s="22"/>
      <c r="DP208" s="22"/>
      <c r="DQ208" s="22"/>
      <c r="DR208" s="28"/>
      <c r="DS208" s="22"/>
      <c r="DT208" s="22"/>
      <c r="DU208" s="216" t="str">
        <f t="shared" ca="1" si="920"/>
        <v>EN ESPERA</v>
      </c>
      <c r="DV208" s="226" t="str">
        <f t="shared" si="921"/>
        <v>ACTIVA INGRESO A CPN</v>
      </c>
      <c r="DW20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08" s="216" t="e">
        <f t="shared" ca="1" si="852"/>
        <v>#REF!</v>
      </c>
      <c r="DY208" s="212">
        <f>IF(R208="","",IF(R208&gt;0,MAX(Tabla1[[#This Row],[FECHA C2]:[FECHA C13]],Tabla1[[#This Row],[FECHA CONSULTA PRIMERA VEZ PROGRAMA CPN ]])))</f>
        <v>45146</v>
      </c>
      <c r="DZ208" s="216">
        <f t="shared" si="853"/>
        <v>10</v>
      </c>
      <c r="EA208" s="222">
        <f>IF(R208&gt;0,SUM(COUNTA(DF208:DQ208)+COUNTA(Tabla1[[#This Row],[FECHA CONSULTA PRIMERA VEZ PROGRAMA CPN ]])),"")</f>
        <v>2</v>
      </c>
      <c r="EB208" s="222" t="str">
        <f t="shared" si="854"/>
        <v>NO</v>
      </c>
      <c r="EC208" s="214">
        <f t="shared" si="855"/>
        <v>10</v>
      </c>
      <c r="ED208" s="227">
        <f t="shared" si="856"/>
        <v>0.2</v>
      </c>
      <c r="EE208" s="22">
        <v>45115</v>
      </c>
      <c r="EF208" s="22">
        <v>45121</v>
      </c>
      <c r="EG208" s="22">
        <v>45115</v>
      </c>
      <c r="EH208" s="22"/>
      <c r="EI208" s="22">
        <v>45115</v>
      </c>
      <c r="EJ208" s="22"/>
      <c r="EK208" s="22"/>
      <c r="EL208" s="21"/>
      <c r="EM208" s="21">
        <v>12.7</v>
      </c>
      <c r="EN208" s="22">
        <v>45115</v>
      </c>
      <c r="EO208" s="222">
        <f t="shared" si="857"/>
        <v>6</v>
      </c>
      <c r="EP208" s="214" t="str">
        <f t="shared" si="858"/>
        <v>NORMAL- SUMINISTRAR SULFATO FERROSO</v>
      </c>
      <c r="EQ208" s="216" t="str">
        <f t="shared" si="859"/>
        <v>I TRIM</v>
      </c>
      <c r="ER208" s="24"/>
      <c r="ES208" s="22"/>
      <c r="ET208" s="29" t="str">
        <f t="shared" ca="1" si="922"/>
        <v>EN ESPERA PARA TOMA EXAMEN</v>
      </c>
      <c r="EU208" s="25" t="str">
        <f t="shared" si="860"/>
        <v/>
      </c>
      <c r="EV208" s="24" t="s">
        <v>1510</v>
      </c>
      <c r="EW208" s="32">
        <v>45115</v>
      </c>
      <c r="EX208" s="22"/>
      <c r="EY208" s="29">
        <f t="shared" si="693"/>
        <v>6</v>
      </c>
      <c r="EZ208" s="25" t="str">
        <f t="shared" si="694"/>
        <v>SIN RIESGO DE ISOINMUNIZACIÓN</v>
      </c>
      <c r="FA208" s="21">
        <v>90</v>
      </c>
      <c r="FB208" s="32">
        <v>45115</v>
      </c>
      <c r="FC208" s="29">
        <f t="shared" si="861"/>
        <v>6</v>
      </c>
      <c r="FD208" s="29"/>
      <c r="FE208" s="29"/>
      <c r="FF208" s="29"/>
      <c r="FG208" s="21" t="str">
        <f t="shared" ca="1" si="862"/>
        <v>PROGRAMAR TOMA PTOG SIGUIENTE CONTROL</v>
      </c>
      <c r="FH208" s="31"/>
      <c r="FI208" s="29" t="str">
        <f t="shared" si="863"/>
        <v>TOMAR EXAMEN</v>
      </c>
      <c r="FJ208" s="22" t="s">
        <v>867</v>
      </c>
      <c r="FK208" s="32">
        <v>45115</v>
      </c>
      <c r="FL208" s="29">
        <f t="shared" ca="1" si="864"/>
        <v>6</v>
      </c>
      <c r="FM208" s="22"/>
      <c r="FN208" s="32"/>
      <c r="FO208" s="29" t="str">
        <f t="shared" ca="1" si="923"/>
        <v>EN RANGO PARA TOMAR EXAMEN</v>
      </c>
      <c r="FP208" s="22"/>
      <c r="FQ208" s="32"/>
      <c r="FR208" s="29" t="str">
        <f t="shared" ca="1" si="924"/>
        <v>EN ESPERA-ESTÁ I TRIM O II TRIM</v>
      </c>
      <c r="FS208" s="22"/>
      <c r="FT208" s="32"/>
      <c r="FU208" s="29" t="str">
        <f>IF(AND(FJ208="",FM208="",FP208="",FS208=""),"",IF(OR(OR(Tabla1[[#This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08" s="28"/>
      <c r="FW208" s="22"/>
      <c r="FX208" s="29" t="str">
        <f t="shared" si="865"/>
        <v>TOMAR EXAMEN</v>
      </c>
      <c r="FY208" s="22" t="s">
        <v>868</v>
      </c>
      <c r="FZ208" s="32">
        <v>45116</v>
      </c>
      <c r="GA208" s="29">
        <f t="shared" ca="1" si="739"/>
        <v>6.1428571428571432</v>
      </c>
      <c r="GB208" s="22"/>
      <c r="GC208" s="22"/>
      <c r="GD208" s="29" t="str">
        <f t="shared" ca="1" si="925"/>
        <v>EN RANGO PARA TOMAR EXAMEN</v>
      </c>
      <c r="GE208" s="22"/>
      <c r="GF208" s="22"/>
      <c r="GG208" s="29" t="str">
        <f t="shared" ca="1" si="926"/>
        <v>EN ESPERA-ESTÁ I TRIM O II TRIM</v>
      </c>
      <c r="GH208" s="22"/>
      <c r="GI208" s="29"/>
      <c r="GJ208" s="22"/>
      <c r="GK208" s="22"/>
      <c r="GL208" s="22"/>
      <c r="GM208" s="22"/>
      <c r="GN208" s="28" t="s">
        <v>869</v>
      </c>
      <c r="GO208" s="32">
        <v>45115</v>
      </c>
      <c r="GP208" s="29">
        <f t="shared" si="866"/>
        <v>6</v>
      </c>
      <c r="GQ208" s="28" t="s">
        <v>869</v>
      </c>
      <c r="GR208" s="28" t="s">
        <v>869</v>
      </c>
      <c r="GS208" s="22" t="str">
        <f t="shared" si="728"/>
        <v>CONTROL Igm</v>
      </c>
      <c r="GT208" s="22">
        <v>45115</v>
      </c>
      <c r="GU208" s="29">
        <f t="shared" si="867"/>
        <v>6</v>
      </c>
      <c r="GV208" s="21" t="str">
        <f t="shared" si="868"/>
        <v>I TRIM</v>
      </c>
      <c r="GW208" s="28"/>
      <c r="GX208" s="30"/>
      <c r="GY208" s="21"/>
      <c r="GZ208" s="21"/>
      <c r="HA208" s="21"/>
      <c r="HB208" s="21"/>
      <c r="HC208" s="21"/>
      <c r="HD208" s="21"/>
      <c r="HE208" s="21"/>
      <c r="HF208" s="22"/>
      <c r="HG208" s="22" t="str">
        <f>IF(OR(O208&gt;0,R208&gt;0),CONCATENATE(IF(Tabla1[[#This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08" s="22" t="e">
        <f t="shared" si="869"/>
        <v>#REF!</v>
      </c>
      <c r="HI208" s="22" t="e">
        <f t="shared" ca="1" si="870"/>
        <v>#REF!</v>
      </c>
      <c r="HJ208" s="21" t="str">
        <f t="shared" ca="1" si="871"/>
        <v>**********************MULTIPARIDAD**RIESGO POR EDAD***************</v>
      </c>
      <c r="HK208" s="21" t="str">
        <f t="shared" si="872"/>
        <v>SIN ANTECEDENTES DE RIESGO</v>
      </c>
      <c r="HL208" s="24" t="str">
        <f t="shared" si="873"/>
        <v>APARENTEMENTE NORMAL</v>
      </c>
      <c r="HM208" s="21" t="e">
        <f t="shared" ca="1" si="874"/>
        <v>#REF!</v>
      </c>
      <c r="HN208" s="30" t="str">
        <f t="shared" si="927"/>
        <v>ACTIVA INGRESO A CPN</v>
      </c>
      <c r="HO208" s="21"/>
      <c r="HP208" s="21"/>
      <c r="HQ208" s="349"/>
      <c r="HR208" s="21" t="str">
        <f>IF(R208="","",IF(Tabla1[[#This Row],[ALARMA FACTORES DE RIESGO COMPLICACIONES HIPERTENSIVAS3]]="SIN ANTECEDENTES DE RIESGO","No Aplica para suministro de ASA",IF(AND(Tabla1[[#This Row],[FECHA INICIO DE SUMINISTRO DE ASA]]&gt;0,RV208&lt;12),"Inicia ASA ANTES de Sem 12",IF(AND(RV208&gt;11,RV208&lt;17,OR(HK208="RIESGO ALTO DE COMPLICACIONES HIPERTENSIVAS VER MANEJO GUIA SUMINISTRO ASA Y CALCIO",HK208="RIESGO MODERADO (2 O MAS CRITERIOS) VER MANEJO GUIA SUMINISTRO ASA Y CALCIO")),"Inicio oportuno de ASA",IF(AND(RV208&gt;12,OR(HK208="RIESGO ALTO DE COMPLICACIONES HIPERTENSIVAS VER MANEJO GUIA SUMINISTRO ASA Y CALCIO",HK208="RIESGO MODERADO (2 O MAS CRITERIOS) VER MANEJO GUIA SUMINISTRO ASA Y CALCIO")),"Inicio no oportuno mayor a 16 semanas",IF(AND(BU208&lt;12,OR(HK208="RIESGO ALTO DE COMPLICACIONES HIPERTENSIVAS VER MANEJO GUIA SUMINISTRO ASA Y CALCIO",HK208="RIESGO MODERADO (2 O MAS CRITERIOS) VER MANEJO GUIA SUMINISTRO ASA Y CALCIO")),"Pendiente Inicio de ASA a la semana 12",IF(AND(BU208&gt;11,BU208&lt;17,OR(HK208="RIESGO ALTO DE COMPLICACIONES HIPERTENSIVAS VER MANEJO GUIA SUMINISTRO ASA Y CALCIO",HK208="RIESGO MODERADO (2 O MAS CRITERIOS) VER MANEJO GUIA SUMINISTRO ASA Y CALCIO")),"Iniciar de inmediato ASA",IF(AND(BU208&gt;16,OR(HK208="RIESGO ALTO DE COMPLICACIONES HIPERTENSIVAS VER MANEJO GUIA SUMINISTRO ASA Y CALCIO",HK208="RIESGO MODERADO (2 O MAS CRITERIOS) VER MANEJO GUIA SUMINISTRO ASA Y CALCIO")),"Pierde Oportunidad, Inicio tardío de ASA","XXXXX"))))))))</f>
        <v>No Aplica para suministro de ASA</v>
      </c>
      <c r="HS208" s="22"/>
      <c r="HT208" s="22"/>
      <c r="HU208" s="22">
        <v>45115</v>
      </c>
      <c r="HV208" s="22" t="s">
        <v>1544</v>
      </c>
      <c r="HW208" s="22">
        <v>45115</v>
      </c>
      <c r="HX208" s="22" t="s">
        <v>1511</v>
      </c>
      <c r="HY208" s="22">
        <v>45115</v>
      </c>
      <c r="HZ208" s="28">
        <f t="shared" si="875"/>
        <v>6</v>
      </c>
      <c r="IA208" s="26" t="s">
        <v>864</v>
      </c>
      <c r="IB208" s="26"/>
      <c r="IC208" s="111"/>
      <c r="ID208" s="22"/>
      <c r="IE208" s="22" t="str">
        <f t="shared" ca="1" si="876"/>
        <v>PROGRAMAR APLICACION DE VACUNA</v>
      </c>
      <c r="IF208" s="22"/>
      <c r="IG208" s="22">
        <f t="shared" si="877"/>
        <v>45353</v>
      </c>
      <c r="IH208" s="29">
        <f t="shared" ca="1" si="878"/>
        <v>121</v>
      </c>
      <c r="II208" s="22" t="str">
        <f t="shared" ca="1" si="879"/>
        <v>PENDIENTE</v>
      </c>
      <c r="IJ208" s="22"/>
      <c r="IK208" s="21"/>
      <c r="IL208" s="21"/>
      <c r="IM208" s="34"/>
      <c r="IN208" s="22"/>
      <c r="IO208" s="21"/>
      <c r="IP208" s="29" t="str">
        <f t="shared" si="880"/>
        <v/>
      </c>
      <c r="IQ208" s="35"/>
      <c r="IR208" s="21"/>
      <c r="IS208" s="21"/>
      <c r="IT208" s="21"/>
      <c r="IU208" s="21"/>
      <c r="IV208" s="21"/>
      <c r="IW208" s="21"/>
      <c r="IX208" s="21"/>
      <c r="IY208" s="21"/>
      <c r="IZ208" s="21"/>
      <c r="JA208" s="21"/>
      <c r="JB208" s="30"/>
      <c r="JC208" s="21"/>
      <c r="JD208" s="36"/>
      <c r="JE208" s="21" t="str">
        <f t="shared" si="881"/>
        <v/>
      </c>
      <c r="JF208" s="30"/>
      <c r="JG208" s="21"/>
      <c r="JH208" s="21"/>
      <c r="JI208" s="21"/>
      <c r="JJ208" s="30"/>
      <c r="JK208" s="22"/>
      <c r="JL208" s="22"/>
      <c r="JM208" s="21"/>
      <c r="JN208" s="36"/>
      <c r="JO208" s="21" t="str">
        <f t="shared" si="882"/>
        <v/>
      </c>
      <c r="JP208" s="22"/>
      <c r="JQ208" s="21"/>
      <c r="JR208" s="21"/>
      <c r="JS208" s="21"/>
      <c r="JT208" s="30"/>
      <c r="JU208" s="22"/>
      <c r="JV208" s="22"/>
      <c r="JW208" s="33"/>
      <c r="JX208" s="28" t="str">
        <f t="shared" si="883"/>
        <v/>
      </c>
      <c r="JY208" s="33"/>
      <c r="JZ208" s="28" t="str">
        <f t="shared" si="884"/>
        <v/>
      </c>
      <c r="KA208" s="21"/>
      <c r="KB208" s="21"/>
      <c r="KC208" s="21"/>
      <c r="KD208" s="37"/>
      <c r="KE208" s="28"/>
      <c r="KF208" s="28"/>
      <c r="KG208" s="28"/>
      <c r="KH208" s="39"/>
      <c r="KI208" s="39"/>
      <c r="KJ208" s="66"/>
      <c r="KK208" s="39"/>
      <c r="KL208" s="39"/>
      <c r="KM208" s="66"/>
      <c r="KN208" s="39"/>
      <c r="KO208" s="39"/>
      <c r="KP208" s="39"/>
      <c r="KQ208" s="39"/>
      <c r="KR208" s="39"/>
      <c r="KS208" s="39"/>
      <c r="KT208" s="39"/>
      <c r="KU208" s="38"/>
      <c r="KV208" s="38"/>
      <c r="KW208" s="38"/>
      <c r="KX208" s="38"/>
      <c r="KY208" s="38"/>
      <c r="KZ208" s="38"/>
      <c r="LA208" s="38"/>
      <c r="LB208" s="38"/>
      <c r="LC208" s="38"/>
      <c r="LD208" s="38"/>
      <c r="LE208" s="38"/>
      <c r="LF208" s="38"/>
      <c r="LG208" s="38"/>
      <c r="LH208" s="38"/>
      <c r="LI208" s="38"/>
      <c r="LJ208" s="38"/>
      <c r="LK208" s="38"/>
      <c r="LL208" s="38"/>
      <c r="LM208" s="38"/>
      <c r="LN208" s="38"/>
      <c r="LO208" s="38"/>
      <c r="LP208" s="38"/>
      <c r="LQ208" s="38"/>
      <c r="LR208" s="38"/>
      <c r="LS208" s="38"/>
      <c r="LT208" s="38"/>
      <c r="LU208" s="38"/>
      <c r="LV208" s="38"/>
      <c r="LW208" s="38"/>
      <c r="LX208" s="38"/>
      <c r="LY208" s="38"/>
      <c r="LZ208" s="38"/>
      <c r="MA208" s="38"/>
      <c r="MB208" s="38"/>
      <c r="MC208" s="38"/>
      <c r="MD208" s="38"/>
      <c r="ME208" s="38"/>
      <c r="MF208" s="38"/>
      <c r="MG208" s="38"/>
      <c r="MH208" s="43">
        <f t="shared" si="885"/>
        <v>0</v>
      </c>
      <c r="MI208" s="43" t="str">
        <f t="shared" ref="MI208:MI248" si="929">IF(AND(R208="",O208=""),"",IF(AND(OR(O208&gt;0,R208&gt;0),KT208&gt;0),SUM(KT208-RW208)/7,""))</f>
        <v/>
      </c>
      <c r="MJ208" s="43" t="str">
        <f t="shared" si="887"/>
        <v/>
      </c>
      <c r="MK208" s="43">
        <f t="shared" si="888"/>
        <v>0</v>
      </c>
      <c r="ML20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08" s="43">
        <f t="shared" ref="MM208:MM248" si="930">IF(AND(O208&gt;0,RW208&gt;0),SUM(O208-RW208)/7,"")</f>
        <v>6</v>
      </c>
      <c r="MN208" s="43">
        <f t="shared" ref="MN208:MN248" si="931">IF(R208&gt;0,MONTH(R208),"")</f>
        <v>7</v>
      </c>
      <c r="MO208" s="43">
        <f t="shared" ref="MO208:MO248" si="932">IF(R208&gt;0,YEAR(R208),"")</f>
        <v>2023</v>
      </c>
      <c r="MP208" s="43" t="str">
        <f t="shared" si="892"/>
        <v>III TRIMESTRE AÑO</v>
      </c>
      <c r="MQ208" s="43">
        <f t="shared" ref="MQ208:MQ248" si="933">IF(AND(M208&gt;0,R208&gt;0),DAYS360(M208,R208)/30.44/12,IF(AND(M208&gt;0,O208&gt;0,R208=""),DAYS360(M208,O208)/30.44/12,""))</f>
        <v>15.681121331581252</v>
      </c>
      <c r="MR208" s="43">
        <f t="shared" si="894"/>
        <v>1</v>
      </c>
      <c r="MS208" s="43" t="str">
        <f t="shared" si="895"/>
        <v>DE 14 A 19AÑOS</v>
      </c>
      <c r="MT208" s="43">
        <f t="shared" si="896"/>
        <v>0</v>
      </c>
      <c r="MU208" s="43">
        <f t="shared" si="897"/>
        <v>1</v>
      </c>
      <c r="MV208" s="43">
        <f t="shared" si="898"/>
        <v>0</v>
      </c>
      <c r="MW208" s="43">
        <f t="shared" si="899"/>
        <v>0</v>
      </c>
      <c r="MX208" s="43" t="str">
        <f t="shared" si="900"/>
        <v/>
      </c>
      <c r="MY208" s="43" t="str">
        <f t="shared" ca="1" si="901"/>
        <v/>
      </c>
      <c r="MZ208" s="43" t="str">
        <f t="shared" si="902"/>
        <v/>
      </c>
      <c r="NA208" s="43" t="str">
        <f t="shared" si="903"/>
        <v/>
      </c>
      <c r="NB208" s="43" t="str">
        <f t="shared" si="904"/>
        <v/>
      </c>
      <c r="NC208" s="43" t="str">
        <f t="shared" si="905"/>
        <v/>
      </c>
      <c r="ND208" s="43">
        <f t="shared" ref="ND208:ND248" ca="1" si="934">IF(AND(O208="",R208=""),"",IF(OR(O208&lt;&gt;"",R208&lt;&gt;""),SUM(COUNTIF(AL208:AR208,"SI"),COUNTIF(AV208,"SI"),COUNTIF(BC208,"SI, CONTROLADA"),COUNTIF(BI208,"SI"),COUNTIF(BM208,"SI"),SUM(COUNTIF(BC208,"SI, SIN MANEJO")*3),SUM(COUNTIF(BC208,"SI, NO CONTROLADA")*3),SUM(COUNTIF(BD208:BG208,"SI")*3),SUM(COUNTIF(CB208:CC208,"SI")*3),SUM(COUNTIF(AD208,"Consumo Actual")*3),SUM(COUNTIF(AD208,"Hasta Antes de la Gestación")*2),SUM(COUNTIF(BK208,"SI")*3),SUM(COUNTIF(BL208,"SI")*2),SUM(COUNTIF(CE208,"SI")*2),SUM(COUNTIF(BH208,"SI")*2),SUM(COUNTIF(FG208,"DIABETES, REMITIR")*2),SUM(MT208:NC208),SUM(MR208),SUM(NG208),SUM(COUNTIF(EZ208,"COOMBS C/MES Y RESUMAN SEM 28")*2),SUM(COUNTIF(EZ208,"TOMAR COOMBS CUANTITATIVO Y REMISIÓN")*3),SUM(COUNTIF(FU208,"SIFILIS GESTACIONAL")*3)),""))</f>
        <v>2.5</v>
      </c>
      <c r="NE208" s="43">
        <f>IF(OR(O208&gt;0,R208&gt;0),SUM(COUNTIF(Tabla1[[#This Row],[AÑOS AL INICIO5 CPN]],"&gt;=40"),COUNTIF(AS208,"0"),COUNTIF(AR208,"SI"),COUNTIF(CC208,"SI"),COUNTIF(BQ208,"&gt;119"),COUNTIF(CI208,"&gt;=35")),"")</f>
        <v>1</v>
      </c>
      <c r="NF208" s="43" t="str">
        <f t="shared" ref="NF208:NF248" si="935">IF(AND(R208="",O208=""),"",IF(AND(OR(O208&gt;0,R208&gt;0),RW208=""),"SD",IF(AND(OR(O208&gt;0,R208&gt;0),ID208&gt;0),SUM(ID208-RW208)/7,"")))</f>
        <v/>
      </c>
      <c r="NG208" s="43">
        <f t="shared" si="908"/>
        <v>0.5</v>
      </c>
      <c r="NH208" s="43">
        <f t="shared" si="909"/>
        <v>49.699999999999996</v>
      </c>
      <c r="NI20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CPN",P208="NO"),"Z",IF(AND(Tabla1[[#This Row],[CITA PROXIMO CONTROL]]="CITA MANUAL",Tabla1[[#This Row],[GESTANTES ACTUALES]]="ACTIVA INGRESO A CPN"),"W",IF(AND(Tabla1[[#This Row],[GESTANTES ACTUALES]]="SALIO PROGRAMA",IN208=""),"S",IF(AND(Tabla1[[#This Row],[CITA PROXIMO CONTROL]]&gt;0,IN208=""),(Tabla1[[#This Row],[CITA PROXIMO CONTROL]]-TODAY()),"SD"))))))))</f>
        <v>#REF!</v>
      </c>
      <c r="NJ208" s="43">
        <f>MONTH(Tabla1[[#This Row],[FECHA DE SALIDA  DEL PROGRAMA]])</f>
        <v>1</v>
      </c>
      <c r="NK208" s="43">
        <f>YEAR(Tabla1[[#This Row],[FECHA DE SALIDA  DEL PROGRAMA]])</f>
        <v>1900</v>
      </c>
      <c r="NL208" s="43" t="str">
        <f t="shared" ref="NL208:NL248" si="936">IF(AND(O208&gt;0,R208=""),"NO CPN",IF(AND(O208="",R208=""),"",IF(AND(R208&gt;0,EJ208&gt;0,EI208&gt;0),_xlfn.DAYS(EJ208,EI208),IF(AND(R208&gt;0,EJ208&gt;0,EI208=""),"NO CITA","X"))))</f>
        <v>X</v>
      </c>
      <c r="NM208" s="43" t="str">
        <f>IF(AND(O208&gt;0,R208=""),"NO CPN",IF(AND(O208="",R208=""),"",IF(AND(EN208&lt;&gt;"",EX208&lt;&gt;"",FB208&lt;&gt;"",FK208&lt;&gt;"",FW208&lt;&gt;"",FZ208&lt;&gt;"",GO208&lt;&gt;"",GQ208&lt;&gt;"",GR208&lt;&gt;""),"SI","NO")))</f>
        <v>NO</v>
      </c>
      <c r="NN208" s="43" t="str">
        <f ca="1">IF(AND(O208&gt;0,R208=""),"NO CPN",IF(AND(O208="",R208=""),"",IF(AND(R208&gt;0,Tabla1[[#This Row],[SEMANAS DE GESTACION ACTUALIZADAS]]&lt;=12),"NO APLICA",IF(AND(FH208&lt;&gt;"",FN208&lt;&gt;""),"SI","NO"))))</f>
        <v>NO</v>
      </c>
      <c r="NO208" s="43" t="str">
        <f ca="1">IF(AND(O208&gt;0,R208=""),"NO CPN",IF(AND(O208="",R208=""),"",IF(AND(R208&gt;0,Tabla1[[#This Row],[SEMANAS DE GESTACION ACTUALIZADAS]]&lt;=27),"NO APLICA",IF(AND(ES208&lt;&gt;"",FQ208&lt;&gt;"",GF208&lt;&gt;""),"SI","NO"))))</f>
        <v>NO APLICA</v>
      </c>
      <c r="NP208" s="204" t="str">
        <f t="shared" si="912"/>
        <v>I TRIM</v>
      </c>
      <c r="NQ208" s="21" t="str">
        <f>IF(AND(IP209&gt;0,IP209&lt;37),10,IF(OR(CD209="Transversa",CD209="Oblicua"),9,IF(CC209="SI",8,IF(AND(AT209=0,AW209=0,CC209="NO",CD209="Cefálica",IP209&gt;=37,IT209="INICIO ESPONTÁNEO"),1,IF(AND(AND(AT209=0,AW209=0,CC209="NO",CD209="Cefálica",IP209&gt;=37),OR(IT209="LE HACEN INDUCCIÓN",IT209="LE HACEN CESÁREA SIN INICIO TRABAJO DE PARTO")),2,IF(AND(AT209&gt;=1,AW209=0,CC209="NO",CD209="Cefálica",IP209&gt;=37,IT209="INICIO ESPONTÁNEO"),3,IF(AND(AND(AT209&gt;=1,AW209=0,CC209="NO",CD209="Cefálica",IP209&gt;=37),OR(IT209="LE HACEN INDUCCIÓN",IT209="LE HACEN CESÁREA SIN INICIO TRABAJO DE PARTO")),4,IF(AND(AND(AT209&gt;=1,AW209&gt;=1,CC209="NO",CD209="Cefálica",IP209&gt;=37),OR(IT209="LE HACEN INDUCCIÓN",IT209="LE HACEN CESÁREA SIN INICIO TRABAJO DE PARTO",IT209="INICIO ESPONTÁNEO")),5,IF(AND(AND(AT209=0,AW209=0,CC209="NO",CD209="Podálica",IP209&gt;=1),OR(IT209="LE HACEN INDUCCIÓN",IT209="LE HACEN CESÁREA SIN INICIO TRABAJO DE PARTO",IT209="INICIO ESPONTÁNEO")),6,IF(AND(AND(AT209&gt;=1,CC209="NO",CD209="Podálica",IP209&gt;=1),OR(IT209="LE HACEN INDUCCIÓN",IT209="LE HACEN CESÁREA SIN INICIO TRABAJO DE PARTO",IT209="INICIO ESPONTÁNEO"),OR(AW209=0,AW209&gt;=1)),7,""))))))))))</f>
        <v/>
      </c>
      <c r="NR208" s="21">
        <f t="shared" ref="NR208:NR248" ca="1" si="937">IF(AND(O208="",R208=""),"",IF(AND(BS208&gt;0,BS208&lt;12,IP208&gt;28,IP208&lt;44),3, IF(OR(AND(BS208&gt;=12,BS208&lt;28,IP208&gt;=28,IP208&lt;44),AND(BS208&gt;0,BS208&lt;12,IP208&gt;=12,IP208&lt;29)),2,IF(OR(AND(BS208&gt;=28,BS208&lt;44),AND(BS208&gt;0,BS208&lt;12,IP208&gt;0,IP208&lt;12),AND(BS208&gt;=12,BS208&lt;28,IP208&gt;=12,IP208&lt;28)),1,IF(AND(BS208&gt;0,BS208&lt;12,BU208&gt;=28,BU208&lt;44,DV208="ACTIVA INGRESO A CPN"),3,IF(OR(AND(BS208&gt;0,BS208&lt;12,BU208&gt;=12,BU208&lt;28,DV208="ACTIVA INGRESO A CPN"),AND(BS208&gt;=12,BS208&lt;28,BU208&gt;=28,BU208&lt;44,DV208="ACTIVA INGRESO A CPN")),2,IF(OR(AND(BS208&gt;0,BS208&lt;12,BU208&gt;0,BU208&lt;12,DV208="ACTIVA INGRESO A CPN"),AND(BS208&gt;=12,BS208&lt;28,BU208&gt;=12,BU208&lt;28,DV208="ACTIVA INGRESO A CPN")),1,"REVISAR FUM O FECHA SALIDA PROGRAMA")))))))</f>
        <v>2</v>
      </c>
      <c r="NS208" s="205">
        <f t="shared" ca="1" si="914"/>
        <v>1</v>
      </c>
      <c r="NT208" s="21">
        <f t="shared" ca="1" si="915"/>
        <v>1</v>
      </c>
      <c r="NU208" s="21" t="str">
        <f t="shared" ca="1" si="916"/>
        <v>INCOMPLETO</v>
      </c>
      <c r="NV208" s="21" t="str">
        <f t="shared" ca="1" si="917"/>
        <v>INCOMPLETO</v>
      </c>
      <c r="NW208" s="206" t="str">
        <f>IF(AND(O208="",R208=""),"",IF(OR(AND(Tabla1[[#This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08" s="207" t="str">
        <f t="shared" ref="NX208:NX248" ca="1" si="938">IF(AND(O208="",R208=""),"",IF(OR(IE208="VACUNA APLICADA ENTRE SEMANA 20 Y SEMANA 26",IE208="VACUNA APLICADA ENTRE SEMANA 27 Y EL PARTO",IE208="VACUNA APLICADA ANTES SEMANA 20"),"VACUNADA","SIN VACUNAR"))</f>
        <v>SIN VACUNAR</v>
      </c>
      <c r="NY208" s="43">
        <f>ROW(Tabla1[[#This Row],['# DE TAMIZAJES SIFILIS TOMADOS ]])</f>
        <v>208</v>
      </c>
      <c r="NZ208" s="43" t="str">
        <f t="shared" si="740"/>
        <v>Menor</v>
      </c>
      <c r="OA208" s="43" t="str">
        <f t="shared" si="741"/>
        <v>NORMAL</v>
      </c>
      <c r="OB208" s="43" t="str">
        <f t="shared" si="742"/>
        <v/>
      </c>
      <c r="OC208" s="43" t="str">
        <f t="shared" si="743"/>
        <v/>
      </c>
      <c r="OD208" s="43" t="str">
        <f t="shared" si="744"/>
        <v/>
      </c>
      <c r="OE208" s="43" t="str">
        <f t="shared" si="745"/>
        <v/>
      </c>
      <c r="OF208" s="43" t="str">
        <f t="shared" si="746"/>
        <v/>
      </c>
      <c r="OG208" s="43" t="str">
        <f t="shared" si="747"/>
        <v/>
      </c>
      <c r="OH208" s="43" t="str">
        <f t="shared" si="748"/>
        <v/>
      </c>
      <c r="OI208" s="43" t="str">
        <f t="shared" si="749"/>
        <v/>
      </c>
      <c r="OJ208" s="43" t="str">
        <f t="shared" si="750"/>
        <v/>
      </c>
      <c r="OK208" s="43" t="str">
        <f t="shared" si="751"/>
        <v/>
      </c>
      <c r="OL208" s="43" t="str">
        <f t="shared" si="752"/>
        <v/>
      </c>
      <c r="OM208" s="43" t="str">
        <f t="shared" si="753"/>
        <v/>
      </c>
      <c r="ON208" s="43" t="str">
        <f t="shared" si="754"/>
        <v/>
      </c>
      <c r="OO208" s="43" t="str">
        <f t="shared" si="755"/>
        <v/>
      </c>
      <c r="OP208" s="43" t="str">
        <f t="shared" si="756"/>
        <v/>
      </c>
      <c r="OQ208" s="43" t="str">
        <f t="shared" si="757"/>
        <v/>
      </c>
      <c r="OR208" s="43" t="str">
        <f t="shared" si="758"/>
        <v/>
      </c>
      <c r="OS208" s="43" t="str">
        <f t="shared" si="759"/>
        <v/>
      </c>
      <c r="OT208" s="43" t="str">
        <f t="shared" si="760"/>
        <v/>
      </c>
      <c r="OU208" s="43" t="str">
        <f t="shared" si="761"/>
        <v/>
      </c>
      <c r="OV208" s="110" t="str">
        <f t="shared" si="762"/>
        <v/>
      </c>
      <c r="OW208" s="43" t="str">
        <f t="shared" si="763"/>
        <v/>
      </c>
      <c r="OX208" s="43" t="str">
        <f t="shared" si="764"/>
        <v/>
      </c>
      <c r="OY208" s="43" t="str">
        <f t="shared" si="765"/>
        <v/>
      </c>
      <c r="OZ208" s="43" t="str">
        <f t="shared" si="766"/>
        <v/>
      </c>
      <c r="PA208" s="43" t="str">
        <f t="shared" si="767"/>
        <v/>
      </c>
      <c r="PB208" s="43" t="str">
        <f t="shared" si="768"/>
        <v/>
      </c>
      <c r="PC208" s="43" t="str">
        <f t="shared" si="769"/>
        <v/>
      </c>
      <c r="PD208" s="43" t="str">
        <f t="shared" si="770"/>
        <v/>
      </c>
      <c r="PE208" s="43" t="str">
        <f t="shared" si="771"/>
        <v/>
      </c>
      <c r="PF208" s="43" t="str">
        <f t="shared" si="772"/>
        <v/>
      </c>
      <c r="PG208" s="43" t="str">
        <f t="shared" si="773"/>
        <v/>
      </c>
      <c r="PH208" s="43" t="str">
        <f t="shared" si="774"/>
        <v/>
      </c>
      <c r="PI208" s="43">
        <f t="shared" si="775"/>
        <v>10</v>
      </c>
      <c r="PJ208" s="43" t="str">
        <f t="shared" si="776"/>
        <v/>
      </c>
      <c r="PK208" s="43" t="str">
        <f t="shared" si="777"/>
        <v>BAJO PESO</v>
      </c>
      <c r="PL208" s="43" t="str">
        <f t="shared" si="778"/>
        <v/>
      </c>
      <c r="PM208" s="43" t="str">
        <f t="shared" si="779"/>
        <v/>
      </c>
      <c r="PN208" s="43" t="str">
        <f t="shared" si="780"/>
        <v/>
      </c>
      <c r="PO208" s="43" t="str">
        <f t="shared" si="781"/>
        <v/>
      </c>
      <c r="PP208" s="43" t="str">
        <f t="shared" si="782"/>
        <v/>
      </c>
      <c r="PQ208" s="43" t="str">
        <f t="shared" si="783"/>
        <v/>
      </c>
      <c r="PR208" s="43" t="str">
        <f t="shared" si="784"/>
        <v/>
      </c>
      <c r="PS208" s="43" t="str">
        <f t="shared" si="785"/>
        <v/>
      </c>
      <c r="PT208" s="43" t="str">
        <f t="shared" si="786"/>
        <v/>
      </c>
      <c r="PU208" s="43" t="str">
        <f t="shared" si="787"/>
        <v/>
      </c>
      <c r="PV208" s="43" t="str">
        <f t="shared" si="788"/>
        <v/>
      </c>
      <c r="PW208" s="43" t="str">
        <f t="shared" si="789"/>
        <v/>
      </c>
      <c r="PX208" s="43" t="str">
        <f t="shared" si="790"/>
        <v/>
      </c>
      <c r="PY208" s="43" t="str">
        <f t="shared" si="791"/>
        <v/>
      </c>
      <c r="PZ208" s="43" t="str">
        <f t="shared" si="792"/>
        <v/>
      </c>
      <c r="QA208" s="43" t="str">
        <f t="shared" si="793"/>
        <v/>
      </c>
      <c r="QB208" s="43" t="str">
        <f t="shared" si="794"/>
        <v/>
      </c>
      <c r="QC208" s="43" t="str">
        <f t="shared" si="795"/>
        <v/>
      </c>
      <c r="QD208" s="43" t="str">
        <f t="shared" si="796"/>
        <v/>
      </c>
      <c r="QE208" s="43" t="str">
        <f t="shared" si="797"/>
        <v/>
      </c>
      <c r="QF208" s="43" t="str">
        <f t="shared" si="798"/>
        <v/>
      </c>
      <c r="QG208" s="43" t="str">
        <f t="shared" si="799"/>
        <v/>
      </c>
      <c r="QH208" s="43" t="str">
        <f t="shared" si="800"/>
        <v/>
      </c>
      <c r="QI208" s="43" t="str">
        <f t="shared" si="801"/>
        <v/>
      </c>
      <c r="QJ208" s="43" t="str">
        <f t="shared" si="802"/>
        <v/>
      </c>
      <c r="QK208" s="43" t="str">
        <f t="shared" si="803"/>
        <v/>
      </c>
      <c r="QL208" s="43" t="str">
        <f t="shared" si="804"/>
        <v/>
      </c>
      <c r="QM208" s="43" t="str">
        <f t="shared" si="805"/>
        <v/>
      </c>
      <c r="QN208" s="43" t="str">
        <f t="shared" si="806"/>
        <v/>
      </c>
      <c r="QO208" s="43" t="str">
        <f t="shared" si="807"/>
        <v/>
      </c>
      <c r="QP208" s="43" t="str">
        <f t="shared" si="808"/>
        <v/>
      </c>
      <c r="QQ208" s="43" t="str">
        <f t="shared" si="809"/>
        <v/>
      </c>
      <c r="QR208" s="43" t="str">
        <f t="shared" si="839"/>
        <v>Menor</v>
      </c>
      <c r="QS208" s="43"/>
      <c r="QT208" s="21" t="str">
        <f t="shared" si="810"/>
        <v/>
      </c>
      <c r="QU208" s="21" t="str">
        <f t="shared" si="811"/>
        <v/>
      </c>
      <c r="QV208" s="21" t="str">
        <f t="shared" si="812"/>
        <v/>
      </c>
      <c r="QW208" s="21" t="str">
        <f t="shared" si="813"/>
        <v/>
      </c>
      <c r="QX208" s="21" t="str">
        <f t="shared" si="814"/>
        <v/>
      </c>
      <c r="QY208" s="21" t="str">
        <f t="shared" si="815"/>
        <v/>
      </c>
      <c r="QZ208" s="21" t="str">
        <f t="shared" si="816"/>
        <v/>
      </c>
      <c r="RA208" s="21" t="str">
        <f t="shared" si="817"/>
        <v/>
      </c>
      <c r="RB208" s="21" t="str">
        <f t="shared" si="818"/>
        <v/>
      </c>
      <c r="RC208" s="21" t="str">
        <f t="shared" si="819"/>
        <v/>
      </c>
      <c r="RD208" s="21" t="str">
        <f t="shared" si="820"/>
        <v/>
      </c>
      <c r="RE208" s="21" t="str">
        <f t="shared" si="821"/>
        <v/>
      </c>
      <c r="RF208" s="21" t="str">
        <f t="shared" si="822"/>
        <v/>
      </c>
      <c r="RG208" s="21" t="str">
        <f t="shared" si="823"/>
        <v/>
      </c>
      <c r="RH208" s="21" t="str">
        <f t="shared" si="824"/>
        <v/>
      </c>
      <c r="RI208" s="21" t="str">
        <f t="shared" si="825"/>
        <v/>
      </c>
      <c r="RJ208" s="21" t="str">
        <f t="shared" si="826"/>
        <v/>
      </c>
      <c r="RK208" s="21" t="str">
        <f t="shared" si="827"/>
        <v/>
      </c>
      <c r="RL208" s="21" t="str">
        <f t="shared" si="828"/>
        <v/>
      </c>
      <c r="RM208" s="21" t="str">
        <f t="shared" si="829"/>
        <v/>
      </c>
      <c r="RN208" s="21" t="str">
        <f t="shared" si="830"/>
        <v/>
      </c>
      <c r="RO208" s="21" t="str">
        <f t="shared" si="831"/>
        <v/>
      </c>
      <c r="RP208" s="21" t="str">
        <f t="shared" si="832"/>
        <v/>
      </c>
      <c r="RQ208" s="21" t="str">
        <f t="shared" si="833"/>
        <v/>
      </c>
      <c r="RR208" s="21" t="str">
        <f t="shared" si="834"/>
        <v/>
      </c>
      <c r="RS208" s="21" t="str">
        <f t="shared" si="835"/>
        <v/>
      </c>
      <c r="RT208" s="21" t="str">
        <f t="shared" si="836"/>
        <v/>
      </c>
      <c r="RU208" s="21" t="str">
        <f t="shared" si="837"/>
        <v/>
      </c>
      <c r="RV208" s="21">
        <f t="shared" si="838"/>
        <v>-1</v>
      </c>
      <c r="RW208" s="284">
        <f>IF(OR(Tabla1[[#This Row],[FUM FORMULA CONFIABLE]]="",Tabla1[[#This Row],[FUM FORMULA CONFIABLE]]="SD"),"",IF(Tabla1[[#This Row],[FUM FORMULA CONFIABLE]]="CORREGIDA",Tabla1[[#This Row],[FUM X ECO 1]],Tabla1[[#This Row],[FUM x AMENORREA]]))</f>
        <v>45073</v>
      </c>
      <c r="RX208" s="21">
        <f>IF(AND(Tabla1[[#This Row],[FUM X ECO 1]]="",Tabla1[[#This Row],[FUM x AMENORREA]]=""),"",IF(AND(Tabla1[[#This Row],[FUM X ECO 1]]="",Tabla1[[#This Row],[FUM x AMENORREA]]&lt;&gt;""),"X",SUM(Tabla1[[#This Row],[FUM X ECO 1]]-Tabla1[[#This Row],[FUM x AMENORREA]])))</f>
        <v>-1.6999999999970896</v>
      </c>
      <c r="RY208" s="21">
        <f t="shared" si="840"/>
        <v>0</v>
      </c>
    </row>
    <row r="209" spans="1:493" ht="45" customHeight="1" x14ac:dyDescent="0.25">
      <c r="A209" s="109"/>
      <c r="B209" s="43"/>
      <c r="C209" s="43" t="s">
        <v>845</v>
      </c>
      <c r="D209" s="124" t="s">
        <v>1627</v>
      </c>
      <c r="E209" s="43" t="s">
        <v>873</v>
      </c>
      <c r="F209" s="43" t="s">
        <v>962</v>
      </c>
      <c r="G209" s="43" t="s">
        <v>1501</v>
      </c>
      <c r="H209" s="43" t="s">
        <v>1340</v>
      </c>
      <c r="I209" s="109" t="s">
        <v>851</v>
      </c>
      <c r="J209" s="110">
        <v>1059594976</v>
      </c>
      <c r="K209" s="43" t="s">
        <v>852</v>
      </c>
      <c r="L209" s="175" t="s">
        <v>1509</v>
      </c>
      <c r="M209" s="22">
        <v>38333</v>
      </c>
      <c r="N209" s="213">
        <f t="shared" ca="1" si="841"/>
        <v>18.901369863013699</v>
      </c>
      <c r="O209" s="22">
        <v>45111</v>
      </c>
      <c r="P209" s="214" t="str">
        <f t="shared" si="919"/>
        <v>SI</v>
      </c>
      <c r="Q209" s="26" t="s">
        <v>855</v>
      </c>
      <c r="R209" s="22">
        <v>45111</v>
      </c>
      <c r="S209" s="21" t="s">
        <v>856</v>
      </c>
      <c r="T209" s="24" t="s">
        <v>690</v>
      </c>
      <c r="U209" s="21" t="s">
        <v>857</v>
      </c>
      <c r="V209" s="21" t="s">
        <v>858</v>
      </c>
      <c r="W209" s="21" t="s">
        <v>1139</v>
      </c>
      <c r="X209" s="21"/>
      <c r="Y209" s="21" t="s">
        <v>859</v>
      </c>
      <c r="Z209" s="21">
        <v>3136293459</v>
      </c>
      <c r="AA209" s="21" t="s">
        <v>860</v>
      </c>
      <c r="AB209" s="27" t="s">
        <v>861</v>
      </c>
      <c r="AC209" s="26" t="s">
        <v>888</v>
      </c>
      <c r="AD209" s="38" t="s">
        <v>1546</v>
      </c>
      <c r="AE209" s="26" t="s">
        <v>854</v>
      </c>
      <c r="AF209" s="26" t="s">
        <v>854</v>
      </c>
      <c r="AG209" s="23" t="s">
        <v>854</v>
      </c>
      <c r="AH209" s="23" t="s">
        <v>864</v>
      </c>
      <c r="AI209" s="24" t="s">
        <v>863</v>
      </c>
      <c r="AJ209" s="23" t="s">
        <v>864</v>
      </c>
      <c r="AK209" s="220" t="str">
        <f>IF(AND(AD209="",AE209="",AF209="",AG209="",AH209="",AI209="",AJ209=""),"",IF(OR(Tabla1[[#This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EVALUACIÓN",IF(AND(O209="",R209=""),"",IF(AND(OR(O209&gt;0,R209&gt;0),NG209&gt;=0,NG209&lt;2),"SIN RIESGO",IF(AND(OR(O209&gt;0,R209&gt;0),NG209&gt;=2),"CON RIESGO","ASD")))))</f>
        <v>SIN RIESGO</v>
      </c>
      <c r="AL209" s="23" t="s">
        <v>864</v>
      </c>
      <c r="AM209" s="23" t="s">
        <v>864</v>
      </c>
      <c r="AN209" s="23" t="s">
        <v>864</v>
      </c>
      <c r="AO209" s="23" t="s">
        <v>864</v>
      </c>
      <c r="AP209" s="23" t="s">
        <v>864</v>
      </c>
      <c r="AQ209" s="23" t="s">
        <v>864</v>
      </c>
      <c r="AR209" s="23" t="s">
        <v>864</v>
      </c>
      <c r="AS209" s="21">
        <v>0</v>
      </c>
      <c r="AT209" s="21">
        <v>0</v>
      </c>
      <c r="AU209" s="21">
        <v>0</v>
      </c>
      <c r="AV209" s="26" t="s">
        <v>864</v>
      </c>
      <c r="AW209" s="21">
        <v>0</v>
      </c>
      <c r="AX209" s="26" t="s">
        <v>864</v>
      </c>
      <c r="AY209" s="26" t="s">
        <v>864</v>
      </c>
      <c r="AZ209" s="26" t="s">
        <v>864</v>
      </c>
      <c r="BA209" s="26" t="s">
        <v>864</v>
      </c>
      <c r="BB209" s="26" t="s">
        <v>864</v>
      </c>
      <c r="BC209" s="26" t="s">
        <v>864</v>
      </c>
      <c r="BD209" s="26" t="s">
        <v>864</v>
      </c>
      <c r="BE209" s="26" t="s">
        <v>864</v>
      </c>
      <c r="BF209" s="26" t="s">
        <v>864</v>
      </c>
      <c r="BG209" s="26" t="s">
        <v>864</v>
      </c>
      <c r="BH209" s="26" t="s">
        <v>864</v>
      </c>
      <c r="BI209" s="26" t="s">
        <v>864</v>
      </c>
      <c r="BJ209" s="26" t="s">
        <v>864</v>
      </c>
      <c r="BK209" s="26" t="s">
        <v>864</v>
      </c>
      <c r="BL209" s="26" t="s">
        <v>864</v>
      </c>
      <c r="BM209" s="26" t="s">
        <v>864</v>
      </c>
      <c r="BN209" s="22"/>
      <c r="BO209" s="22">
        <v>45063</v>
      </c>
      <c r="BP209" s="21" t="s">
        <v>1380</v>
      </c>
      <c r="BQ209" s="222">
        <f t="shared" si="842"/>
        <v>0</v>
      </c>
      <c r="BR209" s="223">
        <f t="shared" si="843"/>
        <v>45016</v>
      </c>
      <c r="BS209" s="224">
        <f t="shared" si="844"/>
        <v>13.571428571428571</v>
      </c>
      <c r="BT209" s="216" t="str">
        <f t="shared" si="845"/>
        <v>II TRIM</v>
      </c>
      <c r="BU209" s="214">
        <f t="shared" ca="1" si="928"/>
        <v>30.857142857142858</v>
      </c>
      <c r="BV209" s="25" t="s">
        <v>988</v>
      </c>
      <c r="BW209" s="22">
        <v>45121</v>
      </c>
      <c r="BX209" s="28">
        <v>15</v>
      </c>
      <c r="BY209" s="28"/>
      <c r="BZ209" s="22"/>
      <c r="CA209" s="21"/>
      <c r="CB209" s="26" t="s">
        <v>864</v>
      </c>
      <c r="CC209" s="26" t="s">
        <v>864</v>
      </c>
      <c r="CD209" s="26"/>
      <c r="CE209" s="26" t="s">
        <v>864</v>
      </c>
      <c r="CF209" s="22" t="s">
        <v>1517</v>
      </c>
      <c r="CG209" s="21">
        <v>1.54</v>
      </c>
      <c r="CH209" s="21">
        <v>51.7</v>
      </c>
      <c r="CI209" s="214">
        <f t="shared" si="847"/>
        <v>21.799628942486088</v>
      </c>
      <c r="CJ209" s="225" t="e">
        <f>IF(AND(CI209&lt;10,CH209="SD"),"SIN DATO PESO PREGESTACION O I TRIM",IF(AND(OR(R209&gt;0,O209&gt;0),CI209="X"),"INGRESAR DATO DE PESO",IF(CI209="SD","INGRESAR DATO DE TALLA Y PESO",IF(AND(OR(Tabla1[[#This Row],[MOMENTO EN QUE SE REALIZA EL PESO AL INGRESO A CPN]]="PREGESTACIÓN",NZ209="Menor"),CI209&lt;18.5),"BAJO PESO",IF(AND(OR(Tabla1[[#This Row],[MOMENTO EN QUE SE REALIZA EL PESO AL INGRESO A CPN]]="PREGESTACIÓN",NZ209="Menor"),CI209&lt;25),"NORMAL",IF(AND(OR(Tabla1[[#This Row],[MOMENTO EN QUE SE REALIZA EL PESO AL INGRESO A CPN]]="PREGESTACIÓN",NZ209="Menor"),CI209&lt;30),"SOBREPESO",IF(AND(OR(Tabla1[[#This Row],[MOMENTO EN QUE SE REALIZA EL PESO AL INGRESO A CPN]]="PREGESTACIÓN",NZ209="Menor"),CI209&gt;=30,CI209&lt;50),"OBESIDAD",IF(AND(BS209&gt;0,Tabla1[[#This Row],[MOMENTO EN QUE SE REALIZA EL PESO AL INGRESO A CPN]]="GESTACIÓN"),HLOOKUP(NZ209,$OA$2:PH209,NY209),""))))))))</f>
        <v>#REF!</v>
      </c>
      <c r="CK209" s="212">
        <f t="shared" si="848"/>
        <v>45111</v>
      </c>
      <c r="CL209" s="21">
        <v>51.7</v>
      </c>
      <c r="CM209" s="214">
        <f t="shared" si="849"/>
        <v>21.799628942486088</v>
      </c>
      <c r="CN209" s="216">
        <f t="shared" si="850"/>
        <v>13</v>
      </c>
      <c r="CO209" s="216" t="e">
        <f>IF(PI209="","",IF(PI209&gt;0,HLOOKUP(PI209,$PJ$2:QQ209,NY209),""))</f>
        <v>#REF!</v>
      </c>
      <c r="CP209" s="21"/>
      <c r="CQ209" s="216" t="e">
        <f>IF(QR209="Menor","NO APLICA-MENOR 13 SEM",IF(AND(CC209="SI",CN209&gt;23),"NO APLICA- GEMELAR",IF(QR209="","",IF(QR209&gt;0,HLOOKUP(QR209,$QS$2:RU209,NY209),""))))</f>
        <v>#REF!</v>
      </c>
      <c r="CR209" s="21">
        <v>90</v>
      </c>
      <c r="CS209" s="21">
        <v>60</v>
      </c>
      <c r="CT209" s="217" t="str">
        <f>IF(R209="","",IF(AND(BS209&gt;1,BS209&lt;12,Tabla1[[#This Row],[T.A. SISTOLICA - ANTES DE SEMANA 12]]="",Tabla1[[#This Row],[T.A. DIASTOLICA - ANTES DE SEMANA 12]]=""),"REGISTRE DATO TA ANTES SEMANA 12",IF(AND(BS209&gt;11,BS209&lt;43,Tabla1[[#This Row],[T.A. SISTOLICA - ANTES DE SEMANA 12]]="",Tabla1[[#This Row],[T.A. DIASTOLICA - ANTES DE SEMANA 12]]=""),"NO APLICA REGISTRO TA-INGRESO TARDIO",IF(AND(OR(O209&gt;0,R209&gt;0),OR(CR209&gt;=140,CS209&gt;=90)),"DEFINIR ESTADIO HTA",IF(AND(OR(O209&gt;0,R209&gt;0),AND(CR209&gt;120,CR209&lt;=139)),"PRE HTA SEGUIMIENTO",IF(AND(OR(O209&gt;0,R209&gt;0),AND(CS209&gt;80,CS209&lt;=89)),"PRE HTA SEGUIMIENTO",IF(AND(OR(O209&gt;0,R209&gt;0),AND(CR209&gt;=80,CR209&lt;=120)),"APARENTEMENTE NORMAL",IF(AND(OR(O209&gt;0,R209&gt;0),AND(CS209&gt;=50,CS209&lt;=80)),"APARENTEMENTE NORMAL",IF(AND(OR(O209&gt;0,R209&gt;0),AND(CR209&gt;1,CR209&lt;=70),AND(CS209&gt;1,CS209&lt;=40)),"HIPOTENSIÓN","")))))))))</f>
        <v>APARENTEMENTE NORMAL</v>
      </c>
      <c r="CU209" s="21"/>
      <c r="CV209" s="21"/>
      <c r="CW209" s="217" t="str">
        <f ca="1">IF(R209="","",IF(AND(CN209&gt;19,CN209&lt;27,Tabla1[[#This Row],[T.A. SISTOLICA (Entre semana 20 y 26)]]="",Tabla1[[#This Row],[T.A. DIATOLICA (Entre semana 20 y 26)]]=""),"ACUDE A CONTROL SEM 20 A 26 REGISTRE TA AHORA",IF(AND(BS209&gt;1,BS209&lt;27,BU209&gt;19,Tabla1[[#This Row],[T.A. SISTOLICA (Entre semana 20 y 26)]]="",Tabla1[[#This Row],[T.A. DIATOLICA (Entre semana 20 y 26)]]=""),"COMPLETE REGISTRO TA CONTROL SEM 20 A26 ",IF(AND(BS209&gt;26,BS209&lt;43,Tabla1[[#This Row],[T.A. SISTOLICA (Entre semana 20 y 26)]]="",Tabla1[[#This Row],[T.A. DIATOLICA (Entre semana 20 y 26)]]=""),"NO APLICA REGISTRO TA-INGRESO TARDIO",IF(AND(OR(O209&gt;0,R209&gt;0),OR(CU209&gt;=140,CV209&gt;=90)),"ALTO RIESGO PREECLAMPSIA,DEFINIR ESTADIO HTA",IF(AND(OR(O209&gt;0,R209&gt;0),AND(CU209&gt;120,CU209&lt;=139)),"PRE HTA SEGUIMIENTO,RIESGO HIPERTENSION INDUCIDA POR EL EMBARAZO",IF(AND(OR(O209&gt;0,R209&gt;0),AND(CV209&gt;80,CV209&lt;=89)),"PRE HTA SEGUIMIENTO, RIESGO HIPERTENSION INDUCIDA POR EL EMBARAZO",IF(AND(OR(O209&lt;&gt;"",R209&lt;&gt;""),CS209&lt;&gt;"",CV209&lt;&gt;"",CS209&lt;=CV209),"VIGILAR CIFRAS PRESION ARTERIAL",IF(AND(OR(O209&gt;0,R209&gt;0),AND(CU209&gt;120,CU209&lt;=139)),"PRE HTA SEGUIMIENTO",IF(AND(OR(O209&gt;0,R209&gt;0),AND(CU209&gt;1,CU209&lt;=70),AND(CV209&gt;1,CV209&lt;=40)),"HIPOTENSIÓN",IF(AND(OR(O209&lt;&gt;"",R209&lt;&gt;""),CS209&lt;&gt;"",CV209&lt;&gt;"",CS209&gt;CV209),"APARENTEMENTE NORMAL",IF(AND(OR(O209&gt;0,R209&gt;0),AND(CU209&gt;=80,CU209&lt;=120)),"APARENTEMENTE NORMAL",IF(AND(OR(O209&gt;0,R209&gt;0),AND(CV209&gt;=50,CV209&lt;=80)),"APARENTEMENTE NORMAL","")))))))))))))</f>
        <v xml:space="preserve">COMPLETE REGISTRO TA CONTROL SEM 20 A26 </v>
      </c>
      <c r="CX209" s="21"/>
      <c r="CY209" s="21"/>
      <c r="CZ209" s="216" t="e">
        <f>IF(R209="","",IF(AND(CN209&gt;31,CN209&lt;35,CX209="",CY209=""),"ACUDE A CONTROL SEM 30 A 34- REGISTRE AHORA",IF(AND(BS209&gt;34,BS209&lt;43,#REF!="",#REF!=""),"NO APLICA-INGRESO TARDIO",IF(AND(OR(O209&gt;0,R209&gt;0),OR(CX209&gt;=140,CY209&gt;=90)),"ESTUDIO INMEDIATO HTA PARA DESCARTAR PREECLAMSIA",IF(AND(OR(O209&gt;0,R209&gt;0),AND(CX209&gt;=130,CX209&lt;=139)),"PRE HTA,RIESGO ALTO PREECLAMPSIA",IF(AND(OR(O209&gt;0,R209&gt;0),AND(CY209&gt;80,CY209&lt;=89)),"PRE HTA,RIESGO ALTO PREECLAMPSIA",IF(AND(OR(O209&gt;0,R209&gt;0),AND(CX209&gt;120,CX209&lt;=129)),"RANGO PREHIPERTENSIVO SEGUIMIENTO HTA",IF(AND(OR(O209&lt;&gt;"",R209&lt;&gt;""),CS209&lt;&gt;"",CY209&lt;&gt;"",CS209&lt;CY209),"VIGILAR CIFRAS PRESION ARTERIAL",IF(AND(OR(O209&lt;&gt;"",R209&lt;&gt;""),CS209&lt;&gt;"",CY209&lt;&gt;"",CS209=CY209),"APARENTEMENTE NORMAL",IF(AND(OR(O209&gt;0,R209&gt;0),CX209&gt;=80,CX209&lt;=120),"APARENTEMENTE NORMAL",IF(AND(OR(O209&gt;0,R209&gt;0),CY209&gt;=50,CY209&lt;=80),"APARENTEMENTE NORMAL","")))))))))))</f>
        <v>#REF!</v>
      </c>
      <c r="DA209" s="21">
        <v>90</v>
      </c>
      <c r="DB209" s="21">
        <v>60</v>
      </c>
      <c r="DC209" s="217" t="str">
        <f t="shared" si="851"/>
        <v>APARENTEMENTE NORMAL</v>
      </c>
      <c r="DD209" s="22">
        <v>45111</v>
      </c>
      <c r="DE209" s="22">
        <v>45111</v>
      </c>
      <c r="DF209" s="22"/>
      <c r="DG209" s="22"/>
      <c r="DH209" s="22"/>
      <c r="DI209" s="22"/>
      <c r="DJ209" s="22"/>
      <c r="DK209" s="22"/>
      <c r="DL209" s="22"/>
      <c r="DM209" s="22"/>
      <c r="DN209" s="22"/>
      <c r="DO209" s="22"/>
      <c r="DP209" s="22"/>
      <c r="DQ209" s="22"/>
      <c r="DR209" s="28"/>
      <c r="DS209" s="22"/>
      <c r="DT209" s="22"/>
      <c r="DU209" s="216" t="str">
        <f t="shared" ca="1" si="920"/>
        <v>PLANEAR PLAN DE PARTO</v>
      </c>
      <c r="DV209" s="226" t="str">
        <f t="shared" si="921"/>
        <v>ACTIVA INGRESO A CPN</v>
      </c>
      <c r="DW209"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09" s="216" t="e">
        <f t="shared" ca="1" si="852"/>
        <v>#REF!</v>
      </c>
      <c r="DY209" s="212">
        <f>IF(R209="","",IF(R209&gt;0,MAX(Tabla1[[#This Row],[FECHA C2]:[FECHA C13]],Tabla1[[#This Row],[FECHA CONSULTA PRIMERA VEZ PROGRAMA CPN ]])))</f>
        <v>45111</v>
      </c>
      <c r="DZ209" s="216">
        <f t="shared" si="853"/>
        <v>13</v>
      </c>
      <c r="EA209" s="222">
        <f>IF(R209&gt;0,SUM(COUNTA(DF209:DQ209)+COUNTA(Tabla1[[#This Row],[FECHA CONSULTA PRIMERA VEZ PROGRAMA CPN ]])),"")</f>
        <v>1</v>
      </c>
      <c r="EB209" s="222" t="str">
        <f t="shared" si="854"/>
        <v>NO</v>
      </c>
      <c r="EC209" s="214">
        <f t="shared" si="855"/>
        <v>8</v>
      </c>
      <c r="ED209" s="227">
        <f t="shared" si="856"/>
        <v>0.125</v>
      </c>
      <c r="EE209" s="22">
        <v>45111</v>
      </c>
      <c r="EF209" s="22">
        <v>45111</v>
      </c>
      <c r="EG209" s="22">
        <v>45111</v>
      </c>
      <c r="EH209" s="22"/>
      <c r="EI209" s="22">
        <v>45111</v>
      </c>
      <c r="EJ209" s="22"/>
      <c r="EK209" s="22"/>
      <c r="EL209" s="21"/>
      <c r="EM209" s="21"/>
      <c r="EN209" s="22"/>
      <c r="EO209" s="222" t="str">
        <f t="shared" si="857"/>
        <v>TOMAR EXAMEN</v>
      </c>
      <c r="EP209" s="214" t="str">
        <f t="shared" si="858"/>
        <v/>
      </c>
      <c r="EQ209" s="216" t="str">
        <f t="shared" si="859"/>
        <v>POR DEFINIR</v>
      </c>
      <c r="ER209" s="24"/>
      <c r="ES209" s="22"/>
      <c r="ET209" s="29" t="str">
        <f t="shared" ca="1" si="922"/>
        <v>EN SEMANA 28 TOMA INMEDIATA DE EXAMEN</v>
      </c>
      <c r="EU209" s="25" t="str">
        <f t="shared" si="860"/>
        <v/>
      </c>
      <c r="EV209" s="24" t="s">
        <v>1510</v>
      </c>
      <c r="EW209" s="32">
        <v>45121</v>
      </c>
      <c r="EX209" s="22"/>
      <c r="EY209" s="29">
        <f t="shared" si="693"/>
        <v>15</v>
      </c>
      <c r="EZ209" s="25" t="str">
        <f t="shared" si="694"/>
        <v>SIN RIESGO DE ISOINMUNIZACIÓN</v>
      </c>
      <c r="FA209" s="21">
        <v>78</v>
      </c>
      <c r="FB209" s="32">
        <v>45121</v>
      </c>
      <c r="FC209" s="29">
        <f t="shared" si="861"/>
        <v>15</v>
      </c>
      <c r="FD209" s="29"/>
      <c r="FE209" s="29"/>
      <c r="FF209" s="29"/>
      <c r="FG209" s="21" t="str">
        <f t="shared" ca="1" si="862"/>
        <v>TOMAR PTOG</v>
      </c>
      <c r="FH209" s="31"/>
      <c r="FI209" s="29" t="str">
        <f t="shared" si="863"/>
        <v>TOMAR EXAMEN</v>
      </c>
      <c r="FJ209" s="22"/>
      <c r="FK209" s="32"/>
      <c r="FL209" s="29" t="str">
        <f t="shared" ca="1" si="864"/>
        <v>NO APLICA-INGRESO TARDIO</v>
      </c>
      <c r="FM209" s="22" t="s">
        <v>867</v>
      </c>
      <c r="FN209" s="32">
        <v>45121</v>
      </c>
      <c r="FO209" s="29">
        <f t="shared" ca="1" si="923"/>
        <v>15</v>
      </c>
      <c r="FP209" s="22"/>
      <c r="FQ209" s="32"/>
      <c r="FR209" s="29" t="str">
        <f t="shared" ca="1" si="924"/>
        <v>EN RANGO PARA TOMAR EXAMEN</v>
      </c>
      <c r="FS209" s="22"/>
      <c r="FT209" s="32"/>
      <c r="FU209" s="29" t="str">
        <f>IF(AND(FJ209="",FM209="",FP209="",FS209=""),"",IF(OR(OR(Tabla1[[#This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09" s="28"/>
      <c r="FW209" s="22"/>
      <c r="FX209" s="29" t="str">
        <f t="shared" si="865"/>
        <v>TOMAR EXAMEN</v>
      </c>
      <c r="FY209" s="22"/>
      <c r="FZ209" s="32"/>
      <c r="GA209" s="29" t="str">
        <f t="shared" ca="1" si="739"/>
        <v>NO APLICA-INGRESO TARDIO</v>
      </c>
      <c r="GB209" s="22" t="s">
        <v>868</v>
      </c>
      <c r="GC209" s="32">
        <v>45117</v>
      </c>
      <c r="GD209" s="29">
        <f t="shared" ca="1" si="925"/>
        <v>14.428571428571429</v>
      </c>
      <c r="GE209" s="22"/>
      <c r="GF209" s="22"/>
      <c r="GG209" s="29" t="str">
        <f t="shared" ca="1" si="926"/>
        <v>EN RANGO PARA TOMAR EXAMEN</v>
      </c>
      <c r="GH209" s="22"/>
      <c r="GI209" s="29"/>
      <c r="GJ209" s="22"/>
      <c r="GK209" s="22"/>
      <c r="GL209" s="22"/>
      <c r="GM209" s="22"/>
      <c r="GN209" s="28" t="s">
        <v>869</v>
      </c>
      <c r="GO209" s="22">
        <v>45121</v>
      </c>
      <c r="GP209" s="29">
        <f t="shared" si="866"/>
        <v>15</v>
      </c>
      <c r="GQ209" s="28" t="s">
        <v>846</v>
      </c>
      <c r="GR209" s="28" t="s">
        <v>869</v>
      </c>
      <c r="GS209" s="22" t="str">
        <f t="shared" si="728"/>
        <v/>
      </c>
      <c r="GT209" s="22">
        <v>45121</v>
      </c>
      <c r="GU209" s="29">
        <f t="shared" si="867"/>
        <v>8.2857142857142865</v>
      </c>
      <c r="GV209" s="21" t="str">
        <f t="shared" si="868"/>
        <v>I TRIM</v>
      </c>
      <c r="GW209" s="28"/>
      <c r="GX209" s="30"/>
      <c r="GY209" s="21"/>
      <c r="GZ209" s="21"/>
      <c r="HA209" s="21"/>
      <c r="HB209" s="21"/>
      <c r="HC209" s="21"/>
      <c r="HD209" s="21"/>
      <c r="HE209" s="21"/>
      <c r="HF209" s="22"/>
      <c r="HG209" s="22" t="str">
        <f>IF(OR(O209&gt;0,R209&gt;0),CONCATENATE(IF(Tabla1[[#This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09" s="22" t="e">
        <f t="shared" si="869"/>
        <v>#REF!</v>
      </c>
      <c r="HI209" s="22" t="e">
        <f t="shared" ca="1" si="870"/>
        <v>#REF!</v>
      </c>
      <c r="HJ209" s="21" t="str">
        <f t="shared" ca="1" si="871"/>
        <v>**********************MULTIPARIDAD*****************</v>
      </c>
      <c r="HK209" s="21" t="str">
        <f t="shared" si="872"/>
        <v>SIN ANTECEDENTES DE RIESGO</v>
      </c>
      <c r="HL209" s="24" t="str">
        <f t="shared" si="873"/>
        <v>APARENTEMENTE NORMAL</v>
      </c>
      <c r="HM209" s="21" t="e">
        <f t="shared" ca="1" si="874"/>
        <v>#REF!</v>
      </c>
      <c r="HN209" s="30" t="str">
        <f t="shared" si="927"/>
        <v>ACTIVA INGRESO A CPN</v>
      </c>
      <c r="HO209" s="21"/>
      <c r="HP209" s="21"/>
      <c r="HQ209" s="349"/>
      <c r="HR209" s="21" t="str">
        <f>IF(R209="","",IF(Tabla1[[#This Row],[ALARMA FACTORES DE RIESGO COMPLICACIONES HIPERTENSIVAS3]]="SIN ANTECEDENTES DE RIESGO","No Aplica para suministro de ASA",IF(AND(Tabla1[[#This Row],[FECHA INICIO DE SUMINISTRO DE ASA]]&gt;0,RV209&lt;12),"Inicia ASA ANTES de Sem 12",IF(AND(RV209&gt;11,RV209&lt;17,OR(HK209="RIESGO ALTO DE COMPLICACIONES HIPERTENSIVAS VER MANEJO GUIA SUMINISTRO ASA Y CALCIO",HK209="RIESGO MODERADO (2 O MAS CRITERIOS) VER MANEJO GUIA SUMINISTRO ASA Y CALCIO")),"Inicio oportuno de ASA",IF(AND(RV209&gt;12,OR(HK209="RIESGO ALTO DE COMPLICACIONES HIPERTENSIVAS VER MANEJO GUIA SUMINISTRO ASA Y CALCIO",HK209="RIESGO MODERADO (2 O MAS CRITERIOS) VER MANEJO GUIA SUMINISTRO ASA Y CALCIO")),"Inicio no oportuno mayor a 16 semanas",IF(AND(BU209&lt;12,OR(HK209="RIESGO ALTO DE COMPLICACIONES HIPERTENSIVAS VER MANEJO GUIA SUMINISTRO ASA Y CALCIO",HK209="RIESGO MODERADO (2 O MAS CRITERIOS) VER MANEJO GUIA SUMINISTRO ASA Y CALCIO")),"Pendiente Inicio de ASA a la semana 12",IF(AND(BU209&gt;11,BU209&lt;17,OR(HK209="RIESGO ALTO DE COMPLICACIONES HIPERTENSIVAS VER MANEJO GUIA SUMINISTRO ASA Y CALCIO",HK209="RIESGO MODERADO (2 O MAS CRITERIOS) VER MANEJO GUIA SUMINISTRO ASA Y CALCIO")),"Iniciar de inmediato ASA",IF(AND(BU209&gt;16,OR(HK209="RIESGO ALTO DE COMPLICACIONES HIPERTENSIVAS VER MANEJO GUIA SUMINISTRO ASA Y CALCIO",HK209="RIESGO MODERADO (2 O MAS CRITERIOS) VER MANEJO GUIA SUMINISTRO ASA Y CALCIO")),"Pierde Oportunidad, Inicio tardío de ASA","XXXXX"))))))))</f>
        <v>No Aplica para suministro de ASA</v>
      </c>
      <c r="HS209" s="22">
        <v>45111</v>
      </c>
      <c r="HT209" s="22"/>
      <c r="HU209" s="22">
        <v>45111</v>
      </c>
      <c r="HV209" s="22" t="s">
        <v>1544</v>
      </c>
      <c r="HW209" s="22">
        <v>45111</v>
      </c>
      <c r="HX209" s="22" t="s">
        <v>1511</v>
      </c>
      <c r="HY209" s="22">
        <v>45111</v>
      </c>
      <c r="HZ209" s="28">
        <f t="shared" si="875"/>
        <v>13.571428571428571</v>
      </c>
      <c r="IA209" s="26"/>
      <c r="IB209" s="26"/>
      <c r="IC209" s="111"/>
      <c r="ID209" s="22"/>
      <c r="IE209" s="22" t="str">
        <f t="shared" ca="1" si="876"/>
        <v>INASISTENTE</v>
      </c>
      <c r="IF209" s="22"/>
      <c r="IG209" s="22">
        <f t="shared" si="877"/>
        <v>45296</v>
      </c>
      <c r="IH209" s="29">
        <f t="shared" ca="1" si="878"/>
        <v>64</v>
      </c>
      <c r="II209" s="22" t="str">
        <f t="shared" ca="1" si="879"/>
        <v>PENDIENTE</v>
      </c>
      <c r="IJ209" s="22"/>
      <c r="IK209" s="21"/>
      <c r="IL209" s="21"/>
      <c r="IM209" s="34"/>
      <c r="IN209" s="22"/>
      <c r="IO209" s="21"/>
      <c r="IP209" s="29" t="str">
        <f t="shared" si="880"/>
        <v/>
      </c>
      <c r="IQ209" s="35"/>
      <c r="IR209" s="21"/>
      <c r="IS209" s="21"/>
      <c r="IT209" s="21"/>
      <c r="IU209" s="21"/>
      <c r="IV209" s="21"/>
      <c r="IW209" s="21"/>
      <c r="IX209" s="21"/>
      <c r="IY209" s="21"/>
      <c r="IZ209" s="21"/>
      <c r="JA209" s="21"/>
      <c r="JB209" s="30"/>
      <c r="JC209" s="21"/>
      <c r="JD209" s="36"/>
      <c r="JE209" s="21" t="str">
        <f t="shared" si="881"/>
        <v/>
      </c>
      <c r="JF209" s="30"/>
      <c r="JG209" s="21"/>
      <c r="JH209" s="21"/>
      <c r="JI209" s="21"/>
      <c r="JJ209" s="30"/>
      <c r="JK209" s="22"/>
      <c r="JL209" s="22"/>
      <c r="JM209" s="21"/>
      <c r="JN209" s="36"/>
      <c r="JO209" s="21" t="str">
        <f t="shared" si="882"/>
        <v/>
      </c>
      <c r="JP209" s="22"/>
      <c r="JQ209" s="21"/>
      <c r="JR209" s="21"/>
      <c r="JS209" s="21"/>
      <c r="JT209" s="30"/>
      <c r="JU209" s="22"/>
      <c r="JV209" s="22"/>
      <c r="JW209" s="33"/>
      <c r="JX209" s="28" t="str">
        <f t="shared" si="883"/>
        <v/>
      </c>
      <c r="JY209" s="33"/>
      <c r="JZ209" s="28" t="str">
        <f t="shared" si="884"/>
        <v/>
      </c>
      <c r="KA209" s="21"/>
      <c r="KB209" s="21"/>
      <c r="KC209" s="21"/>
      <c r="KD209" s="37"/>
      <c r="KE209" s="28"/>
      <c r="KF209" s="28"/>
      <c r="KG209" s="28"/>
      <c r="KH209" s="39"/>
      <c r="KI209" s="39"/>
      <c r="KJ209" s="66"/>
      <c r="KK209" s="39"/>
      <c r="KL209" s="39"/>
      <c r="KM209" s="66"/>
      <c r="KN209" s="39"/>
      <c r="KO209" s="39"/>
      <c r="KP209" s="39"/>
      <c r="KQ209" s="39"/>
      <c r="KR209" s="39"/>
      <c r="KS209" s="39"/>
      <c r="KT209" s="39"/>
      <c r="KU209" s="38"/>
      <c r="KV209" s="38"/>
      <c r="KW209" s="38"/>
      <c r="KX209" s="38"/>
      <c r="KY209" s="38"/>
      <c r="KZ209" s="38"/>
      <c r="LA209" s="38"/>
      <c r="LB209" s="38"/>
      <c r="LC209" s="38"/>
      <c r="LD209" s="38"/>
      <c r="LE209" s="38"/>
      <c r="LF209" s="38"/>
      <c r="LG209" s="38"/>
      <c r="LH209" s="38"/>
      <c r="LI209" s="38"/>
      <c r="LJ209" s="38"/>
      <c r="LK209" s="38"/>
      <c r="LL209" s="38"/>
      <c r="LM209" s="38"/>
      <c r="LN209" s="38"/>
      <c r="LO209" s="38"/>
      <c r="LP209" s="38"/>
      <c r="LQ209" s="38"/>
      <c r="LR209" s="38"/>
      <c r="LS209" s="38"/>
      <c r="LT209" s="38"/>
      <c r="LU209" s="38"/>
      <c r="LV209" s="38"/>
      <c r="LW209" s="38"/>
      <c r="LX209" s="38"/>
      <c r="LY209" s="38"/>
      <c r="LZ209" s="38"/>
      <c r="MA209" s="38"/>
      <c r="MB209" s="38"/>
      <c r="MC209" s="38"/>
      <c r="MD209" s="38"/>
      <c r="ME209" s="38"/>
      <c r="MF209" s="38"/>
      <c r="MG209" s="38"/>
      <c r="MH209" s="43">
        <f t="shared" si="885"/>
        <v>0</v>
      </c>
      <c r="MI209" s="43" t="str">
        <f t="shared" si="929"/>
        <v/>
      </c>
      <c r="MJ209" s="43" t="str">
        <f t="shared" si="887"/>
        <v/>
      </c>
      <c r="MK209" s="43">
        <f t="shared" si="888"/>
        <v>0</v>
      </c>
      <c r="ML20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09" s="43">
        <f t="shared" si="930"/>
        <v>13.571428571428571</v>
      </c>
      <c r="MN209" s="43">
        <f t="shared" si="931"/>
        <v>7</v>
      </c>
      <c r="MO209" s="43">
        <f t="shared" si="932"/>
        <v>2023</v>
      </c>
      <c r="MP209" s="43" t="str">
        <f t="shared" si="892"/>
        <v>III TRIMESTRE AÑO</v>
      </c>
      <c r="MQ209" s="43">
        <f t="shared" si="933"/>
        <v>18.292816469557597</v>
      </c>
      <c r="MR209" s="43">
        <f t="shared" si="894"/>
        <v>0</v>
      </c>
      <c r="MS209" s="43" t="str">
        <f t="shared" si="895"/>
        <v>DE 14 A 19AÑOS</v>
      </c>
      <c r="MT209" s="43">
        <f t="shared" si="896"/>
        <v>0</v>
      </c>
      <c r="MU209" s="43">
        <f t="shared" si="897"/>
        <v>1</v>
      </c>
      <c r="MV209" s="43">
        <f t="shared" si="898"/>
        <v>0</v>
      </c>
      <c r="MW209" s="43">
        <f t="shared" si="899"/>
        <v>0</v>
      </c>
      <c r="MX209" s="43" t="str">
        <f t="shared" si="900"/>
        <v/>
      </c>
      <c r="MY209" s="43" t="str">
        <f t="shared" ca="1" si="901"/>
        <v/>
      </c>
      <c r="MZ209" s="43" t="str">
        <f t="shared" si="902"/>
        <v/>
      </c>
      <c r="NA209" s="43" t="str">
        <f t="shared" si="903"/>
        <v/>
      </c>
      <c r="NB209" s="43" t="str">
        <f t="shared" si="904"/>
        <v/>
      </c>
      <c r="NC209" s="43" t="str">
        <f t="shared" si="905"/>
        <v/>
      </c>
      <c r="ND209" s="43">
        <f t="shared" ca="1" si="934"/>
        <v>1.5</v>
      </c>
      <c r="NE209" s="43">
        <f>IF(OR(O209&gt;0,R209&gt;0),SUM(COUNTIF(Tabla1[[#This Row],[AÑOS AL INICIO5 CPN]],"&gt;=40"),COUNTIF(AS209,"0"),COUNTIF(AR209,"SI"),COUNTIF(CC209,"SI"),COUNTIF(BQ209,"&gt;119"),COUNTIF(CI209,"&gt;=35")),"")</f>
        <v>1</v>
      </c>
      <c r="NF209" s="43" t="str">
        <f t="shared" si="935"/>
        <v/>
      </c>
      <c r="NG209" s="43">
        <f t="shared" si="908"/>
        <v>0.5</v>
      </c>
      <c r="NH209" s="43">
        <f t="shared" si="909"/>
        <v>105</v>
      </c>
      <c r="NI209"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CPN",P209="NO"),"Z",IF(AND(Tabla1[[#This Row],[CITA PROXIMO CONTROL]]="CITA MANUAL",Tabla1[[#This Row],[GESTANTES ACTUALES]]="ACTIVA INGRESO A CPN"),"W",IF(AND(Tabla1[[#This Row],[GESTANTES ACTUALES]]="SALIO PROGRAMA",IN209=""),"S",IF(AND(Tabla1[[#This Row],[CITA PROXIMO CONTROL]]&gt;0,IN209=""),(Tabla1[[#This Row],[CITA PROXIMO CONTROL]]-TODAY()),"SD"))))))))</f>
        <v>#REF!</v>
      </c>
      <c r="NJ209" s="43">
        <f>MONTH(Tabla1[[#This Row],[FECHA DE SALIDA  DEL PROGRAMA]])</f>
        <v>1</v>
      </c>
      <c r="NK209" s="43">
        <f>YEAR(Tabla1[[#This Row],[FECHA DE SALIDA  DEL PROGRAMA]])</f>
        <v>1900</v>
      </c>
      <c r="NL209" s="43" t="str">
        <f t="shared" si="936"/>
        <v>X</v>
      </c>
      <c r="NM209" s="43" t="str">
        <f>IF(AND(O209&gt;0,R209=""),"NO CPN",IF(AND(O209="",R209=""),"",IF(AND(EN209&lt;&gt;"",EX209&lt;&gt;"",FB209&lt;&gt;"",FK209&lt;&gt;"",FW209&lt;&gt;"",FZ209&lt;&gt;"",GO209&lt;&gt;"",GQ209&lt;&gt;"",GR209&lt;&gt;""),"SI","NO")))</f>
        <v>NO</v>
      </c>
      <c r="NN209" s="43" t="str">
        <f ca="1">IF(AND(O209&gt;0,R209=""),"NO CPN",IF(AND(O209="",R209=""),"",IF(AND(R209&gt;0,Tabla1[[#This Row],[SEMANAS DE GESTACION ACTUALIZADAS]]&lt;=12),"NO APLICA",IF(AND(FH209&lt;&gt;"",FN209&lt;&gt;""),"SI","NO"))))</f>
        <v>NO</v>
      </c>
      <c r="NO209" s="43" t="str">
        <f ca="1">IF(AND(O209&gt;0,R209=""),"NO CPN",IF(AND(O209="",R209=""),"",IF(AND(R209&gt;0,Tabla1[[#This Row],[SEMANAS DE GESTACION ACTUALIZADAS]]&lt;=27),"NO APLICA",IF(AND(ES209&lt;&gt;"",FQ209&lt;&gt;"",GF209&lt;&gt;""),"SI","NO"))))</f>
        <v>NO</v>
      </c>
      <c r="NP209" s="204" t="str">
        <f t="shared" si="912"/>
        <v>II TRIM</v>
      </c>
      <c r="NQ209"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209" s="21">
        <f t="shared" ca="1" si="937"/>
        <v>2</v>
      </c>
      <c r="NS209" s="205">
        <f t="shared" ca="1" si="914"/>
        <v>1</v>
      </c>
      <c r="NT209" s="21">
        <f t="shared" ca="1" si="915"/>
        <v>1</v>
      </c>
      <c r="NU209" s="21" t="str">
        <f t="shared" ca="1" si="916"/>
        <v>INCOMPLETO</v>
      </c>
      <c r="NV209" s="21" t="str">
        <f t="shared" ca="1" si="917"/>
        <v>INCOMPLETO</v>
      </c>
      <c r="NW209" s="206" t="str">
        <f>IF(AND(O209="",R209=""),"",IF(OR(AND(Tabla1[[#This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09" s="207" t="str">
        <f t="shared" ca="1" si="938"/>
        <v>SIN VACUNAR</v>
      </c>
      <c r="NY209" s="43">
        <f>ROW(Tabla1[[#This Row],['# DE TAMIZAJES SIFILIS TOMADOS ]])</f>
        <v>209</v>
      </c>
      <c r="NZ209" s="43">
        <f t="shared" si="740"/>
        <v>13</v>
      </c>
      <c r="OA209" s="43" t="str">
        <f t="shared" si="741"/>
        <v/>
      </c>
      <c r="OB209" s="43" t="str">
        <f t="shared" si="742"/>
        <v/>
      </c>
      <c r="OC209" s="43" t="str">
        <f t="shared" si="743"/>
        <v/>
      </c>
      <c r="OD209" s="43" t="str">
        <f t="shared" si="744"/>
        <v/>
      </c>
      <c r="OE209" s="43" t="str">
        <f t="shared" si="745"/>
        <v>NORMAL</v>
      </c>
      <c r="OF209" s="43" t="str">
        <f t="shared" si="746"/>
        <v/>
      </c>
      <c r="OG209" s="43" t="str">
        <f t="shared" si="747"/>
        <v/>
      </c>
      <c r="OH209" s="43" t="str">
        <f t="shared" si="748"/>
        <v/>
      </c>
      <c r="OI209" s="43" t="str">
        <f t="shared" si="749"/>
        <v/>
      </c>
      <c r="OJ209" s="43" t="str">
        <f t="shared" si="750"/>
        <v/>
      </c>
      <c r="OK209" s="43" t="str">
        <f t="shared" si="751"/>
        <v/>
      </c>
      <c r="OL209" s="43" t="str">
        <f t="shared" si="752"/>
        <v/>
      </c>
      <c r="OM209" s="43" t="str">
        <f t="shared" si="753"/>
        <v/>
      </c>
      <c r="ON209" s="43" t="str">
        <f t="shared" si="754"/>
        <v/>
      </c>
      <c r="OO209" s="43" t="str">
        <f t="shared" si="755"/>
        <v/>
      </c>
      <c r="OP209" s="43" t="str">
        <f t="shared" si="756"/>
        <v/>
      </c>
      <c r="OQ209" s="43" t="str">
        <f t="shared" si="757"/>
        <v/>
      </c>
      <c r="OR209" s="43" t="str">
        <f t="shared" si="758"/>
        <v/>
      </c>
      <c r="OS209" s="43" t="str">
        <f t="shared" si="759"/>
        <v/>
      </c>
      <c r="OT209" s="43" t="str">
        <f t="shared" si="760"/>
        <v/>
      </c>
      <c r="OU209" s="43" t="str">
        <f t="shared" si="761"/>
        <v/>
      </c>
      <c r="OV209" s="110" t="str">
        <f t="shared" si="762"/>
        <v/>
      </c>
      <c r="OW209" s="43" t="str">
        <f t="shared" si="763"/>
        <v/>
      </c>
      <c r="OX209" s="43" t="str">
        <f t="shared" si="764"/>
        <v/>
      </c>
      <c r="OY209" s="43" t="str">
        <f t="shared" si="765"/>
        <v/>
      </c>
      <c r="OZ209" s="43" t="str">
        <f t="shared" si="766"/>
        <v/>
      </c>
      <c r="PA209" s="43" t="str">
        <f t="shared" si="767"/>
        <v/>
      </c>
      <c r="PB209" s="43" t="str">
        <f t="shared" si="768"/>
        <v/>
      </c>
      <c r="PC209" s="43" t="str">
        <f t="shared" si="769"/>
        <v/>
      </c>
      <c r="PD209" s="43" t="str">
        <f t="shared" si="770"/>
        <v/>
      </c>
      <c r="PE209" s="43" t="str">
        <f t="shared" si="771"/>
        <v/>
      </c>
      <c r="PF209" s="43" t="str">
        <f t="shared" si="772"/>
        <v/>
      </c>
      <c r="PG209" s="43" t="str">
        <f t="shared" si="773"/>
        <v/>
      </c>
      <c r="PH209" s="43" t="str">
        <f t="shared" si="774"/>
        <v/>
      </c>
      <c r="PI209" s="43">
        <f t="shared" si="775"/>
        <v>13</v>
      </c>
      <c r="PJ209" s="43" t="str">
        <f t="shared" si="776"/>
        <v/>
      </c>
      <c r="PK209" s="43" t="str">
        <f t="shared" si="777"/>
        <v/>
      </c>
      <c r="PL209" s="43" t="str">
        <f t="shared" si="778"/>
        <v/>
      </c>
      <c r="PM209" s="43" t="str">
        <f t="shared" si="779"/>
        <v/>
      </c>
      <c r="PN209" s="43" t="str">
        <f t="shared" si="780"/>
        <v>NORMAL</v>
      </c>
      <c r="PO209" s="43" t="str">
        <f t="shared" si="781"/>
        <v/>
      </c>
      <c r="PP209" s="43" t="str">
        <f t="shared" si="782"/>
        <v/>
      </c>
      <c r="PQ209" s="43" t="str">
        <f t="shared" si="783"/>
        <v/>
      </c>
      <c r="PR209" s="43" t="str">
        <f t="shared" si="784"/>
        <v/>
      </c>
      <c r="PS209" s="43" t="str">
        <f t="shared" si="785"/>
        <v/>
      </c>
      <c r="PT209" s="43" t="str">
        <f t="shared" si="786"/>
        <v/>
      </c>
      <c r="PU209" s="43" t="str">
        <f t="shared" si="787"/>
        <v/>
      </c>
      <c r="PV209" s="43" t="str">
        <f t="shared" si="788"/>
        <v/>
      </c>
      <c r="PW209" s="43" t="str">
        <f t="shared" si="789"/>
        <v/>
      </c>
      <c r="PX209" s="43" t="str">
        <f t="shared" si="790"/>
        <v/>
      </c>
      <c r="PY209" s="43" t="str">
        <f t="shared" si="791"/>
        <v/>
      </c>
      <c r="PZ209" s="43" t="str">
        <f t="shared" si="792"/>
        <v/>
      </c>
      <c r="QA209" s="43" t="str">
        <f t="shared" si="793"/>
        <v/>
      </c>
      <c r="QB209" s="43" t="str">
        <f t="shared" si="794"/>
        <v/>
      </c>
      <c r="QC209" s="43" t="str">
        <f t="shared" si="795"/>
        <v/>
      </c>
      <c r="QD209" s="43" t="str">
        <f t="shared" si="796"/>
        <v/>
      </c>
      <c r="QE209" s="43" t="str">
        <f t="shared" si="797"/>
        <v/>
      </c>
      <c r="QF209" s="43" t="str">
        <f t="shared" si="798"/>
        <v/>
      </c>
      <c r="QG209" s="43" t="str">
        <f t="shared" si="799"/>
        <v/>
      </c>
      <c r="QH209" s="43" t="str">
        <f t="shared" si="800"/>
        <v/>
      </c>
      <c r="QI209" s="43" t="str">
        <f t="shared" si="801"/>
        <v/>
      </c>
      <c r="QJ209" s="43" t="str">
        <f t="shared" si="802"/>
        <v/>
      </c>
      <c r="QK209" s="43" t="str">
        <f t="shared" si="803"/>
        <v/>
      </c>
      <c r="QL209" s="43" t="str">
        <f t="shared" si="804"/>
        <v/>
      </c>
      <c r="QM209" s="43" t="str">
        <f t="shared" si="805"/>
        <v/>
      </c>
      <c r="QN209" s="43" t="str">
        <f t="shared" si="806"/>
        <v/>
      </c>
      <c r="QO209" s="43" t="str">
        <f t="shared" si="807"/>
        <v/>
      </c>
      <c r="QP209" s="43" t="str">
        <f t="shared" si="808"/>
        <v/>
      </c>
      <c r="QQ209" s="43" t="str">
        <f t="shared" si="809"/>
        <v/>
      </c>
      <c r="QR209" s="43">
        <f t="shared" si="839"/>
        <v>13</v>
      </c>
      <c r="QS209" s="43"/>
      <c r="QT209" s="21" t="str">
        <f t="shared" si="810"/>
        <v/>
      </c>
      <c r="QU209" s="21" t="str">
        <f t="shared" si="811"/>
        <v/>
      </c>
      <c r="QV209" s="21" t="str">
        <f t="shared" si="812"/>
        <v/>
      </c>
      <c r="QW209" s="21" t="str">
        <f t="shared" si="813"/>
        <v/>
      </c>
      <c r="QX209" s="21" t="str">
        <f t="shared" si="814"/>
        <v/>
      </c>
      <c r="QY209" s="21" t="str">
        <f t="shared" si="815"/>
        <v/>
      </c>
      <c r="QZ209" s="21" t="str">
        <f t="shared" si="816"/>
        <v/>
      </c>
      <c r="RA209" s="21" t="str">
        <f t="shared" si="817"/>
        <v/>
      </c>
      <c r="RB209" s="21" t="str">
        <f t="shared" si="818"/>
        <v/>
      </c>
      <c r="RC209" s="21" t="str">
        <f t="shared" si="819"/>
        <v/>
      </c>
      <c r="RD209" s="21" t="str">
        <f t="shared" si="820"/>
        <v/>
      </c>
      <c r="RE209" s="21" t="str">
        <f t="shared" si="821"/>
        <v/>
      </c>
      <c r="RF209" s="21" t="str">
        <f t="shared" si="822"/>
        <v/>
      </c>
      <c r="RG209" s="21" t="str">
        <f t="shared" si="823"/>
        <v/>
      </c>
      <c r="RH209" s="21" t="str">
        <f t="shared" si="824"/>
        <v/>
      </c>
      <c r="RI209" s="21" t="str">
        <f t="shared" si="825"/>
        <v/>
      </c>
      <c r="RJ209" s="21" t="str">
        <f t="shared" si="826"/>
        <v/>
      </c>
      <c r="RK209" s="21" t="str">
        <f t="shared" si="827"/>
        <v/>
      </c>
      <c r="RL209" s="21" t="str">
        <f t="shared" si="828"/>
        <v/>
      </c>
      <c r="RM209" s="21" t="str">
        <f t="shared" si="829"/>
        <v/>
      </c>
      <c r="RN209" s="21" t="str">
        <f t="shared" si="830"/>
        <v/>
      </c>
      <c r="RO209" s="21" t="str">
        <f t="shared" si="831"/>
        <v/>
      </c>
      <c r="RP209" s="21" t="str">
        <f t="shared" si="832"/>
        <v/>
      </c>
      <c r="RQ209" s="21" t="str">
        <f t="shared" si="833"/>
        <v/>
      </c>
      <c r="RR209" s="21" t="str">
        <f t="shared" si="834"/>
        <v/>
      </c>
      <c r="RS209" s="21" t="str">
        <f t="shared" si="835"/>
        <v/>
      </c>
      <c r="RT209" s="21" t="str">
        <f t="shared" si="836"/>
        <v/>
      </c>
      <c r="RU209" s="21" t="str">
        <f t="shared" si="837"/>
        <v/>
      </c>
      <c r="RV209" s="21">
        <f t="shared" si="838"/>
        <v>-1</v>
      </c>
      <c r="RW209" s="284">
        <f>IF(OR(Tabla1[[#This Row],[FUM FORMULA CONFIABLE]]="",Tabla1[[#This Row],[FUM FORMULA CONFIABLE]]="SD"),"",IF(Tabla1[[#This Row],[FUM FORMULA CONFIABLE]]="CORREGIDA",Tabla1[[#This Row],[FUM X ECO 1]],Tabla1[[#This Row],[FUM x AMENORREA]]))</f>
        <v>45016</v>
      </c>
      <c r="RX209" s="21">
        <f>IF(AND(Tabla1[[#This Row],[FUM X ECO 1]]="",Tabla1[[#This Row],[FUM x AMENORREA]]=""),"",IF(AND(Tabla1[[#This Row],[FUM X ECO 1]]="",Tabla1[[#This Row],[FUM x AMENORREA]]&lt;&gt;""),"X",SUM(Tabla1[[#This Row],[FUM X ECO 1]]-Tabla1[[#This Row],[FUM x AMENORREA]])))</f>
        <v>-47</v>
      </c>
      <c r="RY209" s="21">
        <f t="shared" si="840"/>
        <v>1</v>
      </c>
    </row>
    <row r="210" spans="1:493" ht="45" customHeight="1" x14ac:dyDescent="0.25">
      <c r="A210" s="109"/>
      <c r="B210" s="43"/>
      <c r="C210" s="43" t="s">
        <v>845</v>
      </c>
      <c r="D210" s="124" t="s">
        <v>1627</v>
      </c>
      <c r="E210" s="43" t="s">
        <v>896</v>
      </c>
      <c r="F210" s="43" t="s">
        <v>953</v>
      </c>
      <c r="G210" s="43" t="s">
        <v>1634</v>
      </c>
      <c r="H210" s="43"/>
      <c r="I210" s="109"/>
      <c r="J210" s="110">
        <v>1002848733</v>
      </c>
      <c r="K210" s="43" t="s">
        <v>852</v>
      </c>
      <c r="L210" s="175" t="s">
        <v>1509</v>
      </c>
      <c r="M210" s="22">
        <v>36365</v>
      </c>
      <c r="N210" s="213">
        <f t="shared" ca="1" si="841"/>
        <v>24.293150684931508</v>
      </c>
      <c r="O210" s="22">
        <v>45113</v>
      </c>
      <c r="P210" s="214" t="str">
        <f t="shared" si="919"/>
        <v>SI</v>
      </c>
      <c r="Q210" s="26" t="s">
        <v>855</v>
      </c>
      <c r="R210" s="22">
        <v>45113</v>
      </c>
      <c r="S210" s="21" t="s">
        <v>856</v>
      </c>
      <c r="T210" s="24" t="s">
        <v>690</v>
      </c>
      <c r="U210" s="21" t="s">
        <v>857</v>
      </c>
      <c r="V210" s="21" t="s">
        <v>893</v>
      </c>
      <c r="W210" s="21" t="s">
        <v>893</v>
      </c>
      <c r="X210" s="21"/>
      <c r="Y210" s="21" t="s">
        <v>859</v>
      </c>
      <c r="Z210" s="21">
        <v>3156415192</v>
      </c>
      <c r="AA210" s="21" t="s">
        <v>860</v>
      </c>
      <c r="AB210" s="27" t="s">
        <v>861</v>
      </c>
      <c r="AC210" s="26" t="s">
        <v>877</v>
      </c>
      <c r="AD210" s="38" t="s">
        <v>1546</v>
      </c>
      <c r="AE210" s="26" t="s">
        <v>854</v>
      </c>
      <c r="AF210" s="26" t="s">
        <v>854</v>
      </c>
      <c r="AG210" s="23" t="s">
        <v>854</v>
      </c>
      <c r="AH210" s="23" t="s">
        <v>864</v>
      </c>
      <c r="AI210" s="24" t="s">
        <v>863</v>
      </c>
      <c r="AJ210" s="23" t="s">
        <v>864</v>
      </c>
      <c r="AK210" s="220" t="str">
        <f>IF(AND(AD210="",AE210="",AF210="",AG210="",AH210="",AI210="",AJ210=""),"",IF(OR(Tabla1[[#This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EVALUACIÓN",IF(AND(O210="",R210=""),"",IF(AND(OR(O210&gt;0,R210&gt;0),NG210&gt;=0,NG210&lt;2),"SIN RIESGO",IF(AND(OR(O210&gt;0,R210&gt;0),NG210&gt;=2),"CON RIESGO","ASD")))))</f>
        <v>SIN RIESGO</v>
      </c>
      <c r="AL210" s="23" t="s">
        <v>864</v>
      </c>
      <c r="AM210" s="23" t="s">
        <v>864</v>
      </c>
      <c r="AN210" s="23" t="s">
        <v>864</v>
      </c>
      <c r="AO210" s="23" t="s">
        <v>864</v>
      </c>
      <c r="AP210" s="23" t="s">
        <v>864</v>
      </c>
      <c r="AQ210" s="23" t="s">
        <v>864</v>
      </c>
      <c r="AR210" s="23" t="s">
        <v>864</v>
      </c>
      <c r="AS210" s="21">
        <v>1</v>
      </c>
      <c r="AT210" s="21">
        <v>1</v>
      </c>
      <c r="AU210" s="21">
        <v>0</v>
      </c>
      <c r="AV210" s="26" t="s">
        <v>864</v>
      </c>
      <c r="AW210" s="21">
        <v>0</v>
      </c>
      <c r="AX210" s="26" t="s">
        <v>864</v>
      </c>
      <c r="AY210" s="26" t="s">
        <v>864</v>
      </c>
      <c r="AZ210" s="26" t="s">
        <v>864</v>
      </c>
      <c r="BA210" s="26" t="s">
        <v>864</v>
      </c>
      <c r="BB210" s="26" t="s">
        <v>864</v>
      </c>
      <c r="BC210" s="26" t="s">
        <v>864</v>
      </c>
      <c r="BD210" s="26" t="s">
        <v>864</v>
      </c>
      <c r="BE210" s="26" t="s">
        <v>864</v>
      </c>
      <c r="BF210" s="26" t="s">
        <v>864</v>
      </c>
      <c r="BG210" s="26" t="s">
        <v>864</v>
      </c>
      <c r="BH210" s="26" t="s">
        <v>864</v>
      </c>
      <c r="BI210" s="26" t="s">
        <v>864</v>
      </c>
      <c r="BJ210" s="26" t="s">
        <v>864</v>
      </c>
      <c r="BK210" s="26" t="s">
        <v>864</v>
      </c>
      <c r="BL210" s="26" t="s">
        <v>864</v>
      </c>
      <c r="BM210" s="26" t="s">
        <v>864</v>
      </c>
      <c r="BN210" s="26"/>
      <c r="BO210" s="22">
        <v>44934</v>
      </c>
      <c r="BP210" s="21" t="s">
        <v>1380</v>
      </c>
      <c r="BQ210" s="222">
        <f t="shared" si="842"/>
        <v>0</v>
      </c>
      <c r="BR210" s="223">
        <f t="shared" si="843"/>
        <v>44942.5</v>
      </c>
      <c r="BS210" s="224">
        <f t="shared" si="844"/>
        <v>24.357142857142858</v>
      </c>
      <c r="BT210" s="216" t="str">
        <f t="shared" si="845"/>
        <v>II TRIM</v>
      </c>
      <c r="BU210" s="214">
        <f t="shared" ca="1" si="928"/>
        <v>41.357142857142854</v>
      </c>
      <c r="BV210" s="25" t="s">
        <v>988</v>
      </c>
      <c r="BW210" s="22">
        <v>45121</v>
      </c>
      <c r="BX210" s="28">
        <v>25.5</v>
      </c>
      <c r="BY210" s="28"/>
      <c r="BZ210" s="22"/>
      <c r="CA210" s="21"/>
      <c r="CB210" s="26" t="s">
        <v>864</v>
      </c>
      <c r="CC210" s="26" t="s">
        <v>864</v>
      </c>
      <c r="CD210" s="26"/>
      <c r="CE210" s="26" t="s">
        <v>864</v>
      </c>
      <c r="CF210" s="22" t="s">
        <v>1517</v>
      </c>
      <c r="CG210" s="21">
        <v>1.52</v>
      </c>
      <c r="CH210" s="21">
        <v>63</v>
      </c>
      <c r="CI210" s="214">
        <f t="shared" si="847"/>
        <v>27.268005540166204</v>
      </c>
      <c r="CJ210" s="225" t="e">
        <f>IF(AND(CI210&lt;10,CH210="SD"),"SIN DATO PESO PREGESTACION O I TRIM",IF(AND(OR(R210&gt;0,O210&gt;0),CI210="X"),"INGRESAR DATO DE PESO",IF(CI210="SD","INGRESAR DATO DE TALLA Y PESO",IF(AND(OR(Tabla1[[#This Row],[MOMENTO EN QUE SE REALIZA EL PESO AL INGRESO A CPN]]="PREGESTACIÓN",NZ210="Menor"),CI210&lt;18.5),"BAJO PESO",IF(AND(OR(Tabla1[[#This Row],[MOMENTO EN QUE SE REALIZA EL PESO AL INGRESO A CPN]]="PREGESTACIÓN",NZ210="Menor"),CI210&lt;25),"NORMAL",IF(AND(OR(Tabla1[[#This Row],[MOMENTO EN QUE SE REALIZA EL PESO AL INGRESO A CPN]]="PREGESTACIÓN",NZ210="Menor"),CI210&lt;30),"SOBREPESO",IF(AND(OR(Tabla1[[#This Row],[MOMENTO EN QUE SE REALIZA EL PESO AL INGRESO A CPN]]="PREGESTACIÓN",NZ210="Menor"),CI210&gt;=30,CI210&lt;50),"OBESIDAD",IF(AND(BS210&gt;0,Tabla1[[#This Row],[MOMENTO EN QUE SE REALIZA EL PESO AL INGRESO A CPN]]="GESTACIÓN"),HLOOKUP(NZ210,$OA$2:PH210,NY210),""))))))))</f>
        <v>#REF!</v>
      </c>
      <c r="CK210" s="212">
        <f t="shared" si="848"/>
        <v>45113</v>
      </c>
      <c r="CL210" s="21">
        <v>63</v>
      </c>
      <c r="CM210" s="214">
        <f t="shared" si="849"/>
        <v>27.268005540166204</v>
      </c>
      <c r="CN210" s="216">
        <f t="shared" si="850"/>
        <v>24</v>
      </c>
      <c r="CO210" s="216" t="e">
        <f>IF(PI210="","",IF(PI210&gt;0,HLOOKUP(PI210,$PJ$2:QQ210,NY210),""))</f>
        <v>#REF!</v>
      </c>
      <c r="CP210" s="21">
        <v>23</v>
      </c>
      <c r="CQ210" s="216" t="e">
        <f>IF(QR210="Menor","NO APLICA-MENOR 13 SEM",IF(AND(CC210="SI",CN210&gt;23),"NO APLICA- GEMELAR",IF(QR210="","",IF(QR210&gt;0,HLOOKUP(QR210,$QS$2:RU210,NY210),""))))</f>
        <v>#REF!</v>
      </c>
      <c r="CR210" s="21"/>
      <c r="CS210" s="21"/>
      <c r="CT210" s="217" t="str">
        <f>IF(R210="","",IF(AND(BS210&gt;1,BS210&lt;12,Tabla1[[#This Row],[T.A. SISTOLICA - ANTES DE SEMANA 12]]="",Tabla1[[#This Row],[T.A. DIASTOLICA - ANTES DE SEMANA 12]]=""),"REGISTRE DATO TA ANTES SEMANA 12",IF(AND(BS210&gt;11,BS210&lt;43,Tabla1[[#This Row],[T.A. SISTOLICA - ANTES DE SEMANA 12]]="",Tabla1[[#This Row],[T.A. DIASTOLICA - ANTES DE SEMANA 12]]=""),"NO APLICA REGISTRO TA-INGRESO TARDIO",IF(AND(OR(O210&gt;0,R210&gt;0),OR(CR210&gt;=140,CS210&gt;=90)),"DEFINIR ESTADIO HTA",IF(AND(OR(O210&gt;0,R210&gt;0),AND(CR210&gt;120,CR210&lt;=139)),"PRE HTA SEGUIMIENTO",IF(AND(OR(O210&gt;0,R210&gt;0),AND(CS210&gt;80,CS210&lt;=89)),"PRE HTA SEGUIMIENTO",IF(AND(OR(O210&gt;0,R210&gt;0),AND(CR210&gt;=80,CR210&lt;=120)),"APARENTEMENTE NORMAL",IF(AND(OR(O210&gt;0,R210&gt;0),AND(CS210&gt;=50,CS210&lt;=80)),"APARENTEMENTE NORMAL",IF(AND(OR(O210&gt;0,R210&gt;0),AND(CR210&gt;1,CR210&lt;=70),AND(CS210&gt;1,CS210&lt;=40)),"HIPOTENSIÓN","")))))))))</f>
        <v>NO APLICA REGISTRO TA-INGRESO TARDIO</v>
      </c>
      <c r="CU210" s="21">
        <v>90</v>
      </c>
      <c r="CV210" s="21">
        <v>60</v>
      </c>
      <c r="CW210" s="217" t="str">
        <f ca="1">IF(R210="","",IF(AND(CN210&gt;19,CN210&lt;27,Tabla1[[#This Row],[T.A. SISTOLICA (Entre semana 20 y 26)]]="",Tabla1[[#This Row],[T.A. DIATOLICA (Entre semana 20 y 26)]]=""),"ACUDE A CONTROL SEM 20 A 26 REGISTRE TA AHORA",IF(AND(BS210&gt;1,BS210&lt;27,BU210&gt;19,Tabla1[[#This Row],[T.A. SISTOLICA (Entre semana 20 y 26)]]="",Tabla1[[#This Row],[T.A. DIATOLICA (Entre semana 20 y 26)]]=""),"COMPLETE REGISTRO TA CONTROL SEM 20 A26 ",IF(AND(BS210&gt;26,BS210&lt;43,Tabla1[[#This Row],[T.A. SISTOLICA (Entre semana 20 y 26)]]="",Tabla1[[#This Row],[T.A. DIATOLICA (Entre semana 20 y 26)]]=""),"NO APLICA REGISTRO TA-INGRESO TARDIO",IF(AND(OR(O210&gt;0,R210&gt;0),OR(CU210&gt;=140,CV210&gt;=90)),"ALTO RIESGO PREECLAMPSIA,DEFINIR ESTADIO HTA",IF(AND(OR(O210&gt;0,R210&gt;0),AND(CU210&gt;120,CU210&lt;=139)),"PRE HTA SEGUIMIENTO,RIESGO HIPERTENSION INDUCIDA POR EL EMBARAZO",IF(AND(OR(O210&gt;0,R210&gt;0),AND(CV210&gt;80,CV210&lt;=89)),"PRE HTA SEGUIMIENTO, RIESGO HIPERTENSION INDUCIDA POR EL EMBARAZO",IF(AND(OR(O210&lt;&gt;"",R210&lt;&gt;""),CS210&lt;&gt;"",CV210&lt;&gt;"",CS210&lt;=CV210),"VIGILAR CIFRAS PRESION ARTERIAL",IF(AND(OR(O210&gt;0,R210&gt;0),AND(CU210&gt;120,CU210&lt;=139)),"PRE HTA SEGUIMIENTO",IF(AND(OR(O210&gt;0,R210&gt;0),AND(CU210&gt;1,CU210&lt;=70),AND(CV210&gt;1,CV210&lt;=40)),"HIPOTENSIÓN",IF(AND(OR(O210&lt;&gt;"",R210&lt;&gt;""),CS210&lt;&gt;"",CV210&lt;&gt;"",CS210&gt;CV210),"APARENTEMENTE NORMAL",IF(AND(OR(O210&gt;0,R210&gt;0),AND(CU210&gt;=80,CU210&lt;=120)),"APARENTEMENTE NORMAL",IF(AND(OR(O210&gt;0,R210&gt;0),AND(CV210&gt;=50,CV210&lt;=80)),"APARENTEMENTE NORMAL","")))))))))))))</f>
        <v>APARENTEMENTE NORMAL</v>
      </c>
      <c r="CX210" s="21"/>
      <c r="CY210" s="21"/>
      <c r="CZ210" s="216" t="str">
        <f>IF(R210="","",IF(AND(CN210&gt;31,CN210&lt;35,CX210="",CY210=""),"ACUDE A CONTROL SEM 30 A 34- REGISTRE AHORA",IF(AND(BS210&gt;34,BS210&lt;43,CX211="",CY211=""),"NO APLICA-INGRESO TARDIO",IF(AND(OR(O210&gt;0,R210&gt;0),OR(CX210&gt;=140,CY210&gt;=90)),"ESTUDIO INMEDIATO HTA PARA DESCARTAR PREECLAMSIA",IF(AND(OR(O210&gt;0,R210&gt;0),AND(CX210&gt;=130,CX210&lt;=139)),"PRE HTA,RIESGO ALTO PREECLAMPSIA",IF(AND(OR(O210&gt;0,R210&gt;0),AND(CY210&gt;80,CY210&lt;=89)),"PRE HTA,RIESGO ALTO PREECLAMPSIA",IF(AND(OR(O210&gt;0,R210&gt;0),AND(CX210&gt;120,CX210&lt;=129)),"RANGO PREHIPERTENSIVO SEGUIMIENTO HTA",IF(AND(OR(O210&lt;&gt;"",R210&lt;&gt;""),CS210&lt;&gt;"",CY210&lt;&gt;"",CS210&lt;CY210),"VIGILAR CIFRAS PRESION ARTERIAL",IF(AND(OR(O210&lt;&gt;"",R210&lt;&gt;""),CS210&lt;&gt;"",CY210&lt;&gt;"",CS210=CY210),"APARENTEMENTE NORMAL",IF(AND(OR(O210&gt;0,R210&gt;0),CX210&gt;=80,CX210&lt;=120),"APARENTEMENTE NORMAL",IF(AND(OR(O210&gt;0,R210&gt;0),CY210&gt;=50,CY210&lt;=80),"APARENTEMENTE NORMAL","")))))))))))</f>
        <v/>
      </c>
      <c r="DA210" s="21">
        <v>90</v>
      </c>
      <c r="DB210" s="21">
        <v>60</v>
      </c>
      <c r="DC210" s="217" t="str">
        <f t="shared" si="851"/>
        <v>APARENTEMENTE NORMAL</v>
      </c>
      <c r="DD210" s="22">
        <v>45113</v>
      </c>
      <c r="DE210" s="22">
        <v>45113</v>
      </c>
      <c r="DF210" s="22"/>
      <c r="DG210" s="22"/>
      <c r="DH210" s="22"/>
      <c r="DI210" s="22"/>
      <c r="DJ210" s="22"/>
      <c r="DK210" s="22"/>
      <c r="DL210" s="22"/>
      <c r="DM210" s="22"/>
      <c r="DN210" s="22"/>
      <c r="DO210" s="22"/>
      <c r="DP210" s="22"/>
      <c r="DQ210" s="22"/>
      <c r="DR210" s="28"/>
      <c r="DS210" s="22"/>
      <c r="DT210" s="22"/>
      <c r="DU210" s="216" t="str">
        <f t="shared" ca="1" si="920"/>
        <v>CONCERTAR PLAN DE PARTO INMEDIATO</v>
      </c>
      <c r="DV210" s="226" t="str">
        <f t="shared" si="921"/>
        <v>ACTIVA INGRESO A CPN</v>
      </c>
      <c r="DW210"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10" s="216" t="e">
        <f t="shared" ca="1" si="852"/>
        <v>#REF!</v>
      </c>
      <c r="DY210" s="212">
        <f>IF(R210="","",IF(R210&gt;0,MAX(Tabla1[[#This Row],[FECHA C2]:[FECHA C13]],Tabla1[[#This Row],[FECHA CONSULTA PRIMERA VEZ PROGRAMA CPN ]])))</f>
        <v>45113</v>
      </c>
      <c r="DZ210" s="216">
        <f t="shared" si="853"/>
        <v>24</v>
      </c>
      <c r="EA210" s="222">
        <f>IF(R210&gt;0,SUM(COUNTA(DF210:DQ210)+COUNTA(Tabla1[[#This Row],[FECHA CONSULTA PRIMERA VEZ PROGRAMA CPN ]])),"")</f>
        <v>1</v>
      </c>
      <c r="EB210" s="222" t="str">
        <f t="shared" si="854"/>
        <v>NO</v>
      </c>
      <c r="EC210" s="214">
        <f t="shared" si="855"/>
        <v>5</v>
      </c>
      <c r="ED210" s="227">
        <f t="shared" si="856"/>
        <v>0.2</v>
      </c>
      <c r="EE210" s="22">
        <v>45113</v>
      </c>
      <c r="EF210" s="22">
        <v>45113</v>
      </c>
      <c r="EG210" s="22">
        <v>45113</v>
      </c>
      <c r="EH210" s="22"/>
      <c r="EI210" s="22">
        <v>45113</v>
      </c>
      <c r="EJ210" s="22"/>
      <c r="EK210" s="22"/>
      <c r="EL210" s="21"/>
      <c r="EM210" s="21">
        <v>12.5</v>
      </c>
      <c r="EN210" s="22">
        <v>45115</v>
      </c>
      <c r="EO210" s="222">
        <f t="shared" si="857"/>
        <v>24.642857142857142</v>
      </c>
      <c r="EP210" s="214" t="str">
        <f t="shared" si="858"/>
        <v>NORMAL- SUMINISTRAR SULFATO FERROSO</v>
      </c>
      <c r="EQ210" s="216" t="str">
        <f t="shared" si="859"/>
        <v>II TRIM</v>
      </c>
      <c r="ER210" s="24"/>
      <c r="ES210" s="22"/>
      <c r="ET210" s="29" t="str">
        <f t="shared" ca="1" si="922"/>
        <v>TOMA DE HEMOGLOBINA TARDÍA</v>
      </c>
      <c r="EU210" s="25" t="str">
        <f t="shared" si="860"/>
        <v/>
      </c>
      <c r="EV210" s="24" t="s">
        <v>1510</v>
      </c>
      <c r="EW210" s="22">
        <v>45115</v>
      </c>
      <c r="EX210" s="22"/>
      <c r="EY210" s="29">
        <f t="shared" si="693"/>
        <v>24.642857142857142</v>
      </c>
      <c r="EZ210" s="25" t="str">
        <f t="shared" si="694"/>
        <v>SIN RIESGO DE ISOINMUNIZACIÓN</v>
      </c>
      <c r="FA210" s="21">
        <v>69</v>
      </c>
      <c r="FB210" s="22">
        <v>45115</v>
      </c>
      <c r="FC210" s="29" t="str">
        <f t="shared" si="861"/>
        <v>NO APLICA &gt; 23 SEM -TOMAR PTOG</v>
      </c>
      <c r="FD210" s="29"/>
      <c r="FE210" s="29"/>
      <c r="FF210" s="29"/>
      <c r="FG210" s="21" t="str">
        <f t="shared" ca="1" si="862"/>
        <v>TOMAR PTOG</v>
      </c>
      <c r="FH210" s="31"/>
      <c r="FI210" s="29" t="str">
        <f t="shared" si="863"/>
        <v>TOMAR EXAMEN</v>
      </c>
      <c r="FJ210" s="22"/>
      <c r="FK210" s="22"/>
      <c r="FL210" s="29" t="str">
        <f t="shared" ca="1" si="864"/>
        <v>NO APLICA-INGRESO TARDIO</v>
      </c>
      <c r="FM210" s="22" t="s">
        <v>867</v>
      </c>
      <c r="FN210" s="22">
        <v>45115</v>
      </c>
      <c r="FO210" s="29">
        <f t="shared" ca="1" si="923"/>
        <v>24.642857142857142</v>
      </c>
      <c r="FP210" s="22"/>
      <c r="FQ210" s="32"/>
      <c r="FR210" s="29" t="str">
        <f t="shared" ca="1" si="924"/>
        <v>TOMA INMEDIATA DE TAMIZAJE</v>
      </c>
      <c r="FS210" s="22"/>
      <c r="FT210" s="32"/>
      <c r="FU210" s="29" t="str">
        <f>IF(AND(FJ210="",FM210="",FP210="",FS210=""),"",IF(OR(OR(Tabla1[[#This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10" s="28"/>
      <c r="FW210" s="22"/>
      <c r="FX210" s="29" t="str">
        <f t="shared" si="865"/>
        <v>TOMAR EXAMEN</v>
      </c>
      <c r="FY210" s="22"/>
      <c r="FZ210" s="290"/>
      <c r="GA210" s="29" t="str">
        <f t="shared" ca="1" si="739"/>
        <v>NO APLICA-INGRESO TARDIO</v>
      </c>
      <c r="GB210" s="22" t="s">
        <v>868</v>
      </c>
      <c r="GC210" s="22">
        <v>45115</v>
      </c>
      <c r="GD210" s="29" t="e">
        <f>IF(AND(BT210="ERROR FUM O INGRESO",#REF!&gt;0),"ERROR FUM O INGRESO",IF(AND(#REF!="",R210="",O210=""),"",IF(AND(#REF!&lt;&gt;"",#REF!&lt;RW210), "INCOHERENCIA FUM Y FECHA TAMIZAJE",IF(AND(#REF!="",DV210="ACTIVA INGRESO A CPN",AND(BU210&gt;0,BU210&lt;13)),"EN ESPERA-ESTÁ I TRIM", IF(AND(#REF!="",AND(BS210&gt;0, BS210&lt;12),OR(O210&gt;0,R210&gt;0),AND(IP210&gt;0,IP210&lt;13)),"NO APLICA-SALIO DEL PROGRAMA I TRIM",IF(AND(#REF!&lt;&gt;"",AND(SUM((#REF!-RW210)/7)&gt;0,SUM((#REF!-RW210)/7)&lt;13)),"REGISTRAR EN I TRIMESTRE",IF(AND(#REF!&lt;&gt;"",AND(SUM((#REF!-RW210)/7)&gt;=27,SUM((#REF!-RW210)/7)&lt;44)),"REGISTRAR EN III TRIMESTRE",IF(AND(#REF!="",OR(O210&gt;0,R210&gt;0),AND(BU210&gt;=12,BU210&lt;25),DV210="ACTIVA INGRESO A CPN"),"EN RANGO PARA TOMAR EXAMEN",IF(AND(#REF!="",OR(O210&gt;0,R210&gt;0),AND(BU210&gt;=25,BU210&lt;27),DV210="ACTIVA INGRESO A CPN"),"TOMA INMEDIATA DE TAMIZAJE",IF(AND(#REF!="",OR(O210&gt;0,R210&gt;0),AND(BS210&gt;=27,BS210&lt;43)),"NO APLICA-INGRESO TARDIO",IF(AND(#REF!="",BS210&lt;27),"PIERDE TOMA DE TAMIZAJE",IF(#REF!&gt;0,SUM(#REF!-RW210)/7,""))))))))))))</f>
        <v>#REF!</v>
      </c>
      <c r="GE210" s="22"/>
      <c r="GF210" s="22"/>
      <c r="GG210" s="29" t="str">
        <f t="shared" ca="1" si="926"/>
        <v>TOMA INMEDIATA DE TAMIZAJE</v>
      </c>
      <c r="GH210" s="22"/>
      <c r="GI210" s="29"/>
      <c r="GJ210" s="22"/>
      <c r="GK210" s="22"/>
      <c r="GL210" s="22"/>
      <c r="GM210" s="22"/>
      <c r="GN210" s="28" t="s">
        <v>869</v>
      </c>
      <c r="GO210" s="22">
        <v>45115</v>
      </c>
      <c r="GP210" s="29">
        <f t="shared" si="866"/>
        <v>24.642857142857142</v>
      </c>
      <c r="GQ210" s="28" t="s">
        <v>880</v>
      </c>
      <c r="GR210" s="28" t="s">
        <v>869</v>
      </c>
      <c r="GS210" s="22" t="str">
        <f t="shared" si="728"/>
        <v>SE EXCLUYE INFECCION</v>
      </c>
      <c r="GT210" s="22">
        <v>45115</v>
      </c>
      <c r="GU210" s="29">
        <f t="shared" si="867"/>
        <v>25.857142857142858</v>
      </c>
      <c r="GV210" s="21" t="str">
        <f t="shared" si="868"/>
        <v>II TRIM</v>
      </c>
      <c r="GW210" s="28"/>
      <c r="GX210" s="30"/>
      <c r="GY210" s="21"/>
      <c r="GZ210" s="21"/>
      <c r="HA210" s="21"/>
      <c r="HB210" s="21"/>
      <c r="HC210" s="21"/>
      <c r="HD210" s="21"/>
      <c r="HE210" s="21"/>
      <c r="HF210" s="22"/>
      <c r="HG210" s="22" t="str">
        <f>IF(OR(O210&gt;0,R210&gt;0),CONCATENATE(IF(Tabla1[[#This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10" s="22" t="e">
        <f t="shared" si="869"/>
        <v>#REF!</v>
      </c>
      <c r="HI210" s="22" t="e">
        <f t="shared" ca="1" si="870"/>
        <v>#REF!</v>
      </c>
      <c r="HJ210" s="21" t="str">
        <f t="shared" ca="1" si="871"/>
        <v>***************************EMBARAZO PROLONGADO************</v>
      </c>
      <c r="HK210" s="21" t="str">
        <f t="shared" si="872"/>
        <v>SIN ANTECEDENTES DE RIESGO</v>
      </c>
      <c r="HL210" s="24" t="str">
        <f t="shared" si="873"/>
        <v>APARENTEMENTE NORMAL</v>
      </c>
      <c r="HM210" s="21" t="e">
        <f t="shared" ca="1" si="874"/>
        <v>#REF!</v>
      </c>
      <c r="HN210" s="30" t="str">
        <f t="shared" si="927"/>
        <v>ACTIVA INGRESO A CPN</v>
      </c>
      <c r="HO210" s="21"/>
      <c r="HP210" s="21"/>
      <c r="HQ210" s="349"/>
      <c r="HR210" s="21" t="str">
        <f>IF(R210="","",IF(Tabla1[[#This Row],[ALARMA FACTORES DE RIESGO COMPLICACIONES HIPERTENSIVAS3]]="SIN ANTECEDENTES DE RIESGO","No Aplica para suministro de ASA",IF(AND(Tabla1[[#This Row],[FECHA INICIO DE SUMINISTRO DE ASA]]&gt;0,RV210&lt;12),"Inicia ASA ANTES de Sem 12",IF(AND(RV210&gt;11,RV210&lt;17,OR(HK210="RIESGO ALTO DE COMPLICACIONES HIPERTENSIVAS VER MANEJO GUIA SUMINISTRO ASA Y CALCIO",HK210="RIESGO MODERADO (2 O MAS CRITERIOS) VER MANEJO GUIA SUMINISTRO ASA Y CALCIO")),"Inicio oportuno de ASA",IF(AND(RV210&gt;12,OR(HK210="RIESGO ALTO DE COMPLICACIONES HIPERTENSIVAS VER MANEJO GUIA SUMINISTRO ASA Y CALCIO",HK210="RIESGO MODERADO (2 O MAS CRITERIOS) VER MANEJO GUIA SUMINISTRO ASA Y CALCIO")),"Inicio no oportuno mayor a 16 semanas",IF(AND(BU210&lt;12,OR(HK210="RIESGO ALTO DE COMPLICACIONES HIPERTENSIVAS VER MANEJO GUIA SUMINISTRO ASA Y CALCIO",HK210="RIESGO MODERADO (2 O MAS CRITERIOS) VER MANEJO GUIA SUMINISTRO ASA Y CALCIO")),"Pendiente Inicio de ASA a la semana 12",IF(AND(BU210&gt;11,BU210&lt;17,OR(HK210="RIESGO ALTO DE COMPLICACIONES HIPERTENSIVAS VER MANEJO GUIA SUMINISTRO ASA Y CALCIO",HK210="RIESGO MODERADO (2 O MAS CRITERIOS) VER MANEJO GUIA SUMINISTRO ASA Y CALCIO")),"Iniciar de inmediato ASA",IF(AND(BU210&gt;16,OR(HK210="RIESGO ALTO DE COMPLICACIONES HIPERTENSIVAS VER MANEJO GUIA SUMINISTRO ASA Y CALCIO",HK210="RIESGO MODERADO (2 O MAS CRITERIOS) VER MANEJO GUIA SUMINISTRO ASA Y CALCIO")),"Pierde Oportunidad, Inicio tardío de ASA","XXXXX"))))))))</f>
        <v>No Aplica para suministro de ASA</v>
      </c>
      <c r="HS210" s="22">
        <v>45115</v>
      </c>
      <c r="HT210" s="22" t="s">
        <v>1505</v>
      </c>
      <c r="HU210" s="22">
        <v>45115</v>
      </c>
      <c r="HV210" s="22" t="s">
        <v>1544</v>
      </c>
      <c r="HW210" s="22"/>
      <c r="HX210" s="22"/>
      <c r="HY210" s="22">
        <v>45113</v>
      </c>
      <c r="HZ210" s="28">
        <f t="shared" si="875"/>
        <v>24.357142857142858</v>
      </c>
      <c r="IA210" s="26"/>
      <c r="IB210" s="26"/>
      <c r="IC210" s="22">
        <v>45121</v>
      </c>
      <c r="ID210" s="22">
        <v>45121</v>
      </c>
      <c r="IE210" s="22" t="str">
        <f t="shared" ca="1" si="876"/>
        <v>VACUNA APLICADA ENTRE SEMANA 20 Y SEMANA 26</v>
      </c>
      <c r="IF210" s="22"/>
      <c r="IG210" s="22">
        <f t="shared" si="877"/>
        <v>45222.5</v>
      </c>
      <c r="IH210" s="29">
        <f t="shared" ca="1" si="878"/>
        <v>-9.5</v>
      </c>
      <c r="II210" s="22" t="str">
        <f t="shared" ca="1" si="879"/>
        <v>POSIBLEMENTE NACIO</v>
      </c>
      <c r="IJ210" s="22"/>
      <c r="IK210" s="21"/>
      <c r="IL210" s="21"/>
      <c r="IM210" s="34"/>
      <c r="IN210" s="22"/>
      <c r="IO210" s="21"/>
      <c r="IP210" s="29" t="str">
        <f t="shared" si="880"/>
        <v/>
      </c>
      <c r="IQ210" s="35"/>
      <c r="IR210" s="21"/>
      <c r="IS210" s="21"/>
      <c r="IT210" s="21"/>
      <c r="IU210" s="21"/>
      <c r="IV210" s="21"/>
      <c r="IW210" s="21"/>
      <c r="IX210" s="21"/>
      <c r="IY210" s="21"/>
      <c r="IZ210" s="21"/>
      <c r="JA210" s="21"/>
      <c r="JB210" s="30"/>
      <c r="JC210" s="21"/>
      <c r="JD210" s="36"/>
      <c r="JE210" s="21" t="str">
        <f t="shared" si="881"/>
        <v/>
      </c>
      <c r="JF210" s="30"/>
      <c r="JG210" s="21"/>
      <c r="JH210" s="21"/>
      <c r="JI210" s="21"/>
      <c r="JJ210" s="30"/>
      <c r="JK210" s="22"/>
      <c r="JL210" s="22"/>
      <c r="JM210" s="21"/>
      <c r="JN210" s="36"/>
      <c r="JO210" s="21" t="str">
        <f t="shared" si="882"/>
        <v/>
      </c>
      <c r="JP210" s="22"/>
      <c r="JQ210" s="21"/>
      <c r="JR210" s="21"/>
      <c r="JS210" s="21"/>
      <c r="JT210" s="30"/>
      <c r="JU210" s="22"/>
      <c r="JV210" s="22"/>
      <c r="JW210" s="33"/>
      <c r="JX210" s="28" t="str">
        <f t="shared" si="883"/>
        <v/>
      </c>
      <c r="JY210" s="33"/>
      <c r="JZ210" s="28" t="str">
        <f t="shared" si="884"/>
        <v/>
      </c>
      <c r="KA210" s="21"/>
      <c r="KB210" s="21"/>
      <c r="KC210" s="21"/>
      <c r="KD210" s="37"/>
      <c r="KE210" s="28"/>
      <c r="KF210" s="28"/>
      <c r="KG210" s="28"/>
      <c r="KH210" s="39"/>
      <c r="KI210" s="39"/>
      <c r="KJ210" s="66"/>
      <c r="KK210" s="39"/>
      <c r="KL210" s="39"/>
      <c r="KM210" s="66"/>
      <c r="KN210" s="39"/>
      <c r="KO210" s="39"/>
      <c r="KP210" s="39"/>
      <c r="KQ210" s="39"/>
      <c r="KR210" s="39"/>
      <c r="KS210" s="39"/>
      <c r="KT210" s="39"/>
      <c r="KU210" s="38"/>
      <c r="KV210" s="38"/>
      <c r="KW210" s="38"/>
      <c r="KX210" s="38"/>
      <c r="KY210" s="38"/>
      <c r="KZ210" s="38"/>
      <c r="LA210" s="38"/>
      <c r="LB210" s="38"/>
      <c r="LC210" s="38"/>
      <c r="LD210" s="38"/>
      <c r="LE210" s="38"/>
      <c r="LF210" s="38"/>
      <c r="LG210" s="38"/>
      <c r="LH210" s="38"/>
      <c r="LI210" s="38"/>
      <c r="LJ210" s="38"/>
      <c r="LK210" s="38"/>
      <c r="LL210" s="38"/>
      <c r="LM210" s="38"/>
      <c r="LN210" s="38"/>
      <c r="LO210" s="38"/>
      <c r="LP210" s="38"/>
      <c r="LQ210" s="38"/>
      <c r="LR210" s="38"/>
      <c r="LS210" s="38"/>
      <c r="LT210" s="38"/>
      <c r="LU210" s="38"/>
      <c r="LV210" s="38"/>
      <c r="LW210" s="38"/>
      <c r="LX210" s="38"/>
      <c r="LY210" s="38"/>
      <c r="LZ210" s="38"/>
      <c r="MA210" s="38"/>
      <c r="MB210" s="38"/>
      <c r="MC210" s="38"/>
      <c r="MD210" s="38"/>
      <c r="ME210" s="38"/>
      <c r="MF210" s="38"/>
      <c r="MG210" s="38"/>
      <c r="MH210" s="43">
        <f t="shared" si="885"/>
        <v>0</v>
      </c>
      <c r="MI210" s="43" t="str">
        <f t="shared" si="929"/>
        <v/>
      </c>
      <c r="MJ210" s="43" t="str">
        <f t="shared" si="887"/>
        <v/>
      </c>
      <c r="MK210" s="43">
        <f t="shared" si="888"/>
        <v>0</v>
      </c>
      <c r="ML21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10" s="43">
        <f t="shared" si="930"/>
        <v>24.357142857142858</v>
      </c>
      <c r="MN210" s="43">
        <f t="shared" si="931"/>
        <v>7</v>
      </c>
      <c r="MO210" s="43">
        <f t="shared" si="932"/>
        <v>2023</v>
      </c>
      <c r="MP210" s="43" t="str">
        <f t="shared" si="892"/>
        <v>III TRIMESTRE AÑO</v>
      </c>
      <c r="MQ210" s="43">
        <f t="shared" si="933"/>
        <v>23.60381077529566</v>
      </c>
      <c r="MR210" s="43">
        <f t="shared" si="894"/>
        <v>0</v>
      </c>
      <c r="MS210" s="43" t="str">
        <f t="shared" si="895"/>
        <v xml:space="preserve"> DE 20 A 24 AÑOS</v>
      </c>
      <c r="MT210" s="43">
        <f t="shared" si="896"/>
        <v>0</v>
      </c>
      <c r="MU210" s="43">
        <f t="shared" si="897"/>
        <v>0</v>
      </c>
      <c r="MV210" s="43">
        <f t="shared" si="898"/>
        <v>0</v>
      </c>
      <c r="MW210" s="43">
        <f t="shared" si="899"/>
        <v>0</v>
      </c>
      <c r="MX210" s="43" t="str">
        <f t="shared" si="900"/>
        <v/>
      </c>
      <c r="MY210" s="43">
        <f t="shared" ca="1" si="901"/>
        <v>1</v>
      </c>
      <c r="MZ210" s="43" t="str">
        <f t="shared" si="902"/>
        <v/>
      </c>
      <c r="NA210" s="43" t="str">
        <f t="shared" si="903"/>
        <v/>
      </c>
      <c r="NB210" s="43" t="str">
        <f t="shared" si="904"/>
        <v/>
      </c>
      <c r="NC210" s="43" t="str">
        <f t="shared" si="905"/>
        <v/>
      </c>
      <c r="ND210" s="43">
        <f t="shared" ca="1" si="934"/>
        <v>1.5</v>
      </c>
      <c r="NE210" s="43">
        <f>IF(OR(O210&gt;0,R210&gt;0),SUM(COUNTIF(Tabla1[[#This Row],[AÑOS AL INICIO5 CPN]],"&gt;=40"),COUNTIF(AS210,"0"),COUNTIF(AR210,"SI"),COUNTIF(CC210,"SI"),COUNTIF(BQ210,"&gt;119"),COUNTIF(CI210,"&gt;=35")),"")</f>
        <v>0</v>
      </c>
      <c r="NF210" s="43">
        <f t="shared" si="935"/>
        <v>25.5</v>
      </c>
      <c r="NG210" s="43">
        <f t="shared" si="908"/>
        <v>0.5</v>
      </c>
      <c r="NH210" s="43">
        <f t="shared" si="909"/>
        <v>178.5</v>
      </c>
      <c r="NI210"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CPN",P210="NO"),"Z",IF(AND(Tabla1[[#This Row],[CITA PROXIMO CONTROL]]="CITA MANUAL",Tabla1[[#This Row],[GESTANTES ACTUALES]]="ACTIVA INGRESO A CPN"),"W",IF(AND(Tabla1[[#This Row],[GESTANTES ACTUALES]]="SALIO PROGRAMA",IN210=""),"S",IF(AND(Tabla1[[#This Row],[CITA PROXIMO CONTROL]]&gt;0,IN210=""),(Tabla1[[#This Row],[CITA PROXIMO CONTROL]]-TODAY()),"SD"))))))))</f>
        <v>#REF!</v>
      </c>
      <c r="NJ210" s="43">
        <f>MONTH(Tabla1[[#This Row],[FECHA DE SALIDA  DEL PROGRAMA]])</f>
        <v>1</v>
      </c>
      <c r="NK210" s="43">
        <f>YEAR(Tabla1[[#This Row],[FECHA DE SALIDA  DEL PROGRAMA]])</f>
        <v>1900</v>
      </c>
      <c r="NL210" s="43" t="str">
        <f t="shared" si="936"/>
        <v>X</v>
      </c>
      <c r="NM210" s="43" t="str">
        <f>IF(AND(O210&gt;0,R210=""),"NO CPN",IF(AND(O210="",R210=""),"",IF(AND(EN210&lt;&gt;"",EX210&lt;&gt;"",FB210&lt;&gt;"",FK210&lt;&gt;"",FW210&lt;&gt;"",GC210&lt;&gt;"",GO210&lt;&gt;"",GQ210&lt;&gt;"",GR210&lt;&gt;""),"SI","NO")))</f>
        <v>NO</v>
      </c>
      <c r="NN210" s="43" t="str">
        <f ca="1">IF(AND(O210&gt;0,R210=""),"NO CPN",IF(AND(O210="",R210=""),"",IF(AND(R210&gt;0,Tabla1[[#This Row],[SEMANAS DE GESTACION ACTUALIZADAS]]&lt;=12),"NO APLICA",IF(AND(FH210&lt;&gt;"",FN210&lt;&gt;""),"SI","NO"))))</f>
        <v>NO</v>
      </c>
      <c r="NO210" s="43" t="str">
        <f ca="1">IF(AND(O210&gt;0,R210=""),"NO CPN",IF(AND(O210="",R210=""),"",IF(AND(R210&gt;0,Tabla1[[#This Row],[SEMANAS DE GESTACION ACTUALIZADAS]]&lt;=27),"NO APLICA",IF(AND(ES210&lt;&gt;"",FQ210&lt;&gt;"",GF210&lt;&gt;""),"SI","NO"))))</f>
        <v>NO</v>
      </c>
      <c r="NP210" s="204" t="str">
        <f t="shared" si="912"/>
        <v>II TRIM</v>
      </c>
      <c r="NQ210" s="21" t="str">
        <f>IF(AND(IP211&gt;0,IP211&lt;37),10,IF(OR(CD211="Transversa",CD211="Oblicua"),9,IF(CC211="SI",8,IF(AND(AT211=0,AW211=0,CC211="NO",CD211="Cefálica",IP211&gt;=37,IT211="INICIO ESPONTÁNEO"),1,IF(AND(AND(AT211=0,AW211=0,CC211="NO",CD211="Cefálica",IP211&gt;=37),OR(IT211="LE HACEN INDUCCIÓN",IT211="LE HACEN CESÁREA SIN INICIO TRABAJO DE PARTO")),2,IF(AND(AT211&gt;=1,AW211=0,CC211="NO",CD211="Cefálica",IP211&gt;=37,IT211="INICIO ESPONTÁNEO"),3,IF(AND(AND(AT211&gt;=1,AW211=0,CC211="NO",CD211="Cefálica",IP211&gt;=37),OR(IT211="LE HACEN INDUCCIÓN",IT211="LE HACEN CESÁREA SIN INICIO TRABAJO DE PARTO")),4,IF(AND(AND(AT211&gt;=1,AW211&gt;=1,CC211="NO",CD211="Cefálica",IP211&gt;=37),OR(IT211="LE HACEN INDUCCIÓN",IT211="LE HACEN CESÁREA SIN INICIO TRABAJO DE PARTO",IT211="INICIO ESPONTÁNEO")),5,IF(AND(AND(AT211=0,AW211=0,CC211="NO",CD211="Podálica",IP211&gt;=1),OR(IT211="LE HACEN INDUCCIÓN",IT211="LE HACEN CESÁREA SIN INICIO TRABAJO DE PARTO",IT211="INICIO ESPONTÁNEO")),6,IF(AND(AND(AT211&gt;=1,CC211="NO",CD211="Podálica",IP211&gt;=1),OR(IT211="LE HACEN INDUCCIÓN",IT211="LE HACEN CESÁREA SIN INICIO TRABAJO DE PARTO",IT211="INICIO ESPONTÁNEO"),OR(AW211=0,AW211&gt;=1)),7,""))))))))))</f>
        <v/>
      </c>
      <c r="NR210" s="21">
        <f t="shared" ca="1" si="937"/>
        <v>2</v>
      </c>
      <c r="NS210" s="205">
        <f t="shared" ca="1" si="914"/>
        <v>1</v>
      </c>
      <c r="NT210" s="21">
        <f t="shared" ca="1" si="915"/>
        <v>0</v>
      </c>
      <c r="NU210" s="21" t="str">
        <f t="shared" ca="1" si="916"/>
        <v>INCOMPLETO</v>
      </c>
      <c r="NV210" s="21" t="str">
        <f t="shared" ca="1" si="917"/>
        <v>INCOMPLETO</v>
      </c>
      <c r="NW210" s="206" t="str">
        <f>IF(AND(O210="",R210=""),"",IF(OR(AND(Tabla1[[#This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10" s="207" t="str">
        <f t="shared" ca="1" si="938"/>
        <v>VACUNADA</v>
      </c>
      <c r="NY210" s="43">
        <f>ROW(Tabla1[[#This Row],['# DE TAMIZAJES SIFILIS TOMADOS ]])</f>
        <v>210</v>
      </c>
      <c r="NZ210" s="43">
        <f t="shared" si="740"/>
        <v>24</v>
      </c>
      <c r="OA210" s="43" t="str">
        <f t="shared" si="741"/>
        <v/>
      </c>
      <c r="OB210" s="43" t="str">
        <f t="shared" si="742"/>
        <v/>
      </c>
      <c r="OC210" s="43" t="str">
        <f t="shared" si="743"/>
        <v/>
      </c>
      <c r="OD210" s="43" t="str">
        <f t="shared" si="744"/>
        <v/>
      </c>
      <c r="OE210" s="43" t="str">
        <f t="shared" si="745"/>
        <v/>
      </c>
      <c r="OF210" s="43" t="str">
        <f t="shared" si="746"/>
        <v/>
      </c>
      <c r="OG210" s="43" t="str">
        <f t="shared" si="747"/>
        <v/>
      </c>
      <c r="OH210" s="43" t="str">
        <f t="shared" si="748"/>
        <v/>
      </c>
      <c r="OI210" s="43" t="str">
        <f t="shared" si="749"/>
        <v/>
      </c>
      <c r="OJ210" s="43" t="str">
        <f t="shared" si="750"/>
        <v/>
      </c>
      <c r="OK210" s="43" t="str">
        <f t="shared" si="751"/>
        <v/>
      </c>
      <c r="OL210" s="43" t="str">
        <f t="shared" si="752"/>
        <v/>
      </c>
      <c r="OM210" s="43" t="str">
        <f t="shared" si="753"/>
        <v/>
      </c>
      <c r="ON210" s="43" t="str">
        <f t="shared" si="754"/>
        <v/>
      </c>
      <c r="OO210" s="43" t="str">
        <f t="shared" si="755"/>
        <v/>
      </c>
      <c r="OP210" s="43" t="str">
        <f t="shared" si="756"/>
        <v>SOBREPESO</v>
      </c>
      <c r="OQ210" s="43" t="str">
        <f t="shared" si="757"/>
        <v/>
      </c>
      <c r="OR210" s="43" t="str">
        <f t="shared" si="758"/>
        <v/>
      </c>
      <c r="OS210" s="43" t="str">
        <f t="shared" si="759"/>
        <v/>
      </c>
      <c r="OT210" s="43" t="str">
        <f t="shared" si="760"/>
        <v/>
      </c>
      <c r="OU210" s="43" t="str">
        <f t="shared" si="761"/>
        <v/>
      </c>
      <c r="OV210" s="110" t="str">
        <f t="shared" si="762"/>
        <v/>
      </c>
      <c r="OW210" s="43" t="str">
        <f t="shared" si="763"/>
        <v/>
      </c>
      <c r="OX210" s="43" t="str">
        <f t="shared" si="764"/>
        <v/>
      </c>
      <c r="OY210" s="43" t="str">
        <f t="shared" si="765"/>
        <v/>
      </c>
      <c r="OZ210" s="43" t="str">
        <f t="shared" si="766"/>
        <v/>
      </c>
      <c r="PA210" s="43" t="str">
        <f t="shared" si="767"/>
        <v/>
      </c>
      <c r="PB210" s="43" t="str">
        <f t="shared" si="768"/>
        <v/>
      </c>
      <c r="PC210" s="43" t="str">
        <f t="shared" si="769"/>
        <v/>
      </c>
      <c r="PD210" s="43" t="str">
        <f t="shared" si="770"/>
        <v/>
      </c>
      <c r="PE210" s="43" t="str">
        <f t="shared" si="771"/>
        <v/>
      </c>
      <c r="PF210" s="43" t="str">
        <f t="shared" si="772"/>
        <v/>
      </c>
      <c r="PG210" s="43" t="str">
        <f t="shared" si="773"/>
        <v/>
      </c>
      <c r="PH210" s="43" t="str">
        <f t="shared" si="774"/>
        <v/>
      </c>
      <c r="PI210" s="43">
        <f t="shared" si="775"/>
        <v>24</v>
      </c>
      <c r="PJ210" s="43" t="str">
        <f t="shared" si="776"/>
        <v/>
      </c>
      <c r="PK210" s="43" t="str">
        <f t="shared" si="777"/>
        <v/>
      </c>
      <c r="PL210" s="43" t="str">
        <f t="shared" si="778"/>
        <v/>
      </c>
      <c r="PM210" s="43" t="str">
        <f t="shared" si="779"/>
        <v/>
      </c>
      <c r="PN210" s="43" t="str">
        <f t="shared" si="780"/>
        <v/>
      </c>
      <c r="PO210" s="43" t="str">
        <f t="shared" si="781"/>
        <v/>
      </c>
      <c r="PP210" s="43" t="str">
        <f t="shared" si="782"/>
        <v/>
      </c>
      <c r="PQ210" s="43" t="str">
        <f t="shared" si="783"/>
        <v/>
      </c>
      <c r="PR210" s="43" t="str">
        <f t="shared" si="784"/>
        <v/>
      </c>
      <c r="PS210" s="43" t="str">
        <f t="shared" si="785"/>
        <v/>
      </c>
      <c r="PT210" s="43" t="str">
        <f t="shared" si="786"/>
        <v/>
      </c>
      <c r="PU210" s="43" t="str">
        <f t="shared" si="787"/>
        <v/>
      </c>
      <c r="PV210" s="43" t="str">
        <f t="shared" si="788"/>
        <v/>
      </c>
      <c r="PW210" s="43" t="str">
        <f t="shared" si="789"/>
        <v/>
      </c>
      <c r="PX210" s="43" t="str">
        <f t="shared" si="790"/>
        <v/>
      </c>
      <c r="PY210" s="43" t="str">
        <f t="shared" si="791"/>
        <v>SOBREPESO</v>
      </c>
      <c r="PZ210" s="43" t="str">
        <f t="shared" si="792"/>
        <v/>
      </c>
      <c r="QA210" s="43" t="str">
        <f t="shared" si="793"/>
        <v/>
      </c>
      <c r="QB210" s="43" t="str">
        <f t="shared" si="794"/>
        <v/>
      </c>
      <c r="QC210" s="43" t="str">
        <f t="shared" si="795"/>
        <v/>
      </c>
      <c r="QD210" s="43" t="str">
        <f t="shared" si="796"/>
        <v/>
      </c>
      <c r="QE210" s="43" t="str">
        <f t="shared" si="797"/>
        <v/>
      </c>
      <c r="QF210" s="43" t="str">
        <f t="shared" si="798"/>
        <v/>
      </c>
      <c r="QG210" s="43" t="str">
        <f t="shared" si="799"/>
        <v/>
      </c>
      <c r="QH210" s="43" t="str">
        <f t="shared" si="800"/>
        <v/>
      </c>
      <c r="QI210" s="43" t="str">
        <f t="shared" si="801"/>
        <v/>
      </c>
      <c r="QJ210" s="43" t="str">
        <f t="shared" si="802"/>
        <v/>
      </c>
      <c r="QK210" s="43" t="str">
        <f t="shared" si="803"/>
        <v/>
      </c>
      <c r="QL210" s="43" t="str">
        <f t="shared" si="804"/>
        <v/>
      </c>
      <c r="QM210" s="43" t="str">
        <f t="shared" si="805"/>
        <v/>
      </c>
      <c r="QN210" s="43" t="str">
        <f t="shared" si="806"/>
        <v/>
      </c>
      <c r="QO210" s="43" t="str">
        <f t="shared" si="807"/>
        <v/>
      </c>
      <c r="QP210" s="43" t="str">
        <f t="shared" si="808"/>
        <v/>
      </c>
      <c r="QQ210" s="43" t="str">
        <f t="shared" si="809"/>
        <v/>
      </c>
      <c r="QR210" s="43">
        <f t="shared" si="839"/>
        <v>24</v>
      </c>
      <c r="QS210" s="43"/>
      <c r="QT210" s="21" t="str">
        <f t="shared" si="810"/>
        <v/>
      </c>
      <c r="QU210" s="21" t="str">
        <f t="shared" si="811"/>
        <v/>
      </c>
      <c r="QV210" s="21" t="str">
        <f t="shared" si="812"/>
        <v/>
      </c>
      <c r="QW210" s="21" t="str">
        <f t="shared" si="813"/>
        <v/>
      </c>
      <c r="QX210" s="21" t="str">
        <f t="shared" si="814"/>
        <v/>
      </c>
      <c r="QY210" s="21" t="str">
        <f t="shared" si="815"/>
        <v/>
      </c>
      <c r="QZ210" s="21" t="str">
        <f t="shared" si="816"/>
        <v/>
      </c>
      <c r="RA210" s="21" t="str">
        <f t="shared" si="817"/>
        <v/>
      </c>
      <c r="RB210" s="21" t="str">
        <f t="shared" si="818"/>
        <v/>
      </c>
      <c r="RC210" s="21" t="str">
        <f t="shared" si="819"/>
        <v/>
      </c>
      <c r="RD210" s="21" t="str">
        <f t="shared" si="820"/>
        <v/>
      </c>
      <c r="RE210" s="21" t="str">
        <f t="shared" si="821"/>
        <v>ADECUADO PARA EDAD GESTACIONAL</v>
      </c>
      <c r="RF210" s="21" t="str">
        <f t="shared" si="822"/>
        <v/>
      </c>
      <c r="RG210" s="21" t="str">
        <f t="shared" si="823"/>
        <v/>
      </c>
      <c r="RH210" s="21" t="str">
        <f t="shared" si="824"/>
        <v/>
      </c>
      <c r="RI210" s="21" t="str">
        <f t="shared" si="825"/>
        <v/>
      </c>
      <c r="RJ210" s="21" t="str">
        <f t="shared" si="826"/>
        <v/>
      </c>
      <c r="RK210" s="21" t="str">
        <f t="shared" si="827"/>
        <v/>
      </c>
      <c r="RL210" s="21" t="str">
        <f t="shared" si="828"/>
        <v/>
      </c>
      <c r="RM210" s="21" t="str">
        <f t="shared" si="829"/>
        <v/>
      </c>
      <c r="RN210" s="21" t="str">
        <f t="shared" si="830"/>
        <v/>
      </c>
      <c r="RO210" s="21" t="str">
        <f t="shared" si="831"/>
        <v/>
      </c>
      <c r="RP210" s="21" t="str">
        <f t="shared" si="832"/>
        <v/>
      </c>
      <c r="RQ210" s="21" t="str">
        <f t="shared" si="833"/>
        <v/>
      </c>
      <c r="RR210" s="21" t="str">
        <f t="shared" si="834"/>
        <v/>
      </c>
      <c r="RS210" s="21" t="str">
        <f t="shared" si="835"/>
        <v/>
      </c>
      <c r="RT210" s="21" t="str">
        <f t="shared" si="836"/>
        <v/>
      </c>
      <c r="RU210" s="21" t="str">
        <f t="shared" si="837"/>
        <v/>
      </c>
      <c r="RV210" s="21">
        <f t="shared" si="838"/>
        <v>-1</v>
      </c>
      <c r="RW210" s="284">
        <f>IF(OR(Tabla1[[#This Row],[FUM FORMULA CONFIABLE]]="",Tabla1[[#This Row],[FUM FORMULA CONFIABLE]]="SD"),"",IF(Tabla1[[#This Row],[FUM FORMULA CONFIABLE]]="CORREGIDA",Tabla1[[#This Row],[FUM X ECO 1]],Tabla1[[#This Row],[FUM x AMENORREA]]))</f>
        <v>44942.5</v>
      </c>
      <c r="RX210" s="21">
        <f>IF(AND(Tabla1[[#This Row],[FUM X ECO 1]]="",Tabla1[[#This Row],[FUM x AMENORREA]]=""),"",IF(AND(Tabla1[[#This Row],[FUM X ECO 1]]="",Tabla1[[#This Row],[FUM x AMENORREA]]&lt;&gt;""),"X",SUM(Tabla1[[#This Row],[FUM X ECO 1]]-Tabla1[[#This Row],[FUM x AMENORREA]])))</f>
        <v>8.5</v>
      </c>
      <c r="RY210" s="21">
        <f t="shared" si="840"/>
        <v>1</v>
      </c>
    </row>
    <row r="211" spans="1:493" ht="45" customHeight="1" x14ac:dyDescent="0.25">
      <c r="A211" s="109"/>
      <c r="B211" s="43"/>
      <c r="C211" s="43" t="s">
        <v>845</v>
      </c>
      <c r="D211" s="124"/>
      <c r="E211" s="43" t="s">
        <v>896</v>
      </c>
      <c r="F211" s="43" t="s">
        <v>915</v>
      </c>
      <c r="G211" s="43" t="s">
        <v>1585</v>
      </c>
      <c r="H211" s="43"/>
      <c r="I211" s="109" t="s">
        <v>851</v>
      </c>
      <c r="J211" s="110">
        <v>1059595460</v>
      </c>
      <c r="K211" s="43" t="s">
        <v>852</v>
      </c>
      <c r="L211" s="175" t="s">
        <v>1509</v>
      </c>
      <c r="M211" s="22">
        <v>38479</v>
      </c>
      <c r="N211" s="213">
        <f t="shared" ca="1" si="841"/>
        <v>18.5013698630137</v>
      </c>
      <c r="O211" s="22">
        <v>45079</v>
      </c>
      <c r="P211" s="214" t="str">
        <f t="shared" si="919"/>
        <v>SI</v>
      </c>
      <c r="Q211" s="26" t="s">
        <v>855</v>
      </c>
      <c r="R211" s="22">
        <v>45079</v>
      </c>
      <c r="S211" s="21" t="s">
        <v>856</v>
      </c>
      <c r="T211" s="24" t="s">
        <v>690</v>
      </c>
      <c r="U211" s="21" t="s">
        <v>857</v>
      </c>
      <c r="V211" s="21" t="s">
        <v>858</v>
      </c>
      <c r="W211" s="21" t="s">
        <v>893</v>
      </c>
      <c r="X211" s="21"/>
      <c r="Y211" s="21" t="s">
        <v>859</v>
      </c>
      <c r="Z211" s="21" t="s">
        <v>894</v>
      </c>
      <c r="AA211" s="21" t="s">
        <v>860</v>
      </c>
      <c r="AB211" s="27" t="s">
        <v>861</v>
      </c>
      <c r="AC211" s="26" t="s">
        <v>888</v>
      </c>
      <c r="AD211" s="38" t="s">
        <v>1546</v>
      </c>
      <c r="AE211" s="26" t="s">
        <v>854</v>
      </c>
      <c r="AF211" s="26" t="s">
        <v>854</v>
      </c>
      <c r="AG211" s="23" t="s">
        <v>864</v>
      </c>
      <c r="AH211" s="23" t="s">
        <v>864</v>
      </c>
      <c r="AI211" s="24" t="s">
        <v>863</v>
      </c>
      <c r="AJ211" s="23" t="s">
        <v>864</v>
      </c>
      <c r="AK211" s="220" t="str">
        <f>IF(AND(AD211="",AE211="",AF211="",AG211="",AH211="",AI211="",AJ211=""),"",IF(OR(Tabla1[[#This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EVALUACIÓN",IF(AND(O211="",R211=""),"",IF(AND(OR(O211&gt;0,R211&gt;0),NG211&gt;=0,NG211&lt;2),"SIN RIESGO",IF(AND(OR(O211&gt;0,R211&gt;0),NG211&gt;=2),"CON RIESGO","ASD")))))</f>
        <v>SIN RIESGO</v>
      </c>
      <c r="AL211" s="26" t="s">
        <v>864</v>
      </c>
      <c r="AM211" s="26" t="s">
        <v>864</v>
      </c>
      <c r="AN211" s="26" t="s">
        <v>864</v>
      </c>
      <c r="AO211" s="26" t="s">
        <v>864</v>
      </c>
      <c r="AP211" s="26" t="s">
        <v>864</v>
      </c>
      <c r="AQ211" s="26" t="s">
        <v>864</v>
      </c>
      <c r="AR211" s="26" t="s">
        <v>864</v>
      </c>
      <c r="AS211" s="21">
        <v>2</v>
      </c>
      <c r="AT211" s="21">
        <v>2</v>
      </c>
      <c r="AU211" s="21">
        <v>0</v>
      </c>
      <c r="AV211" s="26" t="s">
        <v>864</v>
      </c>
      <c r="AW211" s="21">
        <v>0</v>
      </c>
      <c r="AX211" s="26" t="s">
        <v>864</v>
      </c>
      <c r="AY211" s="26" t="s">
        <v>864</v>
      </c>
      <c r="AZ211" s="26" t="s">
        <v>864</v>
      </c>
      <c r="BA211" s="26" t="s">
        <v>864</v>
      </c>
      <c r="BB211" s="26" t="s">
        <v>864</v>
      </c>
      <c r="BC211" s="26" t="s">
        <v>864</v>
      </c>
      <c r="BD211" s="26" t="s">
        <v>864</v>
      </c>
      <c r="BE211" s="26" t="s">
        <v>864</v>
      </c>
      <c r="BF211" s="26" t="s">
        <v>864</v>
      </c>
      <c r="BG211" s="26" t="s">
        <v>864</v>
      </c>
      <c r="BH211" s="26" t="s">
        <v>864</v>
      </c>
      <c r="BI211" s="26" t="s">
        <v>864</v>
      </c>
      <c r="BJ211" s="26" t="s">
        <v>864</v>
      </c>
      <c r="BK211" s="26" t="s">
        <v>864</v>
      </c>
      <c r="BL211" s="26" t="s">
        <v>864</v>
      </c>
      <c r="BM211" s="26" t="s">
        <v>864</v>
      </c>
      <c r="BN211" s="22">
        <v>44377</v>
      </c>
      <c r="BO211" s="22">
        <v>44987</v>
      </c>
      <c r="BP211" s="21" t="s">
        <v>1380</v>
      </c>
      <c r="BQ211" s="222">
        <f t="shared" si="842"/>
        <v>20.6</v>
      </c>
      <c r="BR211" s="223">
        <f t="shared" si="843"/>
        <v>44995</v>
      </c>
      <c r="BS211" s="224">
        <f t="shared" si="844"/>
        <v>12</v>
      </c>
      <c r="BT211" s="216" t="str">
        <f t="shared" si="845"/>
        <v>II TRIM</v>
      </c>
      <c r="BU211" s="214">
        <f t="shared" ca="1" si="928"/>
        <v>33.857142857142854</v>
      </c>
      <c r="BV211" s="25" t="s">
        <v>988</v>
      </c>
      <c r="BW211" s="22">
        <v>45121</v>
      </c>
      <c r="BX211" s="28">
        <v>18</v>
      </c>
      <c r="BY211" s="28"/>
      <c r="BZ211" s="22"/>
      <c r="CA211" s="21"/>
      <c r="CB211" s="26" t="s">
        <v>864</v>
      </c>
      <c r="CC211" s="26" t="s">
        <v>864</v>
      </c>
      <c r="CD211" s="26"/>
      <c r="CE211" s="26" t="s">
        <v>864</v>
      </c>
      <c r="CF211" s="22" t="s">
        <v>1517</v>
      </c>
      <c r="CG211" s="21">
        <v>1.54</v>
      </c>
      <c r="CH211" s="21">
        <v>49.9</v>
      </c>
      <c r="CI211" s="214">
        <f t="shared" si="847"/>
        <v>21.040647664024288</v>
      </c>
      <c r="CJ211" s="225" t="e">
        <f>IF(AND(CI211&lt;10,CH211="SD"),"SIN DATO PESO PREGESTACION O I TRIM",IF(AND(OR(R211&gt;0,O211&gt;0),CI211="X"),"INGRESAR DATO DE PESO",IF(CI211="SD","INGRESAR DATO DE TALLA Y PESO",IF(AND(OR(Tabla1[[#This Row],[MOMENTO EN QUE SE REALIZA EL PESO AL INGRESO A CPN]]="PREGESTACIÓN",NZ211="Menor"),CI211&lt;18.5),"BAJO PESO",IF(AND(OR(Tabla1[[#This Row],[MOMENTO EN QUE SE REALIZA EL PESO AL INGRESO A CPN]]="PREGESTACIÓN",NZ211="Menor"),CI211&lt;25),"NORMAL",IF(AND(OR(Tabla1[[#This Row],[MOMENTO EN QUE SE REALIZA EL PESO AL INGRESO A CPN]]="PREGESTACIÓN",NZ211="Menor"),CI211&lt;30),"SOBREPESO",IF(AND(OR(Tabla1[[#This Row],[MOMENTO EN QUE SE REALIZA EL PESO AL INGRESO A CPN]]="PREGESTACIÓN",NZ211="Menor"),CI211&gt;=30,CI211&lt;50),"OBESIDAD",IF(AND(BS211&gt;0,Tabla1[[#This Row],[MOMENTO EN QUE SE REALIZA EL PESO AL INGRESO A CPN]]="GESTACIÓN"),HLOOKUP(NZ211,$OA$2:PH211,NY211),""))))))))</f>
        <v>#REF!</v>
      </c>
      <c r="CK211" s="212">
        <f t="shared" si="848"/>
        <v>45164</v>
      </c>
      <c r="CL211" s="21">
        <v>51.1</v>
      </c>
      <c r="CM211" s="214">
        <f t="shared" si="849"/>
        <v>21.54663518299882</v>
      </c>
      <c r="CN211" s="216">
        <f t="shared" si="850"/>
        <v>24</v>
      </c>
      <c r="CO211" s="216" t="e">
        <f>IF(PI211="","",IF(PI211&gt;0,HLOOKUP(PI211,$PJ$2:QQ211,NY211),""))</f>
        <v>#REF!</v>
      </c>
      <c r="CP211" s="21">
        <v>17</v>
      </c>
      <c r="CQ211" s="216" t="e">
        <f>IF(QR211="Menor","NO APLICA-MENOR 13 SEM",IF(AND(CC211="SI",CN211&gt;23),"NO APLICA- GEMELAR",IF(QR211="","",IF(QR211&gt;0,HLOOKUP(QR211,$QS$2:RU211,NY211),""))))</f>
        <v>#REF!</v>
      </c>
      <c r="CR211" s="21"/>
      <c r="CS211" s="21"/>
      <c r="CT211" s="217" t="str">
        <f>IF(R211="","",IF(AND(BS211&gt;1,BS211&lt;12,Tabla1[[#This Row],[T.A. SISTOLICA - ANTES DE SEMANA 12]]="",Tabla1[[#This Row],[T.A. DIASTOLICA - ANTES DE SEMANA 12]]=""),"REGISTRE DATO TA ANTES SEMANA 12",IF(AND(BS211&gt;11,BS211&lt;43,Tabla1[[#This Row],[T.A. SISTOLICA - ANTES DE SEMANA 12]]="",Tabla1[[#This Row],[T.A. DIASTOLICA - ANTES DE SEMANA 12]]=""),"NO APLICA REGISTRO TA-INGRESO TARDIO",IF(AND(OR(O211&gt;0,R211&gt;0),OR(CR211&gt;=140,CS211&gt;=90)),"DEFINIR ESTADIO HTA",IF(AND(OR(O211&gt;0,R211&gt;0),AND(CR211&gt;120,CR211&lt;=139)),"PRE HTA SEGUIMIENTO",IF(AND(OR(O211&gt;0,R211&gt;0),AND(CS211&gt;80,CS211&lt;=89)),"PRE HTA SEGUIMIENTO",IF(AND(OR(O211&gt;0,R211&gt;0),AND(CR211&gt;=80,CR211&lt;=120)),"APARENTEMENTE NORMAL",IF(AND(OR(O211&gt;0,R211&gt;0),AND(CS211&gt;=50,CS211&lt;=80)),"APARENTEMENTE NORMAL",IF(AND(OR(O211&gt;0,R211&gt;0),AND(CR211&gt;1,CR211&lt;=70),AND(CS211&gt;1,CS211&lt;=40)),"HIPOTENSIÓN","")))))))))</f>
        <v>NO APLICA REGISTRO TA-INGRESO TARDIO</v>
      </c>
      <c r="CU211" s="21"/>
      <c r="CV211" s="21"/>
      <c r="CW211" s="217" t="str">
        <f>IF(R211="","",IF(AND(CN211&gt;19,CN211&lt;27,Tabla1[[#This Row],[T.A. SISTOLICA (Entre semana 20 y 26)]]="",Tabla1[[#This Row],[T.A. DIATOLICA (Entre semana 20 y 26)]]=""),"ACUDE A CONTROL SEM 20 A 26 REGISTRE TA AHORA",IF(AND(BS211&gt;1,BS211&lt;27,BU211&gt;19,Tabla1[[#This Row],[T.A. SISTOLICA (Entre semana 20 y 26)]]="",Tabla1[[#This Row],[T.A. DIATOLICA (Entre semana 20 y 26)]]=""),"COMPLETE REGISTRO TA CONTROL SEM 20 A26 ",IF(AND(BS211&gt;26,BS211&lt;43,Tabla1[[#This Row],[T.A. SISTOLICA (Entre semana 20 y 26)]]="",Tabla1[[#This Row],[T.A. DIATOLICA (Entre semana 20 y 26)]]=""),"NO APLICA REGISTRO TA-INGRESO TARDIO",IF(AND(OR(O211&gt;0,R211&gt;0),OR(CU211&gt;=140,CV211&gt;=90)),"ALTO RIESGO PREECLAMPSIA,DEFINIR ESTADIO HTA",IF(AND(OR(O211&gt;0,R211&gt;0),AND(CU211&gt;120,CU211&lt;=139)),"PRE HTA SEGUIMIENTO,RIESGO HIPERTENSION INDUCIDA POR EL EMBARAZO",IF(AND(OR(O211&gt;0,R211&gt;0),AND(CV211&gt;80,CV211&lt;=89)),"PRE HTA SEGUIMIENTO, RIESGO HIPERTENSION INDUCIDA POR EL EMBARAZO",IF(AND(OR(O211&lt;&gt;"",R211&lt;&gt;""),CS211&lt;&gt;"",CV211&lt;&gt;"",CS211&lt;=CV211),"VIGILAR CIFRAS PRESION ARTERIAL",IF(AND(OR(O211&gt;0,R211&gt;0),AND(CU211&gt;120,CU211&lt;=139)),"PRE HTA SEGUIMIENTO",IF(AND(OR(O211&gt;0,R211&gt;0),AND(CU211&gt;1,CU211&lt;=70),AND(CV211&gt;1,CV211&lt;=40)),"HIPOTENSIÓN",IF(AND(OR(O211&lt;&gt;"",R211&lt;&gt;""),CS211&lt;&gt;"",CV211&lt;&gt;"",CS211&gt;CV211),"APARENTEMENTE NORMAL",IF(AND(OR(O211&gt;0,R211&gt;0),AND(CU211&gt;=80,CU211&lt;=120)),"APARENTEMENTE NORMAL",IF(AND(OR(O211&gt;0,R211&gt;0),AND(CV211&gt;=50,CV211&lt;=80)),"APARENTEMENTE NORMAL","")))))))))))))</f>
        <v>ACUDE A CONTROL SEM 20 A 26 REGISTRE TA AHORA</v>
      </c>
      <c r="CX211" s="21"/>
      <c r="CY211" s="21"/>
      <c r="CZ211" s="216" t="str">
        <f>IF(R211="","",IF(AND(CN211&gt;31,CN211&lt;35,CX211="",CY211=""),"ACUDE A CONTROL SEM 30 A 34- REGISTRE AHORA",IF(AND(BS211&gt;34,BS211&lt;43,CX212="",CY212=""),"NO APLICA-INGRESO TARDIO",IF(AND(OR(O211&gt;0,R211&gt;0),OR(CX211&gt;=140,CY211&gt;=90)),"ESTUDIO INMEDIATO HTA PARA DESCARTAR PREECLAMSIA",IF(AND(OR(O211&gt;0,R211&gt;0),AND(CX211&gt;=130,CX211&lt;=139)),"PRE HTA,RIESGO ALTO PREECLAMPSIA",IF(AND(OR(O211&gt;0,R211&gt;0),AND(CY211&gt;80,CY211&lt;=89)),"PRE HTA,RIESGO ALTO PREECLAMPSIA",IF(AND(OR(O211&gt;0,R211&gt;0),AND(CX211&gt;120,CX211&lt;=129)),"RANGO PREHIPERTENSIVO SEGUIMIENTO HTA",IF(AND(OR(O211&lt;&gt;"",R211&lt;&gt;""),CS211&lt;&gt;"",CY211&lt;&gt;"",CS211&lt;CY211),"VIGILAR CIFRAS PRESION ARTERIAL",IF(AND(OR(O211&lt;&gt;"",R211&lt;&gt;""),CS211&lt;&gt;"",CY211&lt;&gt;"",CS211=CY211),"APARENTEMENTE NORMAL",IF(AND(OR(O211&gt;0,R211&gt;0),CX211&gt;=80,CX211&lt;=120),"APARENTEMENTE NORMAL",IF(AND(OR(O211&gt;0,R211&gt;0),CY211&gt;=50,CY211&lt;=80),"APARENTEMENTE NORMAL","")))))))))))</f>
        <v/>
      </c>
      <c r="DA211" s="21">
        <v>90</v>
      </c>
      <c r="DB211" s="21">
        <v>60</v>
      </c>
      <c r="DC211" s="217" t="str">
        <f t="shared" si="851"/>
        <v>APARENTEMENTE NORMAL</v>
      </c>
      <c r="DD211" s="22">
        <v>45079</v>
      </c>
      <c r="DE211" s="22">
        <v>45079</v>
      </c>
      <c r="DF211" s="22">
        <v>45121</v>
      </c>
      <c r="DG211" s="22">
        <v>45164</v>
      </c>
      <c r="DH211" s="22"/>
      <c r="DI211" s="22"/>
      <c r="DJ211" s="22"/>
      <c r="DK211" s="22"/>
      <c r="DL211" s="22"/>
      <c r="DM211" s="22"/>
      <c r="DN211" s="22"/>
      <c r="DO211" s="22"/>
      <c r="DP211" s="22"/>
      <c r="DQ211" s="22"/>
      <c r="DR211" s="28"/>
      <c r="DS211" s="22"/>
      <c r="DT211" s="22"/>
      <c r="DU211" s="216" t="str">
        <f t="shared" ca="1" si="920"/>
        <v>PLANEAR PLAN DE PARTO</v>
      </c>
      <c r="DV211" s="226" t="str">
        <f t="shared" si="921"/>
        <v>ACTIVA INGRESO A CPN</v>
      </c>
      <c r="DW21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11" s="216" t="e">
        <f t="shared" ca="1" si="852"/>
        <v>#REF!</v>
      </c>
      <c r="DY211" s="212">
        <f>IF(R211="","",IF(R211&gt;0,MAX(Tabla1[[#This Row],[FECHA C2]:[FECHA C13]],Tabla1[[#This Row],[FECHA CONSULTA PRIMERA VEZ PROGRAMA CPN ]])))</f>
        <v>45164</v>
      </c>
      <c r="DZ211" s="216">
        <f t="shared" si="853"/>
        <v>24</v>
      </c>
      <c r="EA211" s="222">
        <f>IF(R211&gt;0,SUM(COUNTA(DF211:DQ211)+COUNTA(Tabla1[[#This Row],[FECHA CONSULTA PRIMERA VEZ PROGRAMA CPN ]])),"")</f>
        <v>3</v>
      </c>
      <c r="EB211" s="222" t="str">
        <f t="shared" si="854"/>
        <v>NO</v>
      </c>
      <c r="EC211" s="214">
        <f t="shared" si="855"/>
        <v>9</v>
      </c>
      <c r="ED211" s="227">
        <f t="shared" si="856"/>
        <v>0.33333333333333331</v>
      </c>
      <c r="EE211" s="22">
        <v>45079</v>
      </c>
      <c r="EF211" s="22">
        <v>45079</v>
      </c>
      <c r="EG211" s="22">
        <v>45079</v>
      </c>
      <c r="EH211" s="22"/>
      <c r="EI211" s="22">
        <v>45079</v>
      </c>
      <c r="EJ211" s="22"/>
      <c r="EK211" s="22"/>
      <c r="EL211" s="21"/>
      <c r="EM211" s="21">
        <v>13.5</v>
      </c>
      <c r="EN211" s="22">
        <v>45083</v>
      </c>
      <c r="EO211" s="222">
        <f t="shared" si="857"/>
        <v>12.571428571428571</v>
      </c>
      <c r="EP211" s="214" t="str">
        <f t="shared" si="858"/>
        <v>NORMAL- SUMINISTRAR SULFATO FERROSO</v>
      </c>
      <c r="EQ211" s="216" t="str">
        <f t="shared" si="859"/>
        <v>I TRIM</v>
      </c>
      <c r="ER211" s="24"/>
      <c r="ES211" s="22"/>
      <c r="ET211" s="29" t="str">
        <f t="shared" ca="1" si="922"/>
        <v>TOMA DE HEMOGLOBINA TARDÍA</v>
      </c>
      <c r="EU211" s="25" t="str">
        <f t="shared" si="860"/>
        <v/>
      </c>
      <c r="EV211" s="24" t="s">
        <v>1510</v>
      </c>
      <c r="EW211" s="32">
        <v>45083</v>
      </c>
      <c r="EX211" s="22"/>
      <c r="EY211" s="29">
        <f t="shared" si="693"/>
        <v>12.571428571428571</v>
      </c>
      <c r="EZ211" s="25" t="str">
        <f t="shared" si="694"/>
        <v>SIN RIESGO DE ISOINMUNIZACIÓN</v>
      </c>
      <c r="FA211" s="21">
        <v>72</v>
      </c>
      <c r="FB211" s="32">
        <v>45083</v>
      </c>
      <c r="FC211" s="29">
        <f t="shared" si="861"/>
        <v>12.571428571428571</v>
      </c>
      <c r="FD211" s="29"/>
      <c r="FE211" s="29"/>
      <c r="FF211" s="29"/>
      <c r="FG211" s="21" t="str">
        <f t="shared" ca="1" si="862"/>
        <v>TOMAR PTOG</v>
      </c>
      <c r="FH211" s="31"/>
      <c r="FI211" s="29" t="str">
        <f t="shared" si="863"/>
        <v>TOMAR EXAMEN</v>
      </c>
      <c r="FJ211" s="22" t="s">
        <v>867</v>
      </c>
      <c r="FK211" s="22">
        <v>45083</v>
      </c>
      <c r="FL211" s="29">
        <f t="shared" ca="1" si="864"/>
        <v>12.571428571428571</v>
      </c>
      <c r="FM211" s="22"/>
      <c r="FN211" s="32"/>
      <c r="FO211" s="29" t="str">
        <f t="shared" ca="1" si="923"/>
        <v>PIERDE TOMA DE TAMIZAJE</v>
      </c>
      <c r="FP211" s="22"/>
      <c r="FQ211" s="32"/>
      <c r="FR211" s="29" t="str">
        <f t="shared" ca="1" si="924"/>
        <v>EN RANGO PARA TOMAR EXAMEN</v>
      </c>
      <c r="FS211" s="22"/>
      <c r="FT211" s="32"/>
      <c r="FU211" s="29" t="str">
        <f>IF(AND(FJ211="",FM211="",FP211="",FS211=""),"",IF(OR(OR(Tabla1[[#This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11" s="28"/>
      <c r="FW211" s="22"/>
      <c r="FX211" s="29" t="str">
        <f t="shared" si="865"/>
        <v>TOMAR EXAMEN</v>
      </c>
      <c r="FY211" s="22" t="s">
        <v>868</v>
      </c>
      <c r="FZ211" s="32">
        <v>45083</v>
      </c>
      <c r="GA211" s="29">
        <f t="shared" ref="GA211:GA248" ca="1" si="939">IF(AND(BT211="ERROR FUM O INGRESO",FZ211&gt;0),"ERROR FUM O INGRESO",IF(AND(FZ211="",R211="",O211=""),"",IF(OR(AND(FZ211&lt;&gt;"",FZ211&lt;RW211),AND(FZ211&lt;&gt;"",AND(SUM((FZ211-RW211)/7)&gt;=13,SUM((FZ211-RW211)/7)&lt;27))),"REGISTRAR EN II TRIMESTRE",IF(OR(AND(FZ211&lt;&gt;"",FZ211&lt;RW211),AND(FZ211&lt;&gt;"",AND(SUM((FZ211-RW211)/7)&gt;=27,SUM((FZ211-RW211)/7)&lt;44))),"REGISTRAR EN III TRIMESTRE",IF(AND(FZ211="",OR(O211&gt;0,R211&gt;0),AND(BU211&gt;1,BU211&lt;10)),"EN RANGO PARA TOMAR EXAMEN",IF(AND(FZ211="",OR(O211&gt;0,R211&gt;0),AND(BU211&gt;=10,BU211&lt;12)),"TOMA INMEDIATA DE TAMIZAJE",IF(AND(FZ211="",BS211&lt;12,OR(O211&gt;0,R211&gt;0)),"PIERDE TOMA DE TAMIZAJE",IF(AND(FZ211="",OR(O211&gt;0,R211&gt;0),AND(BS211&gt;=13,BS211&lt;44)),"NO APLICA-INGRESO TARDIO",IF(FZ211&gt;0,SUM(FZ211-RW211)/7,"")))))))))</f>
        <v>12.571428571428571</v>
      </c>
      <c r="GB211" s="22"/>
      <c r="GC211" s="32"/>
      <c r="GD211" s="29" t="str">
        <f t="shared" ref="GD211:GD229" ca="1" si="940">IF(AND(BT211="ERROR FUM O INGRESO",GC211&gt;0),"ERROR FUM O INGRESO",IF(AND(GC211="",R211="",O211=""),"",IF(AND(GC211&lt;&gt;"",GC211&lt;RW211), "INCOHERENCIA FUM Y FECHA TAMIZAJE",IF(AND(GC211="",DV211="ACTIVA INGRESO A CPN",AND(BU211&gt;0,BU211&lt;13)),"EN ESPERA-ESTÁ I TRIM", IF(AND(GC211="",AND(BS211&gt;0, BS211&lt;12),OR(O211&gt;0,R211&gt;0),AND(IP211&gt;0,IP211&lt;13)),"NO APLICA-SALIO DEL PROGRAMA I TRIM",IF(AND(GC211&lt;&gt;"",AND(SUM((GC211-RW211)/7)&gt;0,SUM((GC211-RW211)/7)&lt;13)),"REGISTRAR EN I TRIMESTRE",IF(AND(GC211&lt;&gt;"",AND(SUM((GC211-RW211)/7)&gt;=27,SUM((GC211-RW211)/7)&lt;44)),"REGISTRAR EN III TRIMESTRE",IF(AND(GC211="",OR(O211&gt;0,R211&gt;0),AND(BU211&gt;=12,BU211&lt;25),DV211="ACTIVA INGRESO A CPN"),"EN RANGO PARA TOMAR EXAMEN",IF(AND(GC211="",OR(O211&gt;0,R211&gt;0),AND(BU211&gt;=25,BU211&lt;27),DV211="ACTIVA INGRESO A CPN"),"TOMA INMEDIATA DE TAMIZAJE",IF(AND(GC211="",OR(O211&gt;0,R211&gt;0),AND(BS211&gt;=27,BS211&lt;43)),"NO APLICA-INGRESO TARDIO",IF(AND(GC211="",BS211&lt;27),"PIERDE TOMA DE TAMIZAJE",IF(GC211&gt;0,SUM(GC211-RW211)/7,""))))))))))))</f>
        <v>PIERDE TOMA DE TAMIZAJE</v>
      </c>
      <c r="GE211" s="22"/>
      <c r="GF211" s="22"/>
      <c r="GG211" s="29" t="str">
        <f t="shared" ca="1" si="926"/>
        <v>EN RANGO PARA TOMAR EXAMEN</v>
      </c>
      <c r="GH211" s="22"/>
      <c r="GI211" s="29"/>
      <c r="GJ211" s="22"/>
      <c r="GK211" s="22"/>
      <c r="GL211" s="22"/>
      <c r="GM211" s="22"/>
      <c r="GN211" s="28"/>
      <c r="GO211" s="22"/>
      <c r="GP211" s="29" t="str">
        <f t="shared" si="866"/>
        <v>TOMAR EXAMEN</v>
      </c>
      <c r="GQ211" s="28" t="s">
        <v>880</v>
      </c>
      <c r="GR211" s="28" t="s">
        <v>869</v>
      </c>
      <c r="GS211" s="22" t="str">
        <f t="shared" si="728"/>
        <v>SE EXCLUYE INFECCION</v>
      </c>
      <c r="GT211" s="22">
        <v>45083</v>
      </c>
      <c r="GU211" s="29">
        <f t="shared" si="867"/>
        <v>13.714285714285714</v>
      </c>
      <c r="GV211" s="21" t="str">
        <f t="shared" si="868"/>
        <v>II TRIM</v>
      </c>
      <c r="GW211" s="28"/>
      <c r="GX211" s="30"/>
      <c r="GY211" s="21"/>
      <c r="GZ211" s="21"/>
      <c r="HA211" s="21"/>
      <c r="HB211" s="21"/>
      <c r="HC211" s="21"/>
      <c r="HD211" s="21"/>
      <c r="HE211" s="21"/>
      <c r="HF211" s="22"/>
      <c r="HG211" s="22" t="str">
        <f>IF(OR(O211&gt;0,R211&gt;0),CONCATENATE(IF(Tabla1[[#This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11" s="22" t="e">
        <f t="shared" si="869"/>
        <v>#REF!</v>
      </c>
      <c r="HI211" s="22" t="e">
        <f t="shared" ca="1" si="870"/>
        <v>#REF!</v>
      </c>
      <c r="HJ211" s="21" t="str">
        <f t="shared" ca="1" si="871"/>
        <v>***************************************</v>
      </c>
      <c r="HK211" s="21" t="str">
        <f t="shared" si="872"/>
        <v>SIN ANTECEDENTES DE RIESGO</v>
      </c>
      <c r="HL211" s="24" t="str">
        <f t="shared" si="873"/>
        <v>APARENTEMENTE NORMAL</v>
      </c>
      <c r="HM211" s="21" t="e">
        <f t="shared" ca="1" si="874"/>
        <v>#REF!</v>
      </c>
      <c r="HN211" s="30" t="str">
        <f t="shared" si="927"/>
        <v>ACTIVA INGRESO A CPN</v>
      </c>
      <c r="HO211" s="21"/>
      <c r="HP211" s="21"/>
      <c r="HQ211" s="349"/>
      <c r="HR211" s="21" t="str">
        <f>IF(R211="","",IF(Tabla1[[#This Row],[ALARMA FACTORES DE RIESGO COMPLICACIONES HIPERTENSIVAS3]]="SIN ANTECEDENTES DE RIESGO","No Aplica para suministro de ASA",IF(AND(Tabla1[[#This Row],[FECHA INICIO DE SUMINISTRO DE ASA]]&gt;0,RV211&lt;12),"Inicia ASA ANTES de Sem 12",IF(AND(RV211&gt;11,RV211&lt;17,OR(HK211="RIESGO ALTO DE COMPLICACIONES HIPERTENSIVAS VER MANEJO GUIA SUMINISTRO ASA Y CALCIO",HK211="RIESGO MODERADO (2 O MAS CRITERIOS) VER MANEJO GUIA SUMINISTRO ASA Y CALCIO")),"Inicio oportuno de ASA",IF(AND(RV211&gt;12,OR(HK211="RIESGO ALTO DE COMPLICACIONES HIPERTENSIVAS VER MANEJO GUIA SUMINISTRO ASA Y CALCIO",HK211="RIESGO MODERADO (2 O MAS CRITERIOS) VER MANEJO GUIA SUMINISTRO ASA Y CALCIO")),"Inicio no oportuno mayor a 16 semanas",IF(AND(BU211&lt;12,OR(HK211="RIESGO ALTO DE COMPLICACIONES HIPERTENSIVAS VER MANEJO GUIA SUMINISTRO ASA Y CALCIO",HK211="RIESGO MODERADO (2 O MAS CRITERIOS) VER MANEJO GUIA SUMINISTRO ASA Y CALCIO")),"Pendiente Inicio de ASA a la semana 12",IF(AND(BU211&gt;11,BU211&lt;17,OR(HK211="RIESGO ALTO DE COMPLICACIONES HIPERTENSIVAS VER MANEJO GUIA SUMINISTRO ASA Y CALCIO",HK211="RIESGO MODERADO (2 O MAS CRITERIOS) VER MANEJO GUIA SUMINISTRO ASA Y CALCIO")),"Iniciar de inmediato ASA",IF(AND(BU211&gt;16,OR(HK211="RIESGO ALTO DE COMPLICACIONES HIPERTENSIVAS VER MANEJO GUIA SUMINISTRO ASA Y CALCIO",HK211="RIESGO MODERADO (2 O MAS CRITERIOS) VER MANEJO GUIA SUMINISTRO ASA Y CALCIO")),"Pierde Oportunidad, Inicio tardío de ASA","XXXXX"))))))))</f>
        <v>No Aplica para suministro de ASA</v>
      </c>
      <c r="HS211" s="22"/>
      <c r="HT211" s="22"/>
      <c r="HU211" s="22"/>
      <c r="HV211" s="22"/>
      <c r="HW211" s="22"/>
      <c r="HX211" s="22"/>
      <c r="HY211" s="22"/>
      <c r="HZ211" s="28" t="str">
        <f t="shared" si="875"/>
        <v>PENDIENTE CONSULTA</v>
      </c>
      <c r="IA211" s="26"/>
      <c r="IB211" s="26"/>
      <c r="IC211" s="22"/>
      <c r="ID211" s="22"/>
      <c r="IE211" s="22" t="str">
        <f t="shared" ca="1" si="876"/>
        <v>INASISTENTE</v>
      </c>
      <c r="IF211" s="22"/>
      <c r="IG211" s="22">
        <f t="shared" si="877"/>
        <v>45275</v>
      </c>
      <c r="IH211" s="29">
        <f t="shared" ca="1" si="878"/>
        <v>43</v>
      </c>
      <c r="II211" s="22" t="str">
        <f t="shared" ca="1" si="879"/>
        <v>PENDIENTE</v>
      </c>
      <c r="IJ211" s="22"/>
      <c r="IK211" s="21"/>
      <c r="IL211" s="21"/>
      <c r="IM211" s="34"/>
      <c r="IN211" s="22"/>
      <c r="IO211" s="21"/>
      <c r="IP211" s="29" t="str">
        <f t="shared" si="880"/>
        <v/>
      </c>
      <c r="IQ211" s="35"/>
      <c r="IR211" s="21"/>
      <c r="IS211" s="21"/>
      <c r="IT211" s="21"/>
      <c r="IU211" s="21"/>
      <c r="IV211" s="21"/>
      <c r="IW211" s="21"/>
      <c r="IX211" s="21"/>
      <c r="IY211" s="21"/>
      <c r="IZ211" s="21"/>
      <c r="JA211" s="21"/>
      <c r="JB211" s="30"/>
      <c r="JC211" s="21"/>
      <c r="JD211" s="36"/>
      <c r="JE211" s="21" t="str">
        <f t="shared" si="881"/>
        <v/>
      </c>
      <c r="JF211" s="30"/>
      <c r="JG211" s="21"/>
      <c r="JH211" s="21"/>
      <c r="JI211" s="21"/>
      <c r="JJ211" s="30"/>
      <c r="JK211" s="22"/>
      <c r="JL211" s="22"/>
      <c r="JM211" s="21"/>
      <c r="JN211" s="36"/>
      <c r="JO211" s="21" t="str">
        <f t="shared" si="882"/>
        <v/>
      </c>
      <c r="JP211" s="22"/>
      <c r="JQ211" s="21"/>
      <c r="JR211" s="21"/>
      <c r="JS211" s="21"/>
      <c r="JT211" s="30"/>
      <c r="JU211" s="22"/>
      <c r="JV211" s="22"/>
      <c r="JW211" s="33"/>
      <c r="JX211" s="28" t="str">
        <f t="shared" si="883"/>
        <v/>
      </c>
      <c r="JY211" s="33"/>
      <c r="JZ211" s="28" t="str">
        <f t="shared" si="884"/>
        <v/>
      </c>
      <c r="KA211" s="21"/>
      <c r="KB211" s="21"/>
      <c r="KC211" s="21"/>
      <c r="KD211" s="37"/>
      <c r="KE211" s="28"/>
      <c r="KF211" s="28"/>
      <c r="KG211" s="28"/>
      <c r="KH211" s="39"/>
      <c r="KI211" s="39"/>
      <c r="KJ211" s="66"/>
      <c r="KK211" s="39"/>
      <c r="KL211" s="39"/>
      <c r="KM211" s="66"/>
      <c r="KN211" s="39"/>
      <c r="KO211" s="39"/>
      <c r="KP211" s="39"/>
      <c r="KQ211" s="39"/>
      <c r="KR211" s="39"/>
      <c r="KS211" s="39"/>
      <c r="KT211" s="39"/>
      <c r="KU211" s="38"/>
      <c r="KV211" s="38"/>
      <c r="KW211" s="38"/>
      <c r="KX211" s="38"/>
      <c r="KY211" s="38"/>
      <c r="KZ211" s="38"/>
      <c r="LA211" s="38"/>
      <c r="LB211" s="38"/>
      <c r="LC211" s="38"/>
      <c r="LD211" s="38"/>
      <c r="LE211" s="38"/>
      <c r="LF211" s="38"/>
      <c r="LG211" s="38"/>
      <c r="LH211" s="38"/>
      <c r="LI211" s="38"/>
      <c r="LJ211" s="38"/>
      <c r="LK211" s="38"/>
      <c r="LL211" s="38"/>
      <c r="LM211" s="38"/>
      <c r="LN211" s="38"/>
      <c r="LO211" s="38"/>
      <c r="LP211" s="38"/>
      <c r="LQ211" s="38"/>
      <c r="LR211" s="38"/>
      <c r="LS211" s="38"/>
      <c r="LT211" s="38"/>
      <c r="LU211" s="38"/>
      <c r="LV211" s="38"/>
      <c r="LW211" s="38"/>
      <c r="LX211" s="38"/>
      <c r="LY211" s="38"/>
      <c r="LZ211" s="38"/>
      <c r="MA211" s="38"/>
      <c r="MB211" s="38"/>
      <c r="MC211" s="38"/>
      <c r="MD211" s="38"/>
      <c r="ME211" s="38"/>
      <c r="MF211" s="38"/>
      <c r="MG211" s="38"/>
      <c r="MH211" s="43">
        <f t="shared" si="885"/>
        <v>0</v>
      </c>
      <c r="MI211" s="43" t="str">
        <f t="shared" si="929"/>
        <v/>
      </c>
      <c r="MJ211" s="43" t="str">
        <f t="shared" si="887"/>
        <v/>
      </c>
      <c r="MK211" s="43">
        <f t="shared" si="888"/>
        <v>0</v>
      </c>
      <c r="ML21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11" s="43">
        <f t="shared" si="930"/>
        <v>12</v>
      </c>
      <c r="MN211" s="43">
        <f t="shared" si="931"/>
        <v>6</v>
      </c>
      <c r="MO211" s="43">
        <f t="shared" si="932"/>
        <v>2023</v>
      </c>
      <c r="MP211" s="43" t="str">
        <f t="shared" si="892"/>
        <v>II TRIMESTRE AÑO</v>
      </c>
      <c r="MQ211" s="43">
        <f t="shared" si="933"/>
        <v>17.808256679807268</v>
      </c>
      <c r="MR211" s="43">
        <f t="shared" si="894"/>
        <v>0</v>
      </c>
      <c r="MS211" s="43" t="str">
        <f t="shared" si="895"/>
        <v>DE 14 A 19AÑOS</v>
      </c>
      <c r="MT211" s="43">
        <f t="shared" si="896"/>
        <v>0</v>
      </c>
      <c r="MU211" s="43">
        <f t="shared" si="897"/>
        <v>0</v>
      </c>
      <c r="MV211" s="43">
        <f t="shared" si="898"/>
        <v>0</v>
      </c>
      <c r="MW211" s="43">
        <f t="shared" si="899"/>
        <v>0</v>
      </c>
      <c r="MX211" s="43" t="str">
        <f t="shared" si="900"/>
        <v/>
      </c>
      <c r="MY211" s="43" t="str">
        <f t="shared" ca="1" si="901"/>
        <v/>
      </c>
      <c r="MZ211" s="43" t="str">
        <f t="shared" si="902"/>
        <v/>
      </c>
      <c r="NA211" s="43" t="str">
        <f t="shared" si="903"/>
        <v/>
      </c>
      <c r="NB211" s="43" t="str">
        <f t="shared" si="904"/>
        <v/>
      </c>
      <c r="NC211" s="43" t="str">
        <f t="shared" si="905"/>
        <v/>
      </c>
      <c r="ND211" s="43">
        <f t="shared" ca="1" si="934"/>
        <v>0</v>
      </c>
      <c r="NE211" s="43">
        <f>IF(OR(O211&gt;0,R211&gt;0),SUM(COUNTIF(Tabla1[[#This Row],[AÑOS AL INICIO5 CPN]],"&gt;=40"),COUNTIF(AS211,"0"),COUNTIF(AR211,"SI"),COUNTIF(CC211,"SI"),COUNTIF(BQ211,"&gt;119"),COUNTIF(CI211,"&gt;=35")),"")</f>
        <v>0</v>
      </c>
      <c r="NF211" s="43" t="str">
        <f t="shared" si="935"/>
        <v/>
      </c>
      <c r="NG211" s="43">
        <f t="shared" si="908"/>
        <v>0</v>
      </c>
      <c r="NH211" s="43">
        <f t="shared" si="909"/>
        <v>126</v>
      </c>
      <c r="NI21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CPN",P211="NO"),"Z",IF(AND(Tabla1[[#This Row],[CITA PROXIMO CONTROL]]="CITA MANUAL",Tabla1[[#This Row],[GESTANTES ACTUALES]]="ACTIVA INGRESO A CPN"),"W",IF(AND(Tabla1[[#This Row],[GESTANTES ACTUALES]]="SALIO PROGRAMA",IN211=""),"S",IF(AND(Tabla1[[#This Row],[CITA PROXIMO CONTROL]]&gt;0,IN211=""),(Tabla1[[#This Row],[CITA PROXIMO CONTROL]]-TODAY()),"SD"))))))))</f>
        <v>#REF!</v>
      </c>
      <c r="NJ211" s="43">
        <f>MONTH(Tabla1[[#This Row],[FECHA DE SALIDA  DEL PROGRAMA]])</f>
        <v>1</v>
      </c>
      <c r="NK211" s="43">
        <f>YEAR(Tabla1[[#This Row],[FECHA DE SALIDA  DEL PROGRAMA]])</f>
        <v>1900</v>
      </c>
      <c r="NL211" s="43" t="str">
        <f t="shared" si="936"/>
        <v>X</v>
      </c>
      <c r="NM211" s="43" t="str">
        <f t="shared" ref="NM211:NM248" si="941">IF(AND(O211&gt;0,R211=""),"NO CPN",IF(AND(O211="",R211=""),"",IF(AND(EN211&lt;&gt;"",EX211&lt;&gt;"",FB211&lt;&gt;"",FK211&lt;&gt;"",FW211&lt;&gt;"",FZ211&lt;&gt;"",GO211&lt;&gt;"",GQ211&lt;&gt;"",GR211&lt;&gt;""),"SI","NO")))</f>
        <v>NO</v>
      </c>
      <c r="NN211" s="43" t="str">
        <f ca="1">IF(AND(O211&gt;0,R211=""),"NO CPN",IF(AND(O211="",R211=""),"",IF(AND(R211&gt;0,Tabla1[[#This Row],[SEMANAS DE GESTACION ACTUALIZADAS]]&lt;=12),"NO APLICA",IF(AND(FH211&lt;&gt;"",FN211&lt;&gt;""),"SI","NO"))))</f>
        <v>NO</v>
      </c>
      <c r="NO211" s="43" t="str">
        <f ca="1">IF(AND(O211&gt;0,R211=""),"NO CPN",IF(AND(O211="",R211=""),"",IF(AND(R211&gt;0,Tabla1[[#This Row],[SEMANAS DE GESTACION ACTUALIZADAS]]&lt;=27),"NO APLICA",IF(AND(ES211&lt;&gt;"",FQ211&lt;&gt;"",GF211&lt;&gt;""),"SI","NO"))))</f>
        <v>NO</v>
      </c>
      <c r="NP211" s="204" t="str">
        <f t="shared" si="912"/>
        <v>II TRIM</v>
      </c>
      <c r="NQ211" s="21" t="str">
        <f>IF(AND(IP212&gt;0,IP212&lt;37),10,IF(OR(CD212="Transversa",CD212="Oblicua"),9,IF(CC212="SI",8,IF(AND(AT212=0,AW212=0,CC212="NO",CD212="Cefálica",IP212&gt;=37,IT212="INICIO ESPONTÁNEO"),1,IF(AND(AND(AT212=0,AW212=0,CC212="NO",CD212="Cefálica",IP212&gt;=37),OR(IT212="LE HACEN INDUCCIÓN",IT212="LE HACEN CESÁREA SIN INICIO TRABAJO DE PARTO")),2,IF(AND(AT212&gt;=1,AW212=0,CC212="NO",CD212="Cefálica",IP212&gt;=37,IT212="INICIO ESPONTÁNEO"),3,IF(AND(AND(AT212&gt;=1,AW212=0,CC212="NO",CD212="Cefálica",IP212&gt;=37),OR(IT212="LE HACEN INDUCCIÓN",IT212="LE HACEN CESÁREA SIN INICIO TRABAJO DE PARTO")),4,IF(AND(AND(AT212&gt;=1,AW212&gt;=1,CC212="NO",CD212="Cefálica",IP212&gt;=37),OR(IT212="LE HACEN INDUCCIÓN",IT212="LE HACEN CESÁREA SIN INICIO TRABAJO DE PARTO",IT212="INICIO ESPONTÁNEO")),5,IF(AND(AND(AT212=0,AW212=0,CC212="NO",CD212="Podálica",IP212&gt;=1),OR(IT212="LE HACEN INDUCCIÓN",IT212="LE HACEN CESÁREA SIN INICIO TRABAJO DE PARTO",IT212="INICIO ESPONTÁNEO")),6,IF(AND(AND(AT212&gt;=1,CC212="NO",CD212="Podálica",IP212&gt;=1),OR(IT212="LE HACEN INDUCCIÓN",IT212="LE HACEN CESÁREA SIN INICIO TRABAJO DE PARTO",IT212="INICIO ESPONTÁNEO"),OR(AW212=0,AW212&gt;=1)),7,""))))))))))</f>
        <v/>
      </c>
      <c r="NR211" s="21">
        <f t="shared" ca="1" si="937"/>
        <v>2</v>
      </c>
      <c r="NS211" s="205">
        <f t="shared" ca="1" si="914"/>
        <v>1</v>
      </c>
      <c r="NT211" s="21">
        <f t="shared" ca="1" si="915"/>
        <v>1</v>
      </c>
      <c r="NU211" s="21" t="str">
        <f t="shared" ca="1" si="916"/>
        <v>INCOMPLETO</v>
      </c>
      <c r="NV211" s="21" t="str">
        <f t="shared" ca="1" si="917"/>
        <v>INCOMPLETO</v>
      </c>
      <c r="NW211" s="206" t="str">
        <f>IF(AND(O211="",R211=""),"",IF(OR(AND(Tabla1[[#This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11" s="207" t="str">
        <f t="shared" ca="1" si="938"/>
        <v>SIN VACUNAR</v>
      </c>
      <c r="NY211" s="43">
        <f>ROW(Tabla1[[#This Row],['# DE TAMIZAJES SIFILIS TOMADOS ]])</f>
        <v>211</v>
      </c>
      <c r="NZ211" s="43">
        <f t="shared" si="740"/>
        <v>12</v>
      </c>
      <c r="OA211" s="43" t="str">
        <f t="shared" si="741"/>
        <v/>
      </c>
      <c r="OB211" s="43" t="str">
        <f t="shared" si="742"/>
        <v/>
      </c>
      <c r="OC211" s="43" t="str">
        <f t="shared" si="743"/>
        <v/>
      </c>
      <c r="OD211" s="43" t="str">
        <f t="shared" si="744"/>
        <v>NORMAL</v>
      </c>
      <c r="OE211" s="43" t="str">
        <f t="shared" si="745"/>
        <v/>
      </c>
      <c r="OF211" s="43" t="str">
        <f t="shared" si="746"/>
        <v/>
      </c>
      <c r="OG211" s="43" t="str">
        <f t="shared" si="747"/>
        <v/>
      </c>
      <c r="OH211" s="43" t="str">
        <f t="shared" si="748"/>
        <v/>
      </c>
      <c r="OI211" s="43" t="str">
        <f t="shared" si="749"/>
        <v/>
      </c>
      <c r="OJ211" s="43" t="str">
        <f t="shared" si="750"/>
        <v/>
      </c>
      <c r="OK211" s="43" t="str">
        <f t="shared" si="751"/>
        <v/>
      </c>
      <c r="OL211" s="43" t="str">
        <f t="shared" si="752"/>
        <v/>
      </c>
      <c r="OM211" s="43" t="str">
        <f t="shared" si="753"/>
        <v/>
      </c>
      <c r="ON211" s="43" t="str">
        <f t="shared" si="754"/>
        <v/>
      </c>
      <c r="OO211" s="43" t="str">
        <f t="shared" si="755"/>
        <v/>
      </c>
      <c r="OP211" s="43" t="str">
        <f t="shared" si="756"/>
        <v/>
      </c>
      <c r="OQ211" s="43" t="str">
        <f t="shared" si="757"/>
        <v/>
      </c>
      <c r="OR211" s="43" t="str">
        <f t="shared" si="758"/>
        <v/>
      </c>
      <c r="OS211" s="43" t="str">
        <f t="shared" si="759"/>
        <v/>
      </c>
      <c r="OT211" s="43" t="str">
        <f t="shared" si="760"/>
        <v/>
      </c>
      <c r="OU211" s="43" t="str">
        <f t="shared" si="761"/>
        <v/>
      </c>
      <c r="OV211" s="110" t="str">
        <f t="shared" si="762"/>
        <v/>
      </c>
      <c r="OW211" s="43" t="str">
        <f t="shared" si="763"/>
        <v/>
      </c>
      <c r="OX211" s="43" t="str">
        <f t="shared" si="764"/>
        <v/>
      </c>
      <c r="OY211" s="43" t="str">
        <f t="shared" si="765"/>
        <v/>
      </c>
      <c r="OZ211" s="43" t="str">
        <f t="shared" si="766"/>
        <v/>
      </c>
      <c r="PA211" s="43" t="str">
        <f t="shared" si="767"/>
        <v/>
      </c>
      <c r="PB211" s="43" t="str">
        <f t="shared" si="768"/>
        <v/>
      </c>
      <c r="PC211" s="43" t="str">
        <f t="shared" si="769"/>
        <v/>
      </c>
      <c r="PD211" s="43" t="str">
        <f t="shared" si="770"/>
        <v/>
      </c>
      <c r="PE211" s="43" t="str">
        <f t="shared" si="771"/>
        <v/>
      </c>
      <c r="PF211" s="43" t="str">
        <f t="shared" si="772"/>
        <v/>
      </c>
      <c r="PG211" s="43" t="str">
        <f t="shared" si="773"/>
        <v/>
      </c>
      <c r="PH211" s="43" t="str">
        <f t="shared" si="774"/>
        <v/>
      </c>
      <c r="PI211" s="43">
        <f t="shared" si="775"/>
        <v>24</v>
      </c>
      <c r="PJ211" s="43" t="str">
        <f t="shared" si="776"/>
        <v/>
      </c>
      <c r="PK211" s="43" t="str">
        <f t="shared" si="777"/>
        <v/>
      </c>
      <c r="PL211" s="43" t="str">
        <f t="shared" si="778"/>
        <v/>
      </c>
      <c r="PM211" s="43" t="str">
        <f t="shared" si="779"/>
        <v/>
      </c>
      <c r="PN211" s="43" t="str">
        <f t="shared" si="780"/>
        <v/>
      </c>
      <c r="PO211" s="43" t="str">
        <f t="shared" si="781"/>
        <v/>
      </c>
      <c r="PP211" s="43" t="str">
        <f t="shared" si="782"/>
        <v/>
      </c>
      <c r="PQ211" s="43" t="str">
        <f t="shared" si="783"/>
        <v/>
      </c>
      <c r="PR211" s="43" t="str">
        <f t="shared" si="784"/>
        <v/>
      </c>
      <c r="PS211" s="43" t="str">
        <f t="shared" si="785"/>
        <v/>
      </c>
      <c r="PT211" s="43" t="str">
        <f t="shared" si="786"/>
        <v/>
      </c>
      <c r="PU211" s="43" t="str">
        <f t="shared" si="787"/>
        <v/>
      </c>
      <c r="PV211" s="43" t="str">
        <f t="shared" si="788"/>
        <v/>
      </c>
      <c r="PW211" s="43" t="str">
        <f t="shared" si="789"/>
        <v/>
      </c>
      <c r="PX211" s="43" t="str">
        <f t="shared" si="790"/>
        <v/>
      </c>
      <c r="PY211" s="43" t="str">
        <f t="shared" si="791"/>
        <v>BAJO PESO</v>
      </c>
      <c r="PZ211" s="43" t="str">
        <f t="shared" si="792"/>
        <v/>
      </c>
      <c r="QA211" s="43" t="str">
        <f t="shared" si="793"/>
        <v/>
      </c>
      <c r="QB211" s="43" t="str">
        <f t="shared" si="794"/>
        <v/>
      </c>
      <c r="QC211" s="43" t="str">
        <f t="shared" si="795"/>
        <v/>
      </c>
      <c r="QD211" s="43" t="str">
        <f t="shared" si="796"/>
        <v/>
      </c>
      <c r="QE211" s="43" t="str">
        <f t="shared" si="797"/>
        <v/>
      </c>
      <c r="QF211" s="43" t="str">
        <f t="shared" si="798"/>
        <v/>
      </c>
      <c r="QG211" s="43" t="str">
        <f t="shared" si="799"/>
        <v/>
      </c>
      <c r="QH211" s="43" t="str">
        <f t="shared" si="800"/>
        <v/>
      </c>
      <c r="QI211" s="43" t="str">
        <f t="shared" si="801"/>
        <v/>
      </c>
      <c r="QJ211" s="43" t="str">
        <f t="shared" si="802"/>
        <v/>
      </c>
      <c r="QK211" s="43" t="str">
        <f t="shared" si="803"/>
        <v/>
      </c>
      <c r="QL211" s="43" t="str">
        <f t="shared" si="804"/>
        <v/>
      </c>
      <c r="QM211" s="43" t="str">
        <f t="shared" si="805"/>
        <v/>
      </c>
      <c r="QN211" s="43" t="str">
        <f t="shared" si="806"/>
        <v/>
      </c>
      <c r="QO211" s="43" t="str">
        <f t="shared" si="807"/>
        <v/>
      </c>
      <c r="QP211" s="43" t="str">
        <f t="shared" si="808"/>
        <v/>
      </c>
      <c r="QQ211" s="43" t="str">
        <f t="shared" si="809"/>
        <v/>
      </c>
      <c r="QR211" s="43">
        <f t="shared" si="839"/>
        <v>24</v>
      </c>
      <c r="QS211" s="43"/>
      <c r="QT211" s="21" t="str">
        <f t="shared" si="810"/>
        <v/>
      </c>
      <c r="QU211" s="21" t="str">
        <f t="shared" si="811"/>
        <v/>
      </c>
      <c r="QV211" s="21" t="str">
        <f t="shared" si="812"/>
        <v/>
      </c>
      <c r="QW211" s="21" t="str">
        <f t="shared" si="813"/>
        <v/>
      </c>
      <c r="QX211" s="21" t="str">
        <f t="shared" si="814"/>
        <v/>
      </c>
      <c r="QY211" s="21" t="str">
        <f t="shared" si="815"/>
        <v/>
      </c>
      <c r="QZ211" s="21" t="str">
        <f t="shared" si="816"/>
        <v/>
      </c>
      <c r="RA211" s="21" t="str">
        <f t="shared" si="817"/>
        <v/>
      </c>
      <c r="RB211" s="21" t="str">
        <f t="shared" si="818"/>
        <v/>
      </c>
      <c r="RC211" s="21" t="str">
        <f t="shared" si="819"/>
        <v/>
      </c>
      <c r="RD211" s="21" t="str">
        <f t="shared" si="820"/>
        <v/>
      </c>
      <c r="RE211" s="21" t="str">
        <f t="shared" si="821"/>
        <v>BAJO PARA EDAD GESTACIONAL</v>
      </c>
      <c r="RF211" s="21" t="str">
        <f t="shared" si="822"/>
        <v/>
      </c>
      <c r="RG211" s="21" t="str">
        <f t="shared" si="823"/>
        <v/>
      </c>
      <c r="RH211" s="21" t="str">
        <f t="shared" si="824"/>
        <v/>
      </c>
      <c r="RI211" s="21" t="str">
        <f t="shared" si="825"/>
        <v/>
      </c>
      <c r="RJ211" s="21" t="str">
        <f t="shared" si="826"/>
        <v/>
      </c>
      <c r="RK211" s="21" t="str">
        <f t="shared" si="827"/>
        <v/>
      </c>
      <c r="RL211" s="21" t="str">
        <f t="shared" si="828"/>
        <v/>
      </c>
      <c r="RM211" s="21" t="str">
        <f t="shared" si="829"/>
        <v/>
      </c>
      <c r="RN211" s="21" t="str">
        <f t="shared" si="830"/>
        <v/>
      </c>
      <c r="RO211" s="21" t="str">
        <f t="shared" si="831"/>
        <v/>
      </c>
      <c r="RP211" s="21" t="str">
        <f t="shared" si="832"/>
        <v/>
      </c>
      <c r="RQ211" s="21" t="str">
        <f t="shared" si="833"/>
        <v/>
      </c>
      <c r="RR211" s="21" t="str">
        <f t="shared" si="834"/>
        <v/>
      </c>
      <c r="RS211" s="21" t="str">
        <f t="shared" si="835"/>
        <v/>
      </c>
      <c r="RT211" s="21" t="str">
        <f t="shared" si="836"/>
        <v/>
      </c>
      <c r="RU211" s="21" t="str">
        <f t="shared" si="837"/>
        <v/>
      </c>
      <c r="RV211" s="21">
        <f t="shared" si="838"/>
        <v>-1</v>
      </c>
      <c r="RW211" s="284">
        <f>IF(OR(Tabla1[[#This Row],[FUM FORMULA CONFIABLE]]="",Tabla1[[#This Row],[FUM FORMULA CONFIABLE]]="SD"),"",IF(Tabla1[[#This Row],[FUM FORMULA CONFIABLE]]="CORREGIDA",Tabla1[[#This Row],[FUM X ECO 1]],Tabla1[[#This Row],[FUM x AMENORREA]]))</f>
        <v>44995</v>
      </c>
      <c r="RX211" s="21">
        <f>IF(AND(Tabla1[[#This Row],[FUM X ECO 1]]="",Tabla1[[#This Row],[FUM x AMENORREA]]=""),"",IF(AND(Tabla1[[#This Row],[FUM X ECO 1]]="",Tabla1[[#This Row],[FUM x AMENORREA]]&lt;&gt;""),"X",SUM(Tabla1[[#This Row],[FUM X ECO 1]]-Tabla1[[#This Row],[FUM x AMENORREA]])))</f>
        <v>8</v>
      </c>
      <c r="RY211" s="21">
        <f t="shared" si="840"/>
        <v>1</v>
      </c>
    </row>
    <row r="212" spans="1:493" ht="45" customHeight="1" x14ac:dyDescent="0.25">
      <c r="A212" s="109"/>
      <c r="B212" s="43"/>
      <c r="C212" s="43" t="s">
        <v>845</v>
      </c>
      <c r="D212" s="124"/>
      <c r="E212" s="43" t="s">
        <v>873</v>
      </c>
      <c r="F212" s="43" t="s">
        <v>874</v>
      </c>
      <c r="G212" s="43" t="s">
        <v>1215</v>
      </c>
      <c r="H212" s="43"/>
      <c r="I212" s="109" t="s">
        <v>851</v>
      </c>
      <c r="J212" s="110">
        <v>1002849181</v>
      </c>
      <c r="K212" s="43" t="s">
        <v>852</v>
      </c>
      <c r="L212" s="175" t="s">
        <v>1509</v>
      </c>
      <c r="M212" s="22">
        <v>36747</v>
      </c>
      <c r="N212" s="213">
        <f t="shared" ca="1" si="841"/>
        <v>23.246575342465754</v>
      </c>
      <c r="O212" s="22">
        <v>45079</v>
      </c>
      <c r="P212" s="214" t="str">
        <f t="shared" si="919"/>
        <v>SI</v>
      </c>
      <c r="Q212" s="26" t="s">
        <v>855</v>
      </c>
      <c r="R212" s="22">
        <v>45079</v>
      </c>
      <c r="S212" s="21" t="s">
        <v>856</v>
      </c>
      <c r="T212" s="24" t="s">
        <v>690</v>
      </c>
      <c r="U212" s="21" t="s">
        <v>857</v>
      </c>
      <c r="V212" s="21" t="s">
        <v>858</v>
      </c>
      <c r="W212" s="21" t="s">
        <v>876</v>
      </c>
      <c r="X212" s="21"/>
      <c r="Y212" s="21" t="s">
        <v>859</v>
      </c>
      <c r="Z212" s="21" t="s">
        <v>894</v>
      </c>
      <c r="AA212" s="21" t="s">
        <v>860</v>
      </c>
      <c r="AB212" s="27" t="s">
        <v>861</v>
      </c>
      <c r="AC212" s="26" t="s">
        <v>877</v>
      </c>
      <c r="AD212" s="38" t="s">
        <v>1546</v>
      </c>
      <c r="AE212" s="26" t="s">
        <v>854</v>
      </c>
      <c r="AF212" s="26" t="s">
        <v>854</v>
      </c>
      <c r="AG212" s="23" t="s">
        <v>864</v>
      </c>
      <c r="AH212" s="23" t="s">
        <v>864</v>
      </c>
      <c r="AI212" s="24" t="s">
        <v>863</v>
      </c>
      <c r="AJ212" s="23" t="s">
        <v>864</v>
      </c>
      <c r="AK212" s="220" t="str">
        <f>IF(AND(AD212="",AE212="",AF212="",AG212="",AH212="",AI212="",AJ212=""),"",IF(OR(Tabla1[[#This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EVALUACIÓN",IF(AND(O212="",R212=""),"",IF(AND(OR(O212&gt;0,R212&gt;0),NG212&gt;=0,NG212&lt;2),"SIN RIESGO",IF(AND(OR(O212&gt;0,R212&gt;0),NG212&gt;=2),"CON RIESGO","ASD")))))</f>
        <v>SIN RIESGO</v>
      </c>
      <c r="AL212" s="23" t="s">
        <v>864</v>
      </c>
      <c r="AM212" s="26" t="s">
        <v>864</v>
      </c>
      <c r="AN212" s="26" t="s">
        <v>864</v>
      </c>
      <c r="AO212" s="26" t="s">
        <v>864</v>
      </c>
      <c r="AP212" s="26" t="s">
        <v>864</v>
      </c>
      <c r="AQ212" s="26" t="s">
        <v>864</v>
      </c>
      <c r="AR212" s="26" t="s">
        <v>864</v>
      </c>
      <c r="AS212" s="21">
        <v>3</v>
      </c>
      <c r="AT212" s="21">
        <v>3</v>
      </c>
      <c r="AU212" s="21">
        <v>0</v>
      </c>
      <c r="AV212" s="26" t="s">
        <v>864</v>
      </c>
      <c r="AW212" s="21">
        <v>0</v>
      </c>
      <c r="AX212" s="26" t="s">
        <v>864</v>
      </c>
      <c r="AY212" s="26" t="s">
        <v>864</v>
      </c>
      <c r="AZ212" s="26" t="s">
        <v>864</v>
      </c>
      <c r="BA212" s="26" t="s">
        <v>864</v>
      </c>
      <c r="BB212" s="26" t="s">
        <v>864</v>
      </c>
      <c r="BC212" s="26" t="s">
        <v>864</v>
      </c>
      <c r="BD212" s="26" t="s">
        <v>864</v>
      </c>
      <c r="BE212" s="26" t="s">
        <v>864</v>
      </c>
      <c r="BF212" s="26" t="s">
        <v>864</v>
      </c>
      <c r="BG212" s="26" t="s">
        <v>864</v>
      </c>
      <c r="BH212" s="26" t="s">
        <v>864</v>
      </c>
      <c r="BI212" s="26" t="s">
        <v>864</v>
      </c>
      <c r="BJ212" s="26" t="s">
        <v>864</v>
      </c>
      <c r="BK212" s="26" t="s">
        <v>864</v>
      </c>
      <c r="BL212" s="26" t="s">
        <v>864</v>
      </c>
      <c r="BM212" s="26" t="s">
        <v>864</v>
      </c>
      <c r="BN212" s="22">
        <v>40583</v>
      </c>
      <c r="BO212" s="22">
        <v>44954</v>
      </c>
      <c r="BP212" s="21" t="s">
        <v>854</v>
      </c>
      <c r="BQ212" s="222">
        <f t="shared" si="842"/>
        <v>145.69999999999999</v>
      </c>
      <c r="BR212" s="223">
        <f t="shared" si="843"/>
        <v>44944.6</v>
      </c>
      <c r="BS212" s="224">
        <f t="shared" si="844"/>
        <v>17.857142857142858</v>
      </c>
      <c r="BT212" s="216" t="str">
        <f t="shared" si="845"/>
        <v>II TRIM</v>
      </c>
      <c r="BU212" s="214">
        <f t="shared" ca="1" si="928"/>
        <v>39.714285714285715</v>
      </c>
      <c r="BV212" s="25"/>
      <c r="BW212" s="22">
        <v>45121</v>
      </c>
      <c r="BX212" s="28">
        <v>25.2</v>
      </c>
      <c r="BY212" s="28"/>
      <c r="BZ212" s="22"/>
      <c r="CA212" s="21"/>
      <c r="CB212" s="26"/>
      <c r="CC212" s="26"/>
      <c r="CD212" s="26"/>
      <c r="CE212" s="26"/>
      <c r="CF212" s="22" t="s">
        <v>1517</v>
      </c>
      <c r="CG212" s="21">
        <v>1.5</v>
      </c>
      <c r="CH212" s="21">
        <v>61</v>
      </c>
      <c r="CI212" s="214">
        <f t="shared" si="847"/>
        <v>27.111111111111111</v>
      </c>
      <c r="CJ212" s="225" t="e">
        <f>IF(AND(CI212&lt;10,CH212="SD"),"SIN DATO PESO PREGESTACION O I TRIM",IF(AND(OR(R212&gt;0,O212&gt;0),CI212="X"),"INGRESAR DATO DE PESO",IF(CI212="SD","INGRESAR DATO DE TALLA Y PESO",IF(AND(OR(Tabla1[[#This Row],[MOMENTO EN QUE SE REALIZA EL PESO AL INGRESO A CPN]]="PREGESTACIÓN",NZ212="Menor"),CI212&lt;18.5),"BAJO PESO",IF(AND(OR(Tabla1[[#This Row],[MOMENTO EN QUE SE REALIZA EL PESO AL INGRESO A CPN]]="PREGESTACIÓN",NZ212="Menor"),CI212&lt;25),"NORMAL",IF(AND(OR(Tabla1[[#This Row],[MOMENTO EN QUE SE REALIZA EL PESO AL INGRESO A CPN]]="PREGESTACIÓN",NZ212="Menor"),CI212&lt;30),"SOBREPESO",IF(AND(OR(Tabla1[[#This Row],[MOMENTO EN QUE SE REALIZA EL PESO AL INGRESO A CPN]]="PREGESTACIÓN",NZ212="Menor"),CI212&gt;=30,CI212&lt;50),"OBESIDAD",IF(AND(BS212&gt;0,Tabla1[[#This Row],[MOMENTO EN QUE SE REALIZA EL PESO AL INGRESO A CPN]]="GESTACIÓN"),HLOOKUP(NZ212,$OA$2:PH212,NY212),""))))))))</f>
        <v>#REF!</v>
      </c>
      <c r="CK212" s="212">
        <f t="shared" si="848"/>
        <v>45121</v>
      </c>
      <c r="CL212" s="21">
        <v>62.5</v>
      </c>
      <c r="CM212" s="214">
        <f t="shared" si="849"/>
        <v>27.777777777777779</v>
      </c>
      <c r="CN212" s="216">
        <f t="shared" si="850"/>
        <v>23</v>
      </c>
      <c r="CO212" s="216" t="e">
        <f>IF(PI212="","",IF(PI212&gt;0,HLOOKUP(PI212,$PJ$2:QQ212,NY212),""))</f>
        <v>#REF!</v>
      </c>
      <c r="CP212" s="21">
        <v>20</v>
      </c>
      <c r="CQ212" s="216" t="e">
        <f>IF(QR212="Menor","NO APLICA-MENOR 13 SEM",IF(AND(CC212="SI",CN212&gt;23),"NO APLICA- GEMELAR",IF(QR212="","",IF(QR212&gt;0,HLOOKUP(QR212,$QS$2:RU212,NY212),""))))</f>
        <v>#REF!</v>
      </c>
      <c r="CR212" s="21"/>
      <c r="CS212" s="21"/>
      <c r="CT212" s="217" t="str">
        <f>IF(R212="","",IF(AND(BS212&gt;1,BS212&lt;12,Tabla1[[#This Row],[T.A. SISTOLICA - ANTES DE SEMANA 12]]="",Tabla1[[#This Row],[T.A. DIASTOLICA - ANTES DE SEMANA 12]]=""),"REGISTRE DATO TA ANTES SEMANA 12",IF(AND(BS212&gt;11,BS212&lt;43,Tabla1[[#This Row],[T.A. SISTOLICA - ANTES DE SEMANA 12]]="",Tabla1[[#This Row],[T.A. DIASTOLICA - ANTES DE SEMANA 12]]=""),"NO APLICA REGISTRO TA-INGRESO TARDIO",IF(AND(OR(O212&gt;0,R212&gt;0),OR(CR212&gt;=140,CS212&gt;=90)),"DEFINIR ESTADIO HTA",IF(AND(OR(O212&gt;0,R212&gt;0),AND(CR212&gt;120,CR212&lt;=139)),"PRE HTA SEGUIMIENTO",IF(AND(OR(O212&gt;0,R212&gt;0),AND(CS212&gt;80,CS212&lt;=89)),"PRE HTA SEGUIMIENTO",IF(AND(OR(O212&gt;0,R212&gt;0),AND(CR212&gt;=80,CR212&lt;=120)),"APARENTEMENTE NORMAL",IF(AND(OR(O212&gt;0,R212&gt;0),AND(CS212&gt;=50,CS212&lt;=80)),"APARENTEMENTE NORMAL",IF(AND(OR(O212&gt;0,R212&gt;0),AND(CR212&gt;1,CR212&lt;=70),AND(CS212&gt;1,CS212&lt;=40)),"HIPOTENSIÓN","")))))))))</f>
        <v>NO APLICA REGISTRO TA-INGRESO TARDIO</v>
      </c>
      <c r="CU212" s="21">
        <v>90</v>
      </c>
      <c r="CV212" s="21">
        <v>60</v>
      </c>
      <c r="CW212" s="217" t="str">
        <f ca="1">IF(R212="","",IF(AND(CN212&gt;19,CN212&lt;27,Tabla1[[#This Row],[T.A. SISTOLICA (Entre semana 20 y 26)]]="",Tabla1[[#This Row],[T.A. DIATOLICA (Entre semana 20 y 26)]]=""),"ACUDE A CONTROL SEM 20 A 26 REGISTRE TA AHORA",IF(AND(BS212&gt;1,BS212&lt;27,BU212&gt;19,Tabla1[[#This Row],[T.A. SISTOLICA (Entre semana 20 y 26)]]="",Tabla1[[#This Row],[T.A. DIATOLICA (Entre semana 20 y 26)]]=""),"COMPLETE REGISTRO TA CONTROL SEM 20 A26 ",IF(AND(BS212&gt;26,BS212&lt;43,Tabla1[[#This Row],[T.A. SISTOLICA (Entre semana 20 y 26)]]="",Tabla1[[#This Row],[T.A. DIATOLICA (Entre semana 20 y 26)]]=""),"NO APLICA REGISTRO TA-INGRESO TARDIO",IF(AND(OR(O212&gt;0,R212&gt;0),OR(CU212&gt;=140,CV212&gt;=90)),"ALTO RIESGO PREECLAMPSIA,DEFINIR ESTADIO HTA",IF(AND(OR(O212&gt;0,R212&gt;0),AND(CU212&gt;120,CU212&lt;=139)),"PRE HTA SEGUIMIENTO,RIESGO HIPERTENSION INDUCIDA POR EL EMBARAZO",IF(AND(OR(O212&gt;0,R212&gt;0),AND(CV212&gt;80,CV212&lt;=89)),"PRE HTA SEGUIMIENTO, RIESGO HIPERTENSION INDUCIDA POR EL EMBARAZO",IF(AND(OR(O212&lt;&gt;"",R212&lt;&gt;""),CS212&lt;&gt;"",CV212&lt;&gt;"",CS212&lt;=CV212),"VIGILAR CIFRAS PRESION ARTERIAL",IF(AND(OR(O212&gt;0,R212&gt;0),AND(CU212&gt;120,CU212&lt;=139)),"PRE HTA SEGUIMIENTO",IF(AND(OR(O212&gt;0,R212&gt;0),AND(CU212&gt;1,CU212&lt;=70),AND(CV212&gt;1,CV212&lt;=40)),"HIPOTENSIÓN",IF(AND(OR(O212&lt;&gt;"",R212&lt;&gt;""),CS212&lt;&gt;"",CV212&lt;&gt;"",CS212&gt;CV212),"APARENTEMENTE NORMAL",IF(AND(OR(O212&gt;0,R212&gt;0),AND(CU212&gt;=80,CU212&lt;=120)),"APARENTEMENTE NORMAL",IF(AND(OR(O212&gt;0,R212&gt;0),AND(CV212&gt;=50,CV212&lt;=80)),"APARENTEMENTE NORMAL","")))))))))))))</f>
        <v>APARENTEMENTE NORMAL</v>
      </c>
      <c r="CX212" s="21"/>
      <c r="CY212" s="21"/>
      <c r="CZ212" s="216" t="e">
        <f>IF(R212="","",IF(AND(CN212&gt;31,CN212&lt;35,CX212="",CY212=""),"ACUDE A CONTROL SEM 30 A 34- REGISTRE AHORA",IF(AND(BS212&gt;34,BS212&lt;43,#REF!="",#REF!=""),"NO APLICA-INGRESO TARDIO",IF(AND(OR(O212&gt;0,R212&gt;0),OR(CX212&gt;=140,CY212&gt;=90)),"ESTUDIO INMEDIATO HTA PARA DESCARTAR PREECLAMSIA",IF(AND(OR(O212&gt;0,R212&gt;0),AND(CX212&gt;=130,CX212&lt;=139)),"PRE HTA,RIESGO ALTO PREECLAMPSIA",IF(AND(OR(O212&gt;0,R212&gt;0),AND(CY212&gt;80,CY212&lt;=89)),"PRE HTA,RIESGO ALTO PREECLAMPSIA",IF(AND(OR(O212&gt;0,R212&gt;0),AND(CX212&gt;120,CX212&lt;=129)),"RANGO PREHIPERTENSIVO SEGUIMIENTO HTA",IF(AND(OR(O212&lt;&gt;"",R212&lt;&gt;""),CS212&lt;&gt;"",CY212&lt;&gt;"",CS212&lt;CY212),"VIGILAR CIFRAS PRESION ARTERIAL",IF(AND(OR(O212&lt;&gt;"",R212&lt;&gt;""),CS212&lt;&gt;"",CY212&lt;&gt;"",CS212=CY212),"APARENTEMENTE NORMAL",IF(AND(OR(O212&gt;0,R212&gt;0),CX212&gt;=80,CX212&lt;=120),"APARENTEMENTE NORMAL",IF(AND(OR(O212&gt;0,R212&gt;0),CY212&gt;=50,CY212&lt;=80),"APARENTEMENTE NORMAL","")))))))))))</f>
        <v>#REF!</v>
      </c>
      <c r="DA212" s="21">
        <v>90</v>
      </c>
      <c r="DB212" s="21">
        <v>60</v>
      </c>
      <c r="DC212" s="217" t="str">
        <f t="shared" si="851"/>
        <v>APARENTEMENTE NORMAL</v>
      </c>
      <c r="DD212" s="22">
        <v>45079</v>
      </c>
      <c r="DE212" s="22">
        <v>45079</v>
      </c>
      <c r="DF212" s="22">
        <v>45121</v>
      </c>
      <c r="DG212" s="22"/>
      <c r="DH212" s="22"/>
      <c r="DI212" s="22"/>
      <c r="DJ212" s="22"/>
      <c r="DK212" s="22"/>
      <c r="DL212" s="22"/>
      <c r="DM212" s="22"/>
      <c r="DN212" s="22"/>
      <c r="DO212" s="22"/>
      <c r="DP212" s="22"/>
      <c r="DQ212" s="22"/>
      <c r="DR212" s="28"/>
      <c r="DS212" s="22"/>
      <c r="DT212" s="22"/>
      <c r="DU212" s="216" t="str">
        <f t="shared" ca="1" si="920"/>
        <v>CONCERTAR PLAN DE PARTO INMEDIATO</v>
      </c>
      <c r="DV212" s="226" t="str">
        <f t="shared" si="921"/>
        <v>ACTIVA INGRESO A CPN</v>
      </c>
      <c r="DW212"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12" s="216" t="e">
        <f t="shared" ca="1" si="852"/>
        <v>#REF!</v>
      </c>
      <c r="DY212" s="212">
        <f>IF(R212="","",IF(R212&gt;0,MAX(Tabla1[[#This Row],[FECHA C2]:[FECHA C13]],Tabla1[[#This Row],[FECHA CONSULTA PRIMERA VEZ PROGRAMA CPN ]])))</f>
        <v>45121</v>
      </c>
      <c r="DZ212" s="216">
        <f t="shared" si="853"/>
        <v>23</v>
      </c>
      <c r="EA212" s="222">
        <f>IF(R212&gt;0,SUM(COUNTA(DF212:DQ212)+COUNTA(Tabla1[[#This Row],[FECHA CONSULTA PRIMERA VEZ PROGRAMA CPN ]])),"")</f>
        <v>2</v>
      </c>
      <c r="EB212" s="222" t="str">
        <f t="shared" si="854"/>
        <v>NO</v>
      </c>
      <c r="EC212" s="214">
        <f t="shared" si="855"/>
        <v>7</v>
      </c>
      <c r="ED212" s="227">
        <f t="shared" si="856"/>
        <v>0.2857142857142857</v>
      </c>
      <c r="EE212" s="22">
        <v>45079</v>
      </c>
      <c r="EF212" s="22">
        <v>45079</v>
      </c>
      <c r="EG212" s="22">
        <v>45079</v>
      </c>
      <c r="EH212" s="22"/>
      <c r="EI212" s="22">
        <v>45079</v>
      </c>
      <c r="EJ212" s="22"/>
      <c r="EK212" s="22"/>
      <c r="EL212" s="21"/>
      <c r="EM212" s="21">
        <v>11</v>
      </c>
      <c r="EN212" s="22">
        <v>45121</v>
      </c>
      <c r="EO212" s="222">
        <f t="shared" si="857"/>
        <v>23.857142857142858</v>
      </c>
      <c r="EP212" s="214" t="str">
        <f t="shared" si="858"/>
        <v>NORMAL- SUMINISTRAR SULFATO FERROSO</v>
      </c>
      <c r="EQ212" s="216" t="str">
        <f t="shared" si="859"/>
        <v>II TRIM</v>
      </c>
      <c r="ER212" s="24"/>
      <c r="ES212" s="22"/>
      <c r="ET212" s="29" t="str">
        <f t="shared" ca="1" si="922"/>
        <v>TOMA DE HEMOGLOBINA TARDÍA</v>
      </c>
      <c r="EU212" s="25" t="str">
        <f t="shared" si="860"/>
        <v/>
      </c>
      <c r="EV212" s="24" t="s">
        <v>1510</v>
      </c>
      <c r="EW212" s="22">
        <v>45121</v>
      </c>
      <c r="EX212" s="22"/>
      <c r="EY212" s="29">
        <f t="shared" si="693"/>
        <v>23.857142857142858</v>
      </c>
      <c r="EZ212" s="25" t="str">
        <f t="shared" si="694"/>
        <v>SIN RIESGO DE ISOINMUNIZACIÓN</v>
      </c>
      <c r="FA212" s="21">
        <v>90</v>
      </c>
      <c r="FB212" s="22">
        <v>45121</v>
      </c>
      <c r="FC212" s="29">
        <f t="shared" si="861"/>
        <v>23.857142857142858</v>
      </c>
      <c r="FD212" s="29"/>
      <c r="FE212" s="29"/>
      <c r="FF212" s="29"/>
      <c r="FG212" s="21" t="str">
        <f t="shared" ca="1" si="862"/>
        <v>TOMAR PTOG</v>
      </c>
      <c r="FH212" s="31"/>
      <c r="FI212" s="29" t="str">
        <f t="shared" si="863"/>
        <v>TOMAR EXAMEN</v>
      </c>
      <c r="FJ212" s="22"/>
      <c r="FK212" s="22"/>
      <c r="FL212" s="29" t="str">
        <f t="shared" ca="1" si="864"/>
        <v>NO APLICA-INGRESO TARDIO</v>
      </c>
      <c r="FM212" s="22" t="s">
        <v>867</v>
      </c>
      <c r="FN212" s="22">
        <v>45121</v>
      </c>
      <c r="FO212" s="29">
        <f t="shared" ca="1" si="923"/>
        <v>23.857142857142858</v>
      </c>
      <c r="FP212" s="22"/>
      <c r="FQ212" s="32"/>
      <c r="FR212" s="29" t="str">
        <f t="shared" ca="1" si="924"/>
        <v>TOMA INMEDIATA DE TAMIZAJE</v>
      </c>
      <c r="FS212" s="22"/>
      <c r="FT212" s="32"/>
      <c r="FU212" s="29" t="str">
        <f>IF(AND(FJ212="",FM212="",FP212="",FS212=""),"",IF(OR(OR(Tabla1[[#This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12" s="28"/>
      <c r="FW212" s="22"/>
      <c r="FX212" s="29" t="str">
        <f t="shared" si="865"/>
        <v>TOMAR EXAMEN</v>
      </c>
      <c r="FY212" s="22"/>
      <c r="FZ212" s="22"/>
      <c r="GA212" s="29" t="str">
        <f t="shared" ca="1" si="939"/>
        <v>NO APLICA-INGRESO TARDIO</v>
      </c>
      <c r="GB212" s="22" t="s">
        <v>868</v>
      </c>
      <c r="GC212" s="22">
        <v>45125</v>
      </c>
      <c r="GD212" s="29">
        <f t="shared" ca="1" si="940"/>
        <v>24.428571428571427</v>
      </c>
      <c r="GE212" s="22"/>
      <c r="GF212" s="22"/>
      <c r="GG212" s="29" t="str">
        <f t="shared" ca="1" si="926"/>
        <v>TOMA INMEDIATA DE TAMIZAJE</v>
      </c>
      <c r="GH212" s="22"/>
      <c r="GI212" s="29"/>
      <c r="GJ212" s="22"/>
      <c r="GK212" s="22"/>
      <c r="GL212" s="22"/>
      <c r="GM212" s="22"/>
      <c r="GN212" s="28" t="s">
        <v>869</v>
      </c>
      <c r="GO212" s="22">
        <v>45125</v>
      </c>
      <c r="GP212" s="29">
        <f t="shared" si="866"/>
        <v>24.428571428571427</v>
      </c>
      <c r="GQ212" s="28" t="s">
        <v>846</v>
      </c>
      <c r="GR212" s="28" t="s">
        <v>869</v>
      </c>
      <c r="GS212" s="22" t="str">
        <f t="shared" si="728"/>
        <v/>
      </c>
      <c r="GT212" s="22">
        <v>45125</v>
      </c>
      <c r="GU212" s="29">
        <f t="shared" si="867"/>
        <v>24.428571428571427</v>
      </c>
      <c r="GV212" s="21" t="str">
        <f t="shared" si="868"/>
        <v>II TRIM</v>
      </c>
      <c r="GW212" s="28"/>
      <c r="GX212" s="30"/>
      <c r="GY212" s="21"/>
      <c r="GZ212" s="21"/>
      <c r="HA212" s="21"/>
      <c r="HB212" s="21"/>
      <c r="HC212" s="21"/>
      <c r="HD212" s="21"/>
      <c r="HE212" s="21"/>
      <c r="HF212" s="22"/>
      <c r="HG212" s="22" t="str">
        <f>IF(OR(O212&gt;0,R212&gt;0),CONCATENATE(IF(Tabla1[[#This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12" s="22" t="e">
        <f t="shared" si="869"/>
        <v>#REF!</v>
      </c>
      <c r="HI212" s="22" t="e">
        <f t="shared" ca="1" si="870"/>
        <v>#REF!</v>
      </c>
      <c r="HJ212" s="21" t="str">
        <f t="shared" ca="1" si="871"/>
        <v>***************************************</v>
      </c>
      <c r="HK212" s="21" t="str">
        <f t="shared" si="872"/>
        <v>SIN ANTECEDENTES DE RIESGO</v>
      </c>
      <c r="HL212" s="24" t="str">
        <f t="shared" si="873"/>
        <v>APARENTEMENTE NORMAL</v>
      </c>
      <c r="HM212" s="21" t="e">
        <f t="shared" ca="1" si="874"/>
        <v>#REF!</v>
      </c>
      <c r="HN212" s="30" t="str">
        <f t="shared" si="927"/>
        <v>ACTIVA INGRESO A CPN</v>
      </c>
      <c r="HO212" s="21"/>
      <c r="HP212" s="21"/>
      <c r="HQ212" s="349"/>
      <c r="HR212" s="21" t="str">
        <f>IF(R212="","",IF(Tabla1[[#This Row],[ALARMA FACTORES DE RIESGO COMPLICACIONES HIPERTENSIVAS3]]="SIN ANTECEDENTES DE RIESGO","No Aplica para suministro de ASA",IF(AND(Tabla1[[#This Row],[FECHA INICIO DE SUMINISTRO DE ASA]]&gt;0,RV212&lt;12),"Inicia ASA ANTES de Sem 12",IF(AND(RV212&gt;11,RV212&lt;17,OR(HK212="RIESGO ALTO DE COMPLICACIONES HIPERTENSIVAS VER MANEJO GUIA SUMINISTRO ASA Y CALCIO",HK212="RIESGO MODERADO (2 O MAS CRITERIOS) VER MANEJO GUIA SUMINISTRO ASA Y CALCIO")),"Inicio oportuno de ASA",IF(AND(RV212&gt;12,OR(HK212="RIESGO ALTO DE COMPLICACIONES HIPERTENSIVAS VER MANEJO GUIA SUMINISTRO ASA Y CALCIO",HK212="RIESGO MODERADO (2 O MAS CRITERIOS) VER MANEJO GUIA SUMINISTRO ASA Y CALCIO")),"Inicio no oportuno mayor a 16 semanas",IF(AND(BU212&lt;12,OR(HK212="RIESGO ALTO DE COMPLICACIONES HIPERTENSIVAS VER MANEJO GUIA SUMINISTRO ASA Y CALCIO",HK212="RIESGO MODERADO (2 O MAS CRITERIOS) VER MANEJO GUIA SUMINISTRO ASA Y CALCIO")),"Pendiente Inicio de ASA a la semana 12",IF(AND(BU212&gt;11,BU212&lt;17,OR(HK212="RIESGO ALTO DE COMPLICACIONES HIPERTENSIVAS VER MANEJO GUIA SUMINISTRO ASA Y CALCIO",HK212="RIESGO MODERADO (2 O MAS CRITERIOS) VER MANEJO GUIA SUMINISTRO ASA Y CALCIO")),"Iniciar de inmediato ASA",IF(AND(BU212&gt;16,OR(HK212="RIESGO ALTO DE COMPLICACIONES HIPERTENSIVAS VER MANEJO GUIA SUMINISTRO ASA Y CALCIO",HK212="RIESGO MODERADO (2 O MAS CRITERIOS) VER MANEJO GUIA SUMINISTRO ASA Y CALCIO")),"Pierde Oportunidad, Inicio tardío de ASA","XXXXX"))))))))</f>
        <v>No Aplica para suministro de ASA</v>
      </c>
      <c r="HS212" s="22">
        <v>45079</v>
      </c>
      <c r="HT212" s="22" t="s">
        <v>1518</v>
      </c>
      <c r="HU212" s="22">
        <v>45079</v>
      </c>
      <c r="HV212" s="22" t="s">
        <v>1544</v>
      </c>
      <c r="HW212" s="22">
        <v>45079</v>
      </c>
      <c r="HX212" s="22" t="s">
        <v>1511</v>
      </c>
      <c r="HY212" s="22"/>
      <c r="HZ212" s="28" t="str">
        <f t="shared" si="875"/>
        <v>PENDIENTE CONSULTA</v>
      </c>
      <c r="IA212" s="26"/>
      <c r="IB212" s="26"/>
      <c r="IC212" s="22">
        <v>45121</v>
      </c>
      <c r="ID212" s="22">
        <v>45121</v>
      </c>
      <c r="IE212" s="22" t="str">
        <f t="shared" ca="1" si="876"/>
        <v>VACUNA APLICADA ENTRE SEMANA 20 Y SEMANA 26</v>
      </c>
      <c r="IF212" s="22"/>
      <c r="IG212" s="22">
        <f t="shared" si="877"/>
        <v>45234</v>
      </c>
      <c r="IH212" s="29">
        <f t="shared" ca="1" si="878"/>
        <v>2</v>
      </c>
      <c r="II212" s="22" t="str">
        <f t="shared" ca="1" si="879"/>
        <v>SEMANA DE PARTO</v>
      </c>
      <c r="IJ212" s="22"/>
      <c r="IK212" s="21"/>
      <c r="IL212" s="21"/>
      <c r="IM212" s="34"/>
      <c r="IN212" s="22"/>
      <c r="IO212" s="21"/>
      <c r="IP212" s="29" t="str">
        <f t="shared" si="880"/>
        <v/>
      </c>
      <c r="IQ212" s="35"/>
      <c r="IR212" s="21"/>
      <c r="IS212" s="21"/>
      <c r="IT212" s="21"/>
      <c r="IU212" s="21"/>
      <c r="IV212" s="21"/>
      <c r="IW212" s="21"/>
      <c r="IX212" s="21"/>
      <c r="IY212" s="21"/>
      <c r="IZ212" s="21"/>
      <c r="JA212" s="21"/>
      <c r="JB212" s="30"/>
      <c r="JC212" s="21"/>
      <c r="JD212" s="36"/>
      <c r="JE212" s="21" t="str">
        <f t="shared" si="881"/>
        <v/>
      </c>
      <c r="JF212" s="30"/>
      <c r="JG212" s="21"/>
      <c r="JH212" s="21"/>
      <c r="JI212" s="21"/>
      <c r="JJ212" s="30"/>
      <c r="JK212" s="22"/>
      <c r="JL212" s="22"/>
      <c r="JM212" s="21"/>
      <c r="JN212" s="36"/>
      <c r="JO212" s="21" t="str">
        <f t="shared" si="882"/>
        <v/>
      </c>
      <c r="JP212" s="22"/>
      <c r="JQ212" s="21"/>
      <c r="JR212" s="21"/>
      <c r="JS212" s="21"/>
      <c r="JT212" s="30"/>
      <c r="JU212" s="22"/>
      <c r="JV212" s="22"/>
      <c r="JW212" s="33"/>
      <c r="JX212" s="28" t="str">
        <f t="shared" si="883"/>
        <v/>
      </c>
      <c r="JY212" s="33"/>
      <c r="JZ212" s="28" t="str">
        <f t="shared" si="884"/>
        <v/>
      </c>
      <c r="KA212" s="21"/>
      <c r="KB212" s="21"/>
      <c r="KC212" s="21"/>
      <c r="KD212" s="37"/>
      <c r="KE212" s="28"/>
      <c r="KF212" s="28"/>
      <c r="KG212" s="28"/>
      <c r="KH212" s="39"/>
      <c r="KI212" s="39"/>
      <c r="KJ212" s="66"/>
      <c r="KK212" s="39"/>
      <c r="KL212" s="39"/>
      <c r="KM212" s="66"/>
      <c r="KN212" s="39"/>
      <c r="KO212" s="39"/>
      <c r="KP212" s="39"/>
      <c r="KQ212" s="39"/>
      <c r="KR212" s="39"/>
      <c r="KS212" s="39"/>
      <c r="KT212" s="39"/>
      <c r="KU212" s="38"/>
      <c r="KV212" s="38"/>
      <c r="KW212" s="38"/>
      <c r="KX212" s="38"/>
      <c r="KY212" s="38"/>
      <c r="KZ212" s="38"/>
      <c r="LA212" s="38"/>
      <c r="LB212" s="38"/>
      <c r="LC212" s="38"/>
      <c r="LD212" s="38"/>
      <c r="LE212" s="38"/>
      <c r="LF212" s="38"/>
      <c r="LG212" s="38"/>
      <c r="LH212" s="38"/>
      <c r="LI212" s="38"/>
      <c r="LJ212" s="38"/>
      <c r="LK212" s="38"/>
      <c r="LL212" s="38"/>
      <c r="LM212" s="38"/>
      <c r="LN212" s="38"/>
      <c r="LO212" s="38"/>
      <c r="LP212" s="38"/>
      <c r="LQ212" s="38"/>
      <c r="LR212" s="38"/>
      <c r="LS212" s="38"/>
      <c r="LT212" s="38"/>
      <c r="LU212" s="38"/>
      <c r="LV212" s="38"/>
      <c r="LW212" s="38"/>
      <c r="LX212" s="38"/>
      <c r="LY212" s="38"/>
      <c r="LZ212" s="38"/>
      <c r="MA212" s="38"/>
      <c r="MB212" s="38"/>
      <c r="MC212" s="38"/>
      <c r="MD212" s="38"/>
      <c r="ME212" s="38"/>
      <c r="MF212" s="38"/>
      <c r="MG212" s="38"/>
      <c r="MH212" s="43">
        <f t="shared" si="885"/>
        <v>0</v>
      </c>
      <c r="MI212" s="43" t="str">
        <f t="shared" si="929"/>
        <v/>
      </c>
      <c r="MJ212" s="43" t="str">
        <f t="shared" si="887"/>
        <v/>
      </c>
      <c r="MK212" s="43">
        <f t="shared" si="888"/>
        <v>0</v>
      </c>
      <c r="ML21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12" s="43">
        <f t="shared" si="930"/>
        <v>17.857142857142858</v>
      </c>
      <c r="MN212" s="43">
        <f t="shared" si="931"/>
        <v>6</v>
      </c>
      <c r="MO212" s="43">
        <f t="shared" si="932"/>
        <v>2023</v>
      </c>
      <c r="MP212" s="43" t="str">
        <f t="shared" si="892"/>
        <v>II TRIMESTRE AÑO</v>
      </c>
      <c r="MQ212" s="43">
        <f t="shared" si="933"/>
        <v>22.484121769601401</v>
      </c>
      <c r="MR212" s="43">
        <f t="shared" si="894"/>
        <v>0</v>
      </c>
      <c r="MS212" s="43" t="str">
        <f t="shared" si="895"/>
        <v xml:space="preserve"> DE 20 A 24 AÑOS</v>
      </c>
      <c r="MT212" s="43">
        <f t="shared" si="896"/>
        <v>0</v>
      </c>
      <c r="MU212" s="43">
        <f t="shared" si="897"/>
        <v>0</v>
      </c>
      <c r="MV212" s="43">
        <f t="shared" si="898"/>
        <v>0</v>
      </c>
      <c r="MW212" s="43">
        <f t="shared" si="899"/>
        <v>0</v>
      </c>
      <c r="MX212" s="43" t="str">
        <f t="shared" si="900"/>
        <v/>
      </c>
      <c r="MY212" s="43" t="str">
        <f t="shared" ca="1" si="901"/>
        <v/>
      </c>
      <c r="MZ212" s="43" t="str">
        <f t="shared" si="902"/>
        <v/>
      </c>
      <c r="NA212" s="43" t="str">
        <f t="shared" si="903"/>
        <v/>
      </c>
      <c r="NB212" s="43" t="str">
        <f t="shared" si="904"/>
        <v/>
      </c>
      <c r="NC212" s="43" t="str">
        <f t="shared" si="905"/>
        <v/>
      </c>
      <c r="ND212" s="43">
        <f t="shared" ca="1" si="934"/>
        <v>0</v>
      </c>
      <c r="NE212" s="43">
        <f>IF(OR(O212&gt;0,R212&gt;0),SUM(COUNTIF(Tabla1[[#This Row],[AÑOS AL INICIO5 CPN]],"&gt;=40"),COUNTIF(AS212,"0"),COUNTIF(AR212,"SI"),COUNTIF(CC212,"SI"),COUNTIF(BQ212,"&gt;119"),COUNTIF(CI212,"&gt;=35")),"")</f>
        <v>1</v>
      </c>
      <c r="NF212" s="43">
        <f t="shared" si="935"/>
        <v>23.857142857142858</v>
      </c>
      <c r="NG212" s="43">
        <f t="shared" si="908"/>
        <v>0</v>
      </c>
      <c r="NH212" s="43">
        <f t="shared" si="909"/>
        <v>176.4</v>
      </c>
      <c r="NI21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CPN",P212="NO"),"Z",IF(AND(Tabla1[[#This Row],[CITA PROXIMO CONTROL]]="CITA MANUAL",Tabla1[[#This Row],[GESTANTES ACTUALES]]="ACTIVA INGRESO A CPN"),"W",IF(AND(Tabla1[[#This Row],[GESTANTES ACTUALES]]="SALIO PROGRAMA",IN212=""),"S",IF(AND(Tabla1[[#This Row],[CITA PROXIMO CONTROL]]&gt;0,IN212=""),(Tabla1[[#This Row],[CITA PROXIMO CONTROL]]-TODAY()),"SD"))))))))</f>
        <v>#REF!</v>
      </c>
      <c r="NJ212" s="43">
        <f>MONTH(Tabla1[[#This Row],[FECHA DE SALIDA  DEL PROGRAMA]])</f>
        <v>1</v>
      </c>
      <c r="NK212" s="43">
        <f>YEAR(Tabla1[[#This Row],[FECHA DE SALIDA  DEL PROGRAMA]])</f>
        <v>1900</v>
      </c>
      <c r="NL212" s="43" t="str">
        <f t="shared" si="936"/>
        <v>X</v>
      </c>
      <c r="NM212" s="43" t="str">
        <f t="shared" si="941"/>
        <v>NO</v>
      </c>
      <c r="NN212" s="43" t="str">
        <f ca="1">IF(AND(O212&gt;0,R212=""),"NO CPN",IF(AND(O212="",R212=""),"",IF(AND(R212&gt;0,Tabla1[[#This Row],[SEMANAS DE GESTACION ACTUALIZADAS]]&lt;=12),"NO APLICA",IF(AND(FH212&lt;&gt;"",FN212&lt;&gt;""),"SI","NO"))))</f>
        <v>NO</v>
      </c>
      <c r="NO212" s="43" t="str">
        <f ca="1">IF(AND(O212&gt;0,R212=""),"NO CPN",IF(AND(O212="",R212=""),"",IF(AND(R212&gt;0,Tabla1[[#This Row],[SEMANAS DE GESTACION ACTUALIZADAS]]&lt;=27),"NO APLICA",IF(AND(ES212&lt;&gt;"",FQ212&lt;&gt;"",GF212&lt;&gt;""),"SI","NO"))))</f>
        <v>NO</v>
      </c>
      <c r="NP212" s="204" t="str">
        <f t="shared" si="912"/>
        <v>II TRIM</v>
      </c>
      <c r="NQ212"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212" s="21">
        <f t="shared" ca="1" si="937"/>
        <v>2</v>
      </c>
      <c r="NS212" s="205">
        <f t="shared" ca="1" si="914"/>
        <v>1</v>
      </c>
      <c r="NT212" s="21">
        <f t="shared" ca="1" si="915"/>
        <v>1</v>
      </c>
      <c r="NU212" s="21" t="str">
        <f t="shared" ca="1" si="916"/>
        <v>INCOMPLETO</v>
      </c>
      <c r="NV212" s="21" t="str">
        <f t="shared" ca="1" si="917"/>
        <v>INCOMPLETO</v>
      </c>
      <c r="NW212" s="206" t="str">
        <f>IF(AND(O212="",R212=""),"",IF(OR(AND(Tabla1[[#This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12" s="207" t="str">
        <f t="shared" ca="1" si="938"/>
        <v>VACUNADA</v>
      </c>
      <c r="NY212" s="43">
        <f>ROW(Tabla1[[#This Row],['# DE TAMIZAJES SIFILIS TOMADOS ]])</f>
        <v>212</v>
      </c>
      <c r="NZ212" s="43">
        <f t="shared" si="740"/>
        <v>17</v>
      </c>
      <c r="OA212" s="43" t="str">
        <f t="shared" si="741"/>
        <v/>
      </c>
      <c r="OB212" s="43" t="str">
        <f t="shared" si="742"/>
        <v/>
      </c>
      <c r="OC212" s="43" t="str">
        <f t="shared" si="743"/>
        <v/>
      </c>
      <c r="OD212" s="43" t="str">
        <f t="shared" si="744"/>
        <v/>
      </c>
      <c r="OE212" s="43" t="str">
        <f t="shared" si="745"/>
        <v/>
      </c>
      <c r="OF212" s="43" t="str">
        <f t="shared" si="746"/>
        <v/>
      </c>
      <c r="OG212" s="43" t="str">
        <f t="shared" si="747"/>
        <v/>
      </c>
      <c r="OH212" s="43" t="str">
        <f t="shared" si="748"/>
        <v/>
      </c>
      <c r="OI212" s="43" t="str">
        <f t="shared" si="749"/>
        <v>SOBREPESO</v>
      </c>
      <c r="OJ212" s="43" t="str">
        <f t="shared" si="750"/>
        <v/>
      </c>
      <c r="OK212" s="43" t="str">
        <f t="shared" si="751"/>
        <v/>
      </c>
      <c r="OL212" s="43" t="str">
        <f t="shared" si="752"/>
        <v/>
      </c>
      <c r="OM212" s="43" t="str">
        <f t="shared" si="753"/>
        <v/>
      </c>
      <c r="ON212" s="43" t="str">
        <f t="shared" si="754"/>
        <v/>
      </c>
      <c r="OO212" s="43" t="str">
        <f t="shared" si="755"/>
        <v/>
      </c>
      <c r="OP212" s="43" t="str">
        <f t="shared" si="756"/>
        <v/>
      </c>
      <c r="OQ212" s="43" t="str">
        <f t="shared" si="757"/>
        <v/>
      </c>
      <c r="OR212" s="43" t="str">
        <f t="shared" si="758"/>
        <v/>
      </c>
      <c r="OS212" s="43" t="str">
        <f t="shared" si="759"/>
        <v/>
      </c>
      <c r="OT212" s="43" t="str">
        <f t="shared" si="760"/>
        <v/>
      </c>
      <c r="OU212" s="43" t="str">
        <f t="shared" si="761"/>
        <v/>
      </c>
      <c r="OV212" s="110" t="str">
        <f t="shared" si="762"/>
        <v/>
      </c>
      <c r="OW212" s="43" t="str">
        <f t="shared" si="763"/>
        <v/>
      </c>
      <c r="OX212" s="43" t="str">
        <f t="shared" si="764"/>
        <v/>
      </c>
      <c r="OY212" s="43" t="str">
        <f t="shared" si="765"/>
        <v/>
      </c>
      <c r="OZ212" s="43" t="str">
        <f t="shared" si="766"/>
        <v/>
      </c>
      <c r="PA212" s="43" t="str">
        <f t="shared" si="767"/>
        <v/>
      </c>
      <c r="PB212" s="43" t="str">
        <f t="shared" si="768"/>
        <v/>
      </c>
      <c r="PC212" s="43" t="str">
        <f t="shared" si="769"/>
        <v/>
      </c>
      <c r="PD212" s="43" t="str">
        <f t="shared" si="770"/>
        <v/>
      </c>
      <c r="PE212" s="43" t="str">
        <f t="shared" si="771"/>
        <v/>
      </c>
      <c r="PF212" s="43" t="str">
        <f t="shared" si="772"/>
        <v/>
      </c>
      <c r="PG212" s="43" t="str">
        <f t="shared" si="773"/>
        <v/>
      </c>
      <c r="PH212" s="43" t="str">
        <f t="shared" si="774"/>
        <v/>
      </c>
      <c r="PI212" s="43">
        <f t="shared" si="775"/>
        <v>23</v>
      </c>
      <c r="PJ212" s="43" t="str">
        <f t="shared" si="776"/>
        <v/>
      </c>
      <c r="PK212" s="43" t="str">
        <f t="shared" si="777"/>
        <v/>
      </c>
      <c r="PL212" s="43" t="str">
        <f t="shared" si="778"/>
        <v/>
      </c>
      <c r="PM212" s="43" t="str">
        <f t="shared" si="779"/>
        <v/>
      </c>
      <c r="PN212" s="43" t="str">
        <f t="shared" si="780"/>
        <v/>
      </c>
      <c r="PO212" s="43" t="str">
        <f t="shared" si="781"/>
        <v/>
      </c>
      <c r="PP212" s="43" t="str">
        <f t="shared" si="782"/>
        <v/>
      </c>
      <c r="PQ212" s="43" t="str">
        <f t="shared" si="783"/>
        <v/>
      </c>
      <c r="PR212" s="43" t="str">
        <f t="shared" si="784"/>
        <v/>
      </c>
      <c r="PS212" s="43" t="str">
        <f t="shared" si="785"/>
        <v/>
      </c>
      <c r="PT212" s="43" t="str">
        <f t="shared" si="786"/>
        <v/>
      </c>
      <c r="PU212" s="43" t="str">
        <f t="shared" si="787"/>
        <v/>
      </c>
      <c r="PV212" s="43" t="str">
        <f t="shared" si="788"/>
        <v/>
      </c>
      <c r="PW212" s="43" t="str">
        <f t="shared" si="789"/>
        <v/>
      </c>
      <c r="PX212" s="43" t="str">
        <f t="shared" si="790"/>
        <v>SOBREPESO</v>
      </c>
      <c r="PY212" s="43" t="str">
        <f t="shared" si="791"/>
        <v/>
      </c>
      <c r="PZ212" s="43" t="str">
        <f t="shared" si="792"/>
        <v/>
      </c>
      <c r="QA212" s="43" t="str">
        <f t="shared" si="793"/>
        <v/>
      </c>
      <c r="QB212" s="43" t="str">
        <f t="shared" si="794"/>
        <v/>
      </c>
      <c r="QC212" s="43" t="str">
        <f t="shared" si="795"/>
        <v/>
      </c>
      <c r="QD212" s="43" t="str">
        <f t="shared" si="796"/>
        <v/>
      </c>
      <c r="QE212" s="43" t="str">
        <f t="shared" si="797"/>
        <v/>
      </c>
      <c r="QF212" s="43" t="str">
        <f t="shared" si="798"/>
        <v/>
      </c>
      <c r="QG212" s="43" t="str">
        <f t="shared" si="799"/>
        <v/>
      </c>
      <c r="QH212" s="43" t="str">
        <f t="shared" si="800"/>
        <v/>
      </c>
      <c r="QI212" s="43" t="str">
        <f t="shared" si="801"/>
        <v/>
      </c>
      <c r="QJ212" s="43" t="str">
        <f t="shared" si="802"/>
        <v/>
      </c>
      <c r="QK212" s="43" t="str">
        <f t="shared" si="803"/>
        <v/>
      </c>
      <c r="QL212" s="43" t="str">
        <f t="shared" si="804"/>
        <v/>
      </c>
      <c r="QM212" s="43" t="str">
        <f t="shared" si="805"/>
        <v/>
      </c>
      <c r="QN212" s="43" t="str">
        <f t="shared" si="806"/>
        <v/>
      </c>
      <c r="QO212" s="43" t="str">
        <f t="shared" si="807"/>
        <v/>
      </c>
      <c r="QP212" s="43" t="str">
        <f t="shared" si="808"/>
        <v/>
      </c>
      <c r="QQ212" s="43" t="str">
        <f t="shared" si="809"/>
        <v/>
      </c>
      <c r="QR212" s="43">
        <f t="shared" si="839"/>
        <v>23</v>
      </c>
      <c r="QS212" s="43"/>
      <c r="QT212" s="21" t="str">
        <f t="shared" si="810"/>
        <v/>
      </c>
      <c r="QU212" s="21" t="str">
        <f t="shared" si="811"/>
        <v/>
      </c>
      <c r="QV212" s="21" t="str">
        <f t="shared" si="812"/>
        <v/>
      </c>
      <c r="QW212" s="21" t="str">
        <f t="shared" si="813"/>
        <v/>
      </c>
      <c r="QX212" s="21" t="str">
        <f t="shared" si="814"/>
        <v/>
      </c>
      <c r="QY212" s="21" t="str">
        <f t="shared" si="815"/>
        <v/>
      </c>
      <c r="QZ212" s="21" t="str">
        <f t="shared" si="816"/>
        <v/>
      </c>
      <c r="RA212" s="21" t="str">
        <f t="shared" si="817"/>
        <v/>
      </c>
      <c r="RB212" s="21" t="str">
        <f t="shared" si="818"/>
        <v/>
      </c>
      <c r="RC212" s="21" t="str">
        <f t="shared" si="819"/>
        <v/>
      </c>
      <c r="RD212" s="21" t="str">
        <f t="shared" si="820"/>
        <v>ADECUADO PARA EDAD GESTACIONAL</v>
      </c>
      <c r="RE212" s="21" t="str">
        <f t="shared" si="821"/>
        <v/>
      </c>
      <c r="RF212" s="21" t="str">
        <f t="shared" si="822"/>
        <v/>
      </c>
      <c r="RG212" s="21" t="str">
        <f t="shared" si="823"/>
        <v/>
      </c>
      <c r="RH212" s="21" t="str">
        <f t="shared" si="824"/>
        <v/>
      </c>
      <c r="RI212" s="21" t="str">
        <f t="shared" si="825"/>
        <v/>
      </c>
      <c r="RJ212" s="21" t="str">
        <f t="shared" si="826"/>
        <v/>
      </c>
      <c r="RK212" s="21" t="str">
        <f t="shared" si="827"/>
        <v/>
      </c>
      <c r="RL212" s="21" t="str">
        <f t="shared" si="828"/>
        <v/>
      </c>
      <c r="RM212" s="21" t="str">
        <f t="shared" si="829"/>
        <v/>
      </c>
      <c r="RN212" s="21" t="str">
        <f t="shared" si="830"/>
        <v/>
      </c>
      <c r="RO212" s="21" t="str">
        <f t="shared" si="831"/>
        <v/>
      </c>
      <c r="RP212" s="21" t="str">
        <f t="shared" si="832"/>
        <v/>
      </c>
      <c r="RQ212" s="21" t="str">
        <f t="shared" si="833"/>
        <v/>
      </c>
      <c r="RR212" s="21" t="str">
        <f t="shared" si="834"/>
        <v/>
      </c>
      <c r="RS212" s="21" t="str">
        <f t="shared" si="835"/>
        <v/>
      </c>
      <c r="RT212" s="21" t="str">
        <f t="shared" si="836"/>
        <v/>
      </c>
      <c r="RU212" s="21" t="str">
        <f t="shared" si="837"/>
        <v/>
      </c>
      <c r="RV212" s="21">
        <f t="shared" si="838"/>
        <v>-1</v>
      </c>
      <c r="RW212" s="284">
        <f>IF(OR(Tabla1[[#This Row],[FUM FORMULA CONFIABLE]]="",Tabla1[[#This Row],[FUM FORMULA CONFIABLE]]="SD"),"",IF(Tabla1[[#This Row],[FUM FORMULA CONFIABLE]]="CORREGIDA",Tabla1[[#This Row],[FUM X ECO 1]],Tabla1[[#This Row],[FUM x AMENORREA]]))</f>
        <v>44954</v>
      </c>
      <c r="RX212" s="21">
        <f>IF(AND(Tabla1[[#This Row],[FUM X ECO 1]]="",Tabla1[[#This Row],[FUM x AMENORREA]]=""),"",IF(AND(Tabla1[[#This Row],[FUM X ECO 1]]="",Tabla1[[#This Row],[FUM x AMENORREA]]&lt;&gt;""),"X",SUM(Tabla1[[#This Row],[FUM X ECO 1]]-Tabla1[[#This Row],[FUM x AMENORREA]])))</f>
        <v>-9.4000000000014552</v>
      </c>
      <c r="RY212" s="21">
        <f t="shared" si="840"/>
        <v>1</v>
      </c>
    </row>
    <row r="213" spans="1:493" ht="45" customHeight="1" x14ac:dyDescent="0.25">
      <c r="A213" s="109"/>
      <c r="B213" s="43"/>
      <c r="C213" s="43" t="s">
        <v>845</v>
      </c>
      <c r="D213" s="124"/>
      <c r="E213" s="43" t="s">
        <v>1156</v>
      </c>
      <c r="F213" s="43" t="s">
        <v>884</v>
      </c>
      <c r="G213" s="43" t="s">
        <v>1481</v>
      </c>
      <c r="H213" s="43" t="s">
        <v>1482</v>
      </c>
      <c r="I213" s="109" t="s">
        <v>851</v>
      </c>
      <c r="J213" s="291" t="s">
        <v>1483</v>
      </c>
      <c r="K213" s="43" t="s">
        <v>852</v>
      </c>
      <c r="L213" s="175" t="s">
        <v>1509</v>
      </c>
      <c r="M213" s="22">
        <v>37306</v>
      </c>
      <c r="N213" s="213">
        <f t="shared" ca="1" si="841"/>
        <v>21.715068493150685</v>
      </c>
      <c r="O213" s="22">
        <v>45055</v>
      </c>
      <c r="P213" s="214" t="str">
        <f t="shared" si="919"/>
        <v>SI</v>
      </c>
      <c r="Q213" s="26" t="s">
        <v>855</v>
      </c>
      <c r="R213" s="22">
        <v>45055</v>
      </c>
      <c r="S213" s="21" t="s">
        <v>856</v>
      </c>
      <c r="T213" s="24" t="s">
        <v>690</v>
      </c>
      <c r="U213" s="21" t="s">
        <v>857</v>
      </c>
      <c r="V213" s="21" t="s">
        <v>1009</v>
      </c>
      <c r="W213" s="21"/>
      <c r="X213" s="21"/>
      <c r="Y213" s="21" t="s">
        <v>859</v>
      </c>
      <c r="Z213" s="21">
        <v>3145948472</v>
      </c>
      <c r="AA213" s="21" t="s">
        <v>860</v>
      </c>
      <c r="AB213" s="27" t="s">
        <v>861</v>
      </c>
      <c r="AC213" s="26" t="s">
        <v>888</v>
      </c>
      <c r="AD213" s="38" t="s">
        <v>1546</v>
      </c>
      <c r="AE213" s="26" t="s">
        <v>854</v>
      </c>
      <c r="AF213" s="26" t="s">
        <v>854</v>
      </c>
      <c r="AG213" s="23" t="s">
        <v>864</v>
      </c>
      <c r="AH213" s="23" t="s">
        <v>864</v>
      </c>
      <c r="AI213" s="24" t="s">
        <v>863</v>
      </c>
      <c r="AJ213" s="23" t="s">
        <v>864</v>
      </c>
      <c r="AK213" s="220" t="str">
        <f>IF(AND(AD213="",AE213="",AF213="",AG213="",AH213="",AI213="",AJ213=""),"",IF(OR(Tabla1[[#This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EVALUACIÓN",IF(AND(O213="",R213=""),"",IF(AND(OR(O213&gt;0,R213&gt;0),NG213&gt;=0,NG213&lt;2),"SIN RIESGO",IF(AND(OR(O213&gt;0,R213&gt;0),NG213&gt;=2),"CON RIESGO","ASD")))))</f>
        <v>SIN RIESGO</v>
      </c>
      <c r="AL213" s="23" t="s">
        <v>864</v>
      </c>
      <c r="AM213" s="23" t="s">
        <v>864</v>
      </c>
      <c r="AN213" s="23" t="s">
        <v>864</v>
      </c>
      <c r="AO213" s="23" t="s">
        <v>864</v>
      </c>
      <c r="AP213" s="23" t="s">
        <v>864</v>
      </c>
      <c r="AQ213" s="23" t="s">
        <v>864</v>
      </c>
      <c r="AR213" s="23" t="s">
        <v>864</v>
      </c>
      <c r="AS213" s="21">
        <v>0</v>
      </c>
      <c r="AT213" s="21">
        <v>0</v>
      </c>
      <c r="AU213" s="21">
        <v>0</v>
      </c>
      <c r="AV213" s="26" t="s">
        <v>864</v>
      </c>
      <c r="AW213" s="21">
        <v>0</v>
      </c>
      <c r="AX213" s="26" t="s">
        <v>864</v>
      </c>
      <c r="AY213" s="26" t="s">
        <v>864</v>
      </c>
      <c r="AZ213" s="26" t="s">
        <v>864</v>
      </c>
      <c r="BA213" s="26" t="s">
        <v>864</v>
      </c>
      <c r="BB213" s="26" t="s">
        <v>864</v>
      </c>
      <c r="BC213" s="26" t="s">
        <v>864</v>
      </c>
      <c r="BD213" s="26" t="s">
        <v>864</v>
      </c>
      <c r="BE213" s="26" t="s">
        <v>864</v>
      </c>
      <c r="BF213" s="26" t="s">
        <v>864</v>
      </c>
      <c r="BG213" s="26" t="s">
        <v>864</v>
      </c>
      <c r="BH213" s="26" t="s">
        <v>864</v>
      </c>
      <c r="BI213" s="26" t="s">
        <v>864</v>
      </c>
      <c r="BJ213" s="26" t="s">
        <v>864</v>
      </c>
      <c r="BK213" s="26" t="s">
        <v>864</v>
      </c>
      <c r="BL213" s="26" t="s">
        <v>864</v>
      </c>
      <c r="BM213" s="26" t="s">
        <v>864</v>
      </c>
      <c r="BN213" s="22"/>
      <c r="BO213" s="22">
        <v>45003</v>
      </c>
      <c r="BP213" s="21" t="s">
        <v>1380</v>
      </c>
      <c r="BQ213" s="222">
        <f t="shared" si="842"/>
        <v>0</v>
      </c>
      <c r="BR213" s="223">
        <f t="shared" si="843"/>
        <v>45013.3</v>
      </c>
      <c r="BS213" s="224">
        <f t="shared" si="844"/>
        <v>5.9571428571424416</v>
      </c>
      <c r="BT213" s="216" t="str">
        <f t="shared" si="845"/>
        <v>I TRIM</v>
      </c>
      <c r="BU213" s="214">
        <f t="shared" ca="1" si="928"/>
        <v>31.242857142856728</v>
      </c>
      <c r="BV213" s="25" t="s">
        <v>1525</v>
      </c>
      <c r="BW213" s="22">
        <v>45098</v>
      </c>
      <c r="BX213" s="28">
        <v>12.1</v>
      </c>
      <c r="BY213" s="28" t="s">
        <v>988</v>
      </c>
      <c r="BZ213" s="22">
        <v>45149</v>
      </c>
      <c r="CA213" s="21">
        <v>19</v>
      </c>
      <c r="CB213" s="26" t="s">
        <v>864</v>
      </c>
      <c r="CC213" s="26" t="s">
        <v>864</v>
      </c>
      <c r="CD213" s="26"/>
      <c r="CE213" s="26" t="s">
        <v>864</v>
      </c>
      <c r="CF213" s="22" t="s">
        <v>1517</v>
      </c>
      <c r="CG213" s="21">
        <v>1.57</v>
      </c>
      <c r="CH213" s="21">
        <v>59</v>
      </c>
      <c r="CI213" s="214">
        <f t="shared" si="847"/>
        <v>23.936062314901211</v>
      </c>
      <c r="CJ213" s="225" t="str">
        <f>IF(AND(CI213&lt;10,CH213="SD"),"SIN DATO PESO PREGESTACION O I TRIM",IF(AND(OR(R213&gt;0,O213&gt;0),CI213="X"),"INGRESAR DATO DE PESO",IF(CI213="SD","INGRESAR DATO DE TALLA Y PESO",IF(AND(OR(Tabla1[[#This Row],[MOMENTO EN QUE SE REALIZA EL PESO AL INGRESO A CPN]]="PREGESTACIÓN",NZ213="Menor"),CI213&lt;18.5),"BAJO PESO",IF(AND(OR(Tabla1[[#This Row],[MOMENTO EN QUE SE REALIZA EL PESO AL INGRESO A CPN]]="PREGESTACIÓN",NZ213="Menor"),CI213&lt;25),"NORMAL",IF(AND(OR(Tabla1[[#This Row],[MOMENTO EN QUE SE REALIZA EL PESO AL INGRESO A CPN]]="PREGESTACIÓN",NZ213="Menor"),CI213&lt;30),"SOBREPESO",IF(AND(OR(Tabla1[[#This Row],[MOMENTO EN QUE SE REALIZA EL PESO AL INGRESO A CPN]]="PREGESTACIÓN",NZ213="Menor"),CI213&gt;=30,CI213&lt;50),"OBESIDAD",IF(AND(BS213&gt;0,Tabla1[[#This Row],[MOMENTO EN QUE SE REALIZA EL PESO AL INGRESO A CPN]]="GESTACIÓN"),HLOOKUP(NZ213,$OA$2:PH213,NY213),""))))))))</f>
        <v>NORMAL</v>
      </c>
      <c r="CK213" s="212">
        <f t="shared" si="848"/>
        <v>45143</v>
      </c>
      <c r="CL213" s="21">
        <v>57.2</v>
      </c>
      <c r="CM213" s="214">
        <f t="shared" si="849"/>
        <v>23.205809566311007</v>
      </c>
      <c r="CN213" s="216">
        <f t="shared" si="850"/>
        <v>18</v>
      </c>
      <c r="CO213" s="216" t="e">
        <f>IF(PI213="","",IF(PI213&gt;0,HLOOKUP(PI213,$PJ$2:QQ213,NY213),""))</f>
        <v>#REF!</v>
      </c>
      <c r="CP213" s="21">
        <v>36</v>
      </c>
      <c r="CQ213" s="216" t="e">
        <f>IF(QR213="Menor","NO APLICA-MENOR 13 SEM",IF(AND(CC213="SI",CN213&gt;23),"NO APLICA- GEMELAR",IF(QR213="","",IF(QR213&gt;0,HLOOKUP(QR213,$QS$2:RU213,NY213),""))))</f>
        <v>#REF!</v>
      </c>
      <c r="CR213" s="21">
        <v>100</v>
      </c>
      <c r="CS213" s="21">
        <v>60</v>
      </c>
      <c r="CT213" s="217" t="str">
        <f>IF(R213="","",IF(AND(BS213&gt;1,BS213&lt;12,Tabla1[[#This Row],[T.A. SISTOLICA - ANTES DE SEMANA 12]]="",Tabla1[[#This Row],[T.A. DIASTOLICA - ANTES DE SEMANA 12]]=""),"REGISTRE DATO TA ANTES SEMANA 12",IF(AND(BS213&gt;11,BS213&lt;43,Tabla1[[#This Row],[T.A. SISTOLICA - ANTES DE SEMANA 12]]="",Tabla1[[#This Row],[T.A. DIASTOLICA - ANTES DE SEMANA 12]]=""),"NO APLICA REGISTRO TA-INGRESO TARDIO",IF(AND(OR(O213&gt;0,R213&gt;0),OR(CR213&gt;=140,CS213&gt;=90)),"DEFINIR ESTADIO HTA",IF(AND(OR(O213&gt;0,R213&gt;0),AND(CR213&gt;120,CR213&lt;=139)),"PRE HTA SEGUIMIENTO",IF(AND(OR(O213&gt;0,R213&gt;0),AND(CS213&gt;80,CS213&lt;=89)),"PRE HTA SEGUIMIENTO",IF(AND(OR(O213&gt;0,R213&gt;0),AND(CR213&gt;=80,CR213&lt;=120)),"APARENTEMENTE NORMAL",IF(AND(OR(O213&gt;0,R213&gt;0),AND(CS213&gt;=50,CS213&lt;=80)),"APARENTEMENTE NORMAL",IF(AND(OR(O213&gt;0,R213&gt;0),AND(CR213&gt;1,CR213&lt;=70),AND(CS213&gt;1,CS213&lt;=40)),"HIPOTENSIÓN","")))))))))</f>
        <v>APARENTEMENTE NORMAL</v>
      </c>
      <c r="CU213" s="21">
        <v>100</v>
      </c>
      <c r="CV213" s="21">
        <v>60</v>
      </c>
      <c r="CW213" s="217" t="str">
        <f ca="1">IF(R213="","",IF(AND(CN213&gt;19,CN213&lt;27,Tabla1[[#This Row],[T.A. SISTOLICA (Entre semana 20 y 26)]]="",Tabla1[[#This Row],[T.A. DIATOLICA (Entre semana 20 y 26)]]=""),"ACUDE A CONTROL SEM 20 A 26 REGISTRE TA AHORA",IF(AND(BS213&gt;1,BS213&lt;27,BU213&gt;19,Tabla1[[#This Row],[T.A. SISTOLICA (Entre semana 20 y 26)]]="",Tabla1[[#This Row],[T.A. DIATOLICA (Entre semana 20 y 26)]]=""),"COMPLETE REGISTRO TA CONTROL SEM 20 A26 ",IF(AND(BS213&gt;26,BS213&lt;43,Tabla1[[#This Row],[T.A. SISTOLICA (Entre semana 20 y 26)]]="",Tabla1[[#This Row],[T.A. DIATOLICA (Entre semana 20 y 26)]]=""),"NO APLICA REGISTRO TA-INGRESO TARDIO",IF(AND(OR(O213&gt;0,R213&gt;0),OR(CU213&gt;=140,CV213&gt;=90)),"ALTO RIESGO PREECLAMPSIA,DEFINIR ESTADIO HTA",IF(AND(OR(O213&gt;0,R213&gt;0),AND(CU213&gt;120,CU213&lt;=139)),"PRE HTA SEGUIMIENTO,RIESGO HIPERTENSION INDUCIDA POR EL EMBARAZO",IF(AND(OR(O213&gt;0,R213&gt;0),AND(CV213&gt;80,CV213&lt;=89)),"PRE HTA SEGUIMIENTO, RIESGO HIPERTENSION INDUCIDA POR EL EMBARAZO",IF(AND(OR(O213&lt;&gt;"",R213&lt;&gt;""),CS213&lt;&gt;"",CV213&lt;&gt;"",CS213&lt;=CV213),"VIGILAR CIFRAS PRESION ARTERIAL",IF(AND(OR(O213&gt;0,R213&gt;0),AND(CU213&gt;120,CU213&lt;=139)),"PRE HTA SEGUIMIENTO",IF(AND(OR(O213&gt;0,R213&gt;0),AND(CU213&gt;1,CU213&lt;=70),AND(CV213&gt;1,CV213&lt;=40)),"HIPOTENSIÓN",IF(AND(OR(O213&lt;&gt;"",R213&lt;&gt;""),CS213&lt;&gt;"",CV213&lt;&gt;"",CS213&gt;CV213),"APARENTEMENTE NORMAL",IF(AND(OR(O213&gt;0,R213&gt;0),AND(CU213&gt;=80,CU213&lt;=120)),"APARENTEMENTE NORMAL",IF(AND(OR(O213&gt;0,R213&gt;0),AND(CV213&gt;=50,CV213&lt;=80)),"APARENTEMENTE NORMAL","")))))))))))))</f>
        <v>VIGILAR CIFRAS PRESION ARTERIAL</v>
      </c>
      <c r="CX213" s="21"/>
      <c r="CY213" s="21"/>
      <c r="CZ213" s="216" t="e">
        <f>IF(R213="","",IF(AND(CN213&gt;31,CN213&lt;35,CX213="",CY213=""),"ACUDE A CONTROL SEM 30 A 34- REGISTRE AHORA",IF(AND(BS213&gt;34,BS213&lt;43,#REF!="",#REF!=""),"NO APLICA-INGRESO TARDIO",IF(AND(OR(O213&gt;0,R213&gt;0),OR(CX213&gt;=140,CY213&gt;=90)),"ESTUDIO INMEDIATO HTA PARA DESCARTAR PREECLAMSIA",IF(AND(OR(O213&gt;0,R213&gt;0),AND(CX213&gt;=130,CX213&lt;=139)),"PRE HTA,RIESGO ALTO PREECLAMPSIA",IF(AND(OR(O213&gt;0,R213&gt;0),AND(CY213&gt;80,CY213&lt;=89)),"PRE HTA,RIESGO ALTO PREECLAMPSIA",IF(AND(OR(O213&gt;0,R213&gt;0),AND(CX213&gt;120,CX213&lt;=129)),"RANGO PREHIPERTENSIVO SEGUIMIENTO HTA",IF(AND(OR(O213&lt;&gt;"",R213&lt;&gt;""),CS213&lt;&gt;"",CY213&lt;&gt;"",CS213&lt;CY213),"VIGILAR CIFRAS PRESION ARTERIAL",IF(AND(OR(O213&lt;&gt;"",R213&lt;&gt;""),CS213&lt;&gt;"",CY213&lt;&gt;"",CS213=CY213),"APARENTEMENTE NORMAL",IF(AND(OR(O213&gt;0,R213&gt;0),CX213&gt;=80,CX213&lt;=120),"APARENTEMENTE NORMAL",IF(AND(OR(O213&gt;0,R213&gt;0),CY213&gt;=50,CY213&lt;=80),"APARENTEMENTE NORMAL","")))))))))))</f>
        <v>#REF!</v>
      </c>
      <c r="DA213" s="21">
        <v>100</v>
      </c>
      <c r="DB213" s="21">
        <v>60</v>
      </c>
      <c r="DC213" s="217" t="str">
        <f t="shared" si="851"/>
        <v>APARENTEMENTE NORMAL</v>
      </c>
      <c r="DD213" s="22">
        <v>45080</v>
      </c>
      <c r="DE213" s="22">
        <v>45055</v>
      </c>
      <c r="DF213" s="22">
        <v>45080</v>
      </c>
      <c r="DG213" s="22">
        <v>45115</v>
      </c>
      <c r="DH213" s="22">
        <v>45143</v>
      </c>
      <c r="DI213" s="22"/>
      <c r="DJ213" s="22"/>
      <c r="DK213" s="22"/>
      <c r="DL213" s="22"/>
      <c r="DM213" s="22"/>
      <c r="DN213" s="22"/>
      <c r="DO213" s="22"/>
      <c r="DP213" s="22"/>
      <c r="DQ213" s="22"/>
      <c r="DR213" s="28">
        <v>1</v>
      </c>
      <c r="DS213" s="22"/>
      <c r="DT213" s="22"/>
      <c r="DU213" s="216" t="str">
        <f t="shared" ca="1" si="920"/>
        <v>PLANEAR PLAN DE PARTO</v>
      </c>
      <c r="DV213" s="226" t="str">
        <f t="shared" si="921"/>
        <v>ACTIVA INGRESO A CPN</v>
      </c>
      <c r="DW213"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13" s="216" t="e">
        <f t="shared" ca="1" si="852"/>
        <v>#REF!</v>
      </c>
      <c r="DY213" s="212">
        <f>IF(R213="","",IF(R213&gt;0,MAX(Tabla1[[#This Row],[FECHA C2]:[FECHA C13]],Tabla1[[#This Row],[FECHA CONSULTA PRIMERA VEZ PROGRAMA CPN ]])))</f>
        <v>45143</v>
      </c>
      <c r="DZ213" s="216">
        <f t="shared" si="853"/>
        <v>18</v>
      </c>
      <c r="EA213" s="222">
        <f>IF(R213&gt;0,SUM(COUNTA(DF213:DQ213)+COUNTA(Tabla1[[#This Row],[FECHA CONSULTA PRIMERA VEZ PROGRAMA CPN ]])),"")</f>
        <v>4</v>
      </c>
      <c r="EB213" s="222" t="str">
        <f t="shared" si="854"/>
        <v>SI</v>
      </c>
      <c r="EC213" s="214">
        <f t="shared" si="855"/>
        <v>10</v>
      </c>
      <c r="ED213" s="227">
        <f t="shared" si="856"/>
        <v>0.4</v>
      </c>
      <c r="EE213" s="22">
        <v>45055</v>
      </c>
      <c r="EF213" s="22">
        <v>45055</v>
      </c>
      <c r="EG213" s="22">
        <v>45055</v>
      </c>
      <c r="EH213" s="22"/>
      <c r="EI213" s="22">
        <v>45055</v>
      </c>
      <c r="EJ213" s="22"/>
      <c r="EK213" s="22"/>
      <c r="EL213" s="21"/>
      <c r="EM213" s="21">
        <v>14.5</v>
      </c>
      <c r="EN213" s="22">
        <v>45055</v>
      </c>
      <c r="EO213" s="222">
        <f t="shared" si="857"/>
        <v>5.9571428571424416</v>
      </c>
      <c r="EP213" s="214" t="str">
        <f t="shared" si="858"/>
        <v>NO DAR SULFATO FERROSO</v>
      </c>
      <c r="EQ213" s="216" t="str">
        <f t="shared" si="859"/>
        <v>I TRIM</v>
      </c>
      <c r="ER213" s="24"/>
      <c r="ES213" s="22"/>
      <c r="ET213" s="29" t="str">
        <f t="shared" ca="1" si="922"/>
        <v>TOMA DE HEMOGLOBINA TARDÍA</v>
      </c>
      <c r="EU213" s="25" t="str">
        <f t="shared" si="860"/>
        <v/>
      </c>
      <c r="EV213" s="24" t="s">
        <v>1510</v>
      </c>
      <c r="EW213" s="32">
        <v>45055</v>
      </c>
      <c r="EX213" s="22"/>
      <c r="EY213" s="29">
        <f t="shared" si="693"/>
        <v>5.9571428571424416</v>
      </c>
      <c r="EZ213" s="25" t="str">
        <f t="shared" si="694"/>
        <v>SIN RIESGO DE ISOINMUNIZACIÓN</v>
      </c>
      <c r="FA213" s="21">
        <v>81</v>
      </c>
      <c r="FB213" s="22">
        <v>45055</v>
      </c>
      <c r="FC213" s="29">
        <f t="shared" si="861"/>
        <v>5.9571428571424416</v>
      </c>
      <c r="FD213" s="29"/>
      <c r="FE213" s="29"/>
      <c r="FF213" s="29"/>
      <c r="FG213" s="21" t="str">
        <f t="shared" ca="1" si="862"/>
        <v>TOMAR PTOG</v>
      </c>
      <c r="FH213" s="31"/>
      <c r="FI213" s="29" t="str">
        <f t="shared" si="863"/>
        <v>TOMAR EXAMEN</v>
      </c>
      <c r="FJ213" s="22" t="s">
        <v>867</v>
      </c>
      <c r="FK213" s="22">
        <v>45055</v>
      </c>
      <c r="FL213" s="29">
        <f t="shared" ca="1" si="864"/>
        <v>5.9571428571424416</v>
      </c>
      <c r="FM213" s="22"/>
      <c r="FN213" s="32"/>
      <c r="FO213" s="29" t="str">
        <f t="shared" ca="1" si="923"/>
        <v>PIERDE TOMA DE TAMIZAJE</v>
      </c>
      <c r="FP213" s="22"/>
      <c r="FQ213" s="32"/>
      <c r="FR213" s="29" t="str">
        <f t="shared" ca="1" si="924"/>
        <v>EN RANGO PARA TOMAR EXAMEN</v>
      </c>
      <c r="FS213" s="22"/>
      <c r="FT213" s="32"/>
      <c r="FU213" s="29" t="str">
        <f>IF(AND(FJ213="",FM213="",FP213="",FS213=""),"",IF(OR(OR(Tabla1[[#This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13" s="28"/>
      <c r="FW213" s="22"/>
      <c r="FX213" s="29" t="str">
        <f t="shared" si="865"/>
        <v>TOMAR EXAMEN</v>
      </c>
      <c r="FY213" s="22">
        <v>45055</v>
      </c>
      <c r="FZ213" s="22">
        <v>45055</v>
      </c>
      <c r="GA213" s="29">
        <f t="shared" ca="1" si="939"/>
        <v>5.9571428571424416</v>
      </c>
      <c r="GB213" s="22"/>
      <c r="GC213" s="22"/>
      <c r="GD213" s="29" t="str">
        <f t="shared" ca="1" si="940"/>
        <v>PIERDE TOMA DE TAMIZAJE</v>
      </c>
      <c r="GE213" s="22"/>
      <c r="GF213" s="22"/>
      <c r="GG213" s="29" t="str">
        <f t="shared" ca="1" si="926"/>
        <v>EN RANGO PARA TOMAR EXAMEN</v>
      </c>
      <c r="GH213" s="22"/>
      <c r="GI213" s="29"/>
      <c r="GJ213" s="22"/>
      <c r="GK213" s="22"/>
      <c r="GL213" s="22"/>
      <c r="GM213" s="22"/>
      <c r="GN213" s="28"/>
      <c r="GO213" s="22"/>
      <c r="GP213" s="29" t="str">
        <f t="shared" si="866"/>
        <v>TOMAR EXAMEN</v>
      </c>
      <c r="GQ213" s="28" t="s">
        <v>869</v>
      </c>
      <c r="GR213" s="28" t="s">
        <v>869</v>
      </c>
      <c r="GS213" s="22" t="str">
        <f t="shared" si="728"/>
        <v>CONTROL Igm</v>
      </c>
      <c r="GT213" s="22">
        <v>45055</v>
      </c>
      <c r="GU213" s="29">
        <f t="shared" si="867"/>
        <v>7.4285714285714288</v>
      </c>
      <c r="GV213" s="21" t="str">
        <f t="shared" si="868"/>
        <v>I TRIM</v>
      </c>
      <c r="GW213" s="28" t="s">
        <v>869</v>
      </c>
      <c r="GX213" s="30"/>
      <c r="GY213" s="21"/>
      <c r="GZ213" s="21"/>
      <c r="HA213" s="21"/>
      <c r="HB213" s="21"/>
      <c r="HC213" s="21"/>
      <c r="HD213" s="21"/>
      <c r="HE213" s="21"/>
      <c r="HF213" s="22"/>
      <c r="HG213" s="22" t="str">
        <f>IF(OR(O213&gt;0,R213&gt;0),CONCATENATE(IF(Tabla1[[#This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13" s="22" t="e">
        <f t="shared" si="869"/>
        <v>#REF!</v>
      </c>
      <c r="HI213" s="22" t="e">
        <f t="shared" ca="1" si="870"/>
        <v>#REF!</v>
      </c>
      <c r="HJ213" s="21" t="str">
        <f t="shared" ca="1" si="871"/>
        <v>**********************MULTIPARIDAD*****************</v>
      </c>
      <c r="HK213" s="21" t="str">
        <f t="shared" si="872"/>
        <v>SIN ANTECEDENTES DE RIESGO</v>
      </c>
      <c r="HL213" s="24" t="str">
        <f t="shared" si="873"/>
        <v>APARENTEMENTE NORMAL</v>
      </c>
      <c r="HM213" s="21" t="e">
        <f t="shared" ca="1" si="874"/>
        <v>#REF!</v>
      </c>
      <c r="HN213" s="30" t="str">
        <f t="shared" si="927"/>
        <v>ACTIVA INGRESO A CPN</v>
      </c>
      <c r="HO213" s="21"/>
      <c r="HP213" s="21"/>
      <c r="HQ213" s="349"/>
      <c r="HR213" s="21" t="str">
        <f>IF(R213="","",IF(Tabla1[[#This Row],[ALARMA FACTORES DE RIESGO COMPLICACIONES HIPERTENSIVAS3]]="SIN ANTECEDENTES DE RIESGO","No Aplica para suministro de ASA",IF(AND(Tabla1[[#This Row],[FECHA INICIO DE SUMINISTRO DE ASA]]&gt;0,RV213&lt;12),"Inicia ASA ANTES de Sem 12",IF(AND(RV213&gt;11,RV213&lt;17,OR(HK213="RIESGO ALTO DE COMPLICACIONES HIPERTENSIVAS VER MANEJO GUIA SUMINISTRO ASA Y CALCIO",HK213="RIESGO MODERADO (2 O MAS CRITERIOS) VER MANEJO GUIA SUMINISTRO ASA Y CALCIO")),"Inicio oportuno de ASA",IF(AND(RV213&gt;12,OR(HK213="RIESGO ALTO DE COMPLICACIONES HIPERTENSIVAS VER MANEJO GUIA SUMINISTRO ASA Y CALCIO",HK213="RIESGO MODERADO (2 O MAS CRITERIOS) VER MANEJO GUIA SUMINISTRO ASA Y CALCIO")),"Inicio no oportuno mayor a 16 semanas",IF(AND(BU213&lt;12,OR(HK213="RIESGO ALTO DE COMPLICACIONES HIPERTENSIVAS VER MANEJO GUIA SUMINISTRO ASA Y CALCIO",HK213="RIESGO MODERADO (2 O MAS CRITERIOS) VER MANEJO GUIA SUMINISTRO ASA Y CALCIO")),"Pendiente Inicio de ASA a la semana 12",IF(AND(BU213&gt;11,BU213&lt;17,OR(HK213="RIESGO ALTO DE COMPLICACIONES HIPERTENSIVAS VER MANEJO GUIA SUMINISTRO ASA Y CALCIO",HK213="RIESGO MODERADO (2 O MAS CRITERIOS) VER MANEJO GUIA SUMINISTRO ASA Y CALCIO")),"Iniciar de inmediato ASA",IF(AND(BU213&gt;16,OR(HK213="RIESGO ALTO DE COMPLICACIONES HIPERTENSIVAS VER MANEJO GUIA SUMINISTRO ASA Y CALCIO",HK213="RIESGO MODERADO (2 O MAS CRITERIOS) VER MANEJO GUIA SUMINISTRO ASA Y CALCIO")),"Pierde Oportunidad, Inicio tardío de ASA","XXXXX"))))))))</f>
        <v>No Aplica para suministro de ASA</v>
      </c>
      <c r="HS213" s="22">
        <v>45055</v>
      </c>
      <c r="HT213" s="22" t="s">
        <v>870</v>
      </c>
      <c r="HU213" s="22">
        <v>45055</v>
      </c>
      <c r="HV213" s="22" t="s">
        <v>870</v>
      </c>
      <c r="HW213" s="22">
        <v>45055</v>
      </c>
      <c r="HX213" s="22" t="s">
        <v>870</v>
      </c>
      <c r="HY213" s="22">
        <v>45055</v>
      </c>
      <c r="HZ213" s="28">
        <f t="shared" si="875"/>
        <v>5.9571428571424416</v>
      </c>
      <c r="IA213" s="26"/>
      <c r="IB213" s="26"/>
      <c r="IC213" s="22">
        <v>45115</v>
      </c>
      <c r="ID213" s="22"/>
      <c r="IE213" s="22" t="str">
        <f t="shared" ca="1" si="876"/>
        <v>INASISTENTE</v>
      </c>
      <c r="IF213" s="22">
        <v>45115</v>
      </c>
      <c r="IG213" s="22">
        <f t="shared" si="877"/>
        <v>45293.3</v>
      </c>
      <c r="IH213" s="29">
        <f t="shared" ca="1" si="878"/>
        <v>61.30000000000291</v>
      </c>
      <c r="II213" s="22" t="str">
        <f t="shared" ca="1" si="879"/>
        <v>PENDIENTE</v>
      </c>
      <c r="IJ213" s="22"/>
      <c r="IK213" s="21"/>
      <c r="IL213" s="21"/>
      <c r="IM213" s="34"/>
      <c r="IN213" s="22"/>
      <c r="IO213" s="21"/>
      <c r="IP213" s="29" t="str">
        <f t="shared" si="880"/>
        <v/>
      </c>
      <c r="IQ213" s="35"/>
      <c r="IR213" s="21"/>
      <c r="IS213" s="21"/>
      <c r="IT213" s="21"/>
      <c r="IU213" s="21"/>
      <c r="IV213" s="21"/>
      <c r="IW213" s="21"/>
      <c r="IX213" s="21"/>
      <c r="IY213" s="21"/>
      <c r="IZ213" s="21"/>
      <c r="JA213" s="21"/>
      <c r="JB213" s="30"/>
      <c r="JC213" s="21"/>
      <c r="JD213" s="36"/>
      <c r="JE213" s="21" t="str">
        <f t="shared" si="881"/>
        <v/>
      </c>
      <c r="JF213" s="30"/>
      <c r="JG213" s="21"/>
      <c r="JH213" s="21"/>
      <c r="JI213" s="21"/>
      <c r="JJ213" s="30"/>
      <c r="JK213" s="22"/>
      <c r="JL213" s="22"/>
      <c r="JM213" s="21"/>
      <c r="JN213" s="36"/>
      <c r="JO213" s="21" t="str">
        <f t="shared" si="882"/>
        <v/>
      </c>
      <c r="JP213" s="22"/>
      <c r="JQ213" s="21"/>
      <c r="JR213" s="21"/>
      <c r="JS213" s="21"/>
      <c r="JT213" s="30"/>
      <c r="JU213" s="22"/>
      <c r="JV213" s="22"/>
      <c r="JW213" s="33"/>
      <c r="JX213" s="28" t="str">
        <f t="shared" si="883"/>
        <v/>
      </c>
      <c r="JY213" s="33"/>
      <c r="JZ213" s="28" t="str">
        <f t="shared" si="884"/>
        <v/>
      </c>
      <c r="KA213" s="21"/>
      <c r="KB213" s="21"/>
      <c r="KC213" s="21"/>
      <c r="KD213" s="37"/>
      <c r="KE213" s="28"/>
      <c r="KF213" s="28"/>
      <c r="KG213" s="28"/>
      <c r="KH213" s="39"/>
      <c r="KI213" s="39"/>
      <c r="KJ213" s="66"/>
      <c r="KK213" s="39"/>
      <c r="KL213" s="39"/>
      <c r="KM213" s="66"/>
      <c r="KN213" s="39"/>
      <c r="KO213" s="39"/>
      <c r="KP213" s="39"/>
      <c r="KQ213" s="39"/>
      <c r="KR213" s="39"/>
      <c r="KS213" s="39"/>
      <c r="KT213" s="39"/>
      <c r="KU213" s="38"/>
      <c r="KV213" s="38"/>
      <c r="KW213" s="38"/>
      <c r="KX213" s="38"/>
      <c r="KY213" s="38"/>
      <c r="KZ213" s="38"/>
      <c r="LA213" s="38"/>
      <c r="LB213" s="38"/>
      <c r="LC213" s="38"/>
      <c r="LD213" s="38"/>
      <c r="LE213" s="38"/>
      <c r="LF213" s="38"/>
      <c r="LG213" s="38"/>
      <c r="LH213" s="38"/>
      <c r="LI213" s="38"/>
      <c r="LJ213" s="38"/>
      <c r="LK213" s="38"/>
      <c r="LL213" s="38"/>
      <c r="LM213" s="38"/>
      <c r="LN213" s="38"/>
      <c r="LO213" s="38"/>
      <c r="LP213" s="38"/>
      <c r="LQ213" s="38"/>
      <c r="LR213" s="38"/>
      <c r="LS213" s="38"/>
      <c r="LT213" s="38"/>
      <c r="LU213" s="38"/>
      <c r="LV213" s="38"/>
      <c r="LW213" s="38"/>
      <c r="LX213" s="38"/>
      <c r="LY213" s="38"/>
      <c r="LZ213" s="38"/>
      <c r="MA213" s="38"/>
      <c r="MB213" s="38"/>
      <c r="MC213" s="38"/>
      <c r="MD213" s="38"/>
      <c r="ME213" s="38"/>
      <c r="MF213" s="38"/>
      <c r="MG213" s="38"/>
      <c r="MH213" s="43">
        <f t="shared" si="885"/>
        <v>0</v>
      </c>
      <c r="MI213" s="43" t="str">
        <f t="shared" si="929"/>
        <v/>
      </c>
      <c r="MJ213" s="43" t="str">
        <f t="shared" si="887"/>
        <v/>
      </c>
      <c r="MK213" s="43">
        <f t="shared" si="888"/>
        <v>0</v>
      </c>
      <c r="ML21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13" s="43">
        <f t="shared" si="930"/>
        <v>5.9571428571424416</v>
      </c>
      <c r="MN213" s="43">
        <f t="shared" si="931"/>
        <v>5</v>
      </c>
      <c r="MO213" s="43">
        <f t="shared" si="932"/>
        <v>2023</v>
      </c>
      <c r="MP213" s="43" t="str">
        <f t="shared" si="892"/>
        <v>II TRIMESTRE AÑO</v>
      </c>
      <c r="MQ213" s="43">
        <f t="shared" si="933"/>
        <v>20.915462111257117</v>
      </c>
      <c r="MR213" s="43">
        <f t="shared" si="894"/>
        <v>0</v>
      </c>
      <c r="MS213" s="43" t="str">
        <f t="shared" si="895"/>
        <v xml:space="preserve"> DE 20 A 24 AÑOS</v>
      </c>
      <c r="MT213" s="43">
        <f t="shared" si="896"/>
        <v>0</v>
      </c>
      <c r="MU213" s="43">
        <f t="shared" si="897"/>
        <v>1</v>
      </c>
      <c r="MV213" s="43">
        <f t="shared" si="898"/>
        <v>0</v>
      </c>
      <c r="MW213" s="43">
        <f t="shared" si="899"/>
        <v>0</v>
      </c>
      <c r="MX213" s="43" t="str">
        <f t="shared" si="900"/>
        <v/>
      </c>
      <c r="MY213" s="43" t="str">
        <f t="shared" ca="1" si="901"/>
        <v/>
      </c>
      <c r="MZ213" s="43" t="str">
        <f t="shared" si="902"/>
        <v/>
      </c>
      <c r="NA213" s="43" t="str">
        <f t="shared" si="903"/>
        <v/>
      </c>
      <c r="NB213" s="43" t="str">
        <f t="shared" si="904"/>
        <v/>
      </c>
      <c r="NC213" s="43" t="str">
        <f t="shared" si="905"/>
        <v/>
      </c>
      <c r="ND213" s="43">
        <f t="shared" ca="1" si="934"/>
        <v>1</v>
      </c>
      <c r="NE213" s="43">
        <f>IF(OR(O213&gt;0,R213&gt;0),SUM(COUNTIF(Tabla1[[#This Row],[AÑOS AL INICIO5 CPN]],"&gt;=40"),COUNTIF(AS213,"0"),COUNTIF(AR213,"SI"),COUNTIF(CC213,"SI"),COUNTIF(BQ213,"&gt;119"),COUNTIF(CI213,"&gt;=35")),"")</f>
        <v>1</v>
      </c>
      <c r="NF213" s="43" t="str">
        <f t="shared" si="935"/>
        <v/>
      </c>
      <c r="NG213" s="43">
        <f t="shared" si="908"/>
        <v>0</v>
      </c>
      <c r="NH213" s="43">
        <f t="shared" si="909"/>
        <v>84.7</v>
      </c>
      <c r="NI21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CPN",P213="NO"),"Z",IF(AND(Tabla1[[#This Row],[CITA PROXIMO CONTROL]]="CITA MANUAL",Tabla1[[#This Row],[GESTANTES ACTUALES]]="ACTIVA INGRESO A CPN"),"W",IF(AND(Tabla1[[#This Row],[GESTANTES ACTUALES]]="SALIO PROGRAMA",IN213=""),"S",IF(AND(Tabla1[[#This Row],[CITA PROXIMO CONTROL]]&gt;0,IN213=""),(Tabla1[[#This Row],[CITA PROXIMO CONTROL]]-TODAY()),"SD"))))))))</f>
        <v>#REF!</v>
      </c>
      <c r="NJ213" s="43">
        <f>MONTH(Tabla1[[#This Row],[FECHA DE SALIDA  DEL PROGRAMA]])</f>
        <v>1</v>
      </c>
      <c r="NK213" s="43">
        <f>YEAR(Tabla1[[#This Row],[FECHA DE SALIDA  DEL PROGRAMA]])</f>
        <v>1900</v>
      </c>
      <c r="NL213" s="43" t="str">
        <f t="shared" si="936"/>
        <v>X</v>
      </c>
      <c r="NM213" s="43" t="str">
        <f t="shared" si="941"/>
        <v>NO</v>
      </c>
      <c r="NN213" s="43" t="str">
        <f ca="1">IF(AND(O213&gt;0,R213=""),"NO CPN",IF(AND(O213="",R213=""),"",IF(AND(R213&gt;0,Tabla1[[#This Row],[SEMANAS DE GESTACION ACTUALIZADAS]]&lt;=12),"NO APLICA",IF(AND(FH213&lt;&gt;"",FN213&lt;&gt;""),"SI","NO"))))</f>
        <v>NO</v>
      </c>
      <c r="NO213" s="43" t="str">
        <f ca="1">IF(AND(O213&gt;0,R213=""),"NO CPN",IF(AND(O213="",R213=""),"",IF(AND(R213&gt;0,Tabla1[[#This Row],[SEMANAS DE GESTACION ACTUALIZADAS]]&lt;=27),"NO APLICA",IF(AND(ES213&lt;&gt;"",FQ213&lt;&gt;"",GF213&lt;&gt;""),"SI","NO"))))</f>
        <v>NO</v>
      </c>
      <c r="NP213" s="204" t="str">
        <f t="shared" si="912"/>
        <v>I TRIM</v>
      </c>
      <c r="NQ213"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213" s="21">
        <f t="shared" ca="1" si="937"/>
        <v>3</v>
      </c>
      <c r="NS213" s="205">
        <f t="shared" ca="1" si="914"/>
        <v>1</v>
      </c>
      <c r="NT213" s="21">
        <f t="shared" ca="1" si="915"/>
        <v>1</v>
      </c>
      <c r="NU213" s="21" t="str">
        <f t="shared" ca="1" si="916"/>
        <v>INCOMPLETO</v>
      </c>
      <c r="NV213" s="21" t="str">
        <f t="shared" ca="1" si="917"/>
        <v>INCOMPLETO</v>
      </c>
      <c r="NW213" s="206" t="str">
        <f>IF(AND(O213="",R213=""),"",IF(OR(AND(Tabla1[[#This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213" s="207" t="str">
        <f t="shared" ca="1" si="938"/>
        <v>SIN VACUNAR</v>
      </c>
      <c r="NY213" s="43">
        <f>ROW(Tabla1[[#This Row],['# DE TAMIZAJES SIFILIS TOMADOS ]])</f>
        <v>213</v>
      </c>
      <c r="NZ213" s="43" t="str">
        <f t="shared" si="740"/>
        <v>Menor</v>
      </c>
      <c r="OA213" s="43" t="str">
        <f t="shared" si="741"/>
        <v>NORMAL</v>
      </c>
      <c r="OB213" s="43" t="str">
        <f t="shared" si="742"/>
        <v/>
      </c>
      <c r="OC213" s="43" t="str">
        <f t="shared" si="743"/>
        <v/>
      </c>
      <c r="OD213" s="43" t="str">
        <f t="shared" si="744"/>
        <v/>
      </c>
      <c r="OE213" s="43" t="str">
        <f t="shared" si="745"/>
        <v/>
      </c>
      <c r="OF213" s="43" t="str">
        <f t="shared" si="746"/>
        <v/>
      </c>
      <c r="OG213" s="43" t="str">
        <f t="shared" si="747"/>
        <v/>
      </c>
      <c r="OH213" s="43" t="str">
        <f t="shared" si="748"/>
        <v/>
      </c>
      <c r="OI213" s="43" t="str">
        <f t="shared" si="749"/>
        <v/>
      </c>
      <c r="OJ213" s="43" t="str">
        <f t="shared" si="750"/>
        <v/>
      </c>
      <c r="OK213" s="43" t="str">
        <f t="shared" si="751"/>
        <v/>
      </c>
      <c r="OL213" s="43" t="str">
        <f t="shared" si="752"/>
        <v/>
      </c>
      <c r="OM213" s="43" t="str">
        <f t="shared" si="753"/>
        <v/>
      </c>
      <c r="ON213" s="43" t="str">
        <f t="shared" si="754"/>
        <v/>
      </c>
      <c r="OO213" s="43" t="str">
        <f t="shared" si="755"/>
        <v/>
      </c>
      <c r="OP213" s="43" t="str">
        <f t="shared" si="756"/>
        <v/>
      </c>
      <c r="OQ213" s="43" t="str">
        <f t="shared" si="757"/>
        <v/>
      </c>
      <c r="OR213" s="43" t="str">
        <f t="shared" si="758"/>
        <v/>
      </c>
      <c r="OS213" s="43" t="str">
        <f t="shared" si="759"/>
        <v/>
      </c>
      <c r="OT213" s="43" t="str">
        <f t="shared" si="760"/>
        <v/>
      </c>
      <c r="OU213" s="43" t="str">
        <f t="shared" si="761"/>
        <v/>
      </c>
      <c r="OV213" s="110" t="str">
        <f t="shared" si="762"/>
        <v/>
      </c>
      <c r="OW213" s="43" t="str">
        <f t="shared" si="763"/>
        <v/>
      </c>
      <c r="OX213" s="43" t="str">
        <f t="shared" si="764"/>
        <v/>
      </c>
      <c r="OY213" s="43" t="str">
        <f t="shared" si="765"/>
        <v/>
      </c>
      <c r="OZ213" s="43" t="str">
        <f t="shared" si="766"/>
        <v/>
      </c>
      <c r="PA213" s="43" t="str">
        <f t="shared" si="767"/>
        <v/>
      </c>
      <c r="PB213" s="43" t="str">
        <f t="shared" si="768"/>
        <v/>
      </c>
      <c r="PC213" s="43" t="str">
        <f t="shared" si="769"/>
        <v/>
      </c>
      <c r="PD213" s="43" t="str">
        <f t="shared" si="770"/>
        <v/>
      </c>
      <c r="PE213" s="43" t="str">
        <f t="shared" si="771"/>
        <v/>
      </c>
      <c r="PF213" s="43" t="str">
        <f t="shared" si="772"/>
        <v/>
      </c>
      <c r="PG213" s="43" t="str">
        <f t="shared" si="773"/>
        <v/>
      </c>
      <c r="PH213" s="43" t="str">
        <f t="shared" si="774"/>
        <v/>
      </c>
      <c r="PI213" s="43">
        <f t="shared" si="775"/>
        <v>18</v>
      </c>
      <c r="PJ213" s="43" t="str">
        <f t="shared" si="776"/>
        <v/>
      </c>
      <c r="PK213" s="43" t="str">
        <f t="shared" si="777"/>
        <v/>
      </c>
      <c r="PL213" s="43" t="str">
        <f t="shared" si="778"/>
        <v/>
      </c>
      <c r="PM213" s="43" t="str">
        <f t="shared" si="779"/>
        <v/>
      </c>
      <c r="PN213" s="43" t="str">
        <f t="shared" si="780"/>
        <v/>
      </c>
      <c r="PO213" s="43" t="str">
        <f t="shared" si="781"/>
        <v/>
      </c>
      <c r="PP213" s="43" t="str">
        <f t="shared" si="782"/>
        <v/>
      </c>
      <c r="PQ213" s="43" t="str">
        <f t="shared" si="783"/>
        <v/>
      </c>
      <c r="PR213" s="43" t="str">
        <f t="shared" si="784"/>
        <v/>
      </c>
      <c r="PS213" s="43" t="str">
        <f t="shared" si="785"/>
        <v>NORMAL</v>
      </c>
      <c r="PT213" s="43" t="str">
        <f t="shared" si="786"/>
        <v/>
      </c>
      <c r="PU213" s="43" t="str">
        <f t="shared" si="787"/>
        <v/>
      </c>
      <c r="PV213" s="43" t="str">
        <f t="shared" si="788"/>
        <v/>
      </c>
      <c r="PW213" s="43" t="str">
        <f t="shared" si="789"/>
        <v/>
      </c>
      <c r="PX213" s="43" t="str">
        <f t="shared" si="790"/>
        <v/>
      </c>
      <c r="PY213" s="43" t="str">
        <f t="shared" si="791"/>
        <v/>
      </c>
      <c r="PZ213" s="43" t="str">
        <f t="shared" si="792"/>
        <v/>
      </c>
      <c r="QA213" s="43" t="str">
        <f t="shared" si="793"/>
        <v/>
      </c>
      <c r="QB213" s="43" t="str">
        <f t="shared" si="794"/>
        <v/>
      </c>
      <c r="QC213" s="43" t="str">
        <f t="shared" si="795"/>
        <v/>
      </c>
      <c r="QD213" s="43" t="str">
        <f t="shared" si="796"/>
        <v/>
      </c>
      <c r="QE213" s="43" t="str">
        <f t="shared" si="797"/>
        <v/>
      </c>
      <c r="QF213" s="43" t="str">
        <f t="shared" si="798"/>
        <v/>
      </c>
      <c r="QG213" s="43" t="str">
        <f t="shared" si="799"/>
        <v/>
      </c>
      <c r="QH213" s="43" t="str">
        <f t="shared" si="800"/>
        <v/>
      </c>
      <c r="QI213" s="43" t="str">
        <f t="shared" si="801"/>
        <v/>
      </c>
      <c r="QJ213" s="43" t="str">
        <f t="shared" si="802"/>
        <v/>
      </c>
      <c r="QK213" s="43" t="str">
        <f t="shared" si="803"/>
        <v/>
      </c>
      <c r="QL213" s="43" t="str">
        <f t="shared" si="804"/>
        <v/>
      </c>
      <c r="QM213" s="43" t="str">
        <f t="shared" si="805"/>
        <v/>
      </c>
      <c r="QN213" s="43" t="str">
        <f t="shared" si="806"/>
        <v/>
      </c>
      <c r="QO213" s="43" t="str">
        <f t="shared" si="807"/>
        <v/>
      </c>
      <c r="QP213" s="43" t="str">
        <f t="shared" si="808"/>
        <v/>
      </c>
      <c r="QQ213" s="43" t="str">
        <f t="shared" si="809"/>
        <v/>
      </c>
      <c r="QR213" s="43">
        <f t="shared" si="839"/>
        <v>18</v>
      </c>
      <c r="QS213" s="43"/>
      <c r="QT213" s="21" t="str">
        <f t="shared" si="810"/>
        <v/>
      </c>
      <c r="QU213" s="21" t="str">
        <f t="shared" si="811"/>
        <v/>
      </c>
      <c r="QV213" s="21" t="str">
        <f t="shared" si="812"/>
        <v/>
      </c>
      <c r="QW213" s="21" t="str">
        <f t="shared" si="813"/>
        <v/>
      </c>
      <c r="QX213" s="21" t="str">
        <f t="shared" si="814"/>
        <v/>
      </c>
      <c r="QY213" s="21" t="str">
        <f t="shared" si="815"/>
        <v>ALTO PARA EDAD GESTACIONAL</v>
      </c>
      <c r="QZ213" s="21" t="str">
        <f t="shared" si="816"/>
        <v/>
      </c>
      <c r="RA213" s="21" t="str">
        <f t="shared" si="817"/>
        <v/>
      </c>
      <c r="RB213" s="21" t="str">
        <f t="shared" si="818"/>
        <v/>
      </c>
      <c r="RC213" s="21" t="str">
        <f t="shared" si="819"/>
        <v/>
      </c>
      <c r="RD213" s="21" t="str">
        <f t="shared" si="820"/>
        <v/>
      </c>
      <c r="RE213" s="21" t="str">
        <f t="shared" si="821"/>
        <v/>
      </c>
      <c r="RF213" s="21" t="str">
        <f t="shared" si="822"/>
        <v/>
      </c>
      <c r="RG213" s="21" t="str">
        <f t="shared" si="823"/>
        <v/>
      </c>
      <c r="RH213" s="21" t="str">
        <f t="shared" si="824"/>
        <v/>
      </c>
      <c r="RI213" s="21" t="str">
        <f t="shared" si="825"/>
        <v/>
      </c>
      <c r="RJ213" s="21" t="str">
        <f t="shared" si="826"/>
        <v/>
      </c>
      <c r="RK213" s="21" t="str">
        <f t="shared" si="827"/>
        <v/>
      </c>
      <c r="RL213" s="21" t="str">
        <f t="shared" si="828"/>
        <v/>
      </c>
      <c r="RM213" s="21" t="str">
        <f t="shared" si="829"/>
        <v/>
      </c>
      <c r="RN213" s="21" t="str">
        <f t="shared" si="830"/>
        <v/>
      </c>
      <c r="RO213" s="21" t="str">
        <f t="shared" si="831"/>
        <v/>
      </c>
      <c r="RP213" s="21" t="str">
        <f t="shared" si="832"/>
        <v/>
      </c>
      <c r="RQ213" s="21" t="str">
        <f t="shared" si="833"/>
        <v/>
      </c>
      <c r="RR213" s="21" t="str">
        <f t="shared" si="834"/>
        <v/>
      </c>
      <c r="RS213" s="21" t="str">
        <f t="shared" si="835"/>
        <v/>
      </c>
      <c r="RT213" s="21" t="str">
        <f t="shared" si="836"/>
        <v/>
      </c>
      <c r="RU213" s="21" t="str">
        <f t="shared" si="837"/>
        <v/>
      </c>
      <c r="RV213" s="21">
        <f t="shared" si="838"/>
        <v>-1</v>
      </c>
      <c r="RW213" s="284">
        <f>IF(OR(Tabla1[[#This Row],[FUM FORMULA CONFIABLE]]="",Tabla1[[#This Row],[FUM FORMULA CONFIABLE]]="SD"),"",IF(Tabla1[[#This Row],[FUM FORMULA CONFIABLE]]="CORREGIDA",Tabla1[[#This Row],[FUM X ECO 1]],Tabla1[[#This Row],[FUM x AMENORREA]]))</f>
        <v>45013.3</v>
      </c>
      <c r="RX213" s="21">
        <f>IF(AND(Tabla1[[#This Row],[FUM X ECO 1]]="",Tabla1[[#This Row],[FUM x AMENORREA]]=""),"",IF(AND(Tabla1[[#This Row],[FUM X ECO 1]]="",Tabla1[[#This Row],[FUM x AMENORREA]]&lt;&gt;""),"X",SUM(Tabla1[[#This Row],[FUM X ECO 1]]-Tabla1[[#This Row],[FUM x AMENORREA]])))</f>
        <v>10.30000000000291</v>
      </c>
      <c r="RY213" s="21">
        <f t="shared" si="840"/>
        <v>1</v>
      </c>
    </row>
    <row r="214" spans="1:493" ht="45" customHeight="1" x14ac:dyDescent="0.25">
      <c r="A214" s="109"/>
      <c r="B214" s="43"/>
      <c r="C214" s="43" t="s">
        <v>845</v>
      </c>
      <c r="D214" s="124"/>
      <c r="E214" s="43" t="s">
        <v>914</v>
      </c>
      <c r="F214" s="43" t="s">
        <v>943</v>
      </c>
      <c r="G214" s="43" t="s">
        <v>1575</v>
      </c>
      <c r="H214" s="43"/>
      <c r="I214" s="109" t="s">
        <v>851</v>
      </c>
      <c r="J214" s="289" t="s">
        <v>1574</v>
      </c>
      <c r="K214" s="43" t="s">
        <v>852</v>
      </c>
      <c r="L214" s="175" t="s">
        <v>1509</v>
      </c>
      <c r="M214" s="22">
        <v>34882</v>
      </c>
      <c r="N214" s="213">
        <f t="shared" ca="1" si="841"/>
        <v>28.356164383561644</v>
      </c>
      <c r="O214" s="22">
        <v>45118</v>
      </c>
      <c r="P214" s="214" t="str">
        <f t="shared" si="919"/>
        <v>SI</v>
      </c>
      <c r="Q214" s="26" t="s">
        <v>855</v>
      </c>
      <c r="R214" s="22">
        <v>45118</v>
      </c>
      <c r="S214" s="21" t="s">
        <v>856</v>
      </c>
      <c r="T214" s="24" t="s">
        <v>690</v>
      </c>
      <c r="U214" s="21" t="s">
        <v>857</v>
      </c>
      <c r="V214" s="21" t="s">
        <v>858</v>
      </c>
      <c r="W214" s="21"/>
      <c r="X214" s="21"/>
      <c r="Y214" s="21"/>
      <c r="Z214" s="21" t="s">
        <v>894</v>
      </c>
      <c r="AA214" s="21" t="s">
        <v>860</v>
      </c>
      <c r="AB214" s="27" t="s">
        <v>861</v>
      </c>
      <c r="AC214" s="26" t="s">
        <v>862</v>
      </c>
      <c r="AD214" s="38" t="s">
        <v>1546</v>
      </c>
      <c r="AE214" s="26" t="s">
        <v>854</v>
      </c>
      <c r="AF214" s="26" t="s">
        <v>854</v>
      </c>
      <c r="AG214" s="23" t="s">
        <v>864</v>
      </c>
      <c r="AH214" s="23" t="s">
        <v>864</v>
      </c>
      <c r="AI214" s="24" t="s">
        <v>863</v>
      </c>
      <c r="AJ214" s="23" t="s">
        <v>864</v>
      </c>
      <c r="AK214" s="220" t="str">
        <f>IF(AND(AD214="",AE214="",AF214="",AG214="",AH214="",AI214="",AJ214=""),"",IF(OR(Tabla1[[#This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EVALUACIÓN",IF(AND(O214="",R214=""),"",IF(AND(OR(O214&gt;0,R214&gt;0),NG214&gt;=0,NG214&lt;2),"SIN RIESGO",IF(AND(OR(O214&gt;0,R214&gt;0),NG214&gt;=2),"CON RIESGO","ASD")))))</f>
        <v>SIN RIESGO</v>
      </c>
      <c r="AL214" s="23" t="s">
        <v>864</v>
      </c>
      <c r="AM214" s="23" t="s">
        <v>864</v>
      </c>
      <c r="AN214" s="23" t="s">
        <v>864</v>
      </c>
      <c r="AO214" s="23" t="s">
        <v>864</v>
      </c>
      <c r="AP214" s="23" t="s">
        <v>864</v>
      </c>
      <c r="AQ214" s="23" t="s">
        <v>864</v>
      </c>
      <c r="AR214" s="23" t="s">
        <v>864</v>
      </c>
      <c r="AS214" s="21">
        <v>2</v>
      </c>
      <c r="AT214" s="21">
        <v>2</v>
      </c>
      <c r="AU214" s="21">
        <v>0</v>
      </c>
      <c r="AV214" s="26" t="s">
        <v>864</v>
      </c>
      <c r="AW214" s="21">
        <v>0</v>
      </c>
      <c r="AX214" s="26" t="s">
        <v>864</v>
      </c>
      <c r="AY214" s="26" t="s">
        <v>864</v>
      </c>
      <c r="AZ214" s="26" t="s">
        <v>864</v>
      </c>
      <c r="BA214" s="26" t="s">
        <v>864</v>
      </c>
      <c r="BB214" s="26" t="s">
        <v>864</v>
      </c>
      <c r="BC214" s="26" t="s">
        <v>864</v>
      </c>
      <c r="BD214" s="26" t="s">
        <v>864</v>
      </c>
      <c r="BE214" s="26" t="s">
        <v>864</v>
      </c>
      <c r="BF214" s="26" t="s">
        <v>864</v>
      </c>
      <c r="BG214" s="26" t="s">
        <v>864</v>
      </c>
      <c r="BH214" s="26" t="s">
        <v>864</v>
      </c>
      <c r="BI214" s="26" t="s">
        <v>864</v>
      </c>
      <c r="BJ214" s="26" t="s">
        <v>864</v>
      </c>
      <c r="BK214" s="26" t="s">
        <v>864</v>
      </c>
      <c r="BL214" s="26" t="s">
        <v>864</v>
      </c>
      <c r="BM214" s="26" t="s">
        <v>864</v>
      </c>
      <c r="BN214" s="22">
        <v>43218</v>
      </c>
      <c r="BO214" s="22">
        <v>44875</v>
      </c>
      <c r="BP214" s="21" t="s">
        <v>854</v>
      </c>
      <c r="BQ214" s="222">
        <f t="shared" si="842"/>
        <v>55.233333333333334</v>
      </c>
      <c r="BR214" s="223" t="str">
        <f t="shared" si="843"/>
        <v/>
      </c>
      <c r="BS214" s="224">
        <f t="shared" si="844"/>
        <v>34.714285714285715</v>
      </c>
      <c r="BT214" s="216" t="str">
        <f t="shared" si="845"/>
        <v>III TRIM</v>
      </c>
      <c r="BU214" s="214" t="str">
        <f t="shared" ca="1" si="928"/>
        <v/>
      </c>
      <c r="BV214" s="25"/>
      <c r="BW214" s="22"/>
      <c r="BX214" s="28"/>
      <c r="BY214" s="28"/>
      <c r="BZ214" s="22"/>
      <c r="CA214" s="21"/>
      <c r="CB214" s="26"/>
      <c r="CC214" s="26"/>
      <c r="CD214" s="26"/>
      <c r="CE214" s="26"/>
      <c r="CF214" s="22" t="s">
        <v>1517</v>
      </c>
      <c r="CG214" s="21">
        <v>1.53</v>
      </c>
      <c r="CH214" s="21">
        <v>67</v>
      </c>
      <c r="CI214" s="214">
        <f t="shared" si="847"/>
        <v>28.621470374642232</v>
      </c>
      <c r="CJ214" s="225" t="e">
        <f>IF(AND(CI214&lt;10,CH214="SD"),"SIN DATO PESO PREGESTACION O I TRIM",IF(AND(OR(R214&gt;0,O214&gt;0),CI214="X"),"INGRESAR DATO DE PESO",IF(CI214="SD","INGRESAR DATO DE TALLA Y PESO",IF(AND(OR(Tabla1[[#This Row],[MOMENTO EN QUE SE REALIZA EL PESO AL INGRESO A CPN]]="PREGESTACIÓN",NZ214="Menor"),CI214&lt;18.5),"BAJO PESO",IF(AND(OR(Tabla1[[#This Row],[MOMENTO EN QUE SE REALIZA EL PESO AL INGRESO A CPN]]="PREGESTACIÓN",NZ214="Menor"),CI214&lt;25),"NORMAL",IF(AND(OR(Tabla1[[#This Row],[MOMENTO EN QUE SE REALIZA EL PESO AL INGRESO A CPN]]="PREGESTACIÓN",NZ214="Menor"),CI214&lt;30),"SOBREPESO",IF(AND(OR(Tabla1[[#This Row],[MOMENTO EN QUE SE REALIZA EL PESO AL INGRESO A CPN]]="PREGESTACIÓN",NZ214="Menor"),CI214&gt;=30,CI214&lt;50),"OBESIDAD",IF(AND(BS214&gt;0,Tabla1[[#This Row],[MOMENTO EN QUE SE REALIZA EL PESO AL INGRESO A CPN]]="GESTACIÓN"),HLOOKUP(NZ214,$OA$2:PH214,NY214),""))))))))</f>
        <v>#REF!</v>
      </c>
      <c r="CK214" s="212">
        <f t="shared" si="848"/>
        <v>45118</v>
      </c>
      <c r="CL214" s="21">
        <v>67</v>
      </c>
      <c r="CM214" s="214">
        <f t="shared" si="849"/>
        <v>28.621470374642232</v>
      </c>
      <c r="CN214" s="216">
        <f t="shared" si="850"/>
        <v>34</v>
      </c>
      <c r="CO214" s="216" t="e">
        <f>IF(PI214="","",IF(PI214&gt;0,HLOOKUP(PI214,$PJ$2:QQ214,NY214),""))</f>
        <v>#REF!</v>
      </c>
      <c r="CP214" s="21">
        <v>32</v>
      </c>
      <c r="CQ214" s="216" t="e">
        <f>IF(QR214="Menor","NO APLICA-MENOR 13 SEM",IF(AND(CC214="SI",CN214&gt;23),"NO APLICA- GEMELAR",IF(QR214="","",IF(QR214&gt;0,HLOOKUP(QR214,$QS$2:RU214,NY214),""))))</f>
        <v>#REF!</v>
      </c>
      <c r="CR214" s="21"/>
      <c r="CS214" s="21"/>
      <c r="CT214" s="217" t="str">
        <f>IF(R214="","",IF(AND(BS214&gt;1,BS214&lt;12,Tabla1[[#This Row],[T.A. SISTOLICA - ANTES DE SEMANA 12]]="",Tabla1[[#This Row],[T.A. DIASTOLICA - ANTES DE SEMANA 12]]=""),"REGISTRE DATO TA ANTES SEMANA 12",IF(AND(BS214&gt;11,BS214&lt;43,Tabla1[[#This Row],[T.A. SISTOLICA - ANTES DE SEMANA 12]]="",Tabla1[[#This Row],[T.A. DIASTOLICA - ANTES DE SEMANA 12]]=""),"NO APLICA REGISTRO TA-INGRESO TARDIO",IF(AND(OR(O214&gt;0,R214&gt;0),OR(CR214&gt;=140,CS214&gt;=90)),"DEFINIR ESTADIO HTA",IF(AND(OR(O214&gt;0,R214&gt;0),AND(CR214&gt;120,CR214&lt;=139)),"PRE HTA SEGUIMIENTO",IF(AND(OR(O214&gt;0,R214&gt;0),AND(CS214&gt;80,CS214&lt;=89)),"PRE HTA SEGUIMIENTO",IF(AND(OR(O214&gt;0,R214&gt;0),AND(CR214&gt;=80,CR214&lt;=120)),"APARENTEMENTE NORMAL",IF(AND(OR(O214&gt;0,R214&gt;0),AND(CS214&gt;=50,CS214&lt;=80)),"APARENTEMENTE NORMAL",IF(AND(OR(O214&gt;0,R214&gt;0),AND(CR214&gt;1,CR214&lt;=70),AND(CS214&gt;1,CS214&lt;=40)),"HIPOTENSIÓN","")))))))))</f>
        <v>NO APLICA REGISTRO TA-INGRESO TARDIO</v>
      </c>
      <c r="CU214" s="21"/>
      <c r="CV214" s="21"/>
      <c r="CW214" s="217" t="str">
        <f ca="1">IF(R214="","",IF(AND(CN214&gt;19,CN214&lt;27,Tabla1[[#This Row],[T.A. SISTOLICA (Entre semana 20 y 26)]]="",Tabla1[[#This Row],[T.A. DIATOLICA (Entre semana 20 y 26)]]=""),"ACUDE A CONTROL SEM 20 A 26 REGISTRE TA AHORA",IF(AND(BS214&gt;1,BS214&lt;27,BU214&gt;19,Tabla1[[#This Row],[T.A. SISTOLICA (Entre semana 20 y 26)]]="",Tabla1[[#This Row],[T.A. DIATOLICA (Entre semana 20 y 26)]]=""),"COMPLETE REGISTRO TA CONTROL SEM 20 A26 ",IF(AND(BS214&gt;26,BS214&lt;43,Tabla1[[#This Row],[T.A. SISTOLICA (Entre semana 20 y 26)]]="",Tabla1[[#This Row],[T.A. DIATOLICA (Entre semana 20 y 26)]]=""),"NO APLICA REGISTRO TA-INGRESO TARDIO",IF(AND(OR(O214&gt;0,R214&gt;0),OR(CU214&gt;=140,CV214&gt;=90)),"ALTO RIESGO PREECLAMPSIA,DEFINIR ESTADIO HTA",IF(AND(OR(O214&gt;0,R214&gt;0),AND(CU214&gt;120,CU214&lt;=139)),"PRE HTA SEGUIMIENTO,RIESGO HIPERTENSION INDUCIDA POR EL EMBARAZO",IF(AND(OR(O214&gt;0,R214&gt;0),AND(CV214&gt;80,CV214&lt;=89)),"PRE HTA SEGUIMIENTO, RIESGO HIPERTENSION INDUCIDA POR EL EMBARAZO",IF(AND(OR(O214&lt;&gt;"",R214&lt;&gt;""),CS214&lt;&gt;"",CV214&lt;&gt;"",CS214&lt;=CV214),"VIGILAR CIFRAS PRESION ARTERIAL",IF(AND(OR(O214&gt;0,R214&gt;0),AND(CU214&gt;120,CU214&lt;=139)),"PRE HTA SEGUIMIENTO",IF(AND(OR(O214&gt;0,R214&gt;0),AND(CU214&gt;1,CU214&lt;=70),AND(CV214&gt;1,CV214&lt;=40)),"HIPOTENSIÓN",IF(AND(OR(O214&lt;&gt;"",R214&lt;&gt;""),CS214&lt;&gt;"",CV214&lt;&gt;"",CS214&gt;CV214),"APARENTEMENTE NORMAL",IF(AND(OR(O214&gt;0,R214&gt;0),AND(CU214&gt;=80,CU214&lt;=120)),"APARENTEMENTE NORMAL",IF(AND(OR(O214&gt;0,R214&gt;0),AND(CV214&gt;=50,CV214&lt;=80)),"APARENTEMENTE NORMAL","")))))))))))))</f>
        <v>NO APLICA REGISTRO TA-INGRESO TARDIO</v>
      </c>
      <c r="CX214" s="21">
        <v>100</v>
      </c>
      <c r="CY214" s="21">
        <v>60</v>
      </c>
      <c r="CZ214" s="216" t="e">
        <f>IF(R214="","",IF(AND(CN214&gt;31,CN214&lt;35,CX214="",CY214=""),"ACUDE A CONTROL SEM 30 A 34- REGISTRE AHORA",IF(AND(BS214&gt;34,BS214&lt;43,#REF!="",#REF!=""),"NO APLICA-INGRESO TARDIO",IF(AND(OR(O214&gt;0,R214&gt;0),OR(CX214&gt;=140,CY214&gt;=90)),"ESTUDIO INMEDIATO HTA PARA DESCARTAR PREECLAMSIA",IF(AND(OR(O214&gt;0,R214&gt;0),AND(CX214&gt;=130,CX214&lt;=139)),"PRE HTA,RIESGO ALTO PREECLAMPSIA",IF(AND(OR(O214&gt;0,R214&gt;0),AND(CY214&gt;80,CY214&lt;=89)),"PRE HTA,RIESGO ALTO PREECLAMPSIA",IF(AND(OR(O214&gt;0,R214&gt;0),AND(CX214&gt;120,CX214&lt;=129)),"RANGO PREHIPERTENSIVO SEGUIMIENTO HTA",IF(AND(OR(O214&lt;&gt;"",R214&lt;&gt;""),CS214&lt;&gt;"",CY214&lt;&gt;"",CS214&lt;CY214),"VIGILAR CIFRAS PRESION ARTERIAL",IF(AND(OR(O214&lt;&gt;"",R214&lt;&gt;""),CS214&lt;&gt;"",CY214&lt;&gt;"",CS214=CY214),"APARENTEMENTE NORMAL",IF(AND(OR(O214&gt;0,R214&gt;0),CX214&gt;=80,CX214&lt;=120),"APARENTEMENTE NORMAL",IF(AND(OR(O214&gt;0,R214&gt;0),CY214&gt;=50,CY214&lt;=80),"APARENTEMENTE NORMAL","")))))))))))</f>
        <v>#REF!</v>
      </c>
      <c r="DA214" s="21">
        <v>100</v>
      </c>
      <c r="DB214" s="21">
        <v>60</v>
      </c>
      <c r="DC214" s="217" t="str">
        <f t="shared" si="851"/>
        <v>APARENTEMENTE NORMAL</v>
      </c>
      <c r="DD214" s="22">
        <v>45118</v>
      </c>
      <c r="DE214" s="22">
        <v>45118</v>
      </c>
      <c r="DF214" s="22"/>
      <c r="DG214" s="22"/>
      <c r="DH214" s="22"/>
      <c r="DI214" s="22"/>
      <c r="DJ214" s="22"/>
      <c r="DK214" s="22"/>
      <c r="DL214" s="22"/>
      <c r="DM214" s="22"/>
      <c r="DN214" s="22"/>
      <c r="DO214" s="22"/>
      <c r="DP214" s="22"/>
      <c r="DQ214" s="22"/>
      <c r="DR214" s="28"/>
      <c r="DS214" s="22"/>
      <c r="DT214" s="22"/>
      <c r="DU214" s="216" t="str">
        <f t="shared" ca="1" si="920"/>
        <v>CONCERTAR PLAN DE PARTO INMEDIATO</v>
      </c>
      <c r="DV214" s="226" t="str">
        <f t="shared" si="921"/>
        <v>ACTIVA INGRESO A CPN</v>
      </c>
      <c r="DW21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14" s="216" t="e">
        <f t="shared" ca="1" si="852"/>
        <v>#REF!</v>
      </c>
      <c r="DY214" s="212">
        <f>IF(R214="","",IF(R214&gt;0,MAX(Tabla1[[#This Row],[FECHA C2]:[FECHA C13]],Tabla1[[#This Row],[FECHA CONSULTA PRIMERA VEZ PROGRAMA CPN ]])))</f>
        <v>45118</v>
      </c>
      <c r="DZ214" s="216">
        <f t="shared" si="853"/>
        <v>34</v>
      </c>
      <c r="EA214" s="222">
        <f>IF(R214&gt;0,SUM(COUNTA(DF214:DQ214)+COUNTA(Tabla1[[#This Row],[FECHA CONSULTA PRIMERA VEZ PROGRAMA CPN ]])),"")</f>
        <v>1</v>
      </c>
      <c r="EB214" s="222" t="str">
        <f t="shared" si="854"/>
        <v>NO</v>
      </c>
      <c r="EC214" s="214">
        <f t="shared" si="855"/>
        <v>3</v>
      </c>
      <c r="ED214" s="227">
        <f t="shared" si="856"/>
        <v>0.33333333333333331</v>
      </c>
      <c r="EE214" s="22">
        <v>45118</v>
      </c>
      <c r="EF214" s="22"/>
      <c r="EG214" s="22">
        <v>45118</v>
      </c>
      <c r="EH214" s="22"/>
      <c r="EI214" s="22">
        <v>45118</v>
      </c>
      <c r="EJ214" s="22"/>
      <c r="EK214" s="22"/>
      <c r="EL214" s="21"/>
      <c r="EM214" s="21"/>
      <c r="EN214" s="22"/>
      <c r="EO214" s="222" t="str">
        <f t="shared" si="857"/>
        <v>TOMAR EXAMEN</v>
      </c>
      <c r="EP214" s="214" t="str">
        <f t="shared" si="858"/>
        <v/>
      </c>
      <c r="EQ214" s="216" t="str">
        <f t="shared" si="859"/>
        <v>POR DEFINIR</v>
      </c>
      <c r="ER214" s="24"/>
      <c r="ES214" s="22"/>
      <c r="ET214" s="29" t="str">
        <f t="shared" ca="1" si="922"/>
        <v>TOMA DE HEMOGLOBINA TARDÍA</v>
      </c>
      <c r="EU214" s="25" t="str">
        <f t="shared" si="860"/>
        <v/>
      </c>
      <c r="EV214" s="24"/>
      <c r="EW214" s="24"/>
      <c r="EX214" s="22"/>
      <c r="EY214" s="29" t="str">
        <f t="shared" si="693"/>
        <v>TOMAR EXAMEN</v>
      </c>
      <c r="EZ214" s="25" t="str">
        <f t="shared" ca="1" si="694"/>
        <v/>
      </c>
      <c r="FA214" s="21"/>
      <c r="FB214" s="22"/>
      <c r="FC214" s="29" t="str">
        <f t="shared" si="861"/>
        <v>PIERDE TOMA TAMIZAJE- INGRESO TARDIO</v>
      </c>
      <c r="FD214" s="29"/>
      <c r="FE214" s="29"/>
      <c r="FF214" s="29"/>
      <c r="FG214" s="21" t="str">
        <f t="shared" ca="1" si="862"/>
        <v/>
      </c>
      <c r="FH214" s="31"/>
      <c r="FI214" s="29" t="str">
        <f t="shared" si="863"/>
        <v>TOMAR EXAMEN</v>
      </c>
      <c r="FJ214" s="22"/>
      <c r="FK214" s="22"/>
      <c r="FL214" s="29" t="str">
        <f t="shared" ca="1" si="864"/>
        <v>NO APLICA-INGRESO TARDIO</v>
      </c>
      <c r="FM214" s="22"/>
      <c r="FN214" s="32"/>
      <c r="FO214" s="29" t="str">
        <f t="shared" ca="1" si="923"/>
        <v>NO APLICA-INGRESO TARDIO</v>
      </c>
      <c r="FP214" s="22"/>
      <c r="FQ214" s="32"/>
      <c r="FR214" s="29" t="str">
        <f t="shared" ca="1" si="924"/>
        <v>TOMA INMEDIATA DE TAMIZAJE</v>
      </c>
      <c r="FS214" s="22"/>
      <c r="FT214" s="32"/>
      <c r="FU214" s="29" t="str">
        <f>IF(AND(FJ214="",FM214="",FP214="",FS214=""),"",IF(OR(OR(Tabla1[[#This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14" s="28"/>
      <c r="FW214" s="22"/>
      <c r="FX214" s="29" t="str">
        <f t="shared" si="865"/>
        <v>TOMAR EXAMEN</v>
      </c>
      <c r="FY214" s="22"/>
      <c r="FZ214" s="22"/>
      <c r="GA214" s="29" t="str">
        <f t="shared" ca="1" si="939"/>
        <v>NO APLICA-INGRESO TARDIO</v>
      </c>
      <c r="GB214" s="22"/>
      <c r="GC214" s="22"/>
      <c r="GD214" s="29" t="str">
        <f t="shared" ca="1" si="940"/>
        <v>NO APLICA-INGRESO TARDIO</v>
      </c>
      <c r="GE214" s="22"/>
      <c r="GF214" s="22"/>
      <c r="GG214" s="29" t="str">
        <f t="shared" ca="1" si="926"/>
        <v>TOMA INMEDIATA DE TAMIZAJE</v>
      </c>
      <c r="GH214" s="22"/>
      <c r="GI214" s="29"/>
      <c r="GJ214" s="22"/>
      <c r="GK214" s="22"/>
      <c r="GL214" s="22"/>
      <c r="GM214" s="22"/>
      <c r="GN214" s="28"/>
      <c r="GO214" s="22"/>
      <c r="GP214" s="29" t="str">
        <f t="shared" si="866"/>
        <v>TOMAR EXAMEN</v>
      </c>
      <c r="GQ214" s="28"/>
      <c r="GR214" s="28"/>
      <c r="GS214" s="22" t="str">
        <f t="shared" si="728"/>
        <v/>
      </c>
      <c r="GT214" s="22"/>
      <c r="GU214" s="29" t="str">
        <f t="shared" si="867"/>
        <v>TOMAR EXAMEN</v>
      </c>
      <c r="GV214" s="21" t="str">
        <f t="shared" si="868"/>
        <v>POR DEFINIR</v>
      </c>
      <c r="GW214" s="28"/>
      <c r="GX214" s="30"/>
      <c r="GY214" s="21"/>
      <c r="GZ214" s="21"/>
      <c r="HA214" s="21"/>
      <c r="HB214" s="21"/>
      <c r="HC214" s="21"/>
      <c r="HD214" s="21"/>
      <c r="HE214" s="21"/>
      <c r="HF214" s="22"/>
      <c r="HG214" s="22" t="str">
        <f>IF(OR(O214&gt;0,R214&gt;0),CONCATENATE(IF(Tabla1[[#This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14" s="22" t="e">
        <f t="shared" si="869"/>
        <v>#REF!</v>
      </c>
      <c r="HI214" s="22" t="e">
        <f t="shared" ca="1" si="870"/>
        <v>#REF!</v>
      </c>
      <c r="HJ214" s="21" t="str">
        <f t="shared" ca="1" si="871"/>
        <v>***************************************</v>
      </c>
      <c r="HK214" s="21" t="str">
        <f t="shared" si="872"/>
        <v>SIN ANTECEDENTES DE RIESGO</v>
      </c>
      <c r="HL214" s="24" t="str">
        <f t="shared" si="873"/>
        <v>APARENTEMENTE NORMAL</v>
      </c>
      <c r="HM214" s="21" t="e">
        <f t="shared" ca="1" si="874"/>
        <v>#REF!</v>
      </c>
      <c r="HN214" s="30" t="str">
        <f t="shared" si="927"/>
        <v>ACTIVA INGRESO A CPN</v>
      </c>
      <c r="HO214" s="21"/>
      <c r="HP214" s="21"/>
      <c r="HQ214" s="21"/>
      <c r="HR214" s="21" t="str">
        <f>IF(R214="","",IF(Tabla1[[#This Row],[ALARMA FACTORES DE RIESGO COMPLICACIONES HIPERTENSIVAS3]]="SIN ANTECEDENTES DE RIESGO","No Aplica para suministro de ASA",IF(AND(Tabla1[[#This Row],[FECHA INICIO DE SUMINISTRO DE ASA]]&gt;0,RV214&lt;12),"Inicia ASA ANTES de Sem 12",IF(AND(RV214&gt;11,RV214&lt;17,OR(HK214="RIESGO ALTO DE COMPLICACIONES HIPERTENSIVAS VER MANEJO GUIA SUMINISTRO ASA Y CALCIO",HK214="RIESGO MODERADO (2 O MAS CRITERIOS) VER MANEJO GUIA SUMINISTRO ASA Y CALCIO")),"Inicio oportuno de ASA",IF(AND(RV214&gt;12,OR(HK214="RIESGO ALTO DE COMPLICACIONES HIPERTENSIVAS VER MANEJO GUIA SUMINISTRO ASA Y CALCIO",HK214="RIESGO MODERADO (2 O MAS CRITERIOS) VER MANEJO GUIA SUMINISTRO ASA Y CALCIO")),"Inicio no oportuno mayor a 16 semanas",IF(AND(BU214&lt;12,OR(HK214="RIESGO ALTO DE COMPLICACIONES HIPERTENSIVAS VER MANEJO GUIA SUMINISTRO ASA Y CALCIO",HK214="RIESGO MODERADO (2 O MAS CRITERIOS) VER MANEJO GUIA SUMINISTRO ASA Y CALCIO")),"Pendiente Inicio de ASA a la semana 12",IF(AND(BU214&gt;11,BU214&lt;17,OR(HK214="RIESGO ALTO DE COMPLICACIONES HIPERTENSIVAS VER MANEJO GUIA SUMINISTRO ASA Y CALCIO",HK214="RIESGO MODERADO (2 O MAS CRITERIOS) VER MANEJO GUIA SUMINISTRO ASA Y CALCIO")),"Iniciar de inmediato ASA",IF(AND(BU214&gt;16,OR(HK214="RIESGO ALTO DE COMPLICACIONES HIPERTENSIVAS VER MANEJO GUIA SUMINISTRO ASA Y CALCIO",HK214="RIESGO MODERADO (2 O MAS CRITERIOS) VER MANEJO GUIA SUMINISTRO ASA Y CALCIO")),"Pierde Oportunidad, Inicio tardío de ASA","XXXXX"))))))))</f>
        <v>No Aplica para suministro de ASA</v>
      </c>
      <c r="HS214" s="22"/>
      <c r="HT214" s="22"/>
      <c r="HU214" s="22"/>
      <c r="HV214" s="22"/>
      <c r="HW214" s="22"/>
      <c r="HX214" s="22"/>
      <c r="HY214" s="22"/>
      <c r="HZ214" s="28" t="str">
        <f t="shared" si="875"/>
        <v>PENDIENTE CONSULTA</v>
      </c>
      <c r="IA214" s="26"/>
      <c r="IB214" s="26"/>
      <c r="IC214" s="111"/>
      <c r="ID214" s="22"/>
      <c r="IE214" s="22" t="str">
        <f t="shared" ca="1" si="876"/>
        <v/>
      </c>
      <c r="IF214" s="22"/>
      <c r="IG214" s="22">
        <f t="shared" si="877"/>
        <v>45155</v>
      </c>
      <c r="IH214" s="29">
        <f t="shared" ca="1" si="878"/>
        <v>-77</v>
      </c>
      <c r="II214" s="22" t="str">
        <f t="shared" ca="1" si="879"/>
        <v>POSIBLEMENTE NACIO</v>
      </c>
      <c r="IJ214" s="22"/>
      <c r="IK214" s="21"/>
      <c r="IL214" s="21"/>
      <c r="IM214" s="34"/>
      <c r="IN214" s="349"/>
      <c r="IO214" s="21"/>
      <c r="IP214" s="29" t="str">
        <f t="shared" si="880"/>
        <v/>
      </c>
      <c r="IQ214" s="35"/>
      <c r="IR214" s="21"/>
      <c r="IS214" s="21"/>
      <c r="IT214" s="21"/>
      <c r="IU214" s="21"/>
      <c r="IV214" s="21"/>
      <c r="IW214" s="21"/>
      <c r="IX214" s="21"/>
      <c r="IY214" s="21"/>
      <c r="IZ214" s="21"/>
      <c r="JA214" s="21"/>
      <c r="JB214" s="30"/>
      <c r="JC214" s="21"/>
      <c r="JD214" s="36"/>
      <c r="JE214" s="21" t="str">
        <f t="shared" si="881"/>
        <v/>
      </c>
      <c r="JF214" s="30"/>
      <c r="JG214" s="21"/>
      <c r="JH214" s="21"/>
      <c r="JI214" s="21"/>
      <c r="JJ214" s="30"/>
      <c r="JK214" s="22"/>
      <c r="JL214" s="22"/>
      <c r="JM214" s="21"/>
      <c r="JN214" s="36"/>
      <c r="JO214" s="21" t="str">
        <f t="shared" si="882"/>
        <v/>
      </c>
      <c r="JP214" s="22"/>
      <c r="JQ214" s="21"/>
      <c r="JR214" s="21"/>
      <c r="JS214" s="21"/>
      <c r="JT214" s="30"/>
      <c r="JU214" s="22"/>
      <c r="JV214" s="22"/>
      <c r="JW214" s="33"/>
      <c r="JX214" s="28" t="str">
        <f t="shared" si="883"/>
        <v/>
      </c>
      <c r="JY214" s="33"/>
      <c r="JZ214" s="28" t="str">
        <f t="shared" si="884"/>
        <v/>
      </c>
      <c r="KA214" s="21"/>
      <c r="KB214" s="21"/>
      <c r="KC214" s="21"/>
      <c r="KD214" s="37"/>
      <c r="KE214" s="28"/>
      <c r="KF214" s="28"/>
      <c r="KG214" s="28"/>
      <c r="KH214" s="39"/>
      <c r="KI214" s="39"/>
      <c r="KJ214" s="66"/>
      <c r="KK214" s="39"/>
      <c r="KL214" s="39"/>
      <c r="KM214" s="66"/>
      <c r="KN214" s="39"/>
      <c r="KO214" s="39"/>
      <c r="KP214" s="39"/>
      <c r="KQ214" s="39"/>
      <c r="KR214" s="39"/>
      <c r="KS214" s="39"/>
      <c r="KT214" s="39"/>
      <c r="KU214" s="38"/>
      <c r="KV214" s="38"/>
      <c r="KW214" s="38"/>
      <c r="KX214" s="38"/>
      <c r="KY214" s="38"/>
      <c r="KZ214" s="38"/>
      <c r="LA214" s="38"/>
      <c r="LB214" s="38"/>
      <c r="LC214" s="38"/>
      <c r="LD214" s="38"/>
      <c r="LE214" s="38"/>
      <c r="LF214" s="38"/>
      <c r="LG214" s="38"/>
      <c r="LH214" s="38"/>
      <c r="LI214" s="38"/>
      <c r="LJ214" s="38"/>
      <c r="LK214" s="38"/>
      <c r="LL214" s="38"/>
      <c r="LM214" s="38"/>
      <c r="LN214" s="38"/>
      <c r="LO214" s="38"/>
      <c r="LP214" s="38"/>
      <c r="LQ214" s="38"/>
      <c r="LR214" s="38"/>
      <c r="LS214" s="38"/>
      <c r="LT214" s="38"/>
      <c r="LU214" s="38"/>
      <c r="LV214" s="38"/>
      <c r="LW214" s="38"/>
      <c r="LX214" s="38"/>
      <c r="LY214" s="38"/>
      <c r="LZ214" s="38"/>
      <c r="MA214" s="38"/>
      <c r="MB214" s="38"/>
      <c r="MC214" s="38"/>
      <c r="MD214" s="38"/>
      <c r="ME214" s="38"/>
      <c r="MF214" s="38"/>
      <c r="MG214" s="38"/>
      <c r="MH214" s="43">
        <f t="shared" si="885"/>
        <v>0</v>
      </c>
      <c r="MI214" s="43" t="str">
        <f t="shared" si="929"/>
        <v/>
      </c>
      <c r="MJ214" s="43" t="str">
        <f t="shared" si="887"/>
        <v/>
      </c>
      <c r="MK214" s="43">
        <f t="shared" si="888"/>
        <v>0</v>
      </c>
      <c r="ML21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14" s="43">
        <f t="shared" si="930"/>
        <v>34.714285714285715</v>
      </c>
      <c r="MN214" s="43">
        <f t="shared" si="931"/>
        <v>7</v>
      </c>
      <c r="MO214" s="43">
        <f t="shared" si="932"/>
        <v>2023</v>
      </c>
      <c r="MP214" s="43" t="str">
        <f t="shared" si="892"/>
        <v>III TRIMESTRE AÑO</v>
      </c>
      <c r="MQ214" s="43">
        <f t="shared" si="933"/>
        <v>27.619908015768726</v>
      </c>
      <c r="MR214" s="43">
        <f t="shared" si="894"/>
        <v>0</v>
      </c>
      <c r="MS214" s="43" t="str">
        <f t="shared" si="895"/>
        <v xml:space="preserve"> DE 25 A 29 AÑOS</v>
      </c>
      <c r="MT214" s="43">
        <f t="shared" si="896"/>
        <v>0</v>
      </c>
      <c r="MU214" s="43">
        <f t="shared" si="897"/>
        <v>0</v>
      </c>
      <c r="MV214" s="43">
        <f t="shared" si="898"/>
        <v>0</v>
      </c>
      <c r="MW214" s="43">
        <f t="shared" si="899"/>
        <v>0</v>
      </c>
      <c r="MX214" s="43" t="str">
        <f t="shared" si="900"/>
        <v/>
      </c>
      <c r="MY214" s="43" t="str">
        <f t="shared" ca="1" si="901"/>
        <v/>
      </c>
      <c r="MZ214" s="43" t="str">
        <f t="shared" si="902"/>
        <v/>
      </c>
      <c r="NA214" s="43" t="str">
        <f t="shared" si="903"/>
        <v/>
      </c>
      <c r="NB214" s="43" t="str">
        <f t="shared" si="904"/>
        <v/>
      </c>
      <c r="NC214" s="43" t="str">
        <f t="shared" si="905"/>
        <v/>
      </c>
      <c r="ND214" s="43">
        <f t="shared" ca="1" si="934"/>
        <v>0</v>
      </c>
      <c r="NE214" s="43">
        <f>IF(OR(O214&gt;0,R214&gt;0),SUM(COUNTIF(Tabla1[[#This Row],[AÑOS AL INICIO5 CPN]],"&gt;=40"),COUNTIF(AS214,"0"),COUNTIF(AR214,"SI"),COUNTIF(CC214,"SI"),COUNTIF(BQ214,"&gt;119"),COUNTIF(CI214,"&gt;=35")),"")</f>
        <v>0</v>
      </c>
      <c r="NF214" s="43" t="str">
        <f t="shared" si="935"/>
        <v/>
      </c>
      <c r="NG214" s="43">
        <f t="shared" si="908"/>
        <v>0</v>
      </c>
      <c r="NH214" s="43" t="str">
        <f t="shared" si="909"/>
        <v/>
      </c>
      <c r="NI21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CPN",P214="NO"),"Z",IF(AND(Tabla1[[#This Row],[CITA PROXIMO CONTROL]]="CITA MANUAL",Tabla1[[#This Row],[GESTANTES ACTUALES]]="ACTIVA INGRESO A CPN"),"W",IF(AND(Tabla1[[#This Row],[GESTANTES ACTUALES]]="SALIO PROGRAMA",IN214=""),"S",IF(AND(Tabla1[[#This Row],[CITA PROXIMO CONTROL]]&gt;0,IN214=""),(Tabla1[[#This Row],[CITA PROXIMO CONTROL]]-TODAY()),"SD"))))))))</f>
        <v>#REF!</v>
      </c>
      <c r="NJ214" s="43">
        <f>MONTH(Tabla1[[#This Row],[FECHA DE SALIDA  DEL PROGRAMA]])</f>
        <v>1</v>
      </c>
      <c r="NK214" s="43">
        <f>YEAR(Tabla1[[#This Row],[FECHA DE SALIDA  DEL PROGRAMA]])</f>
        <v>1900</v>
      </c>
      <c r="NL214" s="43" t="str">
        <f t="shared" si="936"/>
        <v>X</v>
      </c>
      <c r="NM214" s="43" t="str">
        <f t="shared" si="941"/>
        <v>NO</v>
      </c>
      <c r="NN214" s="43" t="str">
        <f ca="1">IF(AND(O214&gt;0,R214=""),"NO CPN",IF(AND(O214="",R214=""),"",IF(AND(R214&gt;0,Tabla1[[#This Row],[SEMANAS DE GESTACION ACTUALIZADAS]]&lt;=12),"NO APLICA",IF(AND(FH214&lt;&gt;"",FN214&lt;&gt;""),"SI","NO"))))</f>
        <v>NO</v>
      </c>
      <c r="NO214" s="43" t="str">
        <f ca="1">IF(AND(O214&gt;0,R214=""),"NO CPN",IF(AND(O214="",R214=""),"",IF(AND(R214&gt;0,Tabla1[[#This Row],[SEMANAS DE GESTACION ACTUALIZADAS]]&lt;=27),"NO APLICA",IF(AND(ES214&lt;&gt;"",FQ214&lt;&gt;"",GF214&lt;&gt;""),"SI","NO"))))</f>
        <v>NO</v>
      </c>
      <c r="NP214" s="204" t="str">
        <f t="shared" si="912"/>
        <v>III TRIM</v>
      </c>
      <c r="NQ214"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214" s="21">
        <f t="shared" si="937"/>
        <v>1</v>
      </c>
      <c r="NS214" s="205">
        <f t="shared" ca="1" si="914"/>
        <v>0</v>
      </c>
      <c r="NT214" s="21">
        <f t="shared" ca="1" si="915"/>
        <v>0</v>
      </c>
      <c r="NU214" s="21" t="str">
        <f t="shared" ca="1" si="916"/>
        <v>INCOMPLETO</v>
      </c>
      <c r="NV214" s="21" t="str">
        <f t="shared" ca="1" si="917"/>
        <v>INCOMPLETO</v>
      </c>
      <c r="NW214" s="206" t="str">
        <f>IF(AND(O214="",R214=""),"",IF(OR(AND(Tabla1[[#This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14" s="207" t="str">
        <f t="shared" ca="1" si="938"/>
        <v>SIN VACUNAR</v>
      </c>
      <c r="NY214" s="43">
        <f>ROW(Tabla1[[#This Row],['# DE TAMIZAJES SIFILIS TOMADOS ]])</f>
        <v>214</v>
      </c>
      <c r="NZ214" s="43">
        <f t="shared" si="740"/>
        <v>34</v>
      </c>
      <c r="OA214" s="43" t="str">
        <f t="shared" si="741"/>
        <v/>
      </c>
      <c r="OB214" s="43" t="str">
        <f t="shared" si="742"/>
        <v/>
      </c>
      <c r="OC214" s="43" t="str">
        <f t="shared" si="743"/>
        <v/>
      </c>
      <c r="OD214" s="43" t="str">
        <f t="shared" si="744"/>
        <v/>
      </c>
      <c r="OE214" s="43" t="str">
        <f t="shared" si="745"/>
        <v/>
      </c>
      <c r="OF214" s="43" t="str">
        <f t="shared" si="746"/>
        <v/>
      </c>
      <c r="OG214" s="43" t="str">
        <f t="shared" si="747"/>
        <v/>
      </c>
      <c r="OH214" s="43" t="str">
        <f t="shared" si="748"/>
        <v/>
      </c>
      <c r="OI214" s="43" t="str">
        <f t="shared" si="749"/>
        <v/>
      </c>
      <c r="OJ214" s="43" t="str">
        <f t="shared" si="750"/>
        <v/>
      </c>
      <c r="OK214" s="43" t="str">
        <f t="shared" si="751"/>
        <v/>
      </c>
      <c r="OL214" s="43" t="str">
        <f t="shared" si="752"/>
        <v/>
      </c>
      <c r="OM214" s="43" t="str">
        <f t="shared" si="753"/>
        <v/>
      </c>
      <c r="ON214" s="43" t="str">
        <f t="shared" si="754"/>
        <v/>
      </c>
      <c r="OO214" s="43" t="str">
        <f t="shared" si="755"/>
        <v/>
      </c>
      <c r="OP214" s="43" t="str">
        <f t="shared" si="756"/>
        <v/>
      </c>
      <c r="OQ214" s="43" t="str">
        <f t="shared" si="757"/>
        <v/>
      </c>
      <c r="OR214" s="43" t="str">
        <f t="shared" si="758"/>
        <v/>
      </c>
      <c r="OS214" s="43" t="str">
        <f t="shared" si="759"/>
        <v/>
      </c>
      <c r="OT214" s="43" t="str">
        <f t="shared" si="760"/>
        <v/>
      </c>
      <c r="OU214" s="43" t="str">
        <f t="shared" si="761"/>
        <v/>
      </c>
      <c r="OV214" s="110" t="str">
        <f t="shared" si="762"/>
        <v/>
      </c>
      <c r="OW214" s="43" t="str">
        <f t="shared" si="763"/>
        <v/>
      </c>
      <c r="OX214" s="43" t="str">
        <f t="shared" si="764"/>
        <v/>
      </c>
      <c r="OY214" s="43" t="str">
        <f t="shared" si="765"/>
        <v/>
      </c>
      <c r="OZ214" s="43" t="str">
        <f t="shared" si="766"/>
        <v>SOBREPESO</v>
      </c>
      <c r="PA214" s="43" t="str">
        <f t="shared" si="767"/>
        <v/>
      </c>
      <c r="PB214" s="43" t="str">
        <f t="shared" si="768"/>
        <v/>
      </c>
      <c r="PC214" s="43" t="str">
        <f t="shared" si="769"/>
        <v/>
      </c>
      <c r="PD214" s="43" t="str">
        <f t="shared" si="770"/>
        <v/>
      </c>
      <c r="PE214" s="43" t="str">
        <f t="shared" si="771"/>
        <v/>
      </c>
      <c r="PF214" s="43" t="str">
        <f t="shared" si="772"/>
        <v/>
      </c>
      <c r="PG214" s="43" t="str">
        <f t="shared" si="773"/>
        <v/>
      </c>
      <c r="PH214" s="43" t="str">
        <f t="shared" si="774"/>
        <v/>
      </c>
      <c r="PI214" s="43">
        <f t="shared" si="775"/>
        <v>34</v>
      </c>
      <c r="PJ214" s="43" t="str">
        <f t="shared" si="776"/>
        <v/>
      </c>
      <c r="PK214" s="43" t="str">
        <f t="shared" si="777"/>
        <v/>
      </c>
      <c r="PL214" s="43" t="str">
        <f t="shared" si="778"/>
        <v/>
      </c>
      <c r="PM214" s="43" t="str">
        <f t="shared" si="779"/>
        <v/>
      </c>
      <c r="PN214" s="43" t="str">
        <f t="shared" si="780"/>
        <v/>
      </c>
      <c r="PO214" s="43" t="str">
        <f t="shared" si="781"/>
        <v/>
      </c>
      <c r="PP214" s="43" t="str">
        <f t="shared" si="782"/>
        <v/>
      </c>
      <c r="PQ214" s="43" t="str">
        <f t="shared" si="783"/>
        <v/>
      </c>
      <c r="PR214" s="43" t="str">
        <f t="shared" si="784"/>
        <v/>
      </c>
      <c r="PS214" s="43" t="str">
        <f t="shared" si="785"/>
        <v/>
      </c>
      <c r="PT214" s="43" t="str">
        <f t="shared" si="786"/>
        <v/>
      </c>
      <c r="PU214" s="43" t="str">
        <f t="shared" si="787"/>
        <v/>
      </c>
      <c r="PV214" s="43" t="str">
        <f t="shared" si="788"/>
        <v/>
      </c>
      <c r="PW214" s="43" t="str">
        <f t="shared" si="789"/>
        <v/>
      </c>
      <c r="PX214" s="43" t="str">
        <f t="shared" si="790"/>
        <v/>
      </c>
      <c r="PY214" s="43" t="str">
        <f t="shared" si="791"/>
        <v/>
      </c>
      <c r="PZ214" s="43" t="str">
        <f t="shared" si="792"/>
        <v/>
      </c>
      <c r="QA214" s="43" t="str">
        <f t="shared" si="793"/>
        <v/>
      </c>
      <c r="QB214" s="43" t="str">
        <f t="shared" si="794"/>
        <v/>
      </c>
      <c r="QC214" s="43" t="str">
        <f t="shared" si="795"/>
        <v/>
      </c>
      <c r="QD214" s="43" t="str">
        <f t="shared" si="796"/>
        <v/>
      </c>
      <c r="QE214" s="43" t="str">
        <f t="shared" si="797"/>
        <v/>
      </c>
      <c r="QF214" s="43" t="str">
        <f t="shared" si="798"/>
        <v/>
      </c>
      <c r="QG214" s="43" t="str">
        <f t="shared" si="799"/>
        <v/>
      </c>
      <c r="QH214" s="43" t="str">
        <f t="shared" si="800"/>
        <v/>
      </c>
      <c r="QI214" s="43" t="str">
        <f t="shared" si="801"/>
        <v>SOBREPESO</v>
      </c>
      <c r="QJ214" s="43" t="str">
        <f t="shared" si="802"/>
        <v/>
      </c>
      <c r="QK214" s="43" t="str">
        <f t="shared" si="803"/>
        <v/>
      </c>
      <c r="QL214" s="43" t="str">
        <f t="shared" si="804"/>
        <v/>
      </c>
      <c r="QM214" s="43" t="str">
        <f t="shared" si="805"/>
        <v/>
      </c>
      <c r="QN214" s="43" t="str">
        <f t="shared" si="806"/>
        <v/>
      </c>
      <c r="QO214" s="43" t="str">
        <f t="shared" si="807"/>
        <v/>
      </c>
      <c r="QP214" s="43" t="str">
        <f t="shared" si="808"/>
        <v/>
      </c>
      <c r="QQ214" s="43" t="str">
        <f t="shared" si="809"/>
        <v/>
      </c>
      <c r="QR214" s="43">
        <f t="shared" si="839"/>
        <v>34</v>
      </c>
      <c r="QS214" s="43"/>
      <c r="QT214" s="21" t="str">
        <f t="shared" si="810"/>
        <v/>
      </c>
      <c r="QU214" s="21" t="str">
        <f t="shared" si="811"/>
        <v/>
      </c>
      <c r="QV214" s="21" t="str">
        <f t="shared" si="812"/>
        <v/>
      </c>
      <c r="QW214" s="21" t="str">
        <f t="shared" si="813"/>
        <v/>
      </c>
      <c r="QX214" s="21" t="str">
        <f t="shared" si="814"/>
        <v/>
      </c>
      <c r="QY214" s="21" t="str">
        <f t="shared" si="815"/>
        <v/>
      </c>
      <c r="QZ214" s="21" t="str">
        <f t="shared" si="816"/>
        <v/>
      </c>
      <c r="RA214" s="21" t="str">
        <f t="shared" si="817"/>
        <v/>
      </c>
      <c r="RB214" s="21" t="str">
        <f t="shared" si="818"/>
        <v/>
      </c>
      <c r="RC214" s="21" t="str">
        <f t="shared" si="819"/>
        <v/>
      </c>
      <c r="RD214" s="21" t="str">
        <f t="shared" si="820"/>
        <v/>
      </c>
      <c r="RE214" s="21" t="str">
        <f t="shared" si="821"/>
        <v/>
      </c>
      <c r="RF214" s="21" t="str">
        <f t="shared" si="822"/>
        <v/>
      </c>
      <c r="RG214" s="21" t="str">
        <f t="shared" si="823"/>
        <v/>
      </c>
      <c r="RH214" s="21" t="str">
        <f t="shared" si="824"/>
        <v/>
      </c>
      <c r="RI214" s="21" t="str">
        <f t="shared" si="825"/>
        <v/>
      </c>
      <c r="RJ214" s="21" t="str">
        <f t="shared" si="826"/>
        <v/>
      </c>
      <c r="RK214" s="21" t="str">
        <f t="shared" si="827"/>
        <v/>
      </c>
      <c r="RL214" s="21" t="str">
        <f t="shared" si="828"/>
        <v/>
      </c>
      <c r="RM214" s="21" t="str">
        <f t="shared" si="829"/>
        <v/>
      </c>
      <c r="RN214" s="21" t="str">
        <f t="shared" si="830"/>
        <v/>
      </c>
      <c r="RO214" s="21" t="str">
        <f t="shared" si="831"/>
        <v>ADECUADO PARA EDAD GESTACIONAL</v>
      </c>
      <c r="RP214" s="21" t="str">
        <f t="shared" si="832"/>
        <v/>
      </c>
      <c r="RQ214" s="21" t="str">
        <f t="shared" si="833"/>
        <v/>
      </c>
      <c r="RR214" s="21" t="str">
        <f t="shared" si="834"/>
        <v/>
      </c>
      <c r="RS214" s="21" t="str">
        <f t="shared" si="835"/>
        <v/>
      </c>
      <c r="RT214" s="21" t="str">
        <f t="shared" si="836"/>
        <v/>
      </c>
      <c r="RU214" s="21" t="str">
        <f t="shared" si="837"/>
        <v/>
      </c>
      <c r="RV214" s="21">
        <f t="shared" si="838"/>
        <v>-1</v>
      </c>
      <c r="RW214" s="284">
        <f>IF(OR(Tabla1[[#This Row],[FUM FORMULA CONFIABLE]]="",Tabla1[[#This Row],[FUM FORMULA CONFIABLE]]="SD"),"",IF(Tabla1[[#This Row],[FUM FORMULA CONFIABLE]]="CORREGIDA",Tabla1[[#This Row],[FUM X ECO 1]],Tabla1[[#This Row],[FUM x AMENORREA]]))</f>
        <v>44875</v>
      </c>
      <c r="RX214" s="21" t="str">
        <f>IF(AND(Tabla1[[#This Row],[FUM X ECO 1]]="",Tabla1[[#This Row],[FUM x AMENORREA]]=""),"",IF(AND(Tabla1[[#This Row],[FUM X ECO 1]]="",Tabla1[[#This Row],[FUM x AMENORREA]]&lt;&gt;""),"X",SUM(Tabla1[[#This Row],[FUM X ECO 1]]-Tabla1[[#This Row],[FUM x AMENORREA]])))</f>
        <v>X</v>
      </c>
      <c r="RY214" s="21" t="str">
        <f t="shared" si="840"/>
        <v>x</v>
      </c>
    </row>
    <row r="215" spans="1:493" ht="45" customHeight="1" x14ac:dyDescent="0.25">
      <c r="A215" s="109"/>
      <c r="B215" s="43"/>
      <c r="C215" s="43" t="s">
        <v>845</v>
      </c>
      <c r="D215" s="124"/>
      <c r="E215" s="43" t="s">
        <v>1068</v>
      </c>
      <c r="F215" s="43" t="s">
        <v>1577</v>
      </c>
      <c r="G215" s="43" t="s">
        <v>1468</v>
      </c>
      <c r="H215" s="43" t="s">
        <v>1281</v>
      </c>
      <c r="I215" s="109" t="s">
        <v>851</v>
      </c>
      <c r="J215" s="289" t="s">
        <v>1576</v>
      </c>
      <c r="K215" s="43" t="s">
        <v>852</v>
      </c>
      <c r="L215" s="175" t="s">
        <v>1509</v>
      </c>
      <c r="M215" s="22">
        <v>35789</v>
      </c>
      <c r="N215" s="213">
        <f t="shared" ca="1" si="841"/>
        <v>25.87123287671233</v>
      </c>
      <c r="O215" s="22">
        <v>45121</v>
      </c>
      <c r="P215" s="214" t="str">
        <f t="shared" si="919"/>
        <v>SI</v>
      </c>
      <c r="Q215" s="26" t="s">
        <v>855</v>
      </c>
      <c r="R215" s="22">
        <v>45121</v>
      </c>
      <c r="S215" s="21" t="s">
        <v>856</v>
      </c>
      <c r="T215" s="24" t="s">
        <v>690</v>
      </c>
      <c r="U215" s="21" t="s">
        <v>857</v>
      </c>
      <c r="V215" s="21" t="s">
        <v>858</v>
      </c>
      <c r="W215" s="21" t="s">
        <v>1477</v>
      </c>
      <c r="X215" s="21"/>
      <c r="Y215" s="21"/>
      <c r="Z215" s="21" t="s">
        <v>894</v>
      </c>
      <c r="AA215" s="21" t="s">
        <v>860</v>
      </c>
      <c r="AB215" s="27" t="s">
        <v>861</v>
      </c>
      <c r="AC215" s="26" t="s">
        <v>888</v>
      </c>
      <c r="AD215" s="38" t="s">
        <v>1546</v>
      </c>
      <c r="AE215" s="26" t="s">
        <v>854</v>
      </c>
      <c r="AF215" s="26" t="s">
        <v>854</v>
      </c>
      <c r="AG215" s="23" t="s">
        <v>864</v>
      </c>
      <c r="AH215" s="23" t="s">
        <v>864</v>
      </c>
      <c r="AI215" s="24" t="s">
        <v>863</v>
      </c>
      <c r="AJ215" s="23" t="s">
        <v>864</v>
      </c>
      <c r="AK215" s="220" t="str">
        <f>IF(AND(AD215="",AE215="",AF215="",AG215="",AH215="",AI215="",AJ215=""),"",IF(OR(Tabla1[[#This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EVALUACIÓN",IF(AND(O215="",R215=""),"",IF(AND(OR(O215&gt;0,R215&gt;0),NG215&gt;=0,NG215&lt;2),"SIN RIESGO",IF(AND(OR(O215&gt;0,R215&gt;0),NG215&gt;=2),"CON RIESGO","ASD")))))</f>
        <v>SIN RIESGO</v>
      </c>
      <c r="AL215" s="23" t="s">
        <v>864</v>
      </c>
      <c r="AM215" s="23" t="s">
        <v>864</v>
      </c>
      <c r="AN215" s="23" t="s">
        <v>864</v>
      </c>
      <c r="AO215" s="23" t="s">
        <v>864</v>
      </c>
      <c r="AP215" s="23" t="s">
        <v>864</v>
      </c>
      <c r="AQ215" s="23" t="s">
        <v>864</v>
      </c>
      <c r="AR215" s="23" t="s">
        <v>864</v>
      </c>
      <c r="AS215" s="21">
        <v>1</v>
      </c>
      <c r="AT215" s="21">
        <v>0</v>
      </c>
      <c r="AU215" s="21">
        <v>0</v>
      </c>
      <c r="AV215" s="26" t="s">
        <v>864</v>
      </c>
      <c r="AW215" s="21">
        <v>0</v>
      </c>
      <c r="AX215" s="26" t="s">
        <v>864</v>
      </c>
      <c r="AY215" s="26" t="s">
        <v>864</v>
      </c>
      <c r="AZ215" s="26" t="s">
        <v>864</v>
      </c>
      <c r="BA215" s="26" t="s">
        <v>864</v>
      </c>
      <c r="BB215" s="26" t="s">
        <v>864</v>
      </c>
      <c r="BC215" s="26" t="s">
        <v>864</v>
      </c>
      <c r="BD215" s="26" t="s">
        <v>864</v>
      </c>
      <c r="BE215" s="26" t="s">
        <v>864</v>
      </c>
      <c r="BF215" s="26" t="s">
        <v>864</v>
      </c>
      <c r="BG215" s="26" t="s">
        <v>864</v>
      </c>
      <c r="BH215" s="26" t="s">
        <v>864</v>
      </c>
      <c r="BI215" s="26" t="s">
        <v>864</v>
      </c>
      <c r="BJ215" s="26" t="s">
        <v>864</v>
      </c>
      <c r="BK215" s="26" t="s">
        <v>864</v>
      </c>
      <c r="BL215" s="26" t="s">
        <v>864</v>
      </c>
      <c r="BM215" s="26" t="s">
        <v>864</v>
      </c>
      <c r="BN215" s="22"/>
      <c r="BO215" s="22">
        <v>44847</v>
      </c>
      <c r="BP215" s="21" t="s">
        <v>854</v>
      </c>
      <c r="BQ215" s="222">
        <f t="shared" si="842"/>
        <v>0</v>
      </c>
      <c r="BR215" s="223" t="str">
        <f t="shared" si="843"/>
        <v/>
      </c>
      <c r="BS215" s="224">
        <f t="shared" si="844"/>
        <v>39.142857142857146</v>
      </c>
      <c r="BT215" s="216" t="str">
        <f t="shared" si="845"/>
        <v>III TRIM</v>
      </c>
      <c r="BU215" s="214" t="str">
        <f t="shared" ca="1" si="928"/>
        <v/>
      </c>
      <c r="BV215" s="25"/>
      <c r="BW215" s="22"/>
      <c r="BX215" s="28"/>
      <c r="BY215" s="28"/>
      <c r="BZ215" s="22"/>
      <c r="CA215" s="21"/>
      <c r="CB215" s="26"/>
      <c r="CC215" s="26"/>
      <c r="CD215" s="26"/>
      <c r="CE215" s="26"/>
      <c r="CF215" s="22" t="s">
        <v>1517</v>
      </c>
      <c r="CG215" s="21">
        <v>1.52</v>
      </c>
      <c r="CH215" s="21">
        <v>45.6</v>
      </c>
      <c r="CI215" s="214">
        <f t="shared" si="847"/>
        <v>19.736842105263158</v>
      </c>
      <c r="CJ215" s="225" t="e">
        <f>IF(AND(CI215&lt;10,CH215="SD"),"SIN DATO PESO PREGESTACION O I TRIM",IF(AND(OR(R215&gt;0,O215&gt;0),CI215="X"),"INGRESAR DATO DE PESO",IF(CI215="SD","INGRESAR DATO DE TALLA Y PESO",IF(AND(OR(Tabla1[[#This Row],[MOMENTO EN QUE SE REALIZA EL PESO AL INGRESO A CPN]]="PREGESTACIÓN",NZ215="Menor"),CI215&lt;18.5),"BAJO PESO",IF(AND(OR(Tabla1[[#This Row],[MOMENTO EN QUE SE REALIZA EL PESO AL INGRESO A CPN]]="PREGESTACIÓN",NZ215="Menor"),CI215&lt;25),"NORMAL",IF(AND(OR(Tabla1[[#This Row],[MOMENTO EN QUE SE REALIZA EL PESO AL INGRESO A CPN]]="PREGESTACIÓN",NZ215="Menor"),CI215&lt;30),"SOBREPESO",IF(AND(OR(Tabla1[[#This Row],[MOMENTO EN QUE SE REALIZA EL PESO AL INGRESO A CPN]]="PREGESTACIÓN",NZ215="Menor"),CI215&gt;=30,CI215&lt;50),"OBESIDAD",IF(AND(BS215&gt;0,Tabla1[[#This Row],[MOMENTO EN QUE SE REALIZA EL PESO AL INGRESO A CPN]]="GESTACIÓN"),HLOOKUP(NZ215,$OA$2:PH215,NY215),""))))))))</f>
        <v>#REF!</v>
      </c>
      <c r="CK215" s="212">
        <f t="shared" si="848"/>
        <v>45121</v>
      </c>
      <c r="CL215" s="21">
        <v>45.6</v>
      </c>
      <c r="CM215" s="214">
        <f t="shared" si="849"/>
        <v>19.736842105263158</v>
      </c>
      <c r="CN215" s="216">
        <f t="shared" si="850"/>
        <v>39</v>
      </c>
      <c r="CO215" s="216" t="e">
        <f>IF(PI215="","",IF(PI215&gt;0,HLOOKUP(PI215,$PJ$2:QQ215,NY215),""))</f>
        <v>#REF!</v>
      </c>
      <c r="CP215" s="21"/>
      <c r="CQ215" s="216" t="e">
        <f>IF(QR215="Menor","NO APLICA-MENOR 13 SEM",IF(AND(CC215="SI",CN215&gt;23),"NO APLICA- GEMELAR",IF(QR215="","",IF(QR215&gt;0,HLOOKUP(QR215,$QS$2:RU215,NY215),""))))</f>
        <v>#REF!</v>
      </c>
      <c r="CR215" s="21">
        <v>100</v>
      </c>
      <c r="CS215" s="21">
        <v>60</v>
      </c>
      <c r="CT215" s="217" t="str">
        <f>IF(R215="","",IF(AND(BS215&gt;1,BS215&lt;12,Tabla1[[#This Row],[T.A. SISTOLICA - ANTES DE SEMANA 12]]="",Tabla1[[#This Row],[T.A. DIASTOLICA - ANTES DE SEMANA 12]]=""),"REGISTRE DATO TA ANTES SEMANA 12",IF(AND(BS215&gt;11,BS215&lt;43,Tabla1[[#This Row],[T.A. SISTOLICA - ANTES DE SEMANA 12]]="",Tabla1[[#This Row],[T.A. DIASTOLICA - ANTES DE SEMANA 12]]=""),"NO APLICA REGISTRO TA-INGRESO TARDIO",IF(AND(OR(O215&gt;0,R215&gt;0),OR(CR215&gt;=140,CS215&gt;=90)),"DEFINIR ESTADIO HTA",IF(AND(OR(O215&gt;0,R215&gt;0),AND(CR215&gt;120,CR215&lt;=139)),"PRE HTA SEGUIMIENTO",IF(AND(OR(O215&gt;0,R215&gt;0),AND(CS215&gt;80,CS215&lt;=89)),"PRE HTA SEGUIMIENTO",IF(AND(OR(O215&gt;0,R215&gt;0),AND(CR215&gt;=80,CR215&lt;=120)),"APARENTEMENTE NORMAL",IF(AND(OR(O215&gt;0,R215&gt;0),AND(CS215&gt;=50,CS215&lt;=80)),"APARENTEMENTE NORMAL",IF(AND(OR(O215&gt;0,R215&gt;0),AND(CR215&gt;1,CR215&lt;=70),AND(CS215&gt;1,CS215&lt;=40)),"HIPOTENSIÓN","")))))))))</f>
        <v>APARENTEMENTE NORMAL</v>
      </c>
      <c r="CU215" s="21"/>
      <c r="CV215" s="21"/>
      <c r="CW215" s="217" t="str">
        <f ca="1">IF(R215="","",IF(AND(CN215&gt;19,CN215&lt;27,Tabla1[[#This Row],[T.A. SISTOLICA (Entre semana 20 y 26)]]="",Tabla1[[#This Row],[T.A. DIATOLICA (Entre semana 20 y 26)]]=""),"ACUDE A CONTROL SEM 20 A 26 REGISTRE TA AHORA",IF(AND(BS215&gt;1,BS215&lt;27,BU215&gt;19,Tabla1[[#This Row],[T.A. SISTOLICA (Entre semana 20 y 26)]]="",Tabla1[[#This Row],[T.A. DIATOLICA (Entre semana 20 y 26)]]=""),"COMPLETE REGISTRO TA CONTROL SEM 20 A26 ",IF(AND(BS215&gt;26,BS215&lt;43,Tabla1[[#This Row],[T.A. SISTOLICA (Entre semana 20 y 26)]]="",Tabla1[[#This Row],[T.A. DIATOLICA (Entre semana 20 y 26)]]=""),"NO APLICA REGISTRO TA-INGRESO TARDIO",IF(AND(OR(O215&gt;0,R215&gt;0),OR(CU215&gt;=140,CV215&gt;=90)),"ALTO RIESGO PREECLAMPSIA,DEFINIR ESTADIO HTA",IF(AND(OR(O215&gt;0,R215&gt;0),AND(CU215&gt;120,CU215&lt;=139)),"PRE HTA SEGUIMIENTO,RIESGO HIPERTENSION INDUCIDA POR EL EMBARAZO",IF(AND(OR(O215&gt;0,R215&gt;0),AND(CV215&gt;80,CV215&lt;=89)),"PRE HTA SEGUIMIENTO, RIESGO HIPERTENSION INDUCIDA POR EL EMBARAZO",IF(AND(OR(O215&lt;&gt;"",R215&lt;&gt;""),CS215&lt;&gt;"",CV215&lt;&gt;"",CS215&lt;=CV215),"VIGILAR CIFRAS PRESION ARTERIAL",IF(AND(OR(O215&gt;0,R215&gt;0),AND(CU215&gt;120,CU215&lt;=139)),"PRE HTA SEGUIMIENTO",IF(AND(OR(O215&gt;0,R215&gt;0),AND(CU215&gt;1,CU215&lt;=70),AND(CV215&gt;1,CV215&lt;=40)),"HIPOTENSIÓN",IF(AND(OR(O215&lt;&gt;"",R215&lt;&gt;""),CS215&lt;&gt;"",CV215&lt;&gt;"",CS215&gt;CV215),"APARENTEMENTE NORMAL",IF(AND(OR(O215&gt;0,R215&gt;0),AND(CU215&gt;=80,CU215&lt;=120)),"APARENTEMENTE NORMAL",IF(AND(OR(O215&gt;0,R215&gt;0),AND(CV215&gt;=50,CV215&lt;=80)),"APARENTEMENTE NORMAL","")))))))))))))</f>
        <v>NO APLICA REGISTRO TA-INGRESO TARDIO</v>
      </c>
      <c r="CX215" s="21"/>
      <c r="CY215" s="21"/>
      <c r="CZ215" s="216" t="e">
        <f>IF(R215="","",IF(AND(CN215&gt;31,CN215&lt;35,CX215="",CY215=""),"ACUDE A CONTROL SEM 30 A 34- REGISTRE AHORA",IF(AND(BS215&gt;34,BS215&lt;43,#REF!="",#REF!=""),"NO APLICA-INGRESO TARDIO",IF(AND(OR(O215&gt;0,R215&gt;0),OR(CX215&gt;=140,CY215&gt;=90)),"ESTUDIO INMEDIATO HTA PARA DESCARTAR PREECLAMSIA",IF(AND(OR(O215&gt;0,R215&gt;0),AND(CX215&gt;=130,CX215&lt;=139)),"PRE HTA,RIESGO ALTO PREECLAMPSIA",IF(AND(OR(O215&gt;0,R215&gt;0),AND(CY215&gt;80,CY215&lt;=89)),"PRE HTA,RIESGO ALTO PREECLAMPSIA",IF(AND(OR(O215&gt;0,R215&gt;0),AND(CX215&gt;120,CX215&lt;=129)),"RANGO PREHIPERTENSIVO SEGUIMIENTO HTA",IF(AND(OR(O215&lt;&gt;"",R215&lt;&gt;""),CS215&lt;&gt;"",CY215&lt;&gt;"",CS215&lt;CY215),"VIGILAR CIFRAS PRESION ARTERIAL",IF(AND(OR(O215&lt;&gt;"",R215&lt;&gt;""),CS215&lt;&gt;"",CY215&lt;&gt;"",CS215=CY215),"APARENTEMENTE NORMAL",IF(AND(OR(O215&gt;0,R215&gt;0),CX215&gt;=80,CX215&lt;=120),"APARENTEMENTE NORMAL",IF(AND(OR(O215&gt;0,R215&gt;0),CY215&gt;=50,CY215&lt;=80),"APARENTEMENTE NORMAL","")))))))))))</f>
        <v>#REF!</v>
      </c>
      <c r="DA215" s="21">
        <v>100</v>
      </c>
      <c r="DB215" s="21">
        <v>60</v>
      </c>
      <c r="DC215" s="217" t="str">
        <f t="shared" si="851"/>
        <v>APARENTEMENTE NORMAL</v>
      </c>
      <c r="DD215" s="22">
        <v>45121</v>
      </c>
      <c r="DE215" s="22">
        <v>45121</v>
      </c>
      <c r="DF215" s="22"/>
      <c r="DG215" s="22"/>
      <c r="DH215" s="22"/>
      <c r="DI215" s="22"/>
      <c r="DJ215" s="22"/>
      <c r="DK215" s="22"/>
      <c r="DL215" s="22"/>
      <c r="DM215" s="22"/>
      <c r="DN215" s="22"/>
      <c r="DO215" s="22"/>
      <c r="DP215" s="22"/>
      <c r="DQ215" s="22"/>
      <c r="DR215" s="28"/>
      <c r="DS215" s="22"/>
      <c r="DT215" s="22"/>
      <c r="DU215" s="216" t="str">
        <f t="shared" ca="1" si="920"/>
        <v>CONCERTAR PLAN DE PARTO INMEDIATO</v>
      </c>
      <c r="DV215" s="226" t="str">
        <f t="shared" si="921"/>
        <v>ACTIVA INGRESO A CPN</v>
      </c>
      <c r="DW21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15" s="216" t="e">
        <f t="shared" ca="1" si="852"/>
        <v>#REF!</v>
      </c>
      <c r="DY215" s="212">
        <f>IF(R215="","",IF(R215&gt;0,MAX(Tabla1[[#This Row],[FECHA C2]:[FECHA C13]],Tabla1[[#This Row],[FECHA CONSULTA PRIMERA VEZ PROGRAMA CPN ]])))</f>
        <v>45121</v>
      </c>
      <c r="DZ215" s="216">
        <f t="shared" si="853"/>
        <v>39</v>
      </c>
      <c r="EA215" s="222">
        <f>IF(R215&gt;0,SUM(COUNTA(DF215:DQ215)+COUNTA(Tabla1[[#This Row],[FECHA CONSULTA PRIMERA VEZ PROGRAMA CPN ]])),"")</f>
        <v>1</v>
      </c>
      <c r="EB215" s="222" t="str">
        <f t="shared" si="854"/>
        <v>NO</v>
      </c>
      <c r="EC215" s="214">
        <f t="shared" si="855"/>
        <v>2</v>
      </c>
      <c r="ED215" s="227">
        <f t="shared" si="856"/>
        <v>0.5</v>
      </c>
      <c r="EE215" s="22">
        <v>45121</v>
      </c>
      <c r="EF215" s="22"/>
      <c r="EG215" s="22">
        <v>45121</v>
      </c>
      <c r="EH215" s="22"/>
      <c r="EI215" s="22">
        <v>45121</v>
      </c>
      <c r="EJ215" s="22"/>
      <c r="EK215" s="22"/>
      <c r="EL215" s="21"/>
      <c r="EM215" s="21">
        <v>14.7</v>
      </c>
      <c r="EN215" s="22">
        <v>45124</v>
      </c>
      <c r="EO215" s="222">
        <f t="shared" si="857"/>
        <v>39.571428571428569</v>
      </c>
      <c r="EP215" s="214" t="str">
        <f t="shared" si="858"/>
        <v>NO DAR SULFATO FERROSO</v>
      </c>
      <c r="EQ215" s="216" t="str">
        <f t="shared" si="859"/>
        <v>III TRIM</v>
      </c>
      <c r="ER215" s="24"/>
      <c r="ES215" s="22"/>
      <c r="ET215" s="29" t="str">
        <f t="shared" ca="1" si="922"/>
        <v>TOMA DE HEMOGLOBINA TARDÍA</v>
      </c>
      <c r="EU215" s="25" t="str">
        <f t="shared" si="860"/>
        <v/>
      </c>
      <c r="EV215" s="24" t="s">
        <v>1510</v>
      </c>
      <c r="EW215" s="32">
        <v>45121</v>
      </c>
      <c r="EX215" s="22"/>
      <c r="EY215" s="29">
        <f t="shared" si="693"/>
        <v>39.142857142857146</v>
      </c>
      <c r="EZ215" s="25" t="str">
        <f t="shared" si="694"/>
        <v>SIN RIESGO DE ISOINMUNIZACIÓN</v>
      </c>
      <c r="FA215" s="21">
        <v>83</v>
      </c>
      <c r="FB215" s="32">
        <v>45121</v>
      </c>
      <c r="FC215" s="29" t="str">
        <f t="shared" si="861"/>
        <v>NO APLICA &gt; 23 SEM -TOMAR PTOG</v>
      </c>
      <c r="FD215" s="29"/>
      <c r="FE215" s="29"/>
      <c r="FF215" s="29"/>
      <c r="FG215" s="21" t="str">
        <f t="shared" ca="1" si="862"/>
        <v/>
      </c>
      <c r="FH215" s="31"/>
      <c r="FI215" s="29" t="str">
        <f t="shared" si="863"/>
        <v>TOMAR EXAMEN</v>
      </c>
      <c r="FJ215" s="22" t="s">
        <v>867</v>
      </c>
      <c r="FK215" s="22">
        <v>45121</v>
      </c>
      <c r="FL215" s="29" t="str">
        <f t="shared" si="864"/>
        <v>REGISTRAR EN III TRIMESTRE</v>
      </c>
      <c r="FM215" s="22"/>
      <c r="FN215" s="32"/>
      <c r="FO215" s="29" t="str">
        <f t="shared" ca="1" si="923"/>
        <v>NO APLICA-INGRESO TARDIO</v>
      </c>
      <c r="FP215" s="22"/>
      <c r="FQ215" s="32"/>
      <c r="FR215" s="29" t="str">
        <f t="shared" ca="1" si="924"/>
        <v>TOMA INMEDIATA DE TAMIZAJE</v>
      </c>
      <c r="FS215" s="22"/>
      <c r="FT215" s="32"/>
      <c r="FU215" s="29" t="str">
        <f>IF(AND(FJ215="",FM215="",FP215="",FS215=""),"",IF(OR(OR(Tabla1[[#This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15" s="28"/>
      <c r="FW215" s="22"/>
      <c r="FX215" s="29" t="str">
        <f t="shared" si="865"/>
        <v>TOMAR EXAMEN</v>
      </c>
      <c r="FY215" s="22"/>
      <c r="FZ215" s="22"/>
      <c r="GA215" s="29" t="str">
        <f t="shared" ca="1" si="939"/>
        <v>NO APLICA-INGRESO TARDIO</v>
      </c>
      <c r="GB215" s="22"/>
      <c r="GC215" s="22"/>
      <c r="GD215" s="29" t="str">
        <f t="shared" ca="1" si="940"/>
        <v>NO APLICA-INGRESO TARDIO</v>
      </c>
      <c r="GE215" s="22"/>
      <c r="GF215" s="22"/>
      <c r="GG215" s="29" t="str">
        <f t="shared" ca="1" si="926"/>
        <v>TOMA INMEDIATA DE TAMIZAJE</v>
      </c>
      <c r="GH215" s="22"/>
      <c r="GI215" s="29"/>
      <c r="GJ215" s="22"/>
      <c r="GK215" s="22"/>
      <c r="GL215" s="22"/>
      <c r="GM215" s="22"/>
      <c r="GN215" s="28" t="s">
        <v>869</v>
      </c>
      <c r="GO215" s="22">
        <v>45121</v>
      </c>
      <c r="GP215" s="29">
        <f t="shared" si="866"/>
        <v>39.142857142857146</v>
      </c>
      <c r="GQ215" s="28" t="s">
        <v>880</v>
      </c>
      <c r="GR215" s="28" t="s">
        <v>869</v>
      </c>
      <c r="GS215" s="22" t="str">
        <f t="shared" si="728"/>
        <v>SE EXCLUYE INFECCION</v>
      </c>
      <c r="GT215" s="22">
        <v>45121</v>
      </c>
      <c r="GU215" s="29">
        <f t="shared" si="867"/>
        <v>39.142857142857146</v>
      </c>
      <c r="GV215" s="21" t="str">
        <f t="shared" si="868"/>
        <v>III TRIM</v>
      </c>
      <c r="GW215" s="28"/>
      <c r="GX215" s="30"/>
      <c r="GY215" s="21"/>
      <c r="GZ215" s="21"/>
      <c r="HA215" s="21"/>
      <c r="HB215" s="21"/>
      <c r="HC215" s="21"/>
      <c r="HD215" s="21"/>
      <c r="HE215" s="21"/>
      <c r="HF215" s="22"/>
      <c r="HG215" s="22" t="str">
        <f>IF(OR(O215&gt;0,R215&gt;0),CONCATENATE(IF(Tabla1[[#This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15" s="22" t="e">
        <f t="shared" si="869"/>
        <v>#REF!</v>
      </c>
      <c r="HI215" s="22" t="e">
        <f t="shared" ca="1" si="870"/>
        <v>#REF!</v>
      </c>
      <c r="HJ215" s="21" t="str">
        <f t="shared" ca="1" si="871"/>
        <v>**********************MULTIPARIDAD*****************</v>
      </c>
      <c r="HK215" s="21" t="str">
        <f t="shared" si="872"/>
        <v>SIN ANTECEDENTES DE RIESGO</v>
      </c>
      <c r="HL215" s="24" t="str">
        <f t="shared" si="873"/>
        <v>APARENTEMENTE NORMAL</v>
      </c>
      <c r="HM215" s="21" t="e">
        <f t="shared" ca="1" si="874"/>
        <v>#REF!</v>
      </c>
      <c r="HN215" s="30" t="str">
        <f t="shared" si="927"/>
        <v>ACTIVA INGRESO A CPN</v>
      </c>
      <c r="HO215" s="21"/>
      <c r="HP215" s="21"/>
      <c r="HQ215" s="21"/>
      <c r="HR215" s="21" t="str">
        <f>IF(R215="","",IF(Tabla1[[#This Row],[ALARMA FACTORES DE RIESGO COMPLICACIONES HIPERTENSIVAS3]]="SIN ANTECEDENTES DE RIESGO","No Aplica para suministro de ASA",IF(AND(Tabla1[[#This Row],[FECHA INICIO DE SUMINISTRO DE ASA]]&gt;0,RV215&lt;12),"Inicia ASA ANTES de Sem 12",IF(AND(RV215&gt;11,RV215&lt;17,OR(HK215="RIESGO ALTO DE COMPLICACIONES HIPERTENSIVAS VER MANEJO GUIA SUMINISTRO ASA Y CALCIO",HK215="RIESGO MODERADO (2 O MAS CRITERIOS) VER MANEJO GUIA SUMINISTRO ASA Y CALCIO")),"Inicio oportuno de ASA",IF(AND(RV215&gt;12,OR(HK215="RIESGO ALTO DE COMPLICACIONES HIPERTENSIVAS VER MANEJO GUIA SUMINISTRO ASA Y CALCIO",HK215="RIESGO MODERADO (2 O MAS CRITERIOS) VER MANEJO GUIA SUMINISTRO ASA Y CALCIO")),"Inicio no oportuno mayor a 16 semanas",IF(AND(BU215&lt;12,OR(HK215="RIESGO ALTO DE COMPLICACIONES HIPERTENSIVAS VER MANEJO GUIA SUMINISTRO ASA Y CALCIO",HK215="RIESGO MODERADO (2 O MAS CRITERIOS) VER MANEJO GUIA SUMINISTRO ASA Y CALCIO")),"Pendiente Inicio de ASA a la semana 12",IF(AND(BU215&gt;11,BU215&lt;17,OR(HK215="RIESGO ALTO DE COMPLICACIONES HIPERTENSIVAS VER MANEJO GUIA SUMINISTRO ASA Y CALCIO",HK215="RIESGO MODERADO (2 O MAS CRITERIOS) VER MANEJO GUIA SUMINISTRO ASA Y CALCIO")),"Iniciar de inmediato ASA",IF(AND(BU215&gt;16,OR(HK215="RIESGO ALTO DE COMPLICACIONES HIPERTENSIVAS VER MANEJO GUIA SUMINISTRO ASA Y CALCIO",HK215="RIESGO MODERADO (2 O MAS CRITERIOS) VER MANEJO GUIA SUMINISTRO ASA Y CALCIO")),"Pierde Oportunidad, Inicio tardío de ASA","XXXXX"))))))))</f>
        <v>No Aplica para suministro de ASA</v>
      </c>
      <c r="HS215" s="22">
        <v>45121</v>
      </c>
      <c r="HT215" s="22" t="s">
        <v>1518</v>
      </c>
      <c r="HU215" s="22">
        <v>45121</v>
      </c>
      <c r="HV215" s="22" t="s">
        <v>1544</v>
      </c>
      <c r="HW215" s="22">
        <v>45121</v>
      </c>
      <c r="HX215" s="22" t="s">
        <v>1511</v>
      </c>
      <c r="HY215" s="22">
        <v>45121</v>
      </c>
      <c r="HZ215" s="28">
        <f t="shared" si="875"/>
        <v>39.142857142857146</v>
      </c>
      <c r="IA215" s="26"/>
      <c r="IB215" s="26"/>
      <c r="IC215" s="111"/>
      <c r="ID215" s="22"/>
      <c r="IE215" s="22" t="str">
        <f t="shared" ca="1" si="876"/>
        <v/>
      </c>
      <c r="IF215" s="22"/>
      <c r="IG215" s="22">
        <f t="shared" si="877"/>
        <v>45127</v>
      </c>
      <c r="IH215" s="29">
        <f t="shared" ca="1" si="878"/>
        <v>-105</v>
      </c>
      <c r="II215" s="22" t="str">
        <f t="shared" ca="1" si="879"/>
        <v>POSIBLEMENTE NACIO</v>
      </c>
      <c r="IJ215" s="22"/>
      <c r="IK215" s="21"/>
      <c r="IL215" s="21"/>
      <c r="IM215" s="34"/>
      <c r="IN215" s="349"/>
      <c r="IO215" s="21"/>
      <c r="IP215" s="29" t="str">
        <f t="shared" si="880"/>
        <v/>
      </c>
      <c r="IQ215" s="35"/>
      <c r="IR215" s="21"/>
      <c r="IS215" s="21"/>
      <c r="IT215" s="21"/>
      <c r="IU215" s="21"/>
      <c r="IV215" s="21"/>
      <c r="IW215" s="21"/>
      <c r="IX215" s="21"/>
      <c r="IY215" s="21"/>
      <c r="IZ215" s="21"/>
      <c r="JA215" s="21"/>
      <c r="JB215" s="30"/>
      <c r="JC215" s="21"/>
      <c r="JD215" s="36"/>
      <c r="JE215" s="21" t="str">
        <f t="shared" si="881"/>
        <v/>
      </c>
      <c r="JF215" s="30"/>
      <c r="JG215" s="21"/>
      <c r="JH215" s="21"/>
      <c r="JI215" s="21"/>
      <c r="JJ215" s="30"/>
      <c r="JK215" s="22"/>
      <c r="JL215" s="22"/>
      <c r="JM215" s="21"/>
      <c r="JN215" s="36"/>
      <c r="JO215" s="21" t="str">
        <f t="shared" si="882"/>
        <v/>
      </c>
      <c r="JP215" s="22"/>
      <c r="JQ215" s="21"/>
      <c r="JR215" s="21"/>
      <c r="JS215" s="21"/>
      <c r="JT215" s="30"/>
      <c r="JU215" s="22"/>
      <c r="JV215" s="22"/>
      <c r="JW215" s="33"/>
      <c r="JX215" s="28" t="str">
        <f t="shared" si="883"/>
        <v/>
      </c>
      <c r="JY215" s="33"/>
      <c r="JZ215" s="28" t="str">
        <f t="shared" si="884"/>
        <v/>
      </c>
      <c r="KA215" s="21"/>
      <c r="KB215" s="21"/>
      <c r="KC215" s="21"/>
      <c r="KD215" s="37"/>
      <c r="KE215" s="28"/>
      <c r="KF215" s="28"/>
      <c r="KG215" s="28"/>
      <c r="KH215" s="39"/>
      <c r="KI215" s="39"/>
      <c r="KJ215" s="66"/>
      <c r="KK215" s="39"/>
      <c r="KL215" s="39"/>
      <c r="KM215" s="66"/>
      <c r="KN215" s="39"/>
      <c r="KO215" s="39"/>
      <c r="KP215" s="39"/>
      <c r="KQ215" s="39"/>
      <c r="KR215" s="39"/>
      <c r="KS215" s="39"/>
      <c r="KT215" s="39"/>
      <c r="KU215" s="38"/>
      <c r="KV215" s="38"/>
      <c r="KW215" s="38"/>
      <c r="KX215" s="38"/>
      <c r="KY215" s="38"/>
      <c r="KZ215" s="38"/>
      <c r="LA215" s="38"/>
      <c r="LB215" s="38"/>
      <c r="LC215" s="38"/>
      <c r="LD215" s="38"/>
      <c r="LE215" s="38"/>
      <c r="LF215" s="38"/>
      <c r="LG215" s="38"/>
      <c r="LH215" s="38"/>
      <c r="LI215" s="38"/>
      <c r="LJ215" s="38"/>
      <c r="LK215" s="38"/>
      <c r="LL215" s="38"/>
      <c r="LM215" s="38"/>
      <c r="LN215" s="38"/>
      <c r="LO215" s="38"/>
      <c r="LP215" s="38"/>
      <c r="LQ215" s="38"/>
      <c r="LR215" s="38"/>
      <c r="LS215" s="38"/>
      <c r="LT215" s="38"/>
      <c r="LU215" s="38"/>
      <c r="LV215" s="38"/>
      <c r="LW215" s="38"/>
      <c r="LX215" s="38"/>
      <c r="LY215" s="38"/>
      <c r="LZ215" s="38"/>
      <c r="MA215" s="38"/>
      <c r="MB215" s="38"/>
      <c r="MC215" s="38"/>
      <c r="MD215" s="38"/>
      <c r="ME215" s="38"/>
      <c r="MF215" s="38"/>
      <c r="MG215" s="38"/>
      <c r="MH215" s="43">
        <f t="shared" si="885"/>
        <v>0</v>
      </c>
      <c r="MI215" s="43" t="str">
        <f t="shared" si="929"/>
        <v/>
      </c>
      <c r="MJ215" s="43" t="str">
        <f t="shared" si="887"/>
        <v/>
      </c>
      <c r="MK215" s="43">
        <f t="shared" si="888"/>
        <v>0</v>
      </c>
      <c r="ML21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15" s="43">
        <f t="shared" si="930"/>
        <v>39.142857142857146</v>
      </c>
      <c r="MN215" s="43">
        <f t="shared" si="931"/>
        <v>7</v>
      </c>
      <c r="MO215" s="43">
        <f t="shared" si="932"/>
        <v>2023</v>
      </c>
      <c r="MP215" s="43" t="str">
        <f t="shared" si="892"/>
        <v>III TRIMESTRE AÑO</v>
      </c>
      <c r="MQ215" s="43">
        <f t="shared" si="933"/>
        <v>25.18342093736312</v>
      </c>
      <c r="MR215" s="43">
        <f t="shared" si="894"/>
        <v>0</v>
      </c>
      <c r="MS215" s="43" t="str">
        <f t="shared" si="895"/>
        <v xml:space="preserve"> DE 25 A 29 AÑOS</v>
      </c>
      <c r="MT215" s="43">
        <f t="shared" si="896"/>
        <v>0</v>
      </c>
      <c r="MU215" s="43">
        <f t="shared" si="897"/>
        <v>1</v>
      </c>
      <c r="MV215" s="43">
        <f t="shared" si="898"/>
        <v>0</v>
      </c>
      <c r="MW215" s="43">
        <f t="shared" si="899"/>
        <v>0</v>
      </c>
      <c r="MX215" s="43" t="str">
        <f t="shared" si="900"/>
        <v/>
      </c>
      <c r="MY215" s="43" t="str">
        <f t="shared" ca="1" si="901"/>
        <v/>
      </c>
      <c r="MZ215" s="43" t="str">
        <f t="shared" si="902"/>
        <v/>
      </c>
      <c r="NA215" s="43" t="str">
        <f t="shared" si="903"/>
        <v/>
      </c>
      <c r="NB215" s="43" t="str">
        <f t="shared" si="904"/>
        <v/>
      </c>
      <c r="NC215" s="43" t="str">
        <f t="shared" si="905"/>
        <v/>
      </c>
      <c r="ND215" s="43">
        <f t="shared" ca="1" si="934"/>
        <v>1</v>
      </c>
      <c r="NE215" s="43">
        <f>IF(OR(O215&gt;0,R215&gt;0),SUM(COUNTIF(Tabla1[[#This Row],[AÑOS AL INICIO5 CPN]],"&gt;=40"),COUNTIF(AS215,"0"),COUNTIF(AR215,"SI"),COUNTIF(CC215,"SI"),COUNTIF(BQ215,"&gt;119"),COUNTIF(CI215,"&gt;=35")),"")</f>
        <v>0</v>
      </c>
      <c r="NF215" s="43" t="str">
        <f t="shared" si="935"/>
        <v/>
      </c>
      <c r="NG215" s="43">
        <f t="shared" si="908"/>
        <v>0</v>
      </c>
      <c r="NH215" s="43" t="str">
        <f t="shared" si="909"/>
        <v/>
      </c>
      <c r="NI21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CPN",P215="NO"),"Z",IF(AND(Tabla1[[#This Row],[CITA PROXIMO CONTROL]]="CITA MANUAL",Tabla1[[#This Row],[GESTANTES ACTUALES]]="ACTIVA INGRESO A CPN"),"W",IF(AND(Tabla1[[#This Row],[GESTANTES ACTUALES]]="SALIO PROGRAMA",IN215=""),"S",IF(AND(Tabla1[[#This Row],[CITA PROXIMO CONTROL]]&gt;0,IN215=""),(Tabla1[[#This Row],[CITA PROXIMO CONTROL]]-TODAY()),"SD"))))))))</f>
        <v>#REF!</v>
      </c>
      <c r="NJ215" s="43">
        <f>MONTH(Tabla1[[#This Row],[FECHA DE SALIDA  DEL PROGRAMA]])</f>
        <v>1</v>
      </c>
      <c r="NK215" s="43">
        <f>YEAR(Tabla1[[#This Row],[FECHA DE SALIDA  DEL PROGRAMA]])</f>
        <v>1900</v>
      </c>
      <c r="NL215" s="43" t="str">
        <f t="shared" si="936"/>
        <v>X</v>
      </c>
      <c r="NM215" s="43" t="str">
        <f t="shared" si="941"/>
        <v>NO</v>
      </c>
      <c r="NN215" s="43" t="str">
        <f ca="1">IF(AND(O215&gt;0,R215=""),"NO CPN",IF(AND(O215="",R215=""),"",IF(AND(R215&gt;0,Tabla1[[#This Row],[SEMANAS DE GESTACION ACTUALIZADAS]]&lt;=12),"NO APLICA",IF(AND(FH215&lt;&gt;"",FN215&lt;&gt;""),"SI","NO"))))</f>
        <v>NO</v>
      </c>
      <c r="NO215" s="43" t="str">
        <f ca="1">IF(AND(O215&gt;0,R215=""),"NO CPN",IF(AND(O215="",R215=""),"",IF(AND(R215&gt;0,Tabla1[[#This Row],[SEMANAS DE GESTACION ACTUALIZADAS]]&lt;=27),"NO APLICA",IF(AND(ES215&lt;&gt;"",FQ215&lt;&gt;"",GF215&lt;&gt;""),"SI","NO"))))</f>
        <v>NO</v>
      </c>
      <c r="NP215" s="204" t="str">
        <f t="shared" si="912"/>
        <v>III TRIM</v>
      </c>
      <c r="NQ215"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215" s="21">
        <f t="shared" si="937"/>
        <v>1</v>
      </c>
      <c r="NS215" s="205">
        <f t="shared" ca="1" si="914"/>
        <v>0</v>
      </c>
      <c r="NT215" s="21">
        <f t="shared" ca="1" si="915"/>
        <v>0</v>
      </c>
      <c r="NU215" s="21" t="str">
        <f t="shared" ca="1" si="916"/>
        <v>INCOMPLETO</v>
      </c>
      <c r="NV215" s="21" t="str">
        <f t="shared" ca="1" si="917"/>
        <v>INCOMPLETO</v>
      </c>
      <c r="NW215" s="206" t="str">
        <f>IF(AND(O215="",R215=""),"",IF(OR(AND(Tabla1[[#This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15" s="207" t="str">
        <f t="shared" ca="1" si="938"/>
        <v>SIN VACUNAR</v>
      </c>
      <c r="NY215" s="43">
        <f>ROW(Tabla1[[#This Row],['# DE TAMIZAJES SIFILIS TOMADOS ]])</f>
        <v>215</v>
      </c>
      <c r="NZ215" s="43">
        <f t="shared" si="740"/>
        <v>39</v>
      </c>
      <c r="OA215" s="43" t="str">
        <f t="shared" si="741"/>
        <v/>
      </c>
      <c r="OB215" s="43" t="str">
        <f t="shared" si="742"/>
        <v/>
      </c>
      <c r="OC215" s="43" t="str">
        <f t="shared" si="743"/>
        <v/>
      </c>
      <c r="OD215" s="43" t="str">
        <f t="shared" si="744"/>
        <v/>
      </c>
      <c r="OE215" s="43" t="str">
        <f t="shared" si="745"/>
        <v/>
      </c>
      <c r="OF215" s="43" t="str">
        <f t="shared" si="746"/>
        <v/>
      </c>
      <c r="OG215" s="43" t="str">
        <f t="shared" si="747"/>
        <v/>
      </c>
      <c r="OH215" s="43" t="str">
        <f t="shared" si="748"/>
        <v/>
      </c>
      <c r="OI215" s="43" t="str">
        <f t="shared" si="749"/>
        <v/>
      </c>
      <c r="OJ215" s="43" t="str">
        <f t="shared" si="750"/>
        <v/>
      </c>
      <c r="OK215" s="43" t="str">
        <f t="shared" si="751"/>
        <v/>
      </c>
      <c r="OL215" s="43" t="str">
        <f t="shared" si="752"/>
        <v/>
      </c>
      <c r="OM215" s="43" t="str">
        <f t="shared" si="753"/>
        <v/>
      </c>
      <c r="ON215" s="43" t="str">
        <f t="shared" si="754"/>
        <v/>
      </c>
      <c r="OO215" s="43" t="str">
        <f t="shared" si="755"/>
        <v/>
      </c>
      <c r="OP215" s="43" t="str">
        <f t="shared" si="756"/>
        <v/>
      </c>
      <c r="OQ215" s="43" t="str">
        <f t="shared" si="757"/>
        <v/>
      </c>
      <c r="OR215" s="43" t="str">
        <f t="shared" si="758"/>
        <v/>
      </c>
      <c r="OS215" s="43" t="str">
        <f t="shared" si="759"/>
        <v/>
      </c>
      <c r="OT215" s="43" t="str">
        <f t="shared" si="760"/>
        <v/>
      </c>
      <c r="OU215" s="43" t="str">
        <f t="shared" si="761"/>
        <v/>
      </c>
      <c r="OV215" s="110" t="str">
        <f t="shared" si="762"/>
        <v/>
      </c>
      <c r="OW215" s="43" t="str">
        <f t="shared" si="763"/>
        <v/>
      </c>
      <c r="OX215" s="43" t="str">
        <f t="shared" si="764"/>
        <v/>
      </c>
      <c r="OY215" s="43" t="str">
        <f t="shared" si="765"/>
        <v/>
      </c>
      <c r="OZ215" s="43" t="str">
        <f t="shared" si="766"/>
        <v/>
      </c>
      <c r="PA215" s="43" t="str">
        <f t="shared" si="767"/>
        <v/>
      </c>
      <c r="PB215" s="43" t="str">
        <f t="shared" si="768"/>
        <v/>
      </c>
      <c r="PC215" s="43" t="str">
        <f t="shared" si="769"/>
        <v/>
      </c>
      <c r="PD215" s="43" t="str">
        <f t="shared" si="770"/>
        <v/>
      </c>
      <c r="PE215" s="43" t="str">
        <f t="shared" si="771"/>
        <v>BAJO PESO</v>
      </c>
      <c r="PF215" s="43" t="str">
        <f t="shared" si="772"/>
        <v/>
      </c>
      <c r="PG215" s="43" t="str">
        <f t="shared" si="773"/>
        <v/>
      </c>
      <c r="PH215" s="43" t="str">
        <f t="shared" si="774"/>
        <v/>
      </c>
      <c r="PI215" s="43">
        <f t="shared" si="775"/>
        <v>39</v>
      </c>
      <c r="PJ215" s="43" t="str">
        <f t="shared" si="776"/>
        <v/>
      </c>
      <c r="PK215" s="43" t="str">
        <f t="shared" si="777"/>
        <v/>
      </c>
      <c r="PL215" s="43" t="str">
        <f t="shared" si="778"/>
        <v/>
      </c>
      <c r="PM215" s="43" t="str">
        <f t="shared" si="779"/>
        <v/>
      </c>
      <c r="PN215" s="43" t="str">
        <f t="shared" si="780"/>
        <v/>
      </c>
      <c r="PO215" s="43" t="str">
        <f t="shared" si="781"/>
        <v/>
      </c>
      <c r="PP215" s="43" t="str">
        <f t="shared" si="782"/>
        <v/>
      </c>
      <c r="PQ215" s="43" t="str">
        <f t="shared" si="783"/>
        <v/>
      </c>
      <c r="PR215" s="43" t="str">
        <f t="shared" si="784"/>
        <v/>
      </c>
      <c r="PS215" s="43" t="str">
        <f t="shared" si="785"/>
        <v/>
      </c>
      <c r="PT215" s="43" t="str">
        <f t="shared" si="786"/>
        <v/>
      </c>
      <c r="PU215" s="43" t="str">
        <f t="shared" si="787"/>
        <v/>
      </c>
      <c r="PV215" s="43" t="str">
        <f t="shared" si="788"/>
        <v/>
      </c>
      <c r="PW215" s="43" t="str">
        <f t="shared" si="789"/>
        <v/>
      </c>
      <c r="PX215" s="43" t="str">
        <f t="shared" si="790"/>
        <v/>
      </c>
      <c r="PY215" s="43" t="str">
        <f t="shared" si="791"/>
        <v/>
      </c>
      <c r="PZ215" s="43" t="str">
        <f t="shared" si="792"/>
        <v/>
      </c>
      <c r="QA215" s="43" t="str">
        <f t="shared" si="793"/>
        <v/>
      </c>
      <c r="QB215" s="43" t="str">
        <f t="shared" si="794"/>
        <v/>
      </c>
      <c r="QC215" s="43" t="str">
        <f t="shared" si="795"/>
        <v/>
      </c>
      <c r="QD215" s="43" t="str">
        <f t="shared" si="796"/>
        <v/>
      </c>
      <c r="QE215" s="43" t="str">
        <f t="shared" si="797"/>
        <v/>
      </c>
      <c r="QF215" s="43" t="str">
        <f t="shared" si="798"/>
        <v/>
      </c>
      <c r="QG215" s="43" t="str">
        <f t="shared" si="799"/>
        <v/>
      </c>
      <c r="QH215" s="43" t="str">
        <f t="shared" si="800"/>
        <v/>
      </c>
      <c r="QI215" s="43" t="str">
        <f t="shared" si="801"/>
        <v/>
      </c>
      <c r="QJ215" s="43" t="str">
        <f t="shared" si="802"/>
        <v/>
      </c>
      <c r="QK215" s="43" t="str">
        <f t="shared" si="803"/>
        <v/>
      </c>
      <c r="QL215" s="43" t="str">
        <f t="shared" si="804"/>
        <v/>
      </c>
      <c r="QM215" s="43" t="str">
        <f t="shared" si="805"/>
        <v/>
      </c>
      <c r="QN215" s="43" t="str">
        <f t="shared" si="806"/>
        <v>BAJO PESO</v>
      </c>
      <c r="QO215" s="43" t="str">
        <f t="shared" si="807"/>
        <v/>
      </c>
      <c r="QP215" s="43" t="str">
        <f t="shared" si="808"/>
        <v/>
      </c>
      <c r="QQ215" s="43" t="str">
        <f t="shared" si="809"/>
        <v/>
      </c>
      <c r="QR215" s="43">
        <f t="shared" si="839"/>
        <v>39</v>
      </c>
      <c r="QS215" s="43"/>
      <c r="QT215" s="21" t="str">
        <f t="shared" si="810"/>
        <v/>
      </c>
      <c r="QU215" s="21" t="str">
        <f t="shared" si="811"/>
        <v/>
      </c>
      <c r="QV215" s="21" t="str">
        <f t="shared" si="812"/>
        <v/>
      </c>
      <c r="QW215" s="21" t="str">
        <f t="shared" si="813"/>
        <v/>
      </c>
      <c r="QX215" s="21" t="str">
        <f t="shared" si="814"/>
        <v/>
      </c>
      <c r="QY215" s="21" t="str">
        <f t="shared" si="815"/>
        <v/>
      </c>
      <c r="QZ215" s="21" t="str">
        <f t="shared" si="816"/>
        <v/>
      </c>
      <c r="RA215" s="21" t="str">
        <f t="shared" si="817"/>
        <v/>
      </c>
      <c r="RB215" s="21" t="str">
        <f t="shared" si="818"/>
        <v/>
      </c>
      <c r="RC215" s="21" t="str">
        <f t="shared" si="819"/>
        <v/>
      </c>
      <c r="RD215" s="21" t="str">
        <f t="shared" si="820"/>
        <v/>
      </c>
      <c r="RE215" s="21" t="str">
        <f t="shared" si="821"/>
        <v/>
      </c>
      <c r="RF215" s="21" t="str">
        <f t="shared" si="822"/>
        <v/>
      </c>
      <c r="RG215" s="21" t="str">
        <f t="shared" si="823"/>
        <v/>
      </c>
      <c r="RH215" s="21" t="str">
        <f t="shared" si="824"/>
        <v/>
      </c>
      <c r="RI215" s="21" t="str">
        <f t="shared" si="825"/>
        <v/>
      </c>
      <c r="RJ215" s="21" t="str">
        <f t="shared" si="826"/>
        <v/>
      </c>
      <c r="RK215" s="21" t="str">
        <f t="shared" si="827"/>
        <v/>
      </c>
      <c r="RL215" s="21" t="str">
        <f t="shared" si="828"/>
        <v/>
      </c>
      <c r="RM215" s="21" t="str">
        <f t="shared" si="829"/>
        <v/>
      </c>
      <c r="RN215" s="21" t="str">
        <f t="shared" si="830"/>
        <v/>
      </c>
      <c r="RO215" s="21" t="str">
        <f t="shared" si="831"/>
        <v/>
      </c>
      <c r="RP215" s="21" t="str">
        <f t="shared" si="832"/>
        <v/>
      </c>
      <c r="RQ215" s="21" t="str">
        <f t="shared" si="833"/>
        <v/>
      </c>
      <c r="RR215" s="21" t="str">
        <f t="shared" si="834"/>
        <v/>
      </c>
      <c r="RS215" s="21" t="str">
        <f t="shared" si="835"/>
        <v/>
      </c>
      <c r="RT215" s="21" t="str">
        <f t="shared" si="836"/>
        <v/>
      </c>
      <c r="RU215" s="21" t="str">
        <f t="shared" si="837"/>
        <v/>
      </c>
      <c r="RV215" s="21">
        <f t="shared" si="838"/>
        <v>-1</v>
      </c>
      <c r="RW215" s="284">
        <f>IF(OR(Tabla1[[#This Row],[FUM FORMULA CONFIABLE]]="",Tabla1[[#This Row],[FUM FORMULA CONFIABLE]]="SD"),"",IF(Tabla1[[#This Row],[FUM FORMULA CONFIABLE]]="CORREGIDA",Tabla1[[#This Row],[FUM X ECO 1]],Tabla1[[#This Row],[FUM x AMENORREA]]))</f>
        <v>44847</v>
      </c>
      <c r="RX215" s="21" t="str">
        <f>IF(AND(Tabla1[[#This Row],[FUM X ECO 1]]="",Tabla1[[#This Row],[FUM x AMENORREA]]=""),"",IF(AND(Tabla1[[#This Row],[FUM X ECO 1]]="",Tabla1[[#This Row],[FUM x AMENORREA]]&lt;&gt;""),"X",SUM(Tabla1[[#This Row],[FUM X ECO 1]]-Tabla1[[#This Row],[FUM x AMENORREA]])))</f>
        <v>X</v>
      </c>
      <c r="RY215" s="21" t="str">
        <f t="shared" si="840"/>
        <v>x</v>
      </c>
    </row>
    <row r="216" spans="1:493" ht="45" customHeight="1" x14ac:dyDescent="0.25">
      <c r="A216" s="109"/>
      <c r="B216" s="43"/>
      <c r="C216" s="43" t="s">
        <v>845</v>
      </c>
      <c r="D216" s="124"/>
      <c r="E216" s="43" t="s">
        <v>953</v>
      </c>
      <c r="F216" s="43" t="s">
        <v>1286</v>
      </c>
      <c r="G216" s="43" t="s">
        <v>1463</v>
      </c>
      <c r="H216" s="43" t="s">
        <v>1579</v>
      </c>
      <c r="I216" s="109" t="s">
        <v>851</v>
      </c>
      <c r="J216" s="289" t="s">
        <v>1578</v>
      </c>
      <c r="K216" s="43" t="s">
        <v>852</v>
      </c>
      <c r="L216" s="175" t="s">
        <v>1509</v>
      </c>
      <c r="M216" s="22">
        <v>37843</v>
      </c>
      <c r="N216" s="213">
        <f t="shared" ca="1" si="841"/>
        <v>20.243835616438357</v>
      </c>
      <c r="O216" s="22">
        <v>45121</v>
      </c>
      <c r="P216" s="214" t="str">
        <f t="shared" si="919"/>
        <v>SI</v>
      </c>
      <c r="Q216" s="26" t="s">
        <v>855</v>
      </c>
      <c r="R216" s="22">
        <v>45121</v>
      </c>
      <c r="S216" s="21" t="s">
        <v>856</v>
      </c>
      <c r="T216" s="24" t="s">
        <v>690</v>
      </c>
      <c r="U216" s="21" t="s">
        <v>857</v>
      </c>
      <c r="V216" s="21" t="s">
        <v>858</v>
      </c>
      <c r="W216" s="21" t="s">
        <v>1288</v>
      </c>
      <c r="X216" s="21"/>
      <c r="Y216" s="21" t="s">
        <v>859</v>
      </c>
      <c r="Z216" s="21" t="s">
        <v>894</v>
      </c>
      <c r="AA216" s="21" t="s">
        <v>860</v>
      </c>
      <c r="AB216" s="27" t="s">
        <v>861</v>
      </c>
      <c r="AC216" s="26" t="s">
        <v>862</v>
      </c>
      <c r="AD216" s="38" t="s">
        <v>1546</v>
      </c>
      <c r="AE216" s="26" t="s">
        <v>854</v>
      </c>
      <c r="AF216" s="26" t="s">
        <v>854</v>
      </c>
      <c r="AG216" s="23" t="s">
        <v>864</v>
      </c>
      <c r="AH216" s="23" t="s">
        <v>864</v>
      </c>
      <c r="AI216" s="24" t="s">
        <v>863</v>
      </c>
      <c r="AJ216" s="23" t="s">
        <v>864</v>
      </c>
      <c r="AK216" s="220" t="str">
        <f>IF(AND(AD216="",AE216="",AF216="",AG216="",AH216="",AI216="",AJ216=""),"",IF(OR(Tabla1[[#This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EVALUACIÓN",IF(AND(O216="",R216=""),"",IF(AND(OR(O216&gt;0,R216&gt;0),NG216&gt;=0,NG216&lt;2),"SIN RIESGO",IF(AND(OR(O216&gt;0,R216&gt;0),NG216&gt;=2),"CON RIESGO","ASD")))))</f>
        <v>SIN RIESGO</v>
      </c>
      <c r="AL216" s="23" t="s">
        <v>864</v>
      </c>
      <c r="AM216" s="23" t="s">
        <v>864</v>
      </c>
      <c r="AN216" s="23" t="s">
        <v>864</v>
      </c>
      <c r="AO216" s="23" t="s">
        <v>864</v>
      </c>
      <c r="AP216" s="23" t="s">
        <v>864</v>
      </c>
      <c r="AQ216" s="23" t="s">
        <v>864</v>
      </c>
      <c r="AR216" s="23" t="s">
        <v>864</v>
      </c>
      <c r="AS216" s="21">
        <v>2</v>
      </c>
      <c r="AT216" s="21">
        <v>2</v>
      </c>
      <c r="AU216" s="21">
        <v>0</v>
      </c>
      <c r="AV216" s="26" t="s">
        <v>864</v>
      </c>
      <c r="AW216" s="21">
        <v>0</v>
      </c>
      <c r="AX216" s="26" t="s">
        <v>864</v>
      </c>
      <c r="AY216" s="26" t="s">
        <v>864</v>
      </c>
      <c r="AZ216" s="26" t="s">
        <v>864</v>
      </c>
      <c r="BA216" s="26" t="s">
        <v>864</v>
      </c>
      <c r="BB216" s="26" t="s">
        <v>864</v>
      </c>
      <c r="BC216" s="26" t="s">
        <v>864</v>
      </c>
      <c r="BD216" s="26" t="s">
        <v>864</v>
      </c>
      <c r="BE216" s="26" t="s">
        <v>864</v>
      </c>
      <c r="BF216" s="26" t="s">
        <v>864</v>
      </c>
      <c r="BG216" s="26" t="s">
        <v>864</v>
      </c>
      <c r="BH216" s="26" t="s">
        <v>864</v>
      </c>
      <c r="BI216" s="26" t="s">
        <v>864</v>
      </c>
      <c r="BJ216" s="26" t="s">
        <v>864</v>
      </c>
      <c r="BK216" s="26" t="s">
        <v>864</v>
      </c>
      <c r="BL216" s="26" t="s">
        <v>864</v>
      </c>
      <c r="BM216" s="26" t="s">
        <v>864</v>
      </c>
      <c r="BN216" s="22">
        <v>43901</v>
      </c>
      <c r="BO216" s="22">
        <v>44954</v>
      </c>
      <c r="BP216" s="21" t="s">
        <v>854</v>
      </c>
      <c r="BQ216" s="222">
        <f t="shared" si="842"/>
        <v>35.1</v>
      </c>
      <c r="BR216" s="223" t="str">
        <f t="shared" si="843"/>
        <v/>
      </c>
      <c r="BS216" s="224">
        <f t="shared" si="844"/>
        <v>23.857142857142858</v>
      </c>
      <c r="BT216" s="216" t="str">
        <f t="shared" si="845"/>
        <v>II TRIM</v>
      </c>
      <c r="BU216" s="214">
        <f t="shared" ca="1" si="928"/>
        <v>39.714285714285715</v>
      </c>
      <c r="BV216" s="25"/>
      <c r="BW216" s="22"/>
      <c r="BX216" s="28"/>
      <c r="BY216" s="28"/>
      <c r="BZ216" s="22"/>
      <c r="CA216" s="21"/>
      <c r="CB216" s="26"/>
      <c r="CC216" s="26"/>
      <c r="CD216" s="26"/>
      <c r="CE216" s="26"/>
      <c r="CF216" s="22" t="s">
        <v>1517</v>
      </c>
      <c r="CG216" s="21">
        <v>1.44</v>
      </c>
      <c r="CH216" s="21">
        <v>56</v>
      </c>
      <c r="CI216" s="214">
        <f t="shared" si="847"/>
        <v>27.006172839506174</v>
      </c>
      <c r="CJ216" s="225" t="e">
        <f>IF(AND(CI216&lt;10,CH216="SD"),"SIN DATO PESO PREGESTACION O I TRIM",IF(AND(OR(R216&gt;0,O216&gt;0),CI216="X"),"INGRESAR DATO DE PESO",IF(CI216="SD","INGRESAR DATO DE TALLA Y PESO",IF(AND(OR(Tabla1[[#This Row],[MOMENTO EN QUE SE REALIZA EL PESO AL INGRESO A CPN]]="PREGESTACIÓN",NZ216="Menor"),CI216&lt;18.5),"BAJO PESO",IF(AND(OR(Tabla1[[#This Row],[MOMENTO EN QUE SE REALIZA EL PESO AL INGRESO A CPN]]="PREGESTACIÓN",NZ216="Menor"),CI216&lt;25),"NORMAL",IF(AND(OR(Tabla1[[#This Row],[MOMENTO EN QUE SE REALIZA EL PESO AL INGRESO A CPN]]="PREGESTACIÓN",NZ216="Menor"),CI216&lt;30),"SOBREPESO",IF(AND(OR(Tabla1[[#This Row],[MOMENTO EN QUE SE REALIZA EL PESO AL INGRESO A CPN]]="PREGESTACIÓN",NZ216="Menor"),CI216&gt;=30,CI216&lt;50),"OBESIDAD",IF(AND(BS216&gt;0,Tabla1[[#This Row],[MOMENTO EN QUE SE REALIZA EL PESO AL INGRESO A CPN]]="GESTACIÓN"),HLOOKUP(NZ216,$OA$2:PH216,NY216),""))))))))</f>
        <v>#REF!</v>
      </c>
      <c r="CK216" s="212">
        <f t="shared" si="848"/>
        <v>45121</v>
      </c>
      <c r="CL216" s="21">
        <v>56</v>
      </c>
      <c r="CM216" s="214">
        <f t="shared" si="849"/>
        <v>27.006172839506174</v>
      </c>
      <c r="CN216" s="216">
        <f t="shared" si="850"/>
        <v>23</v>
      </c>
      <c r="CO216" s="216" t="e">
        <f>IF(PI216="","",IF(PI216&gt;0,HLOOKUP(PI216,$PJ$2:QQ216,NY216),""))</f>
        <v>#REF!</v>
      </c>
      <c r="CP216" s="21">
        <v>23</v>
      </c>
      <c r="CQ216" s="216" t="e">
        <f>IF(QR216="Menor","NO APLICA-MENOR 13 SEM",IF(AND(CC216="SI",CN216&gt;23),"NO APLICA- GEMELAR",IF(QR216="","",IF(QR216&gt;0,HLOOKUP(QR216,$QS$2:RU216,NY216),""))))</f>
        <v>#REF!</v>
      </c>
      <c r="CR216" s="21"/>
      <c r="CS216" s="21"/>
      <c r="CT216" s="217" t="str">
        <f>IF(R216="","",IF(AND(BS216&gt;1,BS216&lt;12,Tabla1[[#This Row],[T.A. SISTOLICA - ANTES DE SEMANA 12]]="",Tabla1[[#This Row],[T.A. DIASTOLICA - ANTES DE SEMANA 12]]=""),"REGISTRE DATO TA ANTES SEMANA 12",IF(AND(BS216&gt;11,BS216&lt;43,Tabla1[[#This Row],[T.A. SISTOLICA - ANTES DE SEMANA 12]]="",Tabla1[[#This Row],[T.A. DIASTOLICA - ANTES DE SEMANA 12]]=""),"NO APLICA REGISTRO TA-INGRESO TARDIO",IF(AND(OR(O216&gt;0,R216&gt;0),OR(CR216&gt;=140,CS216&gt;=90)),"DEFINIR ESTADIO HTA",IF(AND(OR(O216&gt;0,R216&gt;0),AND(CR216&gt;120,CR216&lt;=139)),"PRE HTA SEGUIMIENTO",IF(AND(OR(O216&gt;0,R216&gt;0),AND(CS216&gt;80,CS216&lt;=89)),"PRE HTA SEGUIMIENTO",IF(AND(OR(O216&gt;0,R216&gt;0),AND(CR216&gt;=80,CR216&lt;=120)),"APARENTEMENTE NORMAL",IF(AND(OR(O216&gt;0,R216&gt;0),AND(CS216&gt;=50,CS216&lt;=80)),"APARENTEMENTE NORMAL",IF(AND(OR(O216&gt;0,R216&gt;0),AND(CR216&gt;1,CR216&lt;=70),AND(CS216&gt;1,CS216&lt;=40)),"HIPOTENSIÓN","")))))))))</f>
        <v>NO APLICA REGISTRO TA-INGRESO TARDIO</v>
      </c>
      <c r="CU216" s="21">
        <v>100</v>
      </c>
      <c r="CV216" s="21">
        <v>60</v>
      </c>
      <c r="CW216" s="217" t="str">
        <f ca="1">IF(R216="","",IF(AND(CN216&gt;19,CN216&lt;27,Tabla1[[#This Row],[T.A. SISTOLICA (Entre semana 20 y 26)]]="",Tabla1[[#This Row],[T.A. DIATOLICA (Entre semana 20 y 26)]]=""),"ACUDE A CONTROL SEM 20 A 26 REGISTRE TA AHORA",IF(AND(BS216&gt;1,BS216&lt;27,BU216&gt;19,Tabla1[[#This Row],[T.A. SISTOLICA (Entre semana 20 y 26)]]="",Tabla1[[#This Row],[T.A. DIATOLICA (Entre semana 20 y 26)]]=""),"COMPLETE REGISTRO TA CONTROL SEM 20 A26 ",IF(AND(BS216&gt;26,BS216&lt;43,Tabla1[[#This Row],[T.A. SISTOLICA (Entre semana 20 y 26)]]="",Tabla1[[#This Row],[T.A. DIATOLICA (Entre semana 20 y 26)]]=""),"NO APLICA REGISTRO TA-INGRESO TARDIO",IF(AND(OR(O216&gt;0,R216&gt;0),OR(CU216&gt;=140,CV216&gt;=90)),"ALTO RIESGO PREECLAMPSIA,DEFINIR ESTADIO HTA",IF(AND(OR(O216&gt;0,R216&gt;0),AND(CU216&gt;120,CU216&lt;=139)),"PRE HTA SEGUIMIENTO,RIESGO HIPERTENSION INDUCIDA POR EL EMBARAZO",IF(AND(OR(O216&gt;0,R216&gt;0),AND(CV216&gt;80,CV216&lt;=89)),"PRE HTA SEGUIMIENTO, RIESGO HIPERTENSION INDUCIDA POR EL EMBARAZO",IF(AND(OR(O216&lt;&gt;"",R216&lt;&gt;""),CS216&lt;&gt;"",CV216&lt;&gt;"",CS216&lt;=CV216),"VIGILAR CIFRAS PRESION ARTERIAL",IF(AND(OR(O216&gt;0,R216&gt;0),AND(CU216&gt;120,CU216&lt;=139)),"PRE HTA SEGUIMIENTO",IF(AND(OR(O216&gt;0,R216&gt;0),AND(CU216&gt;1,CU216&lt;=70),AND(CV216&gt;1,CV216&lt;=40)),"HIPOTENSIÓN",IF(AND(OR(O216&lt;&gt;"",R216&lt;&gt;""),CS216&lt;&gt;"",CV216&lt;&gt;"",CS216&gt;CV216),"APARENTEMENTE NORMAL",IF(AND(OR(O216&gt;0,R216&gt;0),AND(CU216&gt;=80,CU216&lt;=120)),"APARENTEMENTE NORMAL",IF(AND(OR(O216&gt;0,R216&gt;0),AND(CV216&gt;=50,CV216&lt;=80)),"APARENTEMENTE NORMAL","")))))))))))))</f>
        <v>APARENTEMENTE NORMAL</v>
      </c>
      <c r="CX216" s="21"/>
      <c r="CY216" s="21"/>
      <c r="CZ216" s="216" t="str">
        <f>IF(R216="","",IF(AND(CN216&gt;31,CN216&lt;35,CX216="",CY216=""),"ACUDE A CONTROL SEM 30 A 34- REGISTRE AHORA",IF(AND(BS216&gt;34,BS216&lt;43,CX217="",CY217=""),"NO APLICA-INGRESO TARDIO",IF(AND(OR(O216&gt;0,R216&gt;0),OR(CX216&gt;=140,CY216&gt;=90)),"ESTUDIO INMEDIATO HTA PARA DESCARTAR PREECLAMSIA",IF(AND(OR(O216&gt;0,R216&gt;0),AND(CX216&gt;=130,CX216&lt;=139)),"PRE HTA,RIESGO ALTO PREECLAMPSIA",IF(AND(OR(O216&gt;0,R216&gt;0),AND(CY216&gt;80,CY216&lt;=89)),"PRE HTA,RIESGO ALTO PREECLAMPSIA",IF(AND(OR(O216&gt;0,R216&gt;0),AND(CX216&gt;120,CX216&lt;=129)),"RANGO PREHIPERTENSIVO SEGUIMIENTO HTA",IF(AND(OR(O216&lt;&gt;"",R216&lt;&gt;""),CS216&lt;&gt;"",CY216&lt;&gt;"",CS216&lt;CY216),"VIGILAR CIFRAS PRESION ARTERIAL",IF(AND(OR(O216&lt;&gt;"",R216&lt;&gt;""),CS216&lt;&gt;"",CY216&lt;&gt;"",CS216=CY216),"APARENTEMENTE NORMAL",IF(AND(OR(O216&gt;0,R216&gt;0),CX216&gt;=80,CX216&lt;=120),"APARENTEMENTE NORMAL",IF(AND(OR(O216&gt;0,R216&gt;0),CY216&gt;=50,CY216&lt;=80),"APARENTEMENTE NORMAL","")))))))))))</f>
        <v/>
      </c>
      <c r="DA216" s="21">
        <v>100</v>
      </c>
      <c r="DB216" s="21">
        <v>60</v>
      </c>
      <c r="DC216" s="217" t="str">
        <f t="shared" si="851"/>
        <v>APARENTEMENTE NORMAL</v>
      </c>
      <c r="DD216" s="22">
        <v>45121</v>
      </c>
      <c r="DE216" s="22">
        <v>45121</v>
      </c>
      <c r="DF216" s="22"/>
      <c r="DG216" s="22"/>
      <c r="DH216" s="22"/>
      <c r="DI216" s="22"/>
      <c r="DJ216" s="22"/>
      <c r="DK216" s="22"/>
      <c r="DL216" s="22"/>
      <c r="DM216" s="22"/>
      <c r="DN216" s="22"/>
      <c r="DO216" s="22"/>
      <c r="DP216" s="22"/>
      <c r="DQ216" s="22"/>
      <c r="DR216" s="28"/>
      <c r="DS216" s="22"/>
      <c r="DT216" s="22"/>
      <c r="DU216" s="216" t="str">
        <f t="shared" ca="1" si="920"/>
        <v>CONCERTAR PLAN DE PARTO INMEDIATO</v>
      </c>
      <c r="DV216" s="226" t="str">
        <f t="shared" si="921"/>
        <v>ACTIVA INGRESO A CPN</v>
      </c>
      <c r="DW21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16" s="216" t="e">
        <f t="shared" ca="1" si="852"/>
        <v>#REF!</v>
      </c>
      <c r="DY216" s="212">
        <f>IF(R216="","",IF(R216&gt;0,MAX(Tabla1[[#This Row],[FECHA C2]:[FECHA C13]],Tabla1[[#This Row],[FECHA CONSULTA PRIMERA VEZ PROGRAMA CPN ]])))</f>
        <v>45121</v>
      </c>
      <c r="DZ216" s="216">
        <f t="shared" si="853"/>
        <v>23</v>
      </c>
      <c r="EA216" s="222">
        <f>IF(R216&gt;0,SUM(COUNTA(DF216:DQ216)+COUNTA(Tabla1[[#This Row],[FECHA CONSULTA PRIMERA VEZ PROGRAMA CPN ]])),"")</f>
        <v>1</v>
      </c>
      <c r="EB216" s="222" t="str">
        <f t="shared" si="854"/>
        <v>NO</v>
      </c>
      <c r="EC216" s="214">
        <f t="shared" si="855"/>
        <v>6</v>
      </c>
      <c r="ED216" s="227">
        <f t="shared" si="856"/>
        <v>0.16666666666666666</v>
      </c>
      <c r="EE216" s="22">
        <v>45121</v>
      </c>
      <c r="EF216" s="22"/>
      <c r="EG216" s="22">
        <v>45121</v>
      </c>
      <c r="EH216" s="22"/>
      <c r="EI216" s="22">
        <v>45121</v>
      </c>
      <c r="EJ216" s="22"/>
      <c r="EK216" s="22"/>
      <c r="EL216" s="21"/>
      <c r="EM216" s="21">
        <v>12</v>
      </c>
      <c r="EN216" s="22">
        <v>45124</v>
      </c>
      <c r="EO216" s="222">
        <f t="shared" si="857"/>
        <v>24.285714285714285</v>
      </c>
      <c r="EP216" s="214" t="str">
        <f t="shared" si="858"/>
        <v>NORMAL- SUMINISTRAR SULFATO FERROSO</v>
      </c>
      <c r="EQ216" s="216" t="str">
        <f t="shared" si="859"/>
        <v>II TRIM</v>
      </c>
      <c r="ER216" s="24"/>
      <c r="ES216" s="22"/>
      <c r="ET216" s="29" t="str">
        <f t="shared" ca="1" si="922"/>
        <v>TOMA DE HEMOGLOBINA TARDÍA</v>
      </c>
      <c r="EU216" s="25" t="str">
        <f t="shared" si="860"/>
        <v/>
      </c>
      <c r="EV216" s="24" t="s">
        <v>1510</v>
      </c>
      <c r="EW216" s="22">
        <v>45124</v>
      </c>
      <c r="EX216" s="22"/>
      <c r="EY216" s="29">
        <f t="shared" si="693"/>
        <v>24.285714285714285</v>
      </c>
      <c r="EZ216" s="25" t="str">
        <f t="shared" si="694"/>
        <v>SIN RIESGO DE ISOINMUNIZACIÓN</v>
      </c>
      <c r="FA216" s="21">
        <v>74</v>
      </c>
      <c r="FB216" s="22">
        <v>45124</v>
      </c>
      <c r="FC216" s="29" t="str">
        <f t="shared" si="861"/>
        <v>NO APLICA &gt; 23 SEM -TOMAR PTOG</v>
      </c>
      <c r="FD216" s="29"/>
      <c r="FE216" s="29"/>
      <c r="FF216" s="29"/>
      <c r="FG216" s="21" t="str">
        <f t="shared" ca="1" si="862"/>
        <v>TOMAR PTOG</v>
      </c>
      <c r="FH216" s="31"/>
      <c r="FI216" s="29" t="str">
        <f t="shared" si="863"/>
        <v>TOMAR EXAMEN</v>
      </c>
      <c r="FJ216" s="22"/>
      <c r="FK216" s="22"/>
      <c r="FL216" s="29" t="str">
        <f t="shared" ca="1" si="864"/>
        <v>NO APLICA-INGRESO TARDIO</v>
      </c>
      <c r="FM216" s="22" t="s">
        <v>867</v>
      </c>
      <c r="FN216" s="22">
        <v>45124</v>
      </c>
      <c r="FO216" s="29">
        <f t="shared" ca="1" si="923"/>
        <v>24.285714285714285</v>
      </c>
      <c r="FP216" s="22"/>
      <c r="FQ216" s="32"/>
      <c r="FR216" s="29" t="str">
        <f t="shared" ca="1" si="924"/>
        <v>TOMA INMEDIATA DE TAMIZAJE</v>
      </c>
      <c r="FS216" s="22"/>
      <c r="FT216" s="32"/>
      <c r="FU216" s="29" t="str">
        <f>IF(AND(FJ216="",FM216="",FP216="",FS216=""),"",IF(OR(OR(Tabla1[[#This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16" s="28"/>
      <c r="FW216" s="22"/>
      <c r="FX216" s="29" t="str">
        <f t="shared" si="865"/>
        <v>TOMAR EXAMEN</v>
      </c>
      <c r="FY216" s="22"/>
      <c r="FZ216" s="22"/>
      <c r="GA216" s="29" t="str">
        <f t="shared" ca="1" si="939"/>
        <v>NO APLICA-INGRESO TARDIO</v>
      </c>
      <c r="GB216" s="22" t="s">
        <v>868</v>
      </c>
      <c r="GC216" s="22">
        <v>45124</v>
      </c>
      <c r="GD216" s="29">
        <f t="shared" ca="1" si="940"/>
        <v>24.285714285714285</v>
      </c>
      <c r="GE216" s="22"/>
      <c r="GF216" s="22"/>
      <c r="GG216" s="29" t="str">
        <f t="shared" ca="1" si="926"/>
        <v>TOMA INMEDIATA DE TAMIZAJE</v>
      </c>
      <c r="GH216" s="22"/>
      <c r="GI216" s="29"/>
      <c r="GJ216" s="22"/>
      <c r="GK216" s="22"/>
      <c r="GL216" s="22"/>
      <c r="GM216" s="22"/>
      <c r="GN216" s="28" t="s">
        <v>869</v>
      </c>
      <c r="GO216" s="22">
        <v>45124</v>
      </c>
      <c r="GP216" s="29">
        <f t="shared" si="866"/>
        <v>24.285714285714285</v>
      </c>
      <c r="GQ216" s="28" t="s">
        <v>846</v>
      </c>
      <c r="GR216" s="28" t="s">
        <v>869</v>
      </c>
      <c r="GS216" s="22" t="str">
        <f t="shared" si="728"/>
        <v/>
      </c>
      <c r="GT216" s="22">
        <v>45124</v>
      </c>
      <c r="GU216" s="29">
        <f t="shared" si="867"/>
        <v>24.285714285714285</v>
      </c>
      <c r="GV216" s="21" t="str">
        <f t="shared" si="868"/>
        <v>II TRIM</v>
      </c>
      <c r="GW216" s="28"/>
      <c r="GX216" s="30"/>
      <c r="GY216" s="21"/>
      <c r="GZ216" s="21"/>
      <c r="HA216" s="21"/>
      <c r="HB216" s="21"/>
      <c r="HC216" s="21"/>
      <c r="HD216" s="21"/>
      <c r="HE216" s="21"/>
      <c r="HF216" s="22"/>
      <c r="HG216" s="22" t="str">
        <f>IF(OR(O216&gt;0,R216&gt;0),CONCATENATE(IF(Tabla1[[#This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16" s="22" t="e">
        <f t="shared" si="869"/>
        <v>#REF!</v>
      </c>
      <c r="HI216" s="22" t="e">
        <f t="shared" ca="1" si="870"/>
        <v>#REF!</v>
      </c>
      <c r="HJ216" s="21" t="str">
        <f t="shared" ca="1" si="871"/>
        <v>***************************************</v>
      </c>
      <c r="HK216" s="21" t="str">
        <f t="shared" si="872"/>
        <v>SIN ANTECEDENTES DE RIESGO</v>
      </c>
      <c r="HL216" s="24" t="str">
        <f t="shared" si="873"/>
        <v>APARENTEMENTE NORMAL</v>
      </c>
      <c r="HM216" s="21" t="e">
        <f t="shared" ca="1" si="874"/>
        <v>#REF!</v>
      </c>
      <c r="HN216" s="30" t="str">
        <f t="shared" si="927"/>
        <v>ACTIVA INGRESO A CPN</v>
      </c>
      <c r="HO216" s="21"/>
      <c r="HP216" s="21"/>
      <c r="HQ216" s="349"/>
      <c r="HR216" s="21" t="str">
        <f>IF(R216="","",IF(Tabla1[[#This Row],[ALARMA FACTORES DE RIESGO COMPLICACIONES HIPERTENSIVAS3]]="SIN ANTECEDENTES DE RIESGO","No Aplica para suministro de ASA",IF(AND(Tabla1[[#This Row],[FECHA INICIO DE SUMINISTRO DE ASA]]&gt;0,RV216&lt;12),"Inicia ASA ANTES de Sem 12",IF(AND(RV216&gt;11,RV216&lt;17,OR(HK216="RIESGO ALTO DE COMPLICACIONES HIPERTENSIVAS VER MANEJO GUIA SUMINISTRO ASA Y CALCIO",HK216="RIESGO MODERADO (2 O MAS CRITERIOS) VER MANEJO GUIA SUMINISTRO ASA Y CALCIO")),"Inicio oportuno de ASA",IF(AND(RV216&gt;12,OR(HK216="RIESGO ALTO DE COMPLICACIONES HIPERTENSIVAS VER MANEJO GUIA SUMINISTRO ASA Y CALCIO",HK216="RIESGO MODERADO (2 O MAS CRITERIOS) VER MANEJO GUIA SUMINISTRO ASA Y CALCIO")),"Inicio no oportuno mayor a 16 semanas",IF(AND(BU216&lt;12,OR(HK216="RIESGO ALTO DE COMPLICACIONES HIPERTENSIVAS VER MANEJO GUIA SUMINISTRO ASA Y CALCIO",HK216="RIESGO MODERADO (2 O MAS CRITERIOS) VER MANEJO GUIA SUMINISTRO ASA Y CALCIO")),"Pendiente Inicio de ASA a la semana 12",IF(AND(BU216&gt;11,BU216&lt;17,OR(HK216="RIESGO ALTO DE COMPLICACIONES HIPERTENSIVAS VER MANEJO GUIA SUMINISTRO ASA Y CALCIO",HK216="RIESGO MODERADO (2 O MAS CRITERIOS) VER MANEJO GUIA SUMINISTRO ASA Y CALCIO")),"Iniciar de inmediato ASA",IF(AND(BU216&gt;16,OR(HK216="RIESGO ALTO DE COMPLICACIONES HIPERTENSIVAS VER MANEJO GUIA SUMINISTRO ASA Y CALCIO",HK216="RIESGO MODERADO (2 O MAS CRITERIOS) VER MANEJO GUIA SUMINISTRO ASA Y CALCIO")),"Pierde Oportunidad, Inicio tardío de ASA","XXXXX"))))))))</f>
        <v>No Aplica para suministro de ASA</v>
      </c>
      <c r="HS216" s="22">
        <v>45124</v>
      </c>
      <c r="HT216" s="22" t="s">
        <v>1518</v>
      </c>
      <c r="HU216" s="22">
        <v>45124</v>
      </c>
      <c r="HV216" s="22" t="s">
        <v>1544</v>
      </c>
      <c r="HW216" s="22">
        <v>45124</v>
      </c>
      <c r="HX216" s="22" t="s">
        <v>1511</v>
      </c>
      <c r="HY216" s="22">
        <v>45121</v>
      </c>
      <c r="HZ216" s="28">
        <f t="shared" si="875"/>
        <v>23.857142857142858</v>
      </c>
      <c r="IA216" s="26" t="s">
        <v>864</v>
      </c>
      <c r="IB216" s="26"/>
      <c r="IC216" s="111"/>
      <c r="ID216" s="22"/>
      <c r="IE216" s="22" t="str">
        <f t="shared" ca="1" si="876"/>
        <v>INASISTENTE</v>
      </c>
      <c r="IF216" s="22"/>
      <c r="IG216" s="22">
        <f t="shared" si="877"/>
        <v>45234</v>
      </c>
      <c r="IH216" s="29">
        <f t="shared" ca="1" si="878"/>
        <v>2</v>
      </c>
      <c r="II216" s="22" t="str">
        <f t="shared" ca="1" si="879"/>
        <v>SEMANA DE PARTO</v>
      </c>
      <c r="IJ216" s="22"/>
      <c r="IK216" s="21"/>
      <c r="IL216" s="21"/>
      <c r="IM216" s="34"/>
      <c r="IN216" s="22"/>
      <c r="IO216" s="21"/>
      <c r="IP216" s="29" t="str">
        <f t="shared" si="880"/>
        <v/>
      </c>
      <c r="IQ216" s="35"/>
      <c r="IR216" s="21"/>
      <c r="IS216" s="21"/>
      <c r="IT216" s="21"/>
      <c r="IU216" s="21"/>
      <c r="IV216" s="21"/>
      <c r="IW216" s="21"/>
      <c r="IX216" s="21"/>
      <c r="IY216" s="21"/>
      <c r="IZ216" s="21"/>
      <c r="JA216" s="21"/>
      <c r="JB216" s="30"/>
      <c r="JC216" s="21"/>
      <c r="JD216" s="36"/>
      <c r="JE216" s="21" t="str">
        <f t="shared" si="881"/>
        <v/>
      </c>
      <c r="JF216" s="30"/>
      <c r="JG216" s="21"/>
      <c r="JH216" s="21"/>
      <c r="JI216" s="21"/>
      <c r="JJ216" s="30"/>
      <c r="JK216" s="22"/>
      <c r="JL216" s="22"/>
      <c r="JM216" s="21"/>
      <c r="JN216" s="36"/>
      <c r="JO216" s="21" t="str">
        <f t="shared" si="882"/>
        <v/>
      </c>
      <c r="JP216" s="22"/>
      <c r="JQ216" s="21"/>
      <c r="JR216" s="21"/>
      <c r="JS216" s="21"/>
      <c r="JT216" s="30"/>
      <c r="JU216" s="22"/>
      <c r="JV216" s="22"/>
      <c r="JW216" s="33"/>
      <c r="JX216" s="28" t="str">
        <f t="shared" si="883"/>
        <v/>
      </c>
      <c r="JY216" s="33"/>
      <c r="JZ216" s="28" t="str">
        <f t="shared" si="884"/>
        <v/>
      </c>
      <c r="KA216" s="21"/>
      <c r="KB216" s="21"/>
      <c r="KC216" s="21"/>
      <c r="KD216" s="37"/>
      <c r="KE216" s="28"/>
      <c r="KF216" s="28"/>
      <c r="KG216" s="28"/>
      <c r="KH216" s="39"/>
      <c r="KI216" s="39"/>
      <c r="KJ216" s="66"/>
      <c r="KK216" s="39"/>
      <c r="KL216" s="39"/>
      <c r="KM216" s="66"/>
      <c r="KN216" s="39"/>
      <c r="KO216" s="39"/>
      <c r="KP216" s="39"/>
      <c r="KQ216" s="39"/>
      <c r="KR216" s="39"/>
      <c r="KS216" s="39"/>
      <c r="KT216" s="39"/>
      <c r="KU216" s="38"/>
      <c r="KV216" s="38"/>
      <c r="KW216" s="38"/>
      <c r="KX216" s="38"/>
      <c r="KY216" s="38"/>
      <c r="KZ216" s="38"/>
      <c r="LA216" s="38"/>
      <c r="LB216" s="38"/>
      <c r="LC216" s="38"/>
      <c r="LD216" s="38"/>
      <c r="LE216" s="38"/>
      <c r="LF216" s="38"/>
      <c r="LG216" s="38"/>
      <c r="LH216" s="38"/>
      <c r="LI216" s="38"/>
      <c r="LJ216" s="38"/>
      <c r="LK216" s="38"/>
      <c r="LL216" s="38"/>
      <c r="LM216" s="38"/>
      <c r="LN216" s="38"/>
      <c r="LO216" s="38"/>
      <c r="LP216" s="38"/>
      <c r="LQ216" s="38"/>
      <c r="LR216" s="38"/>
      <c r="LS216" s="38"/>
      <c r="LT216" s="38"/>
      <c r="LU216" s="38"/>
      <c r="LV216" s="38"/>
      <c r="LW216" s="38"/>
      <c r="LX216" s="38"/>
      <c r="LY216" s="38"/>
      <c r="LZ216" s="38"/>
      <c r="MA216" s="38"/>
      <c r="MB216" s="38"/>
      <c r="MC216" s="38"/>
      <c r="MD216" s="38"/>
      <c r="ME216" s="38"/>
      <c r="MF216" s="38"/>
      <c r="MG216" s="38"/>
      <c r="MH216" s="43">
        <f t="shared" si="885"/>
        <v>0</v>
      </c>
      <c r="MI216" s="43" t="str">
        <f t="shared" si="929"/>
        <v/>
      </c>
      <c r="MJ216" s="43" t="str">
        <f t="shared" si="887"/>
        <v/>
      </c>
      <c r="MK216" s="43">
        <f t="shared" si="888"/>
        <v>0</v>
      </c>
      <c r="ML21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16" s="43">
        <f t="shared" si="930"/>
        <v>23.857142857142858</v>
      </c>
      <c r="MN216" s="43">
        <f t="shared" si="931"/>
        <v>7</v>
      </c>
      <c r="MO216" s="43">
        <f t="shared" si="932"/>
        <v>2023</v>
      </c>
      <c r="MP216" s="43" t="str">
        <f t="shared" si="892"/>
        <v>III TRIMESTRE AÑO</v>
      </c>
      <c r="MQ216" s="43">
        <f t="shared" si="933"/>
        <v>19.639728427507666</v>
      </c>
      <c r="MR216" s="43">
        <f t="shared" si="894"/>
        <v>0</v>
      </c>
      <c r="MS216" s="43" t="str">
        <f t="shared" si="895"/>
        <v>DE 14 A 19AÑOS</v>
      </c>
      <c r="MT216" s="43">
        <f t="shared" si="896"/>
        <v>0</v>
      </c>
      <c r="MU216" s="43">
        <f t="shared" si="897"/>
        <v>0</v>
      </c>
      <c r="MV216" s="43">
        <f t="shared" si="898"/>
        <v>0</v>
      </c>
      <c r="MW216" s="43">
        <f t="shared" si="899"/>
        <v>0</v>
      </c>
      <c r="MX216" s="43" t="str">
        <f t="shared" si="900"/>
        <v/>
      </c>
      <c r="MY216" s="43" t="str">
        <f t="shared" ca="1" si="901"/>
        <v/>
      </c>
      <c r="MZ216" s="43" t="str">
        <f t="shared" si="902"/>
        <v/>
      </c>
      <c r="NA216" s="43" t="str">
        <f t="shared" si="903"/>
        <v/>
      </c>
      <c r="NB216" s="43" t="str">
        <f t="shared" si="904"/>
        <v/>
      </c>
      <c r="NC216" s="43" t="str">
        <f t="shared" si="905"/>
        <v/>
      </c>
      <c r="ND216" s="43">
        <f t="shared" ca="1" si="934"/>
        <v>0</v>
      </c>
      <c r="NE216" s="43">
        <f>IF(OR(O216&gt;0,R216&gt;0),SUM(COUNTIF(Tabla1[[#This Row],[AÑOS AL INICIO5 CPN]],"&gt;=40"),COUNTIF(AS216,"0"),COUNTIF(AR216,"SI"),COUNTIF(CC216,"SI"),COUNTIF(BQ216,"&gt;119"),COUNTIF(CI216,"&gt;=35")),"")</f>
        <v>0</v>
      </c>
      <c r="NF216" s="43" t="str">
        <f t="shared" si="935"/>
        <v/>
      </c>
      <c r="NG216" s="43">
        <f t="shared" si="908"/>
        <v>0</v>
      </c>
      <c r="NH216" s="43" t="str">
        <f t="shared" si="909"/>
        <v/>
      </c>
      <c r="NI21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CPN",P216="NO"),"Z",IF(AND(Tabla1[[#This Row],[CITA PROXIMO CONTROL]]="CITA MANUAL",Tabla1[[#This Row],[GESTANTES ACTUALES]]="ACTIVA INGRESO A CPN"),"W",IF(AND(Tabla1[[#This Row],[GESTANTES ACTUALES]]="SALIO PROGRAMA",IN216=""),"S",IF(AND(Tabla1[[#This Row],[CITA PROXIMO CONTROL]]&gt;0,IN216=""),(Tabla1[[#This Row],[CITA PROXIMO CONTROL]]-TODAY()),"SD"))))))))</f>
        <v>#REF!</v>
      </c>
      <c r="NJ216" s="43">
        <f>MONTH(Tabla1[[#This Row],[FECHA DE SALIDA  DEL PROGRAMA]])</f>
        <v>1</v>
      </c>
      <c r="NK216" s="43">
        <f>YEAR(Tabla1[[#This Row],[FECHA DE SALIDA  DEL PROGRAMA]])</f>
        <v>1900</v>
      </c>
      <c r="NL216" s="43" t="str">
        <f t="shared" si="936"/>
        <v>X</v>
      </c>
      <c r="NM216" s="43" t="str">
        <f t="shared" si="941"/>
        <v>NO</v>
      </c>
      <c r="NN216" s="43" t="str">
        <f ca="1">IF(AND(O216&gt;0,R216=""),"NO CPN",IF(AND(O216="",R216=""),"",IF(AND(R216&gt;0,Tabla1[[#This Row],[SEMANAS DE GESTACION ACTUALIZADAS]]&lt;=12),"NO APLICA",IF(AND(FH216&lt;&gt;"",FN216&lt;&gt;""),"SI","NO"))))</f>
        <v>NO</v>
      </c>
      <c r="NO216" s="43" t="str">
        <f ca="1">IF(AND(O216&gt;0,R216=""),"NO CPN",IF(AND(O216="",R216=""),"",IF(AND(R216&gt;0,Tabla1[[#This Row],[SEMANAS DE GESTACION ACTUALIZADAS]]&lt;=27),"NO APLICA",IF(AND(ES216&lt;&gt;"",FQ216&lt;&gt;"",GF216&lt;&gt;""),"SI","NO"))))</f>
        <v>NO</v>
      </c>
      <c r="NP216" s="204" t="str">
        <f t="shared" si="912"/>
        <v>II TRIM</v>
      </c>
      <c r="NQ216" s="21" t="str">
        <f>IF(AND(IP217&gt;0,IP217&lt;37),10,IF(OR(CD217="Transversa",CD217="Oblicua"),9,IF(CC217="SI",8,IF(AND(AT217=0,AW217=0,CC217="NO",CD217="Cefálica",IP217&gt;=37,IT217="INICIO ESPONTÁNEO"),1,IF(AND(AND(AT217=0,AW217=0,CC217="NO",CD217="Cefálica",IP217&gt;=37),OR(IT217="LE HACEN INDUCCIÓN",IT217="LE HACEN CESÁREA SIN INICIO TRABAJO DE PARTO")),2,IF(AND(AT217&gt;=1,AW217=0,CC217="NO",CD217="Cefálica",IP217&gt;=37,IT217="INICIO ESPONTÁNEO"),3,IF(AND(AND(AT217&gt;=1,AW217=0,CC217="NO",CD217="Cefálica",IP217&gt;=37),OR(IT217="LE HACEN INDUCCIÓN",IT217="LE HACEN CESÁREA SIN INICIO TRABAJO DE PARTO")),4,IF(AND(AND(AT217&gt;=1,AW217&gt;=1,CC217="NO",CD217="Cefálica",IP217&gt;=37),OR(IT217="LE HACEN INDUCCIÓN",IT217="LE HACEN CESÁREA SIN INICIO TRABAJO DE PARTO",IT217="INICIO ESPONTÁNEO")),5,IF(AND(AND(AT217=0,AW217=0,CC217="NO",CD217="Podálica",IP217&gt;=1),OR(IT217="LE HACEN INDUCCIÓN",IT217="LE HACEN CESÁREA SIN INICIO TRABAJO DE PARTO",IT217="INICIO ESPONTÁNEO")),6,IF(AND(AND(AT217&gt;=1,CC217="NO",CD217="Podálica",IP217&gt;=1),OR(IT217="LE HACEN INDUCCIÓN",IT217="LE HACEN CESÁREA SIN INICIO TRABAJO DE PARTO",IT217="INICIO ESPONTÁNEO"),OR(AW217=0,AW217&gt;=1)),7,""))))))))))</f>
        <v/>
      </c>
      <c r="NR216" s="21">
        <f t="shared" ca="1" si="937"/>
        <v>2</v>
      </c>
      <c r="NS216" s="205">
        <f t="shared" ca="1" si="914"/>
        <v>1</v>
      </c>
      <c r="NT216" s="21">
        <f t="shared" ca="1" si="915"/>
        <v>1</v>
      </c>
      <c r="NU216" s="21" t="str">
        <f t="shared" ca="1" si="916"/>
        <v>INCOMPLETO</v>
      </c>
      <c r="NV216" s="21" t="str">
        <f t="shared" ca="1" si="917"/>
        <v>INCOMPLETO</v>
      </c>
      <c r="NW216" s="206" t="str">
        <f>IF(AND(O216="",R216=""),"",IF(OR(AND(Tabla1[[#This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16" s="207" t="str">
        <f t="shared" ca="1" si="938"/>
        <v>SIN VACUNAR</v>
      </c>
      <c r="NY216" s="43">
        <f>ROW(Tabla1[[#This Row],['# DE TAMIZAJES SIFILIS TOMADOS ]])</f>
        <v>216</v>
      </c>
      <c r="NZ216" s="43">
        <f t="shared" si="740"/>
        <v>23</v>
      </c>
      <c r="OA216" s="43" t="str">
        <f t="shared" si="741"/>
        <v/>
      </c>
      <c r="OB216" s="43" t="str">
        <f t="shared" si="742"/>
        <v/>
      </c>
      <c r="OC216" s="43" t="str">
        <f t="shared" si="743"/>
        <v/>
      </c>
      <c r="OD216" s="43" t="str">
        <f t="shared" si="744"/>
        <v/>
      </c>
      <c r="OE216" s="43" t="str">
        <f t="shared" si="745"/>
        <v/>
      </c>
      <c r="OF216" s="43" t="str">
        <f t="shared" si="746"/>
        <v/>
      </c>
      <c r="OG216" s="43" t="str">
        <f t="shared" si="747"/>
        <v/>
      </c>
      <c r="OH216" s="43" t="str">
        <f t="shared" si="748"/>
        <v/>
      </c>
      <c r="OI216" s="43" t="str">
        <f t="shared" si="749"/>
        <v/>
      </c>
      <c r="OJ216" s="43" t="str">
        <f t="shared" si="750"/>
        <v/>
      </c>
      <c r="OK216" s="43" t="str">
        <f t="shared" si="751"/>
        <v/>
      </c>
      <c r="OL216" s="43" t="str">
        <f t="shared" si="752"/>
        <v/>
      </c>
      <c r="OM216" s="43" t="str">
        <f t="shared" si="753"/>
        <v/>
      </c>
      <c r="ON216" s="43" t="str">
        <f t="shared" si="754"/>
        <v/>
      </c>
      <c r="OO216" s="43" t="str">
        <f t="shared" si="755"/>
        <v>SOBREPESO</v>
      </c>
      <c r="OP216" s="43" t="str">
        <f t="shared" si="756"/>
        <v/>
      </c>
      <c r="OQ216" s="43" t="str">
        <f t="shared" si="757"/>
        <v/>
      </c>
      <c r="OR216" s="43" t="str">
        <f t="shared" si="758"/>
        <v/>
      </c>
      <c r="OS216" s="43" t="str">
        <f t="shared" si="759"/>
        <v/>
      </c>
      <c r="OT216" s="43" t="str">
        <f t="shared" si="760"/>
        <v/>
      </c>
      <c r="OU216" s="43" t="str">
        <f t="shared" si="761"/>
        <v/>
      </c>
      <c r="OV216" s="110" t="str">
        <f t="shared" si="762"/>
        <v/>
      </c>
      <c r="OW216" s="43" t="str">
        <f t="shared" si="763"/>
        <v/>
      </c>
      <c r="OX216" s="43" t="str">
        <f t="shared" si="764"/>
        <v/>
      </c>
      <c r="OY216" s="43" t="str">
        <f t="shared" si="765"/>
        <v/>
      </c>
      <c r="OZ216" s="43" t="str">
        <f t="shared" si="766"/>
        <v/>
      </c>
      <c r="PA216" s="43" t="str">
        <f t="shared" si="767"/>
        <v/>
      </c>
      <c r="PB216" s="43" t="str">
        <f t="shared" si="768"/>
        <v/>
      </c>
      <c r="PC216" s="43" t="str">
        <f t="shared" si="769"/>
        <v/>
      </c>
      <c r="PD216" s="43" t="str">
        <f t="shared" si="770"/>
        <v/>
      </c>
      <c r="PE216" s="43" t="str">
        <f t="shared" si="771"/>
        <v/>
      </c>
      <c r="PF216" s="43" t="str">
        <f t="shared" si="772"/>
        <v/>
      </c>
      <c r="PG216" s="43" t="str">
        <f t="shared" si="773"/>
        <v/>
      </c>
      <c r="PH216" s="43" t="str">
        <f t="shared" si="774"/>
        <v/>
      </c>
      <c r="PI216" s="43">
        <f t="shared" si="775"/>
        <v>23</v>
      </c>
      <c r="PJ216" s="43" t="str">
        <f t="shared" si="776"/>
        <v/>
      </c>
      <c r="PK216" s="43" t="str">
        <f t="shared" si="777"/>
        <v/>
      </c>
      <c r="PL216" s="43" t="str">
        <f t="shared" si="778"/>
        <v/>
      </c>
      <c r="PM216" s="43" t="str">
        <f t="shared" si="779"/>
        <v/>
      </c>
      <c r="PN216" s="43" t="str">
        <f t="shared" si="780"/>
        <v/>
      </c>
      <c r="PO216" s="43" t="str">
        <f t="shared" si="781"/>
        <v/>
      </c>
      <c r="PP216" s="43" t="str">
        <f t="shared" si="782"/>
        <v/>
      </c>
      <c r="PQ216" s="43" t="str">
        <f t="shared" si="783"/>
        <v/>
      </c>
      <c r="PR216" s="43" t="str">
        <f t="shared" si="784"/>
        <v/>
      </c>
      <c r="PS216" s="43" t="str">
        <f t="shared" si="785"/>
        <v/>
      </c>
      <c r="PT216" s="43" t="str">
        <f t="shared" si="786"/>
        <v/>
      </c>
      <c r="PU216" s="43" t="str">
        <f t="shared" si="787"/>
        <v/>
      </c>
      <c r="PV216" s="43" t="str">
        <f t="shared" si="788"/>
        <v/>
      </c>
      <c r="PW216" s="43" t="str">
        <f t="shared" si="789"/>
        <v/>
      </c>
      <c r="PX216" s="43" t="str">
        <f t="shared" si="790"/>
        <v>SOBREPESO</v>
      </c>
      <c r="PY216" s="43" t="str">
        <f t="shared" si="791"/>
        <v/>
      </c>
      <c r="PZ216" s="43" t="str">
        <f t="shared" si="792"/>
        <v/>
      </c>
      <c r="QA216" s="43" t="str">
        <f t="shared" si="793"/>
        <v/>
      </c>
      <c r="QB216" s="43" t="str">
        <f t="shared" si="794"/>
        <v/>
      </c>
      <c r="QC216" s="43" t="str">
        <f t="shared" si="795"/>
        <v/>
      </c>
      <c r="QD216" s="43" t="str">
        <f t="shared" si="796"/>
        <v/>
      </c>
      <c r="QE216" s="43" t="str">
        <f t="shared" si="797"/>
        <v/>
      </c>
      <c r="QF216" s="43" t="str">
        <f t="shared" si="798"/>
        <v/>
      </c>
      <c r="QG216" s="43" t="str">
        <f t="shared" si="799"/>
        <v/>
      </c>
      <c r="QH216" s="43" t="str">
        <f t="shared" si="800"/>
        <v/>
      </c>
      <c r="QI216" s="43" t="str">
        <f t="shared" si="801"/>
        <v/>
      </c>
      <c r="QJ216" s="43" t="str">
        <f t="shared" si="802"/>
        <v/>
      </c>
      <c r="QK216" s="43" t="str">
        <f t="shared" si="803"/>
        <v/>
      </c>
      <c r="QL216" s="43" t="str">
        <f t="shared" si="804"/>
        <v/>
      </c>
      <c r="QM216" s="43" t="str">
        <f t="shared" si="805"/>
        <v/>
      </c>
      <c r="QN216" s="43" t="str">
        <f t="shared" si="806"/>
        <v/>
      </c>
      <c r="QO216" s="43" t="str">
        <f t="shared" si="807"/>
        <v/>
      </c>
      <c r="QP216" s="43" t="str">
        <f t="shared" si="808"/>
        <v/>
      </c>
      <c r="QQ216" s="43" t="str">
        <f t="shared" si="809"/>
        <v/>
      </c>
      <c r="QR216" s="43">
        <f t="shared" si="839"/>
        <v>23</v>
      </c>
      <c r="QS216" s="43"/>
      <c r="QT216" s="21" t="str">
        <f t="shared" si="810"/>
        <v/>
      </c>
      <c r="QU216" s="21" t="str">
        <f t="shared" si="811"/>
        <v/>
      </c>
      <c r="QV216" s="21" t="str">
        <f t="shared" si="812"/>
        <v/>
      </c>
      <c r="QW216" s="21" t="str">
        <f t="shared" si="813"/>
        <v/>
      </c>
      <c r="QX216" s="21" t="str">
        <f t="shared" si="814"/>
        <v/>
      </c>
      <c r="QY216" s="21" t="str">
        <f t="shared" si="815"/>
        <v/>
      </c>
      <c r="QZ216" s="21" t="str">
        <f t="shared" si="816"/>
        <v/>
      </c>
      <c r="RA216" s="21" t="str">
        <f t="shared" si="817"/>
        <v/>
      </c>
      <c r="RB216" s="21" t="str">
        <f t="shared" si="818"/>
        <v/>
      </c>
      <c r="RC216" s="21" t="str">
        <f t="shared" si="819"/>
        <v/>
      </c>
      <c r="RD216" s="21" t="str">
        <f t="shared" si="820"/>
        <v>ADECUADO PARA EDAD GESTACIONAL</v>
      </c>
      <c r="RE216" s="21" t="str">
        <f t="shared" si="821"/>
        <v/>
      </c>
      <c r="RF216" s="21" t="str">
        <f t="shared" si="822"/>
        <v/>
      </c>
      <c r="RG216" s="21" t="str">
        <f t="shared" si="823"/>
        <v/>
      </c>
      <c r="RH216" s="21" t="str">
        <f t="shared" si="824"/>
        <v/>
      </c>
      <c r="RI216" s="21" t="str">
        <f t="shared" si="825"/>
        <v/>
      </c>
      <c r="RJ216" s="21" t="str">
        <f t="shared" si="826"/>
        <v/>
      </c>
      <c r="RK216" s="21" t="str">
        <f t="shared" si="827"/>
        <v/>
      </c>
      <c r="RL216" s="21" t="str">
        <f t="shared" si="828"/>
        <v/>
      </c>
      <c r="RM216" s="21" t="str">
        <f t="shared" si="829"/>
        <v/>
      </c>
      <c r="RN216" s="21" t="str">
        <f t="shared" si="830"/>
        <v/>
      </c>
      <c r="RO216" s="21" t="str">
        <f t="shared" si="831"/>
        <v/>
      </c>
      <c r="RP216" s="21" t="str">
        <f t="shared" si="832"/>
        <v/>
      </c>
      <c r="RQ216" s="21" t="str">
        <f t="shared" si="833"/>
        <v/>
      </c>
      <c r="RR216" s="21" t="str">
        <f t="shared" si="834"/>
        <v/>
      </c>
      <c r="RS216" s="21" t="str">
        <f t="shared" si="835"/>
        <v/>
      </c>
      <c r="RT216" s="21" t="str">
        <f t="shared" si="836"/>
        <v/>
      </c>
      <c r="RU216" s="21" t="str">
        <f t="shared" si="837"/>
        <v/>
      </c>
      <c r="RV216" s="21">
        <f t="shared" si="838"/>
        <v>-1</v>
      </c>
      <c r="RW216" s="284">
        <f>IF(OR(Tabla1[[#This Row],[FUM FORMULA CONFIABLE]]="",Tabla1[[#This Row],[FUM FORMULA CONFIABLE]]="SD"),"",IF(Tabla1[[#This Row],[FUM FORMULA CONFIABLE]]="CORREGIDA",Tabla1[[#This Row],[FUM X ECO 1]],Tabla1[[#This Row],[FUM x AMENORREA]]))</f>
        <v>44954</v>
      </c>
      <c r="RX216" s="21" t="str">
        <f>IF(AND(Tabla1[[#This Row],[FUM X ECO 1]]="",Tabla1[[#This Row],[FUM x AMENORREA]]=""),"",IF(AND(Tabla1[[#This Row],[FUM X ECO 1]]="",Tabla1[[#This Row],[FUM x AMENORREA]]&lt;&gt;""),"X",SUM(Tabla1[[#This Row],[FUM X ECO 1]]-Tabla1[[#This Row],[FUM x AMENORREA]])))</f>
        <v>X</v>
      </c>
      <c r="RY216" s="21" t="str">
        <f t="shared" si="840"/>
        <v>x</v>
      </c>
    </row>
    <row r="217" spans="1:493" ht="45" customHeight="1" x14ac:dyDescent="0.25">
      <c r="A217" s="109"/>
      <c r="B217" s="43"/>
      <c r="C217" s="43" t="s">
        <v>845</v>
      </c>
      <c r="D217" s="124"/>
      <c r="E217" s="43" t="s">
        <v>1580</v>
      </c>
      <c r="F217" s="43" t="s">
        <v>914</v>
      </c>
      <c r="G217" s="43" t="s">
        <v>1581</v>
      </c>
      <c r="H217" s="43" t="s">
        <v>1464</v>
      </c>
      <c r="I217" s="109" t="s">
        <v>851</v>
      </c>
      <c r="J217" s="289">
        <v>1002846447</v>
      </c>
      <c r="K217" s="43" t="s">
        <v>852</v>
      </c>
      <c r="L217" s="175" t="s">
        <v>1509</v>
      </c>
      <c r="M217" s="22">
        <v>33909</v>
      </c>
      <c r="N217" s="213">
        <f t="shared" ca="1" si="841"/>
        <v>31.021917808219179</v>
      </c>
      <c r="O217" s="22">
        <v>45121</v>
      </c>
      <c r="P217" s="214" t="str">
        <f t="shared" si="919"/>
        <v>SI</v>
      </c>
      <c r="Q217" s="26" t="s">
        <v>855</v>
      </c>
      <c r="R217" s="22">
        <v>45121</v>
      </c>
      <c r="S217" s="21" t="s">
        <v>856</v>
      </c>
      <c r="T217" s="24" t="s">
        <v>690</v>
      </c>
      <c r="U217" s="21" t="s">
        <v>857</v>
      </c>
      <c r="V217" s="21" t="s">
        <v>858</v>
      </c>
      <c r="W217" s="21" t="s">
        <v>893</v>
      </c>
      <c r="X217" s="21"/>
      <c r="Y217" s="21" t="s">
        <v>859</v>
      </c>
      <c r="Z217" s="21" t="s">
        <v>894</v>
      </c>
      <c r="AA217" s="21" t="s">
        <v>860</v>
      </c>
      <c r="AB217" s="27" t="s">
        <v>861</v>
      </c>
      <c r="AC217" s="26" t="s">
        <v>1434</v>
      </c>
      <c r="AD217" s="38" t="s">
        <v>1546</v>
      </c>
      <c r="AE217" s="26" t="s">
        <v>854</v>
      </c>
      <c r="AF217" s="26" t="s">
        <v>854</v>
      </c>
      <c r="AG217" s="23" t="s">
        <v>864</v>
      </c>
      <c r="AH217" s="23" t="s">
        <v>864</v>
      </c>
      <c r="AI217" s="24" t="s">
        <v>863</v>
      </c>
      <c r="AJ217" s="23" t="s">
        <v>864</v>
      </c>
      <c r="AK217" s="220" t="str">
        <f>IF(AND(AD217="",AE217="",AF217="",AG217="",AH217="",AI217="",AJ217=""),"",IF(OR(Tabla1[[#This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EVALUACIÓN",IF(AND(O217="",R217=""),"",IF(AND(OR(O217&gt;0,R217&gt;0),NG217&gt;=0,NG217&lt;2),"SIN RIESGO",IF(AND(OR(O217&gt;0,R217&gt;0),NG217&gt;=2),"CON RIESGO","ASD")))))</f>
        <v>SIN RIESGO</v>
      </c>
      <c r="AL217" s="23" t="s">
        <v>864</v>
      </c>
      <c r="AM217" s="26" t="s">
        <v>864</v>
      </c>
      <c r="AN217" s="26" t="s">
        <v>864</v>
      </c>
      <c r="AO217" s="26" t="s">
        <v>864</v>
      </c>
      <c r="AP217" s="26" t="s">
        <v>864</v>
      </c>
      <c r="AQ217" s="26" t="s">
        <v>864</v>
      </c>
      <c r="AR217" s="26" t="s">
        <v>864</v>
      </c>
      <c r="AS217" s="21">
        <v>2</v>
      </c>
      <c r="AT217" s="21">
        <v>2</v>
      </c>
      <c r="AU217" s="21">
        <v>0</v>
      </c>
      <c r="AV217" s="26" t="s">
        <v>864</v>
      </c>
      <c r="AW217" s="21">
        <v>0</v>
      </c>
      <c r="AX217" s="26" t="s">
        <v>864</v>
      </c>
      <c r="AY217" s="26" t="s">
        <v>864</v>
      </c>
      <c r="AZ217" s="26" t="s">
        <v>864</v>
      </c>
      <c r="BA217" s="26" t="s">
        <v>864</v>
      </c>
      <c r="BB217" s="26" t="s">
        <v>864</v>
      </c>
      <c r="BC217" s="26" t="s">
        <v>864</v>
      </c>
      <c r="BD217" s="26" t="s">
        <v>864</v>
      </c>
      <c r="BE217" s="26" t="s">
        <v>864</v>
      </c>
      <c r="BF217" s="26" t="s">
        <v>864</v>
      </c>
      <c r="BG217" s="26" t="s">
        <v>864</v>
      </c>
      <c r="BH217" s="26" t="s">
        <v>864</v>
      </c>
      <c r="BI217" s="26" t="s">
        <v>864</v>
      </c>
      <c r="BJ217" s="26" t="s">
        <v>864</v>
      </c>
      <c r="BK217" s="26" t="s">
        <v>864</v>
      </c>
      <c r="BL217" s="26" t="s">
        <v>864</v>
      </c>
      <c r="BM217" s="26" t="s">
        <v>864</v>
      </c>
      <c r="BN217" s="22">
        <v>41896</v>
      </c>
      <c r="BO217" s="22">
        <v>44997</v>
      </c>
      <c r="BP217" s="21" t="s">
        <v>854</v>
      </c>
      <c r="BQ217" s="222">
        <f t="shared" si="842"/>
        <v>103.36666666666666</v>
      </c>
      <c r="BR217" s="223" t="str">
        <f t="shared" si="843"/>
        <v/>
      </c>
      <c r="BS217" s="224">
        <f t="shared" si="844"/>
        <v>17.714285714285715</v>
      </c>
      <c r="BT217" s="216" t="str">
        <f t="shared" si="845"/>
        <v>II TRIM</v>
      </c>
      <c r="BU217" s="214">
        <f t="shared" ca="1" si="928"/>
        <v>33.571428571428569</v>
      </c>
      <c r="BV217" s="25"/>
      <c r="BW217" s="22"/>
      <c r="BX217" s="28"/>
      <c r="BY217" s="28"/>
      <c r="BZ217" s="22"/>
      <c r="CA217" s="21"/>
      <c r="CB217" s="26"/>
      <c r="CC217" s="26"/>
      <c r="CD217" s="26"/>
      <c r="CE217" s="26"/>
      <c r="CF217" s="22" t="s">
        <v>1517</v>
      </c>
      <c r="CG217" s="21">
        <v>1.38</v>
      </c>
      <c r="CH217" s="21">
        <v>56</v>
      </c>
      <c r="CI217" s="214">
        <f t="shared" si="847"/>
        <v>29.405587061541699</v>
      </c>
      <c r="CJ217" s="225" t="e">
        <f>IF(AND(CI217&lt;10,CH217="SD"),"SIN DATO PESO PREGESTACION O I TRIM",IF(AND(OR(R217&gt;0,O217&gt;0),CI217="X"),"INGRESAR DATO DE PESO",IF(CI217="SD","INGRESAR DATO DE TALLA Y PESO",IF(AND(OR(Tabla1[[#This Row],[MOMENTO EN QUE SE REALIZA EL PESO AL INGRESO A CPN]]="PREGESTACIÓN",NZ217="Menor"),CI217&lt;18.5),"BAJO PESO",IF(AND(OR(Tabla1[[#This Row],[MOMENTO EN QUE SE REALIZA EL PESO AL INGRESO A CPN]]="PREGESTACIÓN",NZ217="Menor"),CI217&lt;25),"NORMAL",IF(AND(OR(Tabla1[[#This Row],[MOMENTO EN QUE SE REALIZA EL PESO AL INGRESO A CPN]]="PREGESTACIÓN",NZ217="Menor"),CI217&lt;30),"SOBREPESO",IF(AND(OR(Tabla1[[#This Row],[MOMENTO EN QUE SE REALIZA EL PESO AL INGRESO A CPN]]="PREGESTACIÓN",NZ217="Menor"),CI217&gt;=30,CI217&lt;50),"OBESIDAD",IF(AND(BS217&gt;0,Tabla1[[#This Row],[MOMENTO EN QUE SE REALIZA EL PESO AL INGRESO A CPN]]="GESTACIÓN"),HLOOKUP(NZ217,$OA$2:PH217,NY217),""))))))))</f>
        <v>#REF!</v>
      </c>
      <c r="CK217" s="212">
        <f t="shared" si="848"/>
        <v>45121</v>
      </c>
      <c r="CL217" s="21">
        <v>56</v>
      </c>
      <c r="CM217" s="214">
        <f t="shared" si="849"/>
        <v>29.405587061541699</v>
      </c>
      <c r="CN217" s="216">
        <f t="shared" si="850"/>
        <v>17</v>
      </c>
      <c r="CO217" s="216" t="e">
        <f>IF(PI217="","",IF(PI217&gt;0,HLOOKUP(PI217,$PJ$2:QQ217,NY217),""))</f>
        <v>#REF!</v>
      </c>
      <c r="CP217" s="21">
        <v>16</v>
      </c>
      <c r="CQ217" s="216" t="e">
        <f>IF(QR217="Menor","NO APLICA-MENOR 13 SEM",IF(AND(CC217="SI",CN217&gt;23),"NO APLICA- GEMELAR",IF(QR217="","",IF(QR217&gt;0,HLOOKUP(QR217,$QS$2:RU217,NY217),""))))</f>
        <v>#REF!</v>
      </c>
      <c r="CR217" s="21"/>
      <c r="CS217" s="21"/>
      <c r="CT217" s="217" t="str">
        <f>IF(R217="","",IF(AND(BS217&gt;1,BS217&lt;12,Tabla1[[#This Row],[T.A. SISTOLICA - ANTES DE SEMANA 12]]="",Tabla1[[#This Row],[T.A. DIASTOLICA - ANTES DE SEMANA 12]]=""),"REGISTRE DATO TA ANTES SEMANA 12",IF(AND(BS217&gt;11,BS217&lt;43,Tabla1[[#This Row],[T.A. SISTOLICA - ANTES DE SEMANA 12]]="",Tabla1[[#This Row],[T.A. DIASTOLICA - ANTES DE SEMANA 12]]=""),"NO APLICA REGISTRO TA-INGRESO TARDIO",IF(AND(OR(O217&gt;0,R217&gt;0),OR(CR217&gt;=140,CS217&gt;=90)),"DEFINIR ESTADIO HTA",IF(AND(OR(O217&gt;0,R217&gt;0),AND(CR217&gt;120,CR217&lt;=139)),"PRE HTA SEGUIMIENTO",IF(AND(OR(O217&gt;0,R217&gt;0),AND(CS217&gt;80,CS217&lt;=89)),"PRE HTA SEGUIMIENTO",IF(AND(OR(O217&gt;0,R217&gt;0),AND(CR217&gt;=80,CR217&lt;=120)),"APARENTEMENTE NORMAL",IF(AND(OR(O217&gt;0,R217&gt;0),AND(CS217&gt;=50,CS217&lt;=80)),"APARENTEMENTE NORMAL",IF(AND(OR(O217&gt;0,R217&gt;0),AND(CR217&gt;1,CR217&lt;=70),AND(CS217&gt;1,CS217&lt;=40)),"HIPOTENSIÓN","")))))))))</f>
        <v>NO APLICA REGISTRO TA-INGRESO TARDIO</v>
      </c>
      <c r="CU217" s="21"/>
      <c r="CV217" s="21"/>
      <c r="CW217" s="217" t="str">
        <f ca="1">IF(R217="","",IF(AND(CN217&gt;19,CN217&lt;27,Tabla1[[#This Row],[T.A. SISTOLICA (Entre semana 20 y 26)]]="",Tabla1[[#This Row],[T.A. DIATOLICA (Entre semana 20 y 26)]]=""),"ACUDE A CONTROL SEM 20 A 26 REGISTRE TA AHORA",IF(AND(BS217&gt;1,BS217&lt;27,BU217&gt;19,Tabla1[[#This Row],[T.A. SISTOLICA (Entre semana 20 y 26)]]="",Tabla1[[#This Row],[T.A. DIATOLICA (Entre semana 20 y 26)]]=""),"COMPLETE REGISTRO TA CONTROL SEM 20 A26 ",IF(AND(BS217&gt;26,BS217&lt;43,Tabla1[[#This Row],[T.A. SISTOLICA (Entre semana 20 y 26)]]="",Tabla1[[#This Row],[T.A. DIATOLICA (Entre semana 20 y 26)]]=""),"NO APLICA REGISTRO TA-INGRESO TARDIO",IF(AND(OR(O217&gt;0,R217&gt;0),OR(CU217&gt;=140,CV217&gt;=90)),"ALTO RIESGO PREECLAMPSIA,DEFINIR ESTADIO HTA",IF(AND(OR(O217&gt;0,R217&gt;0),AND(CU217&gt;120,CU217&lt;=139)),"PRE HTA SEGUIMIENTO,RIESGO HIPERTENSION INDUCIDA POR EL EMBARAZO",IF(AND(OR(O217&gt;0,R217&gt;0),AND(CV217&gt;80,CV217&lt;=89)),"PRE HTA SEGUIMIENTO, RIESGO HIPERTENSION INDUCIDA POR EL EMBARAZO",IF(AND(OR(O217&lt;&gt;"",R217&lt;&gt;""),CS217&lt;&gt;"",CV217&lt;&gt;"",CS217&lt;=CV217),"VIGILAR CIFRAS PRESION ARTERIAL",IF(AND(OR(O217&gt;0,R217&gt;0),AND(CU217&gt;120,CU217&lt;=139)),"PRE HTA SEGUIMIENTO",IF(AND(OR(O217&gt;0,R217&gt;0),AND(CU217&gt;1,CU217&lt;=70),AND(CV217&gt;1,CV217&lt;=40)),"HIPOTENSIÓN",IF(AND(OR(O217&lt;&gt;"",R217&lt;&gt;""),CS217&lt;&gt;"",CV217&lt;&gt;"",CS217&gt;CV217),"APARENTEMENTE NORMAL",IF(AND(OR(O217&gt;0,R217&gt;0),AND(CU217&gt;=80,CU217&lt;=120)),"APARENTEMENTE NORMAL",IF(AND(OR(O217&gt;0,R217&gt;0),AND(CV217&gt;=50,CV217&lt;=80)),"APARENTEMENTE NORMAL","")))))))))))))</f>
        <v xml:space="preserve">COMPLETE REGISTRO TA CONTROL SEM 20 A26 </v>
      </c>
      <c r="CX217" s="21"/>
      <c r="CY217" s="21"/>
      <c r="CZ217" s="216" t="str">
        <f>IF(R217="","",IF(AND(CN217&gt;31,CN217&lt;35,CX217="",CY217=""),"ACUDE A CONTROL SEM 30 A 34- REGISTRE AHORA",IF(AND(BS217&gt;34,BS217&lt;43,CX218="",CY218=""),"NO APLICA-INGRESO TARDIO",IF(AND(OR(O217&gt;0,R217&gt;0),OR(CX217&gt;=140,CY217&gt;=90)),"ESTUDIO INMEDIATO HTA PARA DESCARTAR PREECLAMSIA",IF(AND(OR(O217&gt;0,R217&gt;0),AND(CX217&gt;=130,CX217&lt;=139)),"PRE HTA,RIESGO ALTO PREECLAMPSIA",IF(AND(OR(O217&gt;0,R217&gt;0),AND(CY217&gt;80,CY217&lt;=89)),"PRE HTA,RIESGO ALTO PREECLAMPSIA",IF(AND(OR(O217&gt;0,R217&gt;0),AND(CX217&gt;120,CX217&lt;=129)),"RANGO PREHIPERTENSIVO SEGUIMIENTO HTA",IF(AND(OR(O217&lt;&gt;"",R217&lt;&gt;""),CS217&lt;&gt;"",CY217&lt;&gt;"",CS217&lt;CY217),"VIGILAR CIFRAS PRESION ARTERIAL",IF(AND(OR(O217&lt;&gt;"",R217&lt;&gt;""),CS217&lt;&gt;"",CY217&lt;&gt;"",CS217=CY217),"APARENTEMENTE NORMAL",IF(AND(OR(O217&gt;0,R217&gt;0),CX217&gt;=80,CX217&lt;=120),"APARENTEMENTE NORMAL",IF(AND(OR(O217&gt;0,R217&gt;0),CY217&gt;=50,CY217&lt;=80),"APARENTEMENTE NORMAL","")))))))))))</f>
        <v/>
      </c>
      <c r="DA217" s="21">
        <v>90</v>
      </c>
      <c r="DB217" s="21">
        <v>60</v>
      </c>
      <c r="DC217" s="217" t="str">
        <f t="shared" si="851"/>
        <v>APARENTEMENTE NORMAL</v>
      </c>
      <c r="DD217" s="22">
        <v>45121</v>
      </c>
      <c r="DE217" s="22">
        <v>45121</v>
      </c>
      <c r="DF217" s="22"/>
      <c r="DG217" s="22"/>
      <c r="DH217" s="22"/>
      <c r="DI217" s="22"/>
      <c r="DJ217" s="22"/>
      <c r="DK217" s="22"/>
      <c r="DL217" s="22"/>
      <c r="DM217" s="22"/>
      <c r="DN217" s="22"/>
      <c r="DO217" s="22"/>
      <c r="DP217" s="22"/>
      <c r="DQ217" s="22"/>
      <c r="DR217" s="28"/>
      <c r="DS217" s="22"/>
      <c r="DT217" s="22"/>
      <c r="DU217" s="216" t="str">
        <f t="shared" ca="1" si="920"/>
        <v>PLANEAR PLAN DE PARTO</v>
      </c>
      <c r="DV217" s="226" t="str">
        <f t="shared" si="921"/>
        <v>ACTIVA INGRESO A CPN</v>
      </c>
      <c r="DW21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17" s="216" t="e">
        <f t="shared" ca="1" si="852"/>
        <v>#REF!</v>
      </c>
      <c r="DY217" s="212">
        <f>IF(R217="","",IF(R217&gt;0,MAX(Tabla1[[#This Row],[FECHA C2]:[FECHA C13]],Tabla1[[#This Row],[FECHA CONSULTA PRIMERA VEZ PROGRAMA CPN ]])))</f>
        <v>45121</v>
      </c>
      <c r="DZ217" s="216">
        <f t="shared" si="853"/>
        <v>17</v>
      </c>
      <c r="EA217" s="222">
        <f>IF(R217&gt;0,SUM(COUNTA(DF217:DQ217)+COUNTA(Tabla1[[#This Row],[FECHA CONSULTA PRIMERA VEZ PROGRAMA CPN ]])),"")</f>
        <v>1</v>
      </c>
      <c r="EB217" s="222" t="str">
        <f t="shared" si="854"/>
        <v>NO</v>
      </c>
      <c r="EC217" s="214">
        <f t="shared" si="855"/>
        <v>7</v>
      </c>
      <c r="ED217" s="227">
        <f t="shared" si="856"/>
        <v>0.14285714285714285</v>
      </c>
      <c r="EE217" s="22">
        <v>45121</v>
      </c>
      <c r="EF217" s="22">
        <v>45121</v>
      </c>
      <c r="EG217" s="22">
        <v>45121</v>
      </c>
      <c r="EH217" s="22"/>
      <c r="EI217" s="22">
        <v>45121</v>
      </c>
      <c r="EJ217" s="22"/>
      <c r="EK217" s="22"/>
      <c r="EL217" s="21"/>
      <c r="EM217" s="21"/>
      <c r="EN217" s="22"/>
      <c r="EO217" s="222" t="str">
        <f t="shared" si="857"/>
        <v>TOMAR EXAMEN</v>
      </c>
      <c r="EP217" s="214" t="str">
        <f t="shared" si="858"/>
        <v/>
      </c>
      <c r="EQ217" s="216" t="str">
        <f t="shared" si="859"/>
        <v>POR DEFINIR</v>
      </c>
      <c r="ER217" s="24"/>
      <c r="ES217" s="22"/>
      <c r="ET217" s="29" t="str">
        <f t="shared" ca="1" si="922"/>
        <v>TOMA DE HEMOGLOBINA TARDÍA</v>
      </c>
      <c r="EU217" s="25" t="str">
        <f t="shared" si="860"/>
        <v/>
      </c>
      <c r="EV217" s="24"/>
      <c r="EW217" s="24"/>
      <c r="EX217" s="22"/>
      <c r="EY217" s="29" t="str">
        <f t="shared" si="693"/>
        <v>TOMAR EXAMEN</v>
      </c>
      <c r="EZ217" s="25" t="str">
        <f t="shared" ca="1" si="694"/>
        <v/>
      </c>
      <c r="FA217" s="21"/>
      <c r="FB217" s="22"/>
      <c r="FC217" s="29" t="str">
        <f t="shared" si="861"/>
        <v>TOMAR EXAMEN</v>
      </c>
      <c r="FD217" s="29"/>
      <c r="FE217" s="29"/>
      <c r="FF217" s="29"/>
      <c r="FG217" s="21" t="str">
        <f t="shared" ca="1" si="862"/>
        <v>TOMAR PTOG</v>
      </c>
      <c r="FH217" s="31"/>
      <c r="FI217" s="29" t="str">
        <f t="shared" si="863"/>
        <v>TOMAR EXAMEN</v>
      </c>
      <c r="FJ217" s="22"/>
      <c r="FK217" s="22"/>
      <c r="FL217" s="29" t="str">
        <f t="shared" ca="1" si="864"/>
        <v>NO APLICA-INGRESO TARDIO</v>
      </c>
      <c r="FM217" s="22"/>
      <c r="FN217" s="32"/>
      <c r="FO217" s="29" t="str">
        <f t="shared" ca="1" si="923"/>
        <v>PIERDE TOMA DE TAMIZAJE</v>
      </c>
      <c r="FP217" s="22"/>
      <c r="FQ217" s="32"/>
      <c r="FR217" s="29" t="str">
        <f t="shared" ca="1" si="924"/>
        <v>EN RANGO PARA TOMAR EXAMEN</v>
      </c>
      <c r="FS217" s="22"/>
      <c r="FT217" s="32"/>
      <c r="FU217" s="29" t="str">
        <f>IF(AND(FJ217="",FM217="",FP217="",FS217=""),"",IF(OR(OR(Tabla1[[#This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17" s="28"/>
      <c r="FW217" s="22"/>
      <c r="FX217" s="29" t="str">
        <f t="shared" si="865"/>
        <v>TOMAR EXAMEN</v>
      </c>
      <c r="FY217" s="22"/>
      <c r="FZ217" s="22"/>
      <c r="GA217" s="29" t="str">
        <f t="shared" ca="1" si="939"/>
        <v>NO APLICA-INGRESO TARDIO</v>
      </c>
      <c r="GB217" s="22"/>
      <c r="GC217" s="22"/>
      <c r="GD217" s="29" t="str">
        <f t="shared" ca="1" si="940"/>
        <v>PIERDE TOMA DE TAMIZAJE</v>
      </c>
      <c r="GE217" s="22"/>
      <c r="GF217" s="22"/>
      <c r="GG217" s="29" t="str">
        <f t="shared" ca="1" si="926"/>
        <v>EN RANGO PARA TOMAR EXAMEN</v>
      </c>
      <c r="GH217" s="22"/>
      <c r="GI217" s="29"/>
      <c r="GJ217" s="22"/>
      <c r="GK217" s="22"/>
      <c r="GL217" s="22"/>
      <c r="GM217" s="22"/>
      <c r="GN217" s="28"/>
      <c r="GO217" s="22"/>
      <c r="GP217" s="29" t="str">
        <f t="shared" si="866"/>
        <v>TOMAR EXAMEN</v>
      </c>
      <c r="GQ217" s="28"/>
      <c r="GR217" s="28"/>
      <c r="GS217" s="22" t="str">
        <f t="shared" si="728"/>
        <v/>
      </c>
      <c r="GT217" s="22"/>
      <c r="GU217" s="29" t="str">
        <f t="shared" si="867"/>
        <v>TOMAR EXAMEN</v>
      </c>
      <c r="GV217" s="21" t="str">
        <f t="shared" si="868"/>
        <v>POR DEFINIR</v>
      </c>
      <c r="GW217" s="28"/>
      <c r="GX217" s="30"/>
      <c r="GY217" s="21"/>
      <c r="GZ217" s="21"/>
      <c r="HA217" s="21"/>
      <c r="HB217" s="21"/>
      <c r="HC217" s="21"/>
      <c r="HD217" s="21"/>
      <c r="HE217" s="21"/>
      <c r="HF217" s="22"/>
      <c r="HG217" s="22" t="str">
        <f>IF(OR(O217&gt;0,R217&gt;0),CONCATENATE(IF(Tabla1[[#This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17" s="22" t="e">
        <f t="shared" si="869"/>
        <v>#REF!</v>
      </c>
      <c r="HI217" s="22" t="e">
        <f t="shared" ca="1" si="870"/>
        <v>#REF!</v>
      </c>
      <c r="HJ217" s="21" t="str">
        <f t="shared" ca="1" si="871"/>
        <v>***************************************</v>
      </c>
      <c r="HK217" s="21" t="str">
        <f t="shared" si="872"/>
        <v>SIN ANTECEDENTES DE RIESGO</v>
      </c>
      <c r="HL217" s="24" t="str">
        <f t="shared" si="873"/>
        <v>APARENTEMENTE NORMAL</v>
      </c>
      <c r="HM217" s="21" t="e">
        <f t="shared" ca="1" si="874"/>
        <v>#REF!</v>
      </c>
      <c r="HN217" s="30" t="str">
        <f t="shared" si="927"/>
        <v>ACTIVA INGRESO A CPN</v>
      </c>
      <c r="HO217" s="21"/>
      <c r="HP217" s="21"/>
      <c r="HQ217" s="349"/>
      <c r="HR217" s="21" t="str">
        <f>IF(R217="","",IF(Tabla1[[#This Row],[ALARMA FACTORES DE RIESGO COMPLICACIONES HIPERTENSIVAS3]]="SIN ANTECEDENTES DE RIESGO","No Aplica para suministro de ASA",IF(AND(Tabla1[[#This Row],[FECHA INICIO DE SUMINISTRO DE ASA]]&gt;0,RV217&lt;12),"Inicia ASA ANTES de Sem 12",IF(AND(RV217&gt;11,RV217&lt;17,OR(HK217="RIESGO ALTO DE COMPLICACIONES HIPERTENSIVAS VER MANEJO GUIA SUMINISTRO ASA Y CALCIO",HK217="RIESGO MODERADO (2 O MAS CRITERIOS) VER MANEJO GUIA SUMINISTRO ASA Y CALCIO")),"Inicio oportuno de ASA",IF(AND(RV217&gt;12,OR(HK217="RIESGO ALTO DE COMPLICACIONES HIPERTENSIVAS VER MANEJO GUIA SUMINISTRO ASA Y CALCIO",HK217="RIESGO MODERADO (2 O MAS CRITERIOS) VER MANEJO GUIA SUMINISTRO ASA Y CALCIO")),"Inicio no oportuno mayor a 16 semanas",IF(AND(BU217&lt;12,OR(HK217="RIESGO ALTO DE COMPLICACIONES HIPERTENSIVAS VER MANEJO GUIA SUMINISTRO ASA Y CALCIO",HK217="RIESGO MODERADO (2 O MAS CRITERIOS) VER MANEJO GUIA SUMINISTRO ASA Y CALCIO")),"Pendiente Inicio de ASA a la semana 12",IF(AND(BU217&gt;11,BU217&lt;17,OR(HK217="RIESGO ALTO DE COMPLICACIONES HIPERTENSIVAS VER MANEJO GUIA SUMINISTRO ASA Y CALCIO",HK217="RIESGO MODERADO (2 O MAS CRITERIOS) VER MANEJO GUIA SUMINISTRO ASA Y CALCIO")),"Iniciar de inmediato ASA",IF(AND(BU217&gt;16,OR(HK217="RIESGO ALTO DE COMPLICACIONES HIPERTENSIVAS VER MANEJO GUIA SUMINISTRO ASA Y CALCIO",HK217="RIESGO MODERADO (2 O MAS CRITERIOS) VER MANEJO GUIA SUMINISTRO ASA Y CALCIO")),"Pierde Oportunidad, Inicio tardío de ASA","XXXXX"))))))))</f>
        <v>No Aplica para suministro de ASA</v>
      </c>
      <c r="HS217" s="22">
        <v>45121</v>
      </c>
      <c r="HT217" s="22" t="s">
        <v>1518</v>
      </c>
      <c r="HU217" s="22">
        <v>45121</v>
      </c>
      <c r="HV217" s="22" t="s">
        <v>1544</v>
      </c>
      <c r="HW217" s="22">
        <v>45121</v>
      </c>
      <c r="HX217" s="22" t="s">
        <v>1511</v>
      </c>
      <c r="HY217" s="22"/>
      <c r="HZ217" s="28" t="str">
        <f t="shared" si="875"/>
        <v>PENDIENTE CONSULTA</v>
      </c>
      <c r="IA217" s="26"/>
      <c r="IB217" s="26"/>
      <c r="IC217" s="111"/>
      <c r="ID217" s="22"/>
      <c r="IE217" s="22" t="str">
        <f t="shared" ca="1" si="876"/>
        <v>INASISTENTE</v>
      </c>
      <c r="IF217" s="22"/>
      <c r="IG217" s="22">
        <f t="shared" si="877"/>
        <v>45277</v>
      </c>
      <c r="IH217" s="29">
        <f t="shared" ca="1" si="878"/>
        <v>45</v>
      </c>
      <c r="II217" s="22" t="str">
        <f t="shared" ca="1" si="879"/>
        <v>PENDIENTE</v>
      </c>
      <c r="IJ217" s="22"/>
      <c r="IK217" s="21"/>
      <c r="IL217" s="21"/>
      <c r="IM217" s="34"/>
      <c r="IN217" s="22"/>
      <c r="IO217" s="21"/>
      <c r="IP217" s="29" t="str">
        <f t="shared" si="880"/>
        <v/>
      </c>
      <c r="IQ217" s="35"/>
      <c r="IR217" s="21"/>
      <c r="IS217" s="21"/>
      <c r="IT217" s="21"/>
      <c r="IU217" s="21"/>
      <c r="IV217" s="21"/>
      <c r="IW217" s="21"/>
      <c r="IX217" s="21"/>
      <c r="IY217" s="21"/>
      <c r="IZ217" s="21"/>
      <c r="JA217" s="21"/>
      <c r="JB217" s="30"/>
      <c r="JC217" s="21"/>
      <c r="JD217" s="36"/>
      <c r="JE217" s="21" t="str">
        <f t="shared" si="881"/>
        <v/>
      </c>
      <c r="JF217" s="30"/>
      <c r="JG217" s="21"/>
      <c r="JH217" s="21"/>
      <c r="JI217" s="21"/>
      <c r="JJ217" s="30"/>
      <c r="JK217" s="22"/>
      <c r="JL217" s="22"/>
      <c r="JM217" s="21"/>
      <c r="JN217" s="36"/>
      <c r="JO217" s="21" t="str">
        <f t="shared" si="882"/>
        <v/>
      </c>
      <c r="JP217" s="22"/>
      <c r="JQ217" s="21"/>
      <c r="JR217" s="21"/>
      <c r="JS217" s="21"/>
      <c r="JT217" s="30"/>
      <c r="JU217" s="22"/>
      <c r="JV217" s="22"/>
      <c r="JW217" s="33"/>
      <c r="JX217" s="28" t="str">
        <f t="shared" si="883"/>
        <v/>
      </c>
      <c r="JY217" s="33"/>
      <c r="JZ217" s="28" t="str">
        <f t="shared" si="884"/>
        <v/>
      </c>
      <c r="KA217" s="21"/>
      <c r="KB217" s="21"/>
      <c r="KC217" s="21"/>
      <c r="KD217" s="37"/>
      <c r="KE217" s="28"/>
      <c r="KF217" s="28"/>
      <c r="KG217" s="28"/>
      <c r="KH217" s="39"/>
      <c r="KI217" s="39"/>
      <c r="KJ217" s="66"/>
      <c r="KK217" s="39"/>
      <c r="KL217" s="39"/>
      <c r="KM217" s="66"/>
      <c r="KN217" s="39"/>
      <c r="KO217" s="39"/>
      <c r="KP217" s="39"/>
      <c r="KQ217" s="39"/>
      <c r="KR217" s="39"/>
      <c r="KS217" s="39"/>
      <c r="KT217" s="39"/>
      <c r="KU217" s="38"/>
      <c r="KV217" s="38"/>
      <c r="KW217" s="38"/>
      <c r="KX217" s="38"/>
      <c r="KY217" s="38"/>
      <c r="KZ217" s="38"/>
      <c r="LA217" s="38"/>
      <c r="LB217" s="38"/>
      <c r="LC217" s="38"/>
      <c r="LD217" s="38"/>
      <c r="LE217" s="38"/>
      <c r="LF217" s="38"/>
      <c r="LG217" s="38"/>
      <c r="LH217" s="38"/>
      <c r="LI217" s="38"/>
      <c r="LJ217" s="38"/>
      <c r="LK217" s="38"/>
      <c r="LL217" s="38"/>
      <c r="LM217" s="38"/>
      <c r="LN217" s="38"/>
      <c r="LO217" s="38"/>
      <c r="LP217" s="38"/>
      <c r="LQ217" s="38"/>
      <c r="LR217" s="38"/>
      <c r="LS217" s="38"/>
      <c r="LT217" s="38"/>
      <c r="LU217" s="38"/>
      <c r="LV217" s="38"/>
      <c r="LW217" s="38"/>
      <c r="LX217" s="38"/>
      <c r="LY217" s="38"/>
      <c r="LZ217" s="38"/>
      <c r="MA217" s="38"/>
      <c r="MB217" s="38"/>
      <c r="MC217" s="38"/>
      <c r="MD217" s="38"/>
      <c r="ME217" s="38"/>
      <c r="MF217" s="38"/>
      <c r="MG217" s="38"/>
      <c r="MH217" s="43">
        <f t="shared" si="885"/>
        <v>0</v>
      </c>
      <c r="MI217" s="43" t="str">
        <f t="shared" si="929"/>
        <v/>
      </c>
      <c r="MJ217" s="43" t="str">
        <f t="shared" si="887"/>
        <v/>
      </c>
      <c r="MK217" s="43">
        <f t="shared" si="888"/>
        <v>0</v>
      </c>
      <c r="ML21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17" s="43">
        <f t="shared" si="930"/>
        <v>17.714285714285715</v>
      </c>
      <c r="MN217" s="43">
        <f t="shared" si="931"/>
        <v>7</v>
      </c>
      <c r="MO217" s="43">
        <f t="shared" si="932"/>
        <v>2023</v>
      </c>
      <c r="MP217" s="43" t="str">
        <f t="shared" si="892"/>
        <v>III TRIMESTRE AÑO</v>
      </c>
      <c r="MQ217" s="43">
        <f t="shared" si="933"/>
        <v>30.258979413052998</v>
      </c>
      <c r="MR217" s="43">
        <f t="shared" si="894"/>
        <v>0</v>
      </c>
      <c r="MS217" s="43" t="str">
        <f t="shared" si="895"/>
        <v xml:space="preserve"> DE 30 A 34 AÑOS</v>
      </c>
      <c r="MT217" s="43">
        <f t="shared" si="896"/>
        <v>0</v>
      </c>
      <c r="MU217" s="43">
        <f t="shared" si="897"/>
        <v>0</v>
      </c>
      <c r="MV217" s="43">
        <f t="shared" si="898"/>
        <v>0</v>
      </c>
      <c r="MW217" s="43">
        <f t="shared" si="899"/>
        <v>0</v>
      </c>
      <c r="MX217" s="43" t="str">
        <f t="shared" si="900"/>
        <v/>
      </c>
      <c r="MY217" s="43" t="str">
        <f t="shared" ca="1" si="901"/>
        <v/>
      </c>
      <c r="MZ217" s="43" t="str">
        <f t="shared" si="902"/>
        <v/>
      </c>
      <c r="NA217" s="43" t="str">
        <f t="shared" si="903"/>
        <v/>
      </c>
      <c r="NB217" s="43" t="str">
        <f t="shared" si="904"/>
        <v/>
      </c>
      <c r="NC217" s="43" t="str">
        <f t="shared" si="905"/>
        <v/>
      </c>
      <c r="ND217" s="43">
        <f t="shared" ca="1" si="934"/>
        <v>0</v>
      </c>
      <c r="NE217" s="43">
        <f>IF(OR(O217&gt;0,R217&gt;0),SUM(COUNTIF(Tabla1[[#This Row],[AÑOS AL INICIO5 CPN]],"&gt;=40"),COUNTIF(AS217,"0"),COUNTIF(AR217,"SI"),COUNTIF(CC217,"SI"),COUNTIF(BQ217,"&gt;119"),COUNTIF(CI217,"&gt;=35")),"")</f>
        <v>0</v>
      </c>
      <c r="NF217" s="43" t="str">
        <f t="shared" si="935"/>
        <v/>
      </c>
      <c r="NG217" s="43">
        <f t="shared" si="908"/>
        <v>0</v>
      </c>
      <c r="NH217" s="43" t="str">
        <f t="shared" si="909"/>
        <v/>
      </c>
      <c r="NI21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CPN",P217="NO"),"Z",IF(AND(Tabla1[[#This Row],[CITA PROXIMO CONTROL]]="CITA MANUAL",Tabla1[[#This Row],[GESTANTES ACTUALES]]="ACTIVA INGRESO A CPN"),"W",IF(AND(Tabla1[[#This Row],[GESTANTES ACTUALES]]="SALIO PROGRAMA",IN217=""),"S",IF(AND(Tabla1[[#This Row],[CITA PROXIMO CONTROL]]&gt;0,IN217=""),(Tabla1[[#This Row],[CITA PROXIMO CONTROL]]-TODAY()),"SD"))))))))</f>
        <v>#REF!</v>
      </c>
      <c r="NJ217" s="43">
        <f>MONTH(Tabla1[[#This Row],[FECHA DE SALIDA  DEL PROGRAMA]])</f>
        <v>1</v>
      </c>
      <c r="NK217" s="43">
        <f>YEAR(Tabla1[[#This Row],[FECHA DE SALIDA  DEL PROGRAMA]])</f>
        <v>1900</v>
      </c>
      <c r="NL217" s="43" t="str">
        <f t="shared" si="936"/>
        <v>X</v>
      </c>
      <c r="NM217" s="43" t="str">
        <f t="shared" si="941"/>
        <v>NO</v>
      </c>
      <c r="NN217" s="43" t="str">
        <f ca="1">IF(AND(O217&gt;0,R217=""),"NO CPN",IF(AND(O217="",R217=""),"",IF(AND(R217&gt;0,Tabla1[[#This Row],[SEMANAS DE GESTACION ACTUALIZADAS]]&lt;=12),"NO APLICA",IF(AND(FH217&lt;&gt;"",FN217&lt;&gt;""),"SI","NO"))))</f>
        <v>NO</v>
      </c>
      <c r="NO217" s="43" t="str">
        <f ca="1">IF(AND(O217&gt;0,R217=""),"NO CPN",IF(AND(O217="",R217=""),"",IF(AND(R217&gt;0,Tabla1[[#This Row],[SEMANAS DE GESTACION ACTUALIZADAS]]&lt;=27),"NO APLICA",IF(AND(ES217&lt;&gt;"",FQ217&lt;&gt;"",GF217&lt;&gt;""),"SI","NO"))))</f>
        <v>NO</v>
      </c>
      <c r="NP217" s="204" t="str">
        <f t="shared" si="912"/>
        <v>II TRIM</v>
      </c>
      <c r="NQ217" s="21">
        <f>IF(AND(IP218&gt;0,IP218&lt;37),10,IF(OR(CD218="Transversa",CD218="Oblicua"),9,IF(CC218="SI",8,IF(AND(AT218=0,AW218=0,CC218="NO",CD218="Cefálica",IP218&gt;=37,IT218="INICIO ESPONTÁNEO"),1,IF(AND(AND(AT218=0,AW218=0,CC218="NO",CD218="Cefálica",IP218&gt;=37),OR(IT218="LE HACEN INDUCCIÓN",IT218="LE HACEN CESÁREA SIN INICIO TRABAJO DE PARTO")),2,IF(AND(AT218&gt;=1,AW218=0,CC218="NO",CD218="Cefálica",IP218&gt;=37,IT218="INICIO ESPONTÁNEO"),3,IF(AND(AND(AT218&gt;=1,AW218=0,CC218="NO",CD218="Cefálica",IP218&gt;=37),OR(IT218="LE HACEN INDUCCIÓN",IT218="LE HACEN CESÁREA SIN INICIO TRABAJO DE PARTO")),4,IF(AND(AND(AT218&gt;=1,AW218&gt;=1,CC218="NO",CD218="Cefálica",IP218&gt;=37),OR(IT218="LE HACEN INDUCCIÓN",IT218="LE HACEN CESÁREA SIN INICIO TRABAJO DE PARTO",IT218="INICIO ESPONTÁNEO")),5,IF(AND(AND(AT218=0,AW218=0,CC218="NO",CD218="Podálica",IP218&gt;=1),OR(IT218="LE HACEN INDUCCIÓN",IT218="LE HACEN CESÁREA SIN INICIO TRABAJO DE PARTO",IT218="INICIO ESPONTÁNEO")),6,IF(AND(AND(AT218&gt;=1,CC218="NO",CD218="Podálica",IP218&gt;=1),OR(IT218="LE HACEN INDUCCIÓN",IT218="LE HACEN CESÁREA SIN INICIO TRABAJO DE PARTO",IT218="INICIO ESPONTÁNEO"),OR(AW218=0,AW218&gt;=1)),7,""))))))))))</f>
        <v>8</v>
      </c>
      <c r="NR217" s="21">
        <f t="shared" ca="1" si="937"/>
        <v>2</v>
      </c>
      <c r="NS217" s="205">
        <f t="shared" ca="1" si="914"/>
        <v>0</v>
      </c>
      <c r="NT217" s="21">
        <f t="shared" ca="1" si="915"/>
        <v>0</v>
      </c>
      <c r="NU217" s="21" t="str">
        <f t="shared" ca="1" si="916"/>
        <v>INCOMPLETO</v>
      </c>
      <c r="NV217" s="21" t="str">
        <f t="shared" ca="1" si="917"/>
        <v>INCOMPLETO</v>
      </c>
      <c r="NW217" s="206" t="str">
        <f>IF(AND(O217="",R217=""),"",IF(OR(AND(Tabla1[[#This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17" s="207" t="str">
        <f t="shared" ca="1" si="938"/>
        <v>SIN VACUNAR</v>
      </c>
      <c r="NY217" s="43">
        <f>ROW(Tabla1[[#This Row],['# DE TAMIZAJES SIFILIS TOMADOS ]])</f>
        <v>217</v>
      </c>
      <c r="NZ217" s="43">
        <f t="shared" si="740"/>
        <v>17</v>
      </c>
      <c r="OA217" s="43" t="str">
        <f t="shared" si="741"/>
        <v/>
      </c>
      <c r="OB217" s="43" t="str">
        <f t="shared" si="742"/>
        <v/>
      </c>
      <c r="OC217" s="43" t="str">
        <f t="shared" si="743"/>
        <v/>
      </c>
      <c r="OD217" s="43" t="str">
        <f t="shared" si="744"/>
        <v/>
      </c>
      <c r="OE217" s="43" t="str">
        <f t="shared" si="745"/>
        <v/>
      </c>
      <c r="OF217" s="43" t="str">
        <f t="shared" si="746"/>
        <v/>
      </c>
      <c r="OG217" s="43" t="str">
        <f t="shared" si="747"/>
        <v/>
      </c>
      <c r="OH217" s="43" t="str">
        <f t="shared" si="748"/>
        <v/>
      </c>
      <c r="OI217" s="43" t="str">
        <f t="shared" si="749"/>
        <v>SOBREPESO</v>
      </c>
      <c r="OJ217" s="43" t="str">
        <f t="shared" si="750"/>
        <v/>
      </c>
      <c r="OK217" s="43" t="str">
        <f t="shared" si="751"/>
        <v/>
      </c>
      <c r="OL217" s="43" t="str">
        <f t="shared" si="752"/>
        <v/>
      </c>
      <c r="OM217" s="43" t="str">
        <f t="shared" si="753"/>
        <v/>
      </c>
      <c r="ON217" s="43" t="str">
        <f t="shared" si="754"/>
        <v/>
      </c>
      <c r="OO217" s="43" t="str">
        <f t="shared" si="755"/>
        <v/>
      </c>
      <c r="OP217" s="43" t="str">
        <f t="shared" si="756"/>
        <v/>
      </c>
      <c r="OQ217" s="43" t="str">
        <f t="shared" si="757"/>
        <v/>
      </c>
      <c r="OR217" s="43" t="str">
        <f t="shared" si="758"/>
        <v/>
      </c>
      <c r="OS217" s="43" t="str">
        <f t="shared" si="759"/>
        <v/>
      </c>
      <c r="OT217" s="43" t="str">
        <f t="shared" si="760"/>
        <v/>
      </c>
      <c r="OU217" s="43" t="str">
        <f t="shared" si="761"/>
        <v/>
      </c>
      <c r="OV217" s="110" t="str">
        <f t="shared" si="762"/>
        <v/>
      </c>
      <c r="OW217" s="43" t="str">
        <f t="shared" si="763"/>
        <v/>
      </c>
      <c r="OX217" s="43" t="str">
        <f t="shared" si="764"/>
        <v/>
      </c>
      <c r="OY217" s="43" t="str">
        <f t="shared" si="765"/>
        <v/>
      </c>
      <c r="OZ217" s="43" t="str">
        <f t="shared" si="766"/>
        <v/>
      </c>
      <c r="PA217" s="43" t="str">
        <f t="shared" si="767"/>
        <v/>
      </c>
      <c r="PB217" s="43" t="str">
        <f t="shared" si="768"/>
        <v/>
      </c>
      <c r="PC217" s="43" t="str">
        <f t="shared" si="769"/>
        <v/>
      </c>
      <c r="PD217" s="43" t="str">
        <f t="shared" si="770"/>
        <v/>
      </c>
      <c r="PE217" s="43" t="str">
        <f t="shared" si="771"/>
        <v/>
      </c>
      <c r="PF217" s="43" t="str">
        <f t="shared" si="772"/>
        <v/>
      </c>
      <c r="PG217" s="43" t="str">
        <f t="shared" si="773"/>
        <v/>
      </c>
      <c r="PH217" s="43" t="str">
        <f t="shared" si="774"/>
        <v/>
      </c>
      <c r="PI217" s="43">
        <f t="shared" si="775"/>
        <v>17</v>
      </c>
      <c r="PJ217" s="43" t="str">
        <f t="shared" si="776"/>
        <v/>
      </c>
      <c r="PK217" s="43" t="str">
        <f t="shared" si="777"/>
        <v/>
      </c>
      <c r="PL217" s="43" t="str">
        <f t="shared" si="778"/>
        <v/>
      </c>
      <c r="PM217" s="43" t="str">
        <f t="shared" si="779"/>
        <v/>
      </c>
      <c r="PN217" s="43" t="str">
        <f t="shared" si="780"/>
        <v/>
      </c>
      <c r="PO217" s="43" t="str">
        <f t="shared" si="781"/>
        <v/>
      </c>
      <c r="PP217" s="43" t="str">
        <f t="shared" si="782"/>
        <v/>
      </c>
      <c r="PQ217" s="43" t="str">
        <f t="shared" si="783"/>
        <v/>
      </c>
      <c r="PR217" s="43" t="str">
        <f t="shared" si="784"/>
        <v>SOBREPESO</v>
      </c>
      <c r="PS217" s="43" t="str">
        <f t="shared" si="785"/>
        <v/>
      </c>
      <c r="PT217" s="43" t="str">
        <f t="shared" si="786"/>
        <v/>
      </c>
      <c r="PU217" s="43" t="str">
        <f t="shared" si="787"/>
        <v/>
      </c>
      <c r="PV217" s="43" t="str">
        <f t="shared" si="788"/>
        <v/>
      </c>
      <c r="PW217" s="43" t="str">
        <f t="shared" si="789"/>
        <v/>
      </c>
      <c r="PX217" s="43" t="str">
        <f t="shared" si="790"/>
        <v/>
      </c>
      <c r="PY217" s="43" t="str">
        <f t="shared" si="791"/>
        <v/>
      </c>
      <c r="PZ217" s="43" t="str">
        <f t="shared" si="792"/>
        <v/>
      </c>
      <c r="QA217" s="43" t="str">
        <f t="shared" si="793"/>
        <v/>
      </c>
      <c r="QB217" s="43" t="str">
        <f t="shared" si="794"/>
        <v/>
      </c>
      <c r="QC217" s="43" t="str">
        <f t="shared" si="795"/>
        <v/>
      </c>
      <c r="QD217" s="43" t="str">
        <f t="shared" si="796"/>
        <v/>
      </c>
      <c r="QE217" s="43" t="str">
        <f t="shared" si="797"/>
        <v/>
      </c>
      <c r="QF217" s="43" t="str">
        <f t="shared" si="798"/>
        <v/>
      </c>
      <c r="QG217" s="43" t="str">
        <f t="shared" si="799"/>
        <v/>
      </c>
      <c r="QH217" s="43" t="str">
        <f t="shared" si="800"/>
        <v/>
      </c>
      <c r="QI217" s="43" t="str">
        <f t="shared" si="801"/>
        <v/>
      </c>
      <c r="QJ217" s="43" t="str">
        <f t="shared" si="802"/>
        <v/>
      </c>
      <c r="QK217" s="43" t="str">
        <f t="shared" si="803"/>
        <v/>
      </c>
      <c r="QL217" s="43" t="str">
        <f t="shared" si="804"/>
        <v/>
      </c>
      <c r="QM217" s="43" t="str">
        <f t="shared" si="805"/>
        <v/>
      </c>
      <c r="QN217" s="43" t="str">
        <f t="shared" si="806"/>
        <v/>
      </c>
      <c r="QO217" s="43" t="str">
        <f t="shared" si="807"/>
        <v/>
      </c>
      <c r="QP217" s="43" t="str">
        <f t="shared" si="808"/>
        <v/>
      </c>
      <c r="QQ217" s="43" t="str">
        <f t="shared" si="809"/>
        <v/>
      </c>
      <c r="QR217" s="43">
        <f t="shared" si="839"/>
        <v>17</v>
      </c>
      <c r="QS217" s="43"/>
      <c r="QT217" s="21" t="str">
        <f t="shared" si="810"/>
        <v/>
      </c>
      <c r="QU217" s="21" t="str">
        <f t="shared" si="811"/>
        <v/>
      </c>
      <c r="QV217" s="21" t="str">
        <f t="shared" si="812"/>
        <v/>
      </c>
      <c r="QW217" s="21" t="str">
        <f t="shared" si="813"/>
        <v/>
      </c>
      <c r="QX217" s="21" t="str">
        <f t="shared" si="814"/>
        <v>ADECUADO PARA EDAD GESTACIONAL</v>
      </c>
      <c r="QY217" s="21" t="str">
        <f t="shared" si="815"/>
        <v/>
      </c>
      <c r="QZ217" s="21" t="str">
        <f t="shared" si="816"/>
        <v/>
      </c>
      <c r="RA217" s="21" t="str">
        <f t="shared" si="817"/>
        <v/>
      </c>
      <c r="RB217" s="21" t="str">
        <f t="shared" si="818"/>
        <v/>
      </c>
      <c r="RC217" s="21" t="str">
        <f t="shared" si="819"/>
        <v/>
      </c>
      <c r="RD217" s="21" t="str">
        <f t="shared" si="820"/>
        <v/>
      </c>
      <c r="RE217" s="21" t="str">
        <f t="shared" si="821"/>
        <v/>
      </c>
      <c r="RF217" s="21" t="str">
        <f t="shared" si="822"/>
        <v/>
      </c>
      <c r="RG217" s="21" t="str">
        <f t="shared" si="823"/>
        <v/>
      </c>
      <c r="RH217" s="21" t="str">
        <f t="shared" si="824"/>
        <v/>
      </c>
      <c r="RI217" s="21" t="str">
        <f t="shared" si="825"/>
        <v/>
      </c>
      <c r="RJ217" s="21" t="str">
        <f t="shared" si="826"/>
        <v/>
      </c>
      <c r="RK217" s="21" t="str">
        <f t="shared" si="827"/>
        <v/>
      </c>
      <c r="RL217" s="21" t="str">
        <f t="shared" si="828"/>
        <v/>
      </c>
      <c r="RM217" s="21" t="str">
        <f t="shared" si="829"/>
        <v/>
      </c>
      <c r="RN217" s="21" t="str">
        <f t="shared" si="830"/>
        <v/>
      </c>
      <c r="RO217" s="21" t="str">
        <f t="shared" si="831"/>
        <v/>
      </c>
      <c r="RP217" s="21" t="str">
        <f t="shared" si="832"/>
        <v/>
      </c>
      <c r="RQ217" s="21" t="str">
        <f t="shared" si="833"/>
        <v/>
      </c>
      <c r="RR217" s="21" t="str">
        <f t="shared" si="834"/>
        <v/>
      </c>
      <c r="RS217" s="21" t="str">
        <f t="shared" si="835"/>
        <v/>
      </c>
      <c r="RT217" s="21" t="str">
        <f t="shared" si="836"/>
        <v/>
      </c>
      <c r="RU217" s="21" t="str">
        <f t="shared" si="837"/>
        <v/>
      </c>
      <c r="RV217" s="21">
        <f t="shared" si="838"/>
        <v>-1</v>
      </c>
      <c r="RW217" s="284">
        <f>IF(OR(Tabla1[[#This Row],[FUM FORMULA CONFIABLE]]="",Tabla1[[#This Row],[FUM FORMULA CONFIABLE]]="SD"),"",IF(Tabla1[[#This Row],[FUM FORMULA CONFIABLE]]="CORREGIDA",Tabla1[[#This Row],[FUM X ECO 1]],Tabla1[[#This Row],[FUM x AMENORREA]]))</f>
        <v>44997</v>
      </c>
      <c r="RX217" s="21" t="str">
        <f>IF(AND(Tabla1[[#This Row],[FUM X ECO 1]]="",Tabla1[[#This Row],[FUM x AMENORREA]]=""),"",IF(AND(Tabla1[[#This Row],[FUM X ECO 1]]="",Tabla1[[#This Row],[FUM x AMENORREA]]&lt;&gt;""),"X",SUM(Tabla1[[#This Row],[FUM X ECO 1]]-Tabla1[[#This Row],[FUM x AMENORREA]])))</f>
        <v>X</v>
      </c>
      <c r="RY217" s="21" t="str">
        <f t="shared" si="840"/>
        <v>x</v>
      </c>
    </row>
    <row r="218" spans="1:493" ht="45" customHeight="1" x14ac:dyDescent="0.25">
      <c r="A218" s="109"/>
      <c r="B218" s="43"/>
      <c r="C218" s="43" t="s">
        <v>845</v>
      </c>
      <c r="D218" s="124"/>
      <c r="E218" s="43" t="s">
        <v>1583</v>
      </c>
      <c r="F218" s="43" t="s">
        <v>873</v>
      </c>
      <c r="G218" s="43" t="s">
        <v>1584</v>
      </c>
      <c r="H218" s="43"/>
      <c r="I218" s="109" t="s">
        <v>851</v>
      </c>
      <c r="J218" s="289" t="s">
        <v>1582</v>
      </c>
      <c r="K218" s="43" t="s">
        <v>852</v>
      </c>
      <c r="L218" s="175" t="s">
        <v>1509</v>
      </c>
      <c r="M218" s="22">
        <v>36893</v>
      </c>
      <c r="N218" s="213">
        <f t="shared" ca="1" si="841"/>
        <v>22.846575342465755</v>
      </c>
      <c r="O218" s="22">
        <v>45122</v>
      </c>
      <c r="P218" s="214" t="str">
        <f t="shared" si="919"/>
        <v>SI</v>
      </c>
      <c r="Q218" s="26" t="s">
        <v>855</v>
      </c>
      <c r="R218" s="22">
        <v>45122</v>
      </c>
      <c r="S218" s="21" t="s">
        <v>856</v>
      </c>
      <c r="T218" s="24" t="s">
        <v>690</v>
      </c>
      <c r="U218" s="21" t="s">
        <v>857</v>
      </c>
      <c r="V218" s="21" t="s">
        <v>858</v>
      </c>
      <c r="W218" s="21" t="s">
        <v>1605</v>
      </c>
      <c r="X218" s="21"/>
      <c r="Y218" s="21"/>
      <c r="Z218" s="21">
        <v>3216748453</v>
      </c>
      <c r="AA218" s="21" t="s">
        <v>860</v>
      </c>
      <c r="AB218" s="27" t="s">
        <v>1606</v>
      </c>
      <c r="AC218" s="26" t="s">
        <v>1434</v>
      </c>
      <c r="AD218" s="38" t="s">
        <v>1546</v>
      </c>
      <c r="AE218" s="26" t="s">
        <v>854</v>
      </c>
      <c r="AF218" s="26" t="s">
        <v>854</v>
      </c>
      <c r="AG218" s="23" t="s">
        <v>864</v>
      </c>
      <c r="AH218" s="23" t="s">
        <v>864</v>
      </c>
      <c r="AI218" s="24" t="s">
        <v>863</v>
      </c>
      <c r="AJ218" s="23" t="s">
        <v>864</v>
      </c>
      <c r="AK218" s="220" t="str">
        <f>IF(AND(AD218="",AE218="",AF218="",AG218="",AH218="",AI218="",AJ218=""),"",IF(OR(Tabla1[[#This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EVALUACIÓN",IF(AND(O218="",R218=""),"",IF(AND(OR(O218&gt;0,R218&gt;0),NG218&gt;=0,NG218&lt;2),"SIN RIESGO",IF(AND(OR(O218&gt;0,R218&gt;0),NG218&gt;=2),"CON RIESGO","ASD")))))</f>
        <v>SIN RIESGO</v>
      </c>
      <c r="AL218" s="23" t="s">
        <v>864</v>
      </c>
      <c r="AM218" s="23" t="s">
        <v>864</v>
      </c>
      <c r="AN218" s="23" t="s">
        <v>864</v>
      </c>
      <c r="AO218" s="23" t="s">
        <v>864</v>
      </c>
      <c r="AP218" s="23" t="s">
        <v>864</v>
      </c>
      <c r="AQ218" s="23" t="s">
        <v>864</v>
      </c>
      <c r="AR218" s="23" t="s">
        <v>864</v>
      </c>
      <c r="AS218" s="21">
        <v>1</v>
      </c>
      <c r="AT218" s="21">
        <v>1</v>
      </c>
      <c r="AU218" s="21">
        <v>0</v>
      </c>
      <c r="AV218" s="26" t="s">
        <v>864</v>
      </c>
      <c r="AW218" s="21">
        <v>0</v>
      </c>
      <c r="AX218" s="26" t="s">
        <v>864</v>
      </c>
      <c r="AY218" s="26" t="s">
        <v>864</v>
      </c>
      <c r="AZ218" s="26" t="s">
        <v>864</v>
      </c>
      <c r="BA218" s="26" t="s">
        <v>864</v>
      </c>
      <c r="BB218" s="26" t="s">
        <v>864</v>
      </c>
      <c r="BC218" s="26" t="s">
        <v>864</v>
      </c>
      <c r="BD218" s="26" t="s">
        <v>864</v>
      </c>
      <c r="BE218" s="26" t="s">
        <v>864</v>
      </c>
      <c r="BF218" s="26" t="s">
        <v>864</v>
      </c>
      <c r="BG218" s="26" t="s">
        <v>864</v>
      </c>
      <c r="BH218" s="26" t="s">
        <v>864</v>
      </c>
      <c r="BI218" s="26" t="s">
        <v>864</v>
      </c>
      <c r="BJ218" s="26" t="s">
        <v>864</v>
      </c>
      <c r="BK218" s="26" t="s">
        <v>864</v>
      </c>
      <c r="BL218" s="26" t="s">
        <v>864</v>
      </c>
      <c r="BM218" s="26" t="s">
        <v>864</v>
      </c>
      <c r="BN218" s="22">
        <v>42886</v>
      </c>
      <c r="BO218" s="22">
        <v>45033</v>
      </c>
      <c r="BP218" s="21" t="s">
        <v>854</v>
      </c>
      <c r="BQ218" s="222">
        <f t="shared" si="842"/>
        <v>71.566666666666663</v>
      </c>
      <c r="BR218" s="223" t="str">
        <f t="shared" si="843"/>
        <v/>
      </c>
      <c r="BS218" s="224">
        <f t="shared" si="844"/>
        <v>12.714285714285714</v>
      </c>
      <c r="BT218" s="216" t="str">
        <f t="shared" si="845"/>
        <v>II TRIM</v>
      </c>
      <c r="BU218" s="214">
        <f t="shared" ca="1" si="928"/>
        <v>28.428571428571427</v>
      </c>
      <c r="BV218" s="25" t="s">
        <v>988</v>
      </c>
      <c r="BW218" s="22">
        <v>45149</v>
      </c>
      <c r="BX218" s="28"/>
      <c r="BY218" s="28"/>
      <c r="BZ218" s="22"/>
      <c r="CA218" s="21"/>
      <c r="CB218" s="26" t="s">
        <v>864</v>
      </c>
      <c r="CC218" s="26" t="s">
        <v>854</v>
      </c>
      <c r="CD218" s="26" t="s">
        <v>865</v>
      </c>
      <c r="CE218" s="26" t="s">
        <v>864</v>
      </c>
      <c r="CF218" s="22" t="s">
        <v>1517</v>
      </c>
      <c r="CG218" s="21">
        <v>1.5</v>
      </c>
      <c r="CH218" s="21">
        <v>54</v>
      </c>
      <c r="CI218" s="214">
        <f t="shared" si="847"/>
        <v>24</v>
      </c>
      <c r="CJ218" s="225" t="e">
        <f>IF(AND(CI218&lt;10,CH218="SD"),"SIN DATO PESO PREGESTACION O I TRIM",IF(AND(OR(R218&gt;0,O218&gt;0),CI218="X"),"INGRESAR DATO DE PESO",IF(CI218="SD","INGRESAR DATO DE TALLA Y PESO",IF(AND(OR(Tabla1[[#This Row],[MOMENTO EN QUE SE REALIZA EL PESO AL INGRESO A CPN]]="PREGESTACIÓN",NZ218="Menor"),CI218&lt;18.5),"BAJO PESO",IF(AND(OR(Tabla1[[#This Row],[MOMENTO EN QUE SE REALIZA EL PESO AL INGRESO A CPN]]="PREGESTACIÓN",NZ218="Menor"),CI218&lt;25),"NORMAL",IF(AND(OR(Tabla1[[#This Row],[MOMENTO EN QUE SE REALIZA EL PESO AL INGRESO A CPN]]="PREGESTACIÓN",NZ218="Menor"),CI218&lt;30),"SOBREPESO",IF(AND(OR(Tabla1[[#This Row],[MOMENTO EN QUE SE REALIZA EL PESO AL INGRESO A CPN]]="PREGESTACIÓN",NZ218="Menor"),CI218&gt;=30,CI218&lt;50),"OBESIDAD",IF(AND(BS218&gt;0,Tabla1[[#This Row],[MOMENTO EN QUE SE REALIZA EL PESO AL INGRESO A CPN]]="GESTACIÓN"),HLOOKUP(NZ218,$OA$2:PH218,NY218),""))))))))</f>
        <v>#REF!</v>
      </c>
      <c r="CK218" s="212">
        <f t="shared" si="848"/>
        <v>45122</v>
      </c>
      <c r="CL218" s="21">
        <v>54</v>
      </c>
      <c r="CM218" s="214">
        <f t="shared" si="849"/>
        <v>24</v>
      </c>
      <c r="CN218" s="216">
        <f t="shared" si="850"/>
        <v>12</v>
      </c>
      <c r="CO218" s="216" t="e">
        <f>IF(PI218="","",IF(PI218&gt;0,HLOOKUP(PI218,$PJ$2:QQ218,NY218),""))</f>
        <v>#REF!</v>
      </c>
      <c r="CP218" s="21">
        <v>12</v>
      </c>
      <c r="CQ218" s="216" t="str">
        <f>IF(QR218="Menor","NO APLICA-MENOR 13 SEM",IF(AND(CC218="SI",CN218&gt;23),"NO APLICA- GEMELAR",IF(QR218="","",IF(QR218&gt;0,HLOOKUP(QR218,$QS$2:RU218,NY218),""))))</f>
        <v>NO APLICA-MENOR 13 SEM</v>
      </c>
      <c r="CR218" s="21"/>
      <c r="CS218" s="21"/>
      <c r="CT218" s="217" t="str">
        <f>IF(R218="","",IF(AND(BS218&gt;1,BS218&lt;12,Tabla1[[#This Row],[T.A. SISTOLICA - ANTES DE SEMANA 12]]="",Tabla1[[#This Row],[T.A. DIASTOLICA - ANTES DE SEMANA 12]]=""),"REGISTRE DATO TA ANTES SEMANA 12",IF(AND(BS218&gt;11,BS218&lt;43,Tabla1[[#This Row],[T.A. SISTOLICA - ANTES DE SEMANA 12]]="",Tabla1[[#This Row],[T.A. DIASTOLICA - ANTES DE SEMANA 12]]=""),"NO APLICA REGISTRO TA-INGRESO TARDIO",IF(AND(OR(O218&gt;0,R218&gt;0),OR(CR218&gt;=140,CS218&gt;=90)),"DEFINIR ESTADIO HTA",IF(AND(OR(O218&gt;0,R218&gt;0),AND(CR218&gt;120,CR218&lt;=139)),"PRE HTA SEGUIMIENTO",IF(AND(OR(O218&gt;0,R218&gt;0),AND(CS218&gt;80,CS218&lt;=89)),"PRE HTA SEGUIMIENTO",IF(AND(OR(O218&gt;0,R218&gt;0),AND(CR218&gt;=80,CR218&lt;=120)),"APARENTEMENTE NORMAL",IF(AND(OR(O218&gt;0,R218&gt;0),AND(CS218&gt;=50,CS218&lt;=80)),"APARENTEMENTE NORMAL",IF(AND(OR(O218&gt;0,R218&gt;0),AND(CR218&gt;1,CR218&lt;=70),AND(CS218&gt;1,CS218&lt;=40)),"HIPOTENSIÓN","")))))))))</f>
        <v>NO APLICA REGISTRO TA-INGRESO TARDIO</v>
      </c>
      <c r="CU218" s="21"/>
      <c r="CV218" s="21"/>
      <c r="CW218" s="217" t="str">
        <f ca="1">IF(R218="","",IF(AND(CN218&gt;19,CN218&lt;27,Tabla1[[#This Row],[T.A. SISTOLICA (Entre semana 20 y 26)]]="",Tabla1[[#This Row],[T.A. DIATOLICA (Entre semana 20 y 26)]]=""),"ACUDE A CONTROL SEM 20 A 26 REGISTRE TA AHORA",IF(AND(BS218&gt;1,BS218&lt;27,BU218&gt;19,Tabla1[[#This Row],[T.A. SISTOLICA (Entre semana 20 y 26)]]="",Tabla1[[#This Row],[T.A. DIATOLICA (Entre semana 20 y 26)]]=""),"COMPLETE REGISTRO TA CONTROL SEM 20 A26 ",IF(AND(BS218&gt;26,BS218&lt;43,Tabla1[[#This Row],[T.A. SISTOLICA (Entre semana 20 y 26)]]="",Tabla1[[#This Row],[T.A. DIATOLICA (Entre semana 20 y 26)]]=""),"NO APLICA REGISTRO TA-INGRESO TARDIO",IF(AND(OR(O218&gt;0,R218&gt;0),OR(CU218&gt;=140,CV218&gt;=90)),"ALTO RIESGO PREECLAMPSIA,DEFINIR ESTADIO HTA",IF(AND(OR(O218&gt;0,R218&gt;0),AND(CU218&gt;120,CU218&lt;=139)),"PRE HTA SEGUIMIENTO,RIESGO HIPERTENSION INDUCIDA POR EL EMBARAZO",IF(AND(OR(O218&gt;0,R218&gt;0),AND(CV218&gt;80,CV218&lt;=89)),"PRE HTA SEGUIMIENTO, RIESGO HIPERTENSION INDUCIDA POR EL EMBARAZO",IF(AND(OR(O218&lt;&gt;"",R218&lt;&gt;""),CS218&lt;&gt;"",CV218&lt;&gt;"",CS218&lt;=CV218),"VIGILAR CIFRAS PRESION ARTERIAL",IF(AND(OR(O218&gt;0,R218&gt;0),AND(CU218&gt;120,CU218&lt;=139)),"PRE HTA SEGUIMIENTO",IF(AND(OR(O218&gt;0,R218&gt;0),AND(CU218&gt;1,CU218&lt;=70),AND(CV218&gt;1,CV218&lt;=40)),"HIPOTENSIÓN",IF(AND(OR(O218&lt;&gt;"",R218&lt;&gt;""),CS218&lt;&gt;"",CV218&lt;&gt;"",CS218&gt;CV218),"APARENTEMENTE NORMAL",IF(AND(OR(O218&gt;0,R218&gt;0),AND(CU218&gt;=80,CU218&lt;=120)),"APARENTEMENTE NORMAL",IF(AND(OR(O218&gt;0,R218&gt;0),AND(CV218&gt;=50,CV218&lt;=80)),"APARENTEMENTE NORMAL","")))))))))))))</f>
        <v xml:space="preserve">COMPLETE REGISTRO TA CONTROL SEM 20 A26 </v>
      </c>
      <c r="CX218" s="21"/>
      <c r="CY218" s="21"/>
      <c r="CZ218" s="216" t="e">
        <f>IF(R218="","",IF(AND(CN218&gt;31,CN218&lt;35,CX218="",CY218=""),"ACUDE A CONTROL SEM 30 A 34- REGISTRE AHORA",IF(AND(BS218&gt;34,BS218&lt;43,#REF!="",#REF!=""),"NO APLICA-INGRESO TARDIO",IF(AND(OR(O218&gt;0,R218&gt;0),OR(CX218&gt;=140,CY218&gt;=90)),"ESTUDIO INMEDIATO HTA PARA DESCARTAR PREECLAMSIA",IF(AND(OR(O218&gt;0,R218&gt;0),AND(CX218&gt;=130,CX218&lt;=139)),"PRE HTA,RIESGO ALTO PREECLAMPSIA",IF(AND(OR(O218&gt;0,R218&gt;0),AND(CY218&gt;80,CY218&lt;=89)),"PRE HTA,RIESGO ALTO PREECLAMPSIA",IF(AND(OR(O218&gt;0,R218&gt;0),AND(CX218&gt;120,CX218&lt;=129)),"RANGO PREHIPERTENSIVO SEGUIMIENTO HTA",IF(AND(OR(O218&lt;&gt;"",R218&lt;&gt;""),CS218&lt;&gt;"",CY218&lt;&gt;"",CS218&lt;CY218),"VIGILAR CIFRAS PRESION ARTERIAL",IF(AND(OR(O218&lt;&gt;"",R218&lt;&gt;""),CS218&lt;&gt;"",CY218&lt;&gt;"",CS218=CY218),"APARENTEMENTE NORMAL",IF(AND(OR(O218&gt;0,R218&gt;0),CX218&gt;=80,CX218&lt;=120),"APARENTEMENTE NORMAL",IF(AND(OR(O218&gt;0,R218&gt;0),CY218&gt;=50,CY218&lt;=80),"APARENTEMENTE NORMAL","")))))))))))</f>
        <v>#REF!</v>
      </c>
      <c r="DA218" s="21">
        <v>90</v>
      </c>
      <c r="DB218" s="21">
        <v>70</v>
      </c>
      <c r="DC218" s="217" t="str">
        <f t="shared" si="851"/>
        <v>APARENTEMENTE NORMAL</v>
      </c>
      <c r="DD218" s="22">
        <v>45122</v>
      </c>
      <c r="DE218" s="22">
        <v>45122</v>
      </c>
      <c r="DF218" s="22"/>
      <c r="DG218" s="22"/>
      <c r="DH218" s="22"/>
      <c r="DI218" s="22"/>
      <c r="DJ218" s="22"/>
      <c r="DK218" s="22"/>
      <c r="DL218" s="22"/>
      <c r="DM218" s="22"/>
      <c r="DN218" s="22"/>
      <c r="DO218" s="22"/>
      <c r="DP218" s="22"/>
      <c r="DQ218" s="22"/>
      <c r="DR218" s="28"/>
      <c r="DS218" s="22"/>
      <c r="DT218" s="22"/>
      <c r="DU218" s="216" t="str">
        <f t="shared" ca="1" si="920"/>
        <v>PLANEAR PLAN DE PARTO</v>
      </c>
      <c r="DV218" s="226" t="str">
        <f t="shared" si="921"/>
        <v>ACTIVA INGRESO A CPN</v>
      </c>
      <c r="DW21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18" s="216" t="e">
        <f t="shared" ca="1" si="852"/>
        <v>#REF!</v>
      </c>
      <c r="DY218" s="212">
        <f>IF(R218="","",IF(R218&gt;0,MAX(Tabla1[[#This Row],[FECHA C2]:[FECHA C13]],Tabla1[[#This Row],[FECHA CONSULTA PRIMERA VEZ PROGRAMA CPN ]])))</f>
        <v>45122</v>
      </c>
      <c r="DZ218" s="216">
        <f t="shared" si="853"/>
        <v>12</v>
      </c>
      <c r="EA218" s="222">
        <f>IF(R218&gt;0,SUM(COUNTA(DF218:DQ218)+COUNTA(Tabla1[[#This Row],[FECHA CONSULTA PRIMERA VEZ PROGRAMA CPN ]])),"")</f>
        <v>1</v>
      </c>
      <c r="EB218" s="222" t="str">
        <f t="shared" si="854"/>
        <v>NO</v>
      </c>
      <c r="EC218" s="214">
        <f t="shared" si="855"/>
        <v>8</v>
      </c>
      <c r="ED218" s="227">
        <f t="shared" si="856"/>
        <v>0.125</v>
      </c>
      <c r="EE218" s="22">
        <v>45122</v>
      </c>
      <c r="EF218" s="22">
        <v>45122</v>
      </c>
      <c r="EG218" s="22">
        <v>45122</v>
      </c>
      <c r="EH218" s="22"/>
      <c r="EI218" s="22">
        <v>45122</v>
      </c>
      <c r="EJ218" s="22"/>
      <c r="EK218" s="22"/>
      <c r="EL218" s="21"/>
      <c r="EM218" s="21"/>
      <c r="EN218" s="22"/>
      <c r="EO218" s="222" t="str">
        <f t="shared" si="857"/>
        <v>TOMAR EXAMEN</v>
      </c>
      <c r="EP218" s="214" t="str">
        <f t="shared" si="858"/>
        <v/>
      </c>
      <c r="EQ218" s="216" t="str">
        <f t="shared" si="859"/>
        <v>POR DEFINIR</v>
      </c>
      <c r="ER218" s="24"/>
      <c r="ES218" s="22"/>
      <c r="ET218" s="29" t="str">
        <f t="shared" ca="1" si="922"/>
        <v>EN SEMANA 28 TOMA INMEDIATA DE EXAMEN</v>
      </c>
      <c r="EU218" s="25" t="str">
        <f t="shared" si="860"/>
        <v/>
      </c>
      <c r="EV218" s="24" t="s">
        <v>1510</v>
      </c>
      <c r="EW218" s="22">
        <v>45122</v>
      </c>
      <c r="EX218" s="22"/>
      <c r="EY218" s="29">
        <f t="shared" si="693"/>
        <v>12.714285714285714</v>
      </c>
      <c r="EZ218" s="25" t="str">
        <f t="shared" si="694"/>
        <v>SIN RIESGO DE ISOINMUNIZACIÓN</v>
      </c>
      <c r="FA218" s="21">
        <v>64</v>
      </c>
      <c r="FB218" s="22">
        <v>45122</v>
      </c>
      <c r="FC218" s="29">
        <f t="shared" si="861"/>
        <v>12.714285714285714</v>
      </c>
      <c r="FD218" s="29"/>
      <c r="FE218" s="29"/>
      <c r="FF218" s="29"/>
      <c r="FG218" s="21" t="str">
        <f t="shared" ca="1" si="862"/>
        <v>TOMAR PTOG</v>
      </c>
      <c r="FH218" s="31"/>
      <c r="FI218" s="29" t="str">
        <f t="shared" si="863"/>
        <v>TOMAR EXAMEN</v>
      </c>
      <c r="FJ218" s="22" t="s">
        <v>867</v>
      </c>
      <c r="FK218" s="22">
        <v>45122</v>
      </c>
      <c r="FL218" s="29">
        <f t="shared" ca="1" si="864"/>
        <v>12.714285714285714</v>
      </c>
      <c r="FM218" s="22"/>
      <c r="FN218" s="32"/>
      <c r="FO218" s="29" t="str">
        <f t="shared" ca="1" si="923"/>
        <v>PIERDE TOMA DE TAMIZAJE</v>
      </c>
      <c r="FP218" s="22"/>
      <c r="FQ218" s="32"/>
      <c r="FR218" s="29" t="str">
        <f t="shared" ca="1" si="924"/>
        <v>EN RANGO PARA TOMAR EXAMEN</v>
      </c>
      <c r="FS218" s="22"/>
      <c r="FT218" s="32"/>
      <c r="FU218" s="29" t="str">
        <f>IF(AND(FJ218="",FM218="",FP218="",FS218=""),"",IF(OR(OR(Tabla1[[#This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18" s="28"/>
      <c r="FW218" s="22"/>
      <c r="FX218" s="29" t="str">
        <f t="shared" si="865"/>
        <v>TOMAR EXAMEN</v>
      </c>
      <c r="FY218" s="22" t="s">
        <v>868</v>
      </c>
      <c r="FZ218" s="22">
        <v>45122</v>
      </c>
      <c r="GA218" s="29">
        <f t="shared" ca="1" si="939"/>
        <v>12.714285714285714</v>
      </c>
      <c r="GB218" s="22"/>
      <c r="GC218" s="22"/>
      <c r="GD218" s="29" t="str">
        <f t="shared" ca="1" si="940"/>
        <v>PIERDE TOMA DE TAMIZAJE</v>
      </c>
      <c r="GE218" s="22"/>
      <c r="GF218" s="22"/>
      <c r="GG218" s="29" t="str">
        <f t="shared" ca="1" si="926"/>
        <v>EN RANGO PARA TOMAR EXAMEN</v>
      </c>
      <c r="GH218" s="22"/>
      <c r="GI218" s="29"/>
      <c r="GJ218" s="22"/>
      <c r="GK218" s="22"/>
      <c r="GL218" s="22"/>
      <c r="GM218" s="22"/>
      <c r="GN218" s="28" t="s">
        <v>869</v>
      </c>
      <c r="GO218" s="22">
        <v>45122</v>
      </c>
      <c r="GP218" s="29">
        <f t="shared" si="866"/>
        <v>12.714285714285714</v>
      </c>
      <c r="GQ218" s="28" t="s">
        <v>869</v>
      </c>
      <c r="GR218" s="28"/>
      <c r="GS218" s="22" t="str">
        <f t="shared" si="728"/>
        <v>CONTROL Igm</v>
      </c>
      <c r="GT218" s="22">
        <v>45122</v>
      </c>
      <c r="GU218" s="29">
        <f t="shared" si="867"/>
        <v>12.714285714285714</v>
      </c>
      <c r="GV218" s="21" t="str">
        <f t="shared" si="868"/>
        <v>I TRIM</v>
      </c>
      <c r="GW218" s="28"/>
      <c r="GX218" s="30"/>
      <c r="GY218" s="21"/>
      <c r="GZ218" s="21"/>
      <c r="HA218" s="21"/>
      <c r="HB218" s="21"/>
      <c r="HC218" s="21"/>
      <c r="HD218" s="21"/>
      <c r="HE218" s="21"/>
      <c r="HF218" s="22"/>
      <c r="HG218" s="22" t="str">
        <f>IF(OR(O218&gt;0,R218&gt;0),CONCATENATE(IF(Tabla1[[#This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18" s="22" t="e">
        <f t="shared" si="869"/>
        <v>#REF!</v>
      </c>
      <c r="HI218" s="22" t="e">
        <f t="shared" ca="1" si="870"/>
        <v>#REF!</v>
      </c>
      <c r="HJ218" s="21" t="str">
        <f t="shared" ca="1" si="871"/>
        <v>**************EMBARAZO GEMELAR*************************</v>
      </c>
      <c r="HK218" s="21" t="str">
        <f t="shared" si="872"/>
        <v>SIN ANTECEDENTES DE RIESGO</v>
      </c>
      <c r="HL218" s="24" t="str">
        <f t="shared" si="873"/>
        <v>APARENTEMENTE NORMAL</v>
      </c>
      <c r="HM218" s="21" t="e">
        <f t="shared" ca="1" si="874"/>
        <v>#REF!</v>
      </c>
      <c r="HN218" s="30" t="str">
        <f t="shared" si="927"/>
        <v>ACTIVA INGRESO A CPN</v>
      </c>
      <c r="HO218" s="21"/>
      <c r="HP218" s="21"/>
      <c r="HQ218" s="349"/>
      <c r="HR218" s="21" t="str">
        <f>IF(R218="","",IF(Tabla1[[#This Row],[ALARMA FACTORES DE RIESGO COMPLICACIONES HIPERTENSIVAS3]]="SIN ANTECEDENTES DE RIESGO","No Aplica para suministro de ASA",IF(AND(Tabla1[[#This Row],[FECHA INICIO DE SUMINISTRO DE ASA]]&gt;0,RV218&lt;12),"Inicia ASA ANTES de Sem 12",IF(AND(RV218&gt;11,RV218&lt;17,OR(HK218="RIESGO ALTO DE COMPLICACIONES HIPERTENSIVAS VER MANEJO GUIA SUMINISTRO ASA Y CALCIO",HK218="RIESGO MODERADO (2 O MAS CRITERIOS) VER MANEJO GUIA SUMINISTRO ASA Y CALCIO")),"Inicio oportuno de ASA",IF(AND(RV218&gt;12,OR(HK218="RIESGO ALTO DE COMPLICACIONES HIPERTENSIVAS VER MANEJO GUIA SUMINISTRO ASA Y CALCIO",HK218="RIESGO MODERADO (2 O MAS CRITERIOS) VER MANEJO GUIA SUMINISTRO ASA Y CALCIO")),"Inicio no oportuno mayor a 16 semanas",IF(AND(BU218&lt;12,OR(HK218="RIESGO ALTO DE COMPLICACIONES HIPERTENSIVAS VER MANEJO GUIA SUMINISTRO ASA Y CALCIO",HK218="RIESGO MODERADO (2 O MAS CRITERIOS) VER MANEJO GUIA SUMINISTRO ASA Y CALCIO")),"Pendiente Inicio de ASA a la semana 12",IF(AND(BU218&gt;11,BU218&lt;17,OR(HK218="RIESGO ALTO DE COMPLICACIONES HIPERTENSIVAS VER MANEJO GUIA SUMINISTRO ASA Y CALCIO",HK218="RIESGO MODERADO (2 O MAS CRITERIOS) VER MANEJO GUIA SUMINISTRO ASA Y CALCIO")),"Iniciar de inmediato ASA",IF(AND(BU218&gt;16,OR(HK218="RIESGO ALTO DE COMPLICACIONES HIPERTENSIVAS VER MANEJO GUIA SUMINISTRO ASA Y CALCIO",HK218="RIESGO MODERADO (2 O MAS CRITERIOS) VER MANEJO GUIA SUMINISTRO ASA Y CALCIO")),"Pierde Oportunidad, Inicio tardío de ASA","XXXXX"))))))))</f>
        <v>No Aplica para suministro de ASA</v>
      </c>
      <c r="HS218" s="22"/>
      <c r="HT218" s="22"/>
      <c r="HU218" s="22">
        <v>45122</v>
      </c>
      <c r="HV218" s="22" t="s">
        <v>1544</v>
      </c>
      <c r="HW218" s="22">
        <v>45122</v>
      </c>
      <c r="HX218" s="22" t="s">
        <v>1511</v>
      </c>
      <c r="HY218" s="22"/>
      <c r="HZ218" s="28" t="str">
        <f t="shared" si="875"/>
        <v>PENDIENTE CONSULTA</v>
      </c>
      <c r="IA218" s="26"/>
      <c r="IB218" s="26"/>
      <c r="IC218" s="111"/>
      <c r="ID218" s="22"/>
      <c r="IE218" s="22" t="str">
        <f t="shared" ca="1" si="876"/>
        <v>INASISTENTE</v>
      </c>
      <c r="IF218" s="22"/>
      <c r="IG218" s="22">
        <f t="shared" si="877"/>
        <v>45313</v>
      </c>
      <c r="IH218" s="29">
        <f t="shared" ca="1" si="878"/>
        <v>81</v>
      </c>
      <c r="II218" s="22" t="str">
        <f t="shared" ca="1" si="879"/>
        <v>PENDIENTE</v>
      </c>
      <c r="IJ218" s="22"/>
      <c r="IK218" s="21"/>
      <c r="IL218" s="21"/>
      <c r="IM218" s="34"/>
      <c r="IN218" s="22"/>
      <c r="IO218" s="21"/>
      <c r="IP218" s="29" t="str">
        <f t="shared" si="880"/>
        <v/>
      </c>
      <c r="IQ218" s="35"/>
      <c r="IR218" s="21"/>
      <c r="IS218" s="21"/>
      <c r="IT218" s="21"/>
      <c r="IU218" s="21"/>
      <c r="IV218" s="21"/>
      <c r="IW218" s="21"/>
      <c r="IX218" s="21"/>
      <c r="IY218" s="21"/>
      <c r="IZ218" s="21"/>
      <c r="JA218" s="21"/>
      <c r="JB218" s="30"/>
      <c r="JC218" s="21"/>
      <c r="JD218" s="36"/>
      <c r="JE218" s="21" t="str">
        <f t="shared" si="881"/>
        <v/>
      </c>
      <c r="JF218" s="30"/>
      <c r="JG218" s="21"/>
      <c r="JH218" s="21"/>
      <c r="JI218" s="21"/>
      <c r="JJ218" s="30"/>
      <c r="JK218" s="22"/>
      <c r="JL218" s="22"/>
      <c r="JM218" s="21"/>
      <c r="JN218" s="36"/>
      <c r="JO218" s="21" t="str">
        <f t="shared" si="882"/>
        <v/>
      </c>
      <c r="JP218" s="22"/>
      <c r="JQ218" s="21"/>
      <c r="JR218" s="21"/>
      <c r="JS218" s="21"/>
      <c r="JT218" s="30"/>
      <c r="JU218" s="22"/>
      <c r="JV218" s="22"/>
      <c r="JW218" s="33"/>
      <c r="JX218" s="28" t="str">
        <f t="shared" si="883"/>
        <v/>
      </c>
      <c r="JY218" s="33"/>
      <c r="JZ218" s="28" t="str">
        <f t="shared" si="884"/>
        <v/>
      </c>
      <c r="KA218" s="21"/>
      <c r="KB218" s="21"/>
      <c r="KC218" s="21"/>
      <c r="KD218" s="37"/>
      <c r="KE218" s="28"/>
      <c r="KF218" s="28"/>
      <c r="KG218" s="28"/>
      <c r="KH218" s="39"/>
      <c r="KI218" s="39"/>
      <c r="KJ218" s="66"/>
      <c r="KK218" s="39"/>
      <c r="KL218" s="39"/>
      <c r="KM218" s="66"/>
      <c r="KN218" s="39"/>
      <c r="KO218" s="39"/>
      <c r="KP218" s="39"/>
      <c r="KQ218" s="39"/>
      <c r="KR218" s="39"/>
      <c r="KS218" s="39"/>
      <c r="KT218" s="39"/>
      <c r="KU218" s="38"/>
      <c r="KV218" s="38"/>
      <c r="KW218" s="38"/>
      <c r="KX218" s="38"/>
      <c r="KY218" s="38"/>
      <c r="KZ218" s="38"/>
      <c r="LA218" s="38"/>
      <c r="LB218" s="38"/>
      <c r="LC218" s="38"/>
      <c r="LD218" s="38"/>
      <c r="LE218" s="38"/>
      <c r="LF218" s="38"/>
      <c r="LG218" s="38"/>
      <c r="LH218" s="38"/>
      <c r="LI218" s="38"/>
      <c r="LJ218" s="38"/>
      <c r="LK218" s="38"/>
      <c r="LL218" s="38"/>
      <c r="LM218" s="38"/>
      <c r="LN218" s="38"/>
      <c r="LO218" s="38"/>
      <c r="LP218" s="38"/>
      <c r="LQ218" s="38"/>
      <c r="LR218" s="38"/>
      <c r="LS218" s="38"/>
      <c r="LT218" s="38"/>
      <c r="LU218" s="38"/>
      <c r="LV218" s="38"/>
      <c r="LW218" s="38"/>
      <c r="LX218" s="38"/>
      <c r="LY218" s="38"/>
      <c r="LZ218" s="38"/>
      <c r="MA218" s="38"/>
      <c r="MB218" s="38"/>
      <c r="MC218" s="38"/>
      <c r="MD218" s="38"/>
      <c r="ME218" s="38"/>
      <c r="MF218" s="38"/>
      <c r="MG218" s="38"/>
      <c r="MH218" s="43">
        <f t="shared" si="885"/>
        <v>0</v>
      </c>
      <c r="MI218" s="43" t="str">
        <f t="shared" si="929"/>
        <v/>
      </c>
      <c r="MJ218" s="43" t="str">
        <f t="shared" si="887"/>
        <v/>
      </c>
      <c r="MK218" s="43">
        <f t="shared" si="888"/>
        <v>0</v>
      </c>
      <c r="ML21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18" s="43">
        <f t="shared" si="930"/>
        <v>12.714285714285714</v>
      </c>
      <c r="MN218" s="43">
        <f t="shared" si="931"/>
        <v>7</v>
      </c>
      <c r="MO218" s="43">
        <f t="shared" si="932"/>
        <v>2023</v>
      </c>
      <c r="MP218" s="43" t="str">
        <f t="shared" si="892"/>
        <v>III TRIMESTRE AÑO</v>
      </c>
      <c r="MQ218" s="43">
        <f t="shared" si="933"/>
        <v>22.210359176522118</v>
      </c>
      <c r="MR218" s="43">
        <f t="shared" si="894"/>
        <v>0</v>
      </c>
      <c r="MS218" s="43" t="str">
        <f t="shared" si="895"/>
        <v xml:space="preserve"> DE 20 A 24 AÑOS</v>
      </c>
      <c r="MT218" s="43">
        <f t="shared" si="896"/>
        <v>0</v>
      </c>
      <c r="MU218" s="43">
        <f t="shared" si="897"/>
        <v>0</v>
      </c>
      <c r="MV218" s="43">
        <f t="shared" si="898"/>
        <v>0</v>
      </c>
      <c r="MW218" s="43">
        <f t="shared" si="899"/>
        <v>0</v>
      </c>
      <c r="MX218" s="43" t="str">
        <f t="shared" si="900"/>
        <v/>
      </c>
      <c r="MY218" s="43" t="str">
        <f t="shared" ca="1" si="901"/>
        <v/>
      </c>
      <c r="MZ218" s="43" t="str">
        <f t="shared" si="902"/>
        <v/>
      </c>
      <c r="NA218" s="43">
        <f t="shared" si="903"/>
        <v>0</v>
      </c>
      <c r="NB218" s="43" t="str">
        <f t="shared" si="904"/>
        <v/>
      </c>
      <c r="NC218" s="43" t="str">
        <f t="shared" si="905"/>
        <v/>
      </c>
      <c r="ND218" s="43">
        <f t="shared" ca="1" si="934"/>
        <v>3</v>
      </c>
      <c r="NE218" s="43">
        <f>IF(OR(O218&gt;0,R218&gt;0),SUM(COUNTIF(Tabla1[[#This Row],[AÑOS AL INICIO5 CPN]],"&gt;=40"),COUNTIF(AS218,"0"),COUNTIF(AR218,"SI"),COUNTIF(CC218,"SI"),COUNTIF(BQ218,"&gt;119"),COUNTIF(CI218,"&gt;=35")),"")</f>
        <v>1</v>
      </c>
      <c r="NF218" s="43" t="str">
        <f t="shared" si="935"/>
        <v/>
      </c>
      <c r="NG218" s="43">
        <f t="shared" si="908"/>
        <v>0</v>
      </c>
      <c r="NH218" s="43" t="str">
        <f t="shared" si="909"/>
        <v/>
      </c>
      <c r="NI21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CPN",P218="NO"),"Z",IF(AND(Tabla1[[#This Row],[CITA PROXIMO CONTROL]]="CITA MANUAL",Tabla1[[#This Row],[GESTANTES ACTUALES]]="ACTIVA INGRESO A CPN"),"W",IF(AND(Tabla1[[#This Row],[GESTANTES ACTUALES]]="SALIO PROGRAMA",IN218=""),"S",IF(AND(Tabla1[[#This Row],[CITA PROXIMO CONTROL]]&gt;0,IN218=""),(Tabla1[[#This Row],[CITA PROXIMO CONTROL]]-TODAY()),"SD"))))))))</f>
        <v>#REF!</v>
      </c>
      <c r="NJ218" s="43">
        <f>MONTH(Tabla1[[#This Row],[FECHA DE SALIDA  DEL PROGRAMA]])</f>
        <v>1</v>
      </c>
      <c r="NK218" s="43">
        <f>YEAR(Tabla1[[#This Row],[FECHA DE SALIDA  DEL PROGRAMA]])</f>
        <v>1900</v>
      </c>
      <c r="NL218" s="43" t="str">
        <f t="shared" si="936"/>
        <v>X</v>
      </c>
      <c r="NM218" s="43" t="str">
        <f t="shared" si="941"/>
        <v>NO</v>
      </c>
      <c r="NN218" s="43" t="str">
        <f ca="1">IF(AND(O218&gt;0,R218=""),"NO CPN",IF(AND(O218="",R218=""),"",IF(AND(R218&gt;0,Tabla1[[#This Row],[SEMANAS DE GESTACION ACTUALIZADAS]]&lt;=12),"NO APLICA",IF(AND(FH218&lt;&gt;"",FN218&lt;&gt;""),"SI","NO"))))</f>
        <v>NO</v>
      </c>
      <c r="NO218" s="43" t="str">
        <f ca="1">IF(AND(O218&gt;0,R218=""),"NO CPN",IF(AND(O218="",R218=""),"",IF(AND(R218&gt;0,Tabla1[[#This Row],[SEMANAS DE GESTACION ACTUALIZADAS]]&lt;=27),"NO APLICA",IF(AND(ES218&lt;&gt;"",FQ218&lt;&gt;"",GF218&lt;&gt;""),"SI","NO"))))</f>
        <v>NO</v>
      </c>
      <c r="NP218" s="204" t="str">
        <f t="shared" si="912"/>
        <v>II TRIM</v>
      </c>
      <c r="NQ218"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218" s="21">
        <f t="shared" ca="1" si="937"/>
        <v>2</v>
      </c>
      <c r="NS218" s="205">
        <f t="shared" ca="1" si="914"/>
        <v>1</v>
      </c>
      <c r="NT218" s="21">
        <f t="shared" ca="1" si="915"/>
        <v>1</v>
      </c>
      <c r="NU218" s="21" t="str">
        <f t="shared" ca="1" si="916"/>
        <v>INCOMPLETO</v>
      </c>
      <c r="NV218" s="21" t="str">
        <f t="shared" ca="1" si="917"/>
        <v>INCOMPLETO</v>
      </c>
      <c r="NW218" s="206" t="str">
        <f>IF(AND(O218="",R218=""),"",IF(OR(AND(Tabla1[[#This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18" s="207" t="str">
        <f t="shared" ca="1" si="938"/>
        <v>SIN VACUNAR</v>
      </c>
      <c r="NY218" s="43">
        <f>ROW(Tabla1[[#This Row],['# DE TAMIZAJES SIFILIS TOMADOS ]])</f>
        <v>218</v>
      </c>
      <c r="NZ218" s="43">
        <f t="shared" si="740"/>
        <v>12</v>
      </c>
      <c r="OA218" s="43" t="str">
        <f t="shared" si="741"/>
        <v/>
      </c>
      <c r="OB218" s="43" t="str">
        <f t="shared" si="742"/>
        <v/>
      </c>
      <c r="OC218" s="43" t="str">
        <f t="shared" si="743"/>
        <v/>
      </c>
      <c r="OD218" s="43" t="str">
        <f t="shared" si="744"/>
        <v>NORMAL</v>
      </c>
      <c r="OE218" s="43" t="str">
        <f t="shared" si="745"/>
        <v/>
      </c>
      <c r="OF218" s="43" t="str">
        <f t="shared" si="746"/>
        <v/>
      </c>
      <c r="OG218" s="43" t="str">
        <f t="shared" si="747"/>
        <v/>
      </c>
      <c r="OH218" s="43" t="str">
        <f t="shared" si="748"/>
        <v/>
      </c>
      <c r="OI218" s="43" t="str">
        <f t="shared" si="749"/>
        <v/>
      </c>
      <c r="OJ218" s="43" t="str">
        <f t="shared" si="750"/>
        <v/>
      </c>
      <c r="OK218" s="43" t="str">
        <f t="shared" si="751"/>
        <v/>
      </c>
      <c r="OL218" s="43" t="str">
        <f t="shared" si="752"/>
        <v/>
      </c>
      <c r="OM218" s="43" t="str">
        <f t="shared" si="753"/>
        <v/>
      </c>
      <c r="ON218" s="43" t="str">
        <f t="shared" si="754"/>
        <v/>
      </c>
      <c r="OO218" s="43" t="str">
        <f t="shared" si="755"/>
        <v/>
      </c>
      <c r="OP218" s="43" t="str">
        <f t="shared" si="756"/>
        <v/>
      </c>
      <c r="OQ218" s="43" t="str">
        <f t="shared" si="757"/>
        <v/>
      </c>
      <c r="OR218" s="43" t="str">
        <f t="shared" si="758"/>
        <v/>
      </c>
      <c r="OS218" s="43" t="str">
        <f t="shared" si="759"/>
        <v/>
      </c>
      <c r="OT218" s="43" t="str">
        <f t="shared" si="760"/>
        <v/>
      </c>
      <c r="OU218" s="43" t="str">
        <f t="shared" si="761"/>
        <v/>
      </c>
      <c r="OV218" s="110" t="str">
        <f t="shared" si="762"/>
        <v/>
      </c>
      <c r="OW218" s="43" t="str">
        <f t="shared" si="763"/>
        <v/>
      </c>
      <c r="OX218" s="43" t="str">
        <f t="shared" si="764"/>
        <v/>
      </c>
      <c r="OY218" s="43" t="str">
        <f t="shared" si="765"/>
        <v/>
      </c>
      <c r="OZ218" s="43" t="str">
        <f t="shared" si="766"/>
        <v/>
      </c>
      <c r="PA218" s="43" t="str">
        <f t="shared" si="767"/>
        <v/>
      </c>
      <c r="PB218" s="43" t="str">
        <f t="shared" si="768"/>
        <v/>
      </c>
      <c r="PC218" s="43" t="str">
        <f t="shared" si="769"/>
        <v/>
      </c>
      <c r="PD218" s="43" t="str">
        <f t="shared" si="770"/>
        <v/>
      </c>
      <c r="PE218" s="43" t="str">
        <f t="shared" si="771"/>
        <v/>
      </c>
      <c r="PF218" s="43" t="str">
        <f t="shared" si="772"/>
        <v/>
      </c>
      <c r="PG218" s="43" t="str">
        <f t="shared" si="773"/>
        <v/>
      </c>
      <c r="PH218" s="43" t="str">
        <f t="shared" si="774"/>
        <v/>
      </c>
      <c r="PI218" s="43">
        <f t="shared" si="775"/>
        <v>12</v>
      </c>
      <c r="PJ218" s="43" t="str">
        <f t="shared" si="776"/>
        <v/>
      </c>
      <c r="PK218" s="43" t="str">
        <f t="shared" si="777"/>
        <v/>
      </c>
      <c r="PL218" s="43" t="str">
        <f t="shared" si="778"/>
        <v/>
      </c>
      <c r="PM218" s="43" t="str">
        <f t="shared" si="779"/>
        <v>NORMAL</v>
      </c>
      <c r="PN218" s="43" t="str">
        <f t="shared" si="780"/>
        <v/>
      </c>
      <c r="PO218" s="43" t="str">
        <f t="shared" si="781"/>
        <v/>
      </c>
      <c r="PP218" s="43" t="str">
        <f t="shared" si="782"/>
        <v/>
      </c>
      <c r="PQ218" s="43" t="str">
        <f t="shared" si="783"/>
        <v/>
      </c>
      <c r="PR218" s="43" t="str">
        <f t="shared" si="784"/>
        <v/>
      </c>
      <c r="PS218" s="43" t="str">
        <f t="shared" si="785"/>
        <v/>
      </c>
      <c r="PT218" s="43" t="str">
        <f t="shared" si="786"/>
        <v/>
      </c>
      <c r="PU218" s="43" t="str">
        <f t="shared" si="787"/>
        <v/>
      </c>
      <c r="PV218" s="43" t="str">
        <f t="shared" si="788"/>
        <v/>
      </c>
      <c r="PW218" s="43" t="str">
        <f t="shared" si="789"/>
        <v/>
      </c>
      <c r="PX218" s="43" t="str">
        <f t="shared" si="790"/>
        <v/>
      </c>
      <c r="PY218" s="43" t="str">
        <f t="shared" si="791"/>
        <v/>
      </c>
      <c r="PZ218" s="43" t="str">
        <f t="shared" si="792"/>
        <v/>
      </c>
      <c r="QA218" s="43" t="str">
        <f t="shared" si="793"/>
        <v/>
      </c>
      <c r="QB218" s="43" t="str">
        <f t="shared" si="794"/>
        <v/>
      </c>
      <c r="QC218" s="43" t="str">
        <f t="shared" si="795"/>
        <v/>
      </c>
      <c r="QD218" s="43" t="str">
        <f t="shared" si="796"/>
        <v/>
      </c>
      <c r="QE218" s="43" t="str">
        <f t="shared" si="797"/>
        <v/>
      </c>
      <c r="QF218" s="43" t="str">
        <f t="shared" si="798"/>
        <v/>
      </c>
      <c r="QG218" s="43" t="str">
        <f t="shared" si="799"/>
        <v/>
      </c>
      <c r="QH218" s="43" t="str">
        <f t="shared" si="800"/>
        <v/>
      </c>
      <c r="QI218" s="43" t="str">
        <f t="shared" si="801"/>
        <v/>
      </c>
      <c r="QJ218" s="43" t="str">
        <f t="shared" si="802"/>
        <v/>
      </c>
      <c r="QK218" s="43" t="str">
        <f t="shared" si="803"/>
        <v/>
      </c>
      <c r="QL218" s="43" t="str">
        <f t="shared" si="804"/>
        <v/>
      </c>
      <c r="QM218" s="43" t="str">
        <f t="shared" si="805"/>
        <v/>
      </c>
      <c r="QN218" s="43" t="str">
        <f t="shared" si="806"/>
        <v/>
      </c>
      <c r="QO218" s="43" t="str">
        <f t="shared" si="807"/>
        <v/>
      </c>
      <c r="QP218" s="43" t="str">
        <f t="shared" si="808"/>
        <v/>
      </c>
      <c r="QQ218" s="43" t="str">
        <f t="shared" si="809"/>
        <v/>
      </c>
      <c r="QR218" s="43" t="str">
        <f t="shared" si="839"/>
        <v>Menor</v>
      </c>
      <c r="QS218" s="43"/>
      <c r="QT218" s="21" t="str">
        <f t="shared" si="810"/>
        <v/>
      </c>
      <c r="QU218" s="21" t="str">
        <f t="shared" si="811"/>
        <v/>
      </c>
      <c r="QV218" s="21" t="str">
        <f t="shared" si="812"/>
        <v/>
      </c>
      <c r="QW218" s="21" t="str">
        <f t="shared" si="813"/>
        <v/>
      </c>
      <c r="QX218" s="21" t="str">
        <f t="shared" si="814"/>
        <v/>
      </c>
      <c r="QY218" s="21" t="str">
        <f t="shared" si="815"/>
        <v/>
      </c>
      <c r="QZ218" s="21" t="str">
        <f t="shared" si="816"/>
        <v/>
      </c>
      <c r="RA218" s="21" t="str">
        <f t="shared" si="817"/>
        <v/>
      </c>
      <c r="RB218" s="21" t="str">
        <f t="shared" si="818"/>
        <v/>
      </c>
      <c r="RC218" s="21" t="str">
        <f t="shared" si="819"/>
        <v/>
      </c>
      <c r="RD218" s="21" t="str">
        <f t="shared" si="820"/>
        <v/>
      </c>
      <c r="RE218" s="21" t="str">
        <f t="shared" si="821"/>
        <v/>
      </c>
      <c r="RF218" s="21" t="str">
        <f t="shared" si="822"/>
        <v/>
      </c>
      <c r="RG218" s="21" t="str">
        <f t="shared" si="823"/>
        <v/>
      </c>
      <c r="RH218" s="21" t="str">
        <f t="shared" si="824"/>
        <v/>
      </c>
      <c r="RI218" s="21" t="str">
        <f t="shared" si="825"/>
        <v/>
      </c>
      <c r="RJ218" s="21" t="str">
        <f t="shared" si="826"/>
        <v/>
      </c>
      <c r="RK218" s="21" t="str">
        <f t="shared" si="827"/>
        <v/>
      </c>
      <c r="RL218" s="21" t="str">
        <f t="shared" si="828"/>
        <v/>
      </c>
      <c r="RM218" s="21" t="str">
        <f t="shared" si="829"/>
        <v/>
      </c>
      <c r="RN218" s="21" t="str">
        <f t="shared" si="830"/>
        <v/>
      </c>
      <c r="RO218" s="21" t="str">
        <f t="shared" si="831"/>
        <v/>
      </c>
      <c r="RP218" s="21" t="str">
        <f t="shared" si="832"/>
        <v/>
      </c>
      <c r="RQ218" s="21" t="str">
        <f t="shared" si="833"/>
        <v/>
      </c>
      <c r="RR218" s="21" t="str">
        <f t="shared" si="834"/>
        <v/>
      </c>
      <c r="RS218" s="21" t="str">
        <f t="shared" si="835"/>
        <v/>
      </c>
      <c r="RT218" s="21" t="str">
        <f t="shared" si="836"/>
        <v/>
      </c>
      <c r="RU218" s="21" t="str">
        <f t="shared" si="837"/>
        <v/>
      </c>
      <c r="RV218" s="21">
        <f t="shared" si="838"/>
        <v>-1</v>
      </c>
      <c r="RW218" s="284">
        <f>IF(OR(Tabla1[[#This Row],[FUM FORMULA CONFIABLE]]="",Tabla1[[#This Row],[FUM FORMULA CONFIABLE]]="SD"),"",IF(Tabla1[[#This Row],[FUM FORMULA CONFIABLE]]="CORREGIDA",Tabla1[[#This Row],[FUM X ECO 1]],Tabla1[[#This Row],[FUM x AMENORREA]]))</f>
        <v>45033</v>
      </c>
      <c r="RX218" s="21" t="str">
        <f>IF(AND(Tabla1[[#This Row],[FUM X ECO 1]]="",Tabla1[[#This Row],[FUM x AMENORREA]]=""),"",IF(AND(Tabla1[[#This Row],[FUM X ECO 1]]="",Tabla1[[#This Row],[FUM x AMENORREA]]&lt;&gt;""),"X",SUM(Tabla1[[#This Row],[FUM X ECO 1]]-Tabla1[[#This Row],[FUM x AMENORREA]])))</f>
        <v>X</v>
      </c>
      <c r="RY218" s="21" t="str">
        <f t="shared" si="840"/>
        <v>x</v>
      </c>
    </row>
    <row r="219" spans="1:493" ht="45" customHeight="1" x14ac:dyDescent="0.25">
      <c r="A219" s="109"/>
      <c r="B219" s="43"/>
      <c r="C219" s="43" t="s">
        <v>845</v>
      </c>
      <c r="D219" s="124"/>
      <c r="E219" s="43" t="s">
        <v>1322</v>
      </c>
      <c r="F219" s="43" t="s">
        <v>1378</v>
      </c>
      <c r="G219" s="43" t="s">
        <v>1587</v>
      </c>
      <c r="H219" s="43"/>
      <c r="I219" s="109" t="s">
        <v>851</v>
      </c>
      <c r="J219" s="289" t="s">
        <v>1586</v>
      </c>
      <c r="K219" s="43" t="s">
        <v>852</v>
      </c>
      <c r="L219" s="175" t="s">
        <v>1509</v>
      </c>
      <c r="M219" s="22">
        <v>32396</v>
      </c>
      <c r="N219" s="213">
        <f t="shared" ca="1" si="841"/>
        <v>35.167123287671231</v>
      </c>
      <c r="O219" s="22">
        <v>45132</v>
      </c>
      <c r="P219" s="214" t="str">
        <f t="shared" si="919"/>
        <v>SI</v>
      </c>
      <c r="Q219" s="26" t="s">
        <v>855</v>
      </c>
      <c r="R219" s="22">
        <v>45132</v>
      </c>
      <c r="S219" s="21" t="s">
        <v>856</v>
      </c>
      <c r="T219" s="24" t="s">
        <v>690</v>
      </c>
      <c r="U219" s="21" t="s">
        <v>857</v>
      </c>
      <c r="V219" s="21" t="s">
        <v>858</v>
      </c>
      <c r="W219" s="21" t="s">
        <v>1588</v>
      </c>
      <c r="X219" s="21"/>
      <c r="Y219" s="21"/>
      <c r="Z219" s="21">
        <v>3128222765</v>
      </c>
      <c r="AA219" s="21" t="s">
        <v>860</v>
      </c>
      <c r="AB219" s="27" t="s">
        <v>861</v>
      </c>
      <c r="AC219" s="26" t="s">
        <v>888</v>
      </c>
      <c r="AD219" s="38" t="s">
        <v>1546</v>
      </c>
      <c r="AE219" s="26" t="s">
        <v>854</v>
      </c>
      <c r="AF219" s="26" t="s">
        <v>854</v>
      </c>
      <c r="AG219" s="23" t="s">
        <v>864</v>
      </c>
      <c r="AH219" s="23" t="s">
        <v>864</v>
      </c>
      <c r="AI219" s="24" t="s">
        <v>863</v>
      </c>
      <c r="AJ219" s="23" t="s">
        <v>864</v>
      </c>
      <c r="AK219" s="220" t="str">
        <f>IF(AND(AD219="",AE219="",AF219="",AG219="",AH219="",AI219="",AJ219=""),"",IF(OR(Tabla1[[#This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EVALUACIÓN",IF(AND(O219="",R219=""),"",IF(AND(OR(O219&gt;0,R219&gt;0),NG219&gt;=0,NG219&lt;2),"SIN RIESGO",IF(AND(OR(O219&gt;0,R219&gt;0),NG219&gt;=2),"CON RIESGO","ASD")))))</f>
        <v>SIN RIESGO</v>
      </c>
      <c r="AL219" s="26" t="s">
        <v>864</v>
      </c>
      <c r="AM219" s="26" t="s">
        <v>864</v>
      </c>
      <c r="AN219" s="26" t="s">
        <v>864</v>
      </c>
      <c r="AO219" s="26" t="s">
        <v>864</v>
      </c>
      <c r="AP219" s="26" t="s">
        <v>864</v>
      </c>
      <c r="AQ219" s="26" t="s">
        <v>864</v>
      </c>
      <c r="AR219" s="26" t="s">
        <v>864</v>
      </c>
      <c r="AS219" s="21">
        <v>2</v>
      </c>
      <c r="AT219" s="21">
        <v>2</v>
      </c>
      <c r="AU219" s="21">
        <v>0</v>
      </c>
      <c r="AV219" s="26" t="s">
        <v>864</v>
      </c>
      <c r="AW219" s="21">
        <v>0</v>
      </c>
      <c r="AX219" s="26" t="s">
        <v>864</v>
      </c>
      <c r="AY219" s="26" t="s">
        <v>864</v>
      </c>
      <c r="AZ219" s="26" t="s">
        <v>864</v>
      </c>
      <c r="BA219" s="26" t="s">
        <v>864</v>
      </c>
      <c r="BB219" s="26" t="s">
        <v>864</v>
      </c>
      <c r="BC219" s="26" t="s">
        <v>864</v>
      </c>
      <c r="BD219" s="26" t="s">
        <v>864</v>
      </c>
      <c r="BE219" s="26" t="s">
        <v>864</v>
      </c>
      <c r="BF219" s="26" t="s">
        <v>864</v>
      </c>
      <c r="BG219" s="26" t="s">
        <v>864</v>
      </c>
      <c r="BH219" s="26" t="s">
        <v>864</v>
      </c>
      <c r="BI219" s="26" t="s">
        <v>864</v>
      </c>
      <c r="BJ219" s="26" t="s">
        <v>864</v>
      </c>
      <c r="BK219" s="26" t="s">
        <v>864</v>
      </c>
      <c r="BL219" s="26" t="s">
        <v>864</v>
      </c>
      <c r="BM219" s="26" t="s">
        <v>864</v>
      </c>
      <c r="BN219" s="22">
        <v>42247</v>
      </c>
      <c r="BO219" s="22">
        <v>45069</v>
      </c>
      <c r="BP219" s="21" t="s">
        <v>854</v>
      </c>
      <c r="BQ219" s="222">
        <f t="shared" si="842"/>
        <v>94.066666666666663</v>
      </c>
      <c r="BR219" s="223">
        <f t="shared" si="843"/>
        <v>45070.6</v>
      </c>
      <c r="BS219" s="224">
        <f t="shared" si="844"/>
        <v>9</v>
      </c>
      <c r="BT219" s="216" t="str">
        <f t="shared" si="845"/>
        <v>I TRIM</v>
      </c>
      <c r="BU219" s="214">
        <f t="shared" ca="1" si="928"/>
        <v>23.285714285714285</v>
      </c>
      <c r="BV219" s="25" t="s">
        <v>988</v>
      </c>
      <c r="BW219" s="22">
        <v>45149</v>
      </c>
      <c r="BX219" s="28">
        <v>11.2</v>
      </c>
      <c r="BY219" s="28"/>
      <c r="BZ219" s="22"/>
      <c r="CA219" s="21"/>
      <c r="CB219" s="26" t="s">
        <v>864</v>
      </c>
      <c r="CC219" s="26" t="s">
        <v>864</v>
      </c>
      <c r="CD219" s="26" t="s">
        <v>865</v>
      </c>
      <c r="CE219" s="26" t="s">
        <v>864</v>
      </c>
      <c r="CF219" s="22" t="s">
        <v>1517</v>
      </c>
      <c r="CG219" s="21">
        <v>1.54</v>
      </c>
      <c r="CH219" s="21">
        <v>56</v>
      </c>
      <c r="CI219" s="214">
        <f t="shared" si="847"/>
        <v>23.61275088547816</v>
      </c>
      <c r="CJ219" s="225" t="str">
        <f>IF(AND(CI219&lt;10,CH219="SD"),"SIN DATO PESO PREGESTACION O I TRIM",IF(AND(OR(R219&gt;0,O219&gt;0),CI219="X"),"INGRESAR DATO DE PESO",IF(CI219="SD","INGRESAR DATO DE TALLA Y PESO",IF(AND(OR(Tabla1[[#This Row],[MOMENTO EN QUE SE REALIZA EL PESO AL INGRESO A CPN]]="PREGESTACIÓN",NZ219="Menor"),CI219&lt;18.5),"BAJO PESO",IF(AND(OR(Tabla1[[#This Row],[MOMENTO EN QUE SE REALIZA EL PESO AL INGRESO A CPN]]="PREGESTACIÓN",NZ219="Menor"),CI219&lt;25),"NORMAL",IF(AND(OR(Tabla1[[#This Row],[MOMENTO EN QUE SE REALIZA EL PESO AL INGRESO A CPN]]="PREGESTACIÓN",NZ219="Menor"),CI219&lt;30),"SOBREPESO",IF(AND(OR(Tabla1[[#This Row],[MOMENTO EN QUE SE REALIZA EL PESO AL INGRESO A CPN]]="PREGESTACIÓN",NZ219="Menor"),CI219&gt;=30,CI219&lt;50),"OBESIDAD",IF(AND(BS219&gt;0,Tabla1[[#This Row],[MOMENTO EN QUE SE REALIZA EL PESO AL INGRESO A CPN]]="GESTACIÓN"),HLOOKUP(NZ219,$OA$2:PH219,NY219),""))))))))</f>
        <v>NORMAL</v>
      </c>
      <c r="CK219" s="212">
        <f t="shared" si="848"/>
        <v>45164</v>
      </c>
      <c r="CL219" s="21">
        <v>50</v>
      </c>
      <c r="CM219" s="214">
        <f t="shared" si="849"/>
        <v>21.0828132906055</v>
      </c>
      <c r="CN219" s="216">
        <f t="shared" si="850"/>
        <v>13</v>
      </c>
      <c r="CO219" s="216" t="e">
        <f>IF(PI219="","",IF(PI219&gt;0,HLOOKUP(PI219,$PJ$2:QQ219,NY219),""))</f>
        <v>#REF!</v>
      </c>
      <c r="CP219" s="21"/>
      <c r="CQ219" s="216" t="e">
        <f>IF(QR219="Menor","NO APLICA-MENOR 13 SEM",IF(AND(CC219="SI",CN219&gt;23),"NO APLICA- GEMELAR",IF(QR219="","",IF(QR219&gt;0,HLOOKUP(QR219,$QS$2:RU219,NY219),""))))</f>
        <v>#REF!</v>
      </c>
      <c r="CR219" s="21">
        <v>100</v>
      </c>
      <c r="CS219" s="21">
        <v>60</v>
      </c>
      <c r="CT219" s="217" t="str">
        <f>IF(R219="","",IF(AND(BS219&gt;1,BS219&lt;12,Tabla1[[#This Row],[T.A. SISTOLICA - ANTES DE SEMANA 12]]="",Tabla1[[#This Row],[T.A. DIASTOLICA - ANTES DE SEMANA 12]]=""),"REGISTRE DATO TA ANTES SEMANA 12",IF(AND(BS219&gt;11,BS219&lt;43,Tabla1[[#This Row],[T.A. SISTOLICA - ANTES DE SEMANA 12]]="",Tabla1[[#This Row],[T.A. DIASTOLICA - ANTES DE SEMANA 12]]=""),"NO APLICA REGISTRO TA-INGRESO TARDIO",IF(AND(OR(O219&gt;0,R219&gt;0),OR(CR219&gt;=140,CS219&gt;=90)),"DEFINIR ESTADIO HTA",IF(AND(OR(O219&gt;0,R219&gt;0),AND(CR219&gt;120,CR219&lt;=139)),"PRE HTA SEGUIMIENTO",IF(AND(OR(O219&gt;0,R219&gt;0),AND(CS219&gt;80,CS219&lt;=89)),"PRE HTA SEGUIMIENTO",IF(AND(OR(O219&gt;0,R219&gt;0),AND(CR219&gt;=80,CR219&lt;=120)),"APARENTEMENTE NORMAL",IF(AND(OR(O219&gt;0,R219&gt;0),AND(CS219&gt;=50,CS219&lt;=80)),"APARENTEMENTE NORMAL",IF(AND(OR(O219&gt;0,R219&gt;0),AND(CR219&gt;1,CR219&lt;=70),AND(CS219&gt;1,CS219&lt;=40)),"HIPOTENSIÓN","")))))))))</f>
        <v>APARENTEMENTE NORMAL</v>
      </c>
      <c r="CU219" s="21"/>
      <c r="CV219" s="21"/>
      <c r="CW219" s="217" t="str">
        <f ca="1">IF(R219="","",IF(AND(CN219&gt;19,CN219&lt;27,Tabla1[[#This Row],[T.A. SISTOLICA (Entre semana 20 y 26)]]="",Tabla1[[#This Row],[T.A. DIATOLICA (Entre semana 20 y 26)]]=""),"ACUDE A CONTROL SEM 20 A 26 REGISTRE TA AHORA",IF(AND(BS219&gt;1,BS219&lt;27,BU219&gt;19,Tabla1[[#This Row],[T.A. SISTOLICA (Entre semana 20 y 26)]]="",Tabla1[[#This Row],[T.A. DIATOLICA (Entre semana 20 y 26)]]=""),"COMPLETE REGISTRO TA CONTROL SEM 20 A26 ",IF(AND(BS219&gt;26,BS219&lt;43,Tabla1[[#This Row],[T.A. SISTOLICA (Entre semana 20 y 26)]]="",Tabla1[[#This Row],[T.A. DIATOLICA (Entre semana 20 y 26)]]=""),"NO APLICA REGISTRO TA-INGRESO TARDIO",IF(AND(OR(O219&gt;0,R219&gt;0),OR(CU219&gt;=140,CV219&gt;=90)),"ALTO RIESGO PREECLAMPSIA,DEFINIR ESTADIO HTA",IF(AND(OR(O219&gt;0,R219&gt;0),AND(CU219&gt;120,CU219&lt;=139)),"PRE HTA SEGUIMIENTO,RIESGO HIPERTENSION INDUCIDA POR EL EMBARAZO",IF(AND(OR(O219&gt;0,R219&gt;0),AND(CV219&gt;80,CV219&lt;=89)),"PRE HTA SEGUIMIENTO, RIESGO HIPERTENSION INDUCIDA POR EL EMBARAZO",IF(AND(OR(O219&lt;&gt;"",R219&lt;&gt;""),CS219&lt;&gt;"",CV219&lt;&gt;"",CS219&lt;=CV219),"VIGILAR CIFRAS PRESION ARTERIAL",IF(AND(OR(O219&gt;0,R219&gt;0),AND(CU219&gt;120,CU219&lt;=139)),"PRE HTA SEGUIMIENTO",IF(AND(OR(O219&gt;0,R219&gt;0),AND(CU219&gt;1,CU219&lt;=70),AND(CV219&gt;1,CV219&lt;=40)),"HIPOTENSIÓN",IF(AND(OR(O219&lt;&gt;"",R219&lt;&gt;""),CS219&lt;&gt;"",CV219&lt;&gt;"",CS219&gt;CV219),"APARENTEMENTE NORMAL",IF(AND(OR(O219&gt;0,R219&gt;0),AND(CU219&gt;=80,CU219&lt;=120)),"APARENTEMENTE NORMAL",IF(AND(OR(O219&gt;0,R219&gt;0),AND(CV219&gt;=50,CV219&lt;=80)),"APARENTEMENTE NORMAL","")))))))))))))</f>
        <v xml:space="preserve">COMPLETE REGISTRO TA CONTROL SEM 20 A26 </v>
      </c>
      <c r="CX219" s="21"/>
      <c r="CY219" s="21"/>
      <c r="CZ219" s="216" t="str">
        <f>IF(R219="","",IF(AND(CN219&gt;31,CN219&lt;35,CX219="",CY219=""),"ACUDE A CONTROL SEM 30 A 34- REGISTRE AHORA",IF(AND(BS219&gt;34,BS219&lt;43,CX220="",CY220=""),"NO APLICA-INGRESO TARDIO",IF(AND(OR(O219&gt;0,R219&gt;0),OR(CX219&gt;=140,CY219&gt;=90)),"ESTUDIO INMEDIATO HTA PARA DESCARTAR PREECLAMSIA",IF(AND(OR(O219&gt;0,R219&gt;0),AND(CX219&gt;=130,CX219&lt;=139)),"PRE HTA,RIESGO ALTO PREECLAMPSIA",IF(AND(OR(O219&gt;0,R219&gt;0),AND(CY219&gt;80,CY219&lt;=89)),"PRE HTA,RIESGO ALTO PREECLAMPSIA",IF(AND(OR(O219&gt;0,R219&gt;0),AND(CX219&gt;120,CX219&lt;=129)),"RANGO PREHIPERTENSIVO SEGUIMIENTO HTA",IF(AND(OR(O219&lt;&gt;"",R219&lt;&gt;""),CS219&lt;&gt;"",CY219&lt;&gt;"",CS219&lt;CY219),"VIGILAR CIFRAS PRESION ARTERIAL",IF(AND(OR(O219&lt;&gt;"",R219&lt;&gt;""),CS219&lt;&gt;"",CY219&lt;&gt;"",CS219=CY219),"APARENTEMENTE NORMAL",IF(AND(OR(O219&gt;0,R219&gt;0),CX219&gt;=80,CX219&lt;=120),"APARENTEMENTE NORMAL",IF(AND(OR(O219&gt;0,R219&gt;0),CY219&gt;=50,CY219&lt;=80),"APARENTEMENTE NORMAL","")))))))))))</f>
        <v/>
      </c>
      <c r="DA219" s="21">
        <v>90</v>
      </c>
      <c r="DB219" s="21">
        <v>60</v>
      </c>
      <c r="DC219" s="217" t="str">
        <f t="shared" si="851"/>
        <v>APARENTEMENTE NORMAL</v>
      </c>
      <c r="DD219" s="22">
        <v>45132</v>
      </c>
      <c r="DE219" s="22">
        <v>45132</v>
      </c>
      <c r="DF219" s="22">
        <v>45164</v>
      </c>
      <c r="DG219" s="22"/>
      <c r="DH219" s="22"/>
      <c r="DI219" s="22"/>
      <c r="DJ219" s="22"/>
      <c r="DK219" s="22"/>
      <c r="DL219" s="22"/>
      <c r="DM219" s="22"/>
      <c r="DN219" s="22"/>
      <c r="DO219" s="22"/>
      <c r="DP219" s="22"/>
      <c r="DQ219" s="22"/>
      <c r="DR219" s="28"/>
      <c r="DS219" s="22"/>
      <c r="DT219" s="22"/>
      <c r="DU219" s="216" t="str">
        <f t="shared" ca="1" si="920"/>
        <v>EN ESPERA</v>
      </c>
      <c r="DV219" s="226" t="str">
        <f t="shared" si="921"/>
        <v>ACTIVA INGRESO A CPN</v>
      </c>
      <c r="DW219"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19" s="216" t="e">
        <f t="shared" ca="1" si="852"/>
        <v>#REF!</v>
      </c>
      <c r="DY219" s="212">
        <f>IF(R219="","",IF(R219&gt;0,MAX(Tabla1[[#This Row],[FECHA C2]:[FECHA C13]],Tabla1[[#This Row],[FECHA CONSULTA PRIMERA VEZ PROGRAMA CPN ]])))</f>
        <v>45164</v>
      </c>
      <c r="DZ219" s="216">
        <f t="shared" si="853"/>
        <v>13</v>
      </c>
      <c r="EA219" s="222">
        <f>IF(R219&gt;0,SUM(COUNTA(DF219:DQ219)+COUNTA(Tabla1[[#This Row],[FECHA CONSULTA PRIMERA VEZ PROGRAMA CPN ]])),"")</f>
        <v>2</v>
      </c>
      <c r="EB219" s="222" t="str">
        <f t="shared" si="854"/>
        <v>NO</v>
      </c>
      <c r="EC219" s="214">
        <f t="shared" si="855"/>
        <v>9</v>
      </c>
      <c r="ED219" s="227">
        <f t="shared" si="856"/>
        <v>0.22222222222222221</v>
      </c>
      <c r="EE219" s="22">
        <v>45132</v>
      </c>
      <c r="EF219" s="22">
        <v>45164</v>
      </c>
      <c r="EG219" s="22">
        <v>45132</v>
      </c>
      <c r="EH219" s="22"/>
      <c r="EI219" s="22">
        <v>45132</v>
      </c>
      <c r="EJ219" s="22"/>
      <c r="EK219" s="22"/>
      <c r="EL219" s="21"/>
      <c r="EM219" s="21">
        <v>14.6</v>
      </c>
      <c r="EN219" s="22">
        <v>45146</v>
      </c>
      <c r="EO219" s="222">
        <f t="shared" si="857"/>
        <v>11</v>
      </c>
      <c r="EP219" s="214" t="str">
        <f t="shared" si="858"/>
        <v>NO DAR SULFATO FERROSO</v>
      </c>
      <c r="EQ219" s="216" t="str">
        <f t="shared" si="859"/>
        <v>I TRIM</v>
      </c>
      <c r="ER219" s="24"/>
      <c r="ES219" s="22"/>
      <c r="ET219" s="29" t="str">
        <f t="shared" ca="1" si="922"/>
        <v>PROGRAMAR TOMA HEMOGLOBINA A SEM 28</v>
      </c>
      <c r="EU219" s="25" t="str">
        <f t="shared" si="860"/>
        <v/>
      </c>
      <c r="EV219" s="24" t="s">
        <v>1510</v>
      </c>
      <c r="EW219" s="32">
        <v>45146</v>
      </c>
      <c r="EX219" s="22"/>
      <c r="EY219" s="29">
        <f t="shared" si="693"/>
        <v>11</v>
      </c>
      <c r="EZ219" s="25" t="str">
        <f t="shared" si="694"/>
        <v>SIN RIESGO DE ISOINMUNIZACIÓN</v>
      </c>
      <c r="FA219" s="21">
        <v>79</v>
      </c>
      <c r="FB219" s="32">
        <v>45146</v>
      </c>
      <c r="FC219" s="29">
        <f t="shared" si="861"/>
        <v>11</v>
      </c>
      <c r="FD219" s="29"/>
      <c r="FE219" s="29"/>
      <c r="FF219" s="29"/>
      <c r="FG219" s="21" t="str">
        <f t="shared" ca="1" si="862"/>
        <v>PROGRAMAR TOMA PTOG SIGUIENTE CONTROL</v>
      </c>
      <c r="FH219" s="31"/>
      <c r="FI219" s="29" t="str">
        <f t="shared" si="863"/>
        <v>TOMAR EXAMEN</v>
      </c>
      <c r="FJ219" s="22" t="s">
        <v>867</v>
      </c>
      <c r="FK219" s="22">
        <v>45146</v>
      </c>
      <c r="FL219" s="29">
        <f t="shared" ca="1" si="864"/>
        <v>11</v>
      </c>
      <c r="FM219" s="22"/>
      <c r="FN219" s="32"/>
      <c r="FO219" s="29" t="str">
        <f t="shared" ca="1" si="923"/>
        <v>EN RANGO PARA TOMAR EXAMEN</v>
      </c>
      <c r="FP219" s="22"/>
      <c r="FQ219" s="32"/>
      <c r="FR219" s="29" t="str">
        <f t="shared" ca="1" si="924"/>
        <v>EN ESPERA-ESTÁ I TRIM O II TRIM</v>
      </c>
      <c r="FS219" s="22"/>
      <c r="FT219" s="32"/>
      <c r="FU219" s="29" t="str">
        <f>IF(AND(FJ219="",FM219="",FP219="",FS219=""),"",IF(OR(OR(Tabla1[[#This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19" s="28"/>
      <c r="FW219" s="22"/>
      <c r="FX219" s="29" t="str">
        <f t="shared" si="865"/>
        <v>TOMAR EXAMEN</v>
      </c>
      <c r="FY219" s="22" t="s">
        <v>868</v>
      </c>
      <c r="FZ219" s="22">
        <v>45146</v>
      </c>
      <c r="GA219" s="29">
        <f t="shared" ca="1" si="939"/>
        <v>11</v>
      </c>
      <c r="GB219" s="22"/>
      <c r="GC219" s="22"/>
      <c r="GD219" s="29" t="str">
        <f t="shared" ca="1" si="940"/>
        <v>EN RANGO PARA TOMAR EXAMEN</v>
      </c>
      <c r="GE219" s="22"/>
      <c r="GF219" s="22"/>
      <c r="GG219" s="29" t="str">
        <f t="shared" ca="1" si="926"/>
        <v>EN ESPERA-ESTÁ I TRIM O II TRIM</v>
      </c>
      <c r="GH219" s="22"/>
      <c r="GI219" s="29"/>
      <c r="GJ219" s="22"/>
      <c r="GK219" s="22"/>
      <c r="GL219" s="22"/>
      <c r="GM219" s="22"/>
      <c r="GN219" s="28" t="s">
        <v>869</v>
      </c>
      <c r="GO219" s="22">
        <v>45146</v>
      </c>
      <c r="GP219" s="29">
        <f t="shared" si="866"/>
        <v>11</v>
      </c>
      <c r="GQ219" s="28" t="s">
        <v>869</v>
      </c>
      <c r="GR219" s="28"/>
      <c r="GS219" s="22" t="str">
        <f t="shared" si="728"/>
        <v>CONTROL Igm</v>
      </c>
      <c r="GT219" s="22">
        <v>45146</v>
      </c>
      <c r="GU219" s="29">
        <f t="shared" si="867"/>
        <v>11</v>
      </c>
      <c r="GV219" s="21" t="str">
        <f t="shared" si="868"/>
        <v>I TRIM</v>
      </c>
      <c r="GW219" s="28"/>
      <c r="GX219" s="30"/>
      <c r="GY219" s="21"/>
      <c r="GZ219" s="21"/>
      <c r="HA219" s="21"/>
      <c r="HB219" s="21"/>
      <c r="HC219" s="21"/>
      <c r="HD219" s="21"/>
      <c r="HE219" s="21"/>
      <c r="HF219" s="22"/>
      <c r="HG219" s="22" t="str">
        <f>IF(OR(O219&gt;0,R219&gt;0),CONCATENATE(IF(Tabla1[[#This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19" s="22" t="e">
        <f t="shared" si="869"/>
        <v>#REF!</v>
      </c>
      <c r="HI219" s="22" t="e">
        <f t="shared" ca="1" si="870"/>
        <v>#REF!</v>
      </c>
      <c r="HJ219" s="21" t="str">
        <f t="shared" ca="1" si="871"/>
        <v>***************************************</v>
      </c>
      <c r="HK219" s="21" t="str">
        <f t="shared" si="872"/>
        <v>SIN ANTECEDENTES DE RIESGO</v>
      </c>
      <c r="HL219" s="24" t="str">
        <f t="shared" si="873"/>
        <v>APARENTEMENTE NORMAL</v>
      </c>
      <c r="HM219" s="21" t="e">
        <f t="shared" ca="1" si="874"/>
        <v>#REF!</v>
      </c>
      <c r="HN219" s="30" t="str">
        <f t="shared" si="927"/>
        <v>ACTIVA INGRESO A CPN</v>
      </c>
      <c r="HO219" s="21"/>
      <c r="HP219" s="21"/>
      <c r="HQ219" s="349"/>
      <c r="HR219" s="21" t="str">
        <f>IF(R219="","",IF(Tabla1[[#This Row],[ALARMA FACTORES DE RIESGO COMPLICACIONES HIPERTENSIVAS3]]="SIN ANTECEDENTES DE RIESGO","No Aplica para suministro de ASA",IF(AND(Tabla1[[#This Row],[FECHA INICIO DE SUMINISTRO DE ASA]]&gt;0,RV219&lt;12),"Inicia ASA ANTES de Sem 12",IF(AND(RV219&gt;11,RV219&lt;17,OR(HK219="RIESGO ALTO DE COMPLICACIONES HIPERTENSIVAS VER MANEJO GUIA SUMINISTRO ASA Y CALCIO",HK219="RIESGO MODERADO (2 O MAS CRITERIOS) VER MANEJO GUIA SUMINISTRO ASA Y CALCIO")),"Inicio oportuno de ASA",IF(AND(RV219&gt;12,OR(HK219="RIESGO ALTO DE COMPLICACIONES HIPERTENSIVAS VER MANEJO GUIA SUMINISTRO ASA Y CALCIO",HK219="RIESGO MODERADO (2 O MAS CRITERIOS) VER MANEJO GUIA SUMINISTRO ASA Y CALCIO")),"Inicio no oportuno mayor a 16 semanas",IF(AND(BU219&lt;12,OR(HK219="RIESGO ALTO DE COMPLICACIONES HIPERTENSIVAS VER MANEJO GUIA SUMINISTRO ASA Y CALCIO",HK219="RIESGO MODERADO (2 O MAS CRITERIOS) VER MANEJO GUIA SUMINISTRO ASA Y CALCIO")),"Pendiente Inicio de ASA a la semana 12",IF(AND(BU219&gt;11,BU219&lt;17,OR(HK219="RIESGO ALTO DE COMPLICACIONES HIPERTENSIVAS VER MANEJO GUIA SUMINISTRO ASA Y CALCIO",HK219="RIESGO MODERADO (2 O MAS CRITERIOS) VER MANEJO GUIA SUMINISTRO ASA Y CALCIO")),"Iniciar de inmediato ASA",IF(AND(BU219&gt;16,OR(HK219="RIESGO ALTO DE COMPLICACIONES HIPERTENSIVAS VER MANEJO GUIA SUMINISTRO ASA Y CALCIO",HK219="RIESGO MODERADO (2 O MAS CRITERIOS) VER MANEJO GUIA SUMINISTRO ASA Y CALCIO")),"Pierde Oportunidad, Inicio tardío de ASA","XXXXX"))))))))</f>
        <v>No Aplica para suministro de ASA</v>
      </c>
      <c r="HS219" s="22">
        <v>45132</v>
      </c>
      <c r="HT219" s="22" t="s">
        <v>935</v>
      </c>
      <c r="HU219" s="22">
        <v>45132</v>
      </c>
      <c r="HV219" s="22" t="s">
        <v>1544</v>
      </c>
      <c r="HW219" s="22">
        <v>45132</v>
      </c>
      <c r="HX219" s="22" t="s">
        <v>1511</v>
      </c>
      <c r="HY219" s="22">
        <v>45164</v>
      </c>
      <c r="HZ219" s="28">
        <f t="shared" si="875"/>
        <v>13.571428571428571</v>
      </c>
      <c r="IA219" s="26"/>
      <c r="IB219" s="26"/>
      <c r="IC219" s="111"/>
      <c r="ID219" s="22"/>
      <c r="IE219" s="22" t="str">
        <f t="shared" ca="1" si="876"/>
        <v>PROGRAMAR APLICACION DE VACUNA</v>
      </c>
      <c r="IF219" s="22"/>
      <c r="IG219" s="22">
        <f t="shared" si="877"/>
        <v>45349</v>
      </c>
      <c r="IH219" s="29">
        <f t="shared" ca="1" si="878"/>
        <v>117</v>
      </c>
      <c r="II219" s="22" t="str">
        <f t="shared" ca="1" si="879"/>
        <v>PENDIENTE</v>
      </c>
      <c r="IJ219" s="22"/>
      <c r="IK219" s="21"/>
      <c r="IL219" s="21"/>
      <c r="IM219" s="34"/>
      <c r="IN219" s="22"/>
      <c r="IO219" s="21"/>
      <c r="IP219" s="29" t="str">
        <f t="shared" si="880"/>
        <v/>
      </c>
      <c r="IQ219" s="35"/>
      <c r="IR219" s="21"/>
      <c r="IS219" s="21"/>
      <c r="IT219" s="21"/>
      <c r="IU219" s="21"/>
      <c r="IV219" s="21"/>
      <c r="IW219" s="21"/>
      <c r="IX219" s="21"/>
      <c r="IY219" s="21"/>
      <c r="IZ219" s="21"/>
      <c r="JA219" s="21"/>
      <c r="JB219" s="30"/>
      <c r="JC219" s="21"/>
      <c r="JD219" s="36"/>
      <c r="JE219" s="21" t="str">
        <f t="shared" si="881"/>
        <v/>
      </c>
      <c r="JF219" s="30"/>
      <c r="JG219" s="21"/>
      <c r="JH219" s="21"/>
      <c r="JI219" s="21"/>
      <c r="JJ219" s="30"/>
      <c r="JK219" s="22"/>
      <c r="JL219" s="22"/>
      <c r="JM219" s="21"/>
      <c r="JN219" s="36"/>
      <c r="JO219" s="21" t="str">
        <f t="shared" si="882"/>
        <v/>
      </c>
      <c r="JP219" s="22"/>
      <c r="JQ219" s="21"/>
      <c r="JR219" s="21"/>
      <c r="JS219" s="21"/>
      <c r="JT219" s="30"/>
      <c r="JU219" s="22"/>
      <c r="JV219" s="22"/>
      <c r="JW219" s="33"/>
      <c r="JX219" s="28" t="str">
        <f t="shared" si="883"/>
        <v/>
      </c>
      <c r="JY219" s="33"/>
      <c r="JZ219" s="28" t="str">
        <f t="shared" si="884"/>
        <v/>
      </c>
      <c r="KA219" s="21"/>
      <c r="KB219" s="21"/>
      <c r="KC219" s="21"/>
      <c r="KD219" s="37"/>
      <c r="KE219" s="28"/>
      <c r="KF219" s="28"/>
      <c r="KG219" s="28"/>
      <c r="KH219" s="39"/>
      <c r="KI219" s="39"/>
      <c r="KJ219" s="66"/>
      <c r="KK219" s="39"/>
      <c r="KL219" s="39"/>
      <c r="KM219" s="66"/>
      <c r="KN219" s="39"/>
      <c r="KO219" s="39"/>
      <c r="KP219" s="39"/>
      <c r="KQ219" s="39"/>
      <c r="KR219" s="39"/>
      <c r="KS219" s="39"/>
      <c r="KT219" s="39"/>
      <c r="KU219" s="38"/>
      <c r="KV219" s="38"/>
      <c r="KW219" s="38"/>
      <c r="KX219" s="38"/>
      <c r="KY219" s="38"/>
      <c r="KZ219" s="38"/>
      <c r="LA219" s="38"/>
      <c r="LB219" s="38"/>
      <c r="LC219" s="38"/>
      <c r="LD219" s="38"/>
      <c r="LE219" s="38"/>
      <c r="LF219" s="38"/>
      <c r="LG219" s="38"/>
      <c r="LH219" s="38"/>
      <c r="LI219" s="38"/>
      <c r="LJ219" s="38"/>
      <c r="LK219" s="38"/>
      <c r="LL219" s="38"/>
      <c r="LM219" s="38"/>
      <c r="LN219" s="38"/>
      <c r="LO219" s="38"/>
      <c r="LP219" s="38"/>
      <c r="LQ219" s="38"/>
      <c r="LR219" s="38"/>
      <c r="LS219" s="38"/>
      <c r="LT219" s="38"/>
      <c r="LU219" s="38"/>
      <c r="LV219" s="38"/>
      <c r="LW219" s="38"/>
      <c r="LX219" s="38"/>
      <c r="LY219" s="38"/>
      <c r="LZ219" s="38"/>
      <c r="MA219" s="38"/>
      <c r="MB219" s="38"/>
      <c r="MC219" s="38"/>
      <c r="MD219" s="38"/>
      <c r="ME219" s="38"/>
      <c r="MF219" s="38"/>
      <c r="MG219" s="38"/>
      <c r="MH219" s="43">
        <f t="shared" si="885"/>
        <v>0</v>
      </c>
      <c r="MI219" s="43" t="str">
        <f t="shared" si="929"/>
        <v/>
      </c>
      <c r="MJ219" s="43" t="str">
        <f t="shared" si="887"/>
        <v/>
      </c>
      <c r="MK219" s="43">
        <f t="shared" si="888"/>
        <v>0</v>
      </c>
      <c r="ML21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19" s="43">
        <f t="shared" si="930"/>
        <v>9</v>
      </c>
      <c r="MN219" s="43">
        <f t="shared" si="931"/>
        <v>7</v>
      </c>
      <c r="MO219" s="43">
        <f t="shared" si="932"/>
        <v>2023</v>
      </c>
      <c r="MP219" s="43" t="str">
        <f t="shared" si="892"/>
        <v>III TRIMESTRE AÑO</v>
      </c>
      <c r="MQ219" s="43">
        <f t="shared" si="933"/>
        <v>34.370893561103806</v>
      </c>
      <c r="MR219" s="43">
        <f t="shared" si="894"/>
        <v>0</v>
      </c>
      <c r="MS219" s="43" t="str">
        <f t="shared" si="895"/>
        <v xml:space="preserve"> DE 30 A 34 AÑOS</v>
      </c>
      <c r="MT219" s="43">
        <f t="shared" si="896"/>
        <v>0</v>
      </c>
      <c r="MU219" s="43">
        <f t="shared" si="897"/>
        <v>0</v>
      </c>
      <c r="MV219" s="43">
        <f t="shared" si="898"/>
        <v>0</v>
      </c>
      <c r="MW219" s="43">
        <f t="shared" si="899"/>
        <v>0</v>
      </c>
      <c r="MX219" s="43" t="str">
        <f t="shared" si="900"/>
        <v/>
      </c>
      <c r="MY219" s="43" t="str">
        <f t="shared" ca="1" si="901"/>
        <v/>
      </c>
      <c r="MZ219" s="43" t="str">
        <f t="shared" si="902"/>
        <v/>
      </c>
      <c r="NA219" s="43">
        <f t="shared" si="903"/>
        <v>0</v>
      </c>
      <c r="NB219" s="43" t="str">
        <f t="shared" si="904"/>
        <v/>
      </c>
      <c r="NC219" s="43" t="str">
        <f t="shared" si="905"/>
        <v/>
      </c>
      <c r="ND219" s="43">
        <f t="shared" ca="1" si="934"/>
        <v>0</v>
      </c>
      <c r="NE219" s="43">
        <f>IF(OR(O219&gt;0,R219&gt;0),SUM(COUNTIF(Tabla1[[#This Row],[AÑOS AL INICIO5 CPN]],"&gt;=40"),COUNTIF(AS219,"0"),COUNTIF(AR219,"SI"),COUNTIF(CC219,"SI"),COUNTIF(BQ219,"&gt;119"),COUNTIF(CI219,"&gt;=35")),"")</f>
        <v>0</v>
      </c>
      <c r="NF219" s="43" t="str">
        <f t="shared" si="935"/>
        <v/>
      </c>
      <c r="NG219" s="43">
        <f t="shared" si="908"/>
        <v>0</v>
      </c>
      <c r="NH219" s="43">
        <f t="shared" si="909"/>
        <v>78.399999999999991</v>
      </c>
      <c r="NI219"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CPN",P219="NO"),"Z",IF(AND(Tabla1[[#This Row],[CITA PROXIMO CONTROL]]="CITA MANUAL",Tabla1[[#This Row],[GESTANTES ACTUALES]]="ACTIVA INGRESO A CPN"),"W",IF(AND(Tabla1[[#This Row],[GESTANTES ACTUALES]]="SALIO PROGRAMA",IN219=""),"S",IF(AND(Tabla1[[#This Row],[CITA PROXIMO CONTROL]]&gt;0,IN219=""),(Tabla1[[#This Row],[CITA PROXIMO CONTROL]]-TODAY()),"SD"))))))))</f>
        <v>#REF!</v>
      </c>
      <c r="NJ219" s="43">
        <f>MONTH(Tabla1[[#This Row],[FECHA DE SALIDA  DEL PROGRAMA]])</f>
        <v>1</v>
      </c>
      <c r="NK219" s="43">
        <f>YEAR(Tabla1[[#This Row],[FECHA DE SALIDA  DEL PROGRAMA]])</f>
        <v>1900</v>
      </c>
      <c r="NL219" s="43" t="str">
        <f t="shared" si="936"/>
        <v>X</v>
      </c>
      <c r="NM219" s="43" t="str">
        <f t="shared" si="941"/>
        <v>NO</v>
      </c>
      <c r="NN219" s="43" t="str">
        <f ca="1">IF(AND(O219&gt;0,R219=""),"NO CPN",IF(AND(O219="",R219=""),"",IF(AND(R219&gt;0,Tabla1[[#This Row],[SEMANAS DE GESTACION ACTUALIZADAS]]&lt;=12),"NO APLICA",IF(AND(FH219&lt;&gt;"",FN219&lt;&gt;""),"SI","NO"))))</f>
        <v>NO</v>
      </c>
      <c r="NO219" s="43" t="str">
        <f ca="1">IF(AND(O219&gt;0,R219=""),"NO CPN",IF(AND(O219="",R219=""),"",IF(AND(R219&gt;0,Tabla1[[#This Row],[SEMANAS DE GESTACION ACTUALIZADAS]]&lt;=27),"NO APLICA",IF(AND(ES219&lt;&gt;"",FQ219&lt;&gt;"",GF219&lt;&gt;""),"SI","NO"))))</f>
        <v>NO APLICA</v>
      </c>
      <c r="NP219" s="204" t="str">
        <f t="shared" si="912"/>
        <v>I TRIM</v>
      </c>
      <c r="NQ219" s="21" t="str">
        <f>IF(AND(IP220&gt;0,IP220&lt;37),10,IF(OR(CD220="Transversa",CD220="Oblicua"),9,IF(CC220="SI",8,IF(AND(AT220=0,AW220=0,CC220="NO",CD220="Cefálica",IP220&gt;=37,IT220="INICIO ESPONTÁNEO"),1,IF(AND(AND(AT220=0,AW220=0,CC220="NO",CD220="Cefálica",IP220&gt;=37),OR(IT220="LE HACEN INDUCCIÓN",IT220="LE HACEN CESÁREA SIN INICIO TRABAJO DE PARTO")),2,IF(AND(AT220&gt;=1,AW220=0,CC220="NO",CD220="Cefálica",IP220&gt;=37,IT220="INICIO ESPONTÁNEO"),3,IF(AND(AND(AT220&gt;=1,AW220=0,CC220="NO",CD220="Cefálica",IP220&gt;=37),OR(IT220="LE HACEN INDUCCIÓN",IT220="LE HACEN CESÁREA SIN INICIO TRABAJO DE PARTO")),4,IF(AND(AND(AT220&gt;=1,AW220&gt;=1,CC220="NO",CD220="Cefálica",IP220&gt;=37),OR(IT220="LE HACEN INDUCCIÓN",IT220="LE HACEN CESÁREA SIN INICIO TRABAJO DE PARTO",IT220="INICIO ESPONTÁNEO")),5,IF(AND(AND(AT220=0,AW220=0,CC220="NO",CD220="Podálica",IP220&gt;=1),OR(IT220="LE HACEN INDUCCIÓN",IT220="LE HACEN CESÁREA SIN INICIO TRABAJO DE PARTO",IT220="INICIO ESPONTÁNEO")),6,IF(AND(AND(AT220&gt;=1,CC220="NO",CD220="Podálica",IP220&gt;=1),OR(IT220="LE HACEN INDUCCIÓN",IT220="LE HACEN CESÁREA SIN INICIO TRABAJO DE PARTO",IT220="INICIO ESPONTÁNEO"),OR(AW220=0,AW220&gt;=1)),7,""))))))))))</f>
        <v/>
      </c>
      <c r="NR219" s="21">
        <f t="shared" ca="1" si="937"/>
        <v>2</v>
      </c>
      <c r="NS219" s="205">
        <f t="shared" ca="1" si="914"/>
        <v>1</v>
      </c>
      <c r="NT219" s="21">
        <f t="shared" ca="1" si="915"/>
        <v>1</v>
      </c>
      <c r="NU219" s="21" t="str">
        <f t="shared" ca="1" si="916"/>
        <v>INCOMPLETO</v>
      </c>
      <c r="NV219" s="21" t="str">
        <f t="shared" ca="1" si="917"/>
        <v>INCOMPLETO</v>
      </c>
      <c r="NW219" s="206" t="str">
        <f>IF(AND(O219="",R219=""),"",IF(OR(AND(Tabla1[[#This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19" s="207" t="str">
        <f t="shared" ca="1" si="938"/>
        <v>SIN VACUNAR</v>
      </c>
      <c r="NY219" s="43">
        <f>ROW(Tabla1[[#This Row],['# DE TAMIZAJES SIFILIS TOMADOS ]])</f>
        <v>219</v>
      </c>
      <c r="NZ219" s="43" t="str">
        <f t="shared" ref="NZ219:NZ248" si="942">IF(BS219="","",IF(BS219&lt;10,"Menor",INT(BS219)))</f>
        <v>Menor</v>
      </c>
      <c r="OA219" s="43" t="str">
        <f t="shared" ref="OA219:OA248" si="943">IF(AND(NZ219=$OA$2,CI219&gt;10,CI219&lt;18.5),"BAJO PESO",IF(AND(NZ219=$OA$2,CI219&gt;18.4,CI219&lt;25),"NORMAL",IF(AND(NZ219=$OA$2,CI219&gt;24,CI219&lt;30),"SOBREPESO",IF(AND(NZ219=$OA$2,CI219&gt;29,CI219&lt;50),"OBESIDAD",""))))</f>
        <v>NORMAL</v>
      </c>
      <c r="OB219" s="43" t="str">
        <f t="shared" ref="OB219:OB248" si="944">IF(AND(NZ219=$OB$2,CI219&gt;10,CI219&lt;20.3),"BAJO PESO",IF(AND(NZ219=$OB$2,CI219&gt;20.2,CI219&lt;25.3),"NORMAL",IF(AND(NZ219=$OB$2,CI219&gt;25.2,CI219&lt;30.3),"SOBREPESO",IF(AND(NZ219=$OB$2,CI219&gt;30.2,CI219&lt;50),"OBESIDAD",""))))</f>
        <v/>
      </c>
      <c r="OC219" s="43" t="str">
        <f t="shared" ref="OC219:OC248" si="945">IF(AND(NZ219=$OC$2,CI219&gt;10,CI219&lt;20.4),"BAJO PESO",IF(AND(NZ219=$OC$2,CI219&gt;20.3,CI219&lt;25.4),"NORMAL",IF(AND(NZ219=$OC$2,CI219&gt;25.3,CI219&lt;30.4),"SOBREPESO",IF(AND(NZ219=$OC$2,CI219&gt;30.3,CI219&lt;50),"OBESIDAD",""))))</f>
        <v/>
      </c>
      <c r="OD219" s="43" t="str">
        <f t="shared" ref="OD219:OD248" si="946">IF(AND(NZ219=$OD$2,CI219&gt;10,CI219&lt;20.5),"BAJO PESO",IF(AND(NZ219=$OD$2,CI219&gt;20.4,CI219&lt;25.5),"NORMAL",IF(AND(NZ219=$OD$2,CI219&gt;25.4,CI219&lt;30.4),"SOBREPESO",IF(AND(NZ219=$OD$2,CI219&gt;30.3,CI219&lt;50),"OBESIDAD",""))))</f>
        <v/>
      </c>
      <c r="OE219" s="43" t="str">
        <f t="shared" ref="OE219:OE248" si="947">IF(AND(NZ219=$OE$2,CI219&gt;10,CI219&lt;20.7),"BAJO PESO",IF(AND(NZ219=$OE$2,CI219&gt;20.6,CI219&lt;25.7),"NORMAL",IF(AND(NZ219=$OE$2,CI219&gt;25.7,CI219&lt;30.5),"SOBREPESO",IF(AND(NZ219=$OE$2,CI219&gt;30.4,CI219&lt;50),"OBESIDAD",""))))</f>
        <v/>
      </c>
      <c r="OF219" s="43" t="str">
        <f t="shared" ref="OF219:OF248" si="948">IF(AND(NZ219=$OF$2,CI219&gt;10,CI219&lt;20.8),"BAJO PESO",IF(AND(NZ219=$OF$2,CI219&gt;20.7,CI219&lt;25.8),"NORMAL",IF(AND(NZ219=$OF$2,CI219&gt;25.7,CI219&lt;30.6),"SOBREPESO",IF(AND(NZ219=$OF$2,CI219&gt;30.5,CI219&lt;50),"OBESIDAD",""))))</f>
        <v/>
      </c>
      <c r="OG219" s="43" t="str">
        <f t="shared" ref="OG219:OG248" si="949">IF(AND(NZ219=$OG$2,CI219&gt;10,CI219&lt;20.9),"BAJO PESO",IF(AND(NZ219=$OG$2,CI219&gt;20.8,CI219&lt;25.9),"NORMAL",IF(AND(NZ219=$OG$2,CI219&gt;25.8,CI219&lt;30.7),"SOBREPESO",IF(AND(NZ219=$OG$2,CI219&gt;30.6,CI219&lt;50),"OBESIDAD",""))))</f>
        <v/>
      </c>
      <c r="OH219" s="43" t="str">
        <f t="shared" ref="OH219:OH248" si="950">IF(AND(NZ219=$OH$2,CI219&gt;10,CI219&lt;21.1),"BAJO PESO",IF(AND(NZ219=$OH$2,CI219&gt;21,CI219&lt;26),"NORMAL",IF(AND(NZ219=$OH$2,CI219&gt;25.9,CI219&lt;30.8),"SOBREPESO",IF(AND(NZ219=$OH$2,CI219&gt;30.7,CI219&lt;50),"OBESIDAD",""))))</f>
        <v/>
      </c>
      <c r="OI219" s="43" t="str">
        <f t="shared" ref="OI219:OI248" si="951">IF(AND(NZ219=$OI$2,CI219&gt;10,CI219&lt;21.2),"BAJO PESO",IF(AND(NZ219=$OI$2,CI219&gt;21.1,CI219&lt;26.1),"NORMAL",IF(AND(NZ219=$OI$2,CI219&gt;26,CI219&lt;31.9),"SOBREPESO",IF(AND(NZ219=$OI$2,CI219&gt;30.8,CI219&lt;50),"OBESIDAD",""))))</f>
        <v/>
      </c>
      <c r="OJ219" s="43" t="str">
        <f t="shared" ref="OJ219:OJ248" si="952">IF(AND(NZ219=$OJ$2,CI219&gt;10,CI219&lt;21.3),"BAJO PESO",IF(AND(NZ219=$OJ$2,CI219&gt;21.2,CI219&lt;26.2),"NORMAL",IF(AND(NZ219=$OJ$2,CI219&gt;26.1,CI219&lt;31),"SOBREPESO",IF(AND(NZ219=$OJ$2,CI219&gt;30.9,CI219&lt;50),"OBESIDAD",""))))</f>
        <v/>
      </c>
      <c r="OK219" s="43" t="str">
        <f t="shared" ref="OK219:OK248" si="953">IF(AND(NZ219=$OK$2,CI219&gt;10,CI219&lt;21.5),"BAJO PESO",IF(AND(NZ219=$OK$2,CI219&gt;21.4,CI219&lt;26.3),"NORMAL",IF(AND(NZ219=$OK$2,CI219&gt;26.2,CI219&lt;31),"SOBREPESO",IF(AND(NZ219=$OK$2,CI219&gt;30.9,CI219&lt;50),"OBESIDAD",""))))</f>
        <v/>
      </c>
      <c r="OL219" s="43" t="str">
        <f t="shared" ref="OL219:OL248" si="954">IF(AND(NZ219=$OL$2,CI219&gt;10,CI219&lt;21.6),"BAJO PESO",IF(AND(NZ219=$OL$2,CI219&gt;21.5,CI219&lt;26.4),"NORMAL",IF(AND(NZ219=$OL$2,CI219&gt;26.3,CI219&lt;31.1),"SOBREPESO",IF(AND(NZ219=$OL$2,CI219&gt;31,CI219&lt;50),"OBESIDAD",""))))</f>
        <v/>
      </c>
      <c r="OM219" s="43" t="str">
        <f t="shared" ref="OM219:OM248" si="955">IF(AND(NZ219=$OM$2,CI219&gt;10,CI219&lt;21.8),"BAJO PESO",IF(AND(NZ219=$OM$2,CI219&gt;21.7,CI219&lt;26.5),"NORMAL",IF(AND(NZ219=$OM$2,CI219&gt;26.4,CI219&lt;31.2),"SOBREPESO",IF(AND(NZ219=$OM$2,CI219&gt;31.1,CI219&lt;50),"OBESIDAD",""))))</f>
        <v/>
      </c>
      <c r="ON219" s="43" t="str">
        <f t="shared" ref="ON219:ON248" si="956">IF(AND(NZ219=$ON$2,CI219&gt;10,CI219&lt;21.9),"BAJO PESO",IF(AND(NZ219=$ON$2,CI219&gt;21.8,CI219&lt;26.7),"NORMAL",IF(AND(NZ219=$ON$2,CI219&gt;26.6,CI219&lt;31.3),"SOBREPESO",IF(AND(NZ219=$ON$2,CI219&gt;31.2,CI219&lt;50),"OBESIDAD",""))))</f>
        <v/>
      </c>
      <c r="OO219" s="43" t="str">
        <f t="shared" ref="OO219:OO248" si="957">IF(AND(NZ219=$OO$2,CI219&gt;10,CI219&lt;22.1),"BAJO PESO",IF(AND(NZ219=$OO$2,CI219&gt;22,CI219&lt;26.8),"NORMAL",IF(AND(NZ219=$OO$2,CI219&gt;26.7,CI219&lt;31.4),"SOBREPESO",IF(AND(NZ219=$OO$2,CI219&gt;31.3,CI219&lt;50),"OBESIDAD",""))))</f>
        <v/>
      </c>
      <c r="OP219" s="43" t="str">
        <f t="shared" ref="OP219:OP248" si="958">IF(AND(NZ219=$OP$2,CI219&gt;10,CI219&lt;22.3),"BAJO PESO",IF(AND(NZ219=$OP$2,CI219&gt;22.2,CI219&lt;27),"NORMAL",IF(AND(NZ219=$OP$2,CI219&gt;26.9,CI219&lt;31.6),"SOBREPESO",IF(AND(NZ219=$OP$2,CI219&gt;31.5,CI219&lt;50),"OBESIDAD",""))))</f>
        <v/>
      </c>
      <c r="OQ219" s="43" t="str">
        <f t="shared" ref="OQ219:OQ248" si="959">IF(AND(NZ219=$OQ$2,$CI219&gt;10,CI219&lt;22.5),"BAJO PESO",IF(AND(NZ219=$OQ$2,CI219&gt;22.4,CI219&lt;27.1),"NORMAL",IF(AND(NZ219=$OQ$2,CI219&gt;27,CI219&lt;31.7),"SOBREPESO",IF(AND(NZ219=$OQ$2,CI219&gt;31.6,CI219&lt;50),"OBESIDAD",""))))</f>
        <v/>
      </c>
      <c r="OR219" s="43" t="str">
        <f t="shared" ref="OR219:OR248" si="960">IF(AND(NZ219=$OR$2,CI219&gt;10,CI219&lt;22.7),"BAJO PESO",IF(AND(NZ219=$OR$2,CI219&gt;22.6,CI219&lt;27.3),"NORMAL",IF(AND(NZ219=$OR$2,CI219&gt;27.1,CI219&lt;31.8),"SOBREPESO",IF(AND(NZ219=$OR$2,CI219&gt;31.7,CI219&lt;50),"OBESIDAD",""))))</f>
        <v/>
      </c>
      <c r="OS219" s="43" t="str">
        <f t="shared" ref="OS219:OS248" si="961">IF(AND(NZ219=$OS$2,CI219&gt;10,CI219&lt;22.8),"BAJO PESO",IF(AND(NZ219=$OS$2,CI219&gt;22.7,CI219&lt;27.4),"NORMAL",IF(AND(NZ219=$OS$2,CI219&gt;27.3,CI219&lt;31.9),"SOBREPESO",IF(AND(NZ219=$OS$2,CI219&gt;31.8,CI219&lt;50),"OBESIDAD",""))))</f>
        <v/>
      </c>
      <c r="OT219" s="43" t="str">
        <f t="shared" ref="OT219:OT248" si="962">IF(AND(NZ219=$OT$2,CI219&gt;10,CI219&lt;23),"BAJO PESO",IF(AND(NZ219=$OT$2,CI219&gt;22.9,CI219&lt;27.6),"NORMAL",IF(AND(NZ219=$OT$2,CI219&gt;27.5,CI219&lt;32),"SOBREPESO",IF(AND(NZ219=$OT$2,CI219&gt;31.9,CI219&lt;50),"OBESIDAD",""))))</f>
        <v/>
      </c>
      <c r="OU219" s="43" t="str">
        <f t="shared" ref="OU219:OU248" si="963">IF(AND(NZ219=$OU$2,CI219&gt;10,CI219&lt;23.2),"BAJO PESO",IF(AND(NZ219=$OU$2,CI219&gt;23.1,CI219&lt;27.7),"NORMAL",IF(AND(NZ219=$OU$2,CI219&gt;27.6,CI219&lt;32.1),"SOBREPESO",IF(AND(NZ219=$OU$2,CI219&gt;32,CI219&lt;50),"OBESIDAD",""))))</f>
        <v/>
      </c>
      <c r="OV219" s="110" t="str">
        <f t="shared" ref="OV219:OV248" si="964">IF(AND(NZ219=$OV$2,CI219&gt;10,CI219&lt;23.4),"BAJO PESO",IF(AND(NZ219=$OV$2,CI219&gt;23.3,CI219&lt;27.9),"NORMAL",IF(AND(NZ219=$OV$2,CI219&gt;27.8,CI219&lt;32.2),"SOBREPESO",IF(AND(NZ219=$OV$2,CI219&gt;32.1,CI219&lt;50),"OBESIDAD",""))))</f>
        <v/>
      </c>
      <c r="OW219" s="43" t="str">
        <f t="shared" ref="OW219:OW248" si="965">IF(AND(NZ219=$OW$2,CI219&gt;10,CI219&lt;23.5),"BAJO PESO",IF(AND(NZ219=$OW$2,CI219&gt;23.4,CI219&lt;28),"NORMAL",IF(AND(NZ219=$OW$2,CI219&gt;27.9,CI219&lt;32.1),"SOBREPESO",IF(AND(NZ219=$OW$2,CI219&gt;32.2,CI219&lt;50),"OBESIDAD",""))))</f>
        <v/>
      </c>
      <c r="OX219" s="43" t="str">
        <f t="shared" ref="OX219:OX248" si="966">IF(AND(NZ219=$OX$2,CI219&gt;10,CI219&lt;23.7),"BAJO PESO",IF(AND(NZ219=$OX$2,CI219&gt;23.6,CI219&lt;28.1),"NORMAL",IF(AND(NZ219=$OX$2,CI219&gt;28,CI219&lt;33.4),"SOBREPESO",IF(AND(NZ219=$OX$2,CI219&gt;33.3,CI219&lt;50),"OBESIDAD",""))))</f>
        <v/>
      </c>
      <c r="OY219" s="43" t="str">
        <f t="shared" ref="OY219:OY248" si="967">IF(AND(NZ219=$OY$2,CI219&gt;10,CI219&lt;23.9),"BAJO PESO",IF(AND(NZ219=$OY$2,CI219&gt;23.8,CI219&lt;28.2),"NORMAL",IF(AND(NZ219=$OY$2,CI219&gt;28.1,CI219&lt;33.5),"SOBREPESO",IF(AND(NZ219=$OY$2,CI219&gt;33.4,CI219&lt;50),"OBESIDAD",""))))</f>
        <v/>
      </c>
      <c r="OZ219" s="43" t="str">
        <f t="shared" ref="OZ219:OZ248" si="968">IF(AND(NZ219=$OZ$2,CI219&gt;10,CI219&lt;24),"BAJO PESO",IF(AND(NZ219=$OZ$2,CI219&gt;23.9,CI219&lt;28.4),"NORMAL",IF(AND(NZ219=$OZ$2,CI219&gt;28.3,CI219&lt;33.6),"SOBREPESO",IF(AND(NZ219=$OZ$2,CI219&gt;33.5,CI219&lt;50),"OBESIDAD",""))))</f>
        <v/>
      </c>
      <c r="PA219" s="43" t="str">
        <f t="shared" ref="PA219:PA248" si="969">IF(AND(NZ219=$PA$2,CI219&gt;10,CI219&lt;24.2),"BAJO PESO",IF(AND(NZ219=$PA$2,CI219&gt;24.1,CI219&lt;28.5),"NORMAL",IF(AND(NZ219=$PA$2,CI219&gt;28.4,CI219&lt;33.7),"SOBREPESO",IF(AND(NZ219=$PA$2,CI219&gt;33.6,CI219&lt;50),"OBESIDAD",""))))</f>
        <v/>
      </c>
      <c r="PB219" s="43" t="str">
        <f t="shared" ref="PB219:PB248" si="970">IF(AND(NZ219=$PB$2,CI219&gt;10,CI219&lt;24.3),"BAJO PESO",IF(AND(NZ219=$PB$2,CI219&gt;24.2,CI219&lt;28.6),"NORMAL",IF(AND(NZ219=$PB$2,CI219&gt;28.5,CI219&lt;33.8),"SOBREPESO",IF(AND(NZ219=$PB$2,CI219&gt;33.7,CI219&lt;50),"OBESIDAD",""))))</f>
        <v/>
      </c>
      <c r="PC219" s="43" t="str">
        <f t="shared" ref="PC219:PC248" si="971">IF(AND(NZ219=$PC$2,CI219&gt;10,CI219&lt;24.5),"BAJO PESO",IF(AND(NZ219=$PC$2,CI219&gt;24.4,CI219&lt;28.8),"NORMAL",IF(AND(NZ219=$PC$2,CI219&gt;28.7,CI219&lt;32.9),"SOBREPESO",IF(AND(NZ219=$PC$2,CI219&gt;32.8,CI219&lt;50),"OBESIDAD",""))))</f>
        <v/>
      </c>
      <c r="PD219" s="43" t="str">
        <f t="shared" ref="PD219:PD248" si="972">IF(AND(NZ219=$PD$2,CI219&gt;10,CI219&lt;24.6),"BAJO PESO",IF(AND(NZ219=$PD$2,CI219&gt;24.5,CI219&lt;28.9),"NORMAL",IF(AND(NZ219=$PD$2,CI219&gt;28.8,CI219&lt;33),"SOBREPESO",IF(AND(NZ219=$PD$2,CI219&gt;32.9,CI219&lt;50),"OBESIDAD",""))))</f>
        <v/>
      </c>
      <c r="PE219" s="43" t="str">
        <f t="shared" ref="PE219:PE248" si="973">IF(AND(NZ219=$PE$2,CI219&gt;10,CI219&lt;24.8),"BAJO PESO",IF(AND(NZ219=$PE$2,CI219&gt;24.7,CI219&lt;29),"NORMAL",IF(AND(NZ219=$PE$2,CI219&gt;28.9,CI219&lt;33.1),"SOBREPESO",IF(AND(NZ219=$PE$2,CI219&gt;33,CI219&lt;50),"OBESIDAD",""))))</f>
        <v/>
      </c>
      <c r="PF219" s="43" t="str">
        <f t="shared" ref="PF219:PF248" si="974">IF(AND(NZ219=$PF$2,CI219&gt;10,CI219&lt;25),"BAJO PESO",IF(AND(NZ219=$PF$2,CI219&gt;24.9,CI219&lt;29.2),"NORMAL",IF(AND(NZ219=$PF$2,CI219&gt;29.1,CI219&lt;33.2),"SOBREPESO",IF(AND(NZ219=$PF$2,CI219&gt;33.1,CI219&lt;50),"OBESIDAD",""))))</f>
        <v/>
      </c>
      <c r="PG219" s="43" t="str">
        <f t="shared" ref="PG219:PG248" si="975">IF(AND(NZ219=$PG$2,CI219&gt;10,CI219&lt;25.1),"BAJO PESO",IF(AND(NZ219=$PG$2,CI219&gt;25,CI219&lt;29.3),"NORMAL",IF(AND(NZ219=$PG$2,CI219&gt;29.2,CI219&lt;33.3),"SOBREPESO",IF(AND(NZ219=$PG$2,CI219&gt;33.2,CI219&lt;50),"OBESIDAD",""))))</f>
        <v/>
      </c>
      <c r="PH219" s="43" t="str">
        <f t="shared" ref="PH219:PH248" si="976">IF(AND(NZ219=$PH$2,CI219&gt;10,CI219&lt;25.1),"BAJO PESO",IF(AND(NZ219=$PH$2,CI219&gt;25,CI219&lt;29.4),"NORMAL",IF(AND(NZ219=$PH$2,CI219&gt;29.3,CI219&lt;33.3),"SOBREPESO",IF(AND(NZ219=$PH$2,CI219&gt;33.2,CI219&lt;50),"OBESIDAD",""))))</f>
        <v/>
      </c>
      <c r="PI219" s="43">
        <f t="shared" ref="PI219:PI248" si="977">IF(DZ219="","",IF(DZ219&lt;10,"Menor",DZ219))</f>
        <v>13</v>
      </c>
      <c r="PJ219" s="43" t="str">
        <f t="shared" ref="PJ219:PJ248" si="978">IF(AND(PI219=$PJ$2,CM219&gt;10,CM219&lt;18.5),"BAJO PESO",IF(AND(PI219=$PJ$2,CM219&gt;18.4,CM219&lt;25),"NORMAL",IF(AND(PI219=$PJ$2,CM219&gt;24,CM219&lt;30),"SOBREPESO",IF(AND(PI219=$PJ$2,CM219&gt;29,CM219&lt;50),"OBESIDAD",""))))</f>
        <v/>
      </c>
      <c r="PK219" s="43" t="str">
        <f t="shared" ref="PK219:PK248" si="979">IF(AND(PI219=$PK$2,CM219&gt;10,CM219&lt;20.3),"BAJO PESO",IF(AND(PI219=$PK$2,CM219&gt;20.2,CM219&lt;25.3),"NORMAL",IF(AND(PI219=$PK$2,CM219&gt;25.2,CM219&lt;30.3),"SOBREPESO",IF(AND(PI219=$PK$2,CM219&gt;30.2,CM219&lt;50),"OBESIDAD",""))))</f>
        <v/>
      </c>
      <c r="PL219" s="43" t="str">
        <f t="shared" ref="PL219:PL248" si="980">IF(AND(PI219=$PL$2,CM219&gt;10,CM219&lt;20.4),"BAJO PESO",IF(AND(PI219=$PL$2,CM219&gt;20.3,CM219&lt;25.4),"NORMAL",IF(AND(PI219=$PL$2,CM219&gt;25.3,CM219&lt;30.4),"SOBREPESO",IF(AND(PI219=$PL$2,CM219&gt;30.3,CM219&lt;50),"OBESIDAD",""))))</f>
        <v/>
      </c>
      <c r="PM219" s="43" t="str">
        <f t="shared" ref="PM219:PM248" si="981">IF(AND(PI219=$PM$2,CM219&gt;10,CM219&lt;20.5),"BAJO PESO",IF(AND(PI219=$PM$2,CM219&gt;20.4,CM219&lt;25.5),"NORMAL",IF(AND(PI219=$PM$2,CM219&gt;25.4,CM219&lt;30.4),"SOBREPESO",IF(AND(PI219=$PM$2,CM219&gt;30.3,CM219&lt;50),"OBESIDAD",""))))</f>
        <v/>
      </c>
      <c r="PN219" s="43" t="str">
        <f t="shared" ref="PN219:PN248" si="982">IF(AND(PI219=$PN$2,CM219&gt;10,CM219&lt;20.7),"BAJO PESO",IF(AND(PI219=$PN$2,CM219&gt;20.6,CM219&lt;25.7),"NORMAL",IF(AND(PI219=$PN$2,CM219&gt;25.7,CM219&lt;30.5),"SOBREPESO",IF(AND(PI219=$PN$2,CM219&gt;30.4,CM219&lt;50),"OBESIDAD",""))))</f>
        <v>NORMAL</v>
      </c>
      <c r="PO219" s="43" t="str">
        <f t="shared" ref="PO219:PO248" si="983">IF(AND(PI219=$PO$2,CM219&gt;10,CM219&lt;20.8),"BAJO PESO",IF(AND(PI219=$PO$2,CM219&gt;20.7,CM219&lt;25.8),"NORMAL",IF(AND(PI219=$PO$2,CM219&gt;25.7,CM219&lt;30.6),"SOBREPESO",IF(AND(PI219=$PO$2,CM219&gt;30.5,CM219&lt;50),"OBESIDAD",""))))</f>
        <v/>
      </c>
      <c r="PP219" s="43" t="str">
        <f t="shared" ref="PP219:PP248" si="984">IF(AND(PI219=$PP$2,CM219&gt;10,CM219&lt;20.9),"BAJO PESO",IF(AND(PI219=$PP$2,CM219&gt;20.8,CM219&lt;25.9),"NORMAL",IF(AND(PI219=$PP$2,CM219&gt;25.8,CM219&lt;30.7),"SOBREPESO",IF(AND(PI219=$PP$2,CM219&gt;30.6,CM219&lt;50),"OBESIDAD",""))))</f>
        <v/>
      </c>
      <c r="PQ219" s="43" t="str">
        <f t="shared" ref="PQ219:PQ248" si="985">IF(AND(PI219=$PQ$2,CM219&gt;10,CM219&lt;21.1),"BAJO PESO",IF(AND(PI219=$PQ$2,CM219&gt;21,CM219&lt;26),"NORMAL",IF(AND(PI219=$PQ$2,CM219&gt;25.9,CM219&lt;30.8),"SOBREPESO",IF(AND(PI219=$PQ$2,CM219&gt;30.7,CM219&lt;50),"OBESIDAD",""))))</f>
        <v/>
      </c>
      <c r="PR219" s="43" t="str">
        <f t="shared" ref="PR219:PR248" si="986">IF(AND(PI219=$PR$2,CM219&gt;10,CM219&lt;21.2),"BAJO PESO",IF(AND(PI219=$PR$2,CM219&gt;21.1,CM219&lt;26.1),"NORMAL",IF(AND(PI219=$PR$2,CM219&gt;26,CM219&lt;31.9),"SOBREPESO",IF(AND(PI219=$PR$2,CM219&gt;30.8,CM219&lt;50),"OBESIDAD",""))))</f>
        <v/>
      </c>
      <c r="PS219" s="43" t="str">
        <f t="shared" ref="PS219:PS248" si="987">IF(AND(PI219=$PS$2,CM219&gt;10,CM219&lt;21.3),"BAJO PESO",IF(AND(PI219=$PS$2,CM219&gt;21.2,CM219&lt;26.2),"NORMAL",IF(AND(PI219=$PS$2,CM219&gt;26.1,CM219&lt;31),"SOBREPESO",IF(AND(PI219=$PS$2,CM219&gt;30.9,CM219&lt;50),"OBESIDAD",""))))</f>
        <v/>
      </c>
      <c r="PT219" s="43" t="str">
        <f t="shared" ref="PT219:PT248" si="988">IF(AND(PI219=$PT$2,CM219&gt;10,CM219&lt;21.5),"BAJO PESO",IF(AND(PI219=$PT$2,CM219&gt;21.4,CM219&lt;26.3),"NORMAL",IF(AND(PI219=$PT$2,CM219&gt;26.2,CM219&lt;31),"SOBREPESO",IF(AND(PI219=$PT$2,CM219&gt;30.9,CM219&lt;50),"OBESIDAD",""))))</f>
        <v/>
      </c>
      <c r="PU219" s="43" t="str">
        <f t="shared" ref="PU219:PU248" si="989">IF(AND(PI219=$PU$2,CM219&gt;10,CM219&lt;21.6),"BAJO PESO",IF(AND(PI219=$PU$2,CM219&gt;21.5,CM219&lt;26.4),"NORMAL",IF(AND(PI219=$PU$2,CM219&gt;26.3,CM219&lt;31.1),"SOBREPESO",IF(AND(PI219=$PU$2,CM219&gt;31,CM219&lt;50),"OBESIDAD",""))))</f>
        <v/>
      </c>
      <c r="PV219" s="43" t="str">
        <f t="shared" ref="PV219:PV248" si="990">IF(AND(PI219=$PV$2,CM219&gt;10,CM219&lt;21.8),"BAJO PESO",IF(AND(PI219=$PV$2,CM219&gt;21.7,CM219&lt;26.5),"NORMAL",IF(AND(PI219=$PV$2,CM219&gt;26.4,CM219&lt;31.2),"SOBREPESO",IF(AND(PI219=$PV$2,CM219&gt;31.1,CM219&lt;50),"OBESIDAD",""))))</f>
        <v/>
      </c>
      <c r="PW219" s="43" t="str">
        <f t="shared" ref="PW219:PW248" si="991">IF(AND(PI219=$PW$2,CM219&gt;10,CM219&lt;21.9),"BAJO PESO",IF(AND(PI219=$PW$2,CM219&gt;21.8,CM219&lt;26.7),"NORMAL",IF(AND(PI219=$PW$2,CM219&gt;26.6,CM219&lt;31.3),"SOBREPESO",IF(AND(PI219=$PW$2,CM219&gt;31.2,CM219&lt;50),"OBESIDAD",""))))</f>
        <v/>
      </c>
      <c r="PX219" s="43" t="str">
        <f t="shared" ref="PX219:PX248" si="992">IF(AND(PI219=$PX$2,CM219&gt;10,CM219&lt;22.1),"BAJO PESO",IF(AND(PI219=$PX$2,CM219&gt;22,CM219&lt;26.8),"NORMAL",IF(AND(PI219=$PX$2,CM219&gt;26.7,CM219&lt;31.4),"SOBREPESO",IF(AND(PI219=$PX$2,CM219&gt;31.3,CM219&lt;50),"OBESIDAD",""))))</f>
        <v/>
      </c>
      <c r="PY219" s="43" t="str">
        <f t="shared" ref="PY219:PY248" si="993">IF(AND(PI219=$PY$2,CM219&gt;10,CM219&lt;22.3),"BAJO PESO",IF(AND(PI219=$PY$2,CM219&gt;22.2,CM219&lt;27),"NORMAL",IF(AND(PI219=$PY$2,CM219&gt;26.9,CM219&lt;31.6),"SOBREPESO",IF(AND(PI219=$PY$2,CM219&gt;31.5,CM219&lt;50),"OBESIDAD",""))))</f>
        <v/>
      </c>
      <c r="PZ219" s="43" t="str">
        <f t="shared" ref="PZ219:PZ248" si="994">IF(AND(PI219=$PZ$2,$CM219&gt;10,CM219&lt;22.5),"BAJO PESO",IF(AND(PI219=$PZ$2,CM219&gt;22.4,CM219&lt;27.1),"NORMAL",IF(AND(PI219=$PZ$2,CM219&gt;27,CM219&lt;31.7),"SOBREPESO",IF(AND(PI219=$PZ$2,CM219&gt;31.6,CM219&lt;50),"OBESIDAD",""))))</f>
        <v/>
      </c>
      <c r="QA219" s="43" t="str">
        <f t="shared" ref="QA219:QA248" si="995">IF(AND(PI219=$QA$2,CM219&gt;10,CM219&lt;22.7),"BAJO PESO",IF(AND(PI219=$QA$2,CM219&gt;22.6,CM219&lt;27.3),"NORMAL",IF(AND(PI219=$QA$2,CM219&gt;27.1,CM219&lt;31.8),"SOBREPESO",IF(AND(PI219=$QA$2,CM219&gt;31.7,CM219&lt;50),"OBESIDAD",""))))</f>
        <v/>
      </c>
      <c r="QB219" s="43" t="str">
        <f t="shared" ref="QB219:QB248" si="996">IF(AND(PI219=$QB$2,CM219&gt;10,CM219&lt;22.8),"BAJO PESO",IF(AND(PI219=$QB$2,CM219&gt;22.7,CM219&lt;27.4),"NORMAL",IF(AND(PI219=$QB$2,CM219&gt;27.3,CM219&lt;31.9),"SOBREPESO",IF(AND(PI219=$QB$2,CM219&gt;31.8,CM219&lt;50),"OBESIDAD",""))))</f>
        <v/>
      </c>
      <c r="QC219" s="43" t="str">
        <f t="shared" ref="QC219:QC248" si="997">IF(AND(PI219=$QC$2,CM219&gt;10,CM219&lt;23),"BAJO PESO",IF(AND(PI219=$QC$2,CM219&gt;22.9,CM219&lt;27.6),"NORMAL",IF(AND(PI219=$QC$2,CM219&gt;27.5,CM219&lt;32),"SOBREPESO",IF(AND(PI219=$QC$2,CM219&gt;31.9,CM219&lt;50),"OBESIDAD",""))))</f>
        <v/>
      </c>
      <c r="QD219" s="43" t="str">
        <f t="shared" ref="QD219:QD248" si="998">IF(AND(PI219=$QD$2,CM219&gt;10,CM219&lt;23.2),"BAJO PESO",IF(AND(PI219=$QD$2,CM219&gt;23.1,CM219&lt;27.7),"NORMAL",IF(AND(PI219=$QD$2,CM219&gt;27.6,CM219&lt;32.1),"SOBREPESO",IF(AND(PI219=$QD$2,CM219&gt;32,CM219&lt;50),"OBESIDAD",""))))</f>
        <v/>
      </c>
      <c r="QE219" s="43" t="str">
        <f t="shared" ref="QE219:QE248" si="999">IF(AND(PI219=$QE$2,CM219&gt;10,CM219&lt;23.4),"BAJO PESO",IF(AND(PI219=$QE$2,CM219&gt;23.3,CM219&lt;27.9),"NORMAL",IF(AND(PI219=$QE$2,CM219&gt;27.8,CM219&lt;32.2),"SOBREPESO",IF(AND(PI219=$QE$2,CM219&gt;32.1,CM219&lt;50),"OBESIDAD",""))))</f>
        <v/>
      </c>
      <c r="QF219" s="43" t="str">
        <f t="shared" ref="QF219:QF248" si="1000">IF(AND(PI219=$QF$2,CM219&gt;10,CM219&lt;23.5),"BAJO PESO",IF(AND(PI219=$QF$2,CM219&gt;23.4,CM219&lt;28),"NORMAL",IF(AND(PI219=$QF$2,CM219&gt;27.9,CM219&lt;32.1),"SOBREPESO",IF(AND(PI219=$QF$2,CM219&gt;32.2,CM219&lt;50),"OBESIDAD",""))))</f>
        <v/>
      </c>
      <c r="QG219" s="43" t="str">
        <f t="shared" ref="QG219:QG248" si="1001">IF(AND(PI219=$QG$2,CM219&gt;10,CM219&lt;23.7),"BAJO PESO",IF(AND(PI219=$QG$2,CM219&gt;23.6,CM219&lt;28.1),"NORMAL",IF(AND(PI219=$QG$2,CM219&gt;28,CM219&lt;33.4),"SOBREPESO",IF(AND(PI219=$QG$2,CM219&gt;33.3,CM219&lt;50),"OBESIDAD",""))))</f>
        <v/>
      </c>
      <c r="QH219" s="43" t="str">
        <f t="shared" ref="QH219:QH248" si="1002">IF(AND(PI219=$QH$2,CM219&gt;10,CM219&lt;23.9),"BAJO PESO",IF(AND(PI219=$QH$2,CM219&gt;23.8,CM219&lt;28.2),"NORMAL",IF(AND(PI219=$QH$2,CM219&gt;28.1,CM219&lt;33.5),"SOBREPESO",IF(AND(PI219=$QH$2,CM219&gt;33.4,CM219&lt;50),"OBESIDAD",""))))</f>
        <v/>
      </c>
      <c r="QI219" s="43" t="str">
        <f t="shared" ref="QI219:QI248" si="1003">IF(AND(PI219=$QI$2,CM219&gt;10,CM219&lt;24),"BAJO PESO",IF(AND(PI219=$QI$2,CM219&gt;23.9,CM219&lt;28.4),"NORMAL",IF(AND(PI219=$QI$2,CM219&gt;28.3,CM219&lt;33.6),"SOBREPESO",IF(AND(PI219=$QI$2,CM219&gt;33.5,CM219&lt;50),"OBESIDAD",""))))</f>
        <v/>
      </c>
      <c r="QJ219" s="43" t="str">
        <f t="shared" ref="QJ219:QJ248" si="1004">IF(AND(PI219=$QJ$2,CM219&gt;10,CM219&lt;24.2),"BAJO PESO",IF(AND(PI219=$QJ$2,CM219&gt;24.1,CM219&lt;28.5),"NORMAL",IF(AND(PI219=$QJ$2,CM219&gt;28.4,CM219&lt;33.7),"SOBREPESO",IF(AND(PI219=$QJ$2,CM219&gt;33.6,CM219&lt;50),"OBESIDAD",""))))</f>
        <v/>
      </c>
      <c r="QK219" s="43" t="str">
        <f t="shared" ref="QK219:QK248" si="1005">IF(AND(PI219=$QK$2,CM219&gt;10,CM219&lt;24.3),"BAJO PESO",IF(AND(PI219=$QK$2,CM219&gt;24.2,CM219&lt;28.6),"NORMAL",IF(AND(PI219=$QK$2,CM219&gt;28.5,CM219&lt;33.8),"SOBREPESO",IF(AND(PI219=$QK$2,CM219&gt;33.7,CM219&lt;50),"OBESIDAD",""))))</f>
        <v/>
      </c>
      <c r="QL219" s="43" t="str">
        <f t="shared" ref="QL219:QL248" si="1006">IF(AND(PI219=$QL$2,CM219&gt;10,CM219&lt;24.5),"BAJO PESO",IF(AND(PI219=$QL$2,CM219&gt;24.4,CM219&lt;28.8),"NORMAL",IF(AND(PI219=$QL$2,CM219&gt;28.7,CM219&lt;32.9),"SOBREPESO",IF(AND(PI219=$QL$2,CM219&gt;32.8,CM219&lt;50),"OBESIDAD",""))))</f>
        <v/>
      </c>
      <c r="QM219" s="43" t="str">
        <f t="shared" ref="QM219:QM248" si="1007">IF(AND(PI219=$QM$2,CM219&gt;10,CM219&lt;24.6),"BAJO PESO",IF(AND(PI219=$QM$2,CM219&gt;24.5,CM219&lt;28.9),"NORMAL",IF(AND(PI219=$QM$2,CM219&gt;28.8,CM219&lt;33),"SOBREPESO",IF(AND(PI219=$QM$2,CM219&gt;32.9,CM219&lt;50),"OBESIDAD",""))))</f>
        <v/>
      </c>
      <c r="QN219" s="43" t="str">
        <f t="shared" ref="QN219:QN248" si="1008">IF(AND(PI219=$QN$2,CM219&gt;10,CM219&lt;24.8),"BAJO PESO",IF(AND(PI219=$QN$2,CM219&gt;24.7,CM219&lt;29),"NORMAL",IF(AND(PI219=$QN$2,CM219&gt;28.9,CM219&lt;33.1),"SOBREPESO",IF(AND(PI219=$QN$2,CM219&gt;33,CM219&lt;50),"OBESIDAD",""))))</f>
        <v/>
      </c>
      <c r="QO219" s="43" t="str">
        <f t="shared" ref="QO219:QO248" si="1009">IF(AND(PI219=$QO$2,CM219&gt;10,CM219&lt;25),"BAJO PESO",IF(AND(PI219=$QO$2,CM219&gt;24.9,CM219&lt;29.2),"NORMAL",IF(AND(PI219=$QO$2,CM219&gt;29.1,CM219&lt;33.2),"SOBREPESO",IF(AND(PI219=$QO$2,CM219&gt;33.1,CM219&lt;50),"OBESIDAD",""))))</f>
        <v/>
      </c>
      <c r="QP219" s="43" t="str">
        <f t="shared" ref="QP219:QP248" si="1010">IF(AND(PI219=$QP$2,CM219&gt;10,CM219&lt;25.1),"BAJO PESO",IF(AND(PI219=$QP$2,CM219&gt;25,CM219&lt;29.3),"NORMAL",IF(AND(PI219=$QP$2,CM219&gt;29.2,CM219&lt;33.3),"SOBREPESO",IF(AND(PI219=$QP$2,CM219&gt;33.2,CM219&lt;50),"OBESIDAD",""))))</f>
        <v/>
      </c>
      <c r="QQ219" s="43" t="str">
        <f t="shared" ref="QQ219:QQ248" si="1011">IF(AND(PI219=$QQ$2,CM219&gt;10,CM219&lt;25.1),"BAJO PESO",IF(AND(PI219=$QQ$2,CM219&gt;25,CM219&lt;29.4),"NORMAL",IF(AND(PI219=$QQ$2,CM219&gt;29.3,CM219&lt;33.3),"SOBREPESO",IF(AND(PI219=$QQ$2,CM219&gt;33.2,CM219&lt;50),"OBESIDAD",""))))</f>
        <v/>
      </c>
      <c r="QR219" s="43">
        <f t="shared" ref="QR219:QR248" si="1012">IF(DZ219="","",IF(DZ219&lt;13,"Menor",IF(DZ219&gt;40,"Mayor",DZ219)))</f>
        <v>13</v>
      </c>
      <c r="QS219" s="43"/>
      <c r="QT219" s="21" t="str">
        <f t="shared" ref="QT219:QT248" si="1013">IF(AND(QR219=$QT$2,CP219&gt;1,CP219&lt;8),"BAJO PARA EDAD GESTACIONAL",IF(AND(QR219=$QT$2,CP219&gt;=8,CP219&lt;=12),"ADECUADO PARA EDAD GESTACIONAL",IF(AND(QR219=$QT$2,CP219&gt;12,CP219&lt;38),"ALTO PARA EDAD GESTACIONAL","")))</f>
        <v/>
      </c>
      <c r="QU219" s="21" t="str">
        <f t="shared" ref="QU219:QU248" si="1014">IF(AND(QR219=$QU$2,CP219&gt;1,CP219&lt;8.5),"BAJO PARA EDAD GESTACIONAL",IF(AND(QR219=$QU$2,CP219&gt;=8.5,CP219&lt;=14.5),"ADECUADO PARA EDAD GESTACIONAL",IF(AND(QR219=$QU$2,CP219&gt;14.5,CP219&lt;38),"ALTO PARA EDAD GESTACIONAL","")))</f>
        <v/>
      </c>
      <c r="QV219" s="21" t="str">
        <f t="shared" ref="QV219:QV248" si="1015">IF(AND(QR219=$QV$2,CP219&gt;1,CP219&lt;9.5),"BAJO PARA EDAD GESTACIONAL",IF(AND(QR219=$QV$2,CP219&gt;=9.5,CP219&lt;=15),"ADECUADO PARA EDAD GESTACIONAL",IF(AND(QR219=$QV$2,CP219&gt;15,CP219&lt;38),"ALTO PARA EDAD GESTACIONAL","")))</f>
        <v/>
      </c>
      <c r="QW219" s="21" t="str">
        <f t="shared" ref="QW219:QW248" si="1016">IF(AND(QR219=$QW$2,CP219&gt;1,CP219&lt;11.5),"BAJO PARA EDAD GESTACIONAL",IF(AND(QR219=$QW$2,CP219&gt;=11.5,CP219&lt;=18),"ADECUADO PARA EDAD GESTACIONAL",IF(AND(QR219=$QW$2,CP219&gt;18,CP219&lt;38),"ALTO PARA EDAD GESTACIONAL","")))</f>
        <v/>
      </c>
      <c r="QX219" s="21" t="str">
        <f t="shared" ref="QX219:QX248" si="1017">IF(AND(QR219=$QX$2,CP219&gt;1,CP219&lt;12.5),"BAJO PARA EDAD GESTACIONAL",IF(AND(QR219=$QX$2,CP219&gt;=12.5,CP219&lt;=18),"ADECUADO PARA EDAD GESTACIONAL",IF(AND(QR219=$QX$2,CP219&gt;18,CP219&lt;38),"ALTO PARA EDAD GESTACIONAL","")))</f>
        <v/>
      </c>
      <c r="QY219" s="21" t="str">
        <f t="shared" ref="QY219:QY248" si="1018">IF(AND(QR219=$QY$2,CP219&gt;1,CP219&lt;13.5),"BAJO PARA EDAD GESTACIONAL",IF(AND(QR219=$QY$2,CP219&gt;=13.5,CP219&lt;=19),"ADECUADO PARA EDAD GESTACIONAL",IF(AND(QR219=$QY$2,CP219&gt;19,CP219&lt;38),"ALTO PARA EDAD GESTACIONAL","")))</f>
        <v/>
      </c>
      <c r="QZ219" s="21" t="str">
        <f t="shared" ref="QZ219:QZ248" si="1019">IF(AND(QR219=$QZ$2,CP219&gt;1,CP219&lt;14),"BAJO PARA EDAD GESTACIONAL",IF(AND(QR219=$QZ$2,CP219&gt;=14,CP219&lt;=19.5),"ADECUADO PARA EDAD GESTACIONAL",IF(AND(QR219=$QZ$2,CP219&gt;19.5,CP219&lt;38),"ALTO PARA EDAD GESTACIONAL","")))</f>
        <v/>
      </c>
      <c r="RA219" s="21" t="str">
        <f t="shared" ref="RA219:RA248" si="1020">IF(AND(QR219=$RA$2,CP219&gt;1,CP219&lt;15),"BAJO PARA EDAD GESTACIONAL",IF(AND(QR219=$RA$2,CP219&gt;=15,CP219&lt;=21),"ADECUADO PARA EDAD GESTACIONAL",IF(AND(QR219=$RA$2,CP219&gt;21,CP219&lt;38),"ALTO PARA EDAD GESTACIONAL","")))</f>
        <v/>
      </c>
      <c r="RB219" s="21" t="str">
        <f t="shared" ref="RB219:RB248" si="1021">IF(AND(QR219=$RB$2,CP219&gt;1,CP219&lt;15.5),"BAJO PARA EDAD GESTACIONAL",IF(AND(QR219=$RB$2,CP219&gt;=15.5,CP219&lt;=21.5),"ADECUADO PARA EDAD GESTACIONAL",IF(AND(QR219=$RB$2,CP219&gt;21.5,CP219&lt;38),"ALTO PARA EDAD GESTACIONAL","")))</f>
        <v/>
      </c>
      <c r="RC219" s="21" t="str">
        <f t="shared" ref="RC219:RC248" si="1022">IF(AND(QR219=$RC$2,CP219&gt;1,CP219&lt;16.5),"BAJO PARA EDAD GESTACIONAL",IF(AND(QR219=$RC$2,CP219&gt;=16.5,CP219&lt;=22.5),"ADECUADO PARA EDAD GESTACIONAL",IF(AND(QR219=$RC$2,CP219&gt;22.5,CP219&lt;38),"ALTO PARA EDAD GESTACIONAL","")))</f>
        <v/>
      </c>
      <c r="RD219" s="21" t="str">
        <f t="shared" ref="RD219:RD248" si="1023">IF(AND(QR219=$RD$2,CP219&gt;1,CP219&lt;17.5),"BAJO PARA EDAD GESTACIONAL",IF(AND(QR219=$RD$2,CP219&gt;=17.5,CP219&lt;=23),"ADECUADO PARA EDAD GESTACIONAL",IF(AND(QR219=$RD$2,CP219&gt;23,CP219&lt;38),"ALTO PARA EDAD GESTACIONAL","")))</f>
        <v/>
      </c>
      <c r="RE219" s="21" t="str">
        <f t="shared" ref="RE219:RE248" si="1024">IF(AND(QR219=$RE$2,CP219&gt;1,CP219&lt;18.5),"BAJO PARA EDAD GESTACIONAL",IF(AND(QR219=$RE$2,CP219&gt;=18.5,CP219&lt;=24),"ADECUADO PARA EDAD GESTACIONAL",IF(AND(QR219=$RE$2,CP219&gt;24,CP219&lt;38),"ALTO PARA EDAD GESTACIONAL","")))</f>
        <v/>
      </c>
      <c r="RF219" s="21" t="str">
        <f t="shared" ref="RF219:RF248" si="1025">IF(AND(QR219=$RF$2,CP219&gt;1,CP219&lt;19.5),"BAJO PARA EDAD GESTACIONAL",IF(AND(QR219=$RF$2,CP219&gt;=19.5,CP219&lt;=25),"ADECUADO PARA EDAD GESTACIONAL",IF(AND(QR219=$RF$2,CP219&gt;25,CP219&lt;38),"ALTO PARA EDAD GESTACIONAL","")))</f>
        <v/>
      </c>
      <c r="RG219" s="21" t="str">
        <f t="shared" ref="RG219:RG248" si="1026">IF(AND(QR219=$RG$2,CP219&gt;1,CP219&lt;20),"BAJO PARA EDAD GESTACIONAL",IF(AND(QR219=$RG$2,CP219&gt;=20,CP219&lt;=25.5),"ADECUADO PARA EDAD GESTACIONAL",IF(AND(QR219=$RG$2,CP219&gt;25.5,CP219&lt;38),"ALTO PARA EDAD GESTACIONAL","")))</f>
        <v/>
      </c>
      <c r="RH219" s="21" t="str">
        <f t="shared" ref="RH219:RH248" si="1027">IF(AND(QR219=$RH$2,CP219&gt;1,CP219&lt;20.5),"BAJO PARA EDAD GESTACIONAL",IF(AND(QR219=$RH$2,CP219&gt;=20.5,CP219&lt;=26.5),"ADECUADO PARA EDAD GESTACIONAL",IF(AND(QR219=$RH$2,CP219&gt;26.5,CP219&lt;38),"ALTO PARA EDAD GESTACIONAL","")))</f>
        <v/>
      </c>
      <c r="RI219" s="21" t="str">
        <f t="shared" ref="RI219:RI248" si="1028">IF(AND(QR219=$RI$2,CP219&gt;1,CP219&lt;21),"BAJO PARA EDAD GESTACIONAL",IF(AND(QR219=$RI$2,CP219&gt;=21,CP219&lt;=27),"ADECUADO PARA EDAD GESTACIONAL",IF(AND(QR219=$RI$2,CP219&gt;27,CP219&lt;38),"ALTO PARA EDAD GESTACIONAL","")))</f>
        <v/>
      </c>
      <c r="RJ219" s="21" t="str">
        <f t="shared" ref="RJ219:RJ248" si="1029">IF(AND(QR219=$RJ$2,CP219&gt;1,CP219&lt;22.5),"BAJO PARA EDAD GESTACIONAL",IF(AND(QR219=$RJ$2,CP219&gt;=22.5,CP219&lt;=28),"ADECUADO PARA EDAD GESTACIONAL",IF(AND(QR219=$RJ$2,CP219&gt;28,CP219&lt;38),"ALTO PARA EDAD GESTACIONAL","")))</f>
        <v/>
      </c>
      <c r="RK219" s="21" t="str">
        <f t="shared" ref="RK219:RK248" si="1030">IF(AND(QR219=$RK$2,CP219&gt;1,CP219&lt;23.5),"BAJO PARA EDAD GESTACIONAL",IF(AND(QR219=$RK$2,CP219&gt;=23.5,CP219&lt;=29),"ADECUADO PARA EDAD GESTACIONAL",IF(AND(QR219=$RK$2,CP219&gt;29,CP219&lt;38),"ALTO PARA EDAD GESTACIONAL","")))</f>
        <v/>
      </c>
      <c r="RL219" s="21" t="str">
        <f t="shared" ref="RL219:RL248" si="1031">IF(AND(QR219=$RL$2,CP219&gt;1,CP219&lt;24),"BAJO PARA EDAD GESTACIONAL",IF(AND(QR219=$RL$2,CP219&gt;=24,CP219&lt;=29.5),"ADECUADO PARA EDAD GESTACIONAL",IF(AND(QR219=$RL$2,CP219&gt;29.5,CP219&lt;38),"ALTO PARA EDAD GESTACIONAL","")))</f>
        <v/>
      </c>
      <c r="RM219" s="21" t="str">
        <f t="shared" ref="RM219:RM248" si="1032">IF(AND(QR219=$RM$2,CP219&gt;1,CP219&lt;25),"BAJO PARA EDAD GESTACIONAL",IF(AND(QR219=$RM$2,CP219&gt;=25,CP219&lt;=30),"ADECUADO PARA EDAD GESTACIONAL",IF(AND(QR219=$RM$2,CP219&gt;30,CP219&lt;38),"ALTO PARA EDAD GESTACIONAL","")))</f>
        <v/>
      </c>
      <c r="RN219" s="21" t="str">
        <f t="shared" ref="RN219:RN248" si="1033">IF(AND(QR219=$RN$2,CP219&gt;1,CP219&lt;25.5),"BAJO PARA EDAD GESTACIONAL",IF(AND(QR219=$RN$2,CP219&gt;=25.5,CP219&lt;=31),"ADECUADO PARA EDAD GESTACIONAL",IF(AND(QR219=$RN$2,CP219&gt;31,CP219&lt;38),"ALTO PARA EDAD GESTACIONAL","")))</f>
        <v/>
      </c>
      <c r="RO219" s="21" t="str">
        <f t="shared" ref="RO219:RO248" si="1034">IF(AND(QR219=$RO$2,CP219&gt;1,CP219&lt;26),"BAJO PARA EDAD GESTACIONAL",IF(AND(QR219=$RO$2,CP219&gt;=26,CP219&lt;=32),"ADECUADO PARA EDAD GESTACIONAL",IF(AND(QR219=$RO$2,CP219&gt;32,CP219&lt;38),"ALTO PARA EDAD GESTACIONAL","")))</f>
        <v/>
      </c>
      <c r="RP219" s="21" t="str">
        <f t="shared" ref="RP219:RP248" si="1035">IF(AND(QR219=$RP$2,CP219&gt;1,CP219&lt;26.5),"BAJO PARA EDAD GESTACIONAL",IF(AND(QR219=$RP$2,CP219&gt;=26.5,CP219&lt;=33),"ADECUADO PARA EDAD GESTACIONAL",IF(AND(QR219=$RP$2,CP219&gt;33,CP219&lt;38),"ALTO PARA EDAD GESTACIONAL","")))</f>
        <v/>
      </c>
      <c r="RQ219" s="21" t="str">
        <f t="shared" ref="RQ219:RQ248" si="1036">IF(AND(QR219=$RQ$2,CP219&gt;1,CP219&lt;28),"BAJO PARA EDAD GESTACIONAL",IF(AND(QR219=$RQ$2,CP219&gt;=28,CP219&lt;=33),"ADECUADO PARA EDAD GESTACIONAL",IF(AND(QR219=$RQ$2,CP219&gt;33,CP219&lt;38),"ALTO PARA EDAD GESTACIONAL","")))</f>
        <v/>
      </c>
      <c r="RR219" s="21" t="str">
        <f t="shared" ref="RR219:RR248" si="1037">IF(AND(QR219=$RR$2,CP219&gt;1,CP219&lt;28.5),"BAJO PARA EDAD GESTACIONAL",IF(AND(QR219=$RR$2,CP219&gt;=28.5,CP219&lt;=34),"ADECUADO PARA EDAD GESTACIONAL",IF(AND(QR219=$RR$2,CP219&gt;34,CP219&lt;38),"ALTO PARA EDAD GESTACIONAL","")))</f>
        <v/>
      </c>
      <c r="RS219" s="21" t="str">
        <f t="shared" ref="RS219:RS248" si="1038">IF(AND(QR219=$RS$2,CP219&gt;1,CP219&lt;29.5),"BAJO PARA EDAD GESTACIONAL",IF(AND(QR219=$RS$2,CP219&gt;=29.5,CP219&lt;=34),"ADECUADO PARA EDAD GESTACIONAL",IF(AND(QR219=$RS$2,CP219&gt;34,CP219&lt;38),"ALTO PARA EDAD GESTACIONAL","")))</f>
        <v/>
      </c>
      <c r="RT219" s="21" t="str">
        <f t="shared" ref="RT219:RT248" si="1039">IF(AND(QR219=$RT$2,CP219&gt;1,CP219&lt;30.5),"BAJO PARA EDAD GESTACIONAL",IF(AND(QR219=$RT$2,CP219&gt;=30.5,CP219&lt;=34),"ADECUADO PARA EDAD GESTACIONAL",IF(AND(QR219=$RT$2,CP219&gt;34,CP219&lt;38),"ALTO PARA EDAD GESTACIONAL","")))</f>
        <v/>
      </c>
      <c r="RU219" s="21" t="str">
        <f t="shared" ref="RU219:RU248" si="1040">IF(AND(QR219=$RU$2,CP219&gt;1,CP219&lt;31),"BAJO PARA EDAD GESTACIONAL",IF(AND(QR219=$RU$2,CP219&gt;=31,CP219&lt;=34.5),"ADECUADO PARA EDAD GESTACIONAL",IF(AND(QR219=$RU$2,CP219&gt;34.5,CP219&lt;38),"ALTO PARA EDAD GESTACIONAL","")))</f>
        <v/>
      </c>
      <c r="RV219" s="21">
        <f t="shared" ref="RV219:RV248" si="1041">IF(AND(R219="",HQ219=""),"",IF(SUM((HQ219-RW219)/7)&gt;43.1,"",IF(SUM((HQ219-RW219)/7)&lt;0,-1,SUM((HQ219-RW219)/7))))</f>
        <v>-1</v>
      </c>
      <c r="RW219" s="284">
        <f>IF(OR(Tabla1[[#This Row],[FUM FORMULA CONFIABLE]]="",Tabla1[[#This Row],[FUM FORMULA CONFIABLE]]="SD"),"",IF(Tabla1[[#This Row],[FUM FORMULA CONFIABLE]]="CORREGIDA",Tabla1[[#This Row],[FUM X ECO 1]],Tabla1[[#This Row],[FUM x AMENORREA]]))</f>
        <v>45069</v>
      </c>
      <c r="RX219" s="21">
        <f>IF(AND(Tabla1[[#This Row],[FUM X ECO 1]]="",Tabla1[[#This Row],[FUM x AMENORREA]]=""),"",IF(AND(Tabla1[[#This Row],[FUM X ECO 1]]="",Tabla1[[#This Row],[FUM x AMENORREA]]&lt;&gt;""),"X",SUM(Tabla1[[#This Row],[FUM X ECO 1]]-Tabla1[[#This Row],[FUM x AMENORREA]])))</f>
        <v>1.5999999999985448</v>
      </c>
      <c r="RY219" s="21">
        <f t="shared" ref="RY219:RY248" si="1042">IF(RX219="","",IF(RX219="x","x",IF(OR(RX219&gt;6,RX219&lt;-7),1,0)))</f>
        <v>0</v>
      </c>
    </row>
    <row r="220" spans="1:493" ht="45" customHeight="1" x14ac:dyDescent="0.25">
      <c r="A220" s="109"/>
      <c r="B220" s="43"/>
      <c r="C220" s="43" t="s">
        <v>845</v>
      </c>
      <c r="D220" s="124"/>
      <c r="E220" s="43" t="s">
        <v>1590</v>
      </c>
      <c r="F220" s="43" t="s">
        <v>874</v>
      </c>
      <c r="G220" s="43" t="s">
        <v>1591</v>
      </c>
      <c r="H220" s="43"/>
      <c r="I220" s="109" t="s">
        <v>851</v>
      </c>
      <c r="J220" s="289" t="s">
        <v>1589</v>
      </c>
      <c r="K220" s="43" t="s">
        <v>852</v>
      </c>
      <c r="L220" s="175" t="s">
        <v>1509</v>
      </c>
      <c r="M220" s="22">
        <v>31563</v>
      </c>
      <c r="N220" s="213">
        <f t="shared" ca="1" si="841"/>
        <v>37.449315068493149</v>
      </c>
      <c r="O220" s="22">
        <v>45132</v>
      </c>
      <c r="P220" s="214" t="str">
        <f t="shared" si="919"/>
        <v>SI</v>
      </c>
      <c r="Q220" s="26" t="s">
        <v>855</v>
      </c>
      <c r="R220" s="22">
        <v>45132</v>
      </c>
      <c r="S220" s="21" t="s">
        <v>856</v>
      </c>
      <c r="T220" s="24" t="s">
        <v>690</v>
      </c>
      <c r="U220" s="21" t="s">
        <v>857</v>
      </c>
      <c r="V220" s="21" t="s">
        <v>858</v>
      </c>
      <c r="W220" s="21" t="s">
        <v>1592</v>
      </c>
      <c r="X220" s="21"/>
      <c r="Y220" s="21"/>
      <c r="Z220" s="21">
        <v>3103148016</v>
      </c>
      <c r="AA220" s="21" t="s">
        <v>860</v>
      </c>
      <c r="AB220" s="27" t="s">
        <v>861</v>
      </c>
      <c r="AC220" s="26" t="s">
        <v>877</v>
      </c>
      <c r="AD220" s="38" t="s">
        <v>1546</v>
      </c>
      <c r="AE220" s="26" t="s">
        <v>854</v>
      </c>
      <c r="AF220" s="26" t="s">
        <v>854</v>
      </c>
      <c r="AG220" s="23" t="s">
        <v>864</v>
      </c>
      <c r="AH220" s="23" t="s">
        <v>864</v>
      </c>
      <c r="AI220" s="24" t="s">
        <v>863</v>
      </c>
      <c r="AJ220" s="23" t="s">
        <v>864</v>
      </c>
      <c r="AK220" s="220" t="str">
        <f>IF(AND(AD220="",AE220="",AF220="",AG220="",AH220="",AI220="",AJ220=""),"",IF(OR(Tabla1[[#This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EVALUACIÓN",IF(AND(O220="",R220=""),"",IF(AND(OR(O220&gt;0,R220&gt;0),NG220&gt;=0,NG220&lt;2),"SIN RIESGO",IF(AND(OR(O220&gt;0,R220&gt;0),NG220&gt;=2),"CON RIESGO","ASD")))))</f>
        <v>SIN RIESGO</v>
      </c>
      <c r="AL220" s="23" t="s">
        <v>864</v>
      </c>
      <c r="AM220" s="23" t="s">
        <v>864</v>
      </c>
      <c r="AN220" s="23" t="s">
        <v>864</v>
      </c>
      <c r="AO220" s="23" t="s">
        <v>864</v>
      </c>
      <c r="AP220" s="23" t="s">
        <v>864</v>
      </c>
      <c r="AQ220" s="23" t="s">
        <v>864</v>
      </c>
      <c r="AR220" s="23" t="s">
        <v>864</v>
      </c>
      <c r="AS220" s="21">
        <v>4</v>
      </c>
      <c r="AT220" s="21">
        <v>3</v>
      </c>
      <c r="AU220" s="21">
        <v>1</v>
      </c>
      <c r="AV220" s="26" t="s">
        <v>864</v>
      </c>
      <c r="AW220" s="21">
        <v>0</v>
      </c>
      <c r="AX220" s="26" t="s">
        <v>864</v>
      </c>
      <c r="AY220" s="26" t="s">
        <v>864</v>
      </c>
      <c r="AZ220" s="26" t="s">
        <v>864</v>
      </c>
      <c r="BA220" s="26" t="s">
        <v>864</v>
      </c>
      <c r="BB220" s="26" t="s">
        <v>864</v>
      </c>
      <c r="BC220" s="26" t="s">
        <v>864</v>
      </c>
      <c r="BD220" s="26" t="s">
        <v>864</v>
      </c>
      <c r="BE220" s="26" t="s">
        <v>864</v>
      </c>
      <c r="BF220" s="26" t="s">
        <v>864</v>
      </c>
      <c r="BG220" s="26" t="s">
        <v>864</v>
      </c>
      <c r="BH220" s="26" t="s">
        <v>864</v>
      </c>
      <c r="BI220" s="26" t="s">
        <v>864</v>
      </c>
      <c r="BJ220" s="26" t="s">
        <v>864</v>
      </c>
      <c r="BK220" s="26" t="s">
        <v>864</v>
      </c>
      <c r="BL220" s="26" t="s">
        <v>864</v>
      </c>
      <c r="BM220" s="26" t="s">
        <v>864</v>
      </c>
      <c r="BN220" s="22">
        <v>42526</v>
      </c>
      <c r="BO220" s="22">
        <v>45087</v>
      </c>
      <c r="BP220" s="21" t="s">
        <v>854</v>
      </c>
      <c r="BQ220" s="222">
        <f t="shared" si="842"/>
        <v>85.36666666666666</v>
      </c>
      <c r="BR220" s="223" t="str">
        <f t="shared" si="843"/>
        <v/>
      </c>
      <c r="BS220" s="224">
        <f t="shared" si="844"/>
        <v>6.4285714285714288</v>
      </c>
      <c r="BT220" s="216" t="str">
        <f t="shared" si="845"/>
        <v>I TRIM</v>
      </c>
      <c r="BU220" s="214">
        <f t="shared" ca="1" si="928"/>
        <v>20.714285714285715</v>
      </c>
      <c r="BV220" s="25"/>
      <c r="BW220" s="22"/>
      <c r="BX220" s="28"/>
      <c r="BY220" s="28"/>
      <c r="BZ220" s="22"/>
      <c r="CA220" s="21"/>
      <c r="CB220" s="26"/>
      <c r="CC220" s="26"/>
      <c r="CD220" s="26"/>
      <c r="CE220" s="26"/>
      <c r="CF220" s="22" t="s">
        <v>1517</v>
      </c>
      <c r="CG220" s="21">
        <v>1.51</v>
      </c>
      <c r="CH220" s="21">
        <v>65.900000000000006</v>
      </c>
      <c r="CI220" s="214">
        <f t="shared" si="847"/>
        <v>28.902241129775014</v>
      </c>
      <c r="CJ220" s="225" t="str">
        <f>IF(AND(CI220&lt;10,CH220="SD"),"SIN DATO PESO PREGESTACION O I TRIM",IF(AND(OR(R220&gt;0,O220&gt;0),CI220="X"),"INGRESAR DATO DE PESO",IF(CI220="SD","INGRESAR DATO DE TALLA Y PESO",IF(AND(OR(Tabla1[[#This Row],[MOMENTO EN QUE SE REALIZA EL PESO AL INGRESO A CPN]]="PREGESTACIÓN",NZ220="Menor"),CI220&lt;18.5),"BAJO PESO",IF(AND(OR(Tabla1[[#This Row],[MOMENTO EN QUE SE REALIZA EL PESO AL INGRESO A CPN]]="PREGESTACIÓN",NZ220="Menor"),CI220&lt;25),"NORMAL",IF(AND(OR(Tabla1[[#This Row],[MOMENTO EN QUE SE REALIZA EL PESO AL INGRESO A CPN]]="PREGESTACIÓN",NZ220="Menor"),CI220&lt;30),"SOBREPESO",IF(AND(OR(Tabla1[[#This Row],[MOMENTO EN QUE SE REALIZA EL PESO AL INGRESO A CPN]]="PREGESTACIÓN",NZ220="Menor"),CI220&gt;=30,CI220&lt;50),"OBESIDAD",IF(AND(BS220&gt;0,Tabla1[[#This Row],[MOMENTO EN QUE SE REALIZA EL PESO AL INGRESO A CPN]]="GESTACIÓN"),HLOOKUP(NZ220,$OA$2:PH220,NY220),""))))))))</f>
        <v>SOBREPESO</v>
      </c>
      <c r="CK220" s="212">
        <f t="shared" si="848"/>
        <v>45169</v>
      </c>
      <c r="CL220" s="21">
        <v>65.900000000000006</v>
      </c>
      <c r="CM220" s="214">
        <f t="shared" si="849"/>
        <v>28.902241129775014</v>
      </c>
      <c r="CN220" s="216">
        <f t="shared" si="850"/>
        <v>11</v>
      </c>
      <c r="CO220" s="216" t="e">
        <f>IF(PI220="","",IF(PI220&gt;0,HLOOKUP(PI220,$PJ$2:QQ220,NY220),""))</f>
        <v>#REF!</v>
      </c>
      <c r="CP220" s="21"/>
      <c r="CQ220" s="216" t="str">
        <f>IF(QR220="Menor","NO APLICA-MENOR 13 SEM",IF(AND(CC220="SI",CN220&gt;23),"NO APLICA- GEMELAR",IF(QR220="","",IF(QR220&gt;0,HLOOKUP(QR220,$QS$2:RU220,NY220),""))))</f>
        <v>NO APLICA-MENOR 13 SEM</v>
      </c>
      <c r="CR220" s="21">
        <v>100</v>
      </c>
      <c r="CS220" s="21">
        <v>60</v>
      </c>
      <c r="CT220" s="217" t="str">
        <f>IF(R220="","",IF(AND(BS220&gt;1,BS220&lt;12,Tabla1[[#This Row],[T.A. SISTOLICA - ANTES DE SEMANA 12]]="",Tabla1[[#This Row],[T.A. DIASTOLICA - ANTES DE SEMANA 12]]=""),"REGISTRE DATO TA ANTES SEMANA 12",IF(AND(BS220&gt;11,BS220&lt;43,Tabla1[[#This Row],[T.A. SISTOLICA - ANTES DE SEMANA 12]]="",Tabla1[[#This Row],[T.A. DIASTOLICA - ANTES DE SEMANA 12]]=""),"NO APLICA REGISTRO TA-INGRESO TARDIO",IF(AND(OR(O220&gt;0,R220&gt;0),OR(CR220&gt;=140,CS220&gt;=90)),"DEFINIR ESTADIO HTA",IF(AND(OR(O220&gt;0,R220&gt;0),AND(CR220&gt;120,CR220&lt;=139)),"PRE HTA SEGUIMIENTO",IF(AND(OR(O220&gt;0,R220&gt;0),AND(CS220&gt;80,CS220&lt;=89)),"PRE HTA SEGUIMIENTO",IF(AND(OR(O220&gt;0,R220&gt;0),AND(CR220&gt;=80,CR220&lt;=120)),"APARENTEMENTE NORMAL",IF(AND(OR(O220&gt;0,R220&gt;0),AND(CS220&gt;=50,CS220&lt;=80)),"APARENTEMENTE NORMAL",IF(AND(OR(O220&gt;0,R220&gt;0),AND(CR220&gt;1,CR220&lt;=70),AND(CS220&gt;1,CS220&lt;=40)),"HIPOTENSIÓN","")))))))))</f>
        <v>APARENTEMENTE NORMAL</v>
      </c>
      <c r="CU220" s="21"/>
      <c r="CV220" s="21"/>
      <c r="CW220" s="217" t="str">
        <f ca="1">IF(R220="","",IF(AND(CN220&gt;19,CN220&lt;27,Tabla1[[#This Row],[T.A. SISTOLICA (Entre semana 20 y 26)]]="",Tabla1[[#This Row],[T.A. DIATOLICA (Entre semana 20 y 26)]]=""),"ACUDE A CONTROL SEM 20 A 26 REGISTRE TA AHORA",IF(AND(BS220&gt;1,BS220&lt;27,BU220&gt;19,Tabla1[[#This Row],[T.A. SISTOLICA (Entre semana 20 y 26)]]="",Tabla1[[#This Row],[T.A. DIATOLICA (Entre semana 20 y 26)]]=""),"COMPLETE REGISTRO TA CONTROL SEM 20 A26 ",IF(AND(BS220&gt;26,BS220&lt;43,Tabla1[[#This Row],[T.A. SISTOLICA (Entre semana 20 y 26)]]="",Tabla1[[#This Row],[T.A. DIATOLICA (Entre semana 20 y 26)]]=""),"NO APLICA REGISTRO TA-INGRESO TARDIO",IF(AND(OR(O220&gt;0,R220&gt;0),OR(CU220&gt;=140,CV220&gt;=90)),"ALTO RIESGO PREECLAMPSIA,DEFINIR ESTADIO HTA",IF(AND(OR(O220&gt;0,R220&gt;0),AND(CU220&gt;120,CU220&lt;=139)),"PRE HTA SEGUIMIENTO,RIESGO HIPERTENSION INDUCIDA POR EL EMBARAZO",IF(AND(OR(O220&gt;0,R220&gt;0),AND(CV220&gt;80,CV220&lt;=89)),"PRE HTA SEGUIMIENTO, RIESGO HIPERTENSION INDUCIDA POR EL EMBARAZO",IF(AND(OR(O220&lt;&gt;"",R220&lt;&gt;""),CS220&lt;&gt;"",CV220&lt;&gt;"",CS220&lt;=CV220),"VIGILAR CIFRAS PRESION ARTERIAL",IF(AND(OR(O220&gt;0,R220&gt;0),AND(CU220&gt;120,CU220&lt;=139)),"PRE HTA SEGUIMIENTO",IF(AND(OR(O220&gt;0,R220&gt;0),AND(CU220&gt;1,CU220&lt;=70),AND(CV220&gt;1,CV220&lt;=40)),"HIPOTENSIÓN",IF(AND(OR(O220&lt;&gt;"",R220&lt;&gt;""),CS220&lt;&gt;"",CV220&lt;&gt;"",CS220&gt;CV220),"APARENTEMENTE NORMAL",IF(AND(OR(O220&gt;0,R220&gt;0),AND(CU220&gt;=80,CU220&lt;=120)),"APARENTEMENTE NORMAL",IF(AND(OR(O220&gt;0,R220&gt;0),AND(CV220&gt;=50,CV220&lt;=80)),"APARENTEMENTE NORMAL","")))))))))))))</f>
        <v xml:space="preserve">COMPLETE REGISTRO TA CONTROL SEM 20 A26 </v>
      </c>
      <c r="CX220" s="21"/>
      <c r="CY220" s="21"/>
      <c r="CZ220" s="216" t="str">
        <f>IF(R220="","",IF(AND(CN220&gt;31,CN220&lt;35,CX220="",CY220=""),"ACUDE A CONTROL SEM 30 A 34- REGISTRE AHORA",IF(AND(BS220&gt;34,BS220&lt;43,CX221="",CY221=""),"NO APLICA-INGRESO TARDIO",IF(AND(OR(O220&gt;0,R220&gt;0),OR(CX220&gt;=140,CY220&gt;=90)),"ESTUDIO INMEDIATO HTA PARA DESCARTAR PREECLAMSIA",IF(AND(OR(O220&gt;0,R220&gt;0),AND(CX220&gt;=130,CX220&lt;=139)),"PRE HTA,RIESGO ALTO PREECLAMPSIA",IF(AND(OR(O220&gt;0,R220&gt;0),AND(CY220&gt;80,CY220&lt;=89)),"PRE HTA,RIESGO ALTO PREECLAMPSIA",IF(AND(OR(O220&gt;0,R220&gt;0),AND(CX220&gt;120,CX220&lt;=129)),"RANGO PREHIPERTENSIVO SEGUIMIENTO HTA",IF(AND(OR(O220&lt;&gt;"",R220&lt;&gt;""),CS220&lt;&gt;"",CY220&lt;&gt;"",CS220&lt;CY220),"VIGILAR CIFRAS PRESION ARTERIAL",IF(AND(OR(O220&lt;&gt;"",R220&lt;&gt;""),CS220&lt;&gt;"",CY220&lt;&gt;"",CS220=CY220),"APARENTEMENTE NORMAL",IF(AND(OR(O220&gt;0,R220&gt;0),CX220&gt;=80,CX220&lt;=120),"APARENTEMENTE NORMAL",IF(AND(OR(O220&gt;0,R220&gt;0),CY220&gt;=50,CY220&lt;=80),"APARENTEMENTE NORMAL","")))))))))))</f>
        <v/>
      </c>
      <c r="DA220" s="21">
        <v>100</v>
      </c>
      <c r="DB220" s="21">
        <v>60</v>
      </c>
      <c r="DC220" s="217" t="str">
        <f t="shared" si="851"/>
        <v>APARENTEMENTE NORMAL</v>
      </c>
      <c r="DD220" s="22">
        <v>45132</v>
      </c>
      <c r="DE220" s="22">
        <v>45132</v>
      </c>
      <c r="DF220" s="22">
        <v>45169</v>
      </c>
      <c r="DG220" s="22"/>
      <c r="DH220" s="22"/>
      <c r="DI220" s="22"/>
      <c r="DJ220" s="22"/>
      <c r="DK220" s="22"/>
      <c r="DL220" s="22"/>
      <c r="DM220" s="22"/>
      <c r="DN220" s="22"/>
      <c r="DO220" s="22"/>
      <c r="DP220" s="22"/>
      <c r="DQ220" s="22"/>
      <c r="DR220" s="28"/>
      <c r="DS220" s="22"/>
      <c r="DT220" s="22"/>
      <c r="DU220" s="216" t="str">
        <f t="shared" ca="1" si="920"/>
        <v>EN ESPERA</v>
      </c>
      <c r="DV220" s="226" t="str">
        <f t="shared" si="921"/>
        <v>ACTIVA INGRESO A CPN</v>
      </c>
      <c r="DW220"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20" s="216" t="e">
        <f t="shared" ca="1" si="852"/>
        <v>#REF!</v>
      </c>
      <c r="DY220" s="212">
        <f>IF(R220="","",IF(R220&gt;0,MAX(Tabla1[[#This Row],[FECHA C2]:[FECHA C13]],Tabla1[[#This Row],[FECHA CONSULTA PRIMERA VEZ PROGRAMA CPN ]])))</f>
        <v>45169</v>
      </c>
      <c r="DZ220" s="216">
        <f t="shared" si="853"/>
        <v>11</v>
      </c>
      <c r="EA220" s="222">
        <f>IF(R220&gt;0,SUM(COUNTA(DF220:DQ220)+COUNTA(Tabla1[[#This Row],[FECHA CONSULTA PRIMERA VEZ PROGRAMA CPN ]])),"")</f>
        <v>2</v>
      </c>
      <c r="EB220" s="222" t="str">
        <f t="shared" si="854"/>
        <v>NO</v>
      </c>
      <c r="EC220" s="214">
        <f t="shared" si="855"/>
        <v>10</v>
      </c>
      <c r="ED220" s="227">
        <f t="shared" si="856"/>
        <v>0.2</v>
      </c>
      <c r="EE220" s="22">
        <v>45132</v>
      </c>
      <c r="EF220" s="22"/>
      <c r="EG220" s="22">
        <v>45132</v>
      </c>
      <c r="EH220" s="22"/>
      <c r="EI220" s="22">
        <v>45132</v>
      </c>
      <c r="EJ220" s="22"/>
      <c r="EK220" s="22"/>
      <c r="EL220" s="21"/>
      <c r="EM220" s="21">
        <v>13.5</v>
      </c>
      <c r="EN220" s="22">
        <v>45092</v>
      </c>
      <c r="EO220" s="222">
        <f t="shared" si="857"/>
        <v>0.7142857142857143</v>
      </c>
      <c r="EP220" s="214" t="str">
        <f t="shared" si="858"/>
        <v>NORMAL- SUMINISTRAR SULFATO FERROSO</v>
      </c>
      <c r="EQ220" s="216" t="str">
        <f t="shared" si="859"/>
        <v>I TRIM</v>
      </c>
      <c r="ER220" s="24"/>
      <c r="ES220" s="22"/>
      <c r="ET220" s="29" t="str">
        <f t="shared" ca="1" si="922"/>
        <v>EN ESPERA PARA TOMA EXAMEN</v>
      </c>
      <c r="EU220" s="25" t="str">
        <f t="shared" si="860"/>
        <v/>
      </c>
      <c r="EV220" s="24"/>
      <c r="EW220" s="24"/>
      <c r="EX220" s="22"/>
      <c r="EY220" s="29" t="str">
        <f t="shared" ref="EY220:EY248" si="1043">IF(AND(BT220="ERROR FUM O INGRESO",EW220&gt;0),"ERROR FUM O INGRESO",IF(AND(EW220="",R220="",O220=""),"",IF(OR(AND(EW220&lt;&gt;"",EW220&lt;RW220),AND(EW220&lt;&gt;"",SUM((EW220-RW220)/7)&gt;40)),"CORREGIR FECHA RESULTADO",IF(AND(EW220="",OR(O220&gt;0,R220&gt;0)),"TOMAR EXAMEN",IF(EW220&gt;0,SUM(EW220-RW220)/7,"")))))</f>
        <v>TOMAR EXAMEN</v>
      </c>
      <c r="EZ220" s="25" t="str">
        <f t="shared" ref="EZ220:EZ248" ca="1" si="1044">IF(EV220="RH POSITIVO","SIN RIESGO DE ISOINMUNIZACIÓN",IF(AND(EV220="RH NEGATIVO CON COOMBS NEGATIVO",EX220="",BU220&lt;=24),"COOMBS C/MES Y APLICAR RHESUMAN SEM 28",IF(AND(EV220="RH NEGATIVO CON COOMBS NEGATIVO",EX220="",AND(BU220&gt;24,BU220&lt;27)),"FALTAN DE 4 A 2 SEMANAS PARA APLICAR RHESUMAN A SEM 28",IF(AND(EV220="RH NEGATIVO CON COOMBS NEGATIVO",EX220="",AND(BU220&gt;26.99,BU220&lt;27.99)),"FALTAN 1 SEMANAS PARA APLICAR RHESUMAN A SEM 28",IF(AND(EV220="RH NEGATIVO CON COOMBS NEGATIVO",EX220="",AND(BU220&gt;27.99,BU220&lt;29)),"SEMANA 28 APLICAR DE INMEDIATO RHESUMAN",IF(AND(EV220="RH NEGATIVO CON COOMBS NEGATIVO",EX220="",AND(BU220&gt;28.99,BU220&lt;42)),"DEBE APLICAR RHESUMAN, ES NO OPORTUNO &gt; 28 SEMANAS",IF(AND(EV220="RH NEGATIVO CON COOMBS NEGATIVO",EX220&gt;0),SUM(EX220-RW220)/7,IF(EV220="RH NEGATIVO SIN COOMBS","TOMAR COOMBS INMEDIATO PARA DEFINIR MANEJO",IF(EV220="RH NEGATIVO CON COOMBS POSITIVO","TOMAR COOMBS CUANTITATIVO Y REMISIÓN","")))))))))</f>
        <v/>
      </c>
      <c r="FA220" s="21"/>
      <c r="FB220" s="22"/>
      <c r="FC220" s="29" t="str">
        <f t="shared" si="861"/>
        <v>TOMAR EXAMEN</v>
      </c>
      <c r="FD220" s="29"/>
      <c r="FE220" s="29"/>
      <c r="FF220" s="29"/>
      <c r="FG220" s="21" t="str">
        <f t="shared" ca="1" si="862"/>
        <v>PROGRAMAR TOMA PTOG SIGUIENTE CONTROL</v>
      </c>
      <c r="FH220" s="31"/>
      <c r="FI220" s="29" t="str">
        <f t="shared" si="863"/>
        <v>TOMAR EXAMEN</v>
      </c>
      <c r="FJ220" s="22"/>
      <c r="FK220" s="22"/>
      <c r="FL220" s="29" t="str">
        <f t="shared" ca="1" si="864"/>
        <v>PIERDE TOMA DE TAMIZAJE</v>
      </c>
      <c r="FM220" s="22"/>
      <c r="FN220" s="32"/>
      <c r="FO220" s="29" t="str">
        <f t="shared" ca="1" si="923"/>
        <v>EN RANGO PARA TOMAR EXAMEN</v>
      </c>
      <c r="FP220" s="22"/>
      <c r="FQ220" s="32"/>
      <c r="FR220" s="29" t="str">
        <f t="shared" ca="1" si="924"/>
        <v>EN ESPERA-ESTÁ I TRIM O II TRIM</v>
      </c>
      <c r="FS220" s="22"/>
      <c r="FT220" s="32"/>
      <c r="FU220" s="29" t="str">
        <f>IF(AND(FJ220="",FM220="",FP220="",FS220=""),"",IF(OR(OR(Tabla1[[#This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20" s="28"/>
      <c r="FW220" s="22"/>
      <c r="FX220" s="29" t="str">
        <f t="shared" si="865"/>
        <v>TOMAR EXAMEN</v>
      </c>
      <c r="FY220" s="22"/>
      <c r="FZ220" s="22"/>
      <c r="GA220" s="29" t="str">
        <f t="shared" ca="1" si="939"/>
        <v>PIERDE TOMA DE TAMIZAJE</v>
      </c>
      <c r="GB220" s="22"/>
      <c r="GC220" s="22"/>
      <c r="GD220" s="29" t="str">
        <f t="shared" ca="1" si="940"/>
        <v>EN RANGO PARA TOMAR EXAMEN</v>
      </c>
      <c r="GE220" s="22"/>
      <c r="GF220" s="22"/>
      <c r="GG220" s="29" t="str">
        <f t="shared" ca="1" si="926"/>
        <v>EN ESPERA-ESTÁ I TRIM O II TRIM</v>
      </c>
      <c r="GH220" s="22"/>
      <c r="GI220" s="29"/>
      <c r="GJ220" s="22"/>
      <c r="GK220" s="22"/>
      <c r="GL220" s="22"/>
      <c r="GM220" s="22"/>
      <c r="GN220" s="28"/>
      <c r="GO220" s="22"/>
      <c r="GP220" s="29" t="str">
        <f t="shared" si="866"/>
        <v>TOMAR EXAMEN</v>
      </c>
      <c r="GQ220" s="28"/>
      <c r="GR220" s="28"/>
      <c r="GS220" s="22" t="str">
        <f t="shared" si="728"/>
        <v/>
      </c>
      <c r="GT220" s="22"/>
      <c r="GU220" s="29" t="str">
        <f t="shared" si="867"/>
        <v>TOMAR EXAMEN</v>
      </c>
      <c r="GV220" s="21" t="str">
        <f t="shared" si="868"/>
        <v>POR DEFINIR</v>
      </c>
      <c r="GW220" s="28"/>
      <c r="GX220" s="30"/>
      <c r="GY220" s="21"/>
      <c r="GZ220" s="21"/>
      <c r="HA220" s="21"/>
      <c r="HB220" s="21"/>
      <c r="HC220" s="21"/>
      <c r="HD220" s="21"/>
      <c r="HE220" s="21"/>
      <c r="HF220" s="22"/>
      <c r="HG220" s="22" t="str">
        <f>IF(OR(O220&gt;0,R220&gt;0),CONCATENATE(IF(Tabla1[[#This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20" s="22" t="e">
        <f t="shared" si="869"/>
        <v>#REF!</v>
      </c>
      <c r="HI220" s="22" t="e">
        <f t="shared" ca="1" si="870"/>
        <v>#REF!</v>
      </c>
      <c r="HJ220" s="21" t="str">
        <f t="shared" ca="1" si="871"/>
        <v>************************RIESGO POR EDAD***************</v>
      </c>
      <c r="HK220" s="21" t="str">
        <f t="shared" si="872"/>
        <v>SIN ANTECEDENTES DE RIESGO</v>
      </c>
      <c r="HL220" s="24" t="str">
        <f t="shared" si="873"/>
        <v>APARENTEMENTE NORMAL</v>
      </c>
      <c r="HM220" s="21" t="e">
        <f t="shared" ca="1" si="874"/>
        <v>#REF!</v>
      </c>
      <c r="HN220" s="30" t="str">
        <f t="shared" si="927"/>
        <v>ACTIVA INGRESO A CPN</v>
      </c>
      <c r="HO220" s="21"/>
      <c r="HP220" s="21"/>
      <c r="HQ220" s="349"/>
      <c r="HR220" s="21" t="str">
        <f>IF(R220="","",IF(Tabla1[[#This Row],[ALARMA FACTORES DE RIESGO COMPLICACIONES HIPERTENSIVAS3]]="SIN ANTECEDENTES DE RIESGO","No Aplica para suministro de ASA",IF(AND(Tabla1[[#This Row],[FECHA INICIO DE SUMINISTRO DE ASA]]&gt;0,RV220&lt;12),"Inicia ASA ANTES de Sem 12",IF(AND(RV220&gt;11,RV220&lt;17,OR(HK220="RIESGO ALTO DE COMPLICACIONES HIPERTENSIVAS VER MANEJO GUIA SUMINISTRO ASA Y CALCIO",HK220="RIESGO MODERADO (2 O MAS CRITERIOS) VER MANEJO GUIA SUMINISTRO ASA Y CALCIO")),"Inicio oportuno de ASA",IF(AND(RV220&gt;12,OR(HK220="RIESGO ALTO DE COMPLICACIONES HIPERTENSIVAS VER MANEJO GUIA SUMINISTRO ASA Y CALCIO",HK220="RIESGO MODERADO (2 O MAS CRITERIOS) VER MANEJO GUIA SUMINISTRO ASA Y CALCIO")),"Inicio no oportuno mayor a 16 semanas",IF(AND(BU220&lt;12,OR(HK220="RIESGO ALTO DE COMPLICACIONES HIPERTENSIVAS VER MANEJO GUIA SUMINISTRO ASA Y CALCIO",HK220="RIESGO MODERADO (2 O MAS CRITERIOS) VER MANEJO GUIA SUMINISTRO ASA Y CALCIO")),"Pendiente Inicio de ASA a la semana 12",IF(AND(BU220&gt;11,BU220&lt;17,OR(HK220="RIESGO ALTO DE COMPLICACIONES HIPERTENSIVAS VER MANEJO GUIA SUMINISTRO ASA Y CALCIO",HK220="RIESGO MODERADO (2 O MAS CRITERIOS) VER MANEJO GUIA SUMINISTRO ASA Y CALCIO")),"Iniciar de inmediato ASA",IF(AND(BU220&gt;16,OR(HK220="RIESGO ALTO DE COMPLICACIONES HIPERTENSIVAS VER MANEJO GUIA SUMINISTRO ASA Y CALCIO",HK220="RIESGO MODERADO (2 O MAS CRITERIOS) VER MANEJO GUIA SUMINISTRO ASA Y CALCIO")),"Pierde Oportunidad, Inicio tardío de ASA","XXXXX"))))))))</f>
        <v>No Aplica para suministro de ASA</v>
      </c>
      <c r="HS220" s="22"/>
      <c r="HT220" s="22"/>
      <c r="HU220" s="22"/>
      <c r="HV220" s="22"/>
      <c r="HW220" s="22"/>
      <c r="HX220" s="22"/>
      <c r="HY220" s="22"/>
      <c r="HZ220" s="28" t="str">
        <f t="shared" si="875"/>
        <v>PENDIENTE CONSULTA</v>
      </c>
      <c r="IA220" s="26"/>
      <c r="IB220" s="26"/>
      <c r="IC220" s="111"/>
      <c r="ID220" s="22"/>
      <c r="IE220" s="22" t="str">
        <f t="shared" ca="1" si="876"/>
        <v>PROGRAMAR APLICACION DE VACUNA</v>
      </c>
      <c r="IF220" s="22"/>
      <c r="IG220" s="22">
        <f t="shared" si="877"/>
        <v>45367</v>
      </c>
      <c r="IH220" s="29">
        <f t="shared" ca="1" si="878"/>
        <v>135</v>
      </c>
      <c r="II220" s="22" t="str">
        <f t="shared" ca="1" si="879"/>
        <v>PENDIENTE</v>
      </c>
      <c r="IJ220" s="22"/>
      <c r="IK220" s="21"/>
      <c r="IL220" s="21"/>
      <c r="IM220" s="34"/>
      <c r="IN220" s="22"/>
      <c r="IO220" s="21"/>
      <c r="IP220" s="29" t="str">
        <f t="shared" si="880"/>
        <v/>
      </c>
      <c r="IQ220" s="35"/>
      <c r="IR220" s="21"/>
      <c r="IS220" s="21"/>
      <c r="IT220" s="21"/>
      <c r="IU220" s="21"/>
      <c r="IV220" s="21"/>
      <c r="IW220" s="21"/>
      <c r="IX220" s="21"/>
      <c r="IY220" s="21"/>
      <c r="IZ220" s="21"/>
      <c r="JA220" s="21"/>
      <c r="JB220" s="30"/>
      <c r="JC220" s="21"/>
      <c r="JD220" s="36"/>
      <c r="JE220" s="21" t="str">
        <f t="shared" si="881"/>
        <v/>
      </c>
      <c r="JF220" s="30"/>
      <c r="JG220" s="21"/>
      <c r="JH220" s="21"/>
      <c r="JI220" s="21"/>
      <c r="JJ220" s="30"/>
      <c r="JK220" s="22"/>
      <c r="JL220" s="22"/>
      <c r="JM220" s="21"/>
      <c r="JN220" s="36"/>
      <c r="JO220" s="21" t="str">
        <f t="shared" si="882"/>
        <v/>
      </c>
      <c r="JP220" s="22"/>
      <c r="JQ220" s="21"/>
      <c r="JR220" s="21"/>
      <c r="JS220" s="21"/>
      <c r="JT220" s="30"/>
      <c r="JU220" s="22"/>
      <c r="JV220" s="22"/>
      <c r="JW220" s="33"/>
      <c r="JX220" s="28" t="str">
        <f t="shared" si="883"/>
        <v/>
      </c>
      <c r="JY220" s="33"/>
      <c r="JZ220" s="28" t="str">
        <f t="shared" si="884"/>
        <v/>
      </c>
      <c r="KA220" s="21"/>
      <c r="KB220" s="21"/>
      <c r="KC220" s="21"/>
      <c r="KD220" s="37"/>
      <c r="KE220" s="28"/>
      <c r="KF220" s="28"/>
      <c r="KG220" s="28"/>
      <c r="KH220" s="39"/>
      <c r="KI220" s="39"/>
      <c r="KJ220" s="66"/>
      <c r="KK220" s="39"/>
      <c r="KL220" s="39"/>
      <c r="KM220" s="66"/>
      <c r="KN220" s="39"/>
      <c r="KO220" s="39"/>
      <c r="KP220" s="39"/>
      <c r="KQ220" s="39"/>
      <c r="KR220" s="39"/>
      <c r="KS220" s="39"/>
      <c r="KT220" s="39"/>
      <c r="KU220" s="38"/>
      <c r="KV220" s="38"/>
      <c r="KW220" s="38"/>
      <c r="KX220" s="38"/>
      <c r="KY220" s="38"/>
      <c r="KZ220" s="38"/>
      <c r="LA220" s="38"/>
      <c r="LB220" s="38"/>
      <c r="LC220" s="38"/>
      <c r="LD220" s="38"/>
      <c r="LE220" s="38"/>
      <c r="LF220" s="38"/>
      <c r="LG220" s="38"/>
      <c r="LH220" s="38"/>
      <c r="LI220" s="38"/>
      <c r="LJ220" s="38"/>
      <c r="LK220" s="38"/>
      <c r="LL220" s="38"/>
      <c r="LM220" s="38"/>
      <c r="LN220" s="38"/>
      <c r="LO220" s="38"/>
      <c r="LP220" s="38"/>
      <c r="LQ220" s="38"/>
      <c r="LR220" s="38"/>
      <c r="LS220" s="38"/>
      <c r="LT220" s="38"/>
      <c r="LU220" s="38"/>
      <c r="LV220" s="38"/>
      <c r="LW220" s="38"/>
      <c r="LX220" s="38"/>
      <c r="LY220" s="38"/>
      <c r="LZ220" s="38"/>
      <c r="MA220" s="38"/>
      <c r="MB220" s="38"/>
      <c r="MC220" s="38"/>
      <c r="MD220" s="38"/>
      <c r="ME220" s="38"/>
      <c r="MF220" s="38"/>
      <c r="MG220" s="38"/>
      <c r="MH220" s="43">
        <f t="shared" si="885"/>
        <v>0</v>
      </c>
      <c r="MI220" s="43" t="str">
        <f t="shared" si="929"/>
        <v/>
      </c>
      <c r="MJ220" s="43" t="str">
        <f t="shared" si="887"/>
        <v/>
      </c>
      <c r="MK220" s="43">
        <f t="shared" si="888"/>
        <v>0</v>
      </c>
      <c r="ML22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20" s="43">
        <f t="shared" si="930"/>
        <v>6.4285714285714288</v>
      </c>
      <c r="MN220" s="43">
        <f t="shared" si="931"/>
        <v>7</v>
      </c>
      <c r="MO220" s="43">
        <f t="shared" si="932"/>
        <v>2023</v>
      </c>
      <c r="MP220" s="43" t="str">
        <f t="shared" si="892"/>
        <v>III TRIMESTRE AÑO</v>
      </c>
      <c r="MQ220" s="43">
        <f t="shared" si="933"/>
        <v>36.61574682435392</v>
      </c>
      <c r="MR220" s="43">
        <f t="shared" si="894"/>
        <v>2</v>
      </c>
      <c r="MS220" s="43" t="str">
        <f t="shared" si="895"/>
        <v xml:space="preserve"> DE 35 A 39 AÑOS</v>
      </c>
      <c r="MT220" s="43">
        <f t="shared" si="896"/>
        <v>0</v>
      </c>
      <c r="MU220" s="43">
        <f t="shared" si="897"/>
        <v>0</v>
      </c>
      <c r="MV220" s="43">
        <f t="shared" si="898"/>
        <v>0</v>
      </c>
      <c r="MW220" s="43">
        <f t="shared" si="899"/>
        <v>0</v>
      </c>
      <c r="MX220" s="43" t="str">
        <f t="shared" si="900"/>
        <v/>
      </c>
      <c r="MY220" s="43" t="str">
        <f t="shared" ca="1" si="901"/>
        <v/>
      </c>
      <c r="MZ220" s="43" t="str">
        <f t="shared" si="902"/>
        <v/>
      </c>
      <c r="NA220" s="43" t="str">
        <f t="shared" si="903"/>
        <v/>
      </c>
      <c r="NB220" s="43" t="str">
        <f t="shared" si="904"/>
        <v/>
      </c>
      <c r="NC220" s="43" t="str">
        <f t="shared" si="905"/>
        <v/>
      </c>
      <c r="ND220" s="43">
        <f t="shared" ca="1" si="934"/>
        <v>2</v>
      </c>
      <c r="NE220" s="43">
        <f>IF(OR(O220&gt;0,R220&gt;0),SUM(COUNTIF(Tabla1[[#This Row],[AÑOS AL INICIO5 CPN]],"&gt;=40"),COUNTIF(AS220,"0"),COUNTIF(AR220,"SI"),COUNTIF(CC220,"SI"),COUNTIF(BQ220,"&gt;119"),COUNTIF(CI220,"&gt;=35")),"")</f>
        <v>0</v>
      </c>
      <c r="NF220" s="43" t="str">
        <f t="shared" si="935"/>
        <v/>
      </c>
      <c r="NG220" s="43">
        <f t="shared" si="908"/>
        <v>0</v>
      </c>
      <c r="NH220" s="43" t="str">
        <f t="shared" si="909"/>
        <v/>
      </c>
      <c r="NI220"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CPN",P220="NO"),"Z",IF(AND(Tabla1[[#This Row],[CITA PROXIMO CONTROL]]="CITA MANUAL",Tabla1[[#This Row],[GESTANTES ACTUALES]]="ACTIVA INGRESO A CPN"),"W",IF(AND(Tabla1[[#This Row],[GESTANTES ACTUALES]]="SALIO PROGRAMA",IN220=""),"S",IF(AND(Tabla1[[#This Row],[CITA PROXIMO CONTROL]]&gt;0,IN220=""),(Tabla1[[#This Row],[CITA PROXIMO CONTROL]]-TODAY()),"SD"))))))))</f>
        <v>#REF!</v>
      </c>
      <c r="NJ220" s="43">
        <f>MONTH(Tabla1[[#This Row],[FECHA DE SALIDA  DEL PROGRAMA]])</f>
        <v>1</v>
      </c>
      <c r="NK220" s="43">
        <f>YEAR(Tabla1[[#This Row],[FECHA DE SALIDA  DEL PROGRAMA]])</f>
        <v>1900</v>
      </c>
      <c r="NL220" s="43" t="str">
        <f t="shared" si="936"/>
        <v>X</v>
      </c>
      <c r="NM220" s="43" t="str">
        <f t="shared" si="941"/>
        <v>NO</v>
      </c>
      <c r="NN220" s="43" t="str">
        <f ca="1">IF(AND(O220&gt;0,R220=""),"NO CPN",IF(AND(O220="",R220=""),"",IF(AND(R220&gt;0,Tabla1[[#This Row],[SEMANAS DE GESTACION ACTUALIZADAS]]&lt;=12),"NO APLICA",IF(AND(FH220&lt;&gt;"",FN220&lt;&gt;""),"SI","NO"))))</f>
        <v>NO</v>
      </c>
      <c r="NO220" s="43" t="str">
        <f ca="1">IF(AND(O220&gt;0,R220=""),"NO CPN",IF(AND(O220="",R220=""),"",IF(AND(R220&gt;0,Tabla1[[#This Row],[SEMANAS DE GESTACION ACTUALIZADAS]]&lt;=27),"NO APLICA",IF(AND(ES220&lt;&gt;"",FQ220&lt;&gt;"",GF220&lt;&gt;""),"SI","NO"))))</f>
        <v>NO APLICA</v>
      </c>
      <c r="NP220" s="204" t="str">
        <f t="shared" si="912"/>
        <v>I TRIM</v>
      </c>
      <c r="NQ220" s="21" t="str">
        <f>IF(AND(IP221&gt;0,IP221&lt;37),10,IF(OR(CD221="Transversa",CD221="Oblicua"),9,IF(CC221="SI",8,IF(AND(AT221=0,AW221=0,CC221="NO",CD221="Cefálica",IP221&gt;=37,IT221="INICIO ESPONTÁNEO"),1,IF(AND(AND(AT221=0,AW221=0,CC221="NO",CD221="Cefálica",IP221&gt;=37),OR(IT221="LE HACEN INDUCCIÓN",IT221="LE HACEN CESÁREA SIN INICIO TRABAJO DE PARTO")),2,IF(AND(AT221&gt;=1,AW221=0,CC221="NO",CD221="Cefálica",IP221&gt;=37,IT221="INICIO ESPONTÁNEO"),3,IF(AND(AND(AT221&gt;=1,AW221=0,CC221="NO",CD221="Cefálica",IP221&gt;=37),OR(IT221="LE HACEN INDUCCIÓN",IT221="LE HACEN CESÁREA SIN INICIO TRABAJO DE PARTO")),4,IF(AND(AND(AT221&gt;=1,AW221&gt;=1,CC221="NO",CD221="Cefálica",IP221&gt;=37),OR(IT221="LE HACEN INDUCCIÓN",IT221="LE HACEN CESÁREA SIN INICIO TRABAJO DE PARTO",IT221="INICIO ESPONTÁNEO")),5,IF(AND(AND(AT221=0,AW221=0,CC221="NO",CD221="Podálica",IP221&gt;=1),OR(IT221="LE HACEN INDUCCIÓN",IT221="LE HACEN CESÁREA SIN INICIO TRABAJO DE PARTO",IT221="INICIO ESPONTÁNEO")),6,IF(AND(AND(AT221&gt;=1,CC221="NO",CD221="Podálica",IP221&gt;=1),OR(IT221="LE HACEN INDUCCIÓN",IT221="LE HACEN CESÁREA SIN INICIO TRABAJO DE PARTO",IT221="INICIO ESPONTÁNEO"),OR(AW221=0,AW221&gt;=1)),7,""))))))))))</f>
        <v/>
      </c>
      <c r="NR220" s="21">
        <f t="shared" ca="1" si="937"/>
        <v>2</v>
      </c>
      <c r="NS220" s="205">
        <f t="shared" ca="1" si="914"/>
        <v>0</v>
      </c>
      <c r="NT220" s="21">
        <f t="shared" ca="1" si="915"/>
        <v>0</v>
      </c>
      <c r="NU220" s="21" t="str">
        <f t="shared" ca="1" si="916"/>
        <v>INCOMPLETO</v>
      </c>
      <c r="NV220" s="21" t="str">
        <f t="shared" ca="1" si="917"/>
        <v>INCOMPLETO</v>
      </c>
      <c r="NW220" s="206" t="str">
        <f>IF(AND(O220="",R220=""),"",IF(OR(AND(Tabla1[[#This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20" s="207" t="str">
        <f t="shared" ca="1" si="938"/>
        <v>SIN VACUNAR</v>
      </c>
      <c r="NY220" s="43">
        <f>ROW(Tabla1[[#This Row],['# DE TAMIZAJES SIFILIS TOMADOS ]])</f>
        <v>220</v>
      </c>
      <c r="NZ220" s="43" t="str">
        <f t="shared" si="942"/>
        <v>Menor</v>
      </c>
      <c r="OA220" s="43" t="str">
        <f t="shared" si="943"/>
        <v>SOBREPESO</v>
      </c>
      <c r="OB220" s="43" t="str">
        <f t="shared" si="944"/>
        <v/>
      </c>
      <c r="OC220" s="43" t="str">
        <f t="shared" si="945"/>
        <v/>
      </c>
      <c r="OD220" s="43" t="str">
        <f t="shared" si="946"/>
        <v/>
      </c>
      <c r="OE220" s="43" t="str">
        <f t="shared" si="947"/>
        <v/>
      </c>
      <c r="OF220" s="43" t="str">
        <f t="shared" si="948"/>
        <v/>
      </c>
      <c r="OG220" s="43" t="str">
        <f t="shared" si="949"/>
        <v/>
      </c>
      <c r="OH220" s="43" t="str">
        <f t="shared" si="950"/>
        <v/>
      </c>
      <c r="OI220" s="43" t="str">
        <f t="shared" si="951"/>
        <v/>
      </c>
      <c r="OJ220" s="43" t="str">
        <f t="shared" si="952"/>
        <v/>
      </c>
      <c r="OK220" s="43" t="str">
        <f t="shared" si="953"/>
        <v/>
      </c>
      <c r="OL220" s="43" t="str">
        <f t="shared" si="954"/>
        <v/>
      </c>
      <c r="OM220" s="43" t="str">
        <f t="shared" si="955"/>
        <v/>
      </c>
      <c r="ON220" s="43" t="str">
        <f t="shared" si="956"/>
        <v/>
      </c>
      <c r="OO220" s="43" t="str">
        <f t="shared" si="957"/>
        <v/>
      </c>
      <c r="OP220" s="43" t="str">
        <f t="shared" si="958"/>
        <v/>
      </c>
      <c r="OQ220" s="43" t="str">
        <f t="shared" si="959"/>
        <v/>
      </c>
      <c r="OR220" s="43" t="str">
        <f t="shared" si="960"/>
        <v/>
      </c>
      <c r="OS220" s="43" t="str">
        <f t="shared" si="961"/>
        <v/>
      </c>
      <c r="OT220" s="43" t="str">
        <f t="shared" si="962"/>
        <v/>
      </c>
      <c r="OU220" s="43" t="str">
        <f t="shared" si="963"/>
        <v/>
      </c>
      <c r="OV220" s="110" t="str">
        <f t="shared" si="964"/>
        <v/>
      </c>
      <c r="OW220" s="43" t="str">
        <f t="shared" si="965"/>
        <v/>
      </c>
      <c r="OX220" s="43" t="str">
        <f t="shared" si="966"/>
        <v/>
      </c>
      <c r="OY220" s="43" t="str">
        <f t="shared" si="967"/>
        <v/>
      </c>
      <c r="OZ220" s="43" t="str">
        <f t="shared" si="968"/>
        <v/>
      </c>
      <c r="PA220" s="43" t="str">
        <f t="shared" si="969"/>
        <v/>
      </c>
      <c r="PB220" s="43" t="str">
        <f t="shared" si="970"/>
        <v/>
      </c>
      <c r="PC220" s="43" t="str">
        <f t="shared" si="971"/>
        <v/>
      </c>
      <c r="PD220" s="43" t="str">
        <f t="shared" si="972"/>
        <v/>
      </c>
      <c r="PE220" s="43" t="str">
        <f t="shared" si="973"/>
        <v/>
      </c>
      <c r="PF220" s="43" t="str">
        <f t="shared" si="974"/>
        <v/>
      </c>
      <c r="PG220" s="43" t="str">
        <f t="shared" si="975"/>
        <v/>
      </c>
      <c r="PH220" s="43" t="str">
        <f t="shared" si="976"/>
        <v/>
      </c>
      <c r="PI220" s="43">
        <f t="shared" si="977"/>
        <v>11</v>
      </c>
      <c r="PJ220" s="43" t="str">
        <f t="shared" si="978"/>
        <v/>
      </c>
      <c r="PK220" s="43" t="str">
        <f t="shared" si="979"/>
        <v/>
      </c>
      <c r="PL220" s="43" t="str">
        <f t="shared" si="980"/>
        <v>SOBREPESO</v>
      </c>
      <c r="PM220" s="43" t="str">
        <f t="shared" si="981"/>
        <v/>
      </c>
      <c r="PN220" s="43" t="str">
        <f t="shared" si="982"/>
        <v/>
      </c>
      <c r="PO220" s="43" t="str">
        <f t="shared" si="983"/>
        <v/>
      </c>
      <c r="PP220" s="43" t="str">
        <f t="shared" si="984"/>
        <v/>
      </c>
      <c r="PQ220" s="43" t="str">
        <f t="shared" si="985"/>
        <v/>
      </c>
      <c r="PR220" s="43" t="str">
        <f t="shared" si="986"/>
        <v/>
      </c>
      <c r="PS220" s="43" t="str">
        <f t="shared" si="987"/>
        <v/>
      </c>
      <c r="PT220" s="43" t="str">
        <f t="shared" si="988"/>
        <v/>
      </c>
      <c r="PU220" s="43" t="str">
        <f t="shared" si="989"/>
        <v/>
      </c>
      <c r="PV220" s="43" t="str">
        <f t="shared" si="990"/>
        <v/>
      </c>
      <c r="PW220" s="43" t="str">
        <f t="shared" si="991"/>
        <v/>
      </c>
      <c r="PX220" s="43" t="str">
        <f t="shared" si="992"/>
        <v/>
      </c>
      <c r="PY220" s="43" t="str">
        <f t="shared" si="993"/>
        <v/>
      </c>
      <c r="PZ220" s="43" t="str">
        <f t="shared" si="994"/>
        <v/>
      </c>
      <c r="QA220" s="43" t="str">
        <f t="shared" si="995"/>
        <v/>
      </c>
      <c r="QB220" s="43" t="str">
        <f t="shared" si="996"/>
        <v/>
      </c>
      <c r="QC220" s="43" t="str">
        <f t="shared" si="997"/>
        <v/>
      </c>
      <c r="QD220" s="43" t="str">
        <f t="shared" si="998"/>
        <v/>
      </c>
      <c r="QE220" s="43" t="str">
        <f t="shared" si="999"/>
        <v/>
      </c>
      <c r="QF220" s="43" t="str">
        <f t="shared" si="1000"/>
        <v/>
      </c>
      <c r="QG220" s="43" t="str">
        <f t="shared" si="1001"/>
        <v/>
      </c>
      <c r="QH220" s="43" t="str">
        <f t="shared" si="1002"/>
        <v/>
      </c>
      <c r="QI220" s="43" t="str">
        <f t="shared" si="1003"/>
        <v/>
      </c>
      <c r="QJ220" s="43" t="str">
        <f t="shared" si="1004"/>
        <v/>
      </c>
      <c r="QK220" s="43" t="str">
        <f t="shared" si="1005"/>
        <v/>
      </c>
      <c r="QL220" s="43" t="str">
        <f t="shared" si="1006"/>
        <v/>
      </c>
      <c r="QM220" s="43" t="str">
        <f t="shared" si="1007"/>
        <v/>
      </c>
      <c r="QN220" s="43" t="str">
        <f t="shared" si="1008"/>
        <v/>
      </c>
      <c r="QO220" s="43" t="str">
        <f t="shared" si="1009"/>
        <v/>
      </c>
      <c r="QP220" s="43" t="str">
        <f t="shared" si="1010"/>
        <v/>
      </c>
      <c r="QQ220" s="43" t="str">
        <f t="shared" si="1011"/>
        <v/>
      </c>
      <c r="QR220" s="43" t="str">
        <f t="shared" si="1012"/>
        <v>Menor</v>
      </c>
      <c r="QS220" s="43"/>
      <c r="QT220" s="21" t="str">
        <f t="shared" si="1013"/>
        <v/>
      </c>
      <c r="QU220" s="21" t="str">
        <f t="shared" si="1014"/>
        <v/>
      </c>
      <c r="QV220" s="21" t="str">
        <f t="shared" si="1015"/>
        <v/>
      </c>
      <c r="QW220" s="21" t="str">
        <f t="shared" si="1016"/>
        <v/>
      </c>
      <c r="QX220" s="21" t="str">
        <f t="shared" si="1017"/>
        <v/>
      </c>
      <c r="QY220" s="21" t="str">
        <f t="shared" si="1018"/>
        <v/>
      </c>
      <c r="QZ220" s="21" t="str">
        <f t="shared" si="1019"/>
        <v/>
      </c>
      <c r="RA220" s="21" t="str">
        <f t="shared" si="1020"/>
        <v/>
      </c>
      <c r="RB220" s="21" t="str">
        <f t="shared" si="1021"/>
        <v/>
      </c>
      <c r="RC220" s="21" t="str">
        <f t="shared" si="1022"/>
        <v/>
      </c>
      <c r="RD220" s="21" t="str">
        <f t="shared" si="1023"/>
        <v/>
      </c>
      <c r="RE220" s="21" t="str">
        <f t="shared" si="1024"/>
        <v/>
      </c>
      <c r="RF220" s="21" t="str">
        <f t="shared" si="1025"/>
        <v/>
      </c>
      <c r="RG220" s="21" t="str">
        <f t="shared" si="1026"/>
        <v/>
      </c>
      <c r="RH220" s="21" t="str">
        <f t="shared" si="1027"/>
        <v/>
      </c>
      <c r="RI220" s="21" t="str">
        <f t="shared" si="1028"/>
        <v/>
      </c>
      <c r="RJ220" s="21" t="str">
        <f t="shared" si="1029"/>
        <v/>
      </c>
      <c r="RK220" s="21" t="str">
        <f t="shared" si="1030"/>
        <v/>
      </c>
      <c r="RL220" s="21" t="str">
        <f t="shared" si="1031"/>
        <v/>
      </c>
      <c r="RM220" s="21" t="str">
        <f t="shared" si="1032"/>
        <v/>
      </c>
      <c r="RN220" s="21" t="str">
        <f t="shared" si="1033"/>
        <v/>
      </c>
      <c r="RO220" s="21" t="str">
        <f t="shared" si="1034"/>
        <v/>
      </c>
      <c r="RP220" s="21" t="str">
        <f t="shared" si="1035"/>
        <v/>
      </c>
      <c r="RQ220" s="21" t="str">
        <f t="shared" si="1036"/>
        <v/>
      </c>
      <c r="RR220" s="21" t="str">
        <f t="shared" si="1037"/>
        <v/>
      </c>
      <c r="RS220" s="21" t="str">
        <f t="shared" si="1038"/>
        <v/>
      </c>
      <c r="RT220" s="21" t="str">
        <f t="shared" si="1039"/>
        <v/>
      </c>
      <c r="RU220" s="21" t="str">
        <f t="shared" si="1040"/>
        <v/>
      </c>
      <c r="RV220" s="21">
        <f t="shared" si="1041"/>
        <v>-1</v>
      </c>
      <c r="RW220" s="284">
        <f>IF(OR(Tabla1[[#This Row],[FUM FORMULA CONFIABLE]]="",Tabla1[[#This Row],[FUM FORMULA CONFIABLE]]="SD"),"",IF(Tabla1[[#This Row],[FUM FORMULA CONFIABLE]]="CORREGIDA",Tabla1[[#This Row],[FUM X ECO 1]],Tabla1[[#This Row],[FUM x AMENORREA]]))</f>
        <v>45087</v>
      </c>
      <c r="RX220" s="21" t="str">
        <f>IF(AND(Tabla1[[#This Row],[FUM X ECO 1]]="",Tabla1[[#This Row],[FUM x AMENORREA]]=""),"",IF(AND(Tabla1[[#This Row],[FUM X ECO 1]]="",Tabla1[[#This Row],[FUM x AMENORREA]]&lt;&gt;""),"X",SUM(Tabla1[[#This Row],[FUM X ECO 1]]-Tabla1[[#This Row],[FUM x AMENORREA]])))</f>
        <v>X</v>
      </c>
      <c r="RY220" s="21" t="str">
        <f t="shared" si="1042"/>
        <v>x</v>
      </c>
    </row>
    <row r="221" spans="1:493" ht="45" customHeight="1" x14ac:dyDescent="0.25">
      <c r="A221" s="109"/>
      <c r="B221" s="43"/>
      <c r="C221" s="43" t="s">
        <v>845</v>
      </c>
      <c r="D221" s="124"/>
      <c r="E221" s="43" t="s">
        <v>1286</v>
      </c>
      <c r="F221" s="43" t="s">
        <v>1594</v>
      </c>
      <c r="G221" s="43" t="s">
        <v>1420</v>
      </c>
      <c r="H221" s="43"/>
      <c r="I221" s="109" t="s">
        <v>1094</v>
      </c>
      <c r="J221" s="289" t="s">
        <v>1593</v>
      </c>
      <c r="K221" s="43" t="s">
        <v>852</v>
      </c>
      <c r="L221" s="175" t="s">
        <v>1509</v>
      </c>
      <c r="M221" s="22">
        <v>38580</v>
      </c>
      <c r="N221" s="213">
        <f t="shared" ca="1" si="841"/>
        <v>18.224657534246575</v>
      </c>
      <c r="O221" s="22">
        <v>45134</v>
      </c>
      <c r="P221" s="214" t="str">
        <f t="shared" si="919"/>
        <v>SI</v>
      </c>
      <c r="Q221" s="26" t="s">
        <v>855</v>
      </c>
      <c r="R221" s="22">
        <v>45134</v>
      </c>
      <c r="S221" s="21" t="s">
        <v>856</v>
      </c>
      <c r="T221" s="24" t="s">
        <v>690</v>
      </c>
      <c r="U221" s="21" t="s">
        <v>857</v>
      </c>
      <c r="V221" s="21" t="s">
        <v>858</v>
      </c>
      <c r="W221" s="21"/>
      <c r="X221" s="21"/>
      <c r="Y221" s="21"/>
      <c r="Z221" s="21" t="s">
        <v>894</v>
      </c>
      <c r="AA221" s="21" t="s">
        <v>860</v>
      </c>
      <c r="AB221" s="27" t="s">
        <v>861</v>
      </c>
      <c r="AC221" s="26" t="s">
        <v>862</v>
      </c>
      <c r="AD221" s="38" t="s">
        <v>1546</v>
      </c>
      <c r="AE221" s="26" t="s">
        <v>854</v>
      </c>
      <c r="AF221" s="26" t="s">
        <v>854</v>
      </c>
      <c r="AG221" s="23" t="s">
        <v>864</v>
      </c>
      <c r="AH221" s="23" t="s">
        <v>864</v>
      </c>
      <c r="AI221" s="24" t="s">
        <v>863</v>
      </c>
      <c r="AJ221" s="23" t="s">
        <v>864</v>
      </c>
      <c r="AK221" s="220" t="str">
        <f>IF(AND(AD221="",AE221="",AF221="",AG221="",AH221="",AI221="",AJ221=""),"",IF(OR(Tabla1[[#This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EVALUACIÓN",IF(AND(O221="",R221=""),"",IF(AND(OR(O221&gt;0,R221&gt;0),NG221&gt;=0,NG221&lt;2),"SIN RIESGO",IF(AND(OR(O221&gt;0,R221&gt;0),NG221&gt;=2),"CON RIESGO","ASD")))))</f>
        <v>SIN RIESGO</v>
      </c>
      <c r="AL221" s="23" t="s">
        <v>864</v>
      </c>
      <c r="AM221" s="26" t="s">
        <v>864</v>
      </c>
      <c r="AN221" s="26" t="s">
        <v>864</v>
      </c>
      <c r="AO221" s="26" t="s">
        <v>864</v>
      </c>
      <c r="AP221" s="26" t="s">
        <v>864</v>
      </c>
      <c r="AQ221" s="26" t="s">
        <v>864</v>
      </c>
      <c r="AR221" s="26" t="s">
        <v>864</v>
      </c>
      <c r="AS221" s="21">
        <v>1</v>
      </c>
      <c r="AT221" s="21">
        <v>1</v>
      </c>
      <c r="AU221" s="21">
        <v>0</v>
      </c>
      <c r="AV221" s="26" t="s">
        <v>864</v>
      </c>
      <c r="AW221" s="21">
        <v>0</v>
      </c>
      <c r="AX221" s="26" t="s">
        <v>864</v>
      </c>
      <c r="AY221" s="26" t="s">
        <v>864</v>
      </c>
      <c r="AZ221" s="26" t="s">
        <v>864</v>
      </c>
      <c r="BA221" s="26" t="s">
        <v>864</v>
      </c>
      <c r="BB221" s="26" t="s">
        <v>864</v>
      </c>
      <c r="BC221" s="26" t="s">
        <v>864</v>
      </c>
      <c r="BD221" s="26" t="s">
        <v>864</v>
      </c>
      <c r="BE221" s="26" t="s">
        <v>864</v>
      </c>
      <c r="BF221" s="26" t="s">
        <v>864</v>
      </c>
      <c r="BG221" s="26" t="s">
        <v>864</v>
      </c>
      <c r="BH221" s="26" t="s">
        <v>864</v>
      </c>
      <c r="BI221" s="26" t="s">
        <v>864</v>
      </c>
      <c r="BJ221" s="26" t="s">
        <v>864</v>
      </c>
      <c r="BK221" s="26" t="s">
        <v>864</v>
      </c>
      <c r="BL221" s="26" t="s">
        <v>864</v>
      </c>
      <c r="BM221" s="26" t="s">
        <v>864</v>
      </c>
      <c r="BN221" s="22"/>
      <c r="BO221" s="22">
        <v>45063</v>
      </c>
      <c r="BP221" s="21" t="s">
        <v>854</v>
      </c>
      <c r="BQ221" s="222">
        <f t="shared" si="842"/>
        <v>0</v>
      </c>
      <c r="BR221" s="223" t="str">
        <f t="shared" si="843"/>
        <v/>
      </c>
      <c r="BS221" s="224">
        <f t="shared" si="844"/>
        <v>10.142857142857142</v>
      </c>
      <c r="BT221" s="216" t="str">
        <f t="shared" si="845"/>
        <v>II TRIM</v>
      </c>
      <c r="BU221" s="214">
        <f t="shared" ca="1" si="928"/>
        <v>24.142857142857142</v>
      </c>
      <c r="BV221" s="25"/>
      <c r="BW221" s="22"/>
      <c r="BX221" s="28"/>
      <c r="BY221" s="28"/>
      <c r="BZ221" s="22"/>
      <c r="CA221" s="21"/>
      <c r="CB221" s="26"/>
      <c r="CC221" s="26"/>
      <c r="CD221" s="26"/>
      <c r="CE221" s="26"/>
      <c r="CF221" s="22" t="s">
        <v>1517</v>
      </c>
      <c r="CG221" s="21">
        <v>1.39</v>
      </c>
      <c r="CH221" s="21">
        <v>51</v>
      </c>
      <c r="CI221" s="214">
        <f t="shared" si="847"/>
        <v>26.396149267636254</v>
      </c>
      <c r="CJ221" s="225" t="e">
        <f>IF(AND(CI221&lt;10,CH221="SD"),"SIN DATO PESO PREGESTACION O I TRIM",IF(AND(OR(R221&gt;0,O221&gt;0),CI221="X"),"INGRESAR DATO DE PESO",IF(CI221="SD","INGRESAR DATO DE TALLA Y PESO",IF(AND(OR(Tabla1[[#This Row],[MOMENTO EN QUE SE REALIZA EL PESO AL INGRESO A CPN]]="PREGESTACIÓN",NZ221="Menor"),CI221&lt;18.5),"BAJO PESO",IF(AND(OR(Tabla1[[#This Row],[MOMENTO EN QUE SE REALIZA EL PESO AL INGRESO A CPN]]="PREGESTACIÓN",NZ221="Menor"),CI221&lt;25),"NORMAL",IF(AND(OR(Tabla1[[#This Row],[MOMENTO EN QUE SE REALIZA EL PESO AL INGRESO A CPN]]="PREGESTACIÓN",NZ221="Menor"),CI221&lt;30),"SOBREPESO",IF(AND(OR(Tabla1[[#This Row],[MOMENTO EN QUE SE REALIZA EL PESO AL INGRESO A CPN]]="PREGESTACIÓN",NZ221="Menor"),CI221&gt;=30,CI221&lt;50),"OBESIDAD",IF(AND(BS221&gt;0,Tabla1[[#This Row],[MOMENTO EN QUE SE REALIZA EL PESO AL INGRESO A CPN]]="GESTACIÓN"),HLOOKUP(NZ221,$OA$2:PH221,NY221),""))))))))</f>
        <v>#REF!</v>
      </c>
      <c r="CK221" s="212">
        <f t="shared" si="848"/>
        <v>45134</v>
      </c>
      <c r="CL221" s="21">
        <v>51</v>
      </c>
      <c r="CM221" s="214">
        <f t="shared" si="849"/>
        <v>26.396149267636254</v>
      </c>
      <c r="CN221" s="216">
        <f t="shared" si="850"/>
        <v>10</v>
      </c>
      <c r="CO221" s="216" t="e">
        <f>IF(PI221="","",IF(PI221&gt;0,HLOOKUP(PI221,$PJ$2:QQ221,NY221),""))</f>
        <v>#REF!</v>
      </c>
      <c r="CP221" s="21"/>
      <c r="CQ221" s="216" t="str">
        <f>IF(QR221="Menor","NO APLICA-MENOR 13 SEM",IF(AND(CC221="SI",CN221&gt;23),"NO APLICA- GEMELAR",IF(QR221="","",IF(QR221&gt;0,HLOOKUP(QR221,$QS$2:RU221,NY221),""))))</f>
        <v>NO APLICA-MENOR 13 SEM</v>
      </c>
      <c r="CR221" s="21">
        <v>90</v>
      </c>
      <c r="CS221" s="21">
        <v>60</v>
      </c>
      <c r="CT221" s="217" t="str">
        <f>IF(R221="","",IF(AND(BS221&gt;1,BS221&lt;12,Tabla1[[#This Row],[T.A. SISTOLICA - ANTES DE SEMANA 12]]="",Tabla1[[#This Row],[T.A. DIASTOLICA - ANTES DE SEMANA 12]]=""),"REGISTRE DATO TA ANTES SEMANA 12",IF(AND(BS221&gt;11,BS221&lt;43,Tabla1[[#This Row],[T.A. SISTOLICA - ANTES DE SEMANA 12]]="",Tabla1[[#This Row],[T.A. DIASTOLICA - ANTES DE SEMANA 12]]=""),"NO APLICA REGISTRO TA-INGRESO TARDIO",IF(AND(OR(O221&gt;0,R221&gt;0),OR(CR221&gt;=140,CS221&gt;=90)),"DEFINIR ESTADIO HTA",IF(AND(OR(O221&gt;0,R221&gt;0),AND(CR221&gt;120,CR221&lt;=139)),"PRE HTA SEGUIMIENTO",IF(AND(OR(O221&gt;0,R221&gt;0),AND(CS221&gt;80,CS221&lt;=89)),"PRE HTA SEGUIMIENTO",IF(AND(OR(O221&gt;0,R221&gt;0),AND(CR221&gt;=80,CR221&lt;=120)),"APARENTEMENTE NORMAL",IF(AND(OR(O221&gt;0,R221&gt;0),AND(CS221&gt;=50,CS221&lt;=80)),"APARENTEMENTE NORMAL",IF(AND(OR(O221&gt;0,R221&gt;0),AND(CR221&gt;1,CR221&lt;=70),AND(CS221&gt;1,CS221&lt;=40)),"HIPOTENSIÓN","")))))))))</f>
        <v>APARENTEMENTE NORMAL</v>
      </c>
      <c r="CU221" s="21"/>
      <c r="CV221" s="21"/>
      <c r="CW221" s="217" t="str">
        <f ca="1">IF(R221="","",IF(AND(CN221&gt;19,CN221&lt;27,Tabla1[[#This Row],[T.A. SISTOLICA (Entre semana 20 y 26)]]="",Tabla1[[#This Row],[T.A. DIATOLICA (Entre semana 20 y 26)]]=""),"ACUDE A CONTROL SEM 20 A 26 REGISTRE TA AHORA",IF(AND(BS221&gt;1,BS221&lt;27,BU221&gt;19,Tabla1[[#This Row],[T.A. SISTOLICA (Entre semana 20 y 26)]]="",Tabla1[[#This Row],[T.A. DIATOLICA (Entre semana 20 y 26)]]=""),"COMPLETE REGISTRO TA CONTROL SEM 20 A26 ",IF(AND(BS221&gt;26,BS221&lt;43,Tabla1[[#This Row],[T.A. SISTOLICA (Entre semana 20 y 26)]]="",Tabla1[[#This Row],[T.A. DIATOLICA (Entre semana 20 y 26)]]=""),"NO APLICA REGISTRO TA-INGRESO TARDIO",IF(AND(OR(O221&gt;0,R221&gt;0),OR(CU221&gt;=140,CV221&gt;=90)),"ALTO RIESGO PREECLAMPSIA,DEFINIR ESTADIO HTA",IF(AND(OR(O221&gt;0,R221&gt;0),AND(CU221&gt;120,CU221&lt;=139)),"PRE HTA SEGUIMIENTO,RIESGO HIPERTENSION INDUCIDA POR EL EMBARAZO",IF(AND(OR(O221&gt;0,R221&gt;0),AND(CV221&gt;80,CV221&lt;=89)),"PRE HTA SEGUIMIENTO, RIESGO HIPERTENSION INDUCIDA POR EL EMBARAZO",IF(AND(OR(O221&lt;&gt;"",R221&lt;&gt;""),CS221&lt;&gt;"",CV221&lt;&gt;"",CS221&lt;=CV221),"VIGILAR CIFRAS PRESION ARTERIAL",IF(AND(OR(O221&gt;0,R221&gt;0),AND(CU221&gt;120,CU221&lt;=139)),"PRE HTA SEGUIMIENTO",IF(AND(OR(O221&gt;0,R221&gt;0),AND(CU221&gt;1,CU221&lt;=70),AND(CV221&gt;1,CV221&lt;=40)),"HIPOTENSIÓN",IF(AND(OR(O221&lt;&gt;"",R221&lt;&gt;""),CS221&lt;&gt;"",CV221&lt;&gt;"",CS221&gt;CV221),"APARENTEMENTE NORMAL",IF(AND(OR(O221&gt;0,R221&gt;0),AND(CU221&gt;=80,CU221&lt;=120)),"APARENTEMENTE NORMAL",IF(AND(OR(O221&gt;0,R221&gt;0),AND(CV221&gt;=50,CV221&lt;=80)),"APARENTEMENTE NORMAL","")))))))))))))</f>
        <v xml:space="preserve">COMPLETE REGISTRO TA CONTROL SEM 20 A26 </v>
      </c>
      <c r="CX221" s="21"/>
      <c r="CY221" s="21"/>
      <c r="CZ221" s="216" t="e">
        <f>IF(R221="","",IF(AND(CN221&gt;31,CN221&lt;35,CX221="",CY221=""),"ACUDE A CONTROL SEM 30 A 34- REGISTRE AHORA",IF(AND(BS221&gt;34,BS221&lt;43,#REF!="",#REF!=""),"NO APLICA-INGRESO TARDIO",IF(AND(OR(O221&gt;0,R221&gt;0),OR(CX221&gt;=140,CY221&gt;=90)),"ESTUDIO INMEDIATO HTA PARA DESCARTAR PREECLAMSIA",IF(AND(OR(O221&gt;0,R221&gt;0),AND(CX221&gt;=130,CX221&lt;=139)),"PRE HTA,RIESGO ALTO PREECLAMPSIA",IF(AND(OR(O221&gt;0,R221&gt;0),AND(CY221&gt;80,CY221&lt;=89)),"PRE HTA,RIESGO ALTO PREECLAMPSIA",IF(AND(OR(O221&gt;0,R221&gt;0),AND(CX221&gt;120,CX221&lt;=129)),"RANGO PREHIPERTENSIVO SEGUIMIENTO HTA",IF(AND(OR(O221&lt;&gt;"",R221&lt;&gt;""),CS221&lt;&gt;"",CY221&lt;&gt;"",CS221&lt;CY221),"VIGILAR CIFRAS PRESION ARTERIAL",IF(AND(OR(O221&lt;&gt;"",R221&lt;&gt;""),CS221&lt;&gt;"",CY221&lt;&gt;"",CS221=CY221),"APARENTEMENTE NORMAL",IF(AND(OR(O221&gt;0,R221&gt;0),CX221&gt;=80,CX221&lt;=120),"APARENTEMENTE NORMAL",IF(AND(OR(O221&gt;0,R221&gt;0),CY221&gt;=50,CY221&lt;=80),"APARENTEMENTE NORMAL","")))))))))))</f>
        <v>#REF!</v>
      </c>
      <c r="DA221" s="21">
        <v>90</v>
      </c>
      <c r="DB221" s="21">
        <v>60</v>
      </c>
      <c r="DC221" s="217" t="str">
        <f t="shared" si="851"/>
        <v>APARENTEMENTE NORMAL</v>
      </c>
      <c r="DD221" s="22">
        <v>45098</v>
      </c>
      <c r="DE221" s="22">
        <v>45098</v>
      </c>
      <c r="DF221" s="22">
        <v>45132</v>
      </c>
      <c r="DG221" s="22"/>
      <c r="DH221" s="22"/>
      <c r="DI221" s="22"/>
      <c r="DJ221" s="22"/>
      <c r="DK221" s="22"/>
      <c r="DL221" s="22"/>
      <c r="DM221" s="22"/>
      <c r="DN221" s="22"/>
      <c r="DO221" s="22"/>
      <c r="DP221" s="22"/>
      <c r="DQ221" s="22"/>
      <c r="DR221" s="28"/>
      <c r="DS221" s="22"/>
      <c r="DT221" s="22"/>
      <c r="DU221" s="216" t="str">
        <f t="shared" ca="1" si="920"/>
        <v>EN ESPERA</v>
      </c>
      <c r="DV221" s="226" t="str">
        <f t="shared" si="921"/>
        <v>ACTIVA INGRESO A CPN</v>
      </c>
      <c r="DW22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21" s="216" t="e">
        <f t="shared" ca="1" si="852"/>
        <v>#REF!</v>
      </c>
      <c r="DY221" s="212">
        <f>IF(R221="","",IF(R221&gt;0,MAX(Tabla1[[#This Row],[FECHA C2]:[FECHA C13]],Tabla1[[#This Row],[FECHA CONSULTA PRIMERA VEZ PROGRAMA CPN ]])))</f>
        <v>45134</v>
      </c>
      <c r="DZ221" s="216">
        <f t="shared" si="853"/>
        <v>10</v>
      </c>
      <c r="EA221" s="222">
        <f>IF(R221&gt;0,SUM(COUNTA(DF221:DQ221)+COUNTA(Tabla1[[#This Row],[FECHA CONSULTA PRIMERA VEZ PROGRAMA CPN ]])),"")</f>
        <v>2</v>
      </c>
      <c r="EB221" s="222" t="str">
        <f t="shared" si="854"/>
        <v>NO</v>
      </c>
      <c r="EC221" s="214">
        <f t="shared" si="855"/>
        <v>9</v>
      </c>
      <c r="ED221" s="227">
        <f t="shared" si="856"/>
        <v>0.22222222222222221</v>
      </c>
      <c r="EE221" s="22">
        <v>45136</v>
      </c>
      <c r="EF221" s="22"/>
      <c r="EG221" s="22">
        <v>45136</v>
      </c>
      <c r="EH221" s="22"/>
      <c r="EI221" s="22">
        <v>45136</v>
      </c>
      <c r="EJ221" s="22"/>
      <c r="EK221" s="22"/>
      <c r="EL221" s="21"/>
      <c r="EM221" s="21">
        <v>15.5</v>
      </c>
      <c r="EN221" s="22">
        <v>45031</v>
      </c>
      <c r="EO221" s="222" t="str">
        <f t="shared" si="857"/>
        <v>CORREGIR FECHA RESULTADO</v>
      </c>
      <c r="EP221" s="214" t="str">
        <f t="shared" si="858"/>
        <v>NO DAR SULFATO FERROSO</v>
      </c>
      <c r="EQ221" s="216" t="str">
        <f t="shared" si="859"/>
        <v>POR DEFINIR</v>
      </c>
      <c r="ER221" s="24"/>
      <c r="ES221" s="22"/>
      <c r="ET221" s="29" t="str">
        <f t="shared" ca="1" si="922"/>
        <v>PROGRAMAR TOMA HEMOGLOBINA A SEM 28</v>
      </c>
      <c r="EU221" s="25" t="str">
        <f t="shared" si="860"/>
        <v/>
      </c>
      <c r="EV221" s="24" t="s">
        <v>1510</v>
      </c>
      <c r="EW221" s="32">
        <v>45136</v>
      </c>
      <c r="EX221" s="22"/>
      <c r="EY221" s="29">
        <f t="shared" si="1043"/>
        <v>10.428571428571429</v>
      </c>
      <c r="EZ221" s="25" t="str">
        <f t="shared" si="1044"/>
        <v>SIN RIESGO DE ISOINMUNIZACIÓN</v>
      </c>
      <c r="FA221" s="21">
        <v>76</v>
      </c>
      <c r="FB221" s="22">
        <v>45136</v>
      </c>
      <c r="FC221" s="29">
        <f t="shared" si="861"/>
        <v>10.428571428571429</v>
      </c>
      <c r="FD221" s="29"/>
      <c r="FE221" s="29"/>
      <c r="FF221" s="29"/>
      <c r="FG221" s="21" t="str">
        <f t="shared" ca="1" si="862"/>
        <v>TOMAR PTOG</v>
      </c>
      <c r="FH221" s="31"/>
      <c r="FI221" s="29" t="str">
        <f t="shared" si="863"/>
        <v>TOMAR EXAMEN</v>
      </c>
      <c r="FJ221" s="22" t="s">
        <v>867</v>
      </c>
      <c r="FK221" s="22">
        <v>45136</v>
      </c>
      <c r="FL221" s="29">
        <f t="shared" ca="1" si="864"/>
        <v>10.428571428571429</v>
      </c>
      <c r="FM221" s="22"/>
      <c r="FN221" s="32"/>
      <c r="FO221" s="29" t="str">
        <f t="shared" ca="1" si="923"/>
        <v>PIERDE TOMA DE TAMIZAJE</v>
      </c>
      <c r="FP221" s="22"/>
      <c r="FQ221" s="32"/>
      <c r="FR221" s="29" t="str">
        <f t="shared" ca="1" si="924"/>
        <v>EN ESPERA-ESTÁ I TRIM O II TRIM</v>
      </c>
      <c r="FS221" s="22"/>
      <c r="FT221" s="32"/>
      <c r="FU221" s="29" t="str">
        <f>IF(AND(FJ221="",FM221="",FP221="",FS221=""),"",IF(OR(OR(Tabla1[[#This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21" s="28"/>
      <c r="FW221" s="22"/>
      <c r="FX221" s="29" t="str">
        <f t="shared" si="865"/>
        <v>TOMAR EXAMEN</v>
      </c>
      <c r="FY221" s="22" t="s">
        <v>868</v>
      </c>
      <c r="FZ221" s="22">
        <v>45136</v>
      </c>
      <c r="GA221" s="29">
        <f t="shared" ca="1" si="939"/>
        <v>10.428571428571429</v>
      </c>
      <c r="GB221" s="22"/>
      <c r="GC221" s="22"/>
      <c r="GD221" s="29" t="str">
        <f t="shared" ca="1" si="940"/>
        <v>EN RANGO PARA TOMAR EXAMEN</v>
      </c>
      <c r="GE221" s="22"/>
      <c r="GF221" s="22"/>
      <c r="GG221" s="29" t="str">
        <f t="shared" ca="1" si="926"/>
        <v>EN ESPERA-ESTÁ I TRIM O II TRIM</v>
      </c>
      <c r="GH221" s="22"/>
      <c r="GI221" s="29"/>
      <c r="GJ221" s="22"/>
      <c r="GK221" s="22"/>
      <c r="GL221" s="22"/>
      <c r="GM221" s="22"/>
      <c r="GN221" s="28" t="s">
        <v>869</v>
      </c>
      <c r="GO221" s="22">
        <v>45136</v>
      </c>
      <c r="GP221" s="29">
        <f t="shared" si="866"/>
        <v>10.428571428571429</v>
      </c>
      <c r="GQ221" s="28"/>
      <c r="GR221" s="28"/>
      <c r="GS221" s="22" t="str">
        <f t="shared" si="728"/>
        <v/>
      </c>
      <c r="GT221" s="22"/>
      <c r="GU221" s="29" t="str">
        <f t="shared" si="867"/>
        <v>TOMAR EXAMEN</v>
      </c>
      <c r="GV221" s="21" t="str">
        <f t="shared" si="868"/>
        <v>POR DEFINIR</v>
      </c>
      <c r="GW221" s="28"/>
      <c r="GX221" s="30"/>
      <c r="GY221" s="21"/>
      <c r="GZ221" s="21"/>
      <c r="HA221" s="21"/>
      <c r="HB221" s="21"/>
      <c r="HC221" s="21"/>
      <c r="HD221" s="21"/>
      <c r="HE221" s="21"/>
      <c r="HF221" s="22"/>
      <c r="HG221" s="22" t="str">
        <f>IF(OR(O221&gt;0,R221&gt;0),CONCATENATE(IF(Tabla1[[#This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21" s="22" t="e">
        <f t="shared" si="869"/>
        <v>#REF!</v>
      </c>
      <c r="HI221" s="22" t="e">
        <f t="shared" ca="1" si="870"/>
        <v>#REF!</v>
      </c>
      <c r="HJ221" s="21" t="str">
        <f t="shared" ca="1" si="871"/>
        <v>***************************************</v>
      </c>
      <c r="HK221" s="21" t="str">
        <f t="shared" si="872"/>
        <v>SIN ANTECEDENTES DE RIESGO</v>
      </c>
      <c r="HL221" s="24" t="str">
        <f t="shared" si="873"/>
        <v>APARENTEMENTE NORMAL</v>
      </c>
      <c r="HM221" s="21" t="e">
        <f t="shared" ca="1" si="874"/>
        <v>#REF!</v>
      </c>
      <c r="HN221" s="30" t="str">
        <f t="shared" si="927"/>
        <v>ACTIVA INGRESO A CPN</v>
      </c>
      <c r="HO221" s="21"/>
      <c r="HP221" s="21"/>
      <c r="HQ221" s="349"/>
      <c r="HR221" s="21" t="str">
        <f>IF(R221="","",IF(Tabla1[[#This Row],[ALARMA FACTORES DE RIESGO COMPLICACIONES HIPERTENSIVAS3]]="SIN ANTECEDENTES DE RIESGO","No Aplica para suministro de ASA",IF(AND(Tabla1[[#This Row],[FECHA INICIO DE SUMINISTRO DE ASA]]&gt;0,RV221&lt;12),"Inicia ASA ANTES de Sem 12",IF(AND(RV221&gt;11,RV221&lt;17,OR(HK221="RIESGO ALTO DE COMPLICACIONES HIPERTENSIVAS VER MANEJO GUIA SUMINISTRO ASA Y CALCIO",HK221="RIESGO MODERADO (2 O MAS CRITERIOS) VER MANEJO GUIA SUMINISTRO ASA Y CALCIO")),"Inicio oportuno de ASA",IF(AND(RV221&gt;12,OR(HK221="RIESGO ALTO DE COMPLICACIONES HIPERTENSIVAS VER MANEJO GUIA SUMINISTRO ASA Y CALCIO",HK221="RIESGO MODERADO (2 O MAS CRITERIOS) VER MANEJO GUIA SUMINISTRO ASA Y CALCIO")),"Inicio no oportuno mayor a 16 semanas",IF(AND(BU221&lt;12,OR(HK221="RIESGO ALTO DE COMPLICACIONES HIPERTENSIVAS VER MANEJO GUIA SUMINISTRO ASA Y CALCIO",HK221="RIESGO MODERADO (2 O MAS CRITERIOS) VER MANEJO GUIA SUMINISTRO ASA Y CALCIO")),"Pendiente Inicio de ASA a la semana 12",IF(AND(BU221&gt;11,BU221&lt;17,OR(HK221="RIESGO ALTO DE COMPLICACIONES HIPERTENSIVAS VER MANEJO GUIA SUMINISTRO ASA Y CALCIO",HK221="RIESGO MODERADO (2 O MAS CRITERIOS) VER MANEJO GUIA SUMINISTRO ASA Y CALCIO")),"Iniciar de inmediato ASA",IF(AND(BU221&gt;16,OR(HK221="RIESGO ALTO DE COMPLICACIONES HIPERTENSIVAS VER MANEJO GUIA SUMINISTRO ASA Y CALCIO",HK221="RIESGO MODERADO (2 O MAS CRITERIOS) VER MANEJO GUIA SUMINISTRO ASA Y CALCIO")),"Pierde Oportunidad, Inicio tardío de ASA","XXXXX"))))))))</f>
        <v>No Aplica para suministro de ASA</v>
      </c>
      <c r="HS221" s="22">
        <v>45136</v>
      </c>
      <c r="HT221" s="22" t="s">
        <v>1518</v>
      </c>
      <c r="HU221" s="22">
        <v>45136</v>
      </c>
      <c r="HV221" s="22" t="s">
        <v>1544</v>
      </c>
      <c r="HW221" s="22">
        <v>45136</v>
      </c>
      <c r="HX221" s="22" t="s">
        <v>1511</v>
      </c>
      <c r="HY221" s="22">
        <v>45105</v>
      </c>
      <c r="HZ221" s="28">
        <f t="shared" si="875"/>
        <v>6</v>
      </c>
      <c r="IA221" s="26"/>
      <c r="IB221" s="26"/>
      <c r="IC221" s="111"/>
      <c r="ID221" s="22"/>
      <c r="IE221" s="22" t="str">
        <f t="shared" ca="1" si="876"/>
        <v>PROGRAMAR APLICACION DE VACUNA</v>
      </c>
      <c r="IF221" s="22"/>
      <c r="IG221" s="22">
        <f t="shared" si="877"/>
        <v>45343</v>
      </c>
      <c r="IH221" s="29">
        <f t="shared" ca="1" si="878"/>
        <v>111</v>
      </c>
      <c r="II221" s="22" t="str">
        <f t="shared" ca="1" si="879"/>
        <v>PENDIENTE</v>
      </c>
      <c r="IJ221" s="22"/>
      <c r="IK221" s="21"/>
      <c r="IL221" s="21"/>
      <c r="IM221" s="34"/>
      <c r="IN221" s="22"/>
      <c r="IO221" s="21"/>
      <c r="IP221" s="29" t="str">
        <f t="shared" si="880"/>
        <v/>
      </c>
      <c r="IQ221" s="35"/>
      <c r="IR221" s="21"/>
      <c r="IS221" s="21"/>
      <c r="IT221" s="21"/>
      <c r="IU221" s="21"/>
      <c r="IV221" s="21"/>
      <c r="IW221" s="21"/>
      <c r="IX221" s="21"/>
      <c r="IY221" s="21"/>
      <c r="IZ221" s="21"/>
      <c r="JA221" s="21"/>
      <c r="JB221" s="30"/>
      <c r="JC221" s="21"/>
      <c r="JD221" s="36"/>
      <c r="JE221" s="21" t="str">
        <f t="shared" si="881"/>
        <v/>
      </c>
      <c r="JF221" s="30"/>
      <c r="JG221" s="21"/>
      <c r="JH221" s="21"/>
      <c r="JI221" s="21"/>
      <c r="JJ221" s="30"/>
      <c r="JK221" s="22"/>
      <c r="JL221" s="22"/>
      <c r="JM221" s="21"/>
      <c r="JN221" s="36"/>
      <c r="JO221" s="21" t="str">
        <f t="shared" si="882"/>
        <v/>
      </c>
      <c r="JP221" s="22"/>
      <c r="JQ221" s="21"/>
      <c r="JR221" s="21"/>
      <c r="JS221" s="21"/>
      <c r="JT221" s="30"/>
      <c r="JU221" s="22"/>
      <c r="JV221" s="22"/>
      <c r="JW221" s="33"/>
      <c r="JX221" s="28" t="str">
        <f t="shared" si="883"/>
        <v/>
      </c>
      <c r="JY221" s="33"/>
      <c r="JZ221" s="28" t="str">
        <f t="shared" si="884"/>
        <v/>
      </c>
      <c r="KA221" s="21"/>
      <c r="KB221" s="21"/>
      <c r="KC221" s="21"/>
      <c r="KD221" s="37"/>
      <c r="KE221" s="28"/>
      <c r="KF221" s="28"/>
      <c r="KG221" s="28"/>
      <c r="KH221" s="39"/>
      <c r="KI221" s="39"/>
      <c r="KJ221" s="66"/>
      <c r="KK221" s="39"/>
      <c r="KL221" s="39"/>
      <c r="KM221" s="66"/>
      <c r="KN221" s="39"/>
      <c r="KO221" s="39"/>
      <c r="KP221" s="39"/>
      <c r="KQ221" s="39"/>
      <c r="KR221" s="39"/>
      <c r="KS221" s="39"/>
      <c r="KT221" s="39"/>
      <c r="KU221" s="38"/>
      <c r="KV221" s="38"/>
      <c r="KW221" s="38"/>
      <c r="KX221" s="38"/>
      <c r="KY221" s="38"/>
      <c r="KZ221" s="38"/>
      <c r="LA221" s="38"/>
      <c r="LB221" s="38"/>
      <c r="LC221" s="38"/>
      <c r="LD221" s="38"/>
      <c r="LE221" s="38"/>
      <c r="LF221" s="38"/>
      <c r="LG221" s="38"/>
      <c r="LH221" s="38"/>
      <c r="LI221" s="38"/>
      <c r="LJ221" s="38"/>
      <c r="LK221" s="38"/>
      <c r="LL221" s="38"/>
      <c r="LM221" s="38"/>
      <c r="LN221" s="38"/>
      <c r="LO221" s="38"/>
      <c r="LP221" s="38"/>
      <c r="LQ221" s="38"/>
      <c r="LR221" s="38"/>
      <c r="LS221" s="38"/>
      <c r="LT221" s="38"/>
      <c r="LU221" s="38"/>
      <c r="LV221" s="38"/>
      <c r="LW221" s="38"/>
      <c r="LX221" s="38"/>
      <c r="LY221" s="38"/>
      <c r="LZ221" s="38"/>
      <c r="MA221" s="38"/>
      <c r="MB221" s="38"/>
      <c r="MC221" s="38"/>
      <c r="MD221" s="38"/>
      <c r="ME221" s="38"/>
      <c r="MF221" s="38"/>
      <c r="MG221" s="38"/>
      <c r="MH221" s="43">
        <f t="shared" si="885"/>
        <v>0</v>
      </c>
      <c r="MI221" s="43" t="str">
        <f t="shared" si="929"/>
        <v/>
      </c>
      <c r="MJ221" s="43" t="str">
        <f t="shared" si="887"/>
        <v/>
      </c>
      <c r="MK221" s="43">
        <f t="shared" si="888"/>
        <v>0</v>
      </c>
      <c r="ML22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21" s="43">
        <f t="shared" si="930"/>
        <v>10.142857142857142</v>
      </c>
      <c r="MN221" s="43">
        <f t="shared" si="931"/>
        <v>7</v>
      </c>
      <c r="MO221" s="43">
        <f t="shared" si="932"/>
        <v>2023</v>
      </c>
      <c r="MP221" s="43" t="str">
        <f t="shared" si="892"/>
        <v>III TRIMESTRE AÑO</v>
      </c>
      <c r="MQ221" s="43">
        <f t="shared" si="933"/>
        <v>17.687801138852386</v>
      </c>
      <c r="MR221" s="43">
        <f t="shared" si="894"/>
        <v>0</v>
      </c>
      <c r="MS221" s="43" t="str">
        <f t="shared" si="895"/>
        <v>DE 14 A 19AÑOS</v>
      </c>
      <c r="MT221" s="43">
        <f t="shared" si="896"/>
        <v>0</v>
      </c>
      <c r="MU221" s="43">
        <f t="shared" si="897"/>
        <v>0</v>
      </c>
      <c r="MV221" s="43">
        <f t="shared" si="898"/>
        <v>0</v>
      </c>
      <c r="MW221" s="43">
        <f t="shared" si="899"/>
        <v>0</v>
      </c>
      <c r="MX221" s="43" t="str">
        <f t="shared" si="900"/>
        <v/>
      </c>
      <c r="MY221" s="43" t="str">
        <f t="shared" ca="1" si="901"/>
        <v/>
      </c>
      <c r="MZ221" s="43" t="str">
        <f t="shared" si="902"/>
        <v/>
      </c>
      <c r="NA221" s="43" t="str">
        <f t="shared" si="903"/>
        <v/>
      </c>
      <c r="NB221" s="43" t="str">
        <f t="shared" si="904"/>
        <v/>
      </c>
      <c r="NC221" s="43" t="str">
        <f t="shared" si="905"/>
        <v/>
      </c>
      <c r="ND221" s="43">
        <f t="shared" ca="1" si="934"/>
        <v>0</v>
      </c>
      <c r="NE221" s="43">
        <f>IF(OR(O221&gt;0,R221&gt;0),SUM(COUNTIF(Tabla1[[#This Row],[AÑOS AL INICIO5 CPN]],"&gt;=40"),COUNTIF(AS221,"0"),COUNTIF(AR221,"SI"),COUNTIF(CC221,"SI"),COUNTIF(BQ221,"&gt;119"),COUNTIF(CI221,"&gt;=35")),"")</f>
        <v>0</v>
      </c>
      <c r="NF221" s="43" t="str">
        <f t="shared" si="935"/>
        <v/>
      </c>
      <c r="NG221" s="43">
        <f t="shared" si="908"/>
        <v>0</v>
      </c>
      <c r="NH221" s="43" t="str">
        <f t="shared" si="909"/>
        <v/>
      </c>
      <c r="NI22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CPN",P221="NO"),"Z",IF(AND(Tabla1[[#This Row],[CITA PROXIMO CONTROL]]="CITA MANUAL",Tabla1[[#This Row],[GESTANTES ACTUALES]]="ACTIVA INGRESO A CPN"),"W",IF(AND(Tabla1[[#This Row],[GESTANTES ACTUALES]]="SALIO PROGRAMA",IN221=""),"S",IF(AND(Tabla1[[#This Row],[CITA PROXIMO CONTROL]]&gt;0,IN221=""),(Tabla1[[#This Row],[CITA PROXIMO CONTROL]]-TODAY()),"SD"))))))))</f>
        <v>#REF!</v>
      </c>
      <c r="NJ221" s="43">
        <f>MONTH(Tabla1[[#This Row],[FECHA DE SALIDA  DEL PROGRAMA]])</f>
        <v>1</v>
      </c>
      <c r="NK221" s="43">
        <f>YEAR(Tabla1[[#This Row],[FECHA DE SALIDA  DEL PROGRAMA]])</f>
        <v>1900</v>
      </c>
      <c r="NL221" s="43" t="str">
        <f t="shared" si="936"/>
        <v>X</v>
      </c>
      <c r="NM221" s="43" t="str">
        <f t="shared" si="941"/>
        <v>NO</v>
      </c>
      <c r="NN221" s="43" t="str">
        <f ca="1">IF(AND(O221&gt;0,R221=""),"NO CPN",IF(AND(O221="",R221=""),"",IF(AND(R221&gt;0,Tabla1[[#This Row],[SEMANAS DE GESTACION ACTUALIZADAS]]&lt;=12),"NO APLICA",IF(AND(FH221&lt;&gt;"",FN221&lt;&gt;""),"SI","NO"))))</f>
        <v>NO</v>
      </c>
      <c r="NO221" s="43" t="str">
        <f ca="1">IF(AND(O221&gt;0,R221=""),"NO CPN",IF(AND(O221="",R221=""),"",IF(AND(R221&gt;0,Tabla1[[#This Row],[SEMANAS DE GESTACION ACTUALIZADAS]]&lt;=27),"NO APLICA",IF(AND(ES221&lt;&gt;"",FQ221&lt;&gt;"",GF221&lt;&gt;""),"SI","NO"))))</f>
        <v>NO APLICA</v>
      </c>
      <c r="NP221" s="204" t="str">
        <f t="shared" si="912"/>
        <v>I TRIM</v>
      </c>
      <c r="NQ221"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221" s="21">
        <f t="shared" ca="1" si="937"/>
        <v>2</v>
      </c>
      <c r="NS221" s="205">
        <f t="shared" ca="1" si="914"/>
        <v>1</v>
      </c>
      <c r="NT221" s="21">
        <f t="shared" ca="1" si="915"/>
        <v>1</v>
      </c>
      <c r="NU221" s="21" t="str">
        <f t="shared" ca="1" si="916"/>
        <v>INCOMPLETO</v>
      </c>
      <c r="NV221" s="21" t="str">
        <f t="shared" ca="1" si="917"/>
        <v>INCOMPLETO</v>
      </c>
      <c r="NW221" s="206" t="str">
        <f>IF(AND(O221="",R221=""),"",IF(OR(AND(Tabla1[[#This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21" s="207" t="str">
        <f t="shared" ca="1" si="938"/>
        <v>SIN VACUNAR</v>
      </c>
      <c r="NY221" s="43">
        <f>ROW(Tabla1[[#This Row],['# DE TAMIZAJES SIFILIS TOMADOS ]])</f>
        <v>221</v>
      </c>
      <c r="NZ221" s="43">
        <f t="shared" si="942"/>
        <v>10</v>
      </c>
      <c r="OA221" s="43" t="str">
        <f t="shared" si="943"/>
        <v/>
      </c>
      <c r="OB221" s="43" t="str">
        <f t="shared" si="944"/>
        <v>SOBREPESO</v>
      </c>
      <c r="OC221" s="43" t="str">
        <f t="shared" si="945"/>
        <v/>
      </c>
      <c r="OD221" s="43" t="str">
        <f t="shared" si="946"/>
        <v/>
      </c>
      <c r="OE221" s="43" t="str">
        <f t="shared" si="947"/>
        <v/>
      </c>
      <c r="OF221" s="43" t="str">
        <f t="shared" si="948"/>
        <v/>
      </c>
      <c r="OG221" s="43" t="str">
        <f t="shared" si="949"/>
        <v/>
      </c>
      <c r="OH221" s="43" t="str">
        <f t="shared" si="950"/>
        <v/>
      </c>
      <c r="OI221" s="43" t="str">
        <f t="shared" si="951"/>
        <v/>
      </c>
      <c r="OJ221" s="43" t="str">
        <f t="shared" si="952"/>
        <v/>
      </c>
      <c r="OK221" s="43" t="str">
        <f t="shared" si="953"/>
        <v/>
      </c>
      <c r="OL221" s="43" t="str">
        <f t="shared" si="954"/>
        <v/>
      </c>
      <c r="OM221" s="43" t="str">
        <f t="shared" si="955"/>
        <v/>
      </c>
      <c r="ON221" s="43" t="str">
        <f t="shared" si="956"/>
        <v/>
      </c>
      <c r="OO221" s="43" t="str">
        <f t="shared" si="957"/>
        <v/>
      </c>
      <c r="OP221" s="43" t="str">
        <f t="shared" si="958"/>
        <v/>
      </c>
      <c r="OQ221" s="43" t="str">
        <f t="shared" si="959"/>
        <v/>
      </c>
      <c r="OR221" s="43" t="str">
        <f t="shared" si="960"/>
        <v/>
      </c>
      <c r="OS221" s="43" t="str">
        <f t="shared" si="961"/>
        <v/>
      </c>
      <c r="OT221" s="43" t="str">
        <f t="shared" si="962"/>
        <v/>
      </c>
      <c r="OU221" s="43" t="str">
        <f t="shared" si="963"/>
        <v/>
      </c>
      <c r="OV221" s="110" t="str">
        <f t="shared" si="964"/>
        <v/>
      </c>
      <c r="OW221" s="43" t="str">
        <f t="shared" si="965"/>
        <v/>
      </c>
      <c r="OX221" s="43" t="str">
        <f t="shared" si="966"/>
        <v/>
      </c>
      <c r="OY221" s="43" t="str">
        <f t="shared" si="967"/>
        <v/>
      </c>
      <c r="OZ221" s="43" t="str">
        <f t="shared" si="968"/>
        <v/>
      </c>
      <c r="PA221" s="43" t="str">
        <f t="shared" si="969"/>
        <v/>
      </c>
      <c r="PB221" s="43" t="str">
        <f t="shared" si="970"/>
        <v/>
      </c>
      <c r="PC221" s="43" t="str">
        <f t="shared" si="971"/>
        <v/>
      </c>
      <c r="PD221" s="43" t="str">
        <f t="shared" si="972"/>
        <v/>
      </c>
      <c r="PE221" s="43" t="str">
        <f t="shared" si="973"/>
        <v/>
      </c>
      <c r="PF221" s="43" t="str">
        <f t="shared" si="974"/>
        <v/>
      </c>
      <c r="PG221" s="43" t="str">
        <f t="shared" si="975"/>
        <v/>
      </c>
      <c r="PH221" s="43" t="str">
        <f t="shared" si="976"/>
        <v/>
      </c>
      <c r="PI221" s="43">
        <f t="shared" si="977"/>
        <v>10</v>
      </c>
      <c r="PJ221" s="43" t="str">
        <f t="shared" si="978"/>
        <v/>
      </c>
      <c r="PK221" s="43" t="str">
        <f t="shared" si="979"/>
        <v>SOBREPESO</v>
      </c>
      <c r="PL221" s="43" t="str">
        <f t="shared" si="980"/>
        <v/>
      </c>
      <c r="PM221" s="43" t="str">
        <f t="shared" si="981"/>
        <v/>
      </c>
      <c r="PN221" s="43" t="str">
        <f t="shared" si="982"/>
        <v/>
      </c>
      <c r="PO221" s="43" t="str">
        <f t="shared" si="983"/>
        <v/>
      </c>
      <c r="PP221" s="43" t="str">
        <f t="shared" si="984"/>
        <v/>
      </c>
      <c r="PQ221" s="43" t="str">
        <f t="shared" si="985"/>
        <v/>
      </c>
      <c r="PR221" s="43" t="str">
        <f t="shared" si="986"/>
        <v/>
      </c>
      <c r="PS221" s="43" t="str">
        <f t="shared" si="987"/>
        <v/>
      </c>
      <c r="PT221" s="43" t="str">
        <f t="shared" si="988"/>
        <v/>
      </c>
      <c r="PU221" s="43" t="str">
        <f t="shared" si="989"/>
        <v/>
      </c>
      <c r="PV221" s="43" t="str">
        <f t="shared" si="990"/>
        <v/>
      </c>
      <c r="PW221" s="43" t="str">
        <f t="shared" si="991"/>
        <v/>
      </c>
      <c r="PX221" s="43" t="str">
        <f t="shared" si="992"/>
        <v/>
      </c>
      <c r="PY221" s="43" t="str">
        <f t="shared" si="993"/>
        <v/>
      </c>
      <c r="PZ221" s="43" t="str">
        <f t="shared" si="994"/>
        <v/>
      </c>
      <c r="QA221" s="43" t="str">
        <f t="shared" si="995"/>
        <v/>
      </c>
      <c r="QB221" s="43" t="str">
        <f t="shared" si="996"/>
        <v/>
      </c>
      <c r="QC221" s="43" t="str">
        <f t="shared" si="997"/>
        <v/>
      </c>
      <c r="QD221" s="43" t="str">
        <f t="shared" si="998"/>
        <v/>
      </c>
      <c r="QE221" s="43" t="str">
        <f t="shared" si="999"/>
        <v/>
      </c>
      <c r="QF221" s="43" t="str">
        <f t="shared" si="1000"/>
        <v/>
      </c>
      <c r="QG221" s="43" t="str">
        <f t="shared" si="1001"/>
        <v/>
      </c>
      <c r="QH221" s="43" t="str">
        <f t="shared" si="1002"/>
        <v/>
      </c>
      <c r="QI221" s="43" t="str">
        <f t="shared" si="1003"/>
        <v/>
      </c>
      <c r="QJ221" s="43" t="str">
        <f t="shared" si="1004"/>
        <v/>
      </c>
      <c r="QK221" s="43" t="str">
        <f t="shared" si="1005"/>
        <v/>
      </c>
      <c r="QL221" s="43" t="str">
        <f t="shared" si="1006"/>
        <v/>
      </c>
      <c r="QM221" s="43" t="str">
        <f t="shared" si="1007"/>
        <v/>
      </c>
      <c r="QN221" s="43" t="str">
        <f t="shared" si="1008"/>
        <v/>
      </c>
      <c r="QO221" s="43" t="str">
        <f t="shared" si="1009"/>
        <v/>
      </c>
      <c r="QP221" s="43" t="str">
        <f t="shared" si="1010"/>
        <v/>
      </c>
      <c r="QQ221" s="43" t="str">
        <f t="shared" si="1011"/>
        <v/>
      </c>
      <c r="QR221" s="43" t="str">
        <f t="shared" si="1012"/>
        <v>Menor</v>
      </c>
      <c r="QS221" s="43"/>
      <c r="QT221" s="21" t="str">
        <f t="shared" si="1013"/>
        <v/>
      </c>
      <c r="QU221" s="21" t="str">
        <f t="shared" si="1014"/>
        <v/>
      </c>
      <c r="QV221" s="21" t="str">
        <f t="shared" si="1015"/>
        <v/>
      </c>
      <c r="QW221" s="21" t="str">
        <f t="shared" si="1016"/>
        <v/>
      </c>
      <c r="QX221" s="21" t="str">
        <f t="shared" si="1017"/>
        <v/>
      </c>
      <c r="QY221" s="21" t="str">
        <f t="shared" si="1018"/>
        <v/>
      </c>
      <c r="QZ221" s="21" t="str">
        <f t="shared" si="1019"/>
        <v/>
      </c>
      <c r="RA221" s="21" t="str">
        <f t="shared" si="1020"/>
        <v/>
      </c>
      <c r="RB221" s="21" t="str">
        <f t="shared" si="1021"/>
        <v/>
      </c>
      <c r="RC221" s="21" t="str">
        <f t="shared" si="1022"/>
        <v/>
      </c>
      <c r="RD221" s="21" t="str">
        <f t="shared" si="1023"/>
        <v/>
      </c>
      <c r="RE221" s="21" t="str">
        <f t="shared" si="1024"/>
        <v/>
      </c>
      <c r="RF221" s="21" t="str">
        <f t="shared" si="1025"/>
        <v/>
      </c>
      <c r="RG221" s="21" t="str">
        <f t="shared" si="1026"/>
        <v/>
      </c>
      <c r="RH221" s="21" t="str">
        <f t="shared" si="1027"/>
        <v/>
      </c>
      <c r="RI221" s="21" t="str">
        <f t="shared" si="1028"/>
        <v/>
      </c>
      <c r="RJ221" s="21" t="str">
        <f t="shared" si="1029"/>
        <v/>
      </c>
      <c r="RK221" s="21" t="str">
        <f t="shared" si="1030"/>
        <v/>
      </c>
      <c r="RL221" s="21" t="str">
        <f t="shared" si="1031"/>
        <v/>
      </c>
      <c r="RM221" s="21" t="str">
        <f t="shared" si="1032"/>
        <v/>
      </c>
      <c r="RN221" s="21" t="str">
        <f t="shared" si="1033"/>
        <v/>
      </c>
      <c r="RO221" s="21" t="str">
        <f t="shared" si="1034"/>
        <v/>
      </c>
      <c r="RP221" s="21" t="str">
        <f t="shared" si="1035"/>
        <v/>
      </c>
      <c r="RQ221" s="21" t="str">
        <f t="shared" si="1036"/>
        <v/>
      </c>
      <c r="RR221" s="21" t="str">
        <f t="shared" si="1037"/>
        <v/>
      </c>
      <c r="RS221" s="21" t="str">
        <f t="shared" si="1038"/>
        <v/>
      </c>
      <c r="RT221" s="21" t="str">
        <f t="shared" si="1039"/>
        <v/>
      </c>
      <c r="RU221" s="21" t="str">
        <f t="shared" si="1040"/>
        <v/>
      </c>
      <c r="RV221" s="21">
        <f t="shared" si="1041"/>
        <v>-1</v>
      </c>
      <c r="RW221" s="284">
        <f>IF(OR(Tabla1[[#This Row],[FUM FORMULA CONFIABLE]]="",Tabla1[[#This Row],[FUM FORMULA CONFIABLE]]="SD"),"",IF(Tabla1[[#This Row],[FUM FORMULA CONFIABLE]]="CORREGIDA",Tabla1[[#This Row],[FUM X ECO 1]],Tabla1[[#This Row],[FUM x AMENORREA]]))</f>
        <v>45063</v>
      </c>
      <c r="RX221" s="21" t="str">
        <f>IF(AND(Tabla1[[#This Row],[FUM X ECO 1]]="",Tabla1[[#This Row],[FUM x AMENORREA]]=""),"",IF(AND(Tabla1[[#This Row],[FUM X ECO 1]]="",Tabla1[[#This Row],[FUM x AMENORREA]]&lt;&gt;""),"X",SUM(Tabla1[[#This Row],[FUM X ECO 1]]-Tabla1[[#This Row],[FUM x AMENORREA]])))</f>
        <v>X</v>
      </c>
      <c r="RY221" s="21" t="str">
        <f t="shared" si="1042"/>
        <v>x</v>
      </c>
    </row>
    <row r="222" spans="1:493" ht="45" customHeight="1" x14ac:dyDescent="0.25">
      <c r="A222" s="109"/>
      <c r="B222" s="43"/>
      <c r="C222" s="299" t="s">
        <v>845</v>
      </c>
      <c r="D222" s="124"/>
      <c r="E222" s="43" t="s">
        <v>1598</v>
      </c>
      <c r="F222" s="43" t="s">
        <v>1599</v>
      </c>
      <c r="G222" s="43" t="s">
        <v>1597</v>
      </c>
      <c r="H222" s="43"/>
      <c r="I222" s="109" t="s">
        <v>851</v>
      </c>
      <c r="J222" s="110">
        <v>1002846452</v>
      </c>
      <c r="K222" s="43" t="s">
        <v>852</v>
      </c>
      <c r="L222" s="175" t="s">
        <v>1509</v>
      </c>
      <c r="M222" s="22">
        <v>35871</v>
      </c>
      <c r="N222" s="213">
        <f t="shared" ca="1" si="841"/>
        <v>25.646575342465752</v>
      </c>
      <c r="O222" s="22">
        <v>45148</v>
      </c>
      <c r="P222" s="214" t="str">
        <f t="shared" si="919"/>
        <v>SI</v>
      </c>
      <c r="Q222" s="26" t="s">
        <v>855</v>
      </c>
      <c r="R222" s="22">
        <v>45148</v>
      </c>
      <c r="S222" s="21" t="s">
        <v>856</v>
      </c>
      <c r="T222" s="24" t="s">
        <v>690</v>
      </c>
      <c r="U222" s="21" t="s">
        <v>857</v>
      </c>
      <c r="V222" s="21" t="s">
        <v>858</v>
      </c>
      <c r="W222" s="21" t="s">
        <v>1600</v>
      </c>
      <c r="X222" s="21"/>
      <c r="Y222" s="21" t="s">
        <v>1600</v>
      </c>
      <c r="Z222" s="21">
        <v>3167008713</v>
      </c>
      <c r="AA222" s="21" t="s">
        <v>860</v>
      </c>
      <c r="AB222" s="27" t="s">
        <v>861</v>
      </c>
      <c r="AC222" s="26" t="s">
        <v>877</v>
      </c>
      <c r="AD222" s="38" t="s">
        <v>1546</v>
      </c>
      <c r="AE222" s="26" t="s">
        <v>854</v>
      </c>
      <c r="AF222" s="26" t="s">
        <v>854</v>
      </c>
      <c r="AG222" s="23" t="s">
        <v>864</v>
      </c>
      <c r="AH222" s="23" t="s">
        <v>864</v>
      </c>
      <c r="AI222" s="24" t="s">
        <v>863</v>
      </c>
      <c r="AJ222" s="23" t="s">
        <v>864</v>
      </c>
      <c r="AK222" s="220" t="str">
        <f>IF(AND(AD222="",AE222="",AF222="",AG222="",AH222="",AI222="",AJ222=""),"",IF(OR(Tabla1[[#This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EVALUACIÓN",IF(AND(O222="",R222=""),"",IF(AND(OR(O222&gt;0,R222&gt;0),NG222&gt;=0,NG222&lt;2),"SIN RIESGO",IF(AND(OR(O222&gt;0,R222&gt;0),NG222&gt;=2),"CON RIESGO","ASD")))))</f>
        <v>SIN RIESGO</v>
      </c>
      <c r="AL222" s="26" t="s">
        <v>864</v>
      </c>
      <c r="AM222" s="26" t="s">
        <v>864</v>
      </c>
      <c r="AN222" s="26" t="s">
        <v>864</v>
      </c>
      <c r="AO222" s="26" t="s">
        <v>864</v>
      </c>
      <c r="AP222" s="26" t="s">
        <v>864</v>
      </c>
      <c r="AQ222" s="26" t="s">
        <v>864</v>
      </c>
      <c r="AR222" s="26" t="s">
        <v>864</v>
      </c>
      <c r="AS222" s="21">
        <v>1</v>
      </c>
      <c r="AT222" s="21">
        <v>1</v>
      </c>
      <c r="AU222" s="21">
        <v>0</v>
      </c>
      <c r="AV222" s="26" t="s">
        <v>864</v>
      </c>
      <c r="AW222" s="21">
        <v>0</v>
      </c>
      <c r="AX222" s="26" t="s">
        <v>864</v>
      </c>
      <c r="AY222" s="26" t="s">
        <v>864</v>
      </c>
      <c r="AZ222" s="26" t="s">
        <v>864</v>
      </c>
      <c r="BA222" s="26" t="s">
        <v>864</v>
      </c>
      <c r="BB222" s="26" t="s">
        <v>864</v>
      </c>
      <c r="BC222" s="26" t="s">
        <v>864</v>
      </c>
      <c r="BD222" s="26" t="s">
        <v>864</v>
      </c>
      <c r="BE222" s="26" t="s">
        <v>864</v>
      </c>
      <c r="BF222" s="26" t="s">
        <v>864</v>
      </c>
      <c r="BG222" s="26" t="s">
        <v>864</v>
      </c>
      <c r="BH222" s="26" t="s">
        <v>864</v>
      </c>
      <c r="BI222" s="26" t="s">
        <v>864</v>
      </c>
      <c r="BJ222" s="26" t="s">
        <v>864</v>
      </c>
      <c r="BK222" s="26" t="s">
        <v>864</v>
      </c>
      <c r="BL222" s="26" t="s">
        <v>864</v>
      </c>
      <c r="BM222" s="26" t="s">
        <v>864</v>
      </c>
      <c r="BN222" s="22">
        <v>42505</v>
      </c>
      <c r="BO222" s="22">
        <v>45023</v>
      </c>
      <c r="BP222" s="21" t="s">
        <v>854</v>
      </c>
      <c r="BQ222" s="222">
        <f t="shared" si="842"/>
        <v>83.933333333333337</v>
      </c>
      <c r="BR222" s="223">
        <f t="shared" si="843"/>
        <v>45023</v>
      </c>
      <c r="BS222" s="224">
        <f t="shared" si="844"/>
        <v>17.857142857142858</v>
      </c>
      <c r="BT222" s="216" t="str">
        <f t="shared" si="845"/>
        <v>II TRIM</v>
      </c>
      <c r="BU222" s="214">
        <f t="shared" ca="1" si="928"/>
        <v>29.857142857142858</v>
      </c>
      <c r="BV222" s="25" t="s">
        <v>988</v>
      </c>
      <c r="BW222" s="22">
        <v>45149</v>
      </c>
      <c r="BX222" s="28">
        <v>18</v>
      </c>
      <c r="BY222" s="28"/>
      <c r="BZ222" s="22"/>
      <c r="CA222" s="21"/>
      <c r="CB222" s="26"/>
      <c r="CC222" s="26" t="s">
        <v>864</v>
      </c>
      <c r="CD222" s="26" t="s">
        <v>865</v>
      </c>
      <c r="CE222" s="26" t="s">
        <v>864</v>
      </c>
      <c r="CF222" s="22" t="s">
        <v>1517</v>
      </c>
      <c r="CG222" s="21">
        <v>1.54</v>
      </c>
      <c r="CH222" s="21">
        <v>64</v>
      </c>
      <c r="CI222" s="214">
        <f t="shared" si="847"/>
        <v>26.986001011975038</v>
      </c>
      <c r="CJ222" s="225" t="e">
        <f>IF(AND(CI222&lt;10,CH222="SD"),"SIN DATO PESO PREGESTACION O I TRIM",IF(AND(OR(R222&gt;0,O222&gt;0),CI222="X"),"INGRESAR DATO DE PESO",IF(CI222="SD","INGRESAR DATO DE TALLA Y PESO",IF(AND(OR(Tabla1[[#This Row],[MOMENTO EN QUE SE REALIZA EL PESO AL INGRESO A CPN]]="PREGESTACIÓN",NZ222="Menor"),CI222&lt;18.5),"BAJO PESO",IF(AND(OR(Tabla1[[#This Row],[MOMENTO EN QUE SE REALIZA EL PESO AL INGRESO A CPN]]="PREGESTACIÓN",NZ222="Menor"),CI222&lt;25),"NORMAL",IF(AND(OR(Tabla1[[#This Row],[MOMENTO EN QUE SE REALIZA EL PESO AL INGRESO A CPN]]="PREGESTACIÓN",NZ222="Menor"),CI222&lt;30),"SOBREPESO",IF(AND(OR(Tabla1[[#This Row],[MOMENTO EN QUE SE REALIZA EL PESO AL INGRESO A CPN]]="PREGESTACIÓN",NZ222="Menor"),CI222&gt;=30,CI222&lt;50),"OBESIDAD",IF(AND(BS222&gt;0,Tabla1[[#This Row],[MOMENTO EN QUE SE REALIZA EL PESO AL INGRESO A CPN]]="GESTACIÓN"),HLOOKUP(NZ222,$OA$2:PH222,NY222),""))))))))</f>
        <v>#REF!</v>
      </c>
      <c r="CK222" s="212">
        <f t="shared" si="848"/>
        <v>45148</v>
      </c>
      <c r="CL222" s="21">
        <v>64</v>
      </c>
      <c r="CM222" s="214">
        <f t="shared" si="849"/>
        <v>26.986001011975038</v>
      </c>
      <c r="CN222" s="216">
        <f t="shared" si="850"/>
        <v>17</v>
      </c>
      <c r="CO222" s="216" t="e">
        <f>IF(PI222="","",IF(PI222&gt;0,HLOOKUP(PI222,$PJ$2:QQ222,NY222),""))</f>
        <v>#REF!</v>
      </c>
      <c r="CP222" s="21"/>
      <c r="CQ222" s="216" t="e">
        <f>IF(QR222="Menor","NO APLICA-MENOR 13 SEM",IF(AND(CC222="SI",CN222&gt;23),"NO APLICA- GEMELAR",IF(QR222="","",IF(QR222&gt;0,HLOOKUP(QR222,$QS$2:RU222,NY222),""))))</f>
        <v>#REF!</v>
      </c>
      <c r="CR222" s="21"/>
      <c r="CS222" s="21"/>
      <c r="CT222" s="217" t="str">
        <f>IF(R222="","",IF(AND(BS222&gt;1,BS222&lt;12,Tabla1[[#This Row],[T.A. SISTOLICA - ANTES DE SEMANA 12]]="",Tabla1[[#This Row],[T.A. DIASTOLICA - ANTES DE SEMANA 12]]=""),"REGISTRE DATO TA ANTES SEMANA 12",IF(AND(BS222&gt;11,BS222&lt;43,Tabla1[[#This Row],[T.A. SISTOLICA - ANTES DE SEMANA 12]]="",Tabla1[[#This Row],[T.A. DIASTOLICA - ANTES DE SEMANA 12]]=""),"NO APLICA REGISTRO TA-INGRESO TARDIO",IF(AND(OR(O222&gt;0,R222&gt;0),OR(CR222&gt;=140,CS222&gt;=90)),"DEFINIR ESTADIO HTA",IF(AND(OR(O222&gt;0,R222&gt;0),AND(CR222&gt;120,CR222&lt;=139)),"PRE HTA SEGUIMIENTO",IF(AND(OR(O222&gt;0,R222&gt;0),AND(CS222&gt;80,CS222&lt;=89)),"PRE HTA SEGUIMIENTO",IF(AND(OR(O222&gt;0,R222&gt;0),AND(CR222&gt;=80,CR222&lt;=120)),"APARENTEMENTE NORMAL",IF(AND(OR(O222&gt;0,R222&gt;0),AND(CS222&gt;=50,CS222&lt;=80)),"APARENTEMENTE NORMAL",IF(AND(OR(O222&gt;0,R222&gt;0),AND(CR222&gt;1,CR222&lt;=70),AND(CS222&gt;1,CS222&lt;=40)),"HIPOTENSIÓN","")))))))))</f>
        <v>NO APLICA REGISTRO TA-INGRESO TARDIO</v>
      </c>
      <c r="CU222" s="21"/>
      <c r="CV222" s="21"/>
      <c r="CW222" s="217" t="str">
        <f ca="1">IF(R222="","",IF(AND(CN222&gt;19,CN222&lt;27,Tabla1[[#This Row],[T.A. SISTOLICA (Entre semana 20 y 26)]]="",Tabla1[[#This Row],[T.A. DIATOLICA (Entre semana 20 y 26)]]=""),"ACUDE A CONTROL SEM 20 A 26 REGISTRE TA AHORA",IF(AND(BS222&gt;1,BS222&lt;27,BU222&gt;19,Tabla1[[#This Row],[T.A. SISTOLICA (Entre semana 20 y 26)]]="",Tabla1[[#This Row],[T.A. DIATOLICA (Entre semana 20 y 26)]]=""),"COMPLETE REGISTRO TA CONTROL SEM 20 A26 ",IF(AND(BS222&gt;26,BS222&lt;43,Tabla1[[#This Row],[T.A. SISTOLICA (Entre semana 20 y 26)]]="",Tabla1[[#This Row],[T.A. DIATOLICA (Entre semana 20 y 26)]]=""),"NO APLICA REGISTRO TA-INGRESO TARDIO",IF(AND(OR(O222&gt;0,R222&gt;0),OR(CU222&gt;=140,CV222&gt;=90)),"ALTO RIESGO PREECLAMPSIA,DEFINIR ESTADIO HTA",IF(AND(OR(O222&gt;0,R222&gt;0),AND(CU222&gt;120,CU222&lt;=139)),"PRE HTA SEGUIMIENTO,RIESGO HIPERTENSION INDUCIDA POR EL EMBARAZO",IF(AND(OR(O222&gt;0,R222&gt;0),AND(CV222&gt;80,CV222&lt;=89)),"PRE HTA SEGUIMIENTO, RIESGO HIPERTENSION INDUCIDA POR EL EMBARAZO",IF(AND(OR(O222&lt;&gt;"",R222&lt;&gt;""),CS222&lt;&gt;"",CV222&lt;&gt;"",CS222&lt;=CV222),"VIGILAR CIFRAS PRESION ARTERIAL",IF(AND(OR(O222&gt;0,R222&gt;0),AND(CU222&gt;120,CU222&lt;=139)),"PRE HTA SEGUIMIENTO",IF(AND(OR(O222&gt;0,R222&gt;0),AND(CU222&gt;1,CU222&lt;=70),AND(CV222&gt;1,CV222&lt;=40)),"HIPOTENSIÓN",IF(AND(OR(O222&lt;&gt;"",R222&lt;&gt;""),CS222&lt;&gt;"",CV222&lt;&gt;"",CS222&gt;CV222),"APARENTEMENTE NORMAL",IF(AND(OR(O222&gt;0,R222&gt;0),AND(CU222&gt;=80,CU222&lt;=120)),"APARENTEMENTE NORMAL",IF(AND(OR(O222&gt;0,R222&gt;0),AND(CV222&gt;=50,CV222&lt;=80)),"APARENTEMENTE NORMAL","")))))))))))))</f>
        <v xml:space="preserve">COMPLETE REGISTRO TA CONTROL SEM 20 A26 </v>
      </c>
      <c r="CX222" s="21"/>
      <c r="CY222" s="21"/>
      <c r="CZ222" s="216" t="str">
        <f t="shared" ref="CZ222:CZ247" si="1045">IF(R222="","",IF(AND(CN222&gt;31,CN222&lt;35,CX222="",CY222=""),"ACUDE A CONTROL SEM 30 A 34- REGISTRE AHORA",IF(AND(BS222&gt;34,BS222&lt;43,CX223="",CY223=""),"NO APLICA-INGRESO TARDIO",IF(AND(OR(O222&gt;0,R222&gt;0),OR(CX222&gt;=140,CY222&gt;=90)),"ESTUDIO INMEDIATO HTA PARA DESCARTAR PREECLAMSIA",IF(AND(OR(O222&gt;0,R222&gt;0),AND(CX222&gt;=130,CX222&lt;=139)),"PRE HTA,RIESGO ALTO PREECLAMPSIA",IF(AND(OR(O222&gt;0,R222&gt;0),AND(CY222&gt;80,CY222&lt;=89)),"PRE HTA,RIESGO ALTO PREECLAMPSIA",IF(AND(OR(O222&gt;0,R222&gt;0),AND(CX222&gt;120,CX222&lt;=129)),"RANGO PREHIPERTENSIVO SEGUIMIENTO HTA",IF(AND(OR(O222&lt;&gt;"",R222&lt;&gt;""),CS222&lt;&gt;"",CY222&lt;&gt;"",CS222&lt;CY222),"VIGILAR CIFRAS PRESION ARTERIAL",IF(AND(OR(O222&lt;&gt;"",R222&lt;&gt;""),CS222&lt;&gt;"",CY222&lt;&gt;"",CS222=CY222),"APARENTEMENTE NORMAL",IF(AND(OR(O222&gt;0,R222&gt;0),CX222&gt;=80,CX222&lt;=120),"APARENTEMENTE NORMAL",IF(AND(OR(O222&gt;0,R222&gt;0),CY222&gt;=50,CY222&lt;=80),"APARENTEMENTE NORMAL","")))))))))))</f>
        <v/>
      </c>
      <c r="DA222" s="21">
        <v>100</v>
      </c>
      <c r="DB222" s="21">
        <v>60</v>
      </c>
      <c r="DC222" s="217" t="str">
        <f t="shared" si="851"/>
        <v>APARENTEMENTE NORMAL</v>
      </c>
      <c r="DD222" s="22">
        <v>45148</v>
      </c>
      <c r="DE222" s="22">
        <v>45148</v>
      </c>
      <c r="DF222" s="22"/>
      <c r="DG222" s="22"/>
      <c r="DH222" s="22"/>
      <c r="DI222" s="22"/>
      <c r="DJ222" s="22"/>
      <c r="DK222" s="22"/>
      <c r="DL222" s="22"/>
      <c r="DM222" s="22"/>
      <c r="DN222" s="22"/>
      <c r="DO222" s="22"/>
      <c r="DP222" s="22"/>
      <c r="DQ222" s="22"/>
      <c r="DR222" s="28">
        <v>1</v>
      </c>
      <c r="DS222" s="22"/>
      <c r="DT222" s="22"/>
      <c r="DU222" s="216" t="str">
        <f t="shared" ca="1" si="920"/>
        <v>PLANEAR PLAN DE PARTO</v>
      </c>
      <c r="DV222" s="226" t="str">
        <f t="shared" si="921"/>
        <v>ACTIVA INGRESO A CPN</v>
      </c>
      <c r="DW222"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22" s="216" t="e">
        <f t="shared" ca="1" si="852"/>
        <v>#REF!</v>
      </c>
      <c r="DY222" s="212">
        <f>IF(R222="","",IF(R222&gt;0,MAX(Tabla1[[#This Row],[FECHA C2]:[FECHA C13]],Tabla1[[#This Row],[FECHA CONSULTA PRIMERA VEZ PROGRAMA CPN ]])))</f>
        <v>45148</v>
      </c>
      <c r="DZ222" s="216">
        <f t="shared" si="853"/>
        <v>17</v>
      </c>
      <c r="EA222" s="222">
        <f>IF(R222&gt;0,SUM(COUNTA(DF222:DQ222)+COUNTA(Tabla1[[#This Row],[FECHA CONSULTA PRIMERA VEZ PROGRAMA CPN ]])),"")</f>
        <v>1</v>
      </c>
      <c r="EB222" s="222" t="str">
        <f t="shared" si="854"/>
        <v>NO</v>
      </c>
      <c r="EC222" s="214">
        <f t="shared" si="855"/>
        <v>7</v>
      </c>
      <c r="ED222" s="227">
        <f t="shared" si="856"/>
        <v>0.14285714285714285</v>
      </c>
      <c r="EE222" s="22">
        <v>45148</v>
      </c>
      <c r="EF222" s="22">
        <v>45148</v>
      </c>
      <c r="EG222" s="22">
        <v>45148</v>
      </c>
      <c r="EH222" s="22"/>
      <c r="EI222" s="22">
        <v>45148</v>
      </c>
      <c r="EJ222" s="22"/>
      <c r="EK222" s="22"/>
      <c r="EL222" s="21"/>
      <c r="EM222" s="21">
        <v>13.3</v>
      </c>
      <c r="EN222" s="22">
        <v>45149</v>
      </c>
      <c r="EO222" s="222">
        <f t="shared" si="857"/>
        <v>18</v>
      </c>
      <c r="EP222" s="214" t="str">
        <f t="shared" si="858"/>
        <v>NORMAL- SUMINISTRAR SULFATO FERROSO</v>
      </c>
      <c r="EQ222" s="216" t="str">
        <f t="shared" si="859"/>
        <v>II TRIM</v>
      </c>
      <c r="ER222" s="24"/>
      <c r="ES222" s="22"/>
      <c r="ET222" s="29" t="str">
        <f t="shared" ca="1" si="922"/>
        <v>EN SEMANA 28 TOMA INMEDIATA DE EXAMEN</v>
      </c>
      <c r="EU222" s="25" t="str">
        <f t="shared" si="860"/>
        <v/>
      </c>
      <c r="EV222" s="24" t="s">
        <v>1510</v>
      </c>
      <c r="EW222" s="32">
        <v>45149</v>
      </c>
      <c r="EX222" s="22"/>
      <c r="EY222" s="29">
        <f t="shared" si="1043"/>
        <v>18</v>
      </c>
      <c r="EZ222" s="25" t="str">
        <f t="shared" si="1044"/>
        <v>SIN RIESGO DE ISOINMUNIZACIÓN</v>
      </c>
      <c r="FA222" s="21">
        <v>51</v>
      </c>
      <c r="FB222" s="22">
        <v>45149</v>
      </c>
      <c r="FC222" s="29">
        <f t="shared" si="861"/>
        <v>18</v>
      </c>
      <c r="FD222" s="29"/>
      <c r="FE222" s="29"/>
      <c r="FF222" s="29"/>
      <c r="FG222" s="21" t="str">
        <f t="shared" ca="1" si="862"/>
        <v>TOMAR PTOG</v>
      </c>
      <c r="FH222" s="31"/>
      <c r="FI222" s="29" t="str">
        <f t="shared" si="863"/>
        <v>TOMAR EXAMEN</v>
      </c>
      <c r="FJ222" s="22"/>
      <c r="FK222" s="22"/>
      <c r="FL222" s="29" t="str">
        <f t="shared" ca="1" si="864"/>
        <v>NO APLICA-INGRESO TARDIO</v>
      </c>
      <c r="FM222" s="22" t="s">
        <v>867</v>
      </c>
      <c r="FN222" s="32">
        <v>45149</v>
      </c>
      <c r="FO222" s="29">
        <f t="shared" ca="1" si="923"/>
        <v>18</v>
      </c>
      <c r="FP222" s="22"/>
      <c r="FQ222" s="32"/>
      <c r="FR222" s="29" t="str">
        <f t="shared" ca="1" si="924"/>
        <v>EN RANGO PARA TOMAR EXAMEN</v>
      </c>
      <c r="FS222" s="22"/>
      <c r="FT222" s="32"/>
      <c r="FU222" s="29" t="str">
        <f>IF(AND(FJ222="",FM222="",FP222="",FS222=""),"",IF(OR(OR(Tabla1[[#This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22" s="28"/>
      <c r="FW222" s="22"/>
      <c r="FX222" s="29" t="str">
        <f t="shared" si="865"/>
        <v>TOMAR EXAMEN</v>
      </c>
      <c r="FY222" s="22"/>
      <c r="FZ222" s="22"/>
      <c r="GA222" s="29" t="str">
        <f t="shared" ca="1" si="939"/>
        <v>NO APLICA-INGRESO TARDIO</v>
      </c>
      <c r="GB222" s="22" t="s">
        <v>868</v>
      </c>
      <c r="GC222" s="22">
        <v>45149</v>
      </c>
      <c r="GD222" s="29">
        <f t="shared" ca="1" si="940"/>
        <v>18</v>
      </c>
      <c r="GE222" s="22"/>
      <c r="GF222" s="22"/>
      <c r="GG222" s="29" t="str">
        <f t="shared" ca="1" si="926"/>
        <v>EN RANGO PARA TOMAR EXAMEN</v>
      </c>
      <c r="GH222" s="22"/>
      <c r="GI222" s="29"/>
      <c r="GJ222" s="22"/>
      <c r="GK222" s="22"/>
      <c r="GL222" s="22"/>
      <c r="GM222" s="22"/>
      <c r="GN222" s="28" t="s">
        <v>869</v>
      </c>
      <c r="GO222" s="22">
        <v>45149</v>
      </c>
      <c r="GP222" s="29">
        <f t="shared" si="866"/>
        <v>18</v>
      </c>
      <c r="GQ222" s="28" t="s">
        <v>880</v>
      </c>
      <c r="GR222" s="28" t="s">
        <v>869</v>
      </c>
      <c r="GS222" s="22" t="str">
        <f t="shared" si="728"/>
        <v>SE EXCLUYE INFECCION</v>
      </c>
      <c r="GT222" s="22">
        <v>45149</v>
      </c>
      <c r="GU222" s="29">
        <f t="shared" si="867"/>
        <v>18</v>
      </c>
      <c r="GV222" s="21" t="str">
        <f t="shared" si="868"/>
        <v>II TRIM</v>
      </c>
      <c r="GW222" s="28"/>
      <c r="GX222" s="30"/>
      <c r="GY222" s="21"/>
      <c r="GZ222" s="21"/>
      <c r="HA222" s="21"/>
      <c r="HB222" s="21"/>
      <c r="HC222" s="21"/>
      <c r="HD222" s="21"/>
      <c r="HE222" s="21"/>
      <c r="HF222" s="22"/>
      <c r="HG222" s="22" t="str">
        <f>IF(OR(O222&gt;0,R222&gt;0),CONCATENATE(IF(Tabla1[[#This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22" s="22" t="e">
        <f t="shared" si="869"/>
        <v>#REF!</v>
      </c>
      <c r="HI222" s="22" t="e">
        <f t="shared" ca="1" si="870"/>
        <v>#REF!</v>
      </c>
      <c r="HJ222" s="21" t="str">
        <f t="shared" ca="1" si="871"/>
        <v>***************************************</v>
      </c>
      <c r="HK222" s="21" t="str">
        <f t="shared" si="872"/>
        <v>SIN ANTECEDENTES DE RIESGO</v>
      </c>
      <c r="HL222" s="24" t="str">
        <f t="shared" si="873"/>
        <v>APARENTEMENTE NORMAL</v>
      </c>
      <c r="HM222" s="21" t="e">
        <f t="shared" ca="1" si="874"/>
        <v>#REF!</v>
      </c>
      <c r="HN222" s="30" t="str">
        <f t="shared" si="927"/>
        <v>ACTIVA INGRESO A CPN</v>
      </c>
      <c r="HO222" s="21"/>
      <c r="HP222" s="21"/>
      <c r="HQ222" s="349"/>
      <c r="HR222" s="21" t="str">
        <f>IF(R222="","",IF(Tabla1[[#This Row],[ALARMA FACTORES DE RIESGO COMPLICACIONES HIPERTENSIVAS3]]="SIN ANTECEDENTES DE RIESGO","No Aplica para suministro de ASA",IF(AND(Tabla1[[#This Row],[FECHA INICIO DE SUMINISTRO DE ASA]]&gt;0,RV222&lt;12),"Inicia ASA ANTES de Sem 12",IF(AND(RV222&gt;11,RV222&lt;17,OR(HK222="RIESGO ALTO DE COMPLICACIONES HIPERTENSIVAS VER MANEJO GUIA SUMINISTRO ASA Y CALCIO",HK222="RIESGO MODERADO (2 O MAS CRITERIOS) VER MANEJO GUIA SUMINISTRO ASA Y CALCIO")),"Inicio oportuno de ASA",IF(AND(RV222&gt;12,OR(HK222="RIESGO ALTO DE COMPLICACIONES HIPERTENSIVAS VER MANEJO GUIA SUMINISTRO ASA Y CALCIO",HK222="RIESGO MODERADO (2 O MAS CRITERIOS) VER MANEJO GUIA SUMINISTRO ASA Y CALCIO")),"Inicio no oportuno mayor a 16 semanas",IF(AND(BU222&lt;12,OR(HK222="RIESGO ALTO DE COMPLICACIONES HIPERTENSIVAS VER MANEJO GUIA SUMINISTRO ASA Y CALCIO",HK222="RIESGO MODERADO (2 O MAS CRITERIOS) VER MANEJO GUIA SUMINISTRO ASA Y CALCIO")),"Pendiente Inicio de ASA a la semana 12",IF(AND(BU222&gt;11,BU222&lt;17,OR(HK222="RIESGO ALTO DE COMPLICACIONES HIPERTENSIVAS VER MANEJO GUIA SUMINISTRO ASA Y CALCIO",HK222="RIESGO MODERADO (2 O MAS CRITERIOS) VER MANEJO GUIA SUMINISTRO ASA Y CALCIO")),"Iniciar de inmediato ASA",IF(AND(BU222&gt;16,OR(HK222="RIESGO ALTO DE COMPLICACIONES HIPERTENSIVAS VER MANEJO GUIA SUMINISTRO ASA Y CALCIO",HK222="RIESGO MODERADO (2 O MAS CRITERIOS) VER MANEJO GUIA SUMINISTRO ASA Y CALCIO")),"Pierde Oportunidad, Inicio tardío de ASA","XXXXX"))))))))</f>
        <v>No Aplica para suministro de ASA</v>
      </c>
      <c r="HS222" s="22">
        <v>45149</v>
      </c>
      <c r="HT222" s="22" t="s">
        <v>1518</v>
      </c>
      <c r="HU222" s="22"/>
      <c r="HV222" s="22"/>
      <c r="HW222" s="22">
        <v>45148</v>
      </c>
      <c r="HX222" s="22" t="s">
        <v>1511</v>
      </c>
      <c r="HY222" s="22"/>
      <c r="HZ222" s="28" t="str">
        <f t="shared" si="875"/>
        <v>PENDIENTE CONSULTA</v>
      </c>
      <c r="IA222" s="26"/>
      <c r="IB222" s="26"/>
      <c r="IC222" s="111"/>
      <c r="ID222" s="22"/>
      <c r="IE222" s="22" t="str">
        <f t="shared" ca="1" si="876"/>
        <v>INASISTENTE</v>
      </c>
      <c r="IF222" s="22"/>
      <c r="IG222" s="22">
        <f t="shared" si="877"/>
        <v>45303</v>
      </c>
      <c r="IH222" s="29">
        <f t="shared" ca="1" si="878"/>
        <v>71</v>
      </c>
      <c r="II222" s="22" t="str">
        <f t="shared" ca="1" si="879"/>
        <v>PENDIENTE</v>
      </c>
      <c r="IJ222" s="22"/>
      <c r="IK222" s="21"/>
      <c r="IL222" s="21"/>
      <c r="IM222" s="34"/>
      <c r="IN222" s="22"/>
      <c r="IO222" s="21"/>
      <c r="IP222" s="29" t="str">
        <f t="shared" si="880"/>
        <v/>
      </c>
      <c r="IQ222" s="35"/>
      <c r="IR222" s="21"/>
      <c r="IS222" s="21"/>
      <c r="IT222" s="21"/>
      <c r="IU222" s="21"/>
      <c r="IV222" s="21"/>
      <c r="IW222" s="21"/>
      <c r="IX222" s="21"/>
      <c r="IY222" s="21"/>
      <c r="IZ222" s="21"/>
      <c r="JA222" s="21"/>
      <c r="JB222" s="30"/>
      <c r="JC222" s="21"/>
      <c r="JD222" s="36"/>
      <c r="JE222" s="21" t="str">
        <f t="shared" si="881"/>
        <v/>
      </c>
      <c r="JF222" s="30"/>
      <c r="JG222" s="21"/>
      <c r="JH222" s="21"/>
      <c r="JI222" s="21"/>
      <c r="JJ222" s="30"/>
      <c r="JK222" s="22"/>
      <c r="JL222" s="22"/>
      <c r="JM222" s="21"/>
      <c r="JN222" s="36"/>
      <c r="JO222" s="21" t="str">
        <f t="shared" si="882"/>
        <v/>
      </c>
      <c r="JP222" s="22"/>
      <c r="JQ222" s="21"/>
      <c r="JR222" s="21"/>
      <c r="JS222" s="21"/>
      <c r="JT222" s="30"/>
      <c r="JU222" s="22"/>
      <c r="JV222" s="22"/>
      <c r="JW222" s="33"/>
      <c r="JX222" s="28" t="str">
        <f t="shared" si="883"/>
        <v/>
      </c>
      <c r="JY222" s="33"/>
      <c r="JZ222" s="28" t="str">
        <f t="shared" si="884"/>
        <v/>
      </c>
      <c r="KA222" s="21"/>
      <c r="KB222" s="21"/>
      <c r="KC222" s="21"/>
      <c r="KD222" s="37"/>
      <c r="KE222" s="28"/>
      <c r="KF222" s="28"/>
      <c r="KG222" s="28"/>
      <c r="KH222" s="39"/>
      <c r="KI222" s="39"/>
      <c r="KJ222" s="66"/>
      <c r="KK222" s="39"/>
      <c r="KL222" s="39"/>
      <c r="KM222" s="66"/>
      <c r="KN222" s="39"/>
      <c r="KO222" s="39"/>
      <c r="KP222" s="39"/>
      <c r="KQ222" s="39"/>
      <c r="KR222" s="39"/>
      <c r="KS222" s="39"/>
      <c r="KT222" s="39"/>
      <c r="KU222" s="38"/>
      <c r="KV222" s="38"/>
      <c r="KW222" s="38"/>
      <c r="KX222" s="38"/>
      <c r="KY222" s="38"/>
      <c r="KZ222" s="38"/>
      <c r="LA222" s="38"/>
      <c r="LB222" s="38"/>
      <c r="LC222" s="38"/>
      <c r="LD222" s="38"/>
      <c r="LE222" s="38"/>
      <c r="LF222" s="38"/>
      <c r="LG222" s="38"/>
      <c r="LH222" s="38"/>
      <c r="LI222" s="38"/>
      <c r="LJ222" s="38"/>
      <c r="LK222" s="38"/>
      <c r="LL222" s="38"/>
      <c r="LM222" s="38"/>
      <c r="LN222" s="38"/>
      <c r="LO222" s="38"/>
      <c r="LP222" s="38"/>
      <c r="LQ222" s="38"/>
      <c r="LR222" s="38"/>
      <c r="LS222" s="38"/>
      <c r="LT222" s="38"/>
      <c r="LU222" s="38"/>
      <c r="LV222" s="38"/>
      <c r="LW222" s="38"/>
      <c r="LX222" s="38"/>
      <c r="LY222" s="38"/>
      <c r="LZ222" s="38"/>
      <c r="MA222" s="38"/>
      <c r="MB222" s="38"/>
      <c r="MC222" s="38"/>
      <c r="MD222" s="38"/>
      <c r="ME222" s="38"/>
      <c r="MF222" s="38"/>
      <c r="MG222" s="38"/>
      <c r="MH222" s="43">
        <f t="shared" si="885"/>
        <v>0</v>
      </c>
      <c r="MI222" s="43" t="str">
        <f t="shared" si="929"/>
        <v/>
      </c>
      <c r="MJ222" s="43" t="str">
        <f t="shared" si="887"/>
        <v/>
      </c>
      <c r="MK222" s="43">
        <f t="shared" si="888"/>
        <v>0</v>
      </c>
      <c r="ML22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22" s="43">
        <f t="shared" si="930"/>
        <v>17.857142857142858</v>
      </c>
      <c r="MN222" s="43">
        <f t="shared" si="931"/>
        <v>8</v>
      </c>
      <c r="MO222" s="43">
        <f t="shared" si="932"/>
        <v>2023</v>
      </c>
      <c r="MP222" s="43" t="str">
        <f t="shared" si="892"/>
        <v>III TRIMESTRE AÑO</v>
      </c>
      <c r="MQ222" s="43">
        <f t="shared" si="933"/>
        <v>25.03011388523872</v>
      </c>
      <c r="MR222" s="43">
        <f t="shared" si="894"/>
        <v>0</v>
      </c>
      <c r="MS222" s="43" t="str">
        <f t="shared" si="895"/>
        <v xml:space="preserve"> DE 25 A 29 AÑOS</v>
      </c>
      <c r="MT222" s="43">
        <f t="shared" si="896"/>
        <v>0</v>
      </c>
      <c r="MU222" s="43">
        <f t="shared" si="897"/>
        <v>0</v>
      </c>
      <c r="MV222" s="43">
        <f t="shared" si="898"/>
        <v>0</v>
      </c>
      <c r="MW222" s="43">
        <f t="shared" si="899"/>
        <v>0</v>
      </c>
      <c r="MX222" s="43" t="str">
        <f t="shared" si="900"/>
        <v/>
      </c>
      <c r="MY222" s="43" t="str">
        <f t="shared" ca="1" si="901"/>
        <v/>
      </c>
      <c r="MZ222" s="43" t="str">
        <f t="shared" si="902"/>
        <v/>
      </c>
      <c r="NA222" s="43">
        <f t="shared" si="903"/>
        <v>0</v>
      </c>
      <c r="NB222" s="43" t="str">
        <f t="shared" si="904"/>
        <v/>
      </c>
      <c r="NC222" s="43" t="str">
        <f t="shared" si="905"/>
        <v/>
      </c>
      <c r="ND222" s="43">
        <f t="shared" ca="1" si="934"/>
        <v>0</v>
      </c>
      <c r="NE222" s="43">
        <f>IF(OR(O222&gt;0,R222&gt;0),SUM(COUNTIF(Tabla1[[#This Row],[AÑOS AL INICIO5 CPN]],"&gt;=40"),COUNTIF(AS222,"0"),COUNTIF(AR222,"SI"),COUNTIF(CC222,"SI"),COUNTIF(BQ222,"&gt;119"),COUNTIF(CI222,"&gt;=35")),"")</f>
        <v>0</v>
      </c>
      <c r="NF222" s="43" t="str">
        <f t="shared" si="935"/>
        <v/>
      </c>
      <c r="NG222" s="43">
        <f t="shared" si="908"/>
        <v>0</v>
      </c>
      <c r="NH222" s="43">
        <f t="shared" si="909"/>
        <v>126</v>
      </c>
      <c r="NI22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CPN",P222="NO"),"Z",IF(AND(Tabla1[[#This Row],[CITA PROXIMO CONTROL]]="CITA MANUAL",Tabla1[[#This Row],[GESTANTES ACTUALES]]="ACTIVA INGRESO A CPN"),"W",IF(AND(Tabla1[[#This Row],[GESTANTES ACTUALES]]="SALIO PROGRAMA",IN222=""),"S",IF(AND(Tabla1[[#This Row],[CITA PROXIMO CONTROL]]&gt;0,IN222=""),(Tabla1[[#This Row],[CITA PROXIMO CONTROL]]-TODAY()),"SD"))))))))</f>
        <v>#REF!</v>
      </c>
      <c r="NJ222" s="43">
        <f>MONTH(Tabla1[[#This Row],[FECHA DE SALIDA  DEL PROGRAMA]])</f>
        <v>1</v>
      </c>
      <c r="NK222" s="43">
        <f>YEAR(Tabla1[[#This Row],[FECHA DE SALIDA  DEL PROGRAMA]])</f>
        <v>1900</v>
      </c>
      <c r="NL222" s="43" t="str">
        <f t="shared" si="936"/>
        <v>X</v>
      </c>
      <c r="NM222" s="43" t="str">
        <f t="shared" si="941"/>
        <v>NO</v>
      </c>
      <c r="NN222" s="43" t="str">
        <f ca="1">IF(AND(O222&gt;0,R222=""),"NO CPN",IF(AND(O222="",R222=""),"",IF(AND(R222&gt;0,Tabla1[[#This Row],[SEMANAS DE GESTACION ACTUALIZADAS]]&lt;=12),"NO APLICA",IF(AND(FH222&lt;&gt;"",FN222&lt;&gt;""),"SI","NO"))))</f>
        <v>NO</v>
      </c>
      <c r="NO222" s="43" t="str">
        <f ca="1">IF(AND(O222&gt;0,R222=""),"NO CPN",IF(AND(O222="",R222=""),"",IF(AND(R222&gt;0,Tabla1[[#This Row],[SEMANAS DE GESTACION ACTUALIZADAS]]&lt;=27),"NO APLICA",IF(AND(ES222&lt;&gt;"",FQ222&lt;&gt;"",GF222&lt;&gt;""),"SI","NO"))))</f>
        <v>NO</v>
      </c>
      <c r="NP222" s="204" t="str">
        <f t="shared" si="912"/>
        <v>II TRIM</v>
      </c>
      <c r="NQ222" s="21" t="str">
        <f t="shared" ref="NQ222:NQ247" si="1046">IF(AND(IP223&gt;0,IP223&lt;37),10,IF(OR(CD223="Transversa",CD223="Oblicua"),9,IF(CC223="SI",8,IF(AND(AT223=0,AW223=0,CC223="NO",CD223="Cefálica",IP223&gt;=37,IT223="INICIO ESPONTÁNEO"),1,IF(AND(AND(AT223=0,AW223=0,CC223="NO",CD223="Cefálica",IP223&gt;=37),OR(IT223="LE HACEN INDUCCIÓN",IT223="LE HACEN CESÁREA SIN INICIO TRABAJO DE PARTO")),2,IF(AND(AT223&gt;=1,AW223=0,CC223="NO",CD223="Cefálica",IP223&gt;=37,IT223="INICIO ESPONTÁNEO"),3,IF(AND(AND(AT223&gt;=1,AW223=0,CC223="NO",CD223="Cefálica",IP223&gt;=37),OR(IT223="LE HACEN INDUCCIÓN",IT223="LE HACEN CESÁREA SIN INICIO TRABAJO DE PARTO")),4,IF(AND(AND(AT223&gt;=1,AW223&gt;=1,CC223="NO",CD223="Cefálica",IP223&gt;=37),OR(IT223="LE HACEN INDUCCIÓN",IT223="LE HACEN CESÁREA SIN INICIO TRABAJO DE PARTO",IT223="INICIO ESPONTÁNEO")),5,IF(AND(AND(AT223=0,AW223=0,CC223="NO",CD223="Podálica",IP223&gt;=1),OR(IT223="LE HACEN INDUCCIÓN",IT223="LE HACEN CESÁREA SIN INICIO TRABAJO DE PARTO",IT223="INICIO ESPONTÁNEO")),6,IF(AND(AND(AT223&gt;=1,CC223="NO",CD223="Podálica",IP223&gt;=1),OR(IT223="LE HACEN INDUCCIÓN",IT223="LE HACEN CESÁREA SIN INICIO TRABAJO DE PARTO",IT223="INICIO ESPONTÁNEO"),OR(AW223=0,AW223&gt;=1)),7,""))))))))))</f>
        <v/>
      </c>
      <c r="NR222" s="21">
        <f t="shared" ca="1" si="937"/>
        <v>2</v>
      </c>
      <c r="NS222" s="205">
        <f t="shared" ca="1" si="914"/>
        <v>1</v>
      </c>
      <c r="NT222" s="21">
        <f t="shared" ca="1" si="915"/>
        <v>1</v>
      </c>
      <c r="NU222" s="21" t="str">
        <f t="shared" ca="1" si="916"/>
        <v>INCOMPLETO</v>
      </c>
      <c r="NV222" s="21" t="str">
        <f t="shared" ca="1" si="917"/>
        <v>INCOMPLETO</v>
      </c>
      <c r="NW222" s="206" t="str">
        <f>IF(AND(O222="",R222=""),"",IF(OR(AND(Tabla1[[#This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22" s="207" t="str">
        <f t="shared" ca="1" si="938"/>
        <v>SIN VACUNAR</v>
      </c>
      <c r="NY222" s="43">
        <f>ROW(Tabla1[[#This Row],['# DE TAMIZAJES SIFILIS TOMADOS ]])</f>
        <v>222</v>
      </c>
      <c r="NZ222" s="43">
        <f t="shared" si="942"/>
        <v>17</v>
      </c>
      <c r="OA222" s="43" t="str">
        <f t="shared" si="943"/>
        <v/>
      </c>
      <c r="OB222" s="43" t="str">
        <f t="shared" si="944"/>
        <v/>
      </c>
      <c r="OC222" s="43" t="str">
        <f t="shared" si="945"/>
        <v/>
      </c>
      <c r="OD222" s="43" t="str">
        <f t="shared" si="946"/>
        <v/>
      </c>
      <c r="OE222" s="43" t="str">
        <f t="shared" si="947"/>
        <v/>
      </c>
      <c r="OF222" s="43" t="str">
        <f t="shared" si="948"/>
        <v/>
      </c>
      <c r="OG222" s="43" t="str">
        <f t="shared" si="949"/>
        <v/>
      </c>
      <c r="OH222" s="43" t="str">
        <f t="shared" si="950"/>
        <v/>
      </c>
      <c r="OI222" s="43" t="str">
        <f t="shared" si="951"/>
        <v>SOBREPESO</v>
      </c>
      <c r="OJ222" s="43" t="str">
        <f t="shared" si="952"/>
        <v/>
      </c>
      <c r="OK222" s="43" t="str">
        <f t="shared" si="953"/>
        <v/>
      </c>
      <c r="OL222" s="43" t="str">
        <f t="shared" si="954"/>
        <v/>
      </c>
      <c r="OM222" s="43" t="str">
        <f t="shared" si="955"/>
        <v/>
      </c>
      <c r="ON222" s="43" t="str">
        <f t="shared" si="956"/>
        <v/>
      </c>
      <c r="OO222" s="43" t="str">
        <f t="shared" si="957"/>
        <v/>
      </c>
      <c r="OP222" s="43" t="str">
        <f t="shared" si="958"/>
        <v/>
      </c>
      <c r="OQ222" s="43" t="str">
        <f t="shared" si="959"/>
        <v/>
      </c>
      <c r="OR222" s="43" t="str">
        <f t="shared" si="960"/>
        <v/>
      </c>
      <c r="OS222" s="43" t="str">
        <f t="shared" si="961"/>
        <v/>
      </c>
      <c r="OT222" s="43" t="str">
        <f t="shared" si="962"/>
        <v/>
      </c>
      <c r="OU222" s="43" t="str">
        <f t="shared" si="963"/>
        <v/>
      </c>
      <c r="OV222" s="110" t="str">
        <f t="shared" si="964"/>
        <v/>
      </c>
      <c r="OW222" s="43" t="str">
        <f t="shared" si="965"/>
        <v/>
      </c>
      <c r="OX222" s="43" t="str">
        <f t="shared" si="966"/>
        <v/>
      </c>
      <c r="OY222" s="43" t="str">
        <f t="shared" si="967"/>
        <v/>
      </c>
      <c r="OZ222" s="43" t="str">
        <f t="shared" si="968"/>
        <v/>
      </c>
      <c r="PA222" s="43" t="str">
        <f t="shared" si="969"/>
        <v/>
      </c>
      <c r="PB222" s="43" t="str">
        <f t="shared" si="970"/>
        <v/>
      </c>
      <c r="PC222" s="43" t="str">
        <f t="shared" si="971"/>
        <v/>
      </c>
      <c r="PD222" s="43" t="str">
        <f t="shared" si="972"/>
        <v/>
      </c>
      <c r="PE222" s="43" t="str">
        <f t="shared" si="973"/>
        <v/>
      </c>
      <c r="PF222" s="43" t="str">
        <f t="shared" si="974"/>
        <v/>
      </c>
      <c r="PG222" s="43" t="str">
        <f t="shared" si="975"/>
        <v/>
      </c>
      <c r="PH222" s="43" t="str">
        <f t="shared" si="976"/>
        <v/>
      </c>
      <c r="PI222" s="43">
        <f t="shared" si="977"/>
        <v>17</v>
      </c>
      <c r="PJ222" s="43" t="str">
        <f t="shared" si="978"/>
        <v/>
      </c>
      <c r="PK222" s="43" t="str">
        <f t="shared" si="979"/>
        <v/>
      </c>
      <c r="PL222" s="43" t="str">
        <f t="shared" si="980"/>
        <v/>
      </c>
      <c r="PM222" s="43" t="str">
        <f t="shared" si="981"/>
        <v/>
      </c>
      <c r="PN222" s="43" t="str">
        <f t="shared" si="982"/>
        <v/>
      </c>
      <c r="PO222" s="43" t="str">
        <f t="shared" si="983"/>
        <v/>
      </c>
      <c r="PP222" s="43" t="str">
        <f t="shared" si="984"/>
        <v/>
      </c>
      <c r="PQ222" s="43" t="str">
        <f t="shared" si="985"/>
        <v/>
      </c>
      <c r="PR222" s="43" t="str">
        <f t="shared" si="986"/>
        <v>SOBREPESO</v>
      </c>
      <c r="PS222" s="43" t="str">
        <f t="shared" si="987"/>
        <v/>
      </c>
      <c r="PT222" s="43" t="str">
        <f t="shared" si="988"/>
        <v/>
      </c>
      <c r="PU222" s="43" t="str">
        <f t="shared" si="989"/>
        <v/>
      </c>
      <c r="PV222" s="43" t="str">
        <f t="shared" si="990"/>
        <v/>
      </c>
      <c r="PW222" s="43" t="str">
        <f t="shared" si="991"/>
        <v/>
      </c>
      <c r="PX222" s="43" t="str">
        <f t="shared" si="992"/>
        <v/>
      </c>
      <c r="PY222" s="43" t="str">
        <f t="shared" si="993"/>
        <v/>
      </c>
      <c r="PZ222" s="43" t="str">
        <f t="shared" si="994"/>
        <v/>
      </c>
      <c r="QA222" s="43" t="str">
        <f t="shared" si="995"/>
        <v/>
      </c>
      <c r="QB222" s="43" t="str">
        <f t="shared" si="996"/>
        <v/>
      </c>
      <c r="QC222" s="43" t="str">
        <f t="shared" si="997"/>
        <v/>
      </c>
      <c r="QD222" s="43" t="str">
        <f t="shared" si="998"/>
        <v/>
      </c>
      <c r="QE222" s="43" t="str">
        <f t="shared" si="999"/>
        <v/>
      </c>
      <c r="QF222" s="43" t="str">
        <f t="shared" si="1000"/>
        <v/>
      </c>
      <c r="QG222" s="43" t="str">
        <f t="shared" si="1001"/>
        <v/>
      </c>
      <c r="QH222" s="43" t="str">
        <f t="shared" si="1002"/>
        <v/>
      </c>
      <c r="QI222" s="43" t="str">
        <f t="shared" si="1003"/>
        <v/>
      </c>
      <c r="QJ222" s="43" t="str">
        <f t="shared" si="1004"/>
        <v/>
      </c>
      <c r="QK222" s="43" t="str">
        <f t="shared" si="1005"/>
        <v/>
      </c>
      <c r="QL222" s="43" t="str">
        <f t="shared" si="1006"/>
        <v/>
      </c>
      <c r="QM222" s="43" t="str">
        <f t="shared" si="1007"/>
        <v/>
      </c>
      <c r="QN222" s="43" t="str">
        <f t="shared" si="1008"/>
        <v/>
      </c>
      <c r="QO222" s="43" t="str">
        <f t="shared" si="1009"/>
        <v/>
      </c>
      <c r="QP222" s="43" t="str">
        <f t="shared" si="1010"/>
        <v/>
      </c>
      <c r="QQ222" s="43" t="str">
        <f t="shared" si="1011"/>
        <v/>
      </c>
      <c r="QR222" s="43">
        <f t="shared" si="1012"/>
        <v>17</v>
      </c>
      <c r="QS222" s="43"/>
      <c r="QT222" s="21" t="str">
        <f t="shared" si="1013"/>
        <v/>
      </c>
      <c r="QU222" s="21" t="str">
        <f t="shared" si="1014"/>
        <v/>
      </c>
      <c r="QV222" s="21" t="str">
        <f t="shared" si="1015"/>
        <v/>
      </c>
      <c r="QW222" s="21" t="str">
        <f t="shared" si="1016"/>
        <v/>
      </c>
      <c r="QX222" s="21" t="str">
        <f t="shared" si="1017"/>
        <v/>
      </c>
      <c r="QY222" s="21" t="str">
        <f t="shared" si="1018"/>
        <v/>
      </c>
      <c r="QZ222" s="21" t="str">
        <f t="shared" si="1019"/>
        <v/>
      </c>
      <c r="RA222" s="21" t="str">
        <f t="shared" si="1020"/>
        <v/>
      </c>
      <c r="RB222" s="21" t="str">
        <f t="shared" si="1021"/>
        <v/>
      </c>
      <c r="RC222" s="21" t="str">
        <f t="shared" si="1022"/>
        <v/>
      </c>
      <c r="RD222" s="21" t="str">
        <f t="shared" si="1023"/>
        <v/>
      </c>
      <c r="RE222" s="21" t="str">
        <f t="shared" si="1024"/>
        <v/>
      </c>
      <c r="RF222" s="21" t="str">
        <f t="shared" si="1025"/>
        <v/>
      </c>
      <c r="RG222" s="21" t="str">
        <f t="shared" si="1026"/>
        <v/>
      </c>
      <c r="RH222" s="21" t="str">
        <f t="shared" si="1027"/>
        <v/>
      </c>
      <c r="RI222" s="21" t="str">
        <f t="shared" si="1028"/>
        <v/>
      </c>
      <c r="RJ222" s="21" t="str">
        <f t="shared" si="1029"/>
        <v/>
      </c>
      <c r="RK222" s="21" t="str">
        <f t="shared" si="1030"/>
        <v/>
      </c>
      <c r="RL222" s="21" t="str">
        <f t="shared" si="1031"/>
        <v/>
      </c>
      <c r="RM222" s="21" t="str">
        <f t="shared" si="1032"/>
        <v/>
      </c>
      <c r="RN222" s="21" t="str">
        <f t="shared" si="1033"/>
        <v/>
      </c>
      <c r="RO222" s="21" t="str">
        <f t="shared" si="1034"/>
        <v/>
      </c>
      <c r="RP222" s="21" t="str">
        <f t="shared" si="1035"/>
        <v/>
      </c>
      <c r="RQ222" s="21" t="str">
        <f t="shared" si="1036"/>
        <v/>
      </c>
      <c r="RR222" s="21" t="str">
        <f t="shared" si="1037"/>
        <v/>
      </c>
      <c r="RS222" s="21" t="str">
        <f t="shared" si="1038"/>
        <v/>
      </c>
      <c r="RT222" s="21" t="str">
        <f t="shared" si="1039"/>
        <v/>
      </c>
      <c r="RU222" s="21" t="str">
        <f t="shared" si="1040"/>
        <v/>
      </c>
      <c r="RV222" s="21">
        <f t="shared" si="1041"/>
        <v>-1</v>
      </c>
      <c r="RW222" s="284">
        <f>IF(OR(Tabla1[[#This Row],[FUM FORMULA CONFIABLE]]="",Tabla1[[#This Row],[FUM FORMULA CONFIABLE]]="SD"),"",IF(Tabla1[[#This Row],[FUM FORMULA CONFIABLE]]="CORREGIDA",Tabla1[[#This Row],[FUM X ECO 1]],Tabla1[[#This Row],[FUM x AMENORREA]]))</f>
        <v>45023</v>
      </c>
      <c r="RX222" s="21">
        <f>IF(AND(Tabla1[[#This Row],[FUM X ECO 1]]="",Tabla1[[#This Row],[FUM x AMENORREA]]=""),"",IF(AND(Tabla1[[#This Row],[FUM X ECO 1]]="",Tabla1[[#This Row],[FUM x AMENORREA]]&lt;&gt;""),"X",SUM(Tabla1[[#This Row],[FUM X ECO 1]]-Tabla1[[#This Row],[FUM x AMENORREA]])))</f>
        <v>0</v>
      </c>
      <c r="RY222" s="21">
        <f t="shared" si="1042"/>
        <v>0</v>
      </c>
    </row>
    <row r="223" spans="1:493" ht="45" customHeight="1" x14ac:dyDescent="0.25">
      <c r="A223" s="109"/>
      <c r="B223" s="43"/>
      <c r="C223" s="299" t="s">
        <v>845</v>
      </c>
      <c r="D223" s="124"/>
      <c r="E223" s="43" t="s">
        <v>914</v>
      </c>
      <c r="F223" s="43" t="s">
        <v>1601</v>
      </c>
      <c r="G223" s="43" t="s">
        <v>1602</v>
      </c>
      <c r="H223" s="43"/>
      <c r="I223" s="109" t="s">
        <v>851</v>
      </c>
      <c r="J223" s="110">
        <v>1003370775</v>
      </c>
      <c r="K223" s="43" t="s">
        <v>852</v>
      </c>
      <c r="L223" s="175" t="s">
        <v>1509</v>
      </c>
      <c r="M223" s="22">
        <v>36712</v>
      </c>
      <c r="N223" s="213">
        <f t="shared" ca="1" si="841"/>
        <v>23.342465753424658</v>
      </c>
      <c r="O223" s="22">
        <v>45128</v>
      </c>
      <c r="P223" s="214" t="str">
        <f t="shared" si="919"/>
        <v>SI</v>
      </c>
      <c r="Q223" s="26" t="s">
        <v>1603</v>
      </c>
      <c r="R223" s="22">
        <v>45128</v>
      </c>
      <c r="S223" s="21" t="s">
        <v>856</v>
      </c>
      <c r="T223" s="24" t="s">
        <v>690</v>
      </c>
      <c r="U223" s="21" t="s">
        <v>857</v>
      </c>
      <c r="V223" s="21" t="s">
        <v>858</v>
      </c>
      <c r="W223" s="21" t="s">
        <v>1604</v>
      </c>
      <c r="X223" s="21"/>
      <c r="Y223" s="21" t="s">
        <v>1604</v>
      </c>
      <c r="Z223" s="21">
        <v>3107363019</v>
      </c>
      <c r="AA223" s="21" t="s">
        <v>860</v>
      </c>
      <c r="AB223" s="27" t="s">
        <v>861</v>
      </c>
      <c r="AC223" s="26" t="s">
        <v>888</v>
      </c>
      <c r="AD223" s="38" t="s">
        <v>1546</v>
      </c>
      <c r="AE223" s="26" t="s">
        <v>854</v>
      </c>
      <c r="AF223" s="26" t="s">
        <v>854</v>
      </c>
      <c r="AG223" s="23" t="s">
        <v>864</v>
      </c>
      <c r="AH223" s="23" t="s">
        <v>864</v>
      </c>
      <c r="AI223" s="24" t="s">
        <v>863</v>
      </c>
      <c r="AJ223" s="23" t="s">
        <v>864</v>
      </c>
      <c r="AK223" s="220" t="str">
        <f>IF(AND(AD223="",AE223="",AF223="",AG223="",AH223="",AI223="",AJ223=""),"",IF(OR(Tabla1[[#This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EVALUACIÓN",IF(AND(O223="",R223=""),"",IF(AND(OR(O223&gt;0,R223&gt;0),NG223&gt;=0,NG223&lt;2),"SIN RIESGO",IF(AND(OR(O223&gt;0,R223&gt;0),NG223&gt;=2),"CON RIESGO","ASD")))))</f>
        <v>SIN RIESGO</v>
      </c>
      <c r="AL223" s="26" t="s">
        <v>864</v>
      </c>
      <c r="AM223" s="26" t="s">
        <v>864</v>
      </c>
      <c r="AN223" s="26" t="s">
        <v>864</v>
      </c>
      <c r="AO223" s="26" t="s">
        <v>864</v>
      </c>
      <c r="AP223" s="26" t="s">
        <v>864</v>
      </c>
      <c r="AQ223" s="26" t="s">
        <v>864</v>
      </c>
      <c r="AR223" s="26" t="s">
        <v>864</v>
      </c>
      <c r="AS223" s="21">
        <v>0</v>
      </c>
      <c r="AT223" s="21">
        <v>0</v>
      </c>
      <c r="AU223" s="21">
        <v>0</v>
      </c>
      <c r="AV223" s="26" t="s">
        <v>864</v>
      </c>
      <c r="AW223" s="21">
        <v>0</v>
      </c>
      <c r="AX223" s="26" t="s">
        <v>864</v>
      </c>
      <c r="AY223" s="26" t="s">
        <v>864</v>
      </c>
      <c r="AZ223" s="26" t="s">
        <v>864</v>
      </c>
      <c r="BA223" s="26" t="s">
        <v>864</v>
      </c>
      <c r="BB223" s="26" t="s">
        <v>864</v>
      </c>
      <c r="BC223" s="26" t="s">
        <v>864</v>
      </c>
      <c r="BD223" s="26" t="s">
        <v>864</v>
      </c>
      <c r="BE223" s="26" t="s">
        <v>864</v>
      </c>
      <c r="BF223" s="26" t="s">
        <v>864</v>
      </c>
      <c r="BG223" s="26" t="s">
        <v>864</v>
      </c>
      <c r="BH223" s="26" t="s">
        <v>864</v>
      </c>
      <c r="BI223" s="26" t="s">
        <v>864</v>
      </c>
      <c r="BJ223" s="26" t="s">
        <v>864</v>
      </c>
      <c r="BK223" s="26" t="s">
        <v>864</v>
      </c>
      <c r="BL223" s="26" t="s">
        <v>864</v>
      </c>
      <c r="BM223" s="26" t="s">
        <v>864</v>
      </c>
      <c r="BN223" s="22"/>
      <c r="BO223" s="22">
        <v>45068</v>
      </c>
      <c r="BP223" s="21" t="s">
        <v>854</v>
      </c>
      <c r="BQ223" s="222">
        <f t="shared" si="842"/>
        <v>0</v>
      </c>
      <c r="BR223" s="223">
        <f t="shared" si="843"/>
        <v>45068.5</v>
      </c>
      <c r="BS223" s="224">
        <f t="shared" si="844"/>
        <v>8.5714285714285712</v>
      </c>
      <c r="BT223" s="216" t="str">
        <f t="shared" si="845"/>
        <v>I TRIM</v>
      </c>
      <c r="BU223" s="214">
        <f t="shared" ca="1" si="928"/>
        <v>23.428571428571427</v>
      </c>
      <c r="BV223" s="25" t="s">
        <v>988</v>
      </c>
      <c r="BW223" s="22">
        <v>45149</v>
      </c>
      <c r="BX223" s="28">
        <v>11.5</v>
      </c>
      <c r="BY223" s="28"/>
      <c r="BZ223" s="22"/>
      <c r="CA223" s="21"/>
      <c r="CB223" s="26"/>
      <c r="CC223" s="26" t="s">
        <v>864</v>
      </c>
      <c r="CD223" s="26" t="s">
        <v>865</v>
      </c>
      <c r="CE223" s="26" t="s">
        <v>864</v>
      </c>
      <c r="CF223" s="22" t="s">
        <v>1517</v>
      </c>
      <c r="CG223" s="21">
        <v>1.61</v>
      </c>
      <c r="CH223" s="21">
        <v>60</v>
      </c>
      <c r="CI223" s="214">
        <f t="shared" si="847"/>
        <v>23.147255121330193</v>
      </c>
      <c r="CJ223" s="225" t="str">
        <f>IF(AND(CI223&lt;10,CH223="SD"),"SIN DATO PESO PREGESTACION O I TRIM",IF(AND(OR(R223&gt;0,O223&gt;0),CI223="X"),"INGRESAR DATO DE PESO",IF(CI223="SD","INGRESAR DATO DE TALLA Y PESO",IF(AND(OR(Tabla1[[#This Row],[MOMENTO EN QUE SE REALIZA EL PESO AL INGRESO A CPN]]="PREGESTACIÓN",NZ223="Menor"),CI223&lt;18.5),"BAJO PESO",IF(AND(OR(Tabla1[[#This Row],[MOMENTO EN QUE SE REALIZA EL PESO AL INGRESO A CPN]]="PREGESTACIÓN",NZ223="Menor"),CI223&lt;25),"NORMAL",IF(AND(OR(Tabla1[[#This Row],[MOMENTO EN QUE SE REALIZA EL PESO AL INGRESO A CPN]]="PREGESTACIÓN",NZ223="Menor"),CI223&lt;30),"SOBREPESO",IF(AND(OR(Tabla1[[#This Row],[MOMENTO EN QUE SE REALIZA EL PESO AL INGRESO A CPN]]="PREGESTACIÓN",NZ223="Menor"),CI223&gt;=30,CI223&lt;50),"OBESIDAD",IF(AND(BS223&gt;0,Tabla1[[#This Row],[MOMENTO EN QUE SE REALIZA EL PESO AL INGRESO A CPN]]="GESTACIÓN"),HLOOKUP(NZ223,$OA$2:PH223,NY223),""))))))))</f>
        <v>NORMAL</v>
      </c>
      <c r="CK223" s="212">
        <f t="shared" si="848"/>
        <v>45128</v>
      </c>
      <c r="CL223" s="21">
        <v>60</v>
      </c>
      <c r="CM223" s="214">
        <f t="shared" si="849"/>
        <v>23.147255121330193</v>
      </c>
      <c r="CN223" s="216">
        <f t="shared" si="850"/>
        <v>8</v>
      </c>
      <c r="CO223" s="216" t="e">
        <f>IF(PI223="","",IF(PI223&gt;0,HLOOKUP(PI223,$PJ$2:QQ223,NY223),""))</f>
        <v>#REF!</v>
      </c>
      <c r="CP223" s="21"/>
      <c r="CQ223" s="216" t="str">
        <f>IF(QR223="Menor","NO APLICA-MENOR 13 SEM",IF(AND(CC223="SI",CN223&gt;23),"NO APLICA- GEMELAR",IF(QR223="","",IF(QR223&gt;0,HLOOKUP(QR223,$QS$2:RU223,NY223),""))))</f>
        <v>NO APLICA-MENOR 13 SEM</v>
      </c>
      <c r="CR223" s="21">
        <v>90</v>
      </c>
      <c r="CS223" s="21">
        <v>60</v>
      </c>
      <c r="CT223" s="217" t="str">
        <f>IF(R223="","",IF(AND(BS223&gt;1,BS223&lt;12,Tabla1[[#This Row],[T.A. SISTOLICA - ANTES DE SEMANA 12]]="",Tabla1[[#This Row],[T.A. DIASTOLICA - ANTES DE SEMANA 12]]=""),"REGISTRE DATO TA ANTES SEMANA 12",IF(AND(BS223&gt;11,BS223&lt;43,Tabla1[[#This Row],[T.A. SISTOLICA - ANTES DE SEMANA 12]]="",Tabla1[[#This Row],[T.A. DIASTOLICA - ANTES DE SEMANA 12]]=""),"NO APLICA REGISTRO TA-INGRESO TARDIO",IF(AND(OR(O223&gt;0,R223&gt;0),OR(CR223&gt;=140,CS223&gt;=90)),"DEFINIR ESTADIO HTA",IF(AND(OR(O223&gt;0,R223&gt;0),AND(CR223&gt;120,CR223&lt;=139)),"PRE HTA SEGUIMIENTO",IF(AND(OR(O223&gt;0,R223&gt;0),AND(CS223&gt;80,CS223&lt;=89)),"PRE HTA SEGUIMIENTO",IF(AND(OR(O223&gt;0,R223&gt;0),AND(CR223&gt;=80,CR223&lt;=120)),"APARENTEMENTE NORMAL",IF(AND(OR(O223&gt;0,R223&gt;0),AND(CS223&gt;=50,CS223&lt;=80)),"APARENTEMENTE NORMAL",IF(AND(OR(O223&gt;0,R223&gt;0),AND(CR223&gt;1,CR223&lt;=70),AND(CS223&gt;1,CS223&lt;=40)),"HIPOTENSIÓN","")))))))))</f>
        <v>APARENTEMENTE NORMAL</v>
      </c>
      <c r="CU223" s="21"/>
      <c r="CV223" s="21"/>
      <c r="CW223" s="217" t="str">
        <f ca="1">IF(R223="","",IF(AND(CN223&gt;19,CN223&lt;27,Tabla1[[#This Row],[T.A. SISTOLICA (Entre semana 20 y 26)]]="",Tabla1[[#This Row],[T.A. DIATOLICA (Entre semana 20 y 26)]]=""),"ACUDE A CONTROL SEM 20 A 26 REGISTRE TA AHORA",IF(AND(BS223&gt;1,BS223&lt;27,BU223&gt;19,Tabla1[[#This Row],[T.A. SISTOLICA (Entre semana 20 y 26)]]="",Tabla1[[#This Row],[T.A. DIATOLICA (Entre semana 20 y 26)]]=""),"COMPLETE REGISTRO TA CONTROL SEM 20 A26 ",IF(AND(BS223&gt;26,BS223&lt;43,Tabla1[[#This Row],[T.A. SISTOLICA (Entre semana 20 y 26)]]="",Tabla1[[#This Row],[T.A. DIATOLICA (Entre semana 20 y 26)]]=""),"NO APLICA REGISTRO TA-INGRESO TARDIO",IF(AND(OR(O223&gt;0,R223&gt;0),OR(CU223&gt;=140,CV223&gt;=90)),"ALTO RIESGO PREECLAMPSIA,DEFINIR ESTADIO HTA",IF(AND(OR(O223&gt;0,R223&gt;0),AND(CU223&gt;120,CU223&lt;=139)),"PRE HTA SEGUIMIENTO,RIESGO HIPERTENSION INDUCIDA POR EL EMBARAZO",IF(AND(OR(O223&gt;0,R223&gt;0),AND(CV223&gt;80,CV223&lt;=89)),"PRE HTA SEGUIMIENTO, RIESGO HIPERTENSION INDUCIDA POR EL EMBARAZO",IF(AND(OR(O223&lt;&gt;"",R223&lt;&gt;""),CS223&lt;&gt;"",CV223&lt;&gt;"",CS223&lt;=CV223),"VIGILAR CIFRAS PRESION ARTERIAL",IF(AND(OR(O223&gt;0,R223&gt;0),AND(CU223&gt;120,CU223&lt;=139)),"PRE HTA SEGUIMIENTO",IF(AND(OR(O223&gt;0,R223&gt;0),AND(CU223&gt;1,CU223&lt;=70),AND(CV223&gt;1,CV223&lt;=40)),"HIPOTENSIÓN",IF(AND(OR(O223&lt;&gt;"",R223&lt;&gt;""),CS223&lt;&gt;"",CV223&lt;&gt;"",CS223&gt;CV223),"APARENTEMENTE NORMAL",IF(AND(OR(O223&gt;0,R223&gt;0),AND(CU223&gt;=80,CU223&lt;=120)),"APARENTEMENTE NORMAL",IF(AND(OR(O223&gt;0,R223&gt;0),AND(CV223&gt;=50,CV223&lt;=80)),"APARENTEMENTE NORMAL","")))))))))))))</f>
        <v xml:space="preserve">COMPLETE REGISTRO TA CONTROL SEM 20 A26 </v>
      </c>
      <c r="CX223" s="21"/>
      <c r="CY223" s="21"/>
      <c r="CZ223" s="216" t="str">
        <f t="shared" si="1045"/>
        <v/>
      </c>
      <c r="DA223" s="21">
        <v>90</v>
      </c>
      <c r="DB223" s="21">
        <v>60</v>
      </c>
      <c r="DC223" s="217" t="str">
        <f t="shared" si="851"/>
        <v>APARENTEMENTE NORMAL</v>
      </c>
      <c r="DD223" s="22">
        <v>45128</v>
      </c>
      <c r="DE223" s="22">
        <v>45128</v>
      </c>
      <c r="DF223" s="22"/>
      <c r="DG223" s="22"/>
      <c r="DH223" s="22"/>
      <c r="DI223" s="22"/>
      <c r="DJ223" s="22"/>
      <c r="DK223" s="22"/>
      <c r="DL223" s="22"/>
      <c r="DM223" s="22"/>
      <c r="DN223" s="22"/>
      <c r="DO223" s="22"/>
      <c r="DP223" s="22"/>
      <c r="DQ223" s="22"/>
      <c r="DR223" s="28"/>
      <c r="DS223" s="22"/>
      <c r="DT223" s="22"/>
      <c r="DU223" s="216" t="str">
        <f t="shared" ca="1" si="920"/>
        <v>EN ESPERA</v>
      </c>
      <c r="DV223" s="226" t="str">
        <f t="shared" si="921"/>
        <v>ACTIVA INGRESO A CPN</v>
      </c>
      <c r="DW223"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23" s="216" t="e">
        <f t="shared" ca="1" si="852"/>
        <v>#REF!</v>
      </c>
      <c r="DY223" s="212">
        <f>IF(R223="","",IF(R223&gt;0,MAX(Tabla1[[#This Row],[FECHA C2]:[FECHA C13]],Tabla1[[#This Row],[FECHA CONSULTA PRIMERA VEZ PROGRAMA CPN ]])))</f>
        <v>45128</v>
      </c>
      <c r="DZ223" s="216">
        <f t="shared" si="853"/>
        <v>8</v>
      </c>
      <c r="EA223" s="222">
        <f>IF(R223&gt;0,SUM(COUNTA(DF223:DQ223)+COUNTA(Tabla1[[#This Row],[FECHA CONSULTA PRIMERA VEZ PROGRAMA CPN ]])),"")</f>
        <v>1</v>
      </c>
      <c r="EB223" s="222" t="str">
        <f t="shared" si="854"/>
        <v>NO</v>
      </c>
      <c r="EC223" s="214">
        <f t="shared" si="855"/>
        <v>9</v>
      </c>
      <c r="ED223" s="227">
        <f t="shared" si="856"/>
        <v>0.1111111111111111</v>
      </c>
      <c r="EE223" s="22">
        <v>45128</v>
      </c>
      <c r="EF223" s="22">
        <v>45128</v>
      </c>
      <c r="EG223" s="22">
        <v>45128</v>
      </c>
      <c r="EH223" s="22"/>
      <c r="EI223" s="22">
        <v>45128</v>
      </c>
      <c r="EJ223" s="22"/>
      <c r="EK223" s="22"/>
      <c r="EL223" s="21"/>
      <c r="EM223" s="21">
        <v>13.7</v>
      </c>
      <c r="EN223" s="22">
        <v>45006</v>
      </c>
      <c r="EO223" s="222" t="str">
        <f t="shared" si="857"/>
        <v>CORREGIR FECHA RESULTADO</v>
      </c>
      <c r="EP223" s="214" t="str">
        <f t="shared" si="858"/>
        <v>NORMAL- SUMINISTRAR SULFATO FERROSO</v>
      </c>
      <c r="EQ223" s="216" t="str">
        <f t="shared" si="859"/>
        <v>POR DEFINIR</v>
      </c>
      <c r="ER223" s="24"/>
      <c r="ES223" s="22"/>
      <c r="ET223" s="29" t="str">
        <f t="shared" ca="1" si="922"/>
        <v>PROGRAMAR TOMA HEMOGLOBINA A SEM 28</v>
      </c>
      <c r="EU223" s="25" t="str">
        <f t="shared" si="860"/>
        <v/>
      </c>
      <c r="EV223" s="24" t="s">
        <v>1510</v>
      </c>
      <c r="EW223" s="32">
        <v>45128</v>
      </c>
      <c r="EX223" s="22"/>
      <c r="EY223" s="29">
        <f t="shared" si="1043"/>
        <v>8.5714285714285712</v>
      </c>
      <c r="EZ223" s="25" t="str">
        <f t="shared" si="1044"/>
        <v>SIN RIESGO DE ISOINMUNIZACIÓN</v>
      </c>
      <c r="FA223" s="21">
        <v>94</v>
      </c>
      <c r="FB223" s="32">
        <v>45128</v>
      </c>
      <c r="FC223" s="29">
        <f t="shared" si="861"/>
        <v>8.5714285714285712</v>
      </c>
      <c r="FD223" s="29"/>
      <c r="FE223" s="29"/>
      <c r="FF223" s="29"/>
      <c r="FG223" s="21" t="str">
        <f t="shared" ca="1" si="862"/>
        <v>PROGRAMAR TOMA PTOG SIGUIENTE CONTROL</v>
      </c>
      <c r="FH223" s="31"/>
      <c r="FI223" s="29" t="str">
        <f t="shared" si="863"/>
        <v>TOMAR EXAMEN</v>
      </c>
      <c r="FJ223" s="22" t="s">
        <v>867</v>
      </c>
      <c r="FK223" s="22">
        <v>45128</v>
      </c>
      <c r="FL223" s="29">
        <f t="shared" ca="1" si="864"/>
        <v>8.5714285714285712</v>
      </c>
      <c r="FM223" s="22"/>
      <c r="FN223" s="32"/>
      <c r="FO223" s="29" t="str">
        <f t="shared" ca="1" si="923"/>
        <v>EN RANGO PARA TOMAR EXAMEN</v>
      </c>
      <c r="FP223" s="22"/>
      <c r="FQ223" s="32"/>
      <c r="FR223" s="29" t="str">
        <f t="shared" ca="1" si="924"/>
        <v>EN ESPERA-ESTÁ I TRIM O II TRIM</v>
      </c>
      <c r="FS223" s="22"/>
      <c r="FT223" s="32"/>
      <c r="FU223" s="29" t="str">
        <f>IF(AND(FJ223="",FM223="",FP223="",FS223=""),"",IF(OR(OR(Tabla1[[#This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23" s="28"/>
      <c r="FW223" s="22"/>
      <c r="FX223" s="29" t="str">
        <f t="shared" si="865"/>
        <v>TOMAR EXAMEN</v>
      </c>
      <c r="FY223" s="22" t="s">
        <v>868</v>
      </c>
      <c r="FZ223" s="22">
        <v>45128</v>
      </c>
      <c r="GA223" s="29">
        <f t="shared" ca="1" si="939"/>
        <v>8.5714285714285712</v>
      </c>
      <c r="GB223" s="22"/>
      <c r="GC223" s="22"/>
      <c r="GD223" s="29" t="str">
        <f t="shared" ca="1" si="940"/>
        <v>EN RANGO PARA TOMAR EXAMEN</v>
      </c>
      <c r="GE223" s="22"/>
      <c r="GF223" s="22"/>
      <c r="GG223" s="29" t="str">
        <f t="shared" ca="1" si="926"/>
        <v>EN ESPERA-ESTÁ I TRIM O II TRIM</v>
      </c>
      <c r="GH223" s="22"/>
      <c r="GI223" s="29"/>
      <c r="GJ223" s="22"/>
      <c r="GK223" s="22"/>
      <c r="GL223" s="22"/>
      <c r="GM223" s="22"/>
      <c r="GN223" s="28" t="s">
        <v>869</v>
      </c>
      <c r="GO223" s="22">
        <v>45128</v>
      </c>
      <c r="GP223" s="29">
        <f t="shared" si="866"/>
        <v>8.5714285714285712</v>
      </c>
      <c r="GQ223" s="28" t="s">
        <v>869</v>
      </c>
      <c r="GR223" s="28" t="s">
        <v>869</v>
      </c>
      <c r="GS223" s="22" t="str">
        <f t="shared" si="728"/>
        <v>CONTROL Igm</v>
      </c>
      <c r="GT223" s="22">
        <v>45128</v>
      </c>
      <c r="GU223" s="29">
        <f t="shared" si="867"/>
        <v>8.5714285714285712</v>
      </c>
      <c r="GV223" s="21" t="str">
        <f t="shared" si="868"/>
        <v>I TRIM</v>
      </c>
      <c r="GW223" s="28"/>
      <c r="GX223" s="30"/>
      <c r="GY223" s="21"/>
      <c r="GZ223" s="21"/>
      <c r="HA223" s="21"/>
      <c r="HB223" s="21"/>
      <c r="HC223" s="21"/>
      <c r="HD223" s="21"/>
      <c r="HE223" s="21"/>
      <c r="HF223" s="22"/>
      <c r="HG223" s="22" t="str">
        <f>IF(OR(O223&gt;0,R223&gt;0),CONCATENATE(IF(Tabla1[[#This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23" s="22" t="e">
        <f t="shared" si="869"/>
        <v>#REF!</v>
      </c>
      <c r="HI223" s="22" t="e">
        <f t="shared" ca="1" si="870"/>
        <v>#REF!</v>
      </c>
      <c r="HJ223" s="21" t="str">
        <f t="shared" ca="1" si="871"/>
        <v>**********************MULTIPARIDAD*****************</v>
      </c>
      <c r="HK223" s="21" t="str">
        <f t="shared" si="872"/>
        <v>SIN ANTECEDENTES DE RIESGO</v>
      </c>
      <c r="HL223" s="24" t="str">
        <f t="shared" si="873"/>
        <v>APARENTEMENTE NORMAL</v>
      </c>
      <c r="HM223" s="21" t="e">
        <f t="shared" ca="1" si="874"/>
        <v>#REF!</v>
      </c>
      <c r="HN223" s="30" t="str">
        <f t="shared" si="927"/>
        <v>ACTIVA INGRESO A CPN</v>
      </c>
      <c r="HO223" s="21"/>
      <c r="HP223" s="21"/>
      <c r="HQ223" s="349"/>
      <c r="HR223" s="21" t="str">
        <f>IF(R223="","",IF(Tabla1[[#This Row],[ALARMA FACTORES DE RIESGO COMPLICACIONES HIPERTENSIVAS3]]="SIN ANTECEDENTES DE RIESGO","No Aplica para suministro de ASA",IF(AND(Tabla1[[#This Row],[FECHA INICIO DE SUMINISTRO DE ASA]]&gt;0,RV223&lt;12),"Inicia ASA ANTES de Sem 12",IF(AND(RV223&gt;11,RV223&lt;17,OR(HK223="RIESGO ALTO DE COMPLICACIONES HIPERTENSIVAS VER MANEJO GUIA SUMINISTRO ASA Y CALCIO",HK223="RIESGO MODERADO (2 O MAS CRITERIOS) VER MANEJO GUIA SUMINISTRO ASA Y CALCIO")),"Inicio oportuno de ASA",IF(AND(RV223&gt;12,OR(HK223="RIESGO ALTO DE COMPLICACIONES HIPERTENSIVAS VER MANEJO GUIA SUMINISTRO ASA Y CALCIO",HK223="RIESGO MODERADO (2 O MAS CRITERIOS) VER MANEJO GUIA SUMINISTRO ASA Y CALCIO")),"Inicio no oportuno mayor a 16 semanas",IF(AND(BU223&lt;12,OR(HK223="RIESGO ALTO DE COMPLICACIONES HIPERTENSIVAS VER MANEJO GUIA SUMINISTRO ASA Y CALCIO",HK223="RIESGO MODERADO (2 O MAS CRITERIOS) VER MANEJO GUIA SUMINISTRO ASA Y CALCIO")),"Pendiente Inicio de ASA a la semana 12",IF(AND(BU223&gt;11,BU223&lt;17,OR(HK223="RIESGO ALTO DE COMPLICACIONES HIPERTENSIVAS VER MANEJO GUIA SUMINISTRO ASA Y CALCIO",HK223="RIESGO MODERADO (2 O MAS CRITERIOS) VER MANEJO GUIA SUMINISTRO ASA Y CALCIO")),"Iniciar de inmediato ASA",IF(AND(BU223&gt;16,OR(HK223="RIESGO ALTO DE COMPLICACIONES HIPERTENSIVAS VER MANEJO GUIA SUMINISTRO ASA Y CALCIO",HK223="RIESGO MODERADO (2 O MAS CRITERIOS) VER MANEJO GUIA SUMINISTRO ASA Y CALCIO")),"Pierde Oportunidad, Inicio tardío de ASA","XXXXX"))))))))</f>
        <v>No Aplica para suministro de ASA</v>
      </c>
      <c r="HS223" s="22"/>
      <c r="HT223" s="22"/>
      <c r="HU223" s="22"/>
      <c r="HV223" s="22"/>
      <c r="HW223" s="22"/>
      <c r="HX223" s="22"/>
      <c r="HY223" s="22"/>
      <c r="HZ223" s="28" t="str">
        <f t="shared" si="875"/>
        <v>PENDIENTE CONSULTA</v>
      </c>
      <c r="IA223" s="26"/>
      <c r="IB223" s="26"/>
      <c r="IC223" s="111"/>
      <c r="ID223" s="22"/>
      <c r="IE223" s="22" t="str">
        <f t="shared" ca="1" si="876"/>
        <v>PROGRAMAR APLICACION DE VACUNA</v>
      </c>
      <c r="IF223" s="22"/>
      <c r="IG223" s="22">
        <f t="shared" si="877"/>
        <v>45348</v>
      </c>
      <c r="IH223" s="29">
        <f t="shared" ca="1" si="878"/>
        <v>116</v>
      </c>
      <c r="II223" s="22" t="str">
        <f t="shared" ca="1" si="879"/>
        <v>PENDIENTE</v>
      </c>
      <c r="IJ223" s="22"/>
      <c r="IK223" s="21"/>
      <c r="IL223" s="21"/>
      <c r="IM223" s="34"/>
      <c r="IN223" s="22"/>
      <c r="IO223" s="21"/>
      <c r="IP223" s="29" t="str">
        <f t="shared" si="880"/>
        <v/>
      </c>
      <c r="IQ223" s="35"/>
      <c r="IR223" s="21"/>
      <c r="IS223" s="21"/>
      <c r="IT223" s="21"/>
      <c r="IU223" s="21"/>
      <c r="IV223" s="21"/>
      <c r="IW223" s="21"/>
      <c r="IX223" s="21"/>
      <c r="IY223" s="21"/>
      <c r="IZ223" s="21"/>
      <c r="JA223" s="21"/>
      <c r="JB223" s="30"/>
      <c r="JC223" s="21"/>
      <c r="JD223" s="36"/>
      <c r="JE223" s="21" t="str">
        <f t="shared" si="881"/>
        <v/>
      </c>
      <c r="JF223" s="30"/>
      <c r="JG223" s="21"/>
      <c r="JH223" s="21"/>
      <c r="JI223" s="21"/>
      <c r="JJ223" s="30"/>
      <c r="JK223" s="22"/>
      <c r="JL223" s="22"/>
      <c r="JM223" s="21"/>
      <c r="JN223" s="36"/>
      <c r="JO223" s="21" t="str">
        <f t="shared" si="882"/>
        <v/>
      </c>
      <c r="JP223" s="22"/>
      <c r="JQ223" s="21"/>
      <c r="JR223" s="21"/>
      <c r="JS223" s="21"/>
      <c r="JT223" s="30"/>
      <c r="JU223" s="22"/>
      <c r="JV223" s="22"/>
      <c r="JW223" s="33"/>
      <c r="JX223" s="28" t="str">
        <f t="shared" si="883"/>
        <v/>
      </c>
      <c r="JY223" s="33"/>
      <c r="JZ223" s="28" t="str">
        <f t="shared" si="884"/>
        <v/>
      </c>
      <c r="KA223" s="21"/>
      <c r="KB223" s="21"/>
      <c r="KC223" s="21"/>
      <c r="KD223" s="37"/>
      <c r="KE223" s="28"/>
      <c r="KF223" s="28"/>
      <c r="KG223" s="28"/>
      <c r="KH223" s="39"/>
      <c r="KI223" s="39"/>
      <c r="KJ223" s="66"/>
      <c r="KK223" s="39"/>
      <c r="KL223" s="39"/>
      <c r="KM223" s="66"/>
      <c r="KN223" s="39"/>
      <c r="KO223" s="39"/>
      <c r="KP223" s="39"/>
      <c r="KQ223" s="39"/>
      <c r="KR223" s="39"/>
      <c r="KS223" s="39"/>
      <c r="KT223" s="39"/>
      <c r="KU223" s="38"/>
      <c r="KV223" s="38"/>
      <c r="KW223" s="38"/>
      <c r="KX223" s="38"/>
      <c r="KY223" s="38"/>
      <c r="KZ223" s="38"/>
      <c r="LA223" s="38"/>
      <c r="LB223" s="38"/>
      <c r="LC223" s="38"/>
      <c r="LD223" s="38"/>
      <c r="LE223" s="38"/>
      <c r="LF223" s="38"/>
      <c r="LG223" s="38"/>
      <c r="LH223" s="38"/>
      <c r="LI223" s="38"/>
      <c r="LJ223" s="38"/>
      <c r="LK223" s="38"/>
      <c r="LL223" s="38"/>
      <c r="LM223" s="38"/>
      <c r="LN223" s="38"/>
      <c r="LO223" s="38"/>
      <c r="LP223" s="38"/>
      <c r="LQ223" s="38"/>
      <c r="LR223" s="38"/>
      <c r="LS223" s="38"/>
      <c r="LT223" s="38"/>
      <c r="LU223" s="38"/>
      <c r="LV223" s="38"/>
      <c r="LW223" s="38"/>
      <c r="LX223" s="38"/>
      <c r="LY223" s="38"/>
      <c r="LZ223" s="38"/>
      <c r="MA223" s="38"/>
      <c r="MB223" s="38"/>
      <c r="MC223" s="38"/>
      <c r="MD223" s="38"/>
      <c r="ME223" s="38"/>
      <c r="MF223" s="38"/>
      <c r="MG223" s="38"/>
      <c r="MH223" s="43">
        <f t="shared" si="885"/>
        <v>0</v>
      </c>
      <c r="MI223" s="43" t="str">
        <f t="shared" si="929"/>
        <v/>
      </c>
      <c r="MJ223" s="43" t="str">
        <f t="shared" si="887"/>
        <v/>
      </c>
      <c r="MK223" s="43">
        <f t="shared" si="888"/>
        <v>0</v>
      </c>
      <c r="ML22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23" s="43">
        <f t="shared" si="930"/>
        <v>8.5714285714285712</v>
      </c>
      <c r="MN223" s="43">
        <f t="shared" si="931"/>
        <v>7</v>
      </c>
      <c r="MO223" s="43">
        <f t="shared" si="932"/>
        <v>2023</v>
      </c>
      <c r="MP223" s="43" t="str">
        <f t="shared" si="892"/>
        <v>III TRIMESTRE AÑO</v>
      </c>
      <c r="MQ223" s="43">
        <f t="shared" si="933"/>
        <v>22.711344721857206</v>
      </c>
      <c r="MR223" s="43">
        <f t="shared" si="894"/>
        <v>0</v>
      </c>
      <c r="MS223" s="43" t="str">
        <f t="shared" si="895"/>
        <v xml:space="preserve"> DE 20 A 24 AÑOS</v>
      </c>
      <c r="MT223" s="43">
        <f t="shared" si="896"/>
        <v>0</v>
      </c>
      <c r="MU223" s="43">
        <f t="shared" si="897"/>
        <v>1</v>
      </c>
      <c r="MV223" s="43">
        <f t="shared" si="898"/>
        <v>0</v>
      </c>
      <c r="MW223" s="43">
        <f t="shared" si="899"/>
        <v>0</v>
      </c>
      <c r="MX223" s="43" t="str">
        <f t="shared" si="900"/>
        <v/>
      </c>
      <c r="MY223" s="43" t="str">
        <f t="shared" ca="1" si="901"/>
        <v/>
      </c>
      <c r="MZ223" s="43" t="str">
        <f t="shared" si="902"/>
        <v/>
      </c>
      <c r="NA223" s="43">
        <f t="shared" si="903"/>
        <v>0</v>
      </c>
      <c r="NB223" s="43" t="str">
        <f t="shared" si="904"/>
        <v/>
      </c>
      <c r="NC223" s="43" t="str">
        <f t="shared" si="905"/>
        <v/>
      </c>
      <c r="ND223" s="43">
        <f t="shared" ca="1" si="934"/>
        <v>1</v>
      </c>
      <c r="NE223" s="43">
        <f>IF(OR(O223&gt;0,R223&gt;0),SUM(COUNTIF(Tabla1[[#This Row],[AÑOS AL INICIO5 CPN]],"&gt;=40"),COUNTIF(AS223,"0"),COUNTIF(AR223,"SI"),COUNTIF(CC223,"SI"),COUNTIF(BQ223,"&gt;119"),COUNTIF(CI223,"&gt;=35")),"")</f>
        <v>1</v>
      </c>
      <c r="NF223" s="43" t="str">
        <f t="shared" si="935"/>
        <v/>
      </c>
      <c r="NG223" s="43">
        <f t="shared" si="908"/>
        <v>0</v>
      </c>
      <c r="NH223" s="43">
        <f t="shared" si="909"/>
        <v>80.5</v>
      </c>
      <c r="NI22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CPN",P223="NO"),"Z",IF(AND(Tabla1[[#This Row],[CITA PROXIMO CONTROL]]="CITA MANUAL",Tabla1[[#This Row],[GESTANTES ACTUALES]]="ACTIVA INGRESO A CPN"),"W",IF(AND(Tabla1[[#This Row],[GESTANTES ACTUALES]]="SALIO PROGRAMA",IN223=""),"S",IF(AND(Tabla1[[#This Row],[CITA PROXIMO CONTROL]]&gt;0,IN223=""),(Tabla1[[#This Row],[CITA PROXIMO CONTROL]]-TODAY()),"SD"))))))))</f>
        <v>#REF!</v>
      </c>
      <c r="NJ223" s="43">
        <f>MONTH(Tabla1[[#This Row],[FECHA DE SALIDA  DEL PROGRAMA]])</f>
        <v>1</v>
      </c>
      <c r="NK223" s="43">
        <f>YEAR(Tabla1[[#This Row],[FECHA DE SALIDA  DEL PROGRAMA]])</f>
        <v>1900</v>
      </c>
      <c r="NL223" s="43" t="str">
        <f t="shared" si="936"/>
        <v>X</v>
      </c>
      <c r="NM223" s="43" t="str">
        <f t="shared" si="941"/>
        <v>NO</v>
      </c>
      <c r="NN223" s="43" t="str">
        <f ca="1">IF(AND(O223&gt;0,R223=""),"NO CPN",IF(AND(O223="",R223=""),"",IF(AND(R223&gt;0,Tabla1[[#This Row],[SEMANAS DE GESTACION ACTUALIZADAS]]&lt;=12),"NO APLICA",IF(AND(FH223&lt;&gt;"",FN223&lt;&gt;""),"SI","NO"))))</f>
        <v>NO</v>
      </c>
      <c r="NO223" s="43" t="str">
        <f ca="1">IF(AND(O223&gt;0,R223=""),"NO CPN",IF(AND(O223="",R223=""),"",IF(AND(R223&gt;0,Tabla1[[#This Row],[SEMANAS DE GESTACION ACTUALIZADAS]]&lt;=27),"NO APLICA",IF(AND(ES223&lt;&gt;"",FQ223&lt;&gt;"",GF223&lt;&gt;""),"SI","NO"))))</f>
        <v>NO APLICA</v>
      </c>
      <c r="NP223" s="204" t="str">
        <f t="shared" si="912"/>
        <v>I TRIM</v>
      </c>
      <c r="NQ223" s="21" t="str">
        <f t="shared" si="1046"/>
        <v/>
      </c>
      <c r="NR223" s="21">
        <f t="shared" ca="1" si="937"/>
        <v>2</v>
      </c>
      <c r="NS223" s="205">
        <f t="shared" ca="1" si="914"/>
        <v>1</v>
      </c>
      <c r="NT223" s="21">
        <f t="shared" ca="1" si="915"/>
        <v>1</v>
      </c>
      <c r="NU223" s="21" t="str">
        <f t="shared" ca="1" si="916"/>
        <v>INCOMPLETO</v>
      </c>
      <c r="NV223" s="21" t="str">
        <f t="shared" ca="1" si="917"/>
        <v>INCOMPLETO</v>
      </c>
      <c r="NW223" s="206" t="str">
        <f>IF(AND(O223="",R223=""),"",IF(OR(AND(Tabla1[[#This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23" s="207" t="str">
        <f t="shared" ca="1" si="938"/>
        <v>SIN VACUNAR</v>
      </c>
      <c r="NY223" s="43">
        <f>ROW(Tabla1[[#This Row],['# DE TAMIZAJES SIFILIS TOMADOS ]])</f>
        <v>223</v>
      </c>
      <c r="NZ223" s="43" t="str">
        <f t="shared" si="942"/>
        <v>Menor</v>
      </c>
      <c r="OA223" s="43" t="str">
        <f t="shared" si="943"/>
        <v>NORMAL</v>
      </c>
      <c r="OB223" s="43" t="str">
        <f t="shared" si="944"/>
        <v/>
      </c>
      <c r="OC223" s="43" t="str">
        <f t="shared" si="945"/>
        <v/>
      </c>
      <c r="OD223" s="43" t="str">
        <f t="shared" si="946"/>
        <v/>
      </c>
      <c r="OE223" s="43" t="str">
        <f t="shared" si="947"/>
        <v/>
      </c>
      <c r="OF223" s="43" t="str">
        <f t="shared" si="948"/>
        <v/>
      </c>
      <c r="OG223" s="43" t="str">
        <f t="shared" si="949"/>
        <v/>
      </c>
      <c r="OH223" s="43" t="str">
        <f t="shared" si="950"/>
        <v/>
      </c>
      <c r="OI223" s="43" t="str">
        <f t="shared" si="951"/>
        <v/>
      </c>
      <c r="OJ223" s="43" t="str">
        <f t="shared" si="952"/>
        <v/>
      </c>
      <c r="OK223" s="43" t="str">
        <f t="shared" si="953"/>
        <v/>
      </c>
      <c r="OL223" s="43" t="str">
        <f t="shared" si="954"/>
        <v/>
      </c>
      <c r="OM223" s="43" t="str">
        <f t="shared" si="955"/>
        <v/>
      </c>
      <c r="ON223" s="43" t="str">
        <f t="shared" si="956"/>
        <v/>
      </c>
      <c r="OO223" s="43" t="str">
        <f t="shared" si="957"/>
        <v/>
      </c>
      <c r="OP223" s="43" t="str">
        <f t="shared" si="958"/>
        <v/>
      </c>
      <c r="OQ223" s="43" t="str">
        <f t="shared" si="959"/>
        <v/>
      </c>
      <c r="OR223" s="43" t="str">
        <f t="shared" si="960"/>
        <v/>
      </c>
      <c r="OS223" s="43" t="str">
        <f t="shared" si="961"/>
        <v/>
      </c>
      <c r="OT223" s="43" t="str">
        <f t="shared" si="962"/>
        <v/>
      </c>
      <c r="OU223" s="43" t="str">
        <f t="shared" si="963"/>
        <v/>
      </c>
      <c r="OV223" s="110" t="str">
        <f t="shared" si="964"/>
        <v/>
      </c>
      <c r="OW223" s="43" t="str">
        <f t="shared" si="965"/>
        <v/>
      </c>
      <c r="OX223" s="43" t="str">
        <f t="shared" si="966"/>
        <v/>
      </c>
      <c r="OY223" s="43" t="str">
        <f t="shared" si="967"/>
        <v/>
      </c>
      <c r="OZ223" s="43" t="str">
        <f t="shared" si="968"/>
        <v/>
      </c>
      <c r="PA223" s="43" t="str">
        <f t="shared" si="969"/>
        <v/>
      </c>
      <c r="PB223" s="43" t="str">
        <f t="shared" si="970"/>
        <v/>
      </c>
      <c r="PC223" s="43" t="str">
        <f t="shared" si="971"/>
        <v/>
      </c>
      <c r="PD223" s="43" t="str">
        <f t="shared" si="972"/>
        <v/>
      </c>
      <c r="PE223" s="43" t="str">
        <f t="shared" si="973"/>
        <v/>
      </c>
      <c r="PF223" s="43" t="str">
        <f t="shared" si="974"/>
        <v/>
      </c>
      <c r="PG223" s="43" t="str">
        <f t="shared" si="975"/>
        <v/>
      </c>
      <c r="PH223" s="43" t="str">
        <f t="shared" si="976"/>
        <v/>
      </c>
      <c r="PI223" s="43" t="str">
        <f t="shared" si="977"/>
        <v>Menor</v>
      </c>
      <c r="PJ223" s="43" t="str">
        <f t="shared" si="978"/>
        <v>NORMAL</v>
      </c>
      <c r="PK223" s="43" t="str">
        <f t="shared" si="979"/>
        <v/>
      </c>
      <c r="PL223" s="43" t="str">
        <f t="shared" si="980"/>
        <v/>
      </c>
      <c r="PM223" s="43" t="str">
        <f t="shared" si="981"/>
        <v/>
      </c>
      <c r="PN223" s="43" t="str">
        <f t="shared" si="982"/>
        <v/>
      </c>
      <c r="PO223" s="43" t="str">
        <f t="shared" si="983"/>
        <v/>
      </c>
      <c r="PP223" s="43" t="str">
        <f t="shared" si="984"/>
        <v/>
      </c>
      <c r="PQ223" s="43" t="str">
        <f t="shared" si="985"/>
        <v/>
      </c>
      <c r="PR223" s="43" t="str">
        <f t="shared" si="986"/>
        <v/>
      </c>
      <c r="PS223" s="43" t="str">
        <f t="shared" si="987"/>
        <v/>
      </c>
      <c r="PT223" s="43" t="str">
        <f t="shared" si="988"/>
        <v/>
      </c>
      <c r="PU223" s="43" t="str">
        <f t="shared" si="989"/>
        <v/>
      </c>
      <c r="PV223" s="43" t="str">
        <f t="shared" si="990"/>
        <v/>
      </c>
      <c r="PW223" s="43" t="str">
        <f t="shared" si="991"/>
        <v/>
      </c>
      <c r="PX223" s="43" t="str">
        <f t="shared" si="992"/>
        <v/>
      </c>
      <c r="PY223" s="43" t="str">
        <f t="shared" si="993"/>
        <v/>
      </c>
      <c r="PZ223" s="43" t="str">
        <f t="shared" si="994"/>
        <v/>
      </c>
      <c r="QA223" s="43" t="str">
        <f t="shared" si="995"/>
        <v/>
      </c>
      <c r="QB223" s="43" t="str">
        <f t="shared" si="996"/>
        <v/>
      </c>
      <c r="QC223" s="43" t="str">
        <f t="shared" si="997"/>
        <v/>
      </c>
      <c r="QD223" s="43" t="str">
        <f t="shared" si="998"/>
        <v/>
      </c>
      <c r="QE223" s="43" t="str">
        <f t="shared" si="999"/>
        <v/>
      </c>
      <c r="QF223" s="43" t="str">
        <f t="shared" si="1000"/>
        <v/>
      </c>
      <c r="QG223" s="43" t="str">
        <f t="shared" si="1001"/>
        <v/>
      </c>
      <c r="QH223" s="43" t="str">
        <f t="shared" si="1002"/>
        <v/>
      </c>
      <c r="QI223" s="43" t="str">
        <f t="shared" si="1003"/>
        <v/>
      </c>
      <c r="QJ223" s="43" t="str">
        <f t="shared" si="1004"/>
        <v/>
      </c>
      <c r="QK223" s="43" t="str">
        <f t="shared" si="1005"/>
        <v/>
      </c>
      <c r="QL223" s="43" t="str">
        <f t="shared" si="1006"/>
        <v/>
      </c>
      <c r="QM223" s="43" t="str">
        <f t="shared" si="1007"/>
        <v/>
      </c>
      <c r="QN223" s="43" t="str">
        <f t="shared" si="1008"/>
        <v/>
      </c>
      <c r="QO223" s="43" t="str">
        <f t="shared" si="1009"/>
        <v/>
      </c>
      <c r="QP223" s="43" t="str">
        <f t="shared" si="1010"/>
        <v/>
      </c>
      <c r="QQ223" s="43" t="str">
        <f t="shared" si="1011"/>
        <v/>
      </c>
      <c r="QR223" s="43" t="str">
        <f t="shared" si="1012"/>
        <v>Menor</v>
      </c>
      <c r="QS223" s="43"/>
      <c r="QT223" s="21" t="str">
        <f t="shared" si="1013"/>
        <v/>
      </c>
      <c r="QU223" s="21" t="str">
        <f t="shared" si="1014"/>
        <v/>
      </c>
      <c r="QV223" s="21" t="str">
        <f t="shared" si="1015"/>
        <v/>
      </c>
      <c r="QW223" s="21" t="str">
        <f t="shared" si="1016"/>
        <v/>
      </c>
      <c r="QX223" s="21" t="str">
        <f t="shared" si="1017"/>
        <v/>
      </c>
      <c r="QY223" s="21" t="str">
        <f t="shared" si="1018"/>
        <v/>
      </c>
      <c r="QZ223" s="21" t="str">
        <f t="shared" si="1019"/>
        <v/>
      </c>
      <c r="RA223" s="21" t="str">
        <f t="shared" si="1020"/>
        <v/>
      </c>
      <c r="RB223" s="21" t="str">
        <f t="shared" si="1021"/>
        <v/>
      </c>
      <c r="RC223" s="21" t="str">
        <f t="shared" si="1022"/>
        <v/>
      </c>
      <c r="RD223" s="21" t="str">
        <f t="shared" si="1023"/>
        <v/>
      </c>
      <c r="RE223" s="21" t="str">
        <f t="shared" si="1024"/>
        <v/>
      </c>
      <c r="RF223" s="21" t="str">
        <f t="shared" si="1025"/>
        <v/>
      </c>
      <c r="RG223" s="21" t="str">
        <f t="shared" si="1026"/>
        <v/>
      </c>
      <c r="RH223" s="21" t="str">
        <f t="shared" si="1027"/>
        <v/>
      </c>
      <c r="RI223" s="21" t="str">
        <f t="shared" si="1028"/>
        <v/>
      </c>
      <c r="RJ223" s="21" t="str">
        <f t="shared" si="1029"/>
        <v/>
      </c>
      <c r="RK223" s="21" t="str">
        <f t="shared" si="1030"/>
        <v/>
      </c>
      <c r="RL223" s="21" t="str">
        <f t="shared" si="1031"/>
        <v/>
      </c>
      <c r="RM223" s="21" t="str">
        <f t="shared" si="1032"/>
        <v/>
      </c>
      <c r="RN223" s="21" t="str">
        <f t="shared" si="1033"/>
        <v/>
      </c>
      <c r="RO223" s="21" t="str">
        <f t="shared" si="1034"/>
        <v/>
      </c>
      <c r="RP223" s="21" t="str">
        <f t="shared" si="1035"/>
        <v/>
      </c>
      <c r="RQ223" s="21" t="str">
        <f t="shared" si="1036"/>
        <v/>
      </c>
      <c r="RR223" s="21" t="str">
        <f t="shared" si="1037"/>
        <v/>
      </c>
      <c r="RS223" s="21" t="str">
        <f t="shared" si="1038"/>
        <v/>
      </c>
      <c r="RT223" s="21" t="str">
        <f t="shared" si="1039"/>
        <v/>
      </c>
      <c r="RU223" s="21" t="str">
        <f t="shared" si="1040"/>
        <v/>
      </c>
      <c r="RV223" s="21">
        <f t="shared" si="1041"/>
        <v>-1</v>
      </c>
      <c r="RW223" s="284">
        <f>IF(OR(Tabla1[[#This Row],[FUM FORMULA CONFIABLE]]="",Tabla1[[#This Row],[FUM FORMULA CONFIABLE]]="SD"),"",IF(Tabla1[[#This Row],[FUM FORMULA CONFIABLE]]="CORREGIDA",Tabla1[[#This Row],[FUM X ECO 1]],Tabla1[[#This Row],[FUM x AMENORREA]]))</f>
        <v>45068</v>
      </c>
      <c r="RX223" s="21">
        <f>IF(AND(Tabla1[[#This Row],[FUM X ECO 1]]="",Tabla1[[#This Row],[FUM x AMENORREA]]=""),"",IF(AND(Tabla1[[#This Row],[FUM X ECO 1]]="",Tabla1[[#This Row],[FUM x AMENORREA]]&lt;&gt;""),"X",SUM(Tabla1[[#This Row],[FUM X ECO 1]]-Tabla1[[#This Row],[FUM x AMENORREA]])))</f>
        <v>0.5</v>
      </c>
      <c r="RY223" s="21">
        <f t="shared" si="1042"/>
        <v>0</v>
      </c>
    </row>
    <row r="224" spans="1:493" ht="45" customHeight="1" x14ac:dyDescent="0.25">
      <c r="A224" s="109"/>
      <c r="B224" s="43"/>
      <c r="C224" s="299" t="s">
        <v>845</v>
      </c>
      <c r="D224" s="124"/>
      <c r="E224" s="43" t="s">
        <v>896</v>
      </c>
      <c r="F224" s="43" t="s">
        <v>992</v>
      </c>
      <c r="G224" s="43" t="s">
        <v>1530</v>
      </c>
      <c r="H224" s="43" t="s">
        <v>1357</v>
      </c>
      <c r="I224" s="109" t="s">
        <v>851</v>
      </c>
      <c r="J224" s="110">
        <v>1002847645</v>
      </c>
      <c r="K224" s="43" t="s">
        <v>852</v>
      </c>
      <c r="L224" s="175" t="s">
        <v>1509</v>
      </c>
      <c r="M224" s="22">
        <v>37477</v>
      </c>
      <c r="N224" s="213">
        <f t="shared" ca="1" si="841"/>
        <v>21.246575342465754</v>
      </c>
      <c r="O224" s="22">
        <v>45113</v>
      </c>
      <c r="P224" s="214" t="str">
        <f t="shared" si="919"/>
        <v>SI</v>
      </c>
      <c r="Q224" s="26" t="s">
        <v>855</v>
      </c>
      <c r="R224" s="22">
        <v>45113</v>
      </c>
      <c r="S224" s="21" t="s">
        <v>856</v>
      </c>
      <c r="T224" s="24" t="s">
        <v>690</v>
      </c>
      <c r="U224" s="21" t="s">
        <v>857</v>
      </c>
      <c r="V224" s="21" t="s">
        <v>858</v>
      </c>
      <c r="W224" s="21" t="s">
        <v>955</v>
      </c>
      <c r="X224" s="21"/>
      <c r="Y224" s="21" t="s">
        <v>955</v>
      </c>
      <c r="Z224" s="21">
        <v>3131784746</v>
      </c>
      <c r="AA224" s="21" t="s">
        <v>860</v>
      </c>
      <c r="AB224" s="27" t="s">
        <v>861</v>
      </c>
      <c r="AC224" s="26" t="s">
        <v>897</v>
      </c>
      <c r="AD224" s="38" t="s">
        <v>1546</v>
      </c>
      <c r="AE224" s="26" t="s">
        <v>854</v>
      </c>
      <c r="AF224" s="26" t="s">
        <v>854</v>
      </c>
      <c r="AG224" s="23" t="s">
        <v>864</v>
      </c>
      <c r="AH224" s="23" t="s">
        <v>864</v>
      </c>
      <c r="AI224" s="24" t="s">
        <v>863</v>
      </c>
      <c r="AJ224" s="23" t="s">
        <v>864</v>
      </c>
      <c r="AK224" s="220" t="str">
        <f>IF(AND(AD224="",AE224="",AF224="",AG224="",AH224="",AI224="",AJ224=""),"",IF(OR(Tabla1[[#This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EVALUACIÓN",IF(AND(O224="",R224=""),"",IF(AND(OR(O224&gt;0,R224&gt;0),NG224&gt;=0,NG224&lt;2),"SIN RIESGO",IF(AND(OR(O224&gt;0,R224&gt;0),NG224&gt;=2),"CON RIESGO","ASD")))))</f>
        <v>SIN RIESGO</v>
      </c>
      <c r="AL224" s="26" t="s">
        <v>864</v>
      </c>
      <c r="AM224" s="26" t="s">
        <v>864</v>
      </c>
      <c r="AN224" s="26" t="s">
        <v>864</v>
      </c>
      <c r="AO224" s="26" t="s">
        <v>864</v>
      </c>
      <c r="AP224" s="26" t="s">
        <v>864</v>
      </c>
      <c r="AQ224" s="26" t="s">
        <v>864</v>
      </c>
      <c r="AR224" s="26" t="s">
        <v>864</v>
      </c>
      <c r="AS224" s="21">
        <v>2</v>
      </c>
      <c r="AT224" s="21">
        <v>2</v>
      </c>
      <c r="AU224" s="21">
        <v>0</v>
      </c>
      <c r="AV224" s="26" t="s">
        <v>864</v>
      </c>
      <c r="AW224" s="21">
        <v>0</v>
      </c>
      <c r="AX224" s="26" t="s">
        <v>864</v>
      </c>
      <c r="AY224" s="26" t="s">
        <v>864</v>
      </c>
      <c r="AZ224" s="26" t="s">
        <v>864</v>
      </c>
      <c r="BA224" s="26" t="s">
        <v>864</v>
      </c>
      <c r="BB224" s="26" t="s">
        <v>864</v>
      </c>
      <c r="BC224" s="26" t="s">
        <v>864</v>
      </c>
      <c r="BD224" s="26" t="s">
        <v>864</v>
      </c>
      <c r="BE224" s="26" t="s">
        <v>864</v>
      </c>
      <c r="BF224" s="26" t="s">
        <v>864</v>
      </c>
      <c r="BG224" s="26" t="s">
        <v>864</v>
      </c>
      <c r="BH224" s="26" t="s">
        <v>864</v>
      </c>
      <c r="BI224" s="26" t="s">
        <v>864</v>
      </c>
      <c r="BJ224" s="26" t="s">
        <v>864</v>
      </c>
      <c r="BK224" s="26" t="s">
        <v>864</v>
      </c>
      <c r="BL224" s="26" t="s">
        <v>864</v>
      </c>
      <c r="BM224" s="26" t="s">
        <v>864</v>
      </c>
      <c r="BN224" s="22">
        <v>44230</v>
      </c>
      <c r="BO224" s="22">
        <v>45012</v>
      </c>
      <c r="BP224" s="21" t="s">
        <v>854</v>
      </c>
      <c r="BQ224" s="222">
        <f t="shared" si="842"/>
        <v>26.066666666666666</v>
      </c>
      <c r="BR224" s="223">
        <f t="shared" si="843"/>
        <v>45012.5</v>
      </c>
      <c r="BS224" s="224">
        <f t="shared" si="844"/>
        <v>14.428571428571429</v>
      </c>
      <c r="BT224" s="216" t="str">
        <f t="shared" si="845"/>
        <v>II TRIM</v>
      </c>
      <c r="BU224" s="214">
        <f t="shared" ca="1" si="928"/>
        <v>31.428571428571427</v>
      </c>
      <c r="BV224" s="25" t="s">
        <v>988</v>
      </c>
      <c r="BW224" s="22">
        <v>45149</v>
      </c>
      <c r="BX224" s="28">
        <v>19.5</v>
      </c>
      <c r="BY224" s="28"/>
      <c r="BZ224" s="22"/>
      <c r="CA224" s="21"/>
      <c r="CB224" s="26"/>
      <c r="CC224" s="26" t="s">
        <v>864</v>
      </c>
      <c r="CD224" s="26" t="s">
        <v>865</v>
      </c>
      <c r="CE224" s="26" t="s">
        <v>864</v>
      </c>
      <c r="CF224" s="22" t="s">
        <v>1517</v>
      </c>
      <c r="CG224" s="21">
        <v>1.47</v>
      </c>
      <c r="CH224" s="21">
        <v>56.9</v>
      </c>
      <c r="CI224" s="214">
        <f t="shared" si="847"/>
        <v>26.331621083807676</v>
      </c>
      <c r="CJ224" s="225" t="e">
        <f>IF(AND(CI224&lt;10,CH224="SD"),"SIN DATO PESO PREGESTACION O I TRIM",IF(AND(OR(R224&gt;0,O224&gt;0),CI224="X"),"INGRESAR DATO DE PESO",IF(CI224="SD","INGRESAR DATO DE TALLA Y PESO",IF(AND(OR(Tabla1[[#This Row],[MOMENTO EN QUE SE REALIZA EL PESO AL INGRESO A CPN]]="PREGESTACIÓN",NZ224="Menor"),CI224&lt;18.5),"BAJO PESO",IF(AND(OR(Tabla1[[#This Row],[MOMENTO EN QUE SE REALIZA EL PESO AL INGRESO A CPN]]="PREGESTACIÓN",NZ224="Menor"),CI224&lt;25),"NORMAL",IF(AND(OR(Tabla1[[#This Row],[MOMENTO EN QUE SE REALIZA EL PESO AL INGRESO A CPN]]="PREGESTACIÓN",NZ224="Menor"),CI224&lt;30),"SOBREPESO",IF(AND(OR(Tabla1[[#This Row],[MOMENTO EN QUE SE REALIZA EL PESO AL INGRESO A CPN]]="PREGESTACIÓN",NZ224="Menor"),CI224&gt;=30,CI224&lt;50),"OBESIDAD",IF(AND(BS224&gt;0,Tabla1[[#This Row],[MOMENTO EN QUE SE REALIZA EL PESO AL INGRESO A CPN]]="GESTACIÓN"),HLOOKUP(NZ224,$OA$2:PH224,NY224),""))))))))</f>
        <v>#REF!</v>
      </c>
      <c r="CK224" s="212">
        <f t="shared" si="848"/>
        <v>45149</v>
      </c>
      <c r="CL224" s="21">
        <v>57</v>
      </c>
      <c r="CM224" s="214">
        <f t="shared" si="849"/>
        <v>26.377898098014718</v>
      </c>
      <c r="CN224" s="216">
        <f t="shared" si="850"/>
        <v>19</v>
      </c>
      <c r="CO224" s="216" t="e">
        <f>IF(PI224="","",IF(PI224&gt;0,HLOOKUP(PI224,$PJ$2:QQ224,NY224),""))</f>
        <v>#REF!</v>
      </c>
      <c r="CP224" s="21">
        <v>13</v>
      </c>
      <c r="CQ224" s="216" t="e">
        <f>IF(QR224="Menor","NO APLICA-MENOR 13 SEM",IF(AND(CC224="SI",CN224&gt;23),"NO APLICA- GEMELAR",IF(QR224="","",IF(QR224&gt;0,HLOOKUP(QR224,$QS$2:RU224,NY224),""))))</f>
        <v>#REF!</v>
      </c>
      <c r="CR224" s="21">
        <v>90</v>
      </c>
      <c r="CS224" s="21">
        <v>60</v>
      </c>
      <c r="CT224" s="217" t="str">
        <f>IF(R224="","",IF(AND(BS224&gt;1,BS224&lt;12,Tabla1[[#This Row],[T.A. SISTOLICA - ANTES DE SEMANA 12]]="",Tabla1[[#This Row],[T.A. DIASTOLICA - ANTES DE SEMANA 12]]=""),"REGISTRE DATO TA ANTES SEMANA 12",IF(AND(BS224&gt;11,BS224&lt;43,Tabla1[[#This Row],[T.A. SISTOLICA - ANTES DE SEMANA 12]]="",Tabla1[[#This Row],[T.A. DIASTOLICA - ANTES DE SEMANA 12]]=""),"NO APLICA REGISTRO TA-INGRESO TARDIO",IF(AND(OR(O224&gt;0,R224&gt;0),OR(CR224&gt;=140,CS224&gt;=90)),"DEFINIR ESTADIO HTA",IF(AND(OR(O224&gt;0,R224&gt;0),AND(CR224&gt;120,CR224&lt;=139)),"PRE HTA SEGUIMIENTO",IF(AND(OR(O224&gt;0,R224&gt;0),AND(CS224&gt;80,CS224&lt;=89)),"PRE HTA SEGUIMIENTO",IF(AND(OR(O224&gt;0,R224&gt;0),AND(CR224&gt;=80,CR224&lt;=120)),"APARENTEMENTE NORMAL",IF(AND(OR(O224&gt;0,R224&gt;0),AND(CS224&gt;=50,CS224&lt;=80)),"APARENTEMENTE NORMAL",IF(AND(OR(O224&gt;0,R224&gt;0),AND(CR224&gt;1,CR224&lt;=70),AND(CS224&gt;1,CS224&lt;=40)),"HIPOTENSIÓN","")))))))))</f>
        <v>APARENTEMENTE NORMAL</v>
      </c>
      <c r="CU224" s="21"/>
      <c r="CV224" s="21"/>
      <c r="CW224" s="217" t="str">
        <f ca="1">IF(R224="","",IF(AND(CN224&gt;19,CN224&lt;27,Tabla1[[#This Row],[T.A. SISTOLICA (Entre semana 20 y 26)]]="",Tabla1[[#This Row],[T.A. DIATOLICA (Entre semana 20 y 26)]]=""),"ACUDE A CONTROL SEM 20 A 26 REGISTRE TA AHORA",IF(AND(BS224&gt;1,BS224&lt;27,BU224&gt;19,Tabla1[[#This Row],[T.A. SISTOLICA (Entre semana 20 y 26)]]="",Tabla1[[#This Row],[T.A. DIATOLICA (Entre semana 20 y 26)]]=""),"COMPLETE REGISTRO TA CONTROL SEM 20 A26 ",IF(AND(BS224&gt;26,BS224&lt;43,Tabla1[[#This Row],[T.A. SISTOLICA (Entre semana 20 y 26)]]="",Tabla1[[#This Row],[T.A. DIATOLICA (Entre semana 20 y 26)]]=""),"NO APLICA REGISTRO TA-INGRESO TARDIO",IF(AND(OR(O224&gt;0,R224&gt;0),OR(CU224&gt;=140,CV224&gt;=90)),"ALTO RIESGO PREECLAMPSIA,DEFINIR ESTADIO HTA",IF(AND(OR(O224&gt;0,R224&gt;0),AND(CU224&gt;120,CU224&lt;=139)),"PRE HTA SEGUIMIENTO,RIESGO HIPERTENSION INDUCIDA POR EL EMBARAZO",IF(AND(OR(O224&gt;0,R224&gt;0),AND(CV224&gt;80,CV224&lt;=89)),"PRE HTA SEGUIMIENTO, RIESGO HIPERTENSION INDUCIDA POR EL EMBARAZO",IF(AND(OR(O224&lt;&gt;"",R224&lt;&gt;""),CS224&lt;&gt;"",CV224&lt;&gt;"",CS224&lt;=CV224),"VIGILAR CIFRAS PRESION ARTERIAL",IF(AND(OR(O224&gt;0,R224&gt;0),AND(CU224&gt;120,CU224&lt;=139)),"PRE HTA SEGUIMIENTO",IF(AND(OR(O224&gt;0,R224&gt;0),AND(CU224&gt;1,CU224&lt;=70),AND(CV224&gt;1,CV224&lt;=40)),"HIPOTENSIÓN",IF(AND(OR(O224&lt;&gt;"",R224&lt;&gt;""),CS224&lt;&gt;"",CV224&lt;&gt;"",CS224&gt;CV224),"APARENTEMENTE NORMAL",IF(AND(OR(O224&gt;0,R224&gt;0),AND(CU224&gt;=80,CU224&lt;=120)),"APARENTEMENTE NORMAL",IF(AND(OR(O224&gt;0,R224&gt;0),AND(CV224&gt;=50,CV224&lt;=80)),"APARENTEMENTE NORMAL","")))))))))))))</f>
        <v xml:space="preserve">COMPLETE REGISTRO TA CONTROL SEM 20 A26 </v>
      </c>
      <c r="CX224" s="21"/>
      <c r="CY224" s="21"/>
      <c r="CZ224" s="216" t="str">
        <f t="shared" si="1045"/>
        <v/>
      </c>
      <c r="DA224" s="21">
        <v>100</v>
      </c>
      <c r="DB224" s="21">
        <v>60</v>
      </c>
      <c r="DC224" s="217" t="str">
        <f t="shared" si="851"/>
        <v>APARENTEMENTE NORMAL</v>
      </c>
      <c r="DD224" s="22">
        <v>45113</v>
      </c>
      <c r="DE224" s="22">
        <v>45113</v>
      </c>
      <c r="DF224" s="22">
        <v>45149</v>
      </c>
      <c r="DG224" s="22"/>
      <c r="DH224" s="22"/>
      <c r="DI224" s="22"/>
      <c r="DJ224" s="22"/>
      <c r="DK224" s="22"/>
      <c r="DL224" s="22"/>
      <c r="DM224" s="22"/>
      <c r="DN224" s="22"/>
      <c r="DO224" s="22"/>
      <c r="DP224" s="22"/>
      <c r="DQ224" s="22"/>
      <c r="DR224" s="28"/>
      <c r="DS224" s="22"/>
      <c r="DT224" s="22"/>
      <c r="DU224" s="216" t="str">
        <f t="shared" ca="1" si="920"/>
        <v>PLANEAR PLAN DE PARTO</v>
      </c>
      <c r="DV224" s="226" t="str">
        <f t="shared" si="921"/>
        <v>ACTIVA INGRESO A CPN</v>
      </c>
      <c r="DW22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24" s="216" t="e">
        <f t="shared" ca="1" si="852"/>
        <v>#REF!</v>
      </c>
      <c r="DY224" s="212">
        <f>IF(R224="","",IF(R224&gt;0,MAX(Tabla1[[#This Row],[FECHA C2]:[FECHA C13]],Tabla1[[#This Row],[FECHA CONSULTA PRIMERA VEZ PROGRAMA CPN ]])))</f>
        <v>45149</v>
      </c>
      <c r="DZ224" s="216">
        <f t="shared" si="853"/>
        <v>19</v>
      </c>
      <c r="EA224" s="222">
        <f>IF(R224&gt;0,SUM(COUNTA(DF224:DQ224)+COUNTA(Tabla1[[#This Row],[FECHA CONSULTA PRIMERA VEZ PROGRAMA CPN ]])),"")</f>
        <v>2</v>
      </c>
      <c r="EB224" s="222" t="str">
        <f t="shared" si="854"/>
        <v>NO</v>
      </c>
      <c r="EC224" s="214">
        <f t="shared" si="855"/>
        <v>8</v>
      </c>
      <c r="ED224" s="227">
        <f t="shared" si="856"/>
        <v>0.25</v>
      </c>
      <c r="EE224" s="22">
        <v>45113</v>
      </c>
      <c r="EF224" s="22">
        <v>45149</v>
      </c>
      <c r="EG224" s="22">
        <v>45113</v>
      </c>
      <c r="EH224" s="22"/>
      <c r="EI224" s="22">
        <v>45113</v>
      </c>
      <c r="EJ224" s="22"/>
      <c r="EK224" s="22"/>
      <c r="EL224" s="21"/>
      <c r="EM224" s="21"/>
      <c r="EN224" s="22"/>
      <c r="EO224" s="222" t="str">
        <f t="shared" si="857"/>
        <v>TOMAR EXAMEN</v>
      </c>
      <c r="EP224" s="214" t="str">
        <f t="shared" si="858"/>
        <v/>
      </c>
      <c r="EQ224" s="216" t="str">
        <f t="shared" si="859"/>
        <v>POR DEFINIR</v>
      </c>
      <c r="ER224" s="24"/>
      <c r="ES224" s="22"/>
      <c r="ET224" s="29" t="str">
        <f t="shared" ca="1" si="922"/>
        <v>TOMA DE HEMOGLOBINA TARDÍA</v>
      </c>
      <c r="EU224" s="25" t="str">
        <f t="shared" si="860"/>
        <v/>
      </c>
      <c r="EV224" s="24"/>
      <c r="EW224" s="24"/>
      <c r="EX224" s="22"/>
      <c r="EY224" s="29" t="str">
        <f t="shared" si="1043"/>
        <v>TOMAR EXAMEN</v>
      </c>
      <c r="EZ224" s="25" t="str">
        <f t="shared" ca="1" si="1044"/>
        <v/>
      </c>
      <c r="FA224" s="21"/>
      <c r="FB224" s="22"/>
      <c r="FC224" s="29" t="str">
        <f t="shared" si="861"/>
        <v>TOMAR EXAMEN</v>
      </c>
      <c r="FD224" s="29"/>
      <c r="FE224" s="29"/>
      <c r="FF224" s="29"/>
      <c r="FG224" s="21" t="str">
        <f t="shared" ca="1" si="862"/>
        <v>TOMAR PTOG</v>
      </c>
      <c r="FH224" s="31"/>
      <c r="FI224" s="29" t="str">
        <f t="shared" si="863"/>
        <v>TOMAR EXAMEN</v>
      </c>
      <c r="FJ224" s="22"/>
      <c r="FK224" s="22"/>
      <c r="FL224" s="29" t="str">
        <f t="shared" ca="1" si="864"/>
        <v>NO APLICA-INGRESO TARDIO</v>
      </c>
      <c r="FM224" s="22"/>
      <c r="FN224" s="32"/>
      <c r="FO224" s="29" t="str">
        <f t="shared" ca="1" si="923"/>
        <v>PIERDE TOMA DE TAMIZAJE</v>
      </c>
      <c r="FP224" s="22"/>
      <c r="FQ224" s="32"/>
      <c r="FR224" s="29" t="str">
        <f t="shared" ca="1" si="924"/>
        <v>EN RANGO PARA TOMAR EXAMEN</v>
      </c>
      <c r="FS224" s="22"/>
      <c r="FT224" s="32"/>
      <c r="FU224" s="29" t="str">
        <f>IF(AND(FJ224="",FM224="",FP224="",FS224=""),"",IF(OR(OR(Tabla1[[#This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24" s="28"/>
      <c r="FW224" s="22"/>
      <c r="FX224" s="29" t="str">
        <f t="shared" si="865"/>
        <v>TOMAR EXAMEN</v>
      </c>
      <c r="FY224" s="22"/>
      <c r="FZ224" s="22"/>
      <c r="GA224" s="29" t="str">
        <f t="shared" ca="1" si="939"/>
        <v>NO APLICA-INGRESO TARDIO</v>
      </c>
      <c r="GB224" s="22"/>
      <c r="GC224" s="22"/>
      <c r="GD224" s="29" t="str">
        <f t="shared" ca="1" si="940"/>
        <v>PIERDE TOMA DE TAMIZAJE</v>
      </c>
      <c r="GE224" s="22"/>
      <c r="GF224" s="22"/>
      <c r="GG224" s="29" t="str">
        <f t="shared" ca="1" si="926"/>
        <v>EN RANGO PARA TOMAR EXAMEN</v>
      </c>
      <c r="GH224" s="22"/>
      <c r="GI224" s="29"/>
      <c r="GJ224" s="22"/>
      <c r="GK224" s="22"/>
      <c r="GL224" s="22"/>
      <c r="GM224" s="22"/>
      <c r="GN224" s="28"/>
      <c r="GO224" s="22"/>
      <c r="GP224" s="29" t="str">
        <f t="shared" si="866"/>
        <v>TOMAR EXAMEN</v>
      </c>
      <c r="GQ224" s="28"/>
      <c r="GR224" s="28"/>
      <c r="GS224" s="22" t="str">
        <f t="shared" si="728"/>
        <v/>
      </c>
      <c r="GT224" s="22"/>
      <c r="GU224" s="29" t="str">
        <f t="shared" si="867"/>
        <v>TOMAR EXAMEN</v>
      </c>
      <c r="GV224" s="21" t="str">
        <f t="shared" si="868"/>
        <v>POR DEFINIR</v>
      </c>
      <c r="GW224" s="28"/>
      <c r="GX224" s="30"/>
      <c r="GY224" s="21"/>
      <c r="GZ224" s="21"/>
      <c r="HA224" s="21"/>
      <c r="HB224" s="21"/>
      <c r="HC224" s="21"/>
      <c r="HD224" s="21"/>
      <c r="HE224" s="21"/>
      <c r="HF224" s="22"/>
      <c r="HG224" s="22" t="str">
        <f>IF(OR(O224&gt;0,R224&gt;0),CONCATENATE(IF(Tabla1[[#This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24" s="22" t="e">
        <f t="shared" si="869"/>
        <v>#REF!</v>
      </c>
      <c r="HI224" s="22" t="e">
        <f t="shared" ca="1" si="870"/>
        <v>#REF!</v>
      </c>
      <c r="HJ224" s="21" t="str">
        <f t="shared" ca="1" si="871"/>
        <v>***************************************</v>
      </c>
      <c r="HK224" s="21" t="str">
        <f t="shared" si="872"/>
        <v>SIN ANTECEDENTES DE RIESGO</v>
      </c>
      <c r="HL224" s="24" t="str">
        <f t="shared" si="873"/>
        <v>APARENTEMENTE NORMAL</v>
      </c>
      <c r="HM224" s="21" t="e">
        <f t="shared" ca="1" si="874"/>
        <v>#REF!</v>
      </c>
      <c r="HN224" s="30" t="str">
        <f t="shared" si="927"/>
        <v>ACTIVA INGRESO A CPN</v>
      </c>
      <c r="HO224" s="21"/>
      <c r="HP224" s="21"/>
      <c r="HQ224" s="349"/>
      <c r="HR224" s="21" t="str">
        <f>IF(R224="","",IF(Tabla1[[#This Row],[ALARMA FACTORES DE RIESGO COMPLICACIONES HIPERTENSIVAS3]]="SIN ANTECEDENTES DE RIESGO","No Aplica para suministro de ASA",IF(AND(Tabla1[[#This Row],[FECHA INICIO DE SUMINISTRO DE ASA]]&gt;0,RV224&lt;12),"Inicia ASA ANTES de Sem 12",IF(AND(RV224&gt;11,RV224&lt;17,OR(HK224="RIESGO ALTO DE COMPLICACIONES HIPERTENSIVAS VER MANEJO GUIA SUMINISTRO ASA Y CALCIO",HK224="RIESGO MODERADO (2 O MAS CRITERIOS) VER MANEJO GUIA SUMINISTRO ASA Y CALCIO")),"Inicio oportuno de ASA",IF(AND(RV224&gt;12,OR(HK224="RIESGO ALTO DE COMPLICACIONES HIPERTENSIVAS VER MANEJO GUIA SUMINISTRO ASA Y CALCIO",HK224="RIESGO MODERADO (2 O MAS CRITERIOS) VER MANEJO GUIA SUMINISTRO ASA Y CALCIO")),"Inicio no oportuno mayor a 16 semanas",IF(AND(BU224&lt;12,OR(HK224="RIESGO ALTO DE COMPLICACIONES HIPERTENSIVAS VER MANEJO GUIA SUMINISTRO ASA Y CALCIO",HK224="RIESGO MODERADO (2 O MAS CRITERIOS) VER MANEJO GUIA SUMINISTRO ASA Y CALCIO")),"Pendiente Inicio de ASA a la semana 12",IF(AND(BU224&gt;11,BU224&lt;17,OR(HK224="RIESGO ALTO DE COMPLICACIONES HIPERTENSIVAS VER MANEJO GUIA SUMINISTRO ASA Y CALCIO",HK224="RIESGO MODERADO (2 O MAS CRITERIOS) VER MANEJO GUIA SUMINISTRO ASA Y CALCIO")),"Iniciar de inmediato ASA",IF(AND(BU224&gt;16,OR(HK224="RIESGO ALTO DE COMPLICACIONES HIPERTENSIVAS VER MANEJO GUIA SUMINISTRO ASA Y CALCIO",HK224="RIESGO MODERADO (2 O MAS CRITERIOS) VER MANEJO GUIA SUMINISTRO ASA Y CALCIO")),"Pierde Oportunidad, Inicio tardío de ASA","XXXXX"))))))))</f>
        <v>No Aplica para suministro de ASA</v>
      </c>
      <c r="HS224" s="22"/>
      <c r="HT224" s="22"/>
      <c r="HU224" s="22">
        <v>45113</v>
      </c>
      <c r="HV224" s="22" t="s">
        <v>1544</v>
      </c>
      <c r="HW224" s="22">
        <v>45113</v>
      </c>
      <c r="HX224" s="22" t="s">
        <v>1511</v>
      </c>
      <c r="HY224" s="22">
        <v>45113</v>
      </c>
      <c r="HZ224" s="28">
        <f t="shared" si="875"/>
        <v>14.428571428571429</v>
      </c>
      <c r="IA224" s="26" t="s">
        <v>864</v>
      </c>
      <c r="IB224" s="26"/>
      <c r="IC224" s="111"/>
      <c r="ID224" s="22"/>
      <c r="IE224" s="22" t="str">
        <f t="shared" ca="1" si="876"/>
        <v>INASISTENTE</v>
      </c>
      <c r="IF224" s="22"/>
      <c r="IG224" s="22">
        <f t="shared" si="877"/>
        <v>45292</v>
      </c>
      <c r="IH224" s="29">
        <f t="shared" ca="1" si="878"/>
        <v>60</v>
      </c>
      <c r="II224" s="22" t="str">
        <f t="shared" ca="1" si="879"/>
        <v>PENDIENTE</v>
      </c>
      <c r="IJ224" s="22"/>
      <c r="IK224" s="21"/>
      <c r="IL224" s="21"/>
      <c r="IM224" s="34"/>
      <c r="IN224" s="22"/>
      <c r="IO224" s="21"/>
      <c r="IP224" s="29" t="str">
        <f t="shared" si="880"/>
        <v/>
      </c>
      <c r="IQ224" s="35"/>
      <c r="IR224" s="21"/>
      <c r="IS224" s="21"/>
      <c r="IT224" s="21"/>
      <c r="IU224" s="21"/>
      <c r="IV224" s="21"/>
      <c r="IW224" s="21"/>
      <c r="IX224" s="21"/>
      <c r="IY224" s="21"/>
      <c r="IZ224" s="21"/>
      <c r="JA224" s="21"/>
      <c r="JB224" s="30"/>
      <c r="JC224" s="21"/>
      <c r="JD224" s="36"/>
      <c r="JE224" s="21" t="str">
        <f t="shared" si="881"/>
        <v/>
      </c>
      <c r="JF224" s="30"/>
      <c r="JG224" s="21"/>
      <c r="JH224" s="21"/>
      <c r="JI224" s="21"/>
      <c r="JJ224" s="30"/>
      <c r="JK224" s="22"/>
      <c r="JL224" s="22"/>
      <c r="JM224" s="21"/>
      <c r="JN224" s="36"/>
      <c r="JO224" s="21" t="str">
        <f t="shared" si="882"/>
        <v/>
      </c>
      <c r="JP224" s="22"/>
      <c r="JQ224" s="21"/>
      <c r="JR224" s="21"/>
      <c r="JS224" s="21"/>
      <c r="JT224" s="30"/>
      <c r="JU224" s="22"/>
      <c r="JV224" s="22"/>
      <c r="JW224" s="33"/>
      <c r="JX224" s="28" t="str">
        <f t="shared" si="883"/>
        <v/>
      </c>
      <c r="JY224" s="33"/>
      <c r="JZ224" s="28" t="str">
        <f t="shared" si="884"/>
        <v/>
      </c>
      <c r="KA224" s="21"/>
      <c r="KB224" s="21"/>
      <c r="KC224" s="21"/>
      <c r="KD224" s="37"/>
      <c r="KE224" s="28"/>
      <c r="KF224" s="28"/>
      <c r="KG224" s="28"/>
      <c r="KH224" s="39"/>
      <c r="KI224" s="39"/>
      <c r="KJ224" s="66"/>
      <c r="KK224" s="39"/>
      <c r="KL224" s="39"/>
      <c r="KM224" s="66"/>
      <c r="KN224" s="39"/>
      <c r="KO224" s="39"/>
      <c r="KP224" s="39"/>
      <c r="KQ224" s="39"/>
      <c r="KR224" s="39"/>
      <c r="KS224" s="39"/>
      <c r="KT224" s="39"/>
      <c r="KU224" s="38"/>
      <c r="KV224" s="38"/>
      <c r="KW224" s="38"/>
      <c r="KX224" s="38"/>
      <c r="KY224" s="38"/>
      <c r="KZ224" s="38"/>
      <c r="LA224" s="38"/>
      <c r="LB224" s="38"/>
      <c r="LC224" s="38"/>
      <c r="LD224" s="38"/>
      <c r="LE224" s="38"/>
      <c r="LF224" s="38"/>
      <c r="LG224" s="38"/>
      <c r="LH224" s="38"/>
      <c r="LI224" s="38"/>
      <c r="LJ224" s="38"/>
      <c r="LK224" s="38"/>
      <c r="LL224" s="38"/>
      <c r="LM224" s="38"/>
      <c r="LN224" s="38"/>
      <c r="LO224" s="38"/>
      <c r="LP224" s="38"/>
      <c r="LQ224" s="38"/>
      <c r="LR224" s="38"/>
      <c r="LS224" s="38"/>
      <c r="LT224" s="38"/>
      <c r="LU224" s="38"/>
      <c r="LV224" s="38"/>
      <c r="LW224" s="38"/>
      <c r="LX224" s="38"/>
      <c r="LY224" s="38"/>
      <c r="LZ224" s="38"/>
      <c r="MA224" s="38"/>
      <c r="MB224" s="38"/>
      <c r="MC224" s="38"/>
      <c r="MD224" s="38"/>
      <c r="ME224" s="38"/>
      <c r="MF224" s="38"/>
      <c r="MG224" s="38"/>
      <c r="MH224" s="43">
        <f t="shared" si="885"/>
        <v>0</v>
      </c>
      <c r="MI224" s="43" t="str">
        <f t="shared" si="929"/>
        <v/>
      </c>
      <c r="MJ224" s="43" t="str">
        <f t="shared" si="887"/>
        <v/>
      </c>
      <c r="MK224" s="43">
        <f t="shared" si="888"/>
        <v>0</v>
      </c>
      <c r="ML22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24" s="43">
        <f t="shared" si="930"/>
        <v>14.428571428571429</v>
      </c>
      <c r="MN224" s="43">
        <f t="shared" si="931"/>
        <v>7</v>
      </c>
      <c r="MO224" s="43">
        <f t="shared" si="932"/>
        <v>2023</v>
      </c>
      <c r="MP224" s="43" t="str">
        <f t="shared" si="892"/>
        <v>III TRIMESTRE AÑO</v>
      </c>
      <c r="MQ224" s="43">
        <f t="shared" si="933"/>
        <v>20.606110381077528</v>
      </c>
      <c r="MR224" s="43">
        <f t="shared" si="894"/>
        <v>0</v>
      </c>
      <c r="MS224" s="43" t="str">
        <f t="shared" si="895"/>
        <v xml:space="preserve"> DE 20 A 24 AÑOS</v>
      </c>
      <c r="MT224" s="43">
        <f t="shared" si="896"/>
        <v>0</v>
      </c>
      <c r="MU224" s="43">
        <f t="shared" si="897"/>
        <v>0</v>
      </c>
      <c r="MV224" s="43">
        <f t="shared" si="898"/>
        <v>0</v>
      </c>
      <c r="MW224" s="43">
        <f t="shared" si="899"/>
        <v>0</v>
      </c>
      <c r="MX224" s="43" t="str">
        <f t="shared" si="900"/>
        <v/>
      </c>
      <c r="MY224" s="43" t="str">
        <f t="shared" ca="1" si="901"/>
        <v/>
      </c>
      <c r="MZ224" s="43" t="str">
        <f t="shared" si="902"/>
        <v/>
      </c>
      <c r="NA224" s="43">
        <f t="shared" si="903"/>
        <v>0</v>
      </c>
      <c r="NB224" s="43" t="str">
        <f t="shared" si="904"/>
        <v/>
      </c>
      <c r="NC224" s="43" t="str">
        <f t="shared" si="905"/>
        <v/>
      </c>
      <c r="ND224" s="43">
        <f t="shared" ca="1" si="934"/>
        <v>0</v>
      </c>
      <c r="NE224" s="43">
        <f>IF(OR(O224&gt;0,R224&gt;0),SUM(COUNTIF(Tabla1[[#This Row],[AÑOS AL INICIO5 CPN]],"&gt;=40"),COUNTIF(AS224,"0"),COUNTIF(AR224,"SI"),COUNTIF(CC224,"SI"),COUNTIF(BQ224,"&gt;119"),COUNTIF(CI224,"&gt;=35")),"")</f>
        <v>0</v>
      </c>
      <c r="NF224" s="43" t="str">
        <f t="shared" si="935"/>
        <v/>
      </c>
      <c r="NG224" s="43">
        <f t="shared" si="908"/>
        <v>0</v>
      </c>
      <c r="NH224" s="43">
        <f t="shared" si="909"/>
        <v>136.5</v>
      </c>
      <c r="NI22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CPN",P224="NO"),"Z",IF(AND(Tabla1[[#This Row],[CITA PROXIMO CONTROL]]="CITA MANUAL",Tabla1[[#This Row],[GESTANTES ACTUALES]]="ACTIVA INGRESO A CPN"),"W",IF(AND(Tabla1[[#This Row],[GESTANTES ACTUALES]]="SALIO PROGRAMA",IN224=""),"S",IF(AND(Tabla1[[#This Row],[CITA PROXIMO CONTROL]]&gt;0,IN224=""),(Tabla1[[#This Row],[CITA PROXIMO CONTROL]]-TODAY()),"SD"))))))))</f>
        <v>#REF!</v>
      </c>
      <c r="NJ224" s="43">
        <f>MONTH(Tabla1[[#This Row],[FECHA DE SALIDA  DEL PROGRAMA]])</f>
        <v>1</v>
      </c>
      <c r="NK224" s="43">
        <f>YEAR(Tabla1[[#This Row],[FECHA DE SALIDA  DEL PROGRAMA]])</f>
        <v>1900</v>
      </c>
      <c r="NL224" s="43" t="str">
        <f t="shared" si="936"/>
        <v>X</v>
      </c>
      <c r="NM224" s="43" t="str">
        <f t="shared" si="941"/>
        <v>NO</v>
      </c>
      <c r="NN224" s="43" t="str">
        <f ca="1">IF(AND(O224&gt;0,R224=""),"NO CPN",IF(AND(O224="",R224=""),"",IF(AND(R224&gt;0,Tabla1[[#This Row],[SEMANAS DE GESTACION ACTUALIZADAS]]&lt;=12),"NO APLICA",IF(AND(FH224&lt;&gt;"",FN224&lt;&gt;""),"SI","NO"))))</f>
        <v>NO</v>
      </c>
      <c r="NO224" s="43" t="str">
        <f ca="1">IF(AND(O224&gt;0,R224=""),"NO CPN",IF(AND(O224="",R224=""),"",IF(AND(R224&gt;0,Tabla1[[#This Row],[SEMANAS DE GESTACION ACTUALIZADAS]]&lt;=27),"NO APLICA",IF(AND(ES224&lt;&gt;"",FQ224&lt;&gt;"",GF224&lt;&gt;""),"SI","NO"))))</f>
        <v>NO</v>
      </c>
      <c r="NP224" s="204" t="str">
        <f t="shared" si="912"/>
        <v>II TRIM</v>
      </c>
      <c r="NQ224" s="21" t="str">
        <f t="shared" si="1046"/>
        <v/>
      </c>
      <c r="NR224" s="21">
        <f t="shared" ca="1" si="937"/>
        <v>2</v>
      </c>
      <c r="NS224" s="205">
        <f t="shared" ca="1" si="914"/>
        <v>0</v>
      </c>
      <c r="NT224" s="21">
        <f t="shared" ca="1" si="915"/>
        <v>0</v>
      </c>
      <c r="NU224" s="21" t="str">
        <f t="shared" ca="1" si="916"/>
        <v>INCOMPLETO</v>
      </c>
      <c r="NV224" s="21" t="str">
        <f t="shared" ca="1" si="917"/>
        <v>INCOMPLETO</v>
      </c>
      <c r="NW224" s="206" t="str">
        <f>IF(AND(O224="",R224=""),"",IF(OR(AND(Tabla1[[#This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24" s="207" t="str">
        <f t="shared" ca="1" si="938"/>
        <v>SIN VACUNAR</v>
      </c>
      <c r="NY224" s="43">
        <f>ROW(Tabla1[[#This Row],['# DE TAMIZAJES SIFILIS TOMADOS ]])</f>
        <v>224</v>
      </c>
      <c r="NZ224" s="43">
        <f t="shared" si="942"/>
        <v>14</v>
      </c>
      <c r="OA224" s="43" t="str">
        <f t="shared" si="943"/>
        <v/>
      </c>
      <c r="OB224" s="43" t="str">
        <f t="shared" si="944"/>
        <v/>
      </c>
      <c r="OC224" s="43" t="str">
        <f t="shared" si="945"/>
        <v/>
      </c>
      <c r="OD224" s="43" t="str">
        <f t="shared" si="946"/>
        <v/>
      </c>
      <c r="OE224" s="43" t="str">
        <f t="shared" si="947"/>
        <v/>
      </c>
      <c r="OF224" s="43" t="str">
        <f t="shared" si="948"/>
        <v>SOBREPESO</v>
      </c>
      <c r="OG224" s="43" t="str">
        <f t="shared" si="949"/>
        <v/>
      </c>
      <c r="OH224" s="43" t="str">
        <f t="shared" si="950"/>
        <v/>
      </c>
      <c r="OI224" s="43" t="str">
        <f t="shared" si="951"/>
        <v/>
      </c>
      <c r="OJ224" s="43" t="str">
        <f t="shared" si="952"/>
        <v/>
      </c>
      <c r="OK224" s="43" t="str">
        <f t="shared" si="953"/>
        <v/>
      </c>
      <c r="OL224" s="43" t="str">
        <f t="shared" si="954"/>
        <v/>
      </c>
      <c r="OM224" s="43" t="str">
        <f t="shared" si="955"/>
        <v/>
      </c>
      <c r="ON224" s="43" t="str">
        <f t="shared" si="956"/>
        <v/>
      </c>
      <c r="OO224" s="43" t="str">
        <f t="shared" si="957"/>
        <v/>
      </c>
      <c r="OP224" s="43" t="str">
        <f t="shared" si="958"/>
        <v/>
      </c>
      <c r="OQ224" s="43" t="str">
        <f t="shared" si="959"/>
        <v/>
      </c>
      <c r="OR224" s="43" t="str">
        <f t="shared" si="960"/>
        <v/>
      </c>
      <c r="OS224" s="43" t="str">
        <f t="shared" si="961"/>
        <v/>
      </c>
      <c r="OT224" s="43" t="str">
        <f t="shared" si="962"/>
        <v/>
      </c>
      <c r="OU224" s="43" t="str">
        <f t="shared" si="963"/>
        <v/>
      </c>
      <c r="OV224" s="110" t="str">
        <f t="shared" si="964"/>
        <v/>
      </c>
      <c r="OW224" s="43" t="str">
        <f t="shared" si="965"/>
        <v/>
      </c>
      <c r="OX224" s="43" t="str">
        <f t="shared" si="966"/>
        <v/>
      </c>
      <c r="OY224" s="43" t="str">
        <f t="shared" si="967"/>
        <v/>
      </c>
      <c r="OZ224" s="43" t="str">
        <f t="shared" si="968"/>
        <v/>
      </c>
      <c r="PA224" s="43" t="str">
        <f t="shared" si="969"/>
        <v/>
      </c>
      <c r="PB224" s="43" t="str">
        <f t="shared" si="970"/>
        <v/>
      </c>
      <c r="PC224" s="43" t="str">
        <f t="shared" si="971"/>
        <v/>
      </c>
      <c r="PD224" s="43" t="str">
        <f t="shared" si="972"/>
        <v/>
      </c>
      <c r="PE224" s="43" t="str">
        <f t="shared" si="973"/>
        <v/>
      </c>
      <c r="PF224" s="43" t="str">
        <f t="shared" si="974"/>
        <v/>
      </c>
      <c r="PG224" s="43" t="str">
        <f t="shared" si="975"/>
        <v/>
      </c>
      <c r="PH224" s="43" t="str">
        <f t="shared" si="976"/>
        <v/>
      </c>
      <c r="PI224" s="43">
        <f t="shared" si="977"/>
        <v>19</v>
      </c>
      <c r="PJ224" s="43" t="str">
        <f t="shared" si="978"/>
        <v/>
      </c>
      <c r="PK224" s="43" t="str">
        <f t="shared" si="979"/>
        <v/>
      </c>
      <c r="PL224" s="43" t="str">
        <f t="shared" si="980"/>
        <v/>
      </c>
      <c r="PM224" s="43" t="str">
        <f t="shared" si="981"/>
        <v/>
      </c>
      <c r="PN224" s="43" t="str">
        <f t="shared" si="982"/>
        <v/>
      </c>
      <c r="PO224" s="43" t="str">
        <f t="shared" si="983"/>
        <v/>
      </c>
      <c r="PP224" s="43" t="str">
        <f t="shared" si="984"/>
        <v/>
      </c>
      <c r="PQ224" s="43" t="str">
        <f t="shared" si="985"/>
        <v/>
      </c>
      <c r="PR224" s="43" t="str">
        <f t="shared" si="986"/>
        <v/>
      </c>
      <c r="PS224" s="43" t="str">
        <f t="shared" si="987"/>
        <v/>
      </c>
      <c r="PT224" s="43" t="str">
        <f t="shared" si="988"/>
        <v>SOBREPESO</v>
      </c>
      <c r="PU224" s="43" t="str">
        <f t="shared" si="989"/>
        <v/>
      </c>
      <c r="PV224" s="43" t="str">
        <f t="shared" si="990"/>
        <v/>
      </c>
      <c r="PW224" s="43" t="str">
        <f t="shared" si="991"/>
        <v/>
      </c>
      <c r="PX224" s="43" t="str">
        <f t="shared" si="992"/>
        <v/>
      </c>
      <c r="PY224" s="43" t="str">
        <f t="shared" si="993"/>
        <v/>
      </c>
      <c r="PZ224" s="43" t="str">
        <f t="shared" si="994"/>
        <v/>
      </c>
      <c r="QA224" s="43" t="str">
        <f t="shared" si="995"/>
        <v/>
      </c>
      <c r="QB224" s="43" t="str">
        <f t="shared" si="996"/>
        <v/>
      </c>
      <c r="QC224" s="43" t="str">
        <f t="shared" si="997"/>
        <v/>
      </c>
      <c r="QD224" s="43" t="str">
        <f t="shared" si="998"/>
        <v/>
      </c>
      <c r="QE224" s="43" t="str">
        <f t="shared" si="999"/>
        <v/>
      </c>
      <c r="QF224" s="43" t="str">
        <f t="shared" si="1000"/>
        <v/>
      </c>
      <c r="QG224" s="43" t="str">
        <f t="shared" si="1001"/>
        <v/>
      </c>
      <c r="QH224" s="43" t="str">
        <f t="shared" si="1002"/>
        <v/>
      </c>
      <c r="QI224" s="43" t="str">
        <f t="shared" si="1003"/>
        <v/>
      </c>
      <c r="QJ224" s="43" t="str">
        <f t="shared" si="1004"/>
        <v/>
      </c>
      <c r="QK224" s="43" t="str">
        <f t="shared" si="1005"/>
        <v/>
      </c>
      <c r="QL224" s="43" t="str">
        <f t="shared" si="1006"/>
        <v/>
      </c>
      <c r="QM224" s="43" t="str">
        <f t="shared" si="1007"/>
        <v/>
      </c>
      <c r="QN224" s="43" t="str">
        <f t="shared" si="1008"/>
        <v/>
      </c>
      <c r="QO224" s="43" t="str">
        <f t="shared" si="1009"/>
        <v/>
      </c>
      <c r="QP224" s="43" t="str">
        <f t="shared" si="1010"/>
        <v/>
      </c>
      <c r="QQ224" s="43" t="str">
        <f t="shared" si="1011"/>
        <v/>
      </c>
      <c r="QR224" s="43">
        <f t="shared" si="1012"/>
        <v>19</v>
      </c>
      <c r="QS224" s="43"/>
      <c r="QT224" s="21" t="str">
        <f t="shared" si="1013"/>
        <v/>
      </c>
      <c r="QU224" s="21" t="str">
        <f t="shared" si="1014"/>
        <v/>
      </c>
      <c r="QV224" s="21" t="str">
        <f t="shared" si="1015"/>
        <v/>
      </c>
      <c r="QW224" s="21" t="str">
        <f t="shared" si="1016"/>
        <v/>
      </c>
      <c r="QX224" s="21" t="str">
        <f t="shared" si="1017"/>
        <v/>
      </c>
      <c r="QY224" s="21" t="str">
        <f t="shared" si="1018"/>
        <v/>
      </c>
      <c r="QZ224" s="21" t="str">
        <f t="shared" si="1019"/>
        <v>BAJO PARA EDAD GESTACIONAL</v>
      </c>
      <c r="RA224" s="21" t="str">
        <f t="shared" si="1020"/>
        <v/>
      </c>
      <c r="RB224" s="21" t="str">
        <f t="shared" si="1021"/>
        <v/>
      </c>
      <c r="RC224" s="21" t="str">
        <f t="shared" si="1022"/>
        <v/>
      </c>
      <c r="RD224" s="21" t="str">
        <f t="shared" si="1023"/>
        <v/>
      </c>
      <c r="RE224" s="21" t="str">
        <f t="shared" si="1024"/>
        <v/>
      </c>
      <c r="RF224" s="21" t="str">
        <f t="shared" si="1025"/>
        <v/>
      </c>
      <c r="RG224" s="21" t="str">
        <f t="shared" si="1026"/>
        <v/>
      </c>
      <c r="RH224" s="21" t="str">
        <f t="shared" si="1027"/>
        <v/>
      </c>
      <c r="RI224" s="21" t="str">
        <f t="shared" si="1028"/>
        <v/>
      </c>
      <c r="RJ224" s="21" t="str">
        <f t="shared" si="1029"/>
        <v/>
      </c>
      <c r="RK224" s="21" t="str">
        <f t="shared" si="1030"/>
        <v/>
      </c>
      <c r="RL224" s="21" t="str">
        <f t="shared" si="1031"/>
        <v/>
      </c>
      <c r="RM224" s="21" t="str">
        <f t="shared" si="1032"/>
        <v/>
      </c>
      <c r="RN224" s="21" t="str">
        <f t="shared" si="1033"/>
        <v/>
      </c>
      <c r="RO224" s="21" t="str">
        <f t="shared" si="1034"/>
        <v/>
      </c>
      <c r="RP224" s="21" t="str">
        <f t="shared" si="1035"/>
        <v/>
      </c>
      <c r="RQ224" s="21" t="str">
        <f t="shared" si="1036"/>
        <v/>
      </c>
      <c r="RR224" s="21" t="str">
        <f t="shared" si="1037"/>
        <v/>
      </c>
      <c r="RS224" s="21" t="str">
        <f t="shared" si="1038"/>
        <v/>
      </c>
      <c r="RT224" s="21" t="str">
        <f t="shared" si="1039"/>
        <v/>
      </c>
      <c r="RU224" s="21" t="str">
        <f t="shared" si="1040"/>
        <v/>
      </c>
      <c r="RV224" s="21">
        <f t="shared" si="1041"/>
        <v>-1</v>
      </c>
      <c r="RW224" s="284">
        <f>IF(OR(Tabla1[[#This Row],[FUM FORMULA CONFIABLE]]="",Tabla1[[#This Row],[FUM FORMULA CONFIABLE]]="SD"),"",IF(Tabla1[[#This Row],[FUM FORMULA CONFIABLE]]="CORREGIDA",Tabla1[[#This Row],[FUM X ECO 1]],Tabla1[[#This Row],[FUM x AMENORREA]]))</f>
        <v>45012</v>
      </c>
      <c r="RX224" s="21">
        <f>IF(AND(Tabla1[[#This Row],[FUM X ECO 1]]="",Tabla1[[#This Row],[FUM x AMENORREA]]=""),"",IF(AND(Tabla1[[#This Row],[FUM X ECO 1]]="",Tabla1[[#This Row],[FUM x AMENORREA]]&lt;&gt;""),"X",SUM(Tabla1[[#This Row],[FUM X ECO 1]]-Tabla1[[#This Row],[FUM x AMENORREA]])))</f>
        <v>0.5</v>
      </c>
      <c r="RY224" s="21">
        <f t="shared" si="1042"/>
        <v>0</v>
      </c>
    </row>
    <row r="225" spans="1:493" ht="45" customHeight="1" x14ac:dyDescent="0.25">
      <c r="A225" s="109"/>
      <c r="B225" s="43"/>
      <c r="C225" s="299" t="s">
        <v>845</v>
      </c>
      <c r="D225" s="124"/>
      <c r="E225" s="43" t="s">
        <v>896</v>
      </c>
      <c r="F225" s="43" t="s">
        <v>1599</v>
      </c>
      <c r="G225" s="43" t="s">
        <v>1607</v>
      </c>
      <c r="H225" s="43" t="s">
        <v>1608</v>
      </c>
      <c r="I225" s="109" t="s">
        <v>851</v>
      </c>
      <c r="J225" s="110">
        <v>1060800773</v>
      </c>
      <c r="K225" s="43" t="s">
        <v>904</v>
      </c>
      <c r="L225" s="175" t="s">
        <v>1509</v>
      </c>
      <c r="M225" s="22">
        <v>33006</v>
      </c>
      <c r="N225" s="213">
        <f t="shared" ca="1" si="841"/>
        <v>33.495890410958907</v>
      </c>
      <c r="O225" s="22">
        <v>45141</v>
      </c>
      <c r="P225" s="214" t="str">
        <f t="shared" si="919"/>
        <v>SI</v>
      </c>
      <c r="Q225" s="26" t="s">
        <v>855</v>
      </c>
      <c r="R225" s="22">
        <v>45141</v>
      </c>
      <c r="S225" s="21" t="s">
        <v>856</v>
      </c>
      <c r="T225" s="24" t="s">
        <v>690</v>
      </c>
      <c r="U225" s="21" t="s">
        <v>857</v>
      </c>
      <c r="V225" s="21" t="s">
        <v>858</v>
      </c>
      <c r="W225" s="21" t="s">
        <v>920</v>
      </c>
      <c r="X225" s="21"/>
      <c r="Y225" s="21" t="s">
        <v>920</v>
      </c>
      <c r="Z225" s="21">
        <v>3106968874</v>
      </c>
      <c r="AA225" s="21" t="s">
        <v>860</v>
      </c>
      <c r="AB225" s="27" t="s">
        <v>861</v>
      </c>
      <c r="AC225" s="26" t="s">
        <v>888</v>
      </c>
      <c r="AD225" s="38" t="s">
        <v>1546</v>
      </c>
      <c r="AE225" s="26" t="s">
        <v>854</v>
      </c>
      <c r="AF225" s="26" t="s">
        <v>854</v>
      </c>
      <c r="AG225" s="23" t="s">
        <v>864</v>
      </c>
      <c r="AH225" s="23" t="s">
        <v>864</v>
      </c>
      <c r="AI225" s="24" t="s">
        <v>863</v>
      </c>
      <c r="AJ225" s="23" t="s">
        <v>864</v>
      </c>
      <c r="AK225" s="220" t="str">
        <f>IF(AND(AD225="",AE225="",AF225="",AG225="",AH225="",AI225="",AJ225=""),"",IF(OR(Tabla1[[#This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EVALUACIÓN",IF(AND(O225="",R225=""),"",IF(AND(OR(O225&gt;0,R225&gt;0),NG225&gt;=0,NG225&lt;2),"SIN RIESGO",IF(AND(OR(O225&gt;0,R225&gt;0),NG225&gt;=2),"CON RIESGO","ASD")))))</f>
        <v>SIN RIESGO</v>
      </c>
      <c r="AL225" s="26" t="s">
        <v>864</v>
      </c>
      <c r="AM225" s="26" t="s">
        <v>864</v>
      </c>
      <c r="AN225" s="26" t="s">
        <v>864</v>
      </c>
      <c r="AO225" s="26" t="s">
        <v>864</v>
      </c>
      <c r="AP225" s="26" t="s">
        <v>864</v>
      </c>
      <c r="AQ225" s="26" t="s">
        <v>864</v>
      </c>
      <c r="AR225" s="26" t="s">
        <v>864</v>
      </c>
      <c r="AS225" s="21">
        <v>3</v>
      </c>
      <c r="AT225" s="21">
        <v>3</v>
      </c>
      <c r="AU225" s="21">
        <v>0</v>
      </c>
      <c r="AV225" s="26" t="s">
        <v>864</v>
      </c>
      <c r="AW225" s="21">
        <v>0</v>
      </c>
      <c r="AX225" s="26" t="s">
        <v>864</v>
      </c>
      <c r="AY225" s="26" t="s">
        <v>864</v>
      </c>
      <c r="AZ225" s="26" t="s">
        <v>864</v>
      </c>
      <c r="BA225" s="26" t="s">
        <v>864</v>
      </c>
      <c r="BB225" s="26" t="s">
        <v>864</v>
      </c>
      <c r="BC225" s="26" t="s">
        <v>864</v>
      </c>
      <c r="BD225" s="26" t="s">
        <v>864</v>
      </c>
      <c r="BE225" s="26" t="s">
        <v>864</v>
      </c>
      <c r="BF225" s="26" t="s">
        <v>864</v>
      </c>
      <c r="BG225" s="26" t="s">
        <v>864</v>
      </c>
      <c r="BH225" s="26" t="s">
        <v>864</v>
      </c>
      <c r="BI225" s="26" t="s">
        <v>864</v>
      </c>
      <c r="BJ225" s="26" t="s">
        <v>864</v>
      </c>
      <c r="BK225" s="26" t="s">
        <v>864</v>
      </c>
      <c r="BL225" s="26" t="s">
        <v>864</v>
      </c>
      <c r="BM225" s="26" t="s">
        <v>864</v>
      </c>
      <c r="BN225" s="22">
        <v>41164</v>
      </c>
      <c r="BO225" s="22">
        <v>44944</v>
      </c>
      <c r="BP225" s="21" t="s">
        <v>854</v>
      </c>
      <c r="BQ225" s="222">
        <f t="shared" si="842"/>
        <v>126</v>
      </c>
      <c r="BR225" s="223">
        <f t="shared" si="843"/>
        <v>44944.6</v>
      </c>
      <c r="BS225" s="224">
        <f t="shared" si="844"/>
        <v>28.142857142857142</v>
      </c>
      <c r="BT225" s="216" t="str">
        <f t="shared" si="845"/>
        <v>III TRIM</v>
      </c>
      <c r="BU225" s="214">
        <f t="shared" ca="1" si="928"/>
        <v>41.142857142857146</v>
      </c>
      <c r="BV225" s="25" t="s">
        <v>988</v>
      </c>
      <c r="BW225" s="22">
        <v>45149</v>
      </c>
      <c r="BX225" s="28">
        <v>29.2</v>
      </c>
      <c r="BY225" s="28"/>
      <c r="BZ225" s="22"/>
      <c r="CA225" s="21"/>
      <c r="CB225" s="26" t="s">
        <v>864</v>
      </c>
      <c r="CC225" s="26" t="s">
        <v>864</v>
      </c>
      <c r="CD225" s="26" t="s">
        <v>1087</v>
      </c>
      <c r="CE225" s="26" t="s">
        <v>864</v>
      </c>
      <c r="CF225" s="22" t="s">
        <v>1517</v>
      </c>
      <c r="CG225" s="21">
        <v>1.43</v>
      </c>
      <c r="CH225" s="21">
        <v>57</v>
      </c>
      <c r="CI225" s="214">
        <f t="shared" si="847"/>
        <v>27.874223678419487</v>
      </c>
      <c r="CJ225" s="225" t="e">
        <f>IF(AND(CI225&lt;10,CH225="SD"),"SIN DATO PESO PREGESTACION O I TRIM",IF(AND(OR(R225&gt;0,O225&gt;0),CI225="X"),"INGRESAR DATO DE PESO",IF(CI225="SD","INGRESAR DATO DE TALLA Y PESO",IF(AND(OR(Tabla1[[#This Row],[MOMENTO EN QUE SE REALIZA EL PESO AL INGRESO A CPN]]="PREGESTACIÓN",NZ225="Menor"),CI225&lt;18.5),"BAJO PESO",IF(AND(OR(Tabla1[[#This Row],[MOMENTO EN QUE SE REALIZA EL PESO AL INGRESO A CPN]]="PREGESTACIÓN",NZ225="Menor"),CI225&lt;25),"NORMAL",IF(AND(OR(Tabla1[[#This Row],[MOMENTO EN QUE SE REALIZA EL PESO AL INGRESO A CPN]]="PREGESTACIÓN",NZ225="Menor"),CI225&lt;30),"SOBREPESO",IF(AND(OR(Tabla1[[#This Row],[MOMENTO EN QUE SE REALIZA EL PESO AL INGRESO A CPN]]="PREGESTACIÓN",NZ225="Menor"),CI225&gt;=30,CI225&lt;50),"OBESIDAD",IF(AND(BS225&gt;0,Tabla1[[#This Row],[MOMENTO EN QUE SE REALIZA EL PESO AL INGRESO A CPN]]="GESTACIÓN"),HLOOKUP(NZ225,$OA$2:PH225,NY225),""))))))))</f>
        <v>#REF!</v>
      </c>
      <c r="CK225" s="212">
        <f t="shared" si="848"/>
        <v>45141</v>
      </c>
      <c r="CL225" s="21">
        <v>57</v>
      </c>
      <c r="CM225" s="214">
        <f t="shared" si="849"/>
        <v>27.874223678419487</v>
      </c>
      <c r="CN225" s="216">
        <f t="shared" si="850"/>
        <v>28</v>
      </c>
      <c r="CO225" s="216" t="e">
        <f>IF(PI225="","",IF(PI225&gt;0,HLOOKUP(PI225,$PJ$2:QQ225,NY225),""))</f>
        <v>#REF!</v>
      </c>
      <c r="CP225" s="21"/>
      <c r="CQ225" s="216" t="e">
        <f>IF(QR225="Menor","NO APLICA-MENOR 13 SEM",IF(AND(CC225="SI",CN225&gt;23),"NO APLICA- GEMELAR",IF(QR225="","",IF(QR225&gt;0,HLOOKUP(QR225,$QS$2:RU225,NY225),""))))</f>
        <v>#REF!</v>
      </c>
      <c r="CR225" s="21"/>
      <c r="CS225" s="21"/>
      <c r="CT225" s="217" t="str">
        <f>IF(R225="","",IF(AND(BS225&gt;1,BS225&lt;12,Tabla1[[#This Row],[T.A. SISTOLICA - ANTES DE SEMANA 12]]="",Tabla1[[#This Row],[T.A. DIASTOLICA - ANTES DE SEMANA 12]]=""),"REGISTRE DATO TA ANTES SEMANA 12",IF(AND(BS225&gt;11,BS225&lt;43,Tabla1[[#This Row],[T.A. SISTOLICA - ANTES DE SEMANA 12]]="",Tabla1[[#This Row],[T.A. DIASTOLICA - ANTES DE SEMANA 12]]=""),"NO APLICA REGISTRO TA-INGRESO TARDIO",IF(AND(OR(O225&gt;0,R225&gt;0),OR(CR225&gt;=140,CS225&gt;=90)),"DEFINIR ESTADIO HTA",IF(AND(OR(O225&gt;0,R225&gt;0),AND(CR225&gt;120,CR225&lt;=139)),"PRE HTA SEGUIMIENTO",IF(AND(OR(O225&gt;0,R225&gt;0),AND(CS225&gt;80,CS225&lt;=89)),"PRE HTA SEGUIMIENTO",IF(AND(OR(O225&gt;0,R225&gt;0),AND(CR225&gt;=80,CR225&lt;=120)),"APARENTEMENTE NORMAL",IF(AND(OR(O225&gt;0,R225&gt;0),AND(CS225&gt;=50,CS225&lt;=80)),"APARENTEMENTE NORMAL",IF(AND(OR(O225&gt;0,R225&gt;0),AND(CR225&gt;1,CR225&lt;=70),AND(CS225&gt;1,CS225&lt;=40)),"HIPOTENSIÓN","")))))))))</f>
        <v>NO APLICA REGISTRO TA-INGRESO TARDIO</v>
      </c>
      <c r="CU225" s="21"/>
      <c r="CV225" s="21"/>
      <c r="CW225" s="217" t="str">
        <f ca="1">IF(R225="","",IF(AND(CN225&gt;19,CN225&lt;27,Tabla1[[#This Row],[T.A. SISTOLICA (Entre semana 20 y 26)]]="",Tabla1[[#This Row],[T.A. DIATOLICA (Entre semana 20 y 26)]]=""),"ACUDE A CONTROL SEM 20 A 26 REGISTRE TA AHORA",IF(AND(BS225&gt;1,BS225&lt;27,BU225&gt;19,Tabla1[[#This Row],[T.A. SISTOLICA (Entre semana 20 y 26)]]="",Tabla1[[#This Row],[T.A. DIATOLICA (Entre semana 20 y 26)]]=""),"COMPLETE REGISTRO TA CONTROL SEM 20 A26 ",IF(AND(BS225&gt;26,BS225&lt;43,Tabla1[[#This Row],[T.A. SISTOLICA (Entre semana 20 y 26)]]="",Tabla1[[#This Row],[T.A. DIATOLICA (Entre semana 20 y 26)]]=""),"NO APLICA REGISTRO TA-INGRESO TARDIO",IF(AND(OR(O225&gt;0,R225&gt;0),OR(CU225&gt;=140,CV225&gt;=90)),"ALTO RIESGO PREECLAMPSIA,DEFINIR ESTADIO HTA",IF(AND(OR(O225&gt;0,R225&gt;0),AND(CU225&gt;120,CU225&lt;=139)),"PRE HTA SEGUIMIENTO,RIESGO HIPERTENSION INDUCIDA POR EL EMBARAZO",IF(AND(OR(O225&gt;0,R225&gt;0),AND(CV225&gt;80,CV225&lt;=89)),"PRE HTA SEGUIMIENTO, RIESGO HIPERTENSION INDUCIDA POR EL EMBARAZO",IF(AND(OR(O225&lt;&gt;"",R225&lt;&gt;""),CS225&lt;&gt;"",CV225&lt;&gt;"",CS225&lt;=CV225),"VIGILAR CIFRAS PRESION ARTERIAL",IF(AND(OR(O225&gt;0,R225&gt;0),AND(CU225&gt;120,CU225&lt;=139)),"PRE HTA SEGUIMIENTO",IF(AND(OR(O225&gt;0,R225&gt;0),AND(CU225&gt;1,CU225&lt;=70),AND(CV225&gt;1,CV225&lt;=40)),"HIPOTENSIÓN",IF(AND(OR(O225&lt;&gt;"",R225&lt;&gt;""),CS225&lt;&gt;"",CV225&lt;&gt;"",CS225&gt;CV225),"APARENTEMENTE NORMAL",IF(AND(OR(O225&gt;0,R225&gt;0),AND(CU225&gt;=80,CU225&lt;=120)),"APARENTEMENTE NORMAL",IF(AND(OR(O225&gt;0,R225&gt;0),AND(CV225&gt;=50,CV225&lt;=80)),"APARENTEMENTE NORMAL","")))))))))))))</f>
        <v>NO APLICA REGISTRO TA-INGRESO TARDIO</v>
      </c>
      <c r="CX225" s="21"/>
      <c r="CY225" s="21"/>
      <c r="CZ225" s="216" t="str">
        <f t="shared" si="1045"/>
        <v/>
      </c>
      <c r="DA225" s="21">
        <v>90</v>
      </c>
      <c r="DB225" s="21">
        <v>60</v>
      </c>
      <c r="DC225" s="217" t="str">
        <f t="shared" si="851"/>
        <v>APARENTEMENTE NORMAL</v>
      </c>
      <c r="DD225" s="22">
        <v>45141</v>
      </c>
      <c r="DE225" s="22">
        <v>45141</v>
      </c>
      <c r="DF225" s="22"/>
      <c r="DG225" s="22"/>
      <c r="DH225" s="22"/>
      <c r="DI225" s="22"/>
      <c r="DJ225" s="22"/>
      <c r="DK225" s="22"/>
      <c r="DL225" s="22"/>
      <c r="DM225" s="22"/>
      <c r="DN225" s="22"/>
      <c r="DO225" s="22"/>
      <c r="DP225" s="22"/>
      <c r="DQ225" s="22"/>
      <c r="DR225" s="28">
        <v>1</v>
      </c>
      <c r="DS225" s="22"/>
      <c r="DT225" s="22"/>
      <c r="DU225" s="216" t="str">
        <f t="shared" ca="1" si="920"/>
        <v>CONCERTAR PLAN DE PARTO INMEDIATO</v>
      </c>
      <c r="DV225" s="226" t="str">
        <f t="shared" si="921"/>
        <v>ACTIVA INGRESO A CPN</v>
      </c>
      <c r="DW22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25" s="216" t="e">
        <f t="shared" ca="1" si="852"/>
        <v>#REF!</v>
      </c>
      <c r="DY225" s="212">
        <f>IF(R225="","",IF(R225&gt;0,MAX(Tabla1[[#This Row],[FECHA C2]:[FECHA C13]],Tabla1[[#This Row],[FECHA CONSULTA PRIMERA VEZ PROGRAMA CPN ]])))</f>
        <v>45141</v>
      </c>
      <c r="DZ225" s="216">
        <f t="shared" si="853"/>
        <v>28</v>
      </c>
      <c r="EA225" s="222">
        <f>IF(R225&gt;0,SUM(COUNTA(DF225:DQ225)+COUNTA(Tabla1[[#This Row],[FECHA CONSULTA PRIMERA VEZ PROGRAMA CPN ]])),"")</f>
        <v>1</v>
      </c>
      <c r="EB225" s="222" t="str">
        <f t="shared" si="854"/>
        <v>NO</v>
      </c>
      <c r="EC225" s="214">
        <f t="shared" si="855"/>
        <v>4</v>
      </c>
      <c r="ED225" s="227">
        <f t="shared" si="856"/>
        <v>0.25</v>
      </c>
      <c r="EE225" s="22">
        <v>45141</v>
      </c>
      <c r="EF225" s="22">
        <v>45141</v>
      </c>
      <c r="EG225" s="22">
        <v>45141</v>
      </c>
      <c r="EH225" s="22"/>
      <c r="EI225" s="22">
        <v>45141</v>
      </c>
      <c r="EJ225" s="22"/>
      <c r="EK225" s="22"/>
      <c r="EL225" s="21"/>
      <c r="EM225" s="21">
        <v>12</v>
      </c>
      <c r="EN225" s="22">
        <v>45149</v>
      </c>
      <c r="EO225" s="222">
        <f t="shared" si="857"/>
        <v>29.285714285714285</v>
      </c>
      <c r="EP225" s="214" t="str">
        <f t="shared" si="858"/>
        <v>NORMAL- SUMINISTRAR SULFATO FERROSO</v>
      </c>
      <c r="EQ225" s="216" t="str">
        <f t="shared" si="859"/>
        <v>III TRIM</v>
      </c>
      <c r="ER225" s="24"/>
      <c r="ES225" s="22"/>
      <c r="ET225" s="29" t="str">
        <f t="shared" ca="1" si="922"/>
        <v>TOMA DE HEMOGLOBINA TARDÍA</v>
      </c>
      <c r="EU225" s="25" t="str">
        <f t="shared" si="860"/>
        <v/>
      </c>
      <c r="EV225" s="24"/>
      <c r="EW225" s="22"/>
      <c r="EX225" s="22"/>
      <c r="EY225" s="29" t="str">
        <f t="shared" si="1043"/>
        <v>TOMAR EXAMEN</v>
      </c>
      <c r="EZ225" s="25" t="str">
        <f t="shared" ca="1" si="1044"/>
        <v/>
      </c>
      <c r="FA225" s="21"/>
      <c r="FB225" s="22"/>
      <c r="FC225" s="29" t="str">
        <f t="shared" si="861"/>
        <v>PIERDE TOMA TAMIZAJE- INGRESO TARDIO</v>
      </c>
      <c r="FD225" s="29">
        <v>65</v>
      </c>
      <c r="FE225" s="29">
        <v>94</v>
      </c>
      <c r="FF225" s="29">
        <v>109</v>
      </c>
      <c r="FG225" s="21" t="str">
        <f t="shared" ca="1" si="862"/>
        <v>NORMAL</v>
      </c>
      <c r="FH225" s="31">
        <v>45149</v>
      </c>
      <c r="FI225" s="29">
        <f t="shared" si="863"/>
        <v>29.285714285714285</v>
      </c>
      <c r="FJ225" s="22"/>
      <c r="FK225" s="22"/>
      <c r="FL225" s="29" t="str">
        <f t="shared" ca="1" si="864"/>
        <v>NO APLICA-INGRESO TARDIO</v>
      </c>
      <c r="FM225" s="22"/>
      <c r="FN225" s="32"/>
      <c r="FO225" s="29" t="str">
        <f t="shared" ca="1" si="923"/>
        <v>NO APLICA-INGRESO TARDIO</v>
      </c>
      <c r="FP225" s="22" t="s">
        <v>867</v>
      </c>
      <c r="FQ225" s="32">
        <v>45149</v>
      </c>
      <c r="FR225" s="29">
        <f t="shared" ca="1" si="924"/>
        <v>29.285714285714285</v>
      </c>
      <c r="FS225" s="22"/>
      <c r="FT225" s="32"/>
      <c r="FU225" s="29" t="str">
        <f>IF(AND(FJ225="",FM225="",FP225="",FS225=""),"",IF(OR(OR(Tabla1[[#This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25" s="28"/>
      <c r="FW225" s="22"/>
      <c r="FX225" s="29" t="str">
        <f t="shared" si="865"/>
        <v>TOMAR EXAMEN</v>
      </c>
      <c r="FY225" s="22"/>
      <c r="FZ225" s="22"/>
      <c r="GA225" s="29" t="str">
        <f t="shared" ca="1" si="939"/>
        <v>NO APLICA-INGRESO TARDIO</v>
      </c>
      <c r="GB225" s="22"/>
      <c r="GC225" s="22"/>
      <c r="GD225" s="29" t="str">
        <f t="shared" ca="1" si="940"/>
        <v>NO APLICA-INGRESO TARDIO</v>
      </c>
      <c r="GE225" s="22" t="s">
        <v>868</v>
      </c>
      <c r="GF225" s="22">
        <v>45149</v>
      </c>
      <c r="GG225" s="29">
        <f t="shared" ca="1" si="926"/>
        <v>29.285714285714285</v>
      </c>
      <c r="GH225" s="22"/>
      <c r="GI225" s="29"/>
      <c r="GJ225" s="22"/>
      <c r="GK225" s="22"/>
      <c r="GL225" s="22"/>
      <c r="GM225" s="22"/>
      <c r="GN225" s="28" t="s">
        <v>869</v>
      </c>
      <c r="GO225" s="22">
        <v>45149</v>
      </c>
      <c r="GP225" s="29">
        <f t="shared" si="866"/>
        <v>29.285714285714285</v>
      </c>
      <c r="GQ225" s="28" t="s">
        <v>880</v>
      </c>
      <c r="GR225" s="28" t="s">
        <v>869</v>
      </c>
      <c r="GS225" s="22" t="str">
        <f t="shared" ref="GS225:GS248" si="1047">IF(GQ225="NEGATIVO","CONTROL Igm",IF(AND(GQ225="POSITIVO",GR225="NEGATIVO"),"SE EXCLUYE INFECCION",IF(AND(GQ225="POSITIVO",GR225="POSITIVO"),"TOXOPLASMOSIS, REMITIR PARA MANEJO","")))</f>
        <v>SE EXCLUYE INFECCION</v>
      </c>
      <c r="GT225" s="22">
        <v>45149</v>
      </c>
      <c r="GU225" s="29">
        <f t="shared" si="867"/>
        <v>29.285714285714285</v>
      </c>
      <c r="GV225" s="21" t="str">
        <f t="shared" si="868"/>
        <v>III TRIM</v>
      </c>
      <c r="GW225" s="28"/>
      <c r="GX225" s="30"/>
      <c r="GY225" s="21"/>
      <c r="GZ225" s="21"/>
      <c r="HA225" s="21"/>
      <c r="HB225" s="21"/>
      <c r="HC225" s="21"/>
      <c r="HD225" s="21"/>
      <c r="HE225" s="21"/>
      <c r="HF225" s="22"/>
      <c r="HG225" s="22" t="str">
        <f>IF(OR(O225&gt;0,R225&gt;0),CONCATENATE(IF(Tabla1[[#This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25" s="22" t="e">
        <f t="shared" si="869"/>
        <v>#REF!</v>
      </c>
      <c r="HI225" s="22" t="e">
        <f t="shared" ca="1" si="870"/>
        <v>#REF!</v>
      </c>
      <c r="HJ225" s="21" t="str">
        <f t="shared" ca="1" si="871"/>
        <v>***************PRESENTACIÓN FETAL PODALICA O TRANSVERSA************EMBARAZO PROLONGADO************</v>
      </c>
      <c r="HK225" s="21" t="str">
        <f t="shared" si="872"/>
        <v>SIN ANTECEDENTES DE RIESGO</v>
      </c>
      <c r="HL225" s="24" t="str">
        <f t="shared" si="873"/>
        <v>APARENTEMENTE NORMAL</v>
      </c>
      <c r="HM225" s="21" t="e">
        <f t="shared" ca="1" si="874"/>
        <v>#REF!</v>
      </c>
      <c r="HN225" s="30" t="str">
        <f t="shared" si="927"/>
        <v>ACTIVA INGRESO A CPN</v>
      </c>
      <c r="HO225" s="21"/>
      <c r="HP225" s="21"/>
      <c r="HQ225" s="349"/>
      <c r="HR225" s="21" t="str">
        <f>IF(R225="","",IF(Tabla1[[#This Row],[ALARMA FACTORES DE RIESGO COMPLICACIONES HIPERTENSIVAS3]]="SIN ANTECEDENTES DE RIESGO","No Aplica para suministro de ASA",IF(AND(Tabla1[[#This Row],[FECHA INICIO DE SUMINISTRO DE ASA]]&gt;0,RV225&lt;12),"Inicia ASA ANTES de Sem 12",IF(AND(RV225&gt;11,RV225&lt;17,OR(HK225="RIESGO ALTO DE COMPLICACIONES HIPERTENSIVAS VER MANEJO GUIA SUMINISTRO ASA Y CALCIO",HK225="RIESGO MODERADO (2 O MAS CRITERIOS) VER MANEJO GUIA SUMINISTRO ASA Y CALCIO")),"Inicio oportuno de ASA",IF(AND(RV225&gt;12,OR(HK225="RIESGO ALTO DE COMPLICACIONES HIPERTENSIVAS VER MANEJO GUIA SUMINISTRO ASA Y CALCIO",HK225="RIESGO MODERADO (2 O MAS CRITERIOS) VER MANEJO GUIA SUMINISTRO ASA Y CALCIO")),"Inicio no oportuno mayor a 16 semanas",IF(AND(BU225&lt;12,OR(HK225="RIESGO ALTO DE COMPLICACIONES HIPERTENSIVAS VER MANEJO GUIA SUMINISTRO ASA Y CALCIO",HK225="RIESGO MODERADO (2 O MAS CRITERIOS) VER MANEJO GUIA SUMINISTRO ASA Y CALCIO")),"Pendiente Inicio de ASA a la semana 12",IF(AND(BU225&gt;11,BU225&lt;17,OR(HK225="RIESGO ALTO DE COMPLICACIONES HIPERTENSIVAS VER MANEJO GUIA SUMINISTRO ASA Y CALCIO",HK225="RIESGO MODERADO (2 O MAS CRITERIOS) VER MANEJO GUIA SUMINISTRO ASA Y CALCIO")),"Iniciar de inmediato ASA",IF(AND(BU225&gt;16,OR(HK225="RIESGO ALTO DE COMPLICACIONES HIPERTENSIVAS VER MANEJO GUIA SUMINISTRO ASA Y CALCIO",HK225="RIESGO MODERADO (2 O MAS CRITERIOS) VER MANEJO GUIA SUMINISTRO ASA Y CALCIO")),"Pierde Oportunidad, Inicio tardío de ASA","XXXXX"))))))))</f>
        <v>No Aplica para suministro de ASA</v>
      </c>
      <c r="HS225" s="22">
        <v>45141</v>
      </c>
      <c r="HT225" s="22" t="s">
        <v>1518</v>
      </c>
      <c r="HU225" s="22">
        <v>45141</v>
      </c>
      <c r="HV225" s="22" t="s">
        <v>1544</v>
      </c>
      <c r="HW225" s="22">
        <v>45141</v>
      </c>
      <c r="HX225" s="22" t="s">
        <v>1511</v>
      </c>
      <c r="HY225" s="22"/>
      <c r="HZ225" s="28" t="str">
        <f t="shared" si="875"/>
        <v>PENDIENTE CONSULTA</v>
      </c>
      <c r="IA225" s="26"/>
      <c r="IB225" s="26"/>
      <c r="IC225" s="111"/>
      <c r="ID225" s="22"/>
      <c r="IE225" s="22" t="str">
        <f t="shared" ca="1" si="876"/>
        <v>INASISTENTE</v>
      </c>
      <c r="IF225" s="22"/>
      <c r="IG225" s="22">
        <f t="shared" si="877"/>
        <v>45224</v>
      </c>
      <c r="IH225" s="29">
        <f t="shared" ca="1" si="878"/>
        <v>-8</v>
      </c>
      <c r="II225" s="22" t="str">
        <f t="shared" ca="1" si="879"/>
        <v>POSIBLEMENTE NACIO</v>
      </c>
      <c r="IJ225" s="22"/>
      <c r="IK225" s="21"/>
      <c r="IL225" s="21"/>
      <c r="IM225" s="34"/>
      <c r="IN225" s="22"/>
      <c r="IO225" s="21"/>
      <c r="IP225" s="29" t="str">
        <f t="shared" si="880"/>
        <v/>
      </c>
      <c r="IQ225" s="35"/>
      <c r="IR225" s="21"/>
      <c r="IS225" s="21"/>
      <c r="IT225" s="21"/>
      <c r="IU225" s="21"/>
      <c r="IV225" s="21"/>
      <c r="IW225" s="21"/>
      <c r="IX225" s="21"/>
      <c r="IY225" s="21"/>
      <c r="IZ225" s="21"/>
      <c r="JA225" s="21"/>
      <c r="JB225" s="30"/>
      <c r="JC225" s="21"/>
      <c r="JD225" s="36"/>
      <c r="JE225" s="21" t="str">
        <f t="shared" si="881"/>
        <v/>
      </c>
      <c r="JF225" s="30"/>
      <c r="JG225" s="21"/>
      <c r="JH225" s="21"/>
      <c r="JI225" s="21"/>
      <c r="JJ225" s="30"/>
      <c r="JK225" s="22"/>
      <c r="JL225" s="22"/>
      <c r="JM225" s="21"/>
      <c r="JN225" s="36"/>
      <c r="JO225" s="21" t="str">
        <f t="shared" si="882"/>
        <v/>
      </c>
      <c r="JP225" s="22"/>
      <c r="JQ225" s="21"/>
      <c r="JR225" s="21"/>
      <c r="JS225" s="21"/>
      <c r="JT225" s="30"/>
      <c r="JU225" s="22"/>
      <c r="JV225" s="22"/>
      <c r="JW225" s="33"/>
      <c r="JX225" s="28" t="str">
        <f t="shared" si="883"/>
        <v/>
      </c>
      <c r="JY225" s="33"/>
      <c r="JZ225" s="28" t="str">
        <f t="shared" si="884"/>
        <v/>
      </c>
      <c r="KA225" s="21"/>
      <c r="KB225" s="21"/>
      <c r="KC225" s="21"/>
      <c r="KD225" s="37"/>
      <c r="KE225" s="28"/>
      <c r="KF225" s="28"/>
      <c r="KG225" s="28"/>
      <c r="KH225" s="39"/>
      <c r="KI225" s="39"/>
      <c r="KJ225" s="66"/>
      <c r="KK225" s="39"/>
      <c r="KL225" s="39"/>
      <c r="KM225" s="66"/>
      <c r="KN225" s="39"/>
      <c r="KO225" s="39"/>
      <c r="KP225" s="39"/>
      <c r="KQ225" s="39"/>
      <c r="KR225" s="39"/>
      <c r="KS225" s="39"/>
      <c r="KT225" s="39"/>
      <c r="KU225" s="38"/>
      <c r="KV225" s="38"/>
      <c r="KW225" s="38"/>
      <c r="KX225" s="38"/>
      <c r="KY225" s="38"/>
      <c r="KZ225" s="38"/>
      <c r="LA225" s="38"/>
      <c r="LB225" s="38"/>
      <c r="LC225" s="38"/>
      <c r="LD225" s="38"/>
      <c r="LE225" s="38"/>
      <c r="LF225" s="38"/>
      <c r="LG225" s="38"/>
      <c r="LH225" s="38"/>
      <c r="LI225" s="38"/>
      <c r="LJ225" s="38"/>
      <c r="LK225" s="38"/>
      <c r="LL225" s="38"/>
      <c r="LM225" s="38"/>
      <c r="LN225" s="38"/>
      <c r="LO225" s="38"/>
      <c r="LP225" s="38"/>
      <c r="LQ225" s="38"/>
      <c r="LR225" s="38"/>
      <c r="LS225" s="38"/>
      <c r="LT225" s="38"/>
      <c r="LU225" s="38"/>
      <c r="LV225" s="38"/>
      <c r="LW225" s="38"/>
      <c r="LX225" s="38"/>
      <c r="LY225" s="38"/>
      <c r="LZ225" s="38"/>
      <c r="MA225" s="38"/>
      <c r="MB225" s="38"/>
      <c r="MC225" s="38"/>
      <c r="MD225" s="38"/>
      <c r="ME225" s="38"/>
      <c r="MF225" s="38"/>
      <c r="MG225" s="38"/>
      <c r="MH225" s="43">
        <f t="shared" si="885"/>
        <v>0</v>
      </c>
      <c r="MI225" s="43" t="str">
        <f t="shared" si="929"/>
        <v/>
      </c>
      <c r="MJ225" s="43" t="str">
        <f t="shared" si="887"/>
        <v/>
      </c>
      <c r="MK225" s="43">
        <f t="shared" si="888"/>
        <v>0</v>
      </c>
      <c r="ML22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25" s="43">
        <f t="shared" si="930"/>
        <v>28.142857142857142</v>
      </c>
      <c r="MN225" s="43">
        <f t="shared" si="931"/>
        <v>8</v>
      </c>
      <c r="MO225" s="43">
        <f t="shared" si="932"/>
        <v>2023</v>
      </c>
      <c r="MP225" s="43" t="str">
        <f t="shared" si="892"/>
        <v>III TRIMESTRE AÑO</v>
      </c>
      <c r="MQ225" s="43">
        <f t="shared" si="933"/>
        <v>32.742006132282086</v>
      </c>
      <c r="MR225" s="43">
        <f t="shared" si="894"/>
        <v>0</v>
      </c>
      <c r="MS225" s="43" t="str">
        <f t="shared" si="895"/>
        <v xml:space="preserve"> DE 30 A 34 AÑOS</v>
      </c>
      <c r="MT225" s="43">
        <f t="shared" si="896"/>
        <v>0</v>
      </c>
      <c r="MU225" s="43">
        <f t="shared" si="897"/>
        <v>0</v>
      </c>
      <c r="MV225" s="43">
        <f t="shared" si="898"/>
        <v>0</v>
      </c>
      <c r="MW225" s="43">
        <f t="shared" si="899"/>
        <v>0</v>
      </c>
      <c r="MX225" s="43" t="str">
        <f t="shared" si="900"/>
        <v/>
      </c>
      <c r="MY225" s="43">
        <f t="shared" ca="1" si="901"/>
        <v>1</v>
      </c>
      <c r="MZ225" s="43" t="str">
        <f t="shared" si="902"/>
        <v/>
      </c>
      <c r="NA225" s="43">
        <f t="shared" si="903"/>
        <v>3</v>
      </c>
      <c r="NB225" s="43" t="str">
        <f t="shared" si="904"/>
        <v/>
      </c>
      <c r="NC225" s="43" t="str">
        <f t="shared" si="905"/>
        <v/>
      </c>
      <c r="ND225" s="43">
        <f t="shared" ca="1" si="934"/>
        <v>4</v>
      </c>
      <c r="NE225" s="43">
        <f>IF(OR(O225&gt;0,R225&gt;0),SUM(COUNTIF(Tabla1[[#This Row],[AÑOS AL INICIO5 CPN]],"&gt;=40"),COUNTIF(AS225,"0"),COUNTIF(AR225,"SI"),COUNTIF(CC225,"SI"),COUNTIF(BQ225,"&gt;119"),COUNTIF(CI225,"&gt;=35")),"")</f>
        <v>1</v>
      </c>
      <c r="NF225" s="43" t="str">
        <f t="shared" si="935"/>
        <v/>
      </c>
      <c r="NG225" s="43">
        <f t="shared" si="908"/>
        <v>0</v>
      </c>
      <c r="NH225" s="43">
        <f t="shared" si="909"/>
        <v>204.4</v>
      </c>
      <c r="NI22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CPN",P225="NO"),"Z",IF(AND(Tabla1[[#This Row],[CITA PROXIMO CONTROL]]="CITA MANUAL",Tabla1[[#This Row],[GESTANTES ACTUALES]]="ACTIVA INGRESO A CPN"),"W",IF(AND(Tabla1[[#This Row],[GESTANTES ACTUALES]]="SALIO PROGRAMA",IN225=""),"S",IF(AND(Tabla1[[#This Row],[CITA PROXIMO CONTROL]]&gt;0,IN225=""),(Tabla1[[#This Row],[CITA PROXIMO CONTROL]]-TODAY()),"SD"))))))))</f>
        <v>#REF!</v>
      </c>
      <c r="NJ225" s="43">
        <f>MONTH(Tabla1[[#This Row],[FECHA DE SALIDA  DEL PROGRAMA]])</f>
        <v>1</v>
      </c>
      <c r="NK225" s="43">
        <f>YEAR(Tabla1[[#This Row],[FECHA DE SALIDA  DEL PROGRAMA]])</f>
        <v>1900</v>
      </c>
      <c r="NL225" s="43" t="str">
        <f t="shared" si="936"/>
        <v>X</v>
      </c>
      <c r="NM225" s="43" t="str">
        <f t="shared" si="941"/>
        <v>NO</v>
      </c>
      <c r="NN225" s="43" t="str">
        <f ca="1">IF(AND(O225&gt;0,R225=""),"NO CPN",IF(AND(O225="",R225=""),"",IF(AND(R225&gt;0,Tabla1[[#This Row],[SEMANAS DE GESTACION ACTUALIZADAS]]&lt;=12),"NO APLICA",IF(AND(FH225&lt;&gt;"",FN225&lt;&gt;""),"SI","NO"))))</f>
        <v>NO</v>
      </c>
      <c r="NO225" s="43" t="str">
        <f ca="1">IF(AND(O225&gt;0,R225=""),"NO CPN",IF(AND(O225="",R225=""),"",IF(AND(R225&gt;0,Tabla1[[#This Row],[SEMANAS DE GESTACION ACTUALIZADAS]]&lt;=27),"NO APLICA",IF(AND(ES225&lt;&gt;"",FQ225&lt;&gt;"",GF225&lt;&gt;""),"SI","NO"))))</f>
        <v>NO</v>
      </c>
      <c r="NP225" s="204" t="str">
        <f t="shared" si="912"/>
        <v>III TRIM</v>
      </c>
      <c r="NQ225" s="21" t="str">
        <f t="shared" si="1046"/>
        <v/>
      </c>
      <c r="NR225" s="21">
        <f t="shared" si="937"/>
        <v>1</v>
      </c>
      <c r="NS225" s="205">
        <f t="shared" ca="1" si="914"/>
        <v>1</v>
      </c>
      <c r="NT225" s="21">
        <f t="shared" ca="1" si="915"/>
        <v>1</v>
      </c>
      <c r="NU225" s="21" t="str">
        <f t="shared" ca="1" si="916"/>
        <v>COMPLETO</v>
      </c>
      <c r="NV225" s="21" t="str">
        <f t="shared" ca="1" si="917"/>
        <v>COMPLETO</v>
      </c>
      <c r="NW225" s="206" t="str">
        <f>IF(AND(O225="",R225=""),"",IF(OR(AND(Tabla1[[#This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25" s="207" t="str">
        <f t="shared" ca="1" si="938"/>
        <v>SIN VACUNAR</v>
      </c>
      <c r="NY225" s="43">
        <f>ROW(Tabla1[[#This Row],['# DE TAMIZAJES SIFILIS TOMADOS ]])</f>
        <v>225</v>
      </c>
      <c r="NZ225" s="43">
        <f t="shared" si="942"/>
        <v>28</v>
      </c>
      <c r="OA225" s="43" t="str">
        <f t="shared" si="943"/>
        <v/>
      </c>
      <c r="OB225" s="43" t="str">
        <f t="shared" si="944"/>
        <v/>
      </c>
      <c r="OC225" s="43" t="str">
        <f t="shared" si="945"/>
        <v/>
      </c>
      <c r="OD225" s="43" t="str">
        <f t="shared" si="946"/>
        <v/>
      </c>
      <c r="OE225" s="43" t="str">
        <f t="shared" si="947"/>
        <v/>
      </c>
      <c r="OF225" s="43" t="str">
        <f t="shared" si="948"/>
        <v/>
      </c>
      <c r="OG225" s="43" t="str">
        <f t="shared" si="949"/>
        <v/>
      </c>
      <c r="OH225" s="43" t="str">
        <f t="shared" si="950"/>
        <v/>
      </c>
      <c r="OI225" s="43" t="str">
        <f t="shared" si="951"/>
        <v/>
      </c>
      <c r="OJ225" s="43" t="str">
        <f t="shared" si="952"/>
        <v/>
      </c>
      <c r="OK225" s="43" t="str">
        <f t="shared" si="953"/>
        <v/>
      </c>
      <c r="OL225" s="43" t="str">
        <f t="shared" si="954"/>
        <v/>
      </c>
      <c r="OM225" s="43" t="str">
        <f t="shared" si="955"/>
        <v/>
      </c>
      <c r="ON225" s="43" t="str">
        <f t="shared" si="956"/>
        <v/>
      </c>
      <c r="OO225" s="43" t="str">
        <f t="shared" si="957"/>
        <v/>
      </c>
      <c r="OP225" s="43" t="str">
        <f t="shared" si="958"/>
        <v/>
      </c>
      <c r="OQ225" s="43" t="str">
        <f t="shared" si="959"/>
        <v/>
      </c>
      <c r="OR225" s="43" t="str">
        <f t="shared" si="960"/>
        <v/>
      </c>
      <c r="OS225" s="43" t="str">
        <f t="shared" si="961"/>
        <v/>
      </c>
      <c r="OT225" s="43" t="str">
        <f t="shared" si="962"/>
        <v>SOBREPESO</v>
      </c>
      <c r="OU225" s="43" t="str">
        <f t="shared" si="963"/>
        <v/>
      </c>
      <c r="OV225" s="110" t="str">
        <f t="shared" si="964"/>
        <v/>
      </c>
      <c r="OW225" s="43" t="str">
        <f t="shared" si="965"/>
        <v/>
      </c>
      <c r="OX225" s="43" t="str">
        <f t="shared" si="966"/>
        <v/>
      </c>
      <c r="OY225" s="43" t="str">
        <f t="shared" si="967"/>
        <v/>
      </c>
      <c r="OZ225" s="43" t="str">
        <f t="shared" si="968"/>
        <v/>
      </c>
      <c r="PA225" s="43" t="str">
        <f t="shared" si="969"/>
        <v/>
      </c>
      <c r="PB225" s="43" t="str">
        <f t="shared" si="970"/>
        <v/>
      </c>
      <c r="PC225" s="43" t="str">
        <f t="shared" si="971"/>
        <v/>
      </c>
      <c r="PD225" s="43" t="str">
        <f t="shared" si="972"/>
        <v/>
      </c>
      <c r="PE225" s="43" t="str">
        <f t="shared" si="973"/>
        <v/>
      </c>
      <c r="PF225" s="43" t="str">
        <f t="shared" si="974"/>
        <v/>
      </c>
      <c r="PG225" s="43" t="str">
        <f t="shared" si="975"/>
        <v/>
      </c>
      <c r="PH225" s="43" t="str">
        <f t="shared" si="976"/>
        <v/>
      </c>
      <c r="PI225" s="43">
        <f t="shared" si="977"/>
        <v>28</v>
      </c>
      <c r="PJ225" s="43" t="str">
        <f t="shared" si="978"/>
        <v/>
      </c>
      <c r="PK225" s="43" t="str">
        <f t="shared" si="979"/>
        <v/>
      </c>
      <c r="PL225" s="43" t="str">
        <f t="shared" si="980"/>
        <v/>
      </c>
      <c r="PM225" s="43" t="str">
        <f t="shared" si="981"/>
        <v/>
      </c>
      <c r="PN225" s="43" t="str">
        <f t="shared" si="982"/>
        <v/>
      </c>
      <c r="PO225" s="43" t="str">
        <f t="shared" si="983"/>
        <v/>
      </c>
      <c r="PP225" s="43" t="str">
        <f t="shared" si="984"/>
        <v/>
      </c>
      <c r="PQ225" s="43" t="str">
        <f t="shared" si="985"/>
        <v/>
      </c>
      <c r="PR225" s="43" t="str">
        <f t="shared" si="986"/>
        <v/>
      </c>
      <c r="PS225" s="43" t="str">
        <f t="shared" si="987"/>
        <v/>
      </c>
      <c r="PT225" s="43" t="str">
        <f t="shared" si="988"/>
        <v/>
      </c>
      <c r="PU225" s="43" t="str">
        <f t="shared" si="989"/>
        <v/>
      </c>
      <c r="PV225" s="43" t="str">
        <f t="shared" si="990"/>
        <v/>
      </c>
      <c r="PW225" s="43" t="str">
        <f t="shared" si="991"/>
        <v/>
      </c>
      <c r="PX225" s="43" t="str">
        <f t="shared" si="992"/>
        <v/>
      </c>
      <c r="PY225" s="43" t="str">
        <f t="shared" si="993"/>
        <v/>
      </c>
      <c r="PZ225" s="43" t="str">
        <f t="shared" si="994"/>
        <v/>
      </c>
      <c r="QA225" s="43" t="str">
        <f t="shared" si="995"/>
        <v/>
      </c>
      <c r="QB225" s="43" t="str">
        <f t="shared" si="996"/>
        <v/>
      </c>
      <c r="QC225" s="43" t="str">
        <f t="shared" si="997"/>
        <v>SOBREPESO</v>
      </c>
      <c r="QD225" s="43" t="str">
        <f t="shared" si="998"/>
        <v/>
      </c>
      <c r="QE225" s="43" t="str">
        <f t="shared" si="999"/>
        <v/>
      </c>
      <c r="QF225" s="43" t="str">
        <f t="shared" si="1000"/>
        <v/>
      </c>
      <c r="QG225" s="43" t="str">
        <f t="shared" si="1001"/>
        <v/>
      </c>
      <c r="QH225" s="43" t="str">
        <f t="shared" si="1002"/>
        <v/>
      </c>
      <c r="QI225" s="43" t="str">
        <f t="shared" si="1003"/>
        <v/>
      </c>
      <c r="QJ225" s="43" t="str">
        <f t="shared" si="1004"/>
        <v/>
      </c>
      <c r="QK225" s="43" t="str">
        <f t="shared" si="1005"/>
        <v/>
      </c>
      <c r="QL225" s="43" t="str">
        <f t="shared" si="1006"/>
        <v/>
      </c>
      <c r="QM225" s="43" t="str">
        <f t="shared" si="1007"/>
        <v/>
      </c>
      <c r="QN225" s="43" t="str">
        <f t="shared" si="1008"/>
        <v/>
      </c>
      <c r="QO225" s="43" t="str">
        <f t="shared" si="1009"/>
        <v/>
      </c>
      <c r="QP225" s="43" t="str">
        <f t="shared" si="1010"/>
        <v/>
      </c>
      <c r="QQ225" s="43" t="str">
        <f t="shared" si="1011"/>
        <v/>
      </c>
      <c r="QR225" s="43">
        <f t="shared" si="1012"/>
        <v>28</v>
      </c>
      <c r="QS225" s="43"/>
      <c r="QT225" s="21" t="str">
        <f t="shared" si="1013"/>
        <v/>
      </c>
      <c r="QU225" s="21" t="str">
        <f t="shared" si="1014"/>
        <v/>
      </c>
      <c r="QV225" s="21" t="str">
        <f t="shared" si="1015"/>
        <v/>
      </c>
      <c r="QW225" s="21" t="str">
        <f t="shared" si="1016"/>
        <v/>
      </c>
      <c r="QX225" s="21" t="str">
        <f t="shared" si="1017"/>
        <v/>
      </c>
      <c r="QY225" s="21" t="str">
        <f t="shared" si="1018"/>
        <v/>
      </c>
      <c r="QZ225" s="21" t="str">
        <f t="shared" si="1019"/>
        <v/>
      </c>
      <c r="RA225" s="21" t="str">
        <f t="shared" si="1020"/>
        <v/>
      </c>
      <c r="RB225" s="21" t="str">
        <f t="shared" si="1021"/>
        <v/>
      </c>
      <c r="RC225" s="21" t="str">
        <f t="shared" si="1022"/>
        <v/>
      </c>
      <c r="RD225" s="21" t="str">
        <f t="shared" si="1023"/>
        <v/>
      </c>
      <c r="RE225" s="21" t="str">
        <f t="shared" si="1024"/>
        <v/>
      </c>
      <c r="RF225" s="21" t="str">
        <f t="shared" si="1025"/>
        <v/>
      </c>
      <c r="RG225" s="21" t="str">
        <f t="shared" si="1026"/>
        <v/>
      </c>
      <c r="RH225" s="21" t="str">
        <f t="shared" si="1027"/>
        <v/>
      </c>
      <c r="RI225" s="21" t="str">
        <f t="shared" si="1028"/>
        <v/>
      </c>
      <c r="RJ225" s="21" t="str">
        <f t="shared" si="1029"/>
        <v/>
      </c>
      <c r="RK225" s="21" t="str">
        <f t="shared" si="1030"/>
        <v/>
      </c>
      <c r="RL225" s="21" t="str">
        <f t="shared" si="1031"/>
        <v/>
      </c>
      <c r="RM225" s="21" t="str">
        <f t="shared" si="1032"/>
        <v/>
      </c>
      <c r="RN225" s="21" t="str">
        <f t="shared" si="1033"/>
        <v/>
      </c>
      <c r="RO225" s="21" t="str">
        <f t="shared" si="1034"/>
        <v/>
      </c>
      <c r="RP225" s="21" t="str">
        <f t="shared" si="1035"/>
        <v/>
      </c>
      <c r="RQ225" s="21" t="str">
        <f t="shared" si="1036"/>
        <v/>
      </c>
      <c r="RR225" s="21" t="str">
        <f t="shared" si="1037"/>
        <v/>
      </c>
      <c r="RS225" s="21" t="str">
        <f t="shared" si="1038"/>
        <v/>
      </c>
      <c r="RT225" s="21" t="str">
        <f t="shared" si="1039"/>
        <v/>
      </c>
      <c r="RU225" s="21" t="str">
        <f t="shared" si="1040"/>
        <v/>
      </c>
      <c r="RV225" s="21">
        <f t="shared" si="1041"/>
        <v>-1</v>
      </c>
      <c r="RW225" s="284">
        <f>IF(OR(Tabla1[[#This Row],[FUM FORMULA CONFIABLE]]="",Tabla1[[#This Row],[FUM FORMULA CONFIABLE]]="SD"),"",IF(Tabla1[[#This Row],[FUM FORMULA CONFIABLE]]="CORREGIDA",Tabla1[[#This Row],[FUM X ECO 1]],Tabla1[[#This Row],[FUM x AMENORREA]]))</f>
        <v>44944</v>
      </c>
      <c r="RX225" s="21">
        <f>IF(AND(Tabla1[[#This Row],[FUM X ECO 1]]="",Tabla1[[#This Row],[FUM x AMENORREA]]=""),"",IF(AND(Tabla1[[#This Row],[FUM X ECO 1]]="",Tabla1[[#This Row],[FUM x AMENORREA]]&lt;&gt;""),"X",SUM(Tabla1[[#This Row],[FUM X ECO 1]]-Tabla1[[#This Row],[FUM x AMENORREA]])))</f>
        <v>0.59999999999854481</v>
      </c>
      <c r="RY225" s="21">
        <f t="shared" si="1042"/>
        <v>0</v>
      </c>
    </row>
    <row r="226" spans="1:493" ht="45" customHeight="1" x14ac:dyDescent="0.25">
      <c r="A226" s="109"/>
      <c r="B226" s="43" t="s">
        <v>1611</v>
      </c>
      <c r="C226" s="299" t="s">
        <v>845</v>
      </c>
      <c r="D226" s="124"/>
      <c r="E226" s="43" t="s">
        <v>914</v>
      </c>
      <c r="F226" s="43" t="s">
        <v>943</v>
      </c>
      <c r="G226" s="43" t="s">
        <v>1198</v>
      </c>
      <c r="H226" s="43"/>
      <c r="I226" s="109" t="s">
        <v>851</v>
      </c>
      <c r="J226" s="110">
        <v>1059605317</v>
      </c>
      <c r="K226" s="43" t="s">
        <v>852</v>
      </c>
      <c r="L226" s="175" t="s">
        <v>1509</v>
      </c>
      <c r="M226" s="22">
        <v>35788</v>
      </c>
      <c r="N226" s="213">
        <f t="shared" ca="1" si="841"/>
        <v>25.873972602739727</v>
      </c>
      <c r="O226" s="22">
        <v>45128</v>
      </c>
      <c r="P226" s="214" t="str">
        <f t="shared" si="919"/>
        <v>SI</v>
      </c>
      <c r="Q226" s="26" t="s">
        <v>855</v>
      </c>
      <c r="R226" s="22">
        <v>45128</v>
      </c>
      <c r="S226" s="21" t="s">
        <v>856</v>
      </c>
      <c r="T226" s="24" t="s">
        <v>690</v>
      </c>
      <c r="U226" s="21" t="s">
        <v>857</v>
      </c>
      <c r="V226" s="21" t="s">
        <v>858</v>
      </c>
      <c r="W226" s="21" t="s">
        <v>1610</v>
      </c>
      <c r="X226" s="21" t="s">
        <v>1610</v>
      </c>
      <c r="Y226" s="21" t="s">
        <v>1610</v>
      </c>
      <c r="Z226" s="21">
        <v>3155371946</v>
      </c>
      <c r="AA226" s="21" t="s">
        <v>860</v>
      </c>
      <c r="AB226" s="27" t="s">
        <v>861</v>
      </c>
      <c r="AC226" s="26" t="s">
        <v>888</v>
      </c>
      <c r="AD226" s="38" t="s">
        <v>1546</v>
      </c>
      <c r="AE226" s="26" t="s">
        <v>854</v>
      </c>
      <c r="AF226" s="26" t="s">
        <v>854</v>
      </c>
      <c r="AG226" s="23" t="s">
        <v>864</v>
      </c>
      <c r="AH226" s="23" t="s">
        <v>864</v>
      </c>
      <c r="AI226" s="24" t="s">
        <v>863</v>
      </c>
      <c r="AJ226" s="23" t="s">
        <v>864</v>
      </c>
      <c r="AK226" s="220" t="str">
        <f>IF(AND(AD226="",AE226="",AF226="",AG226="",AH226="",AI226="",AJ226=""),"",IF(OR(Tabla1[[#This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EVALUACIÓN",IF(AND(O226="",R226=""),"",IF(AND(OR(O226&gt;0,R226&gt;0),NG226&gt;=0,NG226&lt;2),"SIN RIESGO",IF(AND(OR(O226&gt;0,R226&gt;0),NG226&gt;=2),"CON RIESGO","ASD")))))</f>
        <v>SIN RIESGO</v>
      </c>
      <c r="AL226" s="26" t="s">
        <v>864</v>
      </c>
      <c r="AM226" s="26" t="s">
        <v>864</v>
      </c>
      <c r="AN226" s="26" t="s">
        <v>864</v>
      </c>
      <c r="AO226" s="26" t="s">
        <v>864</v>
      </c>
      <c r="AP226" s="26" t="s">
        <v>864</v>
      </c>
      <c r="AQ226" s="26" t="s">
        <v>864</v>
      </c>
      <c r="AR226" s="26" t="s">
        <v>864</v>
      </c>
      <c r="AS226" s="21">
        <v>1</v>
      </c>
      <c r="AT226" s="21">
        <v>1</v>
      </c>
      <c r="AU226" s="21">
        <v>0</v>
      </c>
      <c r="AV226" s="26" t="s">
        <v>864</v>
      </c>
      <c r="AW226" s="21">
        <v>0</v>
      </c>
      <c r="AX226" s="26" t="s">
        <v>864</v>
      </c>
      <c r="AY226" s="26" t="s">
        <v>864</v>
      </c>
      <c r="AZ226" s="26" t="s">
        <v>864</v>
      </c>
      <c r="BA226" s="26" t="s">
        <v>864</v>
      </c>
      <c r="BB226" s="26" t="s">
        <v>864</v>
      </c>
      <c r="BC226" s="26" t="s">
        <v>864</v>
      </c>
      <c r="BD226" s="26" t="s">
        <v>864</v>
      </c>
      <c r="BE226" s="26" t="s">
        <v>864</v>
      </c>
      <c r="BF226" s="26" t="s">
        <v>864</v>
      </c>
      <c r="BG226" s="26" t="s">
        <v>864</v>
      </c>
      <c r="BH226" s="26" t="s">
        <v>864</v>
      </c>
      <c r="BI226" s="26" t="s">
        <v>864</v>
      </c>
      <c r="BJ226" s="26" t="s">
        <v>864</v>
      </c>
      <c r="BK226" s="26" t="s">
        <v>864</v>
      </c>
      <c r="BL226" s="26" t="s">
        <v>864</v>
      </c>
      <c r="BM226" s="26" t="s">
        <v>864</v>
      </c>
      <c r="BN226" s="22">
        <v>43401</v>
      </c>
      <c r="BO226" s="22">
        <v>45055</v>
      </c>
      <c r="BP226" s="21" t="s">
        <v>854</v>
      </c>
      <c r="BQ226" s="222">
        <f t="shared" si="842"/>
        <v>55.133333333333333</v>
      </c>
      <c r="BR226" s="223">
        <f t="shared" si="843"/>
        <v>45055.9</v>
      </c>
      <c r="BS226" s="224">
        <f t="shared" si="844"/>
        <v>10.428571428571429</v>
      </c>
      <c r="BT226" s="216" t="str">
        <f t="shared" si="845"/>
        <v>II TRIM</v>
      </c>
      <c r="BU226" s="214">
        <f t="shared" ca="1" si="928"/>
        <v>25.285714285714285</v>
      </c>
      <c r="BV226" s="25" t="s">
        <v>988</v>
      </c>
      <c r="BW226" s="22">
        <v>45149</v>
      </c>
      <c r="BX226" s="28">
        <v>13.3</v>
      </c>
      <c r="BY226" s="28"/>
      <c r="BZ226" s="22"/>
      <c r="CA226" s="21"/>
      <c r="CB226" s="26" t="s">
        <v>864</v>
      </c>
      <c r="CC226" s="26" t="s">
        <v>864</v>
      </c>
      <c r="CD226" s="26" t="s">
        <v>865</v>
      </c>
      <c r="CE226" s="26" t="s">
        <v>864</v>
      </c>
      <c r="CF226" s="22" t="s">
        <v>1517</v>
      </c>
      <c r="CG226" s="21">
        <v>1.63</v>
      </c>
      <c r="CH226" s="21">
        <v>64.7</v>
      </c>
      <c r="CI226" s="214">
        <f t="shared" si="847"/>
        <v>24.351688057510636</v>
      </c>
      <c r="CJ226" s="225" t="e">
        <f>IF(AND(CI226&lt;10,CH226="SD"),"SIN DATO PESO PREGESTACION O I TRIM",IF(AND(OR(R226&gt;0,O226&gt;0),CI226="X"),"INGRESAR DATO DE PESO",IF(CI226="SD","INGRESAR DATO DE TALLA Y PESO",IF(AND(OR(Tabla1[[#This Row],[MOMENTO EN QUE SE REALIZA EL PESO AL INGRESO A CPN]]="PREGESTACIÓN",NZ226="Menor"),CI226&lt;18.5),"BAJO PESO",IF(AND(OR(Tabla1[[#This Row],[MOMENTO EN QUE SE REALIZA EL PESO AL INGRESO A CPN]]="PREGESTACIÓN",NZ226="Menor"),CI226&lt;25),"NORMAL",IF(AND(OR(Tabla1[[#This Row],[MOMENTO EN QUE SE REALIZA EL PESO AL INGRESO A CPN]]="PREGESTACIÓN",NZ226="Menor"),CI226&lt;30),"SOBREPESO",IF(AND(OR(Tabla1[[#This Row],[MOMENTO EN QUE SE REALIZA EL PESO AL INGRESO A CPN]]="PREGESTACIÓN",NZ226="Menor"),CI226&gt;=30,CI226&lt;50),"OBESIDAD",IF(AND(BS226&gt;0,Tabla1[[#This Row],[MOMENTO EN QUE SE REALIZA EL PESO AL INGRESO A CPN]]="GESTACIÓN"),HLOOKUP(NZ226,$OA$2:PH226,NY226),""))))))))</f>
        <v>#REF!</v>
      </c>
      <c r="CK226" s="212">
        <f t="shared" si="848"/>
        <v>45128</v>
      </c>
      <c r="CL226" s="21">
        <v>64.7</v>
      </c>
      <c r="CM226" s="214">
        <f t="shared" si="849"/>
        <v>24.351688057510636</v>
      </c>
      <c r="CN226" s="216">
        <f t="shared" si="850"/>
        <v>10</v>
      </c>
      <c r="CO226" s="216" t="e">
        <f>IF(PI226="","",IF(PI226&gt;0,HLOOKUP(PI226,$PJ$2:QQ226,NY226),""))</f>
        <v>#REF!</v>
      </c>
      <c r="CP226" s="21"/>
      <c r="CQ226" s="216" t="str">
        <f>IF(QR226="Menor","NO APLICA-MENOR 13 SEM",IF(AND(CC226="SI",CN226&gt;23),"NO APLICA- GEMELAR",IF(QR226="","",IF(QR226&gt;0,HLOOKUP(QR226,$QS$2:RU226,NY226),""))))</f>
        <v>NO APLICA-MENOR 13 SEM</v>
      </c>
      <c r="CR226" s="21">
        <v>90</v>
      </c>
      <c r="CS226" s="21">
        <v>60</v>
      </c>
      <c r="CT226" s="217" t="str">
        <f>IF(R226="","",IF(AND(BS226&gt;1,BS226&lt;12,Tabla1[[#This Row],[T.A. SISTOLICA - ANTES DE SEMANA 12]]="",Tabla1[[#This Row],[T.A. DIASTOLICA - ANTES DE SEMANA 12]]=""),"REGISTRE DATO TA ANTES SEMANA 12",IF(AND(BS226&gt;11,BS226&lt;43,Tabla1[[#This Row],[T.A. SISTOLICA - ANTES DE SEMANA 12]]="",Tabla1[[#This Row],[T.A. DIASTOLICA - ANTES DE SEMANA 12]]=""),"NO APLICA REGISTRO TA-INGRESO TARDIO",IF(AND(OR(O226&gt;0,R226&gt;0),OR(CR226&gt;=140,CS226&gt;=90)),"DEFINIR ESTADIO HTA",IF(AND(OR(O226&gt;0,R226&gt;0),AND(CR226&gt;120,CR226&lt;=139)),"PRE HTA SEGUIMIENTO",IF(AND(OR(O226&gt;0,R226&gt;0),AND(CS226&gt;80,CS226&lt;=89)),"PRE HTA SEGUIMIENTO",IF(AND(OR(O226&gt;0,R226&gt;0),AND(CR226&gt;=80,CR226&lt;=120)),"APARENTEMENTE NORMAL",IF(AND(OR(O226&gt;0,R226&gt;0),AND(CS226&gt;=50,CS226&lt;=80)),"APARENTEMENTE NORMAL",IF(AND(OR(O226&gt;0,R226&gt;0),AND(CR226&gt;1,CR226&lt;=70),AND(CS226&gt;1,CS226&lt;=40)),"HIPOTENSIÓN","")))))))))</f>
        <v>APARENTEMENTE NORMAL</v>
      </c>
      <c r="CU226" s="21"/>
      <c r="CV226" s="21"/>
      <c r="CW226" s="217" t="str">
        <f ca="1">IF(R226="","",IF(AND(CN226&gt;19,CN226&lt;27,Tabla1[[#This Row],[T.A. SISTOLICA (Entre semana 20 y 26)]]="",Tabla1[[#This Row],[T.A. DIATOLICA (Entre semana 20 y 26)]]=""),"ACUDE A CONTROL SEM 20 A 26 REGISTRE TA AHORA",IF(AND(BS226&gt;1,BS226&lt;27,BU226&gt;19,Tabla1[[#This Row],[T.A. SISTOLICA (Entre semana 20 y 26)]]="",Tabla1[[#This Row],[T.A. DIATOLICA (Entre semana 20 y 26)]]=""),"COMPLETE REGISTRO TA CONTROL SEM 20 A26 ",IF(AND(BS226&gt;26,BS226&lt;43,Tabla1[[#This Row],[T.A. SISTOLICA (Entre semana 20 y 26)]]="",Tabla1[[#This Row],[T.A. DIATOLICA (Entre semana 20 y 26)]]=""),"NO APLICA REGISTRO TA-INGRESO TARDIO",IF(AND(OR(O226&gt;0,R226&gt;0),OR(CU226&gt;=140,CV226&gt;=90)),"ALTO RIESGO PREECLAMPSIA,DEFINIR ESTADIO HTA",IF(AND(OR(O226&gt;0,R226&gt;0),AND(CU226&gt;120,CU226&lt;=139)),"PRE HTA SEGUIMIENTO,RIESGO HIPERTENSION INDUCIDA POR EL EMBARAZO",IF(AND(OR(O226&gt;0,R226&gt;0),AND(CV226&gt;80,CV226&lt;=89)),"PRE HTA SEGUIMIENTO, RIESGO HIPERTENSION INDUCIDA POR EL EMBARAZO",IF(AND(OR(O226&lt;&gt;"",R226&lt;&gt;""),CS226&lt;&gt;"",CV226&lt;&gt;"",CS226&lt;=CV226),"VIGILAR CIFRAS PRESION ARTERIAL",IF(AND(OR(O226&gt;0,R226&gt;0),AND(CU226&gt;120,CU226&lt;=139)),"PRE HTA SEGUIMIENTO",IF(AND(OR(O226&gt;0,R226&gt;0),AND(CU226&gt;1,CU226&lt;=70),AND(CV226&gt;1,CV226&lt;=40)),"HIPOTENSIÓN",IF(AND(OR(O226&lt;&gt;"",R226&lt;&gt;""),CS226&lt;&gt;"",CV226&lt;&gt;"",CS226&gt;CV226),"APARENTEMENTE NORMAL",IF(AND(OR(O226&gt;0,R226&gt;0),AND(CU226&gt;=80,CU226&lt;=120)),"APARENTEMENTE NORMAL",IF(AND(OR(O226&gt;0,R226&gt;0),AND(CV226&gt;=50,CV226&lt;=80)),"APARENTEMENTE NORMAL","")))))))))))))</f>
        <v xml:space="preserve">COMPLETE REGISTRO TA CONTROL SEM 20 A26 </v>
      </c>
      <c r="CX226" s="21"/>
      <c r="CY226" s="21"/>
      <c r="CZ226" s="216" t="str">
        <f t="shared" si="1045"/>
        <v/>
      </c>
      <c r="DA226" s="21">
        <v>90</v>
      </c>
      <c r="DB226" s="21">
        <v>60</v>
      </c>
      <c r="DC226" s="217" t="str">
        <f t="shared" si="851"/>
        <v>APARENTEMENTE NORMAL</v>
      </c>
      <c r="DD226" s="22">
        <v>45128</v>
      </c>
      <c r="DE226" s="22">
        <v>45128</v>
      </c>
      <c r="DF226" s="22"/>
      <c r="DG226" s="22"/>
      <c r="DH226" s="22"/>
      <c r="DI226" s="22"/>
      <c r="DJ226" s="22"/>
      <c r="DK226" s="22"/>
      <c r="DL226" s="22"/>
      <c r="DM226" s="22"/>
      <c r="DN226" s="22"/>
      <c r="DO226" s="22"/>
      <c r="DP226" s="22"/>
      <c r="DQ226" s="22"/>
      <c r="DR226" s="28"/>
      <c r="DS226" s="22"/>
      <c r="DT226" s="22"/>
      <c r="DU226" s="216" t="str">
        <f t="shared" ca="1" si="920"/>
        <v>EN ESPERA</v>
      </c>
      <c r="DV226" s="226" t="str">
        <f t="shared" si="921"/>
        <v>ACTIVA INGRESO A CPN</v>
      </c>
      <c r="DW22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26" s="216" t="e">
        <f t="shared" ca="1" si="852"/>
        <v>#REF!</v>
      </c>
      <c r="DY226" s="212">
        <f>IF(R226="","",IF(R226&gt;0,MAX(Tabla1[[#This Row],[FECHA C2]:[FECHA C13]],Tabla1[[#This Row],[FECHA CONSULTA PRIMERA VEZ PROGRAMA CPN ]])))</f>
        <v>45128</v>
      </c>
      <c r="DZ226" s="216">
        <f t="shared" si="853"/>
        <v>10</v>
      </c>
      <c r="EA226" s="222">
        <f>IF(R226&gt;0,SUM(COUNTA(DF226:DQ226)+COUNTA(Tabla1[[#This Row],[FECHA CONSULTA PRIMERA VEZ PROGRAMA CPN ]])),"")</f>
        <v>1</v>
      </c>
      <c r="EB226" s="222" t="str">
        <f t="shared" si="854"/>
        <v>NO</v>
      </c>
      <c r="EC226" s="214">
        <f t="shared" si="855"/>
        <v>9</v>
      </c>
      <c r="ED226" s="227">
        <f t="shared" si="856"/>
        <v>0.1111111111111111</v>
      </c>
      <c r="EE226" s="22">
        <v>45128</v>
      </c>
      <c r="EF226" s="22"/>
      <c r="EG226" s="22">
        <v>45128</v>
      </c>
      <c r="EH226" s="22"/>
      <c r="EI226" s="22">
        <v>45128</v>
      </c>
      <c r="EJ226" s="22"/>
      <c r="EK226" s="22"/>
      <c r="EL226" s="21"/>
      <c r="EM226" s="21">
        <v>13.2</v>
      </c>
      <c r="EN226" s="22">
        <v>45128</v>
      </c>
      <c r="EO226" s="222">
        <f t="shared" si="857"/>
        <v>10.428571428571429</v>
      </c>
      <c r="EP226" s="214" t="str">
        <f t="shared" si="858"/>
        <v>NORMAL- SUMINISTRAR SULFATO FERROSO</v>
      </c>
      <c r="EQ226" s="216" t="str">
        <f t="shared" si="859"/>
        <v>I TRIM</v>
      </c>
      <c r="ER226" s="24"/>
      <c r="ES226" s="22"/>
      <c r="ET226" s="29" t="str">
        <f t="shared" ca="1" si="922"/>
        <v>PROGRAMAR TOMA HEMOGLOBINA A SEM 28</v>
      </c>
      <c r="EU226" s="25" t="str">
        <f t="shared" si="860"/>
        <v/>
      </c>
      <c r="EV226" s="24" t="s">
        <v>1510</v>
      </c>
      <c r="EW226" s="22">
        <v>45128</v>
      </c>
      <c r="EX226" s="22"/>
      <c r="EY226" s="29">
        <f t="shared" si="1043"/>
        <v>10.428571428571429</v>
      </c>
      <c r="EZ226" s="25" t="str">
        <f t="shared" si="1044"/>
        <v>SIN RIESGO DE ISOINMUNIZACIÓN</v>
      </c>
      <c r="FA226" s="21">
        <v>93</v>
      </c>
      <c r="FB226" s="22">
        <v>45128</v>
      </c>
      <c r="FC226" s="29">
        <f t="shared" si="861"/>
        <v>10.428571428571429</v>
      </c>
      <c r="FD226" s="29"/>
      <c r="FE226" s="29"/>
      <c r="FF226" s="29"/>
      <c r="FG226" s="21" t="str">
        <f t="shared" ca="1" si="862"/>
        <v>TOMAR PTOG</v>
      </c>
      <c r="FH226" s="31"/>
      <c r="FI226" s="29" t="str">
        <f t="shared" si="863"/>
        <v>TOMAR EXAMEN</v>
      </c>
      <c r="FJ226" s="22" t="s">
        <v>867</v>
      </c>
      <c r="FK226" s="22">
        <v>45128</v>
      </c>
      <c r="FL226" s="29">
        <f t="shared" ca="1" si="864"/>
        <v>10.428571428571429</v>
      </c>
      <c r="FM226" s="22"/>
      <c r="FN226" s="32"/>
      <c r="FO226" s="29" t="str">
        <f t="shared" ca="1" si="923"/>
        <v>TOMA INMEDIATA DE TAMIZAJE</v>
      </c>
      <c r="FP226" s="22"/>
      <c r="FQ226" s="32"/>
      <c r="FR226" s="29" t="str">
        <f t="shared" ca="1" si="924"/>
        <v>EN ESPERA-ESTÁ I TRIM O II TRIM</v>
      </c>
      <c r="FS226" s="22"/>
      <c r="FT226" s="32"/>
      <c r="FU226" s="29" t="str">
        <f>IF(AND(FJ226="",FM226="",FP226="",FS226=""),"",IF(OR(OR(Tabla1[[#This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26" s="28"/>
      <c r="FW226" s="22"/>
      <c r="FX226" s="29" t="str">
        <f t="shared" si="865"/>
        <v>TOMAR EXAMEN</v>
      </c>
      <c r="FY226" s="22" t="s">
        <v>868</v>
      </c>
      <c r="FZ226" s="22">
        <v>45128</v>
      </c>
      <c r="GA226" s="29">
        <f t="shared" ca="1" si="939"/>
        <v>10.428571428571429</v>
      </c>
      <c r="GB226" s="22"/>
      <c r="GC226" s="22"/>
      <c r="GD226" s="29" t="str">
        <f t="shared" ca="1" si="940"/>
        <v>TOMA INMEDIATA DE TAMIZAJE</v>
      </c>
      <c r="GE226" s="22"/>
      <c r="GF226" s="22"/>
      <c r="GG226" s="29" t="str">
        <f t="shared" ca="1" si="926"/>
        <v>EN ESPERA-ESTÁ I TRIM O II TRIM</v>
      </c>
      <c r="GH226" s="22"/>
      <c r="GI226" s="29"/>
      <c r="GJ226" s="22"/>
      <c r="GK226" s="22"/>
      <c r="GL226" s="22"/>
      <c r="GM226" s="22"/>
      <c r="GN226" s="28" t="s">
        <v>869</v>
      </c>
      <c r="GO226" s="22">
        <v>45128</v>
      </c>
      <c r="GP226" s="29">
        <f t="shared" si="866"/>
        <v>10.428571428571429</v>
      </c>
      <c r="GQ226" s="28" t="s">
        <v>869</v>
      </c>
      <c r="GR226" s="28" t="s">
        <v>869</v>
      </c>
      <c r="GS226" s="22" t="str">
        <f t="shared" si="1047"/>
        <v>CONTROL Igm</v>
      </c>
      <c r="GT226" s="22">
        <v>45128</v>
      </c>
      <c r="GU226" s="29">
        <f t="shared" si="867"/>
        <v>10.428571428571429</v>
      </c>
      <c r="GV226" s="21" t="str">
        <f t="shared" si="868"/>
        <v>I TRIM</v>
      </c>
      <c r="GW226" s="28"/>
      <c r="GX226" s="30"/>
      <c r="GY226" s="21"/>
      <c r="GZ226" s="21"/>
      <c r="HA226" s="21"/>
      <c r="HB226" s="21"/>
      <c r="HC226" s="21"/>
      <c r="HD226" s="21"/>
      <c r="HE226" s="21"/>
      <c r="HF226" s="22"/>
      <c r="HG226" s="22" t="str">
        <f>IF(OR(O226&gt;0,R226&gt;0),CONCATENATE(IF(Tabla1[[#This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26" s="22" t="e">
        <f t="shared" si="869"/>
        <v>#REF!</v>
      </c>
      <c r="HI226" s="22" t="e">
        <f t="shared" ca="1" si="870"/>
        <v>#REF!</v>
      </c>
      <c r="HJ226" s="21" t="str">
        <f t="shared" ca="1" si="871"/>
        <v>***************************************</v>
      </c>
      <c r="HK226" s="21" t="str">
        <f t="shared" si="872"/>
        <v>SIN ANTECEDENTES DE RIESGO</v>
      </c>
      <c r="HL226" s="24" t="str">
        <f t="shared" si="873"/>
        <v>APARENTEMENTE NORMAL</v>
      </c>
      <c r="HM226" s="21" t="e">
        <f t="shared" ca="1" si="874"/>
        <v>#REF!</v>
      </c>
      <c r="HN226" s="30" t="str">
        <f t="shared" si="927"/>
        <v>ACTIVA INGRESO A CPN</v>
      </c>
      <c r="HO226" s="21"/>
      <c r="HP226" s="21"/>
      <c r="HQ226" s="349"/>
      <c r="HR226" s="21" t="str">
        <f>IF(R226="","",IF(Tabla1[[#This Row],[ALARMA FACTORES DE RIESGO COMPLICACIONES HIPERTENSIVAS3]]="SIN ANTECEDENTES DE RIESGO","No Aplica para suministro de ASA",IF(AND(Tabla1[[#This Row],[FECHA INICIO DE SUMINISTRO DE ASA]]&gt;0,RV226&lt;12),"Inicia ASA ANTES de Sem 12",IF(AND(RV226&gt;11,RV226&lt;17,OR(HK226="RIESGO ALTO DE COMPLICACIONES HIPERTENSIVAS VER MANEJO GUIA SUMINISTRO ASA Y CALCIO",HK226="RIESGO MODERADO (2 O MAS CRITERIOS) VER MANEJO GUIA SUMINISTRO ASA Y CALCIO")),"Inicio oportuno de ASA",IF(AND(RV226&gt;12,OR(HK226="RIESGO ALTO DE COMPLICACIONES HIPERTENSIVAS VER MANEJO GUIA SUMINISTRO ASA Y CALCIO",HK226="RIESGO MODERADO (2 O MAS CRITERIOS) VER MANEJO GUIA SUMINISTRO ASA Y CALCIO")),"Inicio no oportuno mayor a 16 semanas",IF(AND(BU226&lt;12,OR(HK226="RIESGO ALTO DE COMPLICACIONES HIPERTENSIVAS VER MANEJO GUIA SUMINISTRO ASA Y CALCIO",HK226="RIESGO MODERADO (2 O MAS CRITERIOS) VER MANEJO GUIA SUMINISTRO ASA Y CALCIO")),"Pendiente Inicio de ASA a la semana 12",IF(AND(BU226&gt;11,BU226&lt;17,OR(HK226="RIESGO ALTO DE COMPLICACIONES HIPERTENSIVAS VER MANEJO GUIA SUMINISTRO ASA Y CALCIO",HK226="RIESGO MODERADO (2 O MAS CRITERIOS) VER MANEJO GUIA SUMINISTRO ASA Y CALCIO")),"Iniciar de inmediato ASA",IF(AND(BU226&gt;16,OR(HK226="RIESGO ALTO DE COMPLICACIONES HIPERTENSIVAS VER MANEJO GUIA SUMINISTRO ASA Y CALCIO",HK226="RIESGO MODERADO (2 O MAS CRITERIOS) VER MANEJO GUIA SUMINISTRO ASA Y CALCIO")),"Pierde Oportunidad, Inicio tardío de ASA","XXXXX"))))))))</f>
        <v>No Aplica para suministro de ASA</v>
      </c>
      <c r="HS226" s="22"/>
      <c r="HT226" s="22"/>
      <c r="HU226" s="22"/>
      <c r="HV226" s="22"/>
      <c r="HW226" s="22"/>
      <c r="HX226" s="22"/>
      <c r="HY226" s="22">
        <v>45014</v>
      </c>
      <c r="HZ226" s="28" t="str">
        <f t="shared" si="875"/>
        <v>CORREGIR FECHA CONSULTA</v>
      </c>
      <c r="IA226" s="26"/>
      <c r="IB226" s="26"/>
      <c r="IC226" s="111"/>
      <c r="ID226" s="22"/>
      <c r="IE226" s="22" t="str">
        <f t="shared" ca="1" si="876"/>
        <v>PROGRAMAR APLICACION DE VACUNA</v>
      </c>
      <c r="IF226" s="22"/>
      <c r="IG226" s="22">
        <f t="shared" si="877"/>
        <v>45335</v>
      </c>
      <c r="IH226" s="29">
        <f t="shared" ca="1" si="878"/>
        <v>103</v>
      </c>
      <c r="II226" s="22" t="str">
        <f t="shared" ca="1" si="879"/>
        <v>PENDIENTE</v>
      </c>
      <c r="IJ226" s="22"/>
      <c r="IK226" s="21"/>
      <c r="IL226" s="21"/>
      <c r="IM226" s="34"/>
      <c r="IN226" s="22"/>
      <c r="IO226" s="21"/>
      <c r="IP226" s="29" t="str">
        <f t="shared" si="880"/>
        <v/>
      </c>
      <c r="IQ226" s="35"/>
      <c r="IR226" s="21"/>
      <c r="IS226" s="21"/>
      <c r="IT226" s="21"/>
      <c r="IU226" s="21"/>
      <c r="IV226" s="21"/>
      <c r="IW226" s="21"/>
      <c r="IX226" s="21"/>
      <c r="IY226" s="21"/>
      <c r="IZ226" s="21"/>
      <c r="JA226" s="21"/>
      <c r="JB226" s="30"/>
      <c r="JC226" s="21"/>
      <c r="JD226" s="36"/>
      <c r="JE226" s="21" t="str">
        <f t="shared" si="881"/>
        <v/>
      </c>
      <c r="JF226" s="30"/>
      <c r="JG226" s="21"/>
      <c r="JH226" s="21"/>
      <c r="JI226" s="21"/>
      <c r="JJ226" s="30"/>
      <c r="JK226" s="22"/>
      <c r="JL226" s="22"/>
      <c r="JM226" s="21"/>
      <c r="JN226" s="36"/>
      <c r="JO226" s="21" t="str">
        <f t="shared" si="882"/>
        <v/>
      </c>
      <c r="JP226" s="22"/>
      <c r="JQ226" s="21"/>
      <c r="JR226" s="21"/>
      <c r="JS226" s="21"/>
      <c r="JT226" s="30"/>
      <c r="JU226" s="22"/>
      <c r="JV226" s="22"/>
      <c r="JW226" s="33"/>
      <c r="JX226" s="28" t="str">
        <f t="shared" si="883"/>
        <v/>
      </c>
      <c r="JY226" s="33"/>
      <c r="JZ226" s="28" t="str">
        <f t="shared" si="884"/>
        <v/>
      </c>
      <c r="KA226" s="21"/>
      <c r="KB226" s="21"/>
      <c r="KC226" s="21"/>
      <c r="KD226" s="37"/>
      <c r="KE226" s="28"/>
      <c r="KF226" s="28"/>
      <c r="KG226" s="28"/>
      <c r="KH226" s="39"/>
      <c r="KI226" s="39"/>
      <c r="KJ226" s="66"/>
      <c r="KK226" s="39"/>
      <c r="KL226" s="39"/>
      <c r="KM226" s="66"/>
      <c r="KN226" s="39"/>
      <c r="KO226" s="39"/>
      <c r="KP226" s="39"/>
      <c r="KQ226" s="39"/>
      <c r="KR226" s="39"/>
      <c r="KS226" s="39"/>
      <c r="KT226" s="39"/>
      <c r="KU226" s="38"/>
      <c r="KV226" s="38"/>
      <c r="KW226" s="38"/>
      <c r="KX226" s="38"/>
      <c r="KY226" s="38"/>
      <c r="KZ226" s="38"/>
      <c r="LA226" s="38"/>
      <c r="LB226" s="38"/>
      <c r="LC226" s="38"/>
      <c r="LD226" s="38"/>
      <c r="LE226" s="38"/>
      <c r="LF226" s="38"/>
      <c r="LG226" s="38"/>
      <c r="LH226" s="38"/>
      <c r="LI226" s="38"/>
      <c r="LJ226" s="38"/>
      <c r="LK226" s="38"/>
      <c r="LL226" s="38"/>
      <c r="LM226" s="38"/>
      <c r="LN226" s="38"/>
      <c r="LO226" s="38"/>
      <c r="LP226" s="38"/>
      <c r="LQ226" s="38"/>
      <c r="LR226" s="38"/>
      <c r="LS226" s="38"/>
      <c r="LT226" s="38"/>
      <c r="LU226" s="38"/>
      <c r="LV226" s="38"/>
      <c r="LW226" s="38"/>
      <c r="LX226" s="38"/>
      <c r="LY226" s="38"/>
      <c r="LZ226" s="38"/>
      <c r="MA226" s="38"/>
      <c r="MB226" s="38"/>
      <c r="MC226" s="38"/>
      <c r="MD226" s="38"/>
      <c r="ME226" s="38"/>
      <c r="MF226" s="38"/>
      <c r="MG226" s="38"/>
      <c r="MH226" s="43">
        <f t="shared" si="885"/>
        <v>0</v>
      </c>
      <c r="MI226" s="43" t="str">
        <f t="shared" si="929"/>
        <v/>
      </c>
      <c r="MJ226" s="43" t="str">
        <f t="shared" si="887"/>
        <v/>
      </c>
      <c r="MK226" s="43">
        <f t="shared" si="888"/>
        <v>0</v>
      </c>
      <c r="ML22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26" s="43">
        <f t="shared" si="930"/>
        <v>10.428571428571429</v>
      </c>
      <c r="MN226" s="43">
        <f t="shared" si="931"/>
        <v>7</v>
      </c>
      <c r="MO226" s="43">
        <f t="shared" si="932"/>
        <v>2023</v>
      </c>
      <c r="MP226" s="43" t="str">
        <f t="shared" si="892"/>
        <v>III TRIMESTRE AÑO</v>
      </c>
      <c r="MQ226" s="43">
        <f t="shared" si="933"/>
        <v>25.205321944809459</v>
      </c>
      <c r="MR226" s="43">
        <f t="shared" si="894"/>
        <v>0</v>
      </c>
      <c r="MS226" s="43" t="str">
        <f t="shared" si="895"/>
        <v xml:space="preserve"> DE 25 A 29 AÑOS</v>
      </c>
      <c r="MT226" s="43">
        <f t="shared" si="896"/>
        <v>0</v>
      </c>
      <c r="MU226" s="43">
        <f t="shared" si="897"/>
        <v>0</v>
      </c>
      <c r="MV226" s="43">
        <f t="shared" si="898"/>
        <v>0</v>
      </c>
      <c r="MW226" s="43">
        <f t="shared" si="899"/>
        <v>0</v>
      </c>
      <c r="MX226" s="43" t="str">
        <f t="shared" si="900"/>
        <v/>
      </c>
      <c r="MY226" s="43" t="str">
        <f t="shared" ca="1" si="901"/>
        <v/>
      </c>
      <c r="MZ226" s="43" t="str">
        <f t="shared" si="902"/>
        <v/>
      </c>
      <c r="NA226" s="43">
        <f t="shared" si="903"/>
        <v>0</v>
      </c>
      <c r="NB226" s="43" t="str">
        <f t="shared" si="904"/>
        <v/>
      </c>
      <c r="NC226" s="43" t="str">
        <f t="shared" si="905"/>
        <v/>
      </c>
      <c r="ND226" s="43">
        <f t="shared" ca="1" si="934"/>
        <v>0</v>
      </c>
      <c r="NE226" s="43">
        <f>IF(OR(O226&gt;0,R226&gt;0),SUM(COUNTIF(Tabla1[[#This Row],[AÑOS AL INICIO5 CPN]],"&gt;=40"),COUNTIF(AS226,"0"),COUNTIF(AR226,"SI"),COUNTIF(CC226,"SI"),COUNTIF(BQ226,"&gt;119"),COUNTIF(CI226,"&gt;=35")),"")</f>
        <v>0</v>
      </c>
      <c r="NF226" s="43" t="str">
        <f t="shared" si="935"/>
        <v/>
      </c>
      <c r="NG226" s="43">
        <f t="shared" si="908"/>
        <v>0</v>
      </c>
      <c r="NH226" s="43">
        <f t="shared" si="909"/>
        <v>93.100000000000009</v>
      </c>
      <c r="NI22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CPN",P226="NO"),"Z",IF(AND(Tabla1[[#This Row],[CITA PROXIMO CONTROL]]="CITA MANUAL",Tabla1[[#This Row],[GESTANTES ACTUALES]]="ACTIVA INGRESO A CPN"),"W",IF(AND(Tabla1[[#This Row],[GESTANTES ACTUALES]]="SALIO PROGRAMA",IN226=""),"S",IF(AND(Tabla1[[#This Row],[CITA PROXIMO CONTROL]]&gt;0,IN226=""),(Tabla1[[#This Row],[CITA PROXIMO CONTROL]]-TODAY()),"SD"))))))))</f>
        <v>#REF!</v>
      </c>
      <c r="NJ226" s="43">
        <f>MONTH(Tabla1[[#This Row],[FECHA DE SALIDA  DEL PROGRAMA]])</f>
        <v>1</v>
      </c>
      <c r="NK226" s="43">
        <f>YEAR(Tabla1[[#This Row],[FECHA DE SALIDA  DEL PROGRAMA]])</f>
        <v>1900</v>
      </c>
      <c r="NL226" s="43" t="str">
        <f t="shared" si="936"/>
        <v>X</v>
      </c>
      <c r="NM226" s="43" t="str">
        <f t="shared" si="941"/>
        <v>NO</v>
      </c>
      <c r="NN226" s="43" t="str">
        <f ca="1">IF(AND(O226&gt;0,R226=""),"NO CPN",IF(AND(O226="",R226=""),"",IF(AND(R226&gt;0,Tabla1[[#This Row],[SEMANAS DE GESTACION ACTUALIZADAS]]&lt;=12),"NO APLICA",IF(AND(FH226&lt;&gt;"",FN226&lt;&gt;""),"SI","NO"))))</f>
        <v>NO</v>
      </c>
      <c r="NO226" s="43" t="str">
        <f ca="1">IF(AND(O226&gt;0,R226=""),"NO CPN",IF(AND(O226="",R226=""),"",IF(AND(R226&gt;0,Tabla1[[#This Row],[SEMANAS DE GESTACION ACTUALIZADAS]]&lt;=27),"NO APLICA",IF(AND(ES226&lt;&gt;"",FQ226&lt;&gt;"",GF226&lt;&gt;""),"SI","NO"))))</f>
        <v>NO APLICA</v>
      </c>
      <c r="NP226" s="204" t="str">
        <f t="shared" si="912"/>
        <v>I TRIM</v>
      </c>
      <c r="NQ226" s="21" t="str">
        <f t="shared" si="1046"/>
        <v/>
      </c>
      <c r="NR226" s="21">
        <f t="shared" ca="1" si="937"/>
        <v>2</v>
      </c>
      <c r="NS226" s="205">
        <f t="shared" ca="1" si="914"/>
        <v>1</v>
      </c>
      <c r="NT226" s="21">
        <f t="shared" ca="1" si="915"/>
        <v>1</v>
      </c>
      <c r="NU226" s="21" t="str">
        <f t="shared" ca="1" si="916"/>
        <v>INCOMPLETO</v>
      </c>
      <c r="NV226" s="21" t="str">
        <f t="shared" ca="1" si="917"/>
        <v>INCOMPLETO</v>
      </c>
      <c r="NW226" s="206" t="str">
        <f>IF(AND(O226="",R226=""),"",IF(OR(AND(Tabla1[[#This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26" s="207" t="str">
        <f t="shared" ca="1" si="938"/>
        <v>SIN VACUNAR</v>
      </c>
      <c r="NY226" s="43">
        <f>ROW(Tabla1[[#This Row],['# DE TAMIZAJES SIFILIS TOMADOS ]])</f>
        <v>226</v>
      </c>
      <c r="NZ226" s="43">
        <f t="shared" si="942"/>
        <v>10</v>
      </c>
      <c r="OA226" s="43" t="str">
        <f t="shared" si="943"/>
        <v/>
      </c>
      <c r="OB226" s="43" t="str">
        <f t="shared" si="944"/>
        <v>NORMAL</v>
      </c>
      <c r="OC226" s="43" t="str">
        <f t="shared" si="945"/>
        <v/>
      </c>
      <c r="OD226" s="43" t="str">
        <f t="shared" si="946"/>
        <v/>
      </c>
      <c r="OE226" s="43" t="str">
        <f t="shared" si="947"/>
        <v/>
      </c>
      <c r="OF226" s="43" t="str">
        <f t="shared" si="948"/>
        <v/>
      </c>
      <c r="OG226" s="43" t="str">
        <f t="shared" si="949"/>
        <v/>
      </c>
      <c r="OH226" s="43" t="str">
        <f t="shared" si="950"/>
        <v/>
      </c>
      <c r="OI226" s="43" t="str">
        <f t="shared" si="951"/>
        <v/>
      </c>
      <c r="OJ226" s="43" t="str">
        <f t="shared" si="952"/>
        <v/>
      </c>
      <c r="OK226" s="43" t="str">
        <f t="shared" si="953"/>
        <v/>
      </c>
      <c r="OL226" s="43" t="str">
        <f t="shared" si="954"/>
        <v/>
      </c>
      <c r="OM226" s="43" t="str">
        <f t="shared" si="955"/>
        <v/>
      </c>
      <c r="ON226" s="43" t="str">
        <f t="shared" si="956"/>
        <v/>
      </c>
      <c r="OO226" s="43" t="str">
        <f t="shared" si="957"/>
        <v/>
      </c>
      <c r="OP226" s="43" t="str">
        <f t="shared" si="958"/>
        <v/>
      </c>
      <c r="OQ226" s="43" t="str">
        <f t="shared" si="959"/>
        <v/>
      </c>
      <c r="OR226" s="43" t="str">
        <f t="shared" si="960"/>
        <v/>
      </c>
      <c r="OS226" s="43" t="str">
        <f t="shared" si="961"/>
        <v/>
      </c>
      <c r="OT226" s="43" t="str">
        <f t="shared" si="962"/>
        <v/>
      </c>
      <c r="OU226" s="43" t="str">
        <f t="shared" si="963"/>
        <v/>
      </c>
      <c r="OV226" s="110" t="str">
        <f t="shared" si="964"/>
        <v/>
      </c>
      <c r="OW226" s="43" t="str">
        <f t="shared" si="965"/>
        <v/>
      </c>
      <c r="OX226" s="43" t="str">
        <f t="shared" si="966"/>
        <v/>
      </c>
      <c r="OY226" s="43" t="str">
        <f t="shared" si="967"/>
        <v/>
      </c>
      <c r="OZ226" s="43" t="str">
        <f t="shared" si="968"/>
        <v/>
      </c>
      <c r="PA226" s="43" t="str">
        <f t="shared" si="969"/>
        <v/>
      </c>
      <c r="PB226" s="43" t="str">
        <f t="shared" si="970"/>
        <v/>
      </c>
      <c r="PC226" s="43" t="str">
        <f t="shared" si="971"/>
        <v/>
      </c>
      <c r="PD226" s="43" t="str">
        <f t="shared" si="972"/>
        <v/>
      </c>
      <c r="PE226" s="43" t="str">
        <f t="shared" si="973"/>
        <v/>
      </c>
      <c r="PF226" s="43" t="str">
        <f t="shared" si="974"/>
        <v/>
      </c>
      <c r="PG226" s="43" t="str">
        <f t="shared" si="975"/>
        <v/>
      </c>
      <c r="PH226" s="43" t="str">
        <f t="shared" si="976"/>
        <v/>
      </c>
      <c r="PI226" s="43">
        <f t="shared" si="977"/>
        <v>10</v>
      </c>
      <c r="PJ226" s="43" t="str">
        <f t="shared" si="978"/>
        <v/>
      </c>
      <c r="PK226" s="43" t="str">
        <f t="shared" si="979"/>
        <v>NORMAL</v>
      </c>
      <c r="PL226" s="43" t="str">
        <f t="shared" si="980"/>
        <v/>
      </c>
      <c r="PM226" s="43" t="str">
        <f t="shared" si="981"/>
        <v/>
      </c>
      <c r="PN226" s="43" t="str">
        <f t="shared" si="982"/>
        <v/>
      </c>
      <c r="PO226" s="43" t="str">
        <f t="shared" si="983"/>
        <v/>
      </c>
      <c r="PP226" s="43" t="str">
        <f t="shared" si="984"/>
        <v/>
      </c>
      <c r="PQ226" s="43" t="str">
        <f t="shared" si="985"/>
        <v/>
      </c>
      <c r="PR226" s="43" t="str">
        <f t="shared" si="986"/>
        <v/>
      </c>
      <c r="PS226" s="43" t="str">
        <f t="shared" si="987"/>
        <v/>
      </c>
      <c r="PT226" s="43" t="str">
        <f t="shared" si="988"/>
        <v/>
      </c>
      <c r="PU226" s="43" t="str">
        <f t="shared" si="989"/>
        <v/>
      </c>
      <c r="PV226" s="43" t="str">
        <f t="shared" si="990"/>
        <v/>
      </c>
      <c r="PW226" s="43" t="str">
        <f t="shared" si="991"/>
        <v/>
      </c>
      <c r="PX226" s="43" t="str">
        <f t="shared" si="992"/>
        <v/>
      </c>
      <c r="PY226" s="43" t="str">
        <f t="shared" si="993"/>
        <v/>
      </c>
      <c r="PZ226" s="43" t="str">
        <f t="shared" si="994"/>
        <v/>
      </c>
      <c r="QA226" s="43" t="str">
        <f t="shared" si="995"/>
        <v/>
      </c>
      <c r="QB226" s="43" t="str">
        <f t="shared" si="996"/>
        <v/>
      </c>
      <c r="QC226" s="43" t="str">
        <f t="shared" si="997"/>
        <v/>
      </c>
      <c r="QD226" s="43" t="str">
        <f t="shared" si="998"/>
        <v/>
      </c>
      <c r="QE226" s="43" t="str">
        <f t="shared" si="999"/>
        <v/>
      </c>
      <c r="QF226" s="43" t="str">
        <f t="shared" si="1000"/>
        <v/>
      </c>
      <c r="QG226" s="43" t="str">
        <f t="shared" si="1001"/>
        <v/>
      </c>
      <c r="QH226" s="43" t="str">
        <f t="shared" si="1002"/>
        <v/>
      </c>
      <c r="QI226" s="43" t="str">
        <f t="shared" si="1003"/>
        <v/>
      </c>
      <c r="QJ226" s="43" t="str">
        <f t="shared" si="1004"/>
        <v/>
      </c>
      <c r="QK226" s="43" t="str">
        <f t="shared" si="1005"/>
        <v/>
      </c>
      <c r="QL226" s="43" t="str">
        <f t="shared" si="1006"/>
        <v/>
      </c>
      <c r="QM226" s="43" t="str">
        <f t="shared" si="1007"/>
        <v/>
      </c>
      <c r="QN226" s="43" t="str">
        <f t="shared" si="1008"/>
        <v/>
      </c>
      <c r="QO226" s="43" t="str">
        <f t="shared" si="1009"/>
        <v/>
      </c>
      <c r="QP226" s="43" t="str">
        <f t="shared" si="1010"/>
        <v/>
      </c>
      <c r="QQ226" s="43" t="str">
        <f t="shared" si="1011"/>
        <v/>
      </c>
      <c r="QR226" s="43" t="str">
        <f t="shared" si="1012"/>
        <v>Menor</v>
      </c>
      <c r="QS226" s="43"/>
      <c r="QT226" s="21" t="str">
        <f t="shared" si="1013"/>
        <v/>
      </c>
      <c r="QU226" s="21" t="str">
        <f t="shared" si="1014"/>
        <v/>
      </c>
      <c r="QV226" s="21" t="str">
        <f t="shared" si="1015"/>
        <v/>
      </c>
      <c r="QW226" s="21" t="str">
        <f t="shared" si="1016"/>
        <v/>
      </c>
      <c r="QX226" s="21" t="str">
        <f t="shared" si="1017"/>
        <v/>
      </c>
      <c r="QY226" s="21" t="str">
        <f t="shared" si="1018"/>
        <v/>
      </c>
      <c r="QZ226" s="21" t="str">
        <f t="shared" si="1019"/>
        <v/>
      </c>
      <c r="RA226" s="21" t="str">
        <f t="shared" si="1020"/>
        <v/>
      </c>
      <c r="RB226" s="21" t="str">
        <f t="shared" si="1021"/>
        <v/>
      </c>
      <c r="RC226" s="21" t="str">
        <f t="shared" si="1022"/>
        <v/>
      </c>
      <c r="RD226" s="21" t="str">
        <f t="shared" si="1023"/>
        <v/>
      </c>
      <c r="RE226" s="21" t="str">
        <f t="shared" si="1024"/>
        <v/>
      </c>
      <c r="RF226" s="21" t="str">
        <f t="shared" si="1025"/>
        <v/>
      </c>
      <c r="RG226" s="21" t="str">
        <f t="shared" si="1026"/>
        <v/>
      </c>
      <c r="RH226" s="21" t="str">
        <f t="shared" si="1027"/>
        <v/>
      </c>
      <c r="RI226" s="21" t="str">
        <f t="shared" si="1028"/>
        <v/>
      </c>
      <c r="RJ226" s="21" t="str">
        <f t="shared" si="1029"/>
        <v/>
      </c>
      <c r="RK226" s="21" t="str">
        <f t="shared" si="1030"/>
        <v/>
      </c>
      <c r="RL226" s="21" t="str">
        <f t="shared" si="1031"/>
        <v/>
      </c>
      <c r="RM226" s="21" t="str">
        <f t="shared" si="1032"/>
        <v/>
      </c>
      <c r="RN226" s="21" t="str">
        <f t="shared" si="1033"/>
        <v/>
      </c>
      <c r="RO226" s="21" t="str">
        <f t="shared" si="1034"/>
        <v/>
      </c>
      <c r="RP226" s="21" t="str">
        <f t="shared" si="1035"/>
        <v/>
      </c>
      <c r="RQ226" s="21" t="str">
        <f t="shared" si="1036"/>
        <v/>
      </c>
      <c r="RR226" s="21" t="str">
        <f t="shared" si="1037"/>
        <v/>
      </c>
      <c r="RS226" s="21" t="str">
        <f t="shared" si="1038"/>
        <v/>
      </c>
      <c r="RT226" s="21" t="str">
        <f t="shared" si="1039"/>
        <v/>
      </c>
      <c r="RU226" s="21" t="str">
        <f t="shared" si="1040"/>
        <v/>
      </c>
      <c r="RV226" s="21">
        <f t="shared" si="1041"/>
        <v>-1</v>
      </c>
      <c r="RW226" s="284">
        <f>IF(OR(Tabla1[[#This Row],[FUM FORMULA CONFIABLE]]="",Tabla1[[#This Row],[FUM FORMULA CONFIABLE]]="SD"),"",IF(Tabla1[[#This Row],[FUM FORMULA CONFIABLE]]="CORREGIDA",Tabla1[[#This Row],[FUM X ECO 1]],Tabla1[[#This Row],[FUM x AMENORREA]]))</f>
        <v>45055</v>
      </c>
      <c r="RX226" s="21">
        <f>IF(AND(Tabla1[[#This Row],[FUM X ECO 1]]="",Tabla1[[#This Row],[FUM x AMENORREA]]=""),"",IF(AND(Tabla1[[#This Row],[FUM X ECO 1]]="",Tabla1[[#This Row],[FUM x AMENORREA]]&lt;&gt;""),"X",SUM(Tabla1[[#This Row],[FUM X ECO 1]]-Tabla1[[#This Row],[FUM x AMENORREA]])))</f>
        <v>0.90000000000145519</v>
      </c>
      <c r="RY226" s="21">
        <f t="shared" si="1042"/>
        <v>0</v>
      </c>
    </row>
    <row r="227" spans="1:493" ht="45" customHeight="1" x14ac:dyDescent="0.25">
      <c r="A227" s="109"/>
      <c r="B227" s="43" t="s">
        <v>1611</v>
      </c>
      <c r="C227" s="299" t="s">
        <v>845</v>
      </c>
      <c r="D227" s="124"/>
      <c r="E227" s="43" t="s">
        <v>1439</v>
      </c>
      <c r="F227" s="43" t="s">
        <v>848</v>
      </c>
      <c r="G227" s="43" t="s">
        <v>1437</v>
      </c>
      <c r="H227" s="43"/>
      <c r="I227" s="109" t="s">
        <v>851</v>
      </c>
      <c r="J227" s="110">
        <v>1059595628</v>
      </c>
      <c r="K227" s="43" t="s">
        <v>852</v>
      </c>
      <c r="L227" s="175" t="s">
        <v>1509</v>
      </c>
      <c r="M227" s="22">
        <v>37604</v>
      </c>
      <c r="N227" s="213">
        <f t="shared" ca="1" si="841"/>
        <v>20.898630136986302</v>
      </c>
      <c r="O227" s="22">
        <v>45139</v>
      </c>
      <c r="P227" s="214" t="str">
        <f t="shared" si="919"/>
        <v>SI</v>
      </c>
      <c r="Q227" s="26" t="s">
        <v>855</v>
      </c>
      <c r="R227" s="22">
        <v>45139</v>
      </c>
      <c r="S227" s="21" t="s">
        <v>856</v>
      </c>
      <c r="T227" s="24" t="s">
        <v>690</v>
      </c>
      <c r="U227" s="21" t="s">
        <v>857</v>
      </c>
      <c r="V227" s="21" t="s">
        <v>858</v>
      </c>
      <c r="W227" s="21" t="s">
        <v>920</v>
      </c>
      <c r="X227" s="21"/>
      <c r="Y227" s="21" t="s">
        <v>920</v>
      </c>
      <c r="Z227" s="21">
        <v>3156698297</v>
      </c>
      <c r="AA227" s="21" t="s">
        <v>860</v>
      </c>
      <c r="AB227" s="27" t="s">
        <v>861</v>
      </c>
      <c r="AC227" s="26" t="s">
        <v>888</v>
      </c>
      <c r="AD227" s="38" t="s">
        <v>1546</v>
      </c>
      <c r="AE227" s="26" t="s">
        <v>854</v>
      </c>
      <c r="AF227" s="26" t="s">
        <v>854</v>
      </c>
      <c r="AG227" s="23" t="s">
        <v>864</v>
      </c>
      <c r="AH227" s="23" t="s">
        <v>864</v>
      </c>
      <c r="AI227" s="24" t="s">
        <v>863</v>
      </c>
      <c r="AJ227" s="23" t="s">
        <v>864</v>
      </c>
      <c r="AK227" s="220" t="str">
        <f>IF(AND(AD227="",AE227="",AF227="",AG227="",AH227="",AI227="",AJ227=""),"",IF(OR(Tabla1[[#This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EVALUACIÓN",IF(AND(O227="",R227=""),"",IF(AND(OR(O227&gt;0,R227&gt;0),NG227&gt;=0,NG227&lt;2),"SIN RIESGO",IF(AND(OR(O227&gt;0,R227&gt;0),NG227&gt;=2),"CON RIESGO","ASD")))))</f>
        <v>SIN RIESGO</v>
      </c>
      <c r="AL227" s="26" t="s">
        <v>864</v>
      </c>
      <c r="AM227" s="26" t="s">
        <v>864</v>
      </c>
      <c r="AN227" s="26" t="s">
        <v>864</v>
      </c>
      <c r="AO227" s="26" t="s">
        <v>864</v>
      </c>
      <c r="AP227" s="26" t="s">
        <v>864</v>
      </c>
      <c r="AQ227" s="26" t="s">
        <v>864</v>
      </c>
      <c r="AR227" s="26" t="s">
        <v>864</v>
      </c>
      <c r="AS227" s="21">
        <v>0</v>
      </c>
      <c r="AT227" s="21">
        <v>0</v>
      </c>
      <c r="AU227" s="21">
        <v>0</v>
      </c>
      <c r="AV227" s="26" t="s">
        <v>864</v>
      </c>
      <c r="AW227" s="21">
        <v>0</v>
      </c>
      <c r="AX227" s="26" t="s">
        <v>864</v>
      </c>
      <c r="AY227" s="26" t="s">
        <v>864</v>
      </c>
      <c r="AZ227" s="26" t="s">
        <v>864</v>
      </c>
      <c r="BA227" s="26" t="s">
        <v>864</v>
      </c>
      <c r="BB227" s="26" t="s">
        <v>864</v>
      </c>
      <c r="BC227" s="26" t="s">
        <v>864</v>
      </c>
      <c r="BD227" s="26" t="s">
        <v>864</v>
      </c>
      <c r="BE227" s="26" t="s">
        <v>864</v>
      </c>
      <c r="BF227" s="26" t="s">
        <v>864</v>
      </c>
      <c r="BG227" s="26" t="s">
        <v>864</v>
      </c>
      <c r="BH227" s="26" t="s">
        <v>864</v>
      </c>
      <c r="BI227" s="26" t="s">
        <v>864</v>
      </c>
      <c r="BJ227" s="26" t="s">
        <v>864</v>
      </c>
      <c r="BK227" s="26" t="s">
        <v>864</v>
      </c>
      <c r="BL227" s="26" t="s">
        <v>864</v>
      </c>
      <c r="BM227" s="26" t="s">
        <v>864</v>
      </c>
      <c r="BN227" s="22"/>
      <c r="BO227" s="22">
        <v>45036</v>
      </c>
      <c r="BP227" s="21" t="s">
        <v>854</v>
      </c>
      <c r="BQ227" s="222">
        <f t="shared" si="842"/>
        <v>0</v>
      </c>
      <c r="BR227" s="223">
        <f t="shared" si="843"/>
        <v>45036.3</v>
      </c>
      <c r="BS227" s="224">
        <f t="shared" si="844"/>
        <v>14.714285714285714</v>
      </c>
      <c r="BT227" s="216" t="str">
        <f t="shared" si="845"/>
        <v>II TRIM</v>
      </c>
      <c r="BU227" s="214">
        <f t="shared" ca="1" si="928"/>
        <v>28</v>
      </c>
      <c r="BV227" s="25" t="s">
        <v>988</v>
      </c>
      <c r="BW227" s="22">
        <v>45149</v>
      </c>
      <c r="BX227" s="28">
        <v>16.100000000000001</v>
      </c>
      <c r="BY227" s="28"/>
      <c r="BZ227" s="22"/>
      <c r="CA227" s="21"/>
      <c r="CB227" s="26" t="s">
        <v>864</v>
      </c>
      <c r="CC227" s="26" t="s">
        <v>864</v>
      </c>
      <c r="CD227" s="26" t="s">
        <v>865</v>
      </c>
      <c r="CE227" s="26" t="s">
        <v>864</v>
      </c>
      <c r="CF227" s="22" t="s">
        <v>1517</v>
      </c>
      <c r="CG227" s="21">
        <v>1.44</v>
      </c>
      <c r="CH227" s="21">
        <v>48</v>
      </c>
      <c r="CI227" s="214">
        <f t="shared" si="847"/>
        <v>23.148148148148149</v>
      </c>
      <c r="CJ227" s="225" t="e">
        <f>IF(AND(CI227&lt;10,CH227="SD"),"SIN DATO PESO PREGESTACION O I TRIM",IF(AND(OR(R227&gt;0,O227&gt;0),CI227="X"),"INGRESAR DATO DE PESO",IF(CI227="SD","INGRESAR DATO DE TALLA Y PESO",IF(AND(OR(Tabla1[[#This Row],[MOMENTO EN QUE SE REALIZA EL PESO AL INGRESO A CPN]]="PREGESTACIÓN",NZ227="Menor"),CI227&lt;18.5),"BAJO PESO",IF(AND(OR(Tabla1[[#This Row],[MOMENTO EN QUE SE REALIZA EL PESO AL INGRESO A CPN]]="PREGESTACIÓN",NZ227="Menor"),CI227&lt;25),"NORMAL",IF(AND(OR(Tabla1[[#This Row],[MOMENTO EN QUE SE REALIZA EL PESO AL INGRESO A CPN]]="PREGESTACIÓN",NZ227="Menor"),CI227&lt;30),"SOBREPESO",IF(AND(OR(Tabla1[[#This Row],[MOMENTO EN QUE SE REALIZA EL PESO AL INGRESO A CPN]]="PREGESTACIÓN",NZ227="Menor"),CI227&gt;=30,CI227&lt;50),"OBESIDAD",IF(AND(BS227&gt;0,Tabla1[[#This Row],[MOMENTO EN QUE SE REALIZA EL PESO AL INGRESO A CPN]]="GESTACIÓN"),HLOOKUP(NZ227,$OA$2:PH227,NY227),""))))))))</f>
        <v>#REF!</v>
      </c>
      <c r="CK227" s="212">
        <f t="shared" si="848"/>
        <v>45139</v>
      </c>
      <c r="CL227" s="21">
        <v>48</v>
      </c>
      <c r="CM227" s="214">
        <f t="shared" si="849"/>
        <v>23.148148148148149</v>
      </c>
      <c r="CN227" s="216">
        <f t="shared" si="850"/>
        <v>14</v>
      </c>
      <c r="CO227" s="216" t="e">
        <f>IF(PI227="","",IF(PI227&gt;0,HLOOKUP(PI227,$PJ$2:QQ227,NY227),""))</f>
        <v>#REF!</v>
      </c>
      <c r="CP227" s="21">
        <v>14</v>
      </c>
      <c r="CQ227" s="216" t="e">
        <f>IF(QR227="Menor","NO APLICA-MENOR 13 SEM",IF(AND(CC227="SI",CN227&gt;23),"NO APLICA- GEMELAR",IF(QR227="","",IF(QR227&gt;0,HLOOKUP(QR227,$QS$2:RU227,NY227),""))))</f>
        <v>#REF!</v>
      </c>
      <c r="CR227" s="21"/>
      <c r="CS227" s="21"/>
      <c r="CT227" s="217" t="str">
        <f>IF(R227="","",IF(AND(BS227&gt;1,BS227&lt;12,Tabla1[[#This Row],[T.A. SISTOLICA - ANTES DE SEMANA 12]]="",Tabla1[[#This Row],[T.A. DIASTOLICA - ANTES DE SEMANA 12]]=""),"REGISTRE DATO TA ANTES SEMANA 12",IF(AND(BS227&gt;11,BS227&lt;43,Tabla1[[#This Row],[T.A. SISTOLICA - ANTES DE SEMANA 12]]="",Tabla1[[#This Row],[T.A. DIASTOLICA - ANTES DE SEMANA 12]]=""),"NO APLICA REGISTRO TA-INGRESO TARDIO",IF(AND(OR(O227&gt;0,R227&gt;0),OR(CR227&gt;=140,CS227&gt;=90)),"DEFINIR ESTADIO HTA",IF(AND(OR(O227&gt;0,R227&gt;0),AND(CR227&gt;120,CR227&lt;=139)),"PRE HTA SEGUIMIENTO",IF(AND(OR(O227&gt;0,R227&gt;0),AND(CS227&gt;80,CS227&lt;=89)),"PRE HTA SEGUIMIENTO",IF(AND(OR(O227&gt;0,R227&gt;0),AND(CR227&gt;=80,CR227&lt;=120)),"APARENTEMENTE NORMAL",IF(AND(OR(O227&gt;0,R227&gt;0),AND(CS227&gt;=50,CS227&lt;=80)),"APARENTEMENTE NORMAL",IF(AND(OR(O227&gt;0,R227&gt;0),AND(CR227&gt;1,CR227&lt;=70),AND(CS227&gt;1,CS227&lt;=40)),"HIPOTENSIÓN","")))))))))</f>
        <v>NO APLICA REGISTRO TA-INGRESO TARDIO</v>
      </c>
      <c r="CU227" s="21"/>
      <c r="CV227" s="21"/>
      <c r="CW227" s="217" t="str">
        <f ca="1">IF(R227="","",IF(AND(CN227&gt;19,CN227&lt;27,Tabla1[[#This Row],[T.A. SISTOLICA (Entre semana 20 y 26)]]="",Tabla1[[#This Row],[T.A. DIATOLICA (Entre semana 20 y 26)]]=""),"ACUDE A CONTROL SEM 20 A 26 REGISTRE TA AHORA",IF(AND(BS227&gt;1,BS227&lt;27,BU227&gt;19,Tabla1[[#This Row],[T.A. SISTOLICA (Entre semana 20 y 26)]]="",Tabla1[[#This Row],[T.A. DIATOLICA (Entre semana 20 y 26)]]=""),"COMPLETE REGISTRO TA CONTROL SEM 20 A26 ",IF(AND(BS227&gt;26,BS227&lt;43,Tabla1[[#This Row],[T.A. SISTOLICA (Entre semana 20 y 26)]]="",Tabla1[[#This Row],[T.A. DIATOLICA (Entre semana 20 y 26)]]=""),"NO APLICA REGISTRO TA-INGRESO TARDIO",IF(AND(OR(O227&gt;0,R227&gt;0),OR(CU227&gt;=140,CV227&gt;=90)),"ALTO RIESGO PREECLAMPSIA,DEFINIR ESTADIO HTA",IF(AND(OR(O227&gt;0,R227&gt;0),AND(CU227&gt;120,CU227&lt;=139)),"PRE HTA SEGUIMIENTO,RIESGO HIPERTENSION INDUCIDA POR EL EMBARAZO",IF(AND(OR(O227&gt;0,R227&gt;0),AND(CV227&gt;80,CV227&lt;=89)),"PRE HTA SEGUIMIENTO, RIESGO HIPERTENSION INDUCIDA POR EL EMBARAZO",IF(AND(OR(O227&lt;&gt;"",R227&lt;&gt;""),CS227&lt;&gt;"",CV227&lt;&gt;"",CS227&lt;=CV227),"VIGILAR CIFRAS PRESION ARTERIAL",IF(AND(OR(O227&gt;0,R227&gt;0),AND(CU227&gt;120,CU227&lt;=139)),"PRE HTA SEGUIMIENTO",IF(AND(OR(O227&gt;0,R227&gt;0),AND(CU227&gt;1,CU227&lt;=70),AND(CV227&gt;1,CV227&lt;=40)),"HIPOTENSIÓN",IF(AND(OR(O227&lt;&gt;"",R227&lt;&gt;""),CS227&lt;&gt;"",CV227&lt;&gt;"",CS227&gt;CV227),"APARENTEMENTE NORMAL",IF(AND(OR(O227&gt;0,R227&gt;0),AND(CU227&gt;=80,CU227&lt;=120)),"APARENTEMENTE NORMAL",IF(AND(OR(O227&gt;0,R227&gt;0),AND(CV227&gt;=50,CV227&lt;=80)),"APARENTEMENTE NORMAL","")))))))))))))</f>
        <v xml:space="preserve">COMPLETE REGISTRO TA CONTROL SEM 20 A26 </v>
      </c>
      <c r="CX227" s="21"/>
      <c r="CY227" s="21"/>
      <c r="CZ227" s="216" t="str">
        <f t="shared" si="1045"/>
        <v/>
      </c>
      <c r="DA227" s="21">
        <v>100</v>
      </c>
      <c r="DB227" s="21">
        <v>60</v>
      </c>
      <c r="DC227" s="217" t="str">
        <f t="shared" si="851"/>
        <v>APARENTEMENTE NORMAL</v>
      </c>
      <c r="DD227" s="22">
        <v>45139</v>
      </c>
      <c r="DE227" s="22">
        <v>45139</v>
      </c>
      <c r="DF227" s="22"/>
      <c r="DG227" s="22"/>
      <c r="DH227" s="22"/>
      <c r="DI227" s="22"/>
      <c r="DJ227" s="22"/>
      <c r="DK227" s="22"/>
      <c r="DL227" s="22"/>
      <c r="DM227" s="22"/>
      <c r="DN227" s="22"/>
      <c r="DO227" s="22"/>
      <c r="DP227" s="22"/>
      <c r="DQ227" s="22"/>
      <c r="DR227" s="28"/>
      <c r="DS227" s="22"/>
      <c r="DT227" s="22"/>
      <c r="DU227" s="216" t="str">
        <f t="shared" ca="1" si="920"/>
        <v>PLANEAR PLAN DE PARTO</v>
      </c>
      <c r="DV227" s="226" t="str">
        <f t="shared" si="921"/>
        <v>ACTIVA INGRESO A CPN</v>
      </c>
      <c r="DW22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27" s="216" t="e">
        <f t="shared" ca="1" si="852"/>
        <v>#REF!</v>
      </c>
      <c r="DY227" s="212">
        <f>IF(R227="","",IF(R227&gt;0,MAX(Tabla1[[#This Row],[FECHA C2]:[FECHA C13]],Tabla1[[#This Row],[FECHA CONSULTA PRIMERA VEZ PROGRAMA CPN ]])))</f>
        <v>45139</v>
      </c>
      <c r="DZ227" s="216">
        <f t="shared" si="853"/>
        <v>14</v>
      </c>
      <c r="EA227" s="222">
        <f>IF(R227&gt;0,SUM(COUNTA(DF227:DQ227)+COUNTA(Tabla1[[#This Row],[FECHA CONSULTA PRIMERA VEZ PROGRAMA CPN ]])),"")</f>
        <v>1</v>
      </c>
      <c r="EB227" s="222" t="str">
        <f t="shared" si="854"/>
        <v>NO</v>
      </c>
      <c r="EC227" s="214">
        <f t="shared" si="855"/>
        <v>8</v>
      </c>
      <c r="ED227" s="227">
        <f t="shared" si="856"/>
        <v>0.125</v>
      </c>
      <c r="EE227" s="22">
        <v>45139</v>
      </c>
      <c r="EF227" s="22"/>
      <c r="EG227" s="22">
        <v>45139</v>
      </c>
      <c r="EH227" s="22"/>
      <c r="EI227" s="22">
        <v>45139</v>
      </c>
      <c r="EJ227" s="22"/>
      <c r="EK227" s="22"/>
      <c r="EL227" s="21"/>
      <c r="EM227" s="21">
        <v>12.5</v>
      </c>
      <c r="EN227" s="22">
        <v>45143</v>
      </c>
      <c r="EO227" s="222">
        <f t="shared" si="857"/>
        <v>15.285714285714286</v>
      </c>
      <c r="EP227" s="214" t="str">
        <f t="shared" si="858"/>
        <v>NORMAL- SUMINISTRAR SULFATO FERROSO</v>
      </c>
      <c r="EQ227" s="216" t="str">
        <f t="shared" si="859"/>
        <v>II TRIM</v>
      </c>
      <c r="ER227" s="24"/>
      <c r="ES227" s="22"/>
      <c r="ET227" s="29" t="str">
        <f t="shared" ca="1" si="922"/>
        <v>EN SEMANA 28 TOMA INMEDIATA DE EXAMEN</v>
      </c>
      <c r="EU227" s="25" t="str">
        <f t="shared" si="860"/>
        <v/>
      </c>
      <c r="EV227" s="24" t="s">
        <v>1510</v>
      </c>
      <c r="EW227" s="32">
        <v>45143</v>
      </c>
      <c r="EX227" s="22"/>
      <c r="EY227" s="29">
        <f t="shared" si="1043"/>
        <v>15.285714285714286</v>
      </c>
      <c r="EZ227" s="25" t="str">
        <f t="shared" si="1044"/>
        <v>SIN RIESGO DE ISOINMUNIZACIÓN</v>
      </c>
      <c r="FA227" s="21">
        <v>82</v>
      </c>
      <c r="FB227" s="22">
        <v>45143</v>
      </c>
      <c r="FC227" s="29">
        <f t="shared" si="861"/>
        <v>15.285714285714286</v>
      </c>
      <c r="FD227" s="29"/>
      <c r="FE227" s="29"/>
      <c r="FF227" s="29"/>
      <c r="FG227" s="21" t="str">
        <f t="shared" ca="1" si="862"/>
        <v>TOMAR PTOG</v>
      </c>
      <c r="FH227" s="31"/>
      <c r="FI227" s="29" t="str">
        <f t="shared" si="863"/>
        <v>TOMAR EXAMEN</v>
      </c>
      <c r="FJ227" s="22"/>
      <c r="FK227" s="22"/>
      <c r="FL227" s="29" t="str">
        <f t="shared" ca="1" si="864"/>
        <v>NO APLICA-INGRESO TARDIO</v>
      </c>
      <c r="FM227" s="22" t="s">
        <v>867</v>
      </c>
      <c r="FN227" s="32">
        <v>45143</v>
      </c>
      <c r="FO227" s="29">
        <f t="shared" ca="1" si="923"/>
        <v>15.285714285714286</v>
      </c>
      <c r="FP227" s="22"/>
      <c r="FQ227" s="32"/>
      <c r="FR227" s="29" t="str">
        <f t="shared" ca="1" si="924"/>
        <v>EN RANGO PARA TOMAR EXAMEN</v>
      </c>
      <c r="FS227" s="22"/>
      <c r="FT227" s="32"/>
      <c r="FU227" s="29" t="str">
        <f>IF(AND(FJ227="",FM227="",FP227="",FS227=""),"",IF(OR(OR(Tabla1[[#This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27" s="28"/>
      <c r="FW227" s="22"/>
      <c r="FX227" s="29" t="str">
        <f t="shared" si="865"/>
        <v>TOMAR EXAMEN</v>
      </c>
      <c r="FY227" s="22"/>
      <c r="FZ227" s="22"/>
      <c r="GA227" s="29" t="str">
        <f t="shared" ca="1" si="939"/>
        <v>NO APLICA-INGRESO TARDIO</v>
      </c>
      <c r="GB227" s="22" t="s">
        <v>868</v>
      </c>
      <c r="GC227" s="22">
        <v>45143</v>
      </c>
      <c r="GD227" s="29">
        <f t="shared" ca="1" si="940"/>
        <v>15.285714285714286</v>
      </c>
      <c r="GE227" s="22"/>
      <c r="GF227" s="22"/>
      <c r="GG227" s="29" t="str">
        <f t="shared" ca="1" si="926"/>
        <v>EN RANGO PARA TOMAR EXAMEN</v>
      </c>
      <c r="GH227" s="22"/>
      <c r="GI227" s="29"/>
      <c r="GJ227" s="22"/>
      <c r="GK227" s="22"/>
      <c r="GL227" s="22"/>
      <c r="GM227" s="22"/>
      <c r="GN227" s="28" t="s">
        <v>869</v>
      </c>
      <c r="GO227" s="22">
        <v>45143</v>
      </c>
      <c r="GP227" s="29">
        <f t="shared" si="866"/>
        <v>15.285714285714286</v>
      </c>
      <c r="GQ227" s="28" t="s">
        <v>880</v>
      </c>
      <c r="GR227" s="28" t="s">
        <v>869</v>
      </c>
      <c r="GS227" s="22" t="str">
        <f t="shared" si="1047"/>
        <v>SE EXCLUYE INFECCION</v>
      </c>
      <c r="GT227" s="22">
        <v>45143</v>
      </c>
      <c r="GU227" s="29">
        <f t="shared" si="867"/>
        <v>15.285714285714286</v>
      </c>
      <c r="GV227" s="21" t="str">
        <f t="shared" si="868"/>
        <v>II TRIM</v>
      </c>
      <c r="GW227" s="28"/>
      <c r="GX227" s="30"/>
      <c r="GY227" s="21"/>
      <c r="GZ227" s="21"/>
      <c r="HA227" s="21"/>
      <c r="HB227" s="21"/>
      <c r="HC227" s="21"/>
      <c r="HD227" s="21"/>
      <c r="HE227" s="21"/>
      <c r="HF227" s="22"/>
      <c r="HG227" s="22" t="str">
        <f>IF(OR(O227&gt;0,R227&gt;0),CONCATENATE(IF(Tabla1[[#This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27" s="22" t="e">
        <f t="shared" si="869"/>
        <v>#REF!</v>
      </c>
      <c r="HI227" s="22" t="e">
        <f t="shared" ca="1" si="870"/>
        <v>#REF!</v>
      </c>
      <c r="HJ227" s="21" t="str">
        <f t="shared" ca="1" si="871"/>
        <v>**********************MULTIPARIDAD*****************</v>
      </c>
      <c r="HK227" s="21" t="str">
        <f t="shared" si="872"/>
        <v>SIN ANTECEDENTES DE RIESGO</v>
      </c>
      <c r="HL227" s="24" t="str">
        <f t="shared" si="873"/>
        <v>APARENTEMENTE NORMAL</v>
      </c>
      <c r="HM227" s="21" t="e">
        <f t="shared" ca="1" si="874"/>
        <v>#REF!</v>
      </c>
      <c r="HN227" s="30" t="str">
        <f t="shared" si="927"/>
        <v>ACTIVA INGRESO A CPN</v>
      </c>
      <c r="HO227" s="21"/>
      <c r="HP227" s="21"/>
      <c r="HQ227" s="349"/>
      <c r="HR227" s="21" t="str">
        <f>IF(R227="","",IF(Tabla1[[#This Row],[ALARMA FACTORES DE RIESGO COMPLICACIONES HIPERTENSIVAS3]]="SIN ANTECEDENTES DE RIESGO","No Aplica para suministro de ASA",IF(AND(Tabla1[[#This Row],[FECHA INICIO DE SUMINISTRO DE ASA]]&gt;0,RV227&lt;12),"Inicia ASA ANTES de Sem 12",IF(AND(RV227&gt;11,RV227&lt;17,OR(HK227="RIESGO ALTO DE COMPLICACIONES HIPERTENSIVAS VER MANEJO GUIA SUMINISTRO ASA Y CALCIO",HK227="RIESGO MODERADO (2 O MAS CRITERIOS) VER MANEJO GUIA SUMINISTRO ASA Y CALCIO")),"Inicio oportuno de ASA",IF(AND(RV227&gt;12,OR(HK227="RIESGO ALTO DE COMPLICACIONES HIPERTENSIVAS VER MANEJO GUIA SUMINISTRO ASA Y CALCIO",HK227="RIESGO MODERADO (2 O MAS CRITERIOS) VER MANEJO GUIA SUMINISTRO ASA Y CALCIO")),"Inicio no oportuno mayor a 16 semanas",IF(AND(BU227&lt;12,OR(HK227="RIESGO ALTO DE COMPLICACIONES HIPERTENSIVAS VER MANEJO GUIA SUMINISTRO ASA Y CALCIO",HK227="RIESGO MODERADO (2 O MAS CRITERIOS) VER MANEJO GUIA SUMINISTRO ASA Y CALCIO")),"Pendiente Inicio de ASA a la semana 12",IF(AND(BU227&gt;11,BU227&lt;17,OR(HK227="RIESGO ALTO DE COMPLICACIONES HIPERTENSIVAS VER MANEJO GUIA SUMINISTRO ASA Y CALCIO",HK227="RIESGO MODERADO (2 O MAS CRITERIOS) VER MANEJO GUIA SUMINISTRO ASA Y CALCIO")),"Iniciar de inmediato ASA",IF(AND(BU227&gt;16,OR(HK227="RIESGO ALTO DE COMPLICACIONES HIPERTENSIVAS VER MANEJO GUIA SUMINISTRO ASA Y CALCIO",HK227="RIESGO MODERADO (2 O MAS CRITERIOS) VER MANEJO GUIA SUMINISTRO ASA Y CALCIO")),"Pierde Oportunidad, Inicio tardío de ASA","XXXXX"))))))))</f>
        <v>No Aplica para suministro de ASA</v>
      </c>
      <c r="HS227" s="22">
        <v>45139</v>
      </c>
      <c r="HT227" s="22" t="s">
        <v>1518</v>
      </c>
      <c r="HU227" s="22">
        <v>45139</v>
      </c>
      <c r="HV227" s="22" t="s">
        <v>1544</v>
      </c>
      <c r="HW227" s="22">
        <v>45139</v>
      </c>
      <c r="HX227" s="22" t="s">
        <v>1511</v>
      </c>
      <c r="HY227" s="22"/>
      <c r="HZ227" s="28" t="str">
        <f t="shared" si="875"/>
        <v>PENDIENTE CONSULTA</v>
      </c>
      <c r="IA227" s="26"/>
      <c r="IB227" s="26"/>
      <c r="IC227" s="111"/>
      <c r="ID227" s="22"/>
      <c r="IE227" s="22" t="str">
        <f t="shared" ca="1" si="876"/>
        <v>INASISTENTE</v>
      </c>
      <c r="IF227" s="22"/>
      <c r="IG227" s="22">
        <f t="shared" si="877"/>
        <v>45316</v>
      </c>
      <c r="IH227" s="29">
        <f t="shared" ca="1" si="878"/>
        <v>84</v>
      </c>
      <c r="II227" s="22" t="str">
        <f t="shared" ca="1" si="879"/>
        <v>PENDIENTE</v>
      </c>
      <c r="IJ227" s="22"/>
      <c r="IK227" s="21"/>
      <c r="IL227" s="21"/>
      <c r="IM227" s="34"/>
      <c r="IN227" s="22"/>
      <c r="IO227" s="21"/>
      <c r="IP227" s="29" t="str">
        <f t="shared" si="880"/>
        <v/>
      </c>
      <c r="IQ227" s="35"/>
      <c r="IR227" s="21"/>
      <c r="IS227" s="21"/>
      <c r="IT227" s="21"/>
      <c r="IU227" s="21"/>
      <c r="IV227" s="21"/>
      <c r="IW227" s="21"/>
      <c r="IX227" s="21"/>
      <c r="IY227" s="21"/>
      <c r="IZ227" s="21"/>
      <c r="JA227" s="21"/>
      <c r="JB227" s="30"/>
      <c r="JC227" s="21"/>
      <c r="JD227" s="36"/>
      <c r="JE227" s="21" t="str">
        <f t="shared" si="881"/>
        <v/>
      </c>
      <c r="JF227" s="30"/>
      <c r="JG227" s="21"/>
      <c r="JH227" s="21"/>
      <c r="JI227" s="21"/>
      <c r="JJ227" s="30"/>
      <c r="JK227" s="22"/>
      <c r="JL227" s="22"/>
      <c r="JM227" s="21"/>
      <c r="JN227" s="36"/>
      <c r="JO227" s="21" t="str">
        <f t="shared" si="882"/>
        <v/>
      </c>
      <c r="JP227" s="22"/>
      <c r="JQ227" s="21"/>
      <c r="JR227" s="21"/>
      <c r="JS227" s="21"/>
      <c r="JT227" s="30"/>
      <c r="JU227" s="22"/>
      <c r="JV227" s="22"/>
      <c r="JW227" s="33"/>
      <c r="JX227" s="28" t="str">
        <f t="shared" si="883"/>
        <v/>
      </c>
      <c r="JY227" s="33"/>
      <c r="JZ227" s="28" t="str">
        <f t="shared" si="884"/>
        <v/>
      </c>
      <c r="KA227" s="21"/>
      <c r="KB227" s="21"/>
      <c r="KC227" s="21"/>
      <c r="KD227" s="37"/>
      <c r="KE227" s="28"/>
      <c r="KF227" s="28"/>
      <c r="KG227" s="28"/>
      <c r="KH227" s="39"/>
      <c r="KI227" s="39"/>
      <c r="KJ227" s="66"/>
      <c r="KK227" s="39"/>
      <c r="KL227" s="39"/>
      <c r="KM227" s="66"/>
      <c r="KN227" s="39"/>
      <c r="KO227" s="39"/>
      <c r="KP227" s="39"/>
      <c r="KQ227" s="39"/>
      <c r="KR227" s="39"/>
      <c r="KS227" s="39"/>
      <c r="KT227" s="39"/>
      <c r="KU227" s="38"/>
      <c r="KV227" s="38"/>
      <c r="KW227" s="38"/>
      <c r="KX227" s="38"/>
      <c r="KY227" s="38"/>
      <c r="KZ227" s="38"/>
      <c r="LA227" s="38"/>
      <c r="LB227" s="38"/>
      <c r="LC227" s="38"/>
      <c r="LD227" s="38"/>
      <c r="LE227" s="38"/>
      <c r="LF227" s="38"/>
      <c r="LG227" s="38"/>
      <c r="LH227" s="38"/>
      <c r="LI227" s="38"/>
      <c r="LJ227" s="38"/>
      <c r="LK227" s="38"/>
      <c r="LL227" s="38"/>
      <c r="LM227" s="38"/>
      <c r="LN227" s="38"/>
      <c r="LO227" s="38"/>
      <c r="LP227" s="38"/>
      <c r="LQ227" s="38"/>
      <c r="LR227" s="38"/>
      <c r="LS227" s="38"/>
      <c r="LT227" s="38"/>
      <c r="LU227" s="38"/>
      <c r="LV227" s="38"/>
      <c r="LW227" s="38"/>
      <c r="LX227" s="38"/>
      <c r="LY227" s="38"/>
      <c r="LZ227" s="38"/>
      <c r="MA227" s="38"/>
      <c r="MB227" s="38"/>
      <c r="MC227" s="38"/>
      <c r="MD227" s="38"/>
      <c r="ME227" s="38"/>
      <c r="MF227" s="38"/>
      <c r="MG227" s="38"/>
      <c r="MH227" s="43">
        <f t="shared" si="885"/>
        <v>0</v>
      </c>
      <c r="MI227" s="43" t="str">
        <f t="shared" si="929"/>
        <v/>
      </c>
      <c r="MJ227" s="43" t="str">
        <f t="shared" si="887"/>
        <v/>
      </c>
      <c r="MK227" s="43">
        <f t="shared" si="888"/>
        <v>0</v>
      </c>
      <c r="ML22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27" s="43">
        <f t="shared" si="930"/>
        <v>14.714285714285714</v>
      </c>
      <c r="MN227" s="43">
        <f t="shared" si="931"/>
        <v>8</v>
      </c>
      <c r="MO227" s="43">
        <f t="shared" si="932"/>
        <v>2023</v>
      </c>
      <c r="MP227" s="43" t="str">
        <f t="shared" si="892"/>
        <v>III TRIMESTRE AÑO</v>
      </c>
      <c r="MQ227" s="43">
        <f t="shared" si="933"/>
        <v>20.332347787998248</v>
      </c>
      <c r="MR227" s="43">
        <f t="shared" si="894"/>
        <v>0</v>
      </c>
      <c r="MS227" s="43" t="str">
        <f t="shared" si="895"/>
        <v xml:space="preserve"> DE 20 A 24 AÑOS</v>
      </c>
      <c r="MT227" s="43">
        <f t="shared" si="896"/>
        <v>0</v>
      </c>
      <c r="MU227" s="43">
        <f t="shared" si="897"/>
        <v>1</v>
      </c>
      <c r="MV227" s="43">
        <f t="shared" si="898"/>
        <v>0</v>
      </c>
      <c r="MW227" s="43">
        <f t="shared" si="899"/>
        <v>0</v>
      </c>
      <c r="MX227" s="43" t="str">
        <f t="shared" si="900"/>
        <v/>
      </c>
      <c r="MY227" s="43" t="str">
        <f t="shared" ca="1" si="901"/>
        <v/>
      </c>
      <c r="MZ227" s="43" t="str">
        <f t="shared" si="902"/>
        <v/>
      </c>
      <c r="NA227" s="43">
        <f t="shared" si="903"/>
        <v>0</v>
      </c>
      <c r="NB227" s="43" t="str">
        <f t="shared" si="904"/>
        <v/>
      </c>
      <c r="NC227" s="43" t="str">
        <f t="shared" si="905"/>
        <v/>
      </c>
      <c r="ND227" s="43">
        <f t="shared" ca="1" si="934"/>
        <v>1</v>
      </c>
      <c r="NE227" s="43">
        <f>IF(OR(O227&gt;0,R227&gt;0),SUM(COUNTIF(Tabla1[[#This Row],[AÑOS AL INICIO5 CPN]],"&gt;=40"),COUNTIF(AS227,"0"),COUNTIF(AR227,"SI"),COUNTIF(CC227,"SI"),COUNTIF(BQ227,"&gt;119"),COUNTIF(CI227,"&gt;=35")),"")</f>
        <v>1</v>
      </c>
      <c r="NF227" s="43" t="str">
        <f t="shared" si="935"/>
        <v/>
      </c>
      <c r="NG227" s="43">
        <f t="shared" si="908"/>
        <v>0</v>
      </c>
      <c r="NH227" s="43">
        <f t="shared" si="909"/>
        <v>112.70000000000002</v>
      </c>
      <c r="NI22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CPN",P227="NO"),"Z",IF(AND(Tabla1[[#This Row],[CITA PROXIMO CONTROL]]="CITA MANUAL",Tabla1[[#This Row],[GESTANTES ACTUALES]]="ACTIVA INGRESO A CPN"),"W",IF(AND(Tabla1[[#This Row],[GESTANTES ACTUALES]]="SALIO PROGRAMA",IN227=""),"S",IF(AND(Tabla1[[#This Row],[CITA PROXIMO CONTROL]]&gt;0,IN227=""),(Tabla1[[#This Row],[CITA PROXIMO CONTROL]]-TODAY()),"SD"))))))))</f>
        <v>#REF!</v>
      </c>
      <c r="NJ227" s="43">
        <f>MONTH(Tabla1[[#This Row],[FECHA DE SALIDA  DEL PROGRAMA]])</f>
        <v>1</v>
      </c>
      <c r="NK227" s="43">
        <f>YEAR(Tabla1[[#This Row],[FECHA DE SALIDA  DEL PROGRAMA]])</f>
        <v>1900</v>
      </c>
      <c r="NL227" s="43" t="str">
        <f t="shared" si="936"/>
        <v>X</v>
      </c>
      <c r="NM227" s="43" t="str">
        <f t="shared" si="941"/>
        <v>NO</v>
      </c>
      <c r="NN227" s="43" t="str">
        <f ca="1">IF(AND(O227&gt;0,R227=""),"NO CPN",IF(AND(O227="",R227=""),"",IF(AND(R227&gt;0,Tabla1[[#This Row],[SEMANAS DE GESTACION ACTUALIZADAS]]&lt;=12),"NO APLICA",IF(AND(FH227&lt;&gt;"",FN227&lt;&gt;""),"SI","NO"))))</f>
        <v>NO</v>
      </c>
      <c r="NO227" s="43" t="str">
        <f ca="1">IF(AND(O227&gt;0,R227=""),"NO CPN",IF(AND(O227="",R227=""),"",IF(AND(R227&gt;0,Tabla1[[#This Row],[SEMANAS DE GESTACION ACTUALIZADAS]]&lt;=27),"NO APLICA",IF(AND(ES227&lt;&gt;"",FQ227&lt;&gt;"",GF227&lt;&gt;""),"SI","NO"))))</f>
        <v>NO</v>
      </c>
      <c r="NP227" s="204" t="str">
        <f t="shared" si="912"/>
        <v>II TRIM</v>
      </c>
      <c r="NQ227" s="21" t="str">
        <f t="shared" si="1046"/>
        <v/>
      </c>
      <c r="NR227" s="21">
        <f t="shared" ca="1" si="937"/>
        <v>2</v>
      </c>
      <c r="NS227" s="205">
        <f t="shared" ca="1" si="914"/>
        <v>1</v>
      </c>
      <c r="NT227" s="21">
        <f t="shared" ca="1" si="915"/>
        <v>1</v>
      </c>
      <c r="NU227" s="21" t="str">
        <f t="shared" ca="1" si="916"/>
        <v>INCOMPLETO</v>
      </c>
      <c r="NV227" s="21" t="str">
        <f t="shared" ca="1" si="917"/>
        <v>INCOMPLETO</v>
      </c>
      <c r="NW227" s="206" t="str">
        <f>IF(AND(O227="",R227=""),"",IF(OR(AND(Tabla1[[#This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27" s="207" t="str">
        <f t="shared" ca="1" si="938"/>
        <v>SIN VACUNAR</v>
      </c>
      <c r="NY227" s="43">
        <f>ROW(Tabla1[[#This Row],['# DE TAMIZAJES SIFILIS TOMADOS ]])</f>
        <v>227</v>
      </c>
      <c r="NZ227" s="43">
        <f t="shared" si="942"/>
        <v>14</v>
      </c>
      <c r="OA227" s="43" t="str">
        <f t="shared" si="943"/>
        <v/>
      </c>
      <c r="OB227" s="43" t="str">
        <f t="shared" si="944"/>
        <v/>
      </c>
      <c r="OC227" s="43" t="str">
        <f t="shared" si="945"/>
        <v/>
      </c>
      <c r="OD227" s="43" t="str">
        <f t="shared" si="946"/>
        <v/>
      </c>
      <c r="OE227" s="43" t="str">
        <f t="shared" si="947"/>
        <v/>
      </c>
      <c r="OF227" s="43" t="str">
        <f t="shared" si="948"/>
        <v>NORMAL</v>
      </c>
      <c r="OG227" s="43" t="str">
        <f t="shared" si="949"/>
        <v/>
      </c>
      <c r="OH227" s="43" t="str">
        <f t="shared" si="950"/>
        <v/>
      </c>
      <c r="OI227" s="43" t="str">
        <f t="shared" si="951"/>
        <v/>
      </c>
      <c r="OJ227" s="43" t="str">
        <f t="shared" si="952"/>
        <v/>
      </c>
      <c r="OK227" s="43" t="str">
        <f t="shared" si="953"/>
        <v/>
      </c>
      <c r="OL227" s="43" t="str">
        <f t="shared" si="954"/>
        <v/>
      </c>
      <c r="OM227" s="43" t="str">
        <f t="shared" si="955"/>
        <v/>
      </c>
      <c r="ON227" s="43" t="str">
        <f t="shared" si="956"/>
        <v/>
      </c>
      <c r="OO227" s="43" t="str">
        <f t="shared" si="957"/>
        <v/>
      </c>
      <c r="OP227" s="43" t="str">
        <f t="shared" si="958"/>
        <v/>
      </c>
      <c r="OQ227" s="43" t="str">
        <f t="shared" si="959"/>
        <v/>
      </c>
      <c r="OR227" s="43" t="str">
        <f t="shared" si="960"/>
        <v/>
      </c>
      <c r="OS227" s="43" t="str">
        <f t="shared" si="961"/>
        <v/>
      </c>
      <c r="OT227" s="43" t="str">
        <f t="shared" si="962"/>
        <v/>
      </c>
      <c r="OU227" s="43" t="str">
        <f t="shared" si="963"/>
        <v/>
      </c>
      <c r="OV227" s="110" t="str">
        <f t="shared" si="964"/>
        <v/>
      </c>
      <c r="OW227" s="43" t="str">
        <f t="shared" si="965"/>
        <v/>
      </c>
      <c r="OX227" s="43" t="str">
        <f t="shared" si="966"/>
        <v/>
      </c>
      <c r="OY227" s="43" t="str">
        <f t="shared" si="967"/>
        <v/>
      </c>
      <c r="OZ227" s="43" t="str">
        <f t="shared" si="968"/>
        <v/>
      </c>
      <c r="PA227" s="43" t="str">
        <f t="shared" si="969"/>
        <v/>
      </c>
      <c r="PB227" s="43" t="str">
        <f t="shared" si="970"/>
        <v/>
      </c>
      <c r="PC227" s="43" t="str">
        <f t="shared" si="971"/>
        <v/>
      </c>
      <c r="PD227" s="43" t="str">
        <f t="shared" si="972"/>
        <v/>
      </c>
      <c r="PE227" s="43" t="str">
        <f t="shared" si="973"/>
        <v/>
      </c>
      <c r="PF227" s="43" t="str">
        <f t="shared" si="974"/>
        <v/>
      </c>
      <c r="PG227" s="43" t="str">
        <f t="shared" si="975"/>
        <v/>
      </c>
      <c r="PH227" s="43" t="str">
        <f t="shared" si="976"/>
        <v/>
      </c>
      <c r="PI227" s="43">
        <f t="shared" si="977"/>
        <v>14</v>
      </c>
      <c r="PJ227" s="43" t="str">
        <f t="shared" si="978"/>
        <v/>
      </c>
      <c r="PK227" s="43" t="str">
        <f t="shared" si="979"/>
        <v/>
      </c>
      <c r="PL227" s="43" t="str">
        <f t="shared" si="980"/>
        <v/>
      </c>
      <c r="PM227" s="43" t="str">
        <f t="shared" si="981"/>
        <v/>
      </c>
      <c r="PN227" s="43" t="str">
        <f t="shared" si="982"/>
        <v/>
      </c>
      <c r="PO227" s="43" t="str">
        <f t="shared" si="983"/>
        <v>NORMAL</v>
      </c>
      <c r="PP227" s="43" t="str">
        <f t="shared" si="984"/>
        <v/>
      </c>
      <c r="PQ227" s="43" t="str">
        <f t="shared" si="985"/>
        <v/>
      </c>
      <c r="PR227" s="43" t="str">
        <f t="shared" si="986"/>
        <v/>
      </c>
      <c r="PS227" s="43" t="str">
        <f t="shared" si="987"/>
        <v/>
      </c>
      <c r="PT227" s="43" t="str">
        <f t="shared" si="988"/>
        <v/>
      </c>
      <c r="PU227" s="43" t="str">
        <f t="shared" si="989"/>
        <v/>
      </c>
      <c r="PV227" s="43" t="str">
        <f t="shared" si="990"/>
        <v/>
      </c>
      <c r="PW227" s="43" t="str">
        <f t="shared" si="991"/>
        <v/>
      </c>
      <c r="PX227" s="43" t="str">
        <f t="shared" si="992"/>
        <v/>
      </c>
      <c r="PY227" s="43" t="str">
        <f t="shared" si="993"/>
        <v/>
      </c>
      <c r="PZ227" s="43" t="str">
        <f t="shared" si="994"/>
        <v/>
      </c>
      <c r="QA227" s="43" t="str">
        <f t="shared" si="995"/>
        <v/>
      </c>
      <c r="QB227" s="43" t="str">
        <f t="shared" si="996"/>
        <v/>
      </c>
      <c r="QC227" s="43" t="str">
        <f t="shared" si="997"/>
        <v/>
      </c>
      <c r="QD227" s="43" t="str">
        <f t="shared" si="998"/>
        <v/>
      </c>
      <c r="QE227" s="43" t="str">
        <f t="shared" si="999"/>
        <v/>
      </c>
      <c r="QF227" s="43" t="str">
        <f t="shared" si="1000"/>
        <v/>
      </c>
      <c r="QG227" s="43" t="str">
        <f t="shared" si="1001"/>
        <v/>
      </c>
      <c r="QH227" s="43" t="str">
        <f t="shared" si="1002"/>
        <v/>
      </c>
      <c r="QI227" s="43" t="str">
        <f t="shared" si="1003"/>
        <v/>
      </c>
      <c r="QJ227" s="43" t="str">
        <f t="shared" si="1004"/>
        <v/>
      </c>
      <c r="QK227" s="43" t="str">
        <f t="shared" si="1005"/>
        <v/>
      </c>
      <c r="QL227" s="43" t="str">
        <f t="shared" si="1006"/>
        <v/>
      </c>
      <c r="QM227" s="43" t="str">
        <f t="shared" si="1007"/>
        <v/>
      </c>
      <c r="QN227" s="43" t="str">
        <f t="shared" si="1008"/>
        <v/>
      </c>
      <c r="QO227" s="43" t="str">
        <f t="shared" si="1009"/>
        <v/>
      </c>
      <c r="QP227" s="43" t="str">
        <f t="shared" si="1010"/>
        <v/>
      </c>
      <c r="QQ227" s="43" t="str">
        <f t="shared" si="1011"/>
        <v/>
      </c>
      <c r="QR227" s="43">
        <f t="shared" si="1012"/>
        <v>14</v>
      </c>
      <c r="QS227" s="43"/>
      <c r="QT227" s="21" t="str">
        <f t="shared" si="1013"/>
        <v/>
      </c>
      <c r="QU227" s="21" t="str">
        <f t="shared" si="1014"/>
        <v>ADECUADO PARA EDAD GESTACIONAL</v>
      </c>
      <c r="QV227" s="21" t="str">
        <f t="shared" si="1015"/>
        <v/>
      </c>
      <c r="QW227" s="21" t="str">
        <f t="shared" si="1016"/>
        <v/>
      </c>
      <c r="QX227" s="21" t="str">
        <f t="shared" si="1017"/>
        <v/>
      </c>
      <c r="QY227" s="21" t="str">
        <f t="shared" si="1018"/>
        <v/>
      </c>
      <c r="QZ227" s="21" t="str">
        <f t="shared" si="1019"/>
        <v/>
      </c>
      <c r="RA227" s="21" t="str">
        <f t="shared" si="1020"/>
        <v/>
      </c>
      <c r="RB227" s="21" t="str">
        <f t="shared" si="1021"/>
        <v/>
      </c>
      <c r="RC227" s="21" t="str">
        <f t="shared" si="1022"/>
        <v/>
      </c>
      <c r="RD227" s="21" t="str">
        <f t="shared" si="1023"/>
        <v/>
      </c>
      <c r="RE227" s="21" t="str">
        <f t="shared" si="1024"/>
        <v/>
      </c>
      <c r="RF227" s="21" t="str">
        <f t="shared" si="1025"/>
        <v/>
      </c>
      <c r="RG227" s="21" t="str">
        <f t="shared" si="1026"/>
        <v/>
      </c>
      <c r="RH227" s="21" t="str">
        <f t="shared" si="1027"/>
        <v/>
      </c>
      <c r="RI227" s="21" t="str">
        <f t="shared" si="1028"/>
        <v/>
      </c>
      <c r="RJ227" s="21" t="str">
        <f t="shared" si="1029"/>
        <v/>
      </c>
      <c r="RK227" s="21" t="str">
        <f t="shared" si="1030"/>
        <v/>
      </c>
      <c r="RL227" s="21" t="str">
        <f t="shared" si="1031"/>
        <v/>
      </c>
      <c r="RM227" s="21" t="str">
        <f t="shared" si="1032"/>
        <v/>
      </c>
      <c r="RN227" s="21" t="str">
        <f t="shared" si="1033"/>
        <v/>
      </c>
      <c r="RO227" s="21" t="str">
        <f t="shared" si="1034"/>
        <v/>
      </c>
      <c r="RP227" s="21" t="str">
        <f t="shared" si="1035"/>
        <v/>
      </c>
      <c r="RQ227" s="21" t="str">
        <f t="shared" si="1036"/>
        <v/>
      </c>
      <c r="RR227" s="21" t="str">
        <f t="shared" si="1037"/>
        <v/>
      </c>
      <c r="RS227" s="21" t="str">
        <f t="shared" si="1038"/>
        <v/>
      </c>
      <c r="RT227" s="21" t="str">
        <f t="shared" si="1039"/>
        <v/>
      </c>
      <c r="RU227" s="21" t="str">
        <f t="shared" si="1040"/>
        <v/>
      </c>
      <c r="RV227" s="21">
        <f t="shared" si="1041"/>
        <v>-1</v>
      </c>
      <c r="RW227" s="284">
        <f>IF(OR(Tabla1[[#This Row],[FUM FORMULA CONFIABLE]]="",Tabla1[[#This Row],[FUM FORMULA CONFIABLE]]="SD"),"",IF(Tabla1[[#This Row],[FUM FORMULA CONFIABLE]]="CORREGIDA",Tabla1[[#This Row],[FUM X ECO 1]],Tabla1[[#This Row],[FUM x AMENORREA]]))</f>
        <v>45036</v>
      </c>
      <c r="RX227" s="21">
        <f>IF(AND(Tabla1[[#This Row],[FUM X ECO 1]]="",Tabla1[[#This Row],[FUM x AMENORREA]]=""),"",IF(AND(Tabla1[[#This Row],[FUM X ECO 1]]="",Tabla1[[#This Row],[FUM x AMENORREA]]&lt;&gt;""),"X",SUM(Tabla1[[#This Row],[FUM X ECO 1]]-Tabla1[[#This Row],[FUM x AMENORREA]])))</f>
        <v>0.30000000000291038</v>
      </c>
      <c r="RY227" s="21">
        <f t="shared" si="1042"/>
        <v>0</v>
      </c>
    </row>
    <row r="228" spans="1:493" ht="45" customHeight="1" x14ac:dyDescent="0.25">
      <c r="A228" s="109"/>
      <c r="B228" s="43"/>
      <c r="C228" s="299" t="s">
        <v>845</v>
      </c>
      <c r="D228" s="124"/>
      <c r="E228" s="43" t="s">
        <v>873</v>
      </c>
      <c r="F228" s="43" t="s">
        <v>874</v>
      </c>
      <c r="G228" s="43" t="s">
        <v>1612</v>
      </c>
      <c r="H228" s="43" t="s">
        <v>1613</v>
      </c>
      <c r="I228" s="109" t="s">
        <v>851</v>
      </c>
      <c r="J228" s="110">
        <v>1002849103</v>
      </c>
      <c r="K228" s="43" t="s">
        <v>852</v>
      </c>
      <c r="L228" s="175" t="s">
        <v>1509</v>
      </c>
      <c r="M228" s="22">
        <v>37193</v>
      </c>
      <c r="N228" s="213">
        <f t="shared" ca="1" si="841"/>
        <v>22.024657534246575</v>
      </c>
      <c r="O228" s="22">
        <v>45146</v>
      </c>
      <c r="P228" s="214" t="str">
        <f t="shared" si="919"/>
        <v>SI</v>
      </c>
      <c r="Q228" s="26" t="s">
        <v>855</v>
      </c>
      <c r="R228" s="22">
        <v>45146</v>
      </c>
      <c r="S228" s="21" t="s">
        <v>856</v>
      </c>
      <c r="T228" s="24" t="s">
        <v>690</v>
      </c>
      <c r="U228" s="21" t="s">
        <v>857</v>
      </c>
      <c r="V228" s="21" t="s">
        <v>858</v>
      </c>
      <c r="W228" s="21" t="s">
        <v>1341</v>
      </c>
      <c r="X228" s="21" t="s">
        <v>1341</v>
      </c>
      <c r="Y228" s="21"/>
      <c r="Z228" s="21" t="s">
        <v>894</v>
      </c>
      <c r="AA228" s="21" t="s">
        <v>860</v>
      </c>
      <c r="AB228" s="27" t="s">
        <v>861</v>
      </c>
      <c r="AC228" s="26" t="s">
        <v>862</v>
      </c>
      <c r="AD228" s="38" t="s">
        <v>1546</v>
      </c>
      <c r="AE228" s="26" t="s">
        <v>854</v>
      </c>
      <c r="AF228" s="26" t="s">
        <v>854</v>
      </c>
      <c r="AG228" s="23" t="s">
        <v>864</v>
      </c>
      <c r="AH228" s="23" t="s">
        <v>864</v>
      </c>
      <c r="AI228" s="24" t="s">
        <v>863</v>
      </c>
      <c r="AJ228" s="23" t="s">
        <v>864</v>
      </c>
      <c r="AK228" s="220" t="str">
        <f>IF(AND(AD228="",AE228="",AF228="",AG228="",AH228="",AI228="",AJ228=""),"",IF(OR(Tabla1[[#This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EVALUACIÓN",IF(AND(O228="",R228=""),"",IF(AND(OR(O228&gt;0,R228&gt;0),NG228&gt;=0,NG228&lt;2),"SIN RIESGO",IF(AND(OR(O228&gt;0,R228&gt;0),NG228&gt;=2),"CON RIESGO","ASD")))))</f>
        <v>SIN RIESGO</v>
      </c>
      <c r="AL228" s="26" t="s">
        <v>864</v>
      </c>
      <c r="AM228" s="26" t="s">
        <v>864</v>
      </c>
      <c r="AN228" s="26" t="s">
        <v>864</v>
      </c>
      <c r="AO228" s="26" t="s">
        <v>864</v>
      </c>
      <c r="AP228" s="26" t="s">
        <v>864</v>
      </c>
      <c r="AQ228" s="26" t="s">
        <v>864</v>
      </c>
      <c r="AR228" s="26" t="s">
        <v>864</v>
      </c>
      <c r="AS228" s="21">
        <v>1</v>
      </c>
      <c r="AT228" s="21">
        <v>0</v>
      </c>
      <c r="AU228" s="21">
        <v>0</v>
      </c>
      <c r="AV228" s="26" t="s">
        <v>864</v>
      </c>
      <c r="AW228" s="21">
        <v>0</v>
      </c>
      <c r="AX228" s="26" t="s">
        <v>864</v>
      </c>
      <c r="AY228" s="26" t="s">
        <v>864</v>
      </c>
      <c r="AZ228" s="26" t="s">
        <v>864</v>
      </c>
      <c r="BA228" s="26" t="s">
        <v>864</v>
      </c>
      <c r="BB228" s="26" t="s">
        <v>864</v>
      </c>
      <c r="BC228" s="26" t="s">
        <v>864</v>
      </c>
      <c r="BD228" s="26" t="s">
        <v>864</v>
      </c>
      <c r="BE228" s="26" t="s">
        <v>864</v>
      </c>
      <c r="BF228" s="26" t="s">
        <v>864</v>
      </c>
      <c r="BG228" s="26" t="s">
        <v>864</v>
      </c>
      <c r="BH228" s="26" t="s">
        <v>864</v>
      </c>
      <c r="BI228" s="26" t="s">
        <v>864</v>
      </c>
      <c r="BJ228" s="26" t="s">
        <v>864</v>
      </c>
      <c r="BK228" s="26" t="s">
        <v>864</v>
      </c>
      <c r="BL228" s="26" t="s">
        <v>864</v>
      </c>
      <c r="BM228" s="26" t="s">
        <v>864</v>
      </c>
      <c r="BN228" s="22">
        <v>44511</v>
      </c>
      <c r="BO228" s="22">
        <v>45067</v>
      </c>
      <c r="BP228" s="21" t="s">
        <v>854</v>
      </c>
      <c r="BQ228" s="222">
        <f t="shared" si="842"/>
        <v>18.533333333333335</v>
      </c>
      <c r="BR228" s="223">
        <f t="shared" si="843"/>
        <v>45067.8</v>
      </c>
      <c r="BS228" s="224">
        <f t="shared" si="844"/>
        <v>11.285714285714286</v>
      </c>
      <c r="BT228" s="216" t="str">
        <f t="shared" si="845"/>
        <v>II TRIM</v>
      </c>
      <c r="BU228" s="214">
        <f t="shared" ca="1" si="928"/>
        <v>23.571428571428573</v>
      </c>
      <c r="BV228" s="25" t="s">
        <v>988</v>
      </c>
      <c r="BW228" s="22">
        <v>45149</v>
      </c>
      <c r="BX228" s="28">
        <v>11.6</v>
      </c>
      <c r="BY228" s="28"/>
      <c r="BZ228" s="22"/>
      <c r="CA228" s="21"/>
      <c r="CB228" s="26" t="s">
        <v>864</v>
      </c>
      <c r="CC228" s="26" t="s">
        <v>864</v>
      </c>
      <c r="CD228" s="26" t="s">
        <v>865</v>
      </c>
      <c r="CE228" s="26" t="s">
        <v>864</v>
      </c>
      <c r="CF228" s="22" t="s">
        <v>1517</v>
      </c>
      <c r="CG228" s="21">
        <v>1.49</v>
      </c>
      <c r="CH228" s="21">
        <v>52</v>
      </c>
      <c r="CI228" s="214">
        <f t="shared" si="847"/>
        <v>23.422368361785505</v>
      </c>
      <c r="CJ228" s="225" t="e">
        <f>IF(AND(CI228&lt;10,CH228="SD"),"SIN DATO PESO PREGESTACION O I TRIM",IF(AND(OR(R228&gt;0,O228&gt;0),CI228="X"),"INGRESAR DATO DE PESO",IF(CI228="SD","INGRESAR DATO DE TALLA Y PESO",IF(AND(OR(Tabla1[[#This Row],[MOMENTO EN QUE SE REALIZA EL PESO AL INGRESO A CPN]]="PREGESTACIÓN",NZ228="Menor"),CI228&lt;18.5),"BAJO PESO",IF(AND(OR(Tabla1[[#This Row],[MOMENTO EN QUE SE REALIZA EL PESO AL INGRESO A CPN]]="PREGESTACIÓN",NZ228="Menor"),CI228&lt;25),"NORMAL",IF(AND(OR(Tabla1[[#This Row],[MOMENTO EN QUE SE REALIZA EL PESO AL INGRESO A CPN]]="PREGESTACIÓN",NZ228="Menor"),CI228&lt;30),"SOBREPESO",IF(AND(OR(Tabla1[[#This Row],[MOMENTO EN QUE SE REALIZA EL PESO AL INGRESO A CPN]]="PREGESTACIÓN",NZ228="Menor"),CI228&gt;=30,CI228&lt;50),"OBESIDAD",IF(AND(BS228&gt;0,Tabla1[[#This Row],[MOMENTO EN QUE SE REALIZA EL PESO AL INGRESO A CPN]]="GESTACIÓN"),HLOOKUP(NZ228,$OA$2:PH228,NY228),""))))))))</f>
        <v>#REF!</v>
      </c>
      <c r="CK228" s="212">
        <f t="shared" si="848"/>
        <v>45146</v>
      </c>
      <c r="CL228" s="21">
        <v>52</v>
      </c>
      <c r="CM228" s="214">
        <f t="shared" si="849"/>
        <v>23.422368361785505</v>
      </c>
      <c r="CN228" s="216">
        <f t="shared" si="850"/>
        <v>11</v>
      </c>
      <c r="CO228" s="216" t="e">
        <f>IF(PI228="","",IF(PI228&gt;0,HLOOKUP(PI228,$PJ$2:QQ228,NY228),""))</f>
        <v>#REF!</v>
      </c>
      <c r="CP228" s="21"/>
      <c r="CQ228" s="216" t="str">
        <f>IF(QR228="Menor","NO APLICA-MENOR 13 SEM",IF(AND(CC228="SI",CN228&gt;23),"NO APLICA- GEMELAR",IF(QR228="","",IF(QR228&gt;0,HLOOKUP(QR228,$QS$2:RU228,NY228),""))))</f>
        <v>NO APLICA-MENOR 13 SEM</v>
      </c>
      <c r="CR228" s="21">
        <v>90</v>
      </c>
      <c r="CS228" s="21">
        <v>70</v>
      </c>
      <c r="CT228" s="217" t="str">
        <f>IF(R228="","",IF(AND(BS228&gt;1,BS228&lt;12,Tabla1[[#This Row],[T.A. SISTOLICA - ANTES DE SEMANA 12]]="",Tabla1[[#This Row],[T.A. DIASTOLICA - ANTES DE SEMANA 12]]=""),"REGISTRE DATO TA ANTES SEMANA 12",IF(AND(BS228&gt;11,BS228&lt;43,Tabla1[[#This Row],[T.A. SISTOLICA - ANTES DE SEMANA 12]]="",Tabla1[[#This Row],[T.A. DIASTOLICA - ANTES DE SEMANA 12]]=""),"NO APLICA REGISTRO TA-INGRESO TARDIO",IF(AND(OR(O228&gt;0,R228&gt;0),OR(CR228&gt;=140,CS228&gt;=90)),"DEFINIR ESTADIO HTA",IF(AND(OR(O228&gt;0,R228&gt;0),AND(CR228&gt;120,CR228&lt;=139)),"PRE HTA SEGUIMIENTO",IF(AND(OR(O228&gt;0,R228&gt;0),AND(CS228&gt;80,CS228&lt;=89)),"PRE HTA SEGUIMIENTO",IF(AND(OR(O228&gt;0,R228&gt;0),AND(CR228&gt;=80,CR228&lt;=120)),"APARENTEMENTE NORMAL",IF(AND(OR(O228&gt;0,R228&gt;0),AND(CS228&gt;=50,CS228&lt;=80)),"APARENTEMENTE NORMAL",IF(AND(OR(O228&gt;0,R228&gt;0),AND(CR228&gt;1,CR228&lt;=70),AND(CS228&gt;1,CS228&lt;=40)),"HIPOTENSIÓN","")))))))))</f>
        <v>APARENTEMENTE NORMAL</v>
      </c>
      <c r="CU228" s="21"/>
      <c r="CV228" s="21"/>
      <c r="CW228" s="217" t="str">
        <f ca="1">IF(R228="","",IF(AND(CN228&gt;19,CN228&lt;27,Tabla1[[#This Row],[T.A. SISTOLICA (Entre semana 20 y 26)]]="",Tabla1[[#This Row],[T.A. DIATOLICA (Entre semana 20 y 26)]]=""),"ACUDE A CONTROL SEM 20 A 26 REGISTRE TA AHORA",IF(AND(BS228&gt;1,BS228&lt;27,BU228&gt;19,Tabla1[[#This Row],[T.A. SISTOLICA (Entre semana 20 y 26)]]="",Tabla1[[#This Row],[T.A. DIATOLICA (Entre semana 20 y 26)]]=""),"COMPLETE REGISTRO TA CONTROL SEM 20 A26 ",IF(AND(BS228&gt;26,BS228&lt;43,Tabla1[[#This Row],[T.A. SISTOLICA (Entre semana 20 y 26)]]="",Tabla1[[#This Row],[T.A. DIATOLICA (Entre semana 20 y 26)]]=""),"NO APLICA REGISTRO TA-INGRESO TARDIO",IF(AND(OR(O228&gt;0,R228&gt;0),OR(CU228&gt;=140,CV228&gt;=90)),"ALTO RIESGO PREECLAMPSIA,DEFINIR ESTADIO HTA",IF(AND(OR(O228&gt;0,R228&gt;0),AND(CU228&gt;120,CU228&lt;=139)),"PRE HTA SEGUIMIENTO,RIESGO HIPERTENSION INDUCIDA POR EL EMBARAZO",IF(AND(OR(O228&gt;0,R228&gt;0),AND(CV228&gt;80,CV228&lt;=89)),"PRE HTA SEGUIMIENTO, RIESGO HIPERTENSION INDUCIDA POR EL EMBARAZO",IF(AND(OR(O228&lt;&gt;"",R228&lt;&gt;""),CS228&lt;&gt;"",CV228&lt;&gt;"",CS228&lt;=CV228),"VIGILAR CIFRAS PRESION ARTERIAL",IF(AND(OR(O228&gt;0,R228&gt;0),AND(CU228&gt;120,CU228&lt;=139)),"PRE HTA SEGUIMIENTO",IF(AND(OR(O228&gt;0,R228&gt;0),AND(CU228&gt;1,CU228&lt;=70),AND(CV228&gt;1,CV228&lt;=40)),"HIPOTENSIÓN",IF(AND(OR(O228&lt;&gt;"",R228&lt;&gt;""),CS228&lt;&gt;"",CV228&lt;&gt;"",CS228&gt;CV228),"APARENTEMENTE NORMAL",IF(AND(OR(O228&gt;0,R228&gt;0),AND(CU228&gt;=80,CU228&lt;=120)),"APARENTEMENTE NORMAL",IF(AND(OR(O228&gt;0,R228&gt;0),AND(CV228&gt;=50,CV228&lt;=80)),"APARENTEMENTE NORMAL","")))))))))))))</f>
        <v xml:space="preserve">COMPLETE REGISTRO TA CONTROL SEM 20 A26 </v>
      </c>
      <c r="CX228" s="21"/>
      <c r="CY228" s="21"/>
      <c r="CZ228" s="216" t="str">
        <f t="shared" si="1045"/>
        <v/>
      </c>
      <c r="DA228" s="21">
        <v>90</v>
      </c>
      <c r="DB228" s="21">
        <v>70</v>
      </c>
      <c r="DC228" s="217" t="str">
        <f t="shared" si="851"/>
        <v>APARENTEMENTE NORMAL</v>
      </c>
      <c r="DD228" s="22">
        <v>45146</v>
      </c>
      <c r="DE228" s="22">
        <v>45146</v>
      </c>
      <c r="DF228" s="22"/>
      <c r="DG228" s="22"/>
      <c r="DH228" s="22"/>
      <c r="DI228" s="22"/>
      <c r="DJ228" s="22"/>
      <c r="DK228" s="22"/>
      <c r="DL228" s="22"/>
      <c r="DM228" s="22"/>
      <c r="DN228" s="22"/>
      <c r="DO228" s="22"/>
      <c r="DP228" s="22"/>
      <c r="DQ228" s="22"/>
      <c r="DR228" s="28"/>
      <c r="DS228" s="22"/>
      <c r="DT228" s="22"/>
      <c r="DU228" s="216" t="str">
        <f t="shared" ca="1" si="920"/>
        <v>EN ESPERA</v>
      </c>
      <c r="DV228" s="226" t="str">
        <f t="shared" si="921"/>
        <v>ACTIVA INGRESO A CPN</v>
      </c>
      <c r="DW22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28" s="216" t="e">
        <f t="shared" ca="1" si="852"/>
        <v>#REF!</v>
      </c>
      <c r="DY228" s="212">
        <f>IF(R228="","",IF(R228&gt;0,MAX(Tabla1[[#This Row],[FECHA C2]:[FECHA C13]],Tabla1[[#This Row],[FECHA CONSULTA PRIMERA VEZ PROGRAMA CPN ]])))</f>
        <v>45146</v>
      </c>
      <c r="DZ228" s="216">
        <f t="shared" si="853"/>
        <v>11</v>
      </c>
      <c r="EA228" s="222">
        <f>IF(R228&gt;0,SUM(COUNTA(DF228:DQ228)+COUNTA(Tabla1[[#This Row],[FECHA CONSULTA PRIMERA VEZ PROGRAMA CPN ]])),"")</f>
        <v>1</v>
      </c>
      <c r="EB228" s="222" t="str">
        <f t="shared" si="854"/>
        <v>NO</v>
      </c>
      <c r="EC228" s="214">
        <f t="shared" si="855"/>
        <v>9</v>
      </c>
      <c r="ED228" s="227">
        <f t="shared" si="856"/>
        <v>0.1111111111111111</v>
      </c>
      <c r="EE228" s="22">
        <v>45146</v>
      </c>
      <c r="EF228" s="22"/>
      <c r="EG228" s="22">
        <v>45146</v>
      </c>
      <c r="EH228" s="22"/>
      <c r="EI228" s="22">
        <v>45146</v>
      </c>
      <c r="EJ228" s="22"/>
      <c r="EK228" s="22"/>
      <c r="EL228" s="21"/>
      <c r="EM228" s="21">
        <v>14</v>
      </c>
      <c r="EN228" s="22">
        <v>45149</v>
      </c>
      <c r="EO228" s="222">
        <f t="shared" si="857"/>
        <v>11.714285714285714</v>
      </c>
      <c r="EP228" s="214" t="str">
        <f t="shared" si="858"/>
        <v>NORMAL- SUMINISTRAR SULFATO FERROSO</v>
      </c>
      <c r="EQ228" s="216" t="str">
        <f t="shared" si="859"/>
        <v>I TRIM</v>
      </c>
      <c r="ER228" s="24"/>
      <c r="ES228" s="22"/>
      <c r="ET228" s="29" t="str">
        <f t="shared" ca="1" si="922"/>
        <v>PROGRAMAR TOMA HEMOGLOBINA A SEM 28</v>
      </c>
      <c r="EU228" s="25" t="str">
        <f t="shared" si="860"/>
        <v/>
      </c>
      <c r="EV228" s="24" t="s">
        <v>1510</v>
      </c>
      <c r="EW228" s="32">
        <v>45149</v>
      </c>
      <c r="EX228" s="22"/>
      <c r="EY228" s="29">
        <f t="shared" si="1043"/>
        <v>11.714285714285714</v>
      </c>
      <c r="EZ228" s="25" t="str">
        <f t="shared" si="1044"/>
        <v>SIN RIESGO DE ISOINMUNIZACIÓN</v>
      </c>
      <c r="FA228" s="21">
        <v>66</v>
      </c>
      <c r="FB228" s="22">
        <v>45149</v>
      </c>
      <c r="FC228" s="29">
        <f t="shared" si="861"/>
        <v>11.714285714285714</v>
      </c>
      <c r="FD228" s="29"/>
      <c r="FE228" s="29"/>
      <c r="FF228" s="29"/>
      <c r="FG228" s="21" t="str">
        <f t="shared" ca="1" si="862"/>
        <v>PROGRAMAR TOMA PTOG SIGUIENTE CONTROL</v>
      </c>
      <c r="FH228" s="31"/>
      <c r="FI228" s="29" t="str">
        <f t="shared" si="863"/>
        <v>TOMAR EXAMEN</v>
      </c>
      <c r="FJ228" s="22" t="s">
        <v>867</v>
      </c>
      <c r="FK228" s="22">
        <v>45149</v>
      </c>
      <c r="FL228" s="29">
        <f t="shared" ca="1" si="864"/>
        <v>11.714285714285714</v>
      </c>
      <c r="FM228" s="22"/>
      <c r="FN228" s="22"/>
      <c r="FO228" s="29" t="str">
        <f t="shared" ca="1" si="923"/>
        <v>EN RANGO PARA TOMAR EXAMEN</v>
      </c>
      <c r="FP228" s="22"/>
      <c r="FQ228" s="32"/>
      <c r="FR228" s="29" t="str">
        <f t="shared" ca="1" si="924"/>
        <v>EN ESPERA-ESTÁ I TRIM O II TRIM</v>
      </c>
      <c r="FS228" s="22"/>
      <c r="FT228" s="32"/>
      <c r="FU228" s="29" t="str">
        <f>IF(AND(FJ228="",FM228="",FP228="",FS228=""),"",IF(OR(OR(Tabla1[[#This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28" s="28"/>
      <c r="FW228" s="22"/>
      <c r="FX228" s="29" t="str">
        <f t="shared" si="865"/>
        <v>TOMAR EXAMEN</v>
      </c>
      <c r="FY228" s="22" t="s">
        <v>868</v>
      </c>
      <c r="FZ228" s="22">
        <v>45149</v>
      </c>
      <c r="GA228" s="29">
        <f t="shared" ca="1" si="939"/>
        <v>11.714285714285714</v>
      </c>
      <c r="GB228" s="22"/>
      <c r="GC228" s="22"/>
      <c r="GD228" s="29" t="str">
        <f t="shared" ca="1" si="940"/>
        <v>EN RANGO PARA TOMAR EXAMEN</v>
      </c>
      <c r="GE228" s="22"/>
      <c r="GF228" s="22"/>
      <c r="GG228" s="29" t="str">
        <f t="shared" ca="1" si="926"/>
        <v>EN ESPERA-ESTÁ I TRIM O II TRIM</v>
      </c>
      <c r="GH228" s="22"/>
      <c r="GI228" s="29"/>
      <c r="GJ228" s="22"/>
      <c r="GK228" s="22"/>
      <c r="GL228" s="22"/>
      <c r="GM228" s="22"/>
      <c r="GN228" s="28" t="s">
        <v>869</v>
      </c>
      <c r="GO228" s="22">
        <v>45149</v>
      </c>
      <c r="GP228" s="29">
        <f t="shared" si="866"/>
        <v>11.714285714285714</v>
      </c>
      <c r="GQ228" s="28" t="s">
        <v>869</v>
      </c>
      <c r="GR228" s="28" t="s">
        <v>869</v>
      </c>
      <c r="GS228" s="22" t="str">
        <f t="shared" si="1047"/>
        <v>CONTROL Igm</v>
      </c>
      <c r="GT228" s="22">
        <v>45149</v>
      </c>
      <c r="GU228" s="29">
        <f t="shared" si="867"/>
        <v>11.714285714285714</v>
      </c>
      <c r="GV228" s="21" t="str">
        <f t="shared" si="868"/>
        <v>I TRIM</v>
      </c>
      <c r="GW228" s="28"/>
      <c r="GX228" s="30"/>
      <c r="GY228" s="21"/>
      <c r="GZ228" s="21"/>
      <c r="HA228" s="21"/>
      <c r="HB228" s="21"/>
      <c r="HC228" s="21"/>
      <c r="HD228" s="21"/>
      <c r="HE228" s="21"/>
      <c r="HF228" s="22"/>
      <c r="HG228" s="22" t="str">
        <f>IF(OR(O228&gt;0,R228&gt;0),CONCATENATE(IF(Tabla1[[#This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28" s="22" t="e">
        <f t="shared" si="869"/>
        <v>#REF!</v>
      </c>
      <c r="HI228" s="22" t="e">
        <f t="shared" ca="1" si="870"/>
        <v>#REF!</v>
      </c>
      <c r="HJ228" s="21" t="str">
        <f t="shared" ca="1" si="871"/>
        <v>**********************MULTIPARIDAD*****************</v>
      </c>
      <c r="HK228" s="21" t="str">
        <f t="shared" si="872"/>
        <v>SIN ANTECEDENTES DE RIESGO</v>
      </c>
      <c r="HL228" s="24" t="str">
        <f t="shared" si="873"/>
        <v>APARENTEMENTE NORMAL</v>
      </c>
      <c r="HM228" s="21" t="e">
        <f t="shared" ca="1" si="874"/>
        <v>#REF!</v>
      </c>
      <c r="HN228" s="30" t="str">
        <f t="shared" si="927"/>
        <v>ACTIVA INGRESO A CPN</v>
      </c>
      <c r="HO228" s="21"/>
      <c r="HP228" s="21"/>
      <c r="HQ228" s="349"/>
      <c r="HR228" s="21" t="str">
        <f>IF(R228="","",IF(Tabla1[[#This Row],[ALARMA FACTORES DE RIESGO COMPLICACIONES HIPERTENSIVAS3]]="SIN ANTECEDENTES DE RIESGO","No Aplica para suministro de ASA",IF(AND(Tabla1[[#This Row],[FECHA INICIO DE SUMINISTRO DE ASA]]&gt;0,RV228&lt;12),"Inicia ASA ANTES de Sem 12",IF(AND(RV228&gt;11,RV228&lt;17,OR(HK228="RIESGO ALTO DE COMPLICACIONES HIPERTENSIVAS VER MANEJO GUIA SUMINISTRO ASA Y CALCIO",HK228="RIESGO MODERADO (2 O MAS CRITERIOS) VER MANEJO GUIA SUMINISTRO ASA Y CALCIO")),"Inicio oportuno de ASA",IF(AND(RV228&gt;12,OR(HK228="RIESGO ALTO DE COMPLICACIONES HIPERTENSIVAS VER MANEJO GUIA SUMINISTRO ASA Y CALCIO",HK228="RIESGO MODERADO (2 O MAS CRITERIOS) VER MANEJO GUIA SUMINISTRO ASA Y CALCIO")),"Inicio no oportuno mayor a 16 semanas",IF(AND(BU228&lt;12,OR(HK228="RIESGO ALTO DE COMPLICACIONES HIPERTENSIVAS VER MANEJO GUIA SUMINISTRO ASA Y CALCIO",HK228="RIESGO MODERADO (2 O MAS CRITERIOS) VER MANEJO GUIA SUMINISTRO ASA Y CALCIO")),"Pendiente Inicio de ASA a la semana 12",IF(AND(BU228&gt;11,BU228&lt;17,OR(HK228="RIESGO ALTO DE COMPLICACIONES HIPERTENSIVAS VER MANEJO GUIA SUMINISTRO ASA Y CALCIO",HK228="RIESGO MODERADO (2 O MAS CRITERIOS) VER MANEJO GUIA SUMINISTRO ASA Y CALCIO")),"Iniciar de inmediato ASA",IF(AND(BU228&gt;16,OR(HK228="RIESGO ALTO DE COMPLICACIONES HIPERTENSIVAS VER MANEJO GUIA SUMINISTRO ASA Y CALCIO",HK228="RIESGO MODERADO (2 O MAS CRITERIOS) VER MANEJO GUIA SUMINISTRO ASA Y CALCIO")),"Pierde Oportunidad, Inicio tardío de ASA","XXXXX"))))))))</f>
        <v>No Aplica para suministro de ASA</v>
      </c>
      <c r="HS228" s="22"/>
      <c r="HT228" s="22"/>
      <c r="HU228" s="22">
        <v>45146</v>
      </c>
      <c r="HV228" s="22" t="s">
        <v>1544</v>
      </c>
      <c r="HW228" s="22">
        <v>45146</v>
      </c>
      <c r="HX228" s="22" t="s">
        <v>1511</v>
      </c>
      <c r="HY228" s="22"/>
      <c r="HZ228" s="28" t="str">
        <f t="shared" si="875"/>
        <v>PENDIENTE CONSULTA</v>
      </c>
      <c r="IA228" s="26"/>
      <c r="IB228" s="26"/>
      <c r="IC228" s="111"/>
      <c r="ID228" s="22"/>
      <c r="IE228" s="22" t="str">
        <f t="shared" ca="1" si="876"/>
        <v>PROGRAMAR APLICACION DE VACUNA</v>
      </c>
      <c r="IF228" s="22"/>
      <c r="IG228" s="22">
        <f t="shared" si="877"/>
        <v>45347</v>
      </c>
      <c r="IH228" s="29">
        <f t="shared" ca="1" si="878"/>
        <v>115</v>
      </c>
      <c r="II228" s="22" t="str">
        <f t="shared" ca="1" si="879"/>
        <v>PENDIENTE</v>
      </c>
      <c r="IJ228" s="22"/>
      <c r="IK228" s="21"/>
      <c r="IL228" s="21"/>
      <c r="IM228" s="34"/>
      <c r="IN228" s="22"/>
      <c r="IO228" s="21"/>
      <c r="IP228" s="29" t="str">
        <f t="shared" si="880"/>
        <v/>
      </c>
      <c r="IQ228" s="35"/>
      <c r="IR228" s="21"/>
      <c r="IS228" s="21"/>
      <c r="IT228" s="21"/>
      <c r="IU228" s="21"/>
      <c r="IV228" s="21"/>
      <c r="IW228" s="21"/>
      <c r="IX228" s="21"/>
      <c r="IY228" s="21"/>
      <c r="IZ228" s="21"/>
      <c r="JA228" s="21"/>
      <c r="JB228" s="30"/>
      <c r="JC228" s="21"/>
      <c r="JD228" s="36"/>
      <c r="JE228" s="21" t="str">
        <f t="shared" si="881"/>
        <v/>
      </c>
      <c r="JF228" s="30"/>
      <c r="JG228" s="21"/>
      <c r="JH228" s="21"/>
      <c r="JI228" s="21"/>
      <c r="JJ228" s="30"/>
      <c r="JK228" s="22"/>
      <c r="JL228" s="22"/>
      <c r="JM228" s="21"/>
      <c r="JN228" s="36"/>
      <c r="JO228" s="21" t="str">
        <f t="shared" si="882"/>
        <v/>
      </c>
      <c r="JP228" s="22"/>
      <c r="JQ228" s="21"/>
      <c r="JR228" s="21"/>
      <c r="JS228" s="21"/>
      <c r="JT228" s="30"/>
      <c r="JU228" s="22"/>
      <c r="JV228" s="22"/>
      <c r="JW228" s="33"/>
      <c r="JX228" s="28" t="str">
        <f t="shared" si="883"/>
        <v/>
      </c>
      <c r="JY228" s="159"/>
      <c r="JZ228" s="28" t="str">
        <f t="shared" si="884"/>
        <v/>
      </c>
      <c r="KA228" s="21"/>
      <c r="KB228" s="21"/>
      <c r="KC228" s="21"/>
      <c r="KD228" s="37"/>
      <c r="KE228" s="28"/>
      <c r="KF228" s="28"/>
      <c r="KG228" s="28"/>
      <c r="KH228" s="39"/>
      <c r="KI228" s="39"/>
      <c r="KJ228" s="66"/>
      <c r="KK228" s="39"/>
      <c r="KL228" s="39"/>
      <c r="KM228" s="66"/>
      <c r="KN228" s="39"/>
      <c r="KO228" s="39"/>
      <c r="KP228" s="39"/>
      <c r="KQ228" s="39"/>
      <c r="KR228" s="39"/>
      <c r="KS228" s="39"/>
      <c r="KT228" s="39"/>
      <c r="KU228" s="38"/>
      <c r="KV228" s="38"/>
      <c r="KW228" s="38"/>
      <c r="KX228" s="38"/>
      <c r="KY228" s="38"/>
      <c r="KZ228" s="38"/>
      <c r="LA228" s="38"/>
      <c r="LB228" s="38"/>
      <c r="LC228" s="38"/>
      <c r="LD228" s="38"/>
      <c r="LE228" s="38"/>
      <c r="LF228" s="38"/>
      <c r="LG228" s="38"/>
      <c r="LH228" s="38"/>
      <c r="LI228" s="38"/>
      <c r="LJ228" s="38"/>
      <c r="LK228" s="38"/>
      <c r="LL228" s="38"/>
      <c r="LM228" s="38"/>
      <c r="LN228" s="38"/>
      <c r="LO228" s="38"/>
      <c r="LP228" s="38"/>
      <c r="LQ228" s="38"/>
      <c r="LR228" s="38"/>
      <c r="LS228" s="38"/>
      <c r="LT228" s="38"/>
      <c r="LU228" s="38"/>
      <c r="LV228" s="38"/>
      <c r="LW228" s="38"/>
      <c r="LX228" s="38"/>
      <c r="LY228" s="38"/>
      <c r="LZ228" s="38"/>
      <c r="MA228" s="38"/>
      <c r="MB228" s="38"/>
      <c r="MC228" s="38"/>
      <c r="MD228" s="38"/>
      <c r="ME228" s="38"/>
      <c r="MF228" s="38"/>
      <c r="MG228" s="38"/>
      <c r="MH228" s="43">
        <f t="shared" si="885"/>
        <v>0</v>
      </c>
      <c r="MI228" s="43" t="str">
        <f t="shared" si="929"/>
        <v/>
      </c>
      <c r="MJ228" s="43" t="str">
        <f t="shared" si="887"/>
        <v/>
      </c>
      <c r="MK228" s="43">
        <f t="shared" si="888"/>
        <v>0</v>
      </c>
      <c r="ML22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28" s="43">
        <f t="shared" si="930"/>
        <v>11.285714285714286</v>
      </c>
      <c r="MN228" s="43">
        <f t="shared" si="931"/>
        <v>8</v>
      </c>
      <c r="MO228" s="43">
        <f t="shared" si="932"/>
        <v>2023</v>
      </c>
      <c r="MP228" s="43" t="str">
        <f t="shared" si="892"/>
        <v>III TRIMESTRE AÑO</v>
      </c>
      <c r="MQ228" s="43">
        <f t="shared" si="933"/>
        <v>21.460249671484888</v>
      </c>
      <c r="MR228" s="43">
        <f t="shared" si="894"/>
        <v>0</v>
      </c>
      <c r="MS228" s="43" t="str">
        <f t="shared" si="895"/>
        <v xml:space="preserve"> DE 20 A 24 AÑOS</v>
      </c>
      <c r="MT228" s="43">
        <f t="shared" si="896"/>
        <v>0</v>
      </c>
      <c r="MU228" s="43">
        <f t="shared" si="897"/>
        <v>1</v>
      </c>
      <c r="MV228" s="43">
        <f t="shared" si="898"/>
        <v>0</v>
      </c>
      <c r="MW228" s="43">
        <f t="shared" si="899"/>
        <v>0</v>
      </c>
      <c r="MX228" s="43" t="str">
        <f t="shared" si="900"/>
        <v/>
      </c>
      <c r="MY228" s="43" t="str">
        <f t="shared" ca="1" si="901"/>
        <v/>
      </c>
      <c r="MZ228" s="43" t="str">
        <f t="shared" si="902"/>
        <v/>
      </c>
      <c r="NA228" s="43">
        <f t="shared" si="903"/>
        <v>0</v>
      </c>
      <c r="NB228" s="43" t="str">
        <f t="shared" si="904"/>
        <v/>
      </c>
      <c r="NC228" s="43" t="str">
        <f t="shared" si="905"/>
        <v/>
      </c>
      <c r="ND228" s="43">
        <f t="shared" ca="1" si="934"/>
        <v>1</v>
      </c>
      <c r="NE228" s="43">
        <f>IF(OR(O228&gt;0,R228&gt;0),SUM(COUNTIF(Tabla1[[#This Row],[AÑOS AL INICIO5 CPN]],"&gt;=40"),COUNTIF(AS228,"0"),COUNTIF(AR228,"SI"),COUNTIF(CC228,"SI"),COUNTIF(BQ228,"&gt;119"),COUNTIF(CI228,"&gt;=35")),"")</f>
        <v>0</v>
      </c>
      <c r="NF228" s="43" t="str">
        <f t="shared" si="935"/>
        <v/>
      </c>
      <c r="NG228" s="43">
        <f t="shared" si="908"/>
        <v>0</v>
      </c>
      <c r="NH228" s="43">
        <f t="shared" si="909"/>
        <v>81.2</v>
      </c>
      <c r="NI22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CPN",P228="NO"),"Z",IF(AND(Tabla1[[#This Row],[CITA PROXIMO CONTROL]]="CITA MANUAL",Tabla1[[#This Row],[GESTANTES ACTUALES]]="ACTIVA INGRESO A CPN"),"W",IF(AND(Tabla1[[#This Row],[GESTANTES ACTUALES]]="SALIO PROGRAMA",IN228=""),"S",IF(AND(Tabla1[[#This Row],[CITA PROXIMO CONTROL]]&gt;0,IN228=""),(Tabla1[[#This Row],[CITA PROXIMO CONTROL]]-TODAY()),"SD"))))))))</f>
        <v>#REF!</v>
      </c>
      <c r="NJ228" s="43">
        <f>MONTH(Tabla1[[#This Row],[FECHA DE SALIDA  DEL PROGRAMA]])</f>
        <v>1</v>
      </c>
      <c r="NK228" s="43">
        <f>YEAR(Tabla1[[#This Row],[FECHA DE SALIDA  DEL PROGRAMA]])</f>
        <v>1900</v>
      </c>
      <c r="NL228" s="43" t="str">
        <f t="shared" si="936"/>
        <v>X</v>
      </c>
      <c r="NM228" s="43" t="str">
        <f t="shared" si="941"/>
        <v>NO</v>
      </c>
      <c r="NN228" s="43" t="str">
        <f ca="1">IF(AND(O228&gt;0,R228=""),"NO CPN",IF(AND(O228="",R228=""),"",IF(AND(R228&gt;0,Tabla1[[#This Row],[SEMANAS DE GESTACION ACTUALIZADAS]]&lt;=12),"NO APLICA",IF(AND(FH228&lt;&gt;"",FN228&lt;&gt;""),"SI","NO"))))</f>
        <v>NO</v>
      </c>
      <c r="NO228" s="43" t="str">
        <f ca="1">IF(AND(O228&gt;0,R228=""),"NO CPN",IF(AND(O228="",R228=""),"",IF(AND(R228&gt;0,Tabla1[[#This Row],[SEMANAS DE GESTACION ACTUALIZADAS]]&lt;=27),"NO APLICA",IF(AND(ES228&lt;&gt;"",FQ228&lt;&gt;"",GF228&lt;&gt;""),"SI","NO"))))</f>
        <v>NO APLICA</v>
      </c>
      <c r="NP228" s="204" t="str">
        <f t="shared" si="912"/>
        <v>I TRIM</v>
      </c>
      <c r="NQ228" s="21" t="str">
        <f t="shared" si="1046"/>
        <v/>
      </c>
      <c r="NR228" s="21">
        <f t="shared" ca="1" si="937"/>
        <v>2</v>
      </c>
      <c r="NS228" s="205">
        <f t="shared" ca="1" si="914"/>
        <v>1</v>
      </c>
      <c r="NT228" s="21">
        <f t="shared" ca="1" si="915"/>
        <v>1</v>
      </c>
      <c r="NU228" s="21" t="str">
        <f t="shared" ca="1" si="916"/>
        <v>INCOMPLETO</v>
      </c>
      <c r="NV228" s="21" t="str">
        <f t="shared" ca="1" si="917"/>
        <v>INCOMPLETO</v>
      </c>
      <c r="NW228" s="206" t="str">
        <f>IF(AND(O228="",R228=""),"",IF(OR(AND(Tabla1[[#This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28" s="207" t="str">
        <f t="shared" ca="1" si="938"/>
        <v>SIN VACUNAR</v>
      </c>
      <c r="NY228" s="43">
        <f>ROW(Tabla1[[#This Row],['# DE TAMIZAJES SIFILIS TOMADOS ]])</f>
        <v>228</v>
      </c>
      <c r="NZ228" s="43">
        <f t="shared" si="942"/>
        <v>11</v>
      </c>
      <c r="OA228" s="43" t="str">
        <f t="shared" si="943"/>
        <v/>
      </c>
      <c r="OB228" s="43" t="str">
        <f t="shared" si="944"/>
        <v/>
      </c>
      <c r="OC228" s="43" t="str">
        <f t="shared" si="945"/>
        <v>NORMAL</v>
      </c>
      <c r="OD228" s="43" t="str">
        <f t="shared" si="946"/>
        <v/>
      </c>
      <c r="OE228" s="43" t="str">
        <f t="shared" si="947"/>
        <v/>
      </c>
      <c r="OF228" s="43" t="str">
        <f t="shared" si="948"/>
        <v/>
      </c>
      <c r="OG228" s="43" t="str">
        <f t="shared" si="949"/>
        <v/>
      </c>
      <c r="OH228" s="43" t="str">
        <f t="shared" si="950"/>
        <v/>
      </c>
      <c r="OI228" s="43" t="str">
        <f t="shared" si="951"/>
        <v/>
      </c>
      <c r="OJ228" s="43" t="str">
        <f t="shared" si="952"/>
        <v/>
      </c>
      <c r="OK228" s="43" t="str">
        <f t="shared" si="953"/>
        <v/>
      </c>
      <c r="OL228" s="43" t="str">
        <f t="shared" si="954"/>
        <v/>
      </c>
      <c r="OM228" s="43" t="str">
        <f t="shared" si="955"/>
        <v/>
      </c>
      <c r="ON228" s="43" t="str">
        <f t="shared" si="956"/>
        <v/>
      </c>
      <c r="OO228" s="43" t="str">
        <f t="shared" si="957"/>
        <v/>
      </c>
      <c r="OP228" s="43" t="str">
        <f t="shared" si="958"/>
        <v/>
      </c>
      <c r="OQ228" s="43" t="str">
        <f t="shared" si="959"/>
        <v/>
      </c>
      <c r="OR228" s="43" t="str">
        <f t="shared" si="960"/>
        <v/>
      </c>
      <c r="OS228" s="43" t="str">
        <f t="shared" si="961"/>
        <v/>
      </c>
      <c r="OT228" s="43" t="str">
        <f t="shared" si="962"/>
        <v/>
      </c>
      <c r="OU228" s="43" t="str">
        <f t="shared" si="963"/>
        <v/>
      </c>
      <c r="OV228" s="110" t="str">
        <f t="shared" si="964"/>
        <v/>
      </c>
      <c r="OW228" s="43" t="str">
        <f t="shared" si="965"/>
        <v/>
      </c>
      <c r="OX228" s="43" t="str">
        <f t="shared" si="966"/>
        <v/>
      </c>
      <c r="OY228" s="43" t="str">
        <f t="shared" si="967"/>
        <v/>
      </c>
      <c r="OZ228" s="43" t="str">
        <f t="shared" si="968"/>
        <v/>
      </c>
      <c r="PA228" s="43" t="str">
        <f t="shared" si="969"/>
        <v/>
      </c>
      <c r="PB228" s="43" t="str">
        <f t="shared" si="970"/>
        <v/>
      </c>
      <c r="PC228" s="43" t="str">
        <f t="shared" si="971"/>
        <v/>
      </c>
      <c r="PD228" s="43" t="str">
        <f t="shared" si="972"/>
        <v/>
      </c>
      <c r="PE228" s="43" t="str">
        <f t="shared" si="973"/>
        <v/>
      </c>
      <c r="PF228" s="43" t="str">
        <f t="shared" si="974"/>
        <v/>
      </c>
      <c r="PG228" s="43" t="str">
        <f t="shared" si="975"/>
        <v/>
      </c>
      <c r="PH228" s="43" t="str">
        <f t="shared" si="976"/>
        <v/>
      </c>
      <c r="PI228" s="43">
        <f t="shared" si="977"/>
        <v>11</v>
      </c>
      <c r="PJ228" s="43" t="str">
        <f t="shared" si="978"/>
        <v/>
      </c>
      <c r="PK228" s="43" t="str">
        <f t="shared" si="979"/>
        <v/>
      </c>
      <c r="PL228" s="43" t="str">
        <f t="shared" si="980"/>
        <v>NORMAL</v>
      </c>
      <c r="PM228" s="43" t="str">
        <f t="shared" si="981"/>
        <v/>
      </c>
      <c r="PN228" s="43" t="str">
        <f t="shared" si="982"/>
        <v/>
      </c>
      <c r="PO228" s="43" t="str">
        <f t="shared" si="983"/>
        <v/>
      </c>
      <c r="PP228" s="43" t="str">
        <f t="shared" si="984"/>
        <v/>
      </c>
      <c r="PQ228" s="43" t="str">
        <f t="shared" si="985"/>
        <v/>
      </c>
      <c r="PR228" s="43" t="str">
        <f t="shared" si="986"/>
        <v/>
      </c>
      <c r="PS228" s="43" t="str">
        <f t="shared" si="987"/>
        <v/>
      </c>
      <c r="PT228" s="43" t="str">
        <f t="shared" si="988"/>
        <v/>
      </c>
      <c r="PU228" s="43" t="str">
        <f t="shared" si="989"/>
        <v/>
      </c>
      <c r="PV228" s="43" t="str">
        <f t="shared" si="990"/>
        <v/>
      </c>
      <c r="PW228" s="43" t="str">
        <f t="shared" si="991"/>
        <v/>
      </c>
      <c r="PX228" s="43" t="str">
        <f t="shared" si="992"/>
        <v/>
      </c>
      <c r="PY228" s="43" t="str">
        <f t="shared" si="993"/>
        <v/>
      </c>
      <c r="PZ228" s="43" t="str">
        <f t="shared" si="994"/>
        <v/>
      </c>
      <c r="QA228" s="43" t="str">
        <f t="shared" si="995"/>
        <v/>
      </c>
      <c r="QB228" s="43" t="str">
        <f t="shared" si="996"/>
        <v/>
      </c>
      <c r="QC228" s="43" t="str">
        <f t="shared" si="997"/>
        <v/>
      </c>
      <c r="QD228" s="43" t="str">
        <f t="shared" si="998"/>
        <v/>
      </c>
      <c r="QE228" s="43" t="str">
        <f t="shared" si="999"/>
        <v/>
      </c>
      <c r="QF228" s="43" t="str">
        <f t="shared" si="1000"/>
        <v/>
      </c>
      <c r="QG228" s="43" t="str">
        <f t="shared" si="1001"/>
        <v/>
      </c>
      <c r="QH228" s="43" t="str">
        <f t="shared" si="1002"/>
        <v/>
      </c>
      <c r="QI228" s="43" t="str">
        <f t="shared" si="1003"/>
        <v/>
      </c>
      <c r="QJ228" s="43" t="str">
        <f t="shared" si="1004"/>
        <v/>
      </c>
      <c r="QK228" s="43" t="str">
        <f t="shared" si="1005"/>
        <v/>
      </c>
      <c r="QL228" s="43" t="str">
        <f t="shared" si="1006"/>
        <v/>
      </c>
      <c r="QM228" s="43" t="str">
        <f t="shared" si="1007"/>
        <v/>
      </c>
      <c r="QN228" s="43" t="str">
        <f t="shared" si="1008"/>
        <v/>
      </c>
      <c r="QO228" s="43" t="str">
        <f t="shared" si="1009"/>
        <v/>
      </c>
      <c r="QP228" s="43" t="str">
        <f t="shared" si="1010"/>
        <v/>
      </c>
      <c r="QQ228" s="43" t="str">
        <f t="shared" si="1011"/>
        <v/>
      </c>
      <c r="QR228" s="43" t="str">
        <f t="shared" si="1012"/>
        <v>Menor</v>
      </c>
      <c r="QS228" s="43"/>
      <c r="QT228" s="21" t="str">
        <f t="shared" si="1013"/>
        <v/>
      </c>
      <c r="QU228" s="21" t="str">
        <f t="shared" si="1014"/>
        <v/>
      </c>
      <c r="QV228" s="21" t="str">
        <f t="shared" si="1015"/>
        <v/>
      </c>
      <c r="QW228" s="21" t="str">
        <f t="shared" si="1016"/>
        <v/>
      </c>
      <c r="QX228" s="21" t="str">
        <f t="shared" si="1017"/>
        <v/>
      </c>
      <c r="QY228" s="21" t="str">
        <f t="shared" si="1018"/>
        <v/>
      </c>
      <c r="QZ228" s="21" t="str">
        <f t="shared" si="1019"/>
        <v/>
      </c>
      <c r="RA228" s="21" t="str">
        <f t="shared" si="1020"/>
        <v/>
      </c>
      <c r="RB228" s="21" t="str">
        <f t="shared" si="1021"/>
        <v/>
      </c>
      <c r="RC228" s="21" t="str">
        <f t="shared" si="1022"/>
        <v/>
      </c>
      <c r="RD228" s="21" t="str">
        <f t="shared" si="1023"/>
        <v/>
      </c>
      <c r="RE228" s="21" t="str">
        <f t="shared" si="1024"/>
        <v/>
      </c>
      <c r="RF228" s="21" t="str">
        <f t="shared" si="1025"/>
        <v/>
      </c>
      <c r="RG228" s="21" t="str">
        <f t="shared" si="1026"/>
        <v/>
      </c>
      <c r="RH228" s="21" t="str">
        <f t="shared" si="1027"/>
        <v/>
      </c>
      <c r="RI228" s="21" t="str">
        <f t="shared" si="1028"/>
        <v/>
      </c>
      <c r="RJ228" s="21" t="str">
        <f t="shared" si="1029"/>
        <v/>
      </c>
      <c r="RK228" s="21" t="str">
        <f t="shared" si="1030"/>
        <v/>
      </c>
      <c r="RL228" s="21" t="str">
        <f t="shared" si="1031"/>
        <v/>
      </c>
      <c r="RM228" s="21" t="str">
        <f t="shared" si="1032"/>
        <v/>
      </c>
      <c r="RN228" s="21" t="str">
        <f t="shared" si="1033"/>
        <v/>
      </c>
      <c r="RO228" s="21" t="str">
        <f t="shared" si="1034"/>
        <v/>
      </c>
      <c r="RP228" s="21" t="str">
        <f t="shared" si="1035"/>
        <v/>
      </c>
      <c r="RQ228" s="21" t="str">
        <f t="shared" si="1036"/>
        <v/>
      </c>
      <c r="RR228" s="21" t="str">
        <f t="shared" si="1037"/>
        <v/>
      </c>
      <c r="RS228" s="21" t="str">
        <f t="shared" si="1038"/>
        <v/>
      </c>
      <c r="RT228" s="21" t="str">
        <f t="shared" si="1039"/>
        <v/>
      </c>
      <c r="RU228" s="21" t="str">
        <f t="shared" si="1040"/>
        <v/>
      </c>
      <c r="RV228" s="21">
        <f t="shared" si="1041"/>
        <v>-1</v>
      </c>
      <c r="RW228" s="284">
        <f>IF(OR(Tabla1[[#This Row],[FUM FORMULA CONFIABLE]]="",Tabla1[[#This Row],[FUM FORMULA CONFIABLE]]="SD"),"",IF(Tabla1[[#This Row],[FUM FORMULA CONFIABLE]]="CORREGIDA",Tabla1[[#This Row],[FUM X ECO 1]],Tabla1[[#This Row],[FUM x AMENORREA]]))</f>
        <v>45067</v>
      </c>
      <c r="RX228" s="21">
        <f>IF(AND(Tabla1[[#This Row],[FUM X ECO 1]]="",Tabla1[[#This Row],[FUM x AMENORREA]]=""),"",IF(AND(Tabla1[[#This Row],[FUM X ECO 1]]="",Tabla1[[#This Row],[FUM x AMENORREA]]&lt;&gt;""),"X",SUM(Tabla1[[#This Row],[FUM X ECO 1]]-Tabla1[[#This Row],[FUM x AMENORREA]])))</f>
        <v>0.80000000000291038</v>
      </c>
      <c r="RY228" s="21">
        <f t="shared" si="1042"/>
        <v>0</v>
      </c>
    </row>
    <row r="229" spans="1:493" ht="45" customHeight="1" x14ac:dyDescent="0.25">
      <c r="A229" s="109"/>
      <c r="B229" s="43" t="s">
        <v>1615</v>
      </c>
      <c r="C229" s="299" t="s">
        <v>845</v>
      </c>
      <c r="D229" s="124"/>
      <c r="E229" s="43" t="s">
        <v>914</v>
      </c>
      <c r="F229" s="43" t="s">
        <v>914</v>
      </c>
      <c r="G229" s="43" t="s">
        <v>1614</v>
      </c>
      <c r="H229" s="43" t="s">
        <v>1277</v>
      </c>
      <c r="I229" s="109" t="s">
        <v>851</v>
      </c>
      <c r="J229" s="110">
        <v>1002847076</v>
      </c>
      <c r="K229" s="43" t="s">
        <v>852</v>
      </c>
      <c r="L229" s="175" t="s">
        <v>1509</v>
      </c>
      <c r="M229" s="22">
        <v>36493</v>
      </c>
      <c r="N229" s="213">
        <f t="shared" ca="1" si="841"/>
        <v>23.942465753424656</v>
      </c>
      <c r="O229" s="22">
        <v>45143</v>
      </c>
      <c r="P229" s="214" t="str">
        <f t="shared" si="919"/>
        <v>SI</v>
      </c>
      <c r="Q229" s="26" t="s">
        <v>855</v>
      </c>
      <c r="R229" s="22">
        <v>45143</v>
      </c>
      <c r="S229" s="21" t="s">
        <v>856</v>
      </c>
      <c r="T229" s="24" t="s">
        <v>690</v>
      </c>
      <c r="U229" s="21" t="s">
        <v>857</v>
      </c>
      <c r="V229" s="21" t="s">
        <v>858</v>
      </c>
      <c r="W229" s="21" t="s">
        <v>893</v>
      </c>
      <c r="X229" s="21" t="s">
        <v>893</v>
      </c>
      <c r="Y229" s="21" t="s">
        <v>859</v>
      </c>
      <c r="Z229" s="21" t="s">
        <v>894</v>
      </c>
      <c r="AA229" s="21" t="s">
        <v>860</v>
      </c>
      <c r="AB229" s="27" t="s">
        <v>861</v>
      </c>
      <c r="AC229" s="26" t="s">
        <v>877</v>
      </c>
      <c r="AD229" s="38" t="s">
        <v>1546</v>
      </c>
      <c r="AE229" s="26" t="s">
        <v>854</v>
      </c>
      <c r="AF229" s="26" t="s">
        <v>854</v>
      </c>
      <c r="AG229" s="23" t="s">
        <v>864</v>
      </c>
      <c r="AH229" s="23" t="s">
        <v>864</v>
      </c>
      <c r="AI229" s="24" t="s">
        <v>863</v>
      </c>
      <c r="AJ229" s="23" t="s">
        <v>864</v>
      </c>
      <c r="AK229" s="220" t="str">
        <f>IF(AND(AD229="",AE229="",AF229="",AG229="",AH229="",AI229="",AJ229=""),"",IF(OR(Tabla1[[#This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EVALUACIÓN",IF(AND(O229="",R229=""),"",IF(AND(OR(O229&gt;0,R229&gt;0),NG229&gt;=0,NG229&lt;2),"SIN RIESGO",IF(AND(OR(O229&gt;0,R229&gt;0),NG229&gt;=2),"CON RIESGO","ASD")))))</f>
        <v>SIN RIESGO</v>
      </c>
      <c r="AL229" s="26" t="s">
        <v>864</v>
      </c>
      <c r="AM229" s="26" t="s">
        <v>864</v>
      </c>
      <c r="AN229" s="26" t="s">
        <v>864</v>
      </c>
      <c r="AO229" s="26" t="s">
        <v>864</v>
      </c>
      <c r="AP229" s="26" t="s">
        <v>864</v>
      </c>
      <c r="AQ229" s="26" t="s">
        <v>864</v>
      </c>
      <c r="AR229" s="26" t="s">
        <v>864</v>
      </c>
      <c r="AS229" s="21">
        <v>2</v>
      </c>
      <c r="AT229" s="21">
        <v>2</v>
      </c>
      <c r="AU229" s="21">
        <v>0</v>
      </c>
      <c r="AV229" s="26" t="s">
        <v>864</v>
      </c>
      <c r="AW229" s="21">
        <v>0</v>
      </c>
      <c r="AX229" s="26" t="s">
        <v>864</v>
      </c>
      <c r="AY229" s="26" t="s">
        <v>864</v>
      </c>
      <c r="AZ229" s="26" t="s">
        <v>864</v>
      </c>
      <c r="BA229" s="26" t="s">
        <v>864</v>
      </c>
      <c r="BB229" s="26" t="s">
        <v>864</v>
      </c>
      <c r="BC229" s="26" t="s">
        <v>864</v>
      </c>
      <c r="BD229" s="26" t="s">
        <v>864</v>
      </c>
      <c r="BE229" s="26" t="s">
        <v>864</v>
      </c>
      <c r="BF229" s="26" t="s">
        <v>864</v>
      </c>
      <c r="BG229" s="26" t="s">
        <v>864</v>
      </c>
      <c r="BH229" s="26" t="s">
        <v>864</v>
      </c>
      <c r="BI229" s="26" t="s">
        <v>864</v>
      </c>
      <c r="BJ229" s="26" t="s">
        <v>864</v>
      </c>
      <c r="BK229" s="26" t="s">
        <v>864</v>
      </c>
      <c r="BL229" s="26" t="s">
        <v>864</v>
      </c>
      <c r="BM229" s="26" t="s">
        <v>864</v>
      </c>
      <c r="BN229" s="22">
        <v>44287</v>
      </c>
      <c r="BO229" s="22">
        <v>44945</v>
      </c>
      <c r="BP229" s="21" t="s">
        <v>854</v>
      </c>
      <c r="BQ229" s="222">
        <f t="shared" si="842"/>
        <v>21.933333333333334</v>
      </c>
      <c r="BR229" s="223">
        <f t="shared" si="843"/>
        <v>44953</v>
      </c>
      <c r="BS229" s="224">
        <f t="shared" si="844"/>
        <v>28.285714285714285</v>
      </c>
      <c r="BT229" s="216" t="str">
        <f t="shared" si="845"/>
        <v>III TRIM</v>
      </c>
      <c r="BU229" s="214">
        <f t="shared" ca="1" si="928"/>
        <v>41</v>
      </c>
      <c r="BV229" s="25" t="s">
        <v>988</v>
      </c>
      <c r="BW229" s="22">
        <v>45149</v>
      </c>
      <c r="BX229" s="28">
        <v>28</v>
      </c>
      <c r="BY229" s="28"/>
      <c r="BZ229" s="22"/>
      <c r="CA229" s="21"/>
      <c r="CB229" s="26" t="s">
        <v>864</v>
      </c>
      <c r="CC229" s="26" t="s">
        <v>864</v>
      </c>
      <c r="CD229" s="26" t="s">
        <v>865</v>
      </c>
      <c r="CE229" s="26" t="s">
        <v>864</v>
      </c>
      <c r="CF229" s="22" t="s">
        <v>1517</v>
      </c>
      <c r="CG229" s="21">
        <v>1.51</v>
      </c>
      <c r="CH229" s="21">
        <v>54.5</v>
      </c>
      <c r="CI229" s="214">
        <f t="shared" si="847"/>
        <v>23.902460418402701</v>
      </c>
      <c r="CJ229" s="225" t="e">
        <f>IF(AND(CI229&lt;10,CH229="SD"),"SIN DATO PESO PREGESTACION O I TRIM",IF(AND(OR(R229&gt;0,O229&gt;0),CI229="X"),"INGRESAR DATO DE PESO",IF(CI229="SD","INGRESAR DATO DE TALLA Y PESO",IF(AND(OR(Tabla1[[#This Row],[MOMENTO EN QUE SE REALIZA EL PESO AL INGRESO A CPN]]="PREGESTACIÓN",NZ229="Menor"),CI229&lt;18.5),"BAJO PESO",IF(AND(OR(Tabla1[[#This Row],[MOMENTO EN QUE SE REALIZA EL PESO AL INGRESO A CPN]]="PREGESTACIÓN",NZ229="Menor"),CI229&lt;25),"NORMAL",IF(AND(OR(Tabla1[[#This Row],[MOMENTO EN QUE SE REALIZA EL PESO AL INGRESO A CPN]]="PREGESTACIÓN",NZ229="Menor"),CI229&lt;30),"SOBREPESO",IF(AND(OR(Tabla1[[#This Row],[MOMENTO EN QUE SE REALIZA EL PESO AL INGRESO A CPN]]="PREGESTACIÓN",NZ229="Menor"),CI229&gt;=30,CI229&lt;50),"OBESIDAD",IF(AND(BS229&gt;0,Tabla1[[#This Row],[MOMENTO EN QUE SE REALIZA EL PESO AL INGRESO A CPN]]="GESTACIÓN"),HLOOKUP(NZ229,$OA$2:PH229,NY229),""))))))))</f>
        <v>#REF!</v>
      </c>
      <c r="CK229" s="212">
        <f t="shared" si="848"/>
        <v>45143</v>
      </c>
      <c r="CL229" s="21">
        <v>54.5</v>
      </c>
      <c r="CM229" s="214">
        <f t="shared" si="849"/>
        <v>23.902460418402701</v>
      </c>
      <c r="CN229" s="216">
        <f t="shared" si="850"/>
        <v>28</v>
      </c>
      <c r="CO229" s="216" t="e">
        <f>IF(PI229="","",IF(PI229&gt;0,HLOOKUP(PI229,$PJ$2:QQ229,NY229),""))</f>
        <v>#REF!</v>
      </c>
      <c r="CP229" s="21">
        <v>25</v>
      </c>
      <c r="CQ229" s="216" t="e">
        <f>IF(QR229="Menor","NO APLICA-MENOR 13 SEM",IF(AND(CC229="SI",CN229&gt;23),"NO APLICA- GEMELAR",IF(QR229="","",IF(QR229&gt;0,HLOOKUP(QR229,$QS$2:RU229,NY229),""))))</f>
        <v>#REF!</v>
      </c>
      <c r="CR229" s="21"/>
      <c r="CS229" s="21"/>
      <c r="CT229" s="217" t="str">
        <f>IF(R229="","",IF(AND(BS229&gt;1,BS229&lt;12,Tabla1[[#This Row],[T.A. SISTOLICA - ANTES DE SEMANA 12]]="",Tabla1[[#This Row],[T.A. DIASTOLICA - ANTES DE SEMANA 12]]=""),"REGISTRE DATO TA ANTES SEMANA 12",IF(AND(BS229&gt;11,BS229&lt;43,Tabla1[[#This Row],[T.A. SISTOLICA - ANTES DE SEMANA 12]]="",Tabla1[[#This Row],[T.A. DIASTOLICA - ANTES DE SEMANA 12]]=""),"NO APLICA REGISTRO TA-INGRESO TARDIO",IF(AND(OR(O229&gt;0,R229&gt;0),OR(CR229&gt;=140,CS229&gt;=90)),"DEFINIR ESTADIO HTA",IF(AND(OR(O229&gt;0,R229&gt;0),AND(CR229&gt;120,CR229&lt;=139)),"PRE HTA SEGUIMIENTO",IF(AND(OR(O229&gt;0,R229&gt;0),AND(CS229&gt;80,CS229&lt;=89)),"PRE HTA SEGUIMIENTO",IF(AND(OR(O229&gt;0,R229&gt;0),AND(CR229&gt;=80,CR229&lt;=120)),"APARENTEMENTE NORMAL",IF(AND(OR(O229&gt;0,R229&gt;0),AND(CS229&gt;=50,CS229&lt;=80)),"APARENTEMENTE NORMAL",IF(AND(OR(O229&gt;0,R229&gt;0),AND(CR229&gt;1,CR229&lt;=70),AND(CS229&gt;1,CS229&lt;=40)),"HIPOTENSIÓN","")))))))))</f>
        <v>NO APLICA REGISTRO TA-INGRESO TARDIO</v>
      </c>
      <c r="CU229" s="21"/>
      <c r="CV229" s="21"/>
      <c r="CW229" s="217" t="str">
        <f ca="1">IF(R229="","",IF(AND(CN229&gt;19,CN229&lt;27,Tabla1[[#This Row],[T.A. SISTOLICA (Entre semana 20 y 26)]]="",Tabla1[[#This Row],[T.A. DIATOLICA (Entre semana 20 y 26)]]=""),"ACUDE A CONTROL SEM 20 A 26 REGISTRE TA AHORA",IF(AND(BS229&gt;1,BS229&lt;27,BU229&gt;19,Tabla1[[#This Row],[T.A. SISTOLICA (Entre semana 20 y 26)]]="",Tabla1[[#This Row],[T.A. DIATOLICA (Entre semana 20 y 26)]]=""),"COMPLETE REGISTRO TA CONTROL SEM 20 A26 ",IF(AND(BS229&gt;26,BS229&lt;43,Tabla1[[#This Row],[T.A. SISTOLICA (Entre semana 20 y 26)]]="",Tabla1[[#This Row],[T.A. DIATOLICA (Entre semana 20 y 26)]]=""),"NO APLICA REGISTRO TA-INGRESO TARDIO",IF(AND(OR(O229&gt;0,R229&gt;0),OR(CU229&gt;=140,CV229&gt;=90)),"ALTO RIESGO PREECLAMPSIA,DEFINIR ESTADIO HTA",IF(AND(OR(O229&gt;0,R229&gt;0),AND(CU229&gt;120,CU229&lt;=139)),"PRE HTA SEGUIMIENTO,RIESGO HIPERTENSION INDUCIDA POR EL EMBARAZO",IF(AND(OR(O229&gt;0,R229&gt;0),AND(CV229&gt;80,CV229&lt;=89)),"PRE HTA SEGUIMIENTO, RIESGO HIPERTENSION INDUCIDA POR EL EMBARAZO",IF(AND(OR(O229&lt;&gt;"",R229&lt;&gt;""),CS229&lt;&gt;"",CV229&lt;&gt;"",CS229&lt;=CV229),"VIGILAR CIFRAS PRESION ARTERIAL",IF(AND(OR(O229&gt;0,R229&gt;0),AND(CU229&gt;120,CU229&lt;=139)),"PRE HTA SEGUIMIENTO",IF(AND(OR(O229&gt;0,R229&gt;0),AND(CU229&gt;1,CU229&lt;=70),AND(CV229&gt;1,CV229&lt;=40)),"HIPOTENSIÓN",IF(AND(OR(O229&lt;&gt;"",R229&lt;&gt;""),CS229&lt;&gt;"",CV229&lt;&gt;"",CS229&gt;CV229),"APARENTEMENTE NORMAL",IF(AND(OR(O229&gt;0,R229&gt;0),AND(CU229&gt;=80,CU229&lt;=120)),"APARENTEMENTE NORMAL",IF(AND(OR(O229&gt;0,R229&gt;0),AND(CV229&gt;=50,CV229&lt;=80)),"APARENTEMENTE NORMAL","")))))))))))))</f>
        <v>NO APLICA REGISTRO TA-INGRESO TARDIO</v>
      </c>
      <c r="CX229" s="21"/>
      <c r="CY229" s="21"/>
      <c r="CZ229" s="216" t="str">
        <f t="shared" si="1045"/>
        <v/>
      </c>
      <c r="DA229" s="21">
        <v>100</v>
      </c>
      <c r="DB229" s="21">
        <v>60</v>
      </c>
      <c r="DC229" s="217" t="str">
        <f t="shared" si="851"/>
        <v>APARENTEMENTE NORMAL</v>
      </c>
      <c r="DD229" s="22">
        <v>45143</v>
      </c>
      <c r="DE229" s="22">
        <v>45143</v>
      </c>
      <c r="DF229" s="22"/>
      <c r="DG229" s="22"/>
      <c r="DH229" s="22"/>
      <c r="DI229" s="22"/>
      <c r="DJ229" s="22"/>
      <c r="DK229" s="22"/>
      <c r="DL229" s="22"/>
      <c r="DM229" s="22"/>
      <c r="DN229" s="22"/>
      <c r="DO229" s="22"/>
      <c r="DP229" s="22"/>
      <c r="DQ229" s="22"/>
      <c r="DR229" s="28"/>
      <c r="DS229" s="22"/>
      <c r="DT229" s="22"/>
      <c r="DU229" s="216" t="str">
        <f t="shared" ca="1" si="920"/>
        <v>CONCERTAR PLAN DE PARTO INMEDIATO</v>
      </c>
      <c r="DV229" s="226" t="str">
        <f t="shared" si="921"/>
        <v>ACTIVA INGRESO A CPN</v>
      </c>
      <c r="DW229"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29" s="216" t="e">
        <f t="shared" ca="1" si="852"/>
        <v>#REF!</v>
      </c>
      <c r="DY229" s="212">
        <f>IF(R229="","",IF(R229&gt;0,MAX(Tabla1[[#This Row],[FECHA C2]:[FECHA C13]],Tabla1[[#This Row],[FECHA CONSULTA PRIMERA VEZ PROGRAMA CPN ]])))</f>
        <v>45143</v>
      </c>
      <c r="DZ229" s="216">
        <f t="shared" si="853"/>
        <v>28</v>
      </c>
      <c r="EA229" s="222">
        <f>IF(R229&gt;0,SUM(COUNTA(DF229:DQ229)+COUNTA(Tabla1[[#This Row],[FECHA CONSULTA PRIMERA VEZ PROGRAMA CPN ]])),"")</f>
        <v>1</v>
      </c>
      <c r="EB229" s="222" t="str">
        <f t="shared" si="854"/>
        <v>NO</v>
      </c>
      <c r="EC229" s="214">
        <f t="shared" si="855"/>
        <v>4</v>
      </c>
      <c r="ED229" s="227">
        <f t="shared" si="856"/>
        <v>0.25</v>
      </c>
      <c r="EE229" s="22">
        <v>45143</v>
      </c>
      <c r="EF229" s="22">
        <v>45146</v>
      </c>
      <c r="EG229" s="22">
        <v>45143</v>
      </c>
      <c r="EH229" s="22"/>
      <c r="EI229" s="22">
        <v>45143</v>
      </c>
      <c r="EJ229" s="22"/>
      <c r="EK229" s="22"/>
      <c r="EL229" s="21"/>
      <c r="EM229" s="21">
        <v>11.7</v>
      </c>
      <c r="EN229" s="22">
        <v>45147</v>
      </c>
      <c r="EO229" s="222">
        <f t="shared" si="857"/>
        <v>28.857142857142858</v>
      </c>
      <c r="EP229" s="214" t="str">
        <f t="shared" si="858"/>
        <v>NORMAL- SUMINISTRAR SULFATO FERROSO</v>
      </c>
      <c r="EQ229" s="216" t="str">
        <f t="shared" si="859"/>
        <v>III TRIM</v>
      </c>
      <c r="ER229" s="24"/>
      <c r="ES229" s="22"/>
      <c r="ET229" s="29" t="str">
        <f t="shared" ca="1" si="922"/>
        <v>TOMA DE HEMOGLOBINA TARDÍA</v>
      </c>
      <c r="EU229" s="25" t="str">
        <f t="shared" si="860"/>
        <v/>
      </c>
      <c r="EV229" s="24" t="s">
        <v>1510</v>
      </c>
      <c r="EW229" s="22">
        <v>45147</v>
      </c>
      <c r="EX229" s="22"/>
      <c r="EY229" s="29">
        <f t="shared" si="1043"/>
        <v>28.857142857142858</v>
      </c>
      <c r="EZ229" s="25" t="str">
        <f t="shared" si="1044"/>
        <v>SIN RIESGO DE ISOINMUNIZACIÓN</v>
      </c>
      <c r="FA229" s="21">
        <v>106</v>
      </c>
      <c r="FB229" s="22">
        <v>45147</v>
      </c>
      <c r="FC229" s="29" t="str">
        <f t="shared" si="861"/>
        <v>NO APLICA &gt; 23 SEM -TOMAR PTOG</v>
      </c>
      <c r="FD229" s="29"/>
      <c r="FE229" s="29"/>
      <c r="FF229" s="29"/>
      <c r="FG229" s="21" t="str">
        <f t="shared" ca="1" si="862"/>
        <v>TOMAR PTOG</v>
      </c>
      <c r="FH229" s="31"/>
      <c r="FI229" s="29" t="str">
        <f t="shared" si="863"/>
        <v>TOMAR EXAMEN</v>
      </c>
      <c r="FJ229" s="22"/>
      <c r="FK229" s="22"/>
      <c r="FL229" s="29" t="str">
        <f t="shared" ca="1" si="864"/>
        <v>NO APLICA-INGRESO TARDIO</v>
      </c>
      <c r="FM229" s="22"/>
      <c r="FN229" s="32"/>
      <c r="FO229" s="29" t="str">
        <f t="shared" ca="1" si="923"/>
        <v>NO APLICA-INGRESO TARDIO</v>
      </c>
      <c r="FP229" s="22" t="s">
        <v>867</v>
      </c>
      <c r="FQ229" s="32">
        <v>45147</v>
      </c>
      <c r="FR229" s="29">
        <f t="shared" ca="1" si="924"/>
        <v>28.857142857142858</v>
      </c>
      <c r="FS229" s="22"/>
      <c r="FT229" s="32"/>
      <c r="FU229" s="29" t="str">
        <f>IF(AND(FJ229="",FM229="",FP229="",FS229=""),"",IF(OR(OR(Tabla1[[#This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29" s="28"/>
      <c r="FW229" s="22"/>
      <c r="FX229" s="29" t="str">
        <f t="shared" si="865"/>
        <v>TOMAR EXAMEN</v>
      </c>
      <c r="FY229" s="22"/>
      <c r="FZ229" s="22"/>
      <c r="GA229" s="29" t="str">
        <f t="shared" ca="1" si="939"/>
        <v>NO APLICA-INGRESO TARDIO</v>
      </c>
      <c r="GB229" s="22"/>
      <c r="GC229" s="22"/>
      <c r="GD229" s="29" t="str">
        <f t="shared" ca="1" si="940"/>
        <v>NO APLICA-INGRESO TARDIO</v>
      </c>
      <c r="GE229" s="22" t="s">
        <v>868</v>
      </c>
      <c r="GF229" s="22">
        <v>45147</v>
      </c>
      <c r="GG229" s="29">
        <f t="shared" ca="1" si="926"/>
        <v>28.857142857142858</v>
      </c>
      <c r="GH229" s="22"/>
      <c r="GI229" s="29"/>
      <c r="GJ229" s="22"/>
      <c r="GK229" s="22"/>
      <c r="GL229" s="22"/>
      <c r="GM229" s="22"/>
      <c r="GN229" s="28" t="s">
        <v>869</v>
      </c>
      <c r="GO229" s="22">
        <v>45147</v>
      </c>
      <c r="GP229" s="29">
        <f t="shared" si="866"/>
        <v>28.857142857142858</v>
      </c>
      <c r="GQ229" s="28" t="s">
        <v>869</v>
      </c>
      <c r="GR229" s="28" t="s">
        <v>869</v>
      </c>
      <c r="GS229" s="22" t="str">
        <f t="shared" si="1047"/>
        <v>CONTROL Igm</v>
      </c>
      <c r="GT229" s="22">
        <v>45147</v>
      </c>
      <c r="GU229" s="29">
        <f t="shared" si="867"/>
        <v>28.857142857142858</v>
      </c>
      <c r="GV229" s="21" t="str">
        <f t="shared" si="868"/>
        <v>III TRIM</v>
      </c>
      <c r="GW229" s="28"/>
      <c r="GX229" s="30"/>
      <c r="GY229" s="21"/>
      <c r="GZ229" s="21"/>
      <c r="HA229" s="21"/>
      <c r="HB229" s="21"/>
      <c r="HC229" s="21"/>
      <c r="HD229" s="21"/>
      <c r="HE229" s="21"/>
      <c r="HF229" s="22"/>
      <c r="HG229" s="22" t="str">
        <f>IF(OR(O229&gt;0,R229&gt;0),CONCATENATE(IF(Tabla1[[#This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29" s="22" t="e">
        <f t="shared" si="869"/>
        <v>#REF!</v>
      </c>
      <c r="HI229" s="22" t="e">
        <f t="shared" ca="1" si="870"/>
        <v>#REF!</v>
      </c>
      <c r="HJ229" s="21" t="str">
        <f t="shared" ca="1" si="871"/>
        <v>***************************EMBARAZO PROLONGADO************</v>
      </c>
      <c r="HK229" s="21" t="str">
        <f t="shared" si="872"/>
        <v>SIN ANTECEDENTES DE RIESGO</v>
      </c>
      <c r="HL229" s="24" t="str">
        <f t="shared" si="873"/>
        <v>APARENTEMENTE NORMAL</v>
      </c>
      <c r="HM229" s="21" t="e">
        <f t="shared" ca="1" si="874"/>
        <v>#REF!</v>
      </c>
      <c r="HN229" s="30" t="str">
        <f t="shared" si="927"/>
        <v>ACTIVA INGRESO A CPN</v>
      </c>
      <c r="HO229" s="21"/>
      <c r="HP229" s="21"/>
      <c r="HQ229" s="349"/>
      <c r="HR229" s="21" t="str">
        <f>IF(R229="","",IF(Tabla1[[#This Row],[ALARMA FACTORES DE RIESGO COMPLICACIONES HIPERTENSIVAS3]]="SIN ANTECEDENTES DE RIESGO","No Aplica para suministro de ASA",IF(AND(Tabla1[[#This Row],[FECHA INICIO DE SUMINISTRO DE ASA]]&gt;0,RV229&lt;12),"Inicia ASA ANTES de Sem 12",IF(AND(RV229&gt;11,RV229&lt;17,OR(HK229="RIESGO ALTO DE COMPLICACIONES HIPERTENSIVAS VER MANEJO GUIA SUMINISTRO ASA Y CALCIO",HK229="RIESGO MODERADO (2 O MAS CRITERIOS) VER MANEJO GUIA SUMINISTRO ASA Y CALCIO")),"Inicio oportuno de ASA",IF(AND(RV229&gt;12,OR(HK229="RIESGO ALTO DE COMPLICACIONES HIPERTENSIVAS VER MANEJO GUIA SUMINISTRO ASA Y CALCIO",HK229="RIESGO MODERADO (2 O MAS CRITERIOS) VER MANEJO GUIA SUMINISTRO ASA Y CALCIO")),"Inicio no oportuno mayor a 16 semanas",IF(AND(BU229&lt;12,OR(HK229="RIESGO ALTO DE COMPLICACIONES HIPERTENSIVAS VER MANEJO GUIA SUMINISTRO ASA Y CALCIO",HK229="RIESGO MODERADO (2 O MAS CRITERIOS) VER MANEJO GUIA SUMINISTRO ASA Y CALCIO")),"Pendiente Inicio de ASA a la semana 12",IF(AND(BU229&gt;11,BU229&lt;17,OR(HK229="RIESGO ALTO DE COMPLICACIONES HIPERTENSIVAS VER MANEJO GUIA SUMINISTRO ASA Y CALCIO",HK229="RIESGO MODERADO (2 O MAS CRITERIOS) VER MANEJO GUIA SUMINISTRO ASA Y CALCIO")),"Iniciar de inmediato ASA",IF(AND(BU229&gt;16,OR(HK229="RIESGO ALTO DE COMPLICACIONES HIPERTENSIVAS VER MANEJO GUIA SUMINISTRO ASA Y CALCIO",HK229="RIESGO MODERADO (2 O MAS CRITERIOS) VER MANEJO GUIA SUMINISTRO ASA Y CALCIO")),"Pierde Oportunidad, Inicio tardío de ASA","XXXXX"))))))))</f>
        <v>No Aplica para suministro de ASA</v>
      </c>
      <c r="HS229" s="22">
        <v>45143</v>
      </c>
      <c r="HT229" s="22" t="s">
        <v>1518</v>
      </c>
      <c r="HU229" s="22"/>
      <c r="HV229" s="22"/>
      <c r="HW229" s="22">
        <v>45143</v>
      </c>
      <c r="HX229" s="22" t="s">
        <v>1511</v>
      </c>
      <c r="HY229" s="22">
        <v>45054</v>
      </c>
      <c r="HZ229" s="28">
        <f t="shared" si="875"/>
        <v>15.571428571428571</v>
      </c>
      <c r="IA229" s="26"/>
      <c r="IB229" s="26"/>
      <c r="IC229" s="111"/>
      <c r="ID229" s="22"/>
      <c r="IE229" s="22" t="str">
        <f t="shared" ca="1" si="876"/>
        <v>INASISTENTE</v>
      </c>
      <c r="IF229" s="22"/>
      <c r="IG229" s="22">
        <f t="shared" si="877"/>
        <v>45225</v>
      </c>
      <c r="IH229" s="29">
        <f t="shared" ca="1" si="878"/>
        <v>-7</v>
      </c>
      <c r="II229" s="22" t="str">
        <f t="shared" ca="1" si="879"/>
        <v>POSIBLEMENTE NACIO</v>
      </c>
      <c r="IJ229" s="22"/>
      <c r="IK229" s="21"/>
      <c r="IL229" s="21"/>
      <c r="IM229" s="34"/>
      <c r="IN229" s="22"/>
      <c r="IO229" s="21"/>
      <c r="IP229" s="29" t="str">
        <f t="shared" si="880"/>
        <v/>
      </c>
      <c r="IQ229" s="35"/>
      <c r="IR229" s="21"/>
      <c r="IS229" s="21"/>
      <c r="IT229" s="21"/>
      <c r="IU229" s="21"/>
      <c r="IV229" s="21"/>
      <c r="IW229" s="21"/>
      <c r="IX229" s="21"/>
      <c r="IY229" s="21"/>
      <c r="IZ229" s="21"/>
      <c r="JA229" s="21"/>
      <c r="JB229" s="30"/>
      <c r="JC229" s="21"/>
      <c r="JD229" s="36"/>
      <c r="JE229" s="21" t="str">
        <f t="shared" si="881"/>
        <v/>
      </c>
      <c r="JF229" s="30"/>
      <c r="JG229" s="21"/>
      <c r="JH229" s="21"/>
      <c r="JI229" s="21"/>
      <c r="JJ229" s="30"/>
      <c r="JK229" s="22"/>
      <c r="JL229" s="22"/>
      <c r="JM229" s="21"/>
      <c r="JN229" s="36"/>
      <c r="JO229" s="21" t="str">
        <f t="shared" si="882"/>
        <v/>
      </c>
      <c r="JP229" s="22"/>
      <c r="JQ229" s="21"/>
      <c r="JR229" s="21"/>
      <c r="JS229" s="21"/>
      <c r="JT229" s="30"/>
      <c r="JU229" s="22"/>
      <c r="JV229" s="22"/>
      <c r="JW229" s="33"/>
      <c r="JX229" s="28" t="str">
        <f t="shared" si="883"/>
        <v/>
      </c>
      <c r="JY229" s="33"/>
      <c r="JZ229" s="28" t="str">
        <f t="shared" si="884"/>
        <v/>
      </c>
      <c r="KA229" s="21"/>
      <c r="KB229" s="21"/>
      <c r="KC229" s="21"/>
      <c r="KD229" s="37"/>
      <c r="KE229" s="28"/>
      <c r="KF229" s="28"/>
      <c r="KG229" s="28"/>
      <c r="KH229" s="39"/>
      <c r="KI229" s="39"/>
      <c r="KJ229" s="66"/>
      <c r="KK229" s="39"/>
      <c r="KL229" s="39"/>
      <c r="KM229" s="66"/>
      <c r="KN229" s="39"/>
      <c r="KO229" s="39"/>
      <c r="KP229" s="39"/>
      <c r="KQ229" s="39"/>
      <c r="KR229" s="39"/>
      <c r="KS229" s="39"/>
      <c r="KT229" s="39"/>
      <c r="KU229" s="38"/>
      <c r="KV229" s="38"/>
      <c r="KW229" s="38"/>
      <c r="KX229" s="38"/>
      <c r="KY229" s="38"/>
      <c r="KZ229" s="38"/>
      <c r="LA229" s="38"/>
      <c r="LB229" s="38"/>
      <c r="LC229" s="38"/>
      <c r="LD229" s="38"/>
      <c r="LE229" s="38"/>
      <c r="LF229" s="38"/>
      <c r="LG229" s="38"/>
      <c r="LH229" s="38"/>
      <c r="LI229" s="38"/>
      <c r="LJ229" s="38"/>
      <c r="LK229" s="38"/>
      <c r="LL229" s="38"/>
      <c r="LM229" s="38"/>
      <c r="LN229" s="38"/>
      <c r="LO229" s="38"/>
      <c r="LP229" s="38"/>
      <c r="LQ229" s="38"/>
      <c r="LR229" s="38"/>
      <c r="LS229" s="38"/>
      <c r="LT229" s="38"/>
      <c r="LU229" s="38"/>
      <c r="LV229" s="38"/>
      <c r="LW229" s="38"/>
      <c r="LX229" s="38"/>
      <c r="LY229" s="38"/>
      <c r="LZ229" s="38"/>
      <c r="MA229" s="38"/>
      <c r="MB229" s="38"/>
      <c r="MC229" s="38"/>
      <c r="MD229" s="38"/>
      <c r="ME229" s="38"/>
      <c r="MF229" s="38"/>
      <c r="MG229" s="38"/>
      <c r="MH229" s="43">
        <f t="shared" si="885"/>
        <v>0</v>
      </c>
      <c r="MI229" s="43" t="str">
        <f t="shared" si="929"/>
        <v/>
      </c>
      <c r="MJ229" s="43" t="str">
        <f t="shared" si="887"/>
        <v/>
      </c>
      <c r="MK229" s="43">
        <f t="shared" si="888"/>
        <v>0</v>
      </c>
      <c r="ML22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29" s="43">
        <f t="shared" si="930"/>
        <v>28.285714285714285</v>
      </c>
      <c r="MN229" s="43">
        <f t="shared" si="931"/>
        <v>8</v>
      </c>
      <c r="MO229" s="43">
        <f t="shared" si="932"/>
        <v>2023</v>
      </c>
      <c r="MP229" s="43" t="str">
        <f t="shared" si="892"/>
        <v>III TRIMESTRE AÑO</v>
      </c>
      <c r="MQ229" s="43">
        <f t="shared" si="933"/>
        <v>23.340998685939553</v>
      </c>
      <c r="MR229" s="43">
        <f t="shared" si="894"/>
        <v>0</v>
      </c>
      <c r="MS229" s="43" t="str">
        <f t="shared" si="895"/>
        <v xml:space="preserve"> DE 20 A 24 AÑOS</v>
      </c>
      <c r="MT229" s="43">
        <f t="shared" si="896"/>
        <v>0</v>
      </c>
      <c r="MU229" s="43">
        <f t="shared" si="897"/>
        <v>0</v>
      </c>
      <c r="MV229" s="43">
        <f t="shared" si="898"/>
        <v>0</v>
      </c>
      <c r="MW229" s="43">
        <f t="shared" si="899"/>
        <v>0</v>
      </c>
      <c r="MX229" s="43" t="str">
        <f t="shared" si="900"/>
        <v/>
      </c>
      <c r="MY229" s="43">
        <f t="shared" ca="1" si="901"/>
        <v>1</v>
      </c>
      <c r="MZ229" s="43" t="str">
        <f t="shared" si="902"/>
        <v/>
      </c>
      <c r="NA229" s="43">
        <f t="shared" si="903"/>
        <v>0</v>
      </c>
      <c r="NB229" s="43" t="str">
        <f t="shared" si="904"/>
        <v/>
      </c>
      <c r="NC229" s="43" t="str">
        <f t="shared" si="905"/>
        <v/>
      </c>
      <c r="ND229" s="43">
        <f t="shared" ca="1" si="934"/>
        <v>1</v>
      </c>
      <c r="NE229" s="43">
        <f>IF(OR(O229&gt;0,R229&gt;0),SUM(COUNTIF(Tabla1[[#This Row],[AÑOS AL INICIO5 CPN]],"&gt;=40"),COUNTIF(AS229,"0"),COUNTIF(AR229,"SI"),COUNTIF(CC229,"SI"),COUNTIF(BQ229,"&gt;119"),COUNTIF(CI229,"&gt;=35")),"")</f>
        <v>0</v>
      </c>
      <c r="NF229" s="43" t="str">
        <f t="shared" si="935"/>
        <v/>
      </c>
      <c r="NG229" s="43">
        <f t="shared" si="908"/>
        <v>0</v>
      </c>
      <c r="NH229" s="43">
        <f t="shared" si="909"/>
        <v>196</v>
      </c>
      <c r="NI229"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CPN",P229="NO"),"Z",IF(AND(Tabla1[[#This Row],[CITA PROXIMO CONTROL]]="CITA MANUAL",Tabla1[[#This Row],[GESTANTES ACTUALES]]="ACTIVA INGRESO A CPN"),"W",IF(AND(Tabla1[[#This Row],[GESTANTES ACTUALES]]="SALIO PROGRAMA",IN229=""),"S",IF(AND(Tabla1[[#This Row],[CITA PROXIMO CONTROL]]&gt;0,IN229=""),(Tabla1[[#This Row],[CITA PROXIMO CONTROL]]-TODAY()),"SD"))))))))</f>
        <v>#REF!</v>
      </c>
      <c r="NJ229" s="43">
        <f>MONTH(Tabla1[[#This Row],[FECHA DE SALIDA  DEL PROGRAMA]])</f>
        <v>1</v>
      </c>
      <c r="NK229" s="43">
        <f>YEAR(Tabla1[[#This Row],[FECHA DE SALIDA  DEL PROGRAMA]])</f>
        <v>1900</v>
      </c>
      <c r="NL229" s="43" t="str">
        <f t="shared" si="936"/>
        <v>X</v>
      </c>
      <c r="NM229" s="43" t="str">
        <f t="shared" si="941"/>
        <v>NO</v>
      </c>
      <c r="NN229" s="43" t="str">
        <f ca="1">IF(AND(O229&gt;0,R229=""),"NO CPN",IF(AND(O229="",R229=""),"",IF(AND(R229&gt;0,Tabla1[[#This Row],[SEMANAS DE GESTACION ACTUALIZADAS]]&lt;=12),"NO APLICA",IF(AND(FH229&lt;&gt;"",FN229&lt;&gt;""),"SI","NO"))))</f>
        <v>NO</v>
      </c>
      <c r="NO229" s="43" t="str">
        <f ca="1">IF(AND(O229&gt;0,R229=""),"NO CPN",IF(AND(O229="",R229=""),"",IF(AND(R229&gt;0,Tabla1[[#This Row],[SEMANAS DE GESTACION ACTUALIZADAS]]&lt;=27),"NO APLICA",IF(AND(ES229&lt;&gt;"",FQ229&lt;&gt;"",GF229&lt;&gt;""),"SI","NO"))))</f>
        <v>NO</v>
      </c>
      <c r="NP229" s="204" t="str">
        <f t="shared" si="912"/>
        <v>III TRIM</v>
      </c>
      <c r="NQ229" s="21" t="str">
        <f t="shared" si="1046"/>
        <v/>
      </c>
      <c r="NR229" s="21">
        <f t="shared" si="937"/>
        <v>1</v>
      </c>
      <c r="NS229" s="205">
        <f t="shared" ca="1" si="914"/>
        <v>1</v>
      </c>
      <c r="NT229" s="21">
        <f t="shared" ca="1" si="915"/>
        <v>1</v>
      </c>
      <c r="NU229" s="21" t="str">
        <f t="shared" ca="1" si="916"/>
        <v>COMPLETO</v>
      </c>
      <c r="NV229" s="21" t="str">
        <f t="shared" ca="1" si="917"/>
        <v>COMPLETO</v>
      </c>
      <c r="NW229" s="206" t="str">
        <f>IF(AND(O229="",R229=""),"",IF(OR(AND(Tabla1[[#This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29" s="207" t="str">
        <f t="shared" ca="1" si="938"/>
        <v>SIN VACUNAR</v>
      </c>
      <c r="NY229" s="43">
        <f>ROW(Tabla1[[#This Row],['# DE TAMIZAJES SIFILIS TOMADOS ]])</f>
        <v>229</v>
      </c>
      <c r="NZ229" s="43">
        <f t="shared" si="942"/>
        <v>28</v>
      </c>
      <c r="OA229" s="43" t="str">
        <f t="shared" si="943"/>
        <v/>
      </c>
      <c r="OB229" s="43" t="str">
        <f t="shared" si="944"/>
        <v/>
      </c>
      <c r="OC229" s="43" t="str">
        <f t="shared" si="945"/>
        <v/>
      </c>
      <c r="OD229" s="43" t="str">
        <f t="shared" si="946"/>
        <v/>
      </c>
      <c r="OE229" s="43" t="str">
        <f t="shared" si="947"/>
        <v/>
      </c>
      <c r="OF229" s="43" t="str">
        <f t="shared" si="948"/>
        <v/>
      </c>
      <c r="OG229" s="43" t="str">
        <f t="shared" si="949"/>
        <v/>
      </c>
      <c r="OH229" s="43" t="str">
        <f t="shared" si="950"/>
        <v/>
      </c>
      <c r="OI229" s="43" t="str">
        <f t="shared" si="951"/>
        <v/>
      </c>
      <c r="OJ229" s="43" t="str">
        <f t="shared" si="952"/>
        <v/>
      </c>
      <c r="OK229" s="43" t="str">
        <f t="shared" si="953"/>
        <v/>
      </c>
      <c r="OL229" s="43" t="str">
        <f t="shared" si="954"/>
        <v/>
      </c>
      <c r="OM229" s="43" t="str">
        <f t="shared" si="955"/>
        <v/>
      </c>
      <c r="ON229" s="43" t="str">
        <f t="shared" si="956"/>
        <v/>
      </c>
      <c r="OO229" s="43" t="str">
        <f t="shared" si="957"/>
        <v/>
      </c>
      <c r="OP229" s="43" t="str">
        <f t="shared" si="958"/>
        <v/>
      </c>
      <c r="OQ229" s="43" t="str">
        <f t="shared" si="959"/>
        <v/>
      </c>
      <c r="OR229" s="43" t="str">
        <f t="shared" si="960"/>
        <v/>
      </c>
      <c r="OS229" s="43" t="str">
        <f t="shared" si="961"/>
        <v/>
      </c>
      <c r="OT229" s="43" t="str">
        <f t="shared" si="962"/>
        <v>NORMAL</v>
      </c>
      <c r="OU229" s="43" t="str">
        <f t="shared" si="963"/>
        <v/>
      </c>
      <c r="OV229" s="110" t="str">
        <f t="shared" si="964"/>
        <v/>
      </c>
      <c r="OW229" s="43" t="str">
        <f t="shared" si="965"/>
        <v/>
      </c>
      <c r="OX229" s="43" t="str">
        <f t="shared" si="966"/>
        <v/>
      </c>
      <c r="OY229" s="43" t="str">
        <f t="shared" si="967"/>
        <v/>
      </c>
      <c r="OZ229" s="43" t="str">
        <f t="shared" si="968"/>
        <v/>
      </c>
      <c r="PA229" s="43" t="str">
        <f t="shared" si="969"/>
        <v/>
      </c>
      <c r="PB229" s="43" t="str">
        <f t="shared" si="970"/>
        <v/>
      </c>
      <c r="PC229" s="43" t="str">
        <f t="shared" si="971"/>
        <v/>
      </c>
      <c r="PD229" s="43" t="str">
        <f t="shared" si="972"/>
        <v/>
      </c>
      <c r="PE229" s="43" t="str">
        <f t="shared" si="973"/>
        <v/>
      </c>
      <c r="PF229" s="43" t="str">
        <f t="shared" si="974"/>
        <v/>
      </c>
      <c r="PG229" s="43" t="str">
        <f t="shared" si="975"/>
        <v/>
      </c>
      <c r="PH229" s="43" t="str">
        <f t="shared" si="976"/>
        <v/>
      </c>
      <c r="PI229" s="43">
        <f t="shared" si="977"/>
        <v>28</v>
      </c>
      <c r="PJ229" s="43" t="str">
        <f t="shared" si="978"/>
        <v/>
      </c>
      <c r="PK229" s="43" t="str">
        <f t="shared" si="979"/>
        <v/>
      </c>
      <c r="PL229" s="43" t="str">
        <f t="shared" si="980"/>
        <v/>
      </c>
      <c r="PM229" s="43" t="str">
        <f t="shared" si="981"/>
        <v/>
      </c>
      <c r="PN229" s="43" t="str">
        <f t="shared" si="982"/>
        <v/>
      </c>
      <c r="PO229" s="43" t="str">
        <f t="shared" si="983"/>
        <v/>
      </c>
      <c r="PP229" s="43" t="str">
        <f t="shared" si="984"/>
        <v/>
      </c>
      <c r="PQ229" s="43" t="str">
        <f t="shared" si="985"/>
        <v/>
      </c>
      <c r="PR229" s="43" t="str">
        <f t="shared" si="986"/>
        <v/>
      </c>
      <c r="PS229" s="43" t="str">
        <f t="shared" si="987"/>
        <v/>
      </c>
      <c r="PT229" s="43" t="str">
        <f t="shared" si="988"/>
        <v/>
      </c>
      <c r="PU229" s="43" t="str">
        <f t="shared" si="989"/>
        <v/>
      </c>
      <c r="PV229" s="43" t="str">
        <f t="shared" si="990"/>
        <v/>
      </c>
      <c r="PW229" s="43" t="str">
        <f t="shared" si="991"/>
        <v/>
      </c>
      <c r="PX229" s="43" t="str">
        <f t="shared" si="992"/>
        <v/>
      </c>
      <c r="PY229" s="43" t="str">
        <f t="shared" si="993"/>
        <v/>
      </c>
      <c r="PZ229" s="43" t="str">
        <f t="shared" si="994"/>
        <v/>
      </c>
      <c r="QA229" s="43" t="str">
        <f t="shared" si="995"/>
        <v/>
      </c>
      <c r="QB229" s="43" t="str">
        <f t="shared" si="996"/>
        <v/>
      </c>
      <c r="QC229" s="43" t="str">
        <f t="shared" si="997"/>
        <v>NORMAL</v>
      </c>
      <c r="QD229" s="43" t="str">
        <f t="shared" si="998"/>
        <v/>
      </c>
      <c r="QE229" s="43" t="str">
        <f t="shared" si="999"/>
        <v/>
      </c>
      <c r="QF229" s="43" t="str">
        <f t="shared" si="1000"/>
        <v/>
      </c>
      <c r="QG229" s="43" t="str">
        <f t="shared" si="1001"/>
        <v/>
      </c>
      <c r="QH229" s="43" t="str">
        <f t="shared" si="1002"/>
        <v/>
      </c>
      <c r="QI229" s="43" t="str">
        <f t="shared" si="1003"/>
        <v/>
      </c>
      <c r="QJ229" s="43" t="str">
        <f t="shared" si="1004"/>
        <v/>
      </c>
      <c r="QK229" s="43" t="str">
        <f t="shared" si="1005"/>
        <v/>
      </c>
      <c r="QL229" s="43" t="str">
        <f t="shared" si="1006"/>
        <v/>
      </c>
      <c r="QM229" s="43" t="str">
        <f t="shared" si="1007"/>
        <v/>
      </c>
      <c r="QN229" s="43" t="str">
        <f t="shared" si="1008"/>
        <v/>
      </c>
      <c r="QO229" s="43" t="str">
        <f t="shared" si="1009"/>
        <v/>
      </c>
      <c r="QP229" s="43" t="str">
        <f t="shared" si="1010"/>
        <v/>
      </c>
      <c r="QQ229" s="43" t="str">
        <f t="shared" si="1011"/>
        <v/>
      </c>
      <c r="QR229" s="43">
        <f t="shared" si="1012"/>
        <v>28</v>
      </c>
      <c r="QS229" s="43"/>
      <c r="QT229" s="21" t="str">
        <f t="shared" si="1013"/>
        <v/>
      </c>
      <c r="QU229" s="21" t="str">
        <f t="shared" si="1014"/>
        <v/>
      </c>
      <c r="QV229" s="21" t="str">
        <f t="shared" si="1015"/>
        <v/>
      </c>
      <c r="QW229" s="21" t="str">
        <f t="shared" si="1016"/>
        <v/>
      </c>
      <c r="QX229" s="21" t="str">
        <f t="shared" si="1017"/>
        <v/>
      </c>
      <c r="QY229" s="21" t="str">
        <f t="shared" si="1018"/>
        <v/>
      </c>
      <c r="QZ229" s="21" t="str">
        <f t="shared" si="1019"/>
        <v/>
      </c>
      <c r="RA229" s="21" t="str">
        <f t="shared" si="1020"/>
        <v/>
      </c>
      <c r="RB229" s="21" t="str">
        <f t="shared" si="1021"/>
        <v/>
      </c>
      <c r="RC229" s="21" t="str">
        <f t="shared" si="1022"/>
        <v/>
      </c>
      <c r="RD229" s="21" t="str">
        <f t="shared" si="1023"/>
        <v/>
      </c>
      <c r="RE229" s="21" t="str">
        <f t="shared" si="1024"/>
        <v/>
      </c>
      <c r="RF229" s="21" t="str">
        <f t="shared" si="1025"/>
        <v/>
      </c>
      <c r="RG229" s="21" t="str">
        <f t="shared" si="1026"/>
        <v/>
      </c>
      <c r="RH229" s="21" t="str">
        <f t="shared" si="1027"/>
        <v/>
      </c>
      <c r="RI229" s="21" t="str">
        <f t="shared" si="1028"/>
        <v>ADECUADO PARA EDAD GESTACIONAL</v>
      </c>
      <c r="RJ229" s="21" t="str">
        <f t="shared" si="1029"/>
        <v/>
      </c>
      <c r="RK229" s="21" t="str">
        <f t="shared" si="1030"/>
        <v/>
      </c>
      <c r="RL229" s="21" t="str">
        <f t="shared" si="1031"/>
        <v/>
      </c>
      <c r="RM229" s="21" t="str">
        <f t="shared" si="1032"/>
        <v/>
      </c>
      <c r="RN229" s="21" t="str">
        <f t="shared" si="1033"/>
        <v/>
      </c>
      <c r="RO229" s="21" t="str">
        <f t="shared" si="1034"/>
        <v/>
      </c>
      <c r="RP229" s="21" t="str">
        <f t="shared" si="1035"/>
        <v/>
      </c>
      <c r="RQ229" s="21" t="str">
        <f t="shared" si="1036"/>
        <v/>
      </c>
      <c r="RR229" s="21" t="str">
        <f t="shared" si="1037"/>
        <v/>
      </c>
      <c r="RS229" s="21" t="str">
        <f t="shared" si="1038"/>
        <v/>
      </c>
      <c r="RT229" s="21" t="str">
        <f t="shared" si="1039"/>
        <v/>
      </c>
      <c r="RU229" s="21" t="str">
        <f t="shared" si="1040"/>
        <v/>
      </c>
      <c r="RV229" s="21">
        <f t="shared" si="1041"/>
        <v>-1</v>
      </c>
      <c r="RW229" s="284">
        <f>IF(OR(Tabla1[[#This Row],[FUM FORMULA CONFIABLE]]="",Tabla1[[#This Row],[FUM FORMULA CONFIABLE]]="SD"),"",IF(Tabla1[[#This Row],[FUM FORMULA CONFIABLE]]="CORREGIDA",Tabla1[[#This Row],[FUM X ECO 1]],Tabla1[[#This Row],[FUM x AMENORREA]]))</f>
        <v>44945</v>
      </c>
      <c r="RX229" s="21">
        <f>IF(AND(Tabla1[[#This Row],[FUM X ECO 1]]="",Tabla1[[#This Row],[FUM x AMENORREA]]=""),"",IF(AND(Tabla1[[#This Row],[FUM X ECO 1]]="",Tabla1[[#This Row],[FUM x AMENORREA]]&lt;&gt;""),"X",SUM(Tabla1[[#This Row],[FUM X ECO 1]]-Tabla1[[#This Row],[FUM x AMENORREA]])))</f>
        <v>8</v>
      </c>
      <c r="RY229" s="21">
        <f t="shared" si="1042"/>
        <v>1</v>
      </c>
    </row>
    <row r="230" spans="1:493" ht="45" customHeight="1" x14ac:dyDescent="0.25">
      <c r="A230" s="109"/>
      <c r="B230" s="43"/>
      <c r="C230" s="299" t="s">
        <v>845</v>
      </c>
      <c r="D230" s="124"/>
      <c r="E230" s="43" t="s">
        <v>944</v>
      </c>
      <c r="F230" s="43" t="s">
        <v>944</v>
      </c>
      <c r="G230" s="43" t="s">
        <v>1616</v>
      </c>
      <c r="H230" s="43" t="s">
        <v>1617</v>
      </c>
      <c r="I230" s="109" t="s">
        <v>851</v>
      </c>
      <c r="J230" s="110">
        <v>1059595276</v>
      </c>
      <c r="K230" s="43" t="s">
        <v>904</v>
      </c>
      <c r="L230" s="175" t="s">
        <v>1609</v>
      </c>
      <c r="M230" s="22">
        <v>38290</v>
      </c>
      <c r="N230" s="213">
        <f t="shared" ca="1" si="841"/>
        <v>19.019178082191782</v>
      </c>
      <c r="O230" s="22">
        <v>45079</v>
      </c>
      <c r="P230" s="214" t="str">
        <f t="shared" si="919"/>
        <v>SI</v>
      </c>
      <c r="Q230" s="26" t="s">
        <v>855</v>
      </c>
      <c r="R230" s="22">
        <v>45079</v>
      </c>
      <c r="S230" s="21" t="s">
        <v>856</v>
      </c>
      <c r="T230" s="24" t="s">
        <v>690</v>
      </c>
      <c r="U230" s="21" t="s">
        <v>857</v>
      </c>
      <c r="V230" s="21" t="s">
        <v>858</v>
      </c>
      <c r="W230" s="21" t="s">
        <v>859</v>
      </c>
      <c r="X230" s="21" t="s">
        <v>859</v>
      </c>
      <c r="Y230" s="21" t="s">
        <v>859</v>
      </c>
      <c r="Z230" s="21">
        <v>3147628179</v>
      </c>
      <c r="AA230" s="21" t="s">
        <v>860</v>
      </c>
      <c r="AB230" s="27" t="s">
        <v>861</v>
      </c>
      <c r="AC230" s="26" t="s">
        <v>897</v>
      </c>
      <c r="AD230" s="38" t="s">
        <v>1546</v>
      </c>
      <c r="AE230" s="26" t="s">
        <v>854</v>
      </c>
      <c r="AF230" s="26" t="s">
        <v>854</v>
      </c>
      <c r="AG230" s="23" t="s">
        <v>864</v>
      </c>
      <c r="AH230" s="23" t="s">
        <v>864</v>
      </c>
      <c r="AI230" s="24" t="s">
        <v>863</v>
      </c>
      <c r="AJ230" s="23" t="s">
        <v>864</v>
      </c>
      <c r="AK230" s="220" t="str">
        <f>IF(AND(AD230="",AE230="",AF230="",AG230="",AH230="",AI230="",AJ230=""),"",IF(OR(Tabla1[[#This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EVALUACIÓN",IF(AND(O230="",R230=""),"",IF(AND(OR(O230&gt;0,R230&gt;0),NG230&gt;=0,NG230&lt;2),"SIN RIESGO",IF(AND(OR(O230&gt;0,R230&gt;0),NG230&gt;=2),"CON RIESGO","ASD")))))</f>
        <v>SIN RIESGO</v>
      </c>
      <c r="AL230" s="26" t="s">
        <v>864</v>
      </c>
      <c r="AM230" s="26" t="s">
        <v>864</v>
      </c>
      <c r="AN230" s="26" t="s">
        <v>864</v>
      </c>
      <c r="AO230" s="26" t="s">
        <v>864</v>
      </c>
      <c r="AP230" s="26" t="s">
        <v>864</v>
      </c>
      <c r="AQ230" s="26" t="s">
        <v>864</v>
      </c>
      <c r="AR230" s="26" t="s">
        <v>864</v>
      </c>
      <c r="AS230" s="21">
        <v>0</v>
      </c>
      <c r="AT230" s="21">
        <v>0</v>
      </c>
      <c r="AU230" s="21">
        <v>0</v>
      </c>
      <c r="AV230" s="26" t="s">
        <v>864</v>
      </c>
      <c r="AW230" s="21">
        <v>0</v>
      </c>
      <c r="AX230" s="26" t="s">
        <v>864</v>
      </c>
      <c r="AY230" s="26" t="s">
        <v>864</v>
      </c>
      <c r="AZ230" s="26" t="s">
        <v>864</v>
      </c>
      <c r="BA230" s="26" t="s">
        <v>864</v>
      </c>
      <c r="BB230" s="26" t="s">
        <v>864</v>
      </c>
      <c r="BC230" s="26" t="s">
        <v>864</v>
      </c>
      <c r="BD230" s="26" t="s">
        <v>864</v>
      </c>
      <c r="BE230" s="26" t="s">
        <v>864</v>
      </c>
      <c r="BF230" s="26" t="s">
        <v>864</v>
      </c>
      <c r="BG230" s="26" t="s">
        <v>864</v>
      </c>
      <c r="BH230" s="26" t="s">
        <v>864</v>
      </c>
      <c r="BI230" s="26" t="s">
        <v>864</v>
      </c>
      <c r="BJ230" s="26" t="s">
        <v>864</v>
      </c>
      <c r="BK230" s="26" t="s">
        <v>864</v>
      </c>
      <c r="BL230" s="26" t="s">
        <v>864</v>
      </c>
      <c r="BM230" s="26" t="s">
        <v>864</v>
      </c>
      <c r="BN230" s="22"/>
      <c r="BO230" s="22">
        <v>44886</v>
      </c>
      <c r="BP230" s="21" t="s">
        <v>854</v>
      </c>
      <c r="BQ230" s="222">
        <f t="shared" si="842"/>
        <v>0</v>
      </c>
      <c r="BR230" s="223">
        <f t="shared" si="843"/>
        <v>44886.5</v>
      </c>
      <c r="BS230" s="224">
        <f t="shared" si="844"/>
        <v>27.571428571428573</v>
      </c>
      <c r="BT230" s="216" t="str">
        <f t="shared" si="845"/>
        <v>III TRIM</v>
      </c>
      <c r="BU230" s="214" t="str">
        <f t="shared" ca="1" si="928"/>
        <v/>
      </c>
      <c r="BV230" s="25" t="s">
        <v>988</v>
      </c>
      <c r="BW230" s="22">
        <v>45149</v>
      </c>
      <c r="BX230" s="28">
        <v>37.5</v>
      </c>
      <c r="BY230" s="28"/>
      <c r="BZ230" s="22"/>
      <c r="CA230" s="21"/>
      <c r="CB230" s="26" t="s">
        <v>864</v>
      </c>
      <c r="CC230" s="26" t="s">
        <v>864</v>
      </c>
      <c r="CD230" s="26" t="s">
        <v>878</v>
      </c>
      <c r="CE230" s="26" t="s">
        <v>864</v>
      </c>
      <c r="CF230" s="22" t="s">
        <v>1517</v>
      </c>
      <c r="CG230" s="21">
        <v>1.45</v>
      </c>
      <c r="CH230" s="21">
        <v>47.2</v>
      </c>
      <c r="CI230" s="214">
        <f t="shared" si="847"/>
        <v>22.449464922711059</v>
      </c>
      <c r="CJ230" s="225" t="e">
        <f>IF(AND(CI230&lt;10,CH230="SD"),"SIN DATO PESO PREGESTACION O I TRIM",IF(AND(OR(R230&gt;0,O230&gt;0),CI230="X"),"INGRESAR DATO DE PESO",IF(CI230="SD","INGRESAR DATO DE TALLA Y PESO",IF(AND(OR(Tabla1[[#This Row],[MOMENTO EN QUE SE REALIZA EL PESO AL INGRESO A CPN]]="PREGESTACIÓN",NZ230="Menor"),CI230&lt;18.5),"BAJO PESO",IF(AND(OR(Tabla1[[#This Row],[MOMENTO EN QUE SE REALIZA EL PESO AL INGRESO A CPN]]="PREGESTACIÓN",NZ230="Menor"),CI230&lt;25),"NORMAL",IF(AND(OR(Tabla1[[#This Row],[MOMENTO EN QUE SE REALIZA EL PESO AL INGRESO A CPN]]="PREGESTACIÓN",NZ230="Menor"),CI230&lt;30),"SOBREPESO",IF(AND(OR(Tabla1[[#This Row],[MOMENTO EN QUE SE REALIZA EL PESO AL INGRESO A CPN]]="PREGESTACIÓN",NZ230="Menor"),CI230&gt;=30,CI230&lt;50),"OBESIDAD",IF(AND(BS230&gt;0,Tabla1[[#This Row],[MOMENTO EN QUE SE REALIZA EL PESO AL INGRESO A CPN]]="GESTACIÓN"),HLOOKUP(NZ230,$OA$2:PH230,NY230),""))))))))</f>
        <v>#REF!</v>
      </c>
      <c r="CK230" s="212">
        <f t="shared" si="848"/>
        <v>45112</v>
      </c>
      <c r="CL230" s="21">
        <v>50.4</v>
      </c>
      <c r="CM230" s="214">
        <f t="shared" si="849"/>
        <v>23.971462544589773</v>
      </c>
      <c r="CN230" s="216">
        <f t="shared" si="850"/>
        <v>32</v>
      </c>
      <c r="CO230" s="216" t="e">
        <f>IF(PI230="","",IF(PI230&gt;0,HLOOKUP(PI230,$PJ$2:QQ230,NY230),""))</f>
        <v>#REF!</v>
      </c>
      <c r="CP230" s="21">
        <v>25</v>
      </c>
      <c r="CQ230" s="216" t="e">
        <f>IF(QR230="Menor","NO APLICA-MENOR 13 SEM",IF(AND(CC230="SI",CN230&gt;23),"NO APLICA- GEMELAR",IF(QR230="","",IF(QR230&gt;0,HLOOKUP(QR230,$QS$2:RU230,NY230),""))))</f>
        <v>#REF!</v>
      </c>
      <c r="CR230" s="21"/>
      <c r="CS230" s="21"/>
      <c r="CT230" s="217" t="str">
        <f>IF(R230="","",IF(AND(BS230&gt;1,BS230&lt;12,Tabla1[[#This Row],[T.A. SISTOLICA - ANTES DE SEMANA 12]]="",Tabla1[[#This Row],[T.A. DIASTOLICA - ANTES DE SEMANA 12]]=""),"REGISTRE DATO TA ANTES SEMANA 12",IF(AND(BS230&gt;11,BS230&lt;43,Tabla1[[#This Row],[T.A. SISTOLICA - ANTES DE SEMANA 12]]="",Tabla1[[#This Row],[T.A. DIASTOLICA - ANTES DE SEMANA 12]]=""),"NO APLICA REGISTRO TA-INGRESO TARDIO",IF(AND(OR(O230&gt;0,R230&gt;0),OR(CR230&gt;=140,CS230&gt;=90)),"DEFINIR ESTADIO HTA",IF(AND(OR(O230&gt;0,R230&gt;0),AND(CR230&gt;120,CR230&lt;=139)),"PRE HTA SEGUIMIENTO",IF(AND(OR(O230&gt;0,R230&gt;0),AND(CS230&gt;80,CS230&lt;=89)),"PRE HTA SEGUIMIENTO",IF(AND(OR(O230&gt;0,R230&gt;0),AND(CR230&gt;=80,CR230&lt;=120)),"APARENTEMENTE NORMAL",IF(AND(OR(O230&gt;0,R230&gt;0),AND(CS230&gt;=50,CS230&lt;=80)),"APARENTEMENTE NORMAL",IF(AND(OR(O230&gt;0,R230&gt;0),AND(CR230&gt;1,CR230&lt;=70),AND(CS230&gt;1,CS230&lt;=40)),"HIPOTENSIÓN","")))))))))</f>
        <v>NO APLICA REGISTRO TA-INGRESO TARDIO</v>
      </c>
      <c r="CU230" s="21"/>
      <c r="CV230" s="21"/>
      <c r="CW230" s="217" t="str">
        <f ca="1">IF(R230="","",IF(AND(CN230&gt;19,CN230&lt;27,Tabla1[[#This Row],[T.A. SISTOLICA (Entre semana 20 y 26)]]="",Tabla1[[#This Row],[T.A. DIATOLICA (Entre semana 20 y 26)]]=""),"ACUDE A CONTROL SEM 20 A 26 REGISTRE TA AHORA",IF(AND(BS230&gt;1,BS230&lt;27,BU230&gt;19,Tabla1[[#This Row],[T.A. SISTOLICA (Entre semana 20 y 26)]]="",Tabla1[[#This Row],[T.A. DIATOLICA (Entre semana 20 y 26)]]=""),"COMPLETE REGISTRO TA CONTROL SEM 20 A26 ",IF(AND(BS230&gt;26,BS230&lt;43,Tabla1[[#This Row],[T.A. SISTOLICA (Entre semana 20 y 26)]]="",Tabla1[[#This Row],[T.A. DIATOLICA (Entre semana 20 y 26)]]=""),"NO APLICA REGISTRO TA-INGRESO TARDIO",IF(AND(OR(O230&gt;0,R230&gt;0),OR(CU230&gt;=140,CV230&gt;=90)),"ALTO RIESGO PREECLAMPSIA,DEFINIR ESTADIO HTA",IF(AND(OR(O230&gt;0,R230&gt;0),AND(CU230&gt;120,CU230&lt;=139)),"PRE HTA SEGUIMIENTO,RIESGO HIPERTENSION INDUCIDA POR EL EMBARAZO",IF(AND(OR(O230&gt;0,R230&gt;0),AND(CV230&gt;80,CV230&lt;=89)),"PRE HTA SEGUIMIENTO, RIESGO HIPERTENSION INDUCIDA POR EL EMBARAZO",IF(AND(OR(O230&lt;&gt;"",R230&lt;&gt;""),CS230&lt;&gt;"",CV230&lt;&gt;"",CS230&lt;=CV230),"VIGILAR CIFRAS PRESION ARTERIAL",IF(AND(OR(O230&gt;0,R230&gt;0),AND(CU230&gt;120,CU230&lt;=139)),"PRE HTA SEGUIMIENTO",IF(AND(OR(O230&gt;0,R230&gt;0),AND(CU230&gt;1,CU230&lt;=70),AND(CV230&gt;1,CV230&lt;=40)),"HIPOTENSIÓN",IF(AND(OR(O230&lt;&gt;"",R230&lt;&gt;""),CS230&lt;&gt;"",CV230&lt;&gt;"",CS230&gt;CV230),"APARENTEMENTE NORMAL",IF(AND(OR(O230&gt;0,R230&gt;0),AND(CU230&gt;=80,CU230&lt;=120)),"APARENTEMENTE NORMAL",IF(AND(OR(O230&gt;0,R230&gt;0),AND(CV230&gt;=50,CV230&lt;=80)),"APARENTEMENTE NORMAL","")))))))))))))</f>
        <v>NO APLICA REGISTRO TA-INGRESO TARDIO</v>
      </c>
      <c r="CX230" s="21">
        <v>90</v>
      </c>
      <c r="CY230" s="21">
        <v>60</v>
      </c>
      <c r="CZ230" s="216" t="str">
        <f t="shared" si="1045"/>
        <v>APARENTEMENTE NORMAL</v>
      </c>
      <c r="DA230" s="21">
        <v>90</v>
      </c>
      <c r="DB230" s="21">
        <v>60</v>
      </c>
      <c r="DC230" s="217" t="str">
        <f t="shared" si="851"/>
        <v>APARENTEMENTE NORMAL</v>
      </c>
      <c r="DD230" s="22">
        <v>45079</v>
      </c>
      <c r="DE230" s="22">
        <v>45079</v>
      </c>
      <c r="DF230" s="22">
        <v>45112</v>
      </c>
      <c r="DG230" s="22"/>
      <c r="DH230" s="22"/>
      <c r="DI230" s="22"/>
      <c r="DJ230" s="22"/>
      <c r="DK230" s="22"/>
      <c r="DL230" s="22"/>
      <c r="DM230" s="22"/>
      <c r="DN230" s="22"/>
      <c r="DO230" s="22"/>
      <c r="DP230" s="22"/>
      <c r="DQ230" s="22"/>
      <c r="DR230" s="28"/>
      <c r="DS230" s="22"/>
      <c r="DT230" s="22"/>
      <c r="DU230" s="216" t="str">
        <f t="shared" ca="1" si="920"/>
        <v>SALE SIN PLAN DE PARTO</v>
      </c>
      <c r="DV230" s="226" t="str">
        <f t="shared" si="921"/>
        <v>SALIO PROGRAMA</v>
      </c>
      <c r="DW230"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230" s="216" t="str">
        <f t="shared" ca="1" si="852"/>
        <v>DILIGENCIAR FECHA SALIDA PROGRAMA</v>
      </c>
      <c r="DY230" s="212">
        <f>IF(R230="","",IF(R230&gt;0,MAX(Tabla1[[#This Row],[FECHA C2]:[FECHA C13]],Tabla1[[#This Row],[FECHA CONSULTA PRIMERA VEZ PROGRAMA CPN ]])))</f>
        <v>45112</v>
      </c>
      <c r="DZ230" s="216">
        <f t="shared" si="853"/>
        <v>32</v>
      </c>
      <c r="EA230" s="222">
        <f>IF(R230&gt;0,SUM(COUNTA(DF230:DQ230)+COUNTA(Tabla1[[#This Row],[FECHA CONSULTA PRIMERA VEZ PROGRAMA CPN ]])),"")</f>
        <v>2</v>
      </c>
      <c r="EB230" s="222" t="str">
        <f t="shared" si="854"/>
        <v>NO</v>
      </c>
      <c r="EC230" s="214">
        <f t="shared" si="855"/>
        <v>5</v>
      </c>
      <c r="ED230" s="227">
        <f t="shared" si="856"/>
        <v>0.4</v>
      </c>
      <c r="EE230" s="22">
        <v>45079</v>
      </c>
      <c r="EF230" s="22">
        <v>45079</v>
      </c>
      <c r="EG230" s="22">
        <v>45079</v>
      </c>
      <c r="EH230" s="22"/>
      <c r="EI230" s="22">
        <v>45079</v>
      </c>
      <c r="EJ230" s="22"/>
      <c r="EK230" s="22"/>
      <c r="EL230" s="21"/>
      <c r="EM230" s="21">
        <v>11.8</v>
      </c>
      <c r="EN230" s="22">
        <v>45083</v>
      </c>
      <c r="EO230" s="222">
        <f t="shared" si="857"/>
        <v>28.142857142857142</v>
      </c>
      <c r="EP230" s="214" t="str">
        <f t="shared" si="858"/>
        <v>NORMAL- SUMINISTRAR SULFATO FERROSO</v>
      </c>
      <c r="EQ230" s="216" t="str">
        <f t="shared" si="859"/>
        <v>III TRIM</v>
      </c>
      <c r="ER230" s="24"/>
      <c r="ES230" s="22"/>
      <c r="ET230" s="29" t="str">
        <f t="shared" ca="1" si="922"/>
        <v>TOMA DE HEMOGLOBINA TARDÍA</v>
      </c>
      <c r="EU230" s="25" t="str">
        <f t="shared" si="860"/>
        <v/>
      </c>
      <c r="EV230" s="24" t="s">
        <v>1510</v>
      </c>
      <c r="EW230" s="22"/>
      <c r="EX230" s="22">
        <v>45083</v>
      </c>
      <c r="EY230" s="29" t="str">
        <f t="shared" si="1043"/>
        <v>TOMAR EXAMEN</v>
      </c>
      <c r="EZ230" s="25" t="str">
        <f t="shared" si="1044"/>
        <v>SIN RIESGO DE ISOINMUNIZACIÓN</v>
      </c>
      <c r="FA230" s="21">
        <v>78</v>
      </c>
      <c r="FB230" s="22">
        <v>45083</v>
      </c>
      <c r="FC230" s="29" t="str">
        <f t="shared" si="861"/>
        <v>NO APLICA &gt; 23 SEM -TOMAR PTOG</v>
      </c>
      <c r="FD230" s="29"/>
      <c r="FE230" s="29"/>
      <c r="FF230" s="29"/>
      <c r="FG230" s="21" t="str">
        <f t="shared" ca="1" si="862"/>
        <v/>
      </c>
      <c r="FH230" s="31"/>
      <c r="FI230" s="29" t="str">
        <f t="shared" si="863"/>
        <v>TOMAR EXAMEN</v>
      </c>
      <c r="FJ230" s="22"/>
      <c r="FK230" s="22"/>
      <c r="FL230" s="29" t="str">
        <f t="shared" ca="1" si="864"/>
        <v>NO APLICA-INGRESO TARDIO</v>
      </c>
      <c r="FM230" s="22" t="s">
        <v>867</v>
      </c>
      <c r="FN230" s="32">
        <v>45083</v>
      </c>
      <c r="FO230" s="29" t="str">
        <f t="shared" ca="1" si="923"/>
        <v>REGISTRAR EN III TRIMESTRE</v>
      </c>
      <c r="FP230" s="22"/>
      <c r="FQ230" s="32"/>
      <c r="FR230" s="29" t="str">
        <f t="shared" ca="1" si="924"/>
        <v/>
      </c>
      <c r="FS230" s="22"/>
      <c r="FT230" s="32"/>
      <c r="FU230" s="29" t="str">
        <f>IF(AND(FJ230="",FM230="",FP230="",FS230=""),"",IF(OR(OR(Tabla1[[#This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30" s="28"/>
      <c r="FW230" s="22"/>
      <c r="FX230" s="29" t="str">
        <f t="shared" si="865"/>
        <v>TOMAR EXAMEN</v>
      </c>
      <c r="FY230" s="22"/>
      <c r="FZ230" s="22"/>
      <c r="GA230" s="29" t="str">
        <f t="shared" ca="1" si="939"/>
        <v>NO APLICA-INGRESO TARDIO</v>
      </c>
      <c r="GB230" s="22"/>
      <c r="GC230" s="22"/>
      <c r="GD230" s="29"/>
      <c r="GE230" s="22" t="s">
        <v>868</v>
      </c>
      <c r="GF230" s="22">
        <v>45083</v>
      </c>
      <c r="GG230" s="29">
        <f t="shared" ca="1" si="926"/>
        <v>28.142857142857142</v>
      </c>
      <c r="GH230" s="22"/>
      <c r="GI230" s="29"/>
      <c r="GJ230" s="22"/>
      <c r="GK230" s="22"/>
      <c r="GL230" s="22"/>
      <c r="GM230" s="22"/>
      <c r="GN230" s="28" t="s">
        <v>869</v>
      </c>
      <c r="GO230" s="22">
        <v>45083</v>
      </c>
      <c r="GP230" s="29">
        <f t="shared" si="866"/>
        <v>28.142857142857142</v>
      </c>
      <c r="GQ230" s="28" t="s">
        <v>869</v>
      </c>
      <c r="GR230" s="28" t="s">
        <v>869</v>
      </c>
      <c r="GS230" s="22" t="str">
        <f t="shared" si="1047"/>
        <v>CONTROL Igm</v>
      </c>
      <c r="GT230" s="22">
        <v>45083</v>
      </c>
      <c r="GU230" s="29">
        <f t="shared" si="867"/>
        <v>28.142857142857142</v>
      </c>
      <c r="GV230" s="21" t="str">
        <f t="shared" si="868"/>
        <v>III TRIM</v>
      </c>
      <c r="GW230" s="28"/>
      <c r="GX230" s="30"/>
      <c r="GY230" s="21"/>
      <c r="GZ230" s="21"/>
      <c r="HA230" s="21"/>
      <c r="HB230" s="21"/>
      <c r="HC230" s="21"/>
      <c r="HD230" s="21"/>
      <c r="HE230" s="21"/>
      <c r="HF230" s="22"/>
      <c r="HG230" s="22" t="str">
        <f>IF(OR(O230&gt;0,R230&gt;0),CONCATENATE(IF(Tabla1[[#This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30" s="22" t="e">
        <f t="shared" si="869"/>
        <v>#REF!</v>
      </c>
      <c r="HI230" s="22" t="e">
        <f t="shared" ca="1" si="870"/>
        <v>#REF!</v>
      </c>
      <c r="HJ230" s="21" t="str">
        <f t="shared" ca="1" si="871"/>
        <v>**********************MULTIPARIDAD*****************</v>
      </c>
      <c r="HK230" s="21" t="str">
        <f t="shared" si="872"/>
        <v>SIN ANTECEDENTES DE RIESGO</v>
      </c>
      <c r="HL230" s="24" t="str">
        <f t="shared" si="873"/>
        <v>APARENTEMENTE NORMAL</v>
      </c>
      <c r="HM230" s="21" t="str">
        <f t="shared" ca="1" si="874"/>
        <v>DILIGENCIAR FECHA SALIDA PROGRAMA</v>
      </c>
      <c r="HN230" s="30" t="str">
        <f t="shared" si="927"/>
        <v>SALIO PROGRAMA</v>
      </c>
      <c r="HO230" s="21"/>
      <c r="HP230" s="21"/>
      <c r="HQ230" s="21"/>
      <c r="HR230" s="21" t="str">
        <f>IF(R230="","",IF(Tabla1[[#This Row],[ALARMA FACTORES DE RIESGO COMPLICACIONES HIPERTENSIVAS3]]="SIN ANTECEDENTES DE RIESGO","No Aplica para suministro de ASA",IF(AND(Tabla1[[#This Row],[FECHA INICIO DE SUMINISTRO DE ASA]]&gt;0,RV230&lt;12),"Inicia ASA ANTES de Sem 12",IF(AND(RV230&gt;11,RV230&lt;17,OR(HK230="RIESGO ALTO DE COMPLICACIONES HIPERTENSIVAS VER MANEJO GUIA SUMINISTRO ASA Y CALCIO",HK230="RIESGO MODERADO (2 O MAS CRITERIOS) VER MANEJO GUIA SUMINISTRO ASA Y CALCIO")),"Inicio oportuno de ASA",IF(AND(RV230&gt;12,OR(HK230="RIESGO ALTO DE COMPLICACIONES HIPERTENSIVAS VER MANEJO GUIA SUMINISTRO ASA Y CALCIO",HK230="RIESGO MODERADO (2 O MAS CRITERIOS) VER MANEJO GUIA SUMINISTRO ASA Y CALCIO")),"Inicio no oportuno mayor a 16 semanas",IF(AND(BU230&lt;12,OR(HK230="RIESGO ALTO DE COMPLICACIONES HIPERTENSIVAS VER MANEJO GUIA SUMINISTRO ASA Y CALCIO",HK230="RIESGO MODERADO (2 O MAS CRITERIOS) VER MANEJO GUIA SUMINISTRO ASA Y CALCIO")),"Pendiente Inicio de ASA a la semana 12",IF(AND(BU230&gt;11,BU230&lt;17,OR(HK230="RIESGO ALTO DE COMPLICACIONES HIPERTENSIVAS VER MANEJO GUIA SUMINISTRO ASA Y CALCIO",HK230="RIESGO MODERADO (2 O MAS CRITERIOS) VER MANEJO GUIA SUMINISTRO ASA Y CALCIO")),"Iniciar de inmediato ASA",IF(AND(BU230&gt;16,OR(HK230="RIESGO ALTO DE COMPLICACIONES HIPERTENSIVAS VER MANEJO GUIA SUMINISTRO ASA Y CALCIO",HK230="RIESGO MODERADO (2 O MAS CRITERIOS) VER MANEJO GUIA SUMINISTRO ASA Y CALCIO")),"Pierde Oportunidad, Inicio tardío de ASA","XXXXX"))))))))</f>
        <v>No Aplica para suministro de ASA</v>
      </c>
      <c r="HS230" s="22">
        <v>45079</v>
      </c>
      <c r="HT230" s="22" t="s">
        <v>1518</v>
      </c>
      <c r="HU230" s="22"/>
      <c r="HV230" s="22"/>
      <c r="HW230" s="22">
        <v>45079</v>
      </c>
      <c r="HX230" s="22" t="s">
        <v>1511</v>
      </c>
      <c r="HY230" s="22"/>
      <c r="HZ230" s="28" t="str">
        <f t="shared" si="875"/>
        <v>PENDIENTE CONSULTA</v>
      </c>
      <c r="IA230" s="26"/>
      <c r="IB230" s="26"/>
      <c r="IC230" s="111"/>
      <c r="ID230" s="22"/>
      <c r="IE230" s="22" t="str">
        <f t="shared" ca="1" si="876"/>
        <v>SALE SIN VACUNA</v>
      </c>
      <c r="IF230" s="22"/>
      <c r="IG230" s="22">
        <f t="shared" si="877"/>
        <v>45166</v>
      </c>
      <c r="IH230" s="29">
        <f t="shared" ca="1" si="878"/>
        <v>-66</v>
      </c>
      <c r="II230" s="22" t="str">
        <f t="shared" ca="1" si="879"/>
        <v>POSIBLEMENTE NACIO</v>
      </c>
      <c r="IJ230" s="22"/>
      <c r="IK230" s="21" t="s">
        <v>898</v>
      </c>
      <c r="IL230" s="21"/>
      <c r="IM230" s="34"/>
      <c r="IN230" s="349"/>
      <c r="IO230" s="21"/>
      <c r="IP230" s="29" t="str">
        <f t="shared" si="880"/>
        <v/>
      </c>
      <c r="IQ230" s="35"/>
      <c r="IR230" s="21"/>
      <c r="IS230" s="21"/>
      <c r="IT230" s="21"/>
      <c r="IU230" s="21"/>
      <c r="IV230" s="21"/>
      <c r="IW230" s="21"/>
      <c r="IX230" s="21"/>
      <c r="IY230" s="21"/>
      <c r="IZ230" s="21"/>
      <c r="JA230" s="21"/>
      <c r="JB230" s="30"/>
      <c r="JC230" s="21"/>
      <c r="JD230" s="36"/>
      <c r="JE230" s="21" t="str">
        <f t="shared" si="881"/>
        <v/>
      </c>
      <c r="JF230" s="30"/>
      <c r="JG230" s="21"/>
      <c r="JH230" s="21"/>
      <c r="JI230" s="21"/>
      <c r="JJ230" s="30"/>
      <c r="JK230" s="22"/>
      <c r="JL230" s="22"/>
      <c r="JM230" s="21"/>
      <c r="JN230" s="36"/>
      <c r="JO230" s="21" t="str">
        <f t="shared" si="882"/>
        <v/>
      </c>
      <c r="JP230" s="22"/>
      <c r="JQ230" s="21"/>
      <c r="JR230" s="21"/>
      <c r="JS230" s="21"/>
      <c r="JT230" s="30"/>
      <c r="JU230" s="22"/>
      <c r="JV230" s="22"/>
      <c r="JW230" s="33"/>
      <c r="JX230" s="28" t="str">
        <f t="shared" si="883"/>
        <v/>
      </c>
      <c r="JY230" s="33"/>
      <c r="JZ230" s="28" t="str">
        <f t="shared" si="884"/>
        <v/>
      </c>
      <c r="KA230" s="21"/>
      <c r="KB230" s="21"/>
      <c r="KC230" s="21"/>
      <c r="KD230" s="37"/>
      <c r="KE230" s="28"/>
      <c r="KF230" s="28"/>
      <c r="KG230" s="28"/>
      <c r="KH230" s="39"/>
      <c r="KI230" s="39"/>
      <c r="KJ230" s="66"/>
      <c r="KK230" s="39"/>
      <c r="KL230" s="39"/>
      <c r="KM230" s="66"/>
      <c r="KN230" s="39"/>
      <c r="KO230" s="39"/>
      <c r="KP230" s="39"/>
      <c r="KQ230" s="39"/>
      <c r="KR230" s="39"/>
      <c r="KS230" s="39"/>
      <c r="KT230" s="39"/>
      <c r="KU230" s="38"/>
      <c r="KV230" s="38"/>
      <c r="KW230" s="38"/>
      <c r="KX230" s="38"/>
      <c r="KY230" s="38"/>
      <c r="KZ230" s="38"/>
      <c r="LA230" s="38"/>
      <c r="LB230" s="38"/>
      <c r="LC230" s="38"/>
      <c r="LD230" s="38"/>
      <c r="LE230" s="38"/>
      <c r="LF230" s="38"/>
      <c r="LG230" s="38"/>
      <c r="LH230" s="38"/>
      <c r="LI230" s="38"/>
      <c r="LJ230" s="38"/>
      <c r="LK230" s="38"/>
      <c r="LL230" s="38"/>
      <c r="LM230" s="38"/>
      <c r="LN230" s="38"/>
      <c r="LO230" s="38"/>
      <c r="LP230" s="38"/>
      <c r="LQ230" s="38"/>
      <c r="LR230" s="38"/>
      <c r="LS230" s="38"/>
      <c r="LT230" s="38"/>
      <c r="LU230" s="38"/>
      <c r="LV230" s="38"/>
      <c r="LW230" s="38"/>
      <c r="LX230" s="38"/>
      <c r="LY230" s="38"/>
      <c r="LZ230" s="38"/>
      <c r="MA230" s="38"/>
      <c r="MB230" s="38"/>
      <c r="MC230" s="38"/>
      <c r="MD230" s="38"/>
      <c r="ME230" s="38"/>
      <c r="MF230" s="38"/>
      <c r="MG230" s="38"/>
      <c r="MH230" s="43">
        <f t="shared" si="885"/>
        <v>0</v>
      </c>
      <c r="MI230" s="43" t="str">
        <f t="shared" si="929"/>
        <v/>
      </c>
      <c r="MJ230" s="43" t="str">
        <f t="shared" si="887"/>
        <v/>
      </c>
      <c r="MK230" s="43">
        <f t="shared" si="888"/>
        <v>0</v>
      </c>
      <c r="ML23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30" s="43">
        <f t="shared" si="930"/>
        <v>27.571428571428573</v>
      </c>
      <c r="MN230" s="43">
        <f t="shared" si="931"/>
        <v>6</v>
      </c>
      <c r="MO230" s="43">
        <f t="shared" si="932"/>
        <v>2023</v>
      </c>
      <c r="MP230" s="43" t="str">
        <f t="shared" si="892"/>
        <v>II TRIMESTRE AÑO</v>
      </c>
      <c r="MQ230" s="43">
        <f t="shared" si="933"/>
        <v>18.320192728865525</v>
      </c>
      <c r="MR230" s="43">
        <f t="shared" si="894"/>
        <v>0</v>
      </c>
      <c r="MS230" s="43" t="str">
        <f t="shared" si="895"/>
        <v>DE 14 A 19AÑOS</v>
      </c>
      <c r="MT230" s="43">
        <f t="shared" si="896"/>
        <v>0</v>
      </c>
      <c r="MU230" s="43">
        <f t="shared" si="897"/>
        <v>1</v>
      </c>
      <c r="MV230" s="43">
        <f t="shared" si="898"/>
        <v>0</v>
      </c>
      <c r="MW230" s="43">
        <f t="shared" si="899"/>
        <v>0</v>
      </c>
      <c r="MX230" s="43" t="str">
        <f t="shared" si="900"/>
        <v/>
      </c>
      <c r="MY230" s="43" t="str">
        <f t="shared" ca="1" si="901"/>
        <v/>
      </c>
      <c r="MZ230" s="43" t="str">
        <f t="shared" si="902"/>
        <v/>
      </c>
      <c r="NA230" s="43">
        <f t="shared" si="903"/>
        <v>0</v>
      </c>
      <c r="NB230" s="43" t="str">
        <f t="shared" si="904"/>
        <v/>
      </c>
      <c r="NC230" s="43" t="str">
        <f t="shared" si="905"/>
        <v/>
      </c>
      <c r="ND230" s="43">
        <f t="shared" ca="1" si="934"/>
        <v>1</v>
      </c>
      <c r="NE230" s="43">
        <f>IF(OR(O230&gt;0,R230&gt;0),SUM(COUNTIF(Tabla1[[#This Row],[AÑOS AL INICIO5 CPN]],"&gt;=40"),COUNTIF(AS230,"0"),COUNTIF(AR230,"SI"),COUNTIF(CC230,"SI"),COUNTIF(BQ230,"&gt;119"),COUNTIF(CI230,"&gt;=35")),"")</f>
        <v>1</v>
      </c>
      <c r="NF230" s="43" t="str">
        <f t="shared" si="935"/>
        <v/>
      </c>
      <c r="NG230" s="43">
        <f t="shared" si="908"/>
        <v>0</v>
      </c>
      <c r="NH230" s="43">
        <f t="shared" si="909"/>
        <v>262.5</v>
      </c>
      <c r="NI230"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CPN",P230="NO"),"Z",IF(AND(Tabla1[[#This Row],[CITA PROXIMO CONTROL]]="CITA MANUAL",Tabla1[[#This Row],[GESTANTES ACTUALES]]="ACTIVA INGRESO A CPN"),"W",IF(AND(Tabla1[[#This Row],[GESTANTES ACTUALES]]="SALIO PROGRAMA",IN230=""),"S",IF(AND(Tabla1[[#This Row],[CITA PROXIMO CONTROL]]&gt;0,IN230=""),(Tabla1[[#This Row],[CITA PROXIMO CONTROL]]-TODAY()),"SD"))))))))</f>
        <v>S</v>
      </c>
      <c r="NJ230" s="43">
        <f>MONTH(Tabla1[[#This Row],[FECHA DE SALIDA  DEL PROGRAMA]])</f>
        <v>1</v>
      </c>
      <c r="NK230" s="43">
        <f>YEAR(Tabla1[[#This Row],[FECHA DE SALIDA  DEL PROGRAMA]])</f>
        <v>1900</v>
      </c>
      <c r="NL230" s="43" t="str">
        <f t="shared" si="936"/>
        <v>X</v>
      </c>
      <c r="NM230" s="43" t="str">
        <f t="shared" si="941"/>
        <v>NO</v>
      </c>
      <c r="NN230" s="43" t="str">
        <f ca="1">IF(AND(O230&gt;0,R230=""),"NO CPN",IF(AND(O230="",R230=""),"",IF(AND(R230&gt;0,Tabla1[[#This Row],[SEMANAS DE GESTACION ACTUALIZADAS]]&lt;=12),"NO APLICA",IF(AND(FH230&lt;&gt;"",FN230&lt;&gt;""),"SI","NO"))))</f>
        <v>NO</v>
      </c>
      <c r="NO230" s="43" t="str">
        <f ca="1">IF(AND(O230&gt;0,R230=""),"NO CPN",IF(AND(O230="",R230=""),"",IF(AND(R230&gt;0,Tabla1[[#This Row],[SEMANAS DE GESTACION ACTUALIZADAS]]&lt;=27),"NO APLICA",IF(AND(ES230&lt;&gt;"",FQ230&lt;&gt;"",GF230&lt;&gt;""),"SI","NO"))))</f>
        <v>NO</v>
      </c>
      <c r="NP230" s="204" t="str">
        <f t="shared" si="912"/>
        <v>III TRIM</v>
      </c>
      <c r="NQ230" s="21" t="str">
        <f t="shared" si="1046"/>
        <v/>
      </c>
      <c r="NR230" s="21" t="str">
        <f t="shared" ca="1" si="937"/>
        <v>REVISAR FUM O FECHA SALIDA PROGRAMA</v>
      </c>
      <c r="NS230" s="205">
        <f t="shared" ca="1" si="914"/>
        <v>0</v>
      </c>
      <c r="NT230" s="21">
        <f t="shared" ca="1" si="915"/>
        <v>1</v>
      </c>
      <c r="NU230" s="21" t="str">
        <f t="shared" ca="1" si="916"/>
        <v>POR DEFINIR</v>
      </c>
      <c r="NV230" s="21" t="str">
        <f t="shared" ca="1" si="917"/>
        <v>POR DEFINIR</v>
      </c>
      <c r="NW230" s="206" t="str">
        <f>IF(AND(O230="",R230=""),"",IF(OR(AND(Tabla1[[#This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30" s="207" t="str">
        <f t="shared" ca="1" si="938"/>
        <v>SIN VACUNAR</v>
      </c>
      <c r="NY230" s="43">
        <f>ROW(Tabla1[[#This Row],['# DE TAMIZAJES SIFILIS TOMADOS ]])</f>
        <v>230</v>
      </c>
      <c r="NZ230" s="43">
        <f t="shared" si="942"/>
        <v>27</v>
      </c>
      <c r="OA230" s="43" t="str">
        <f t="shared" si="943"/>
        <v/>
      </c>
      <c r="OB230" s="43" t="str">
        <f t="shared" si="944"/>
        <v/>
      </c>
      <c r="OC230" s="43" t="str">
        <f t="shared" si="945"/>
        <v/>
      </c>
      <c r="OD230" s="43" t="str">
        <f t="shared" si="946"/>
        <v/>
      </c>
      <c r="OE230" s="43" t="str">
        <f t="shared" si="947"/>
        <v/>
      </c>
      <c r="OF230" s="43" t="str">
        <f t="shared" si="948"/>
        <v/>
      </c>
      <c r="OG230" s="43" t="str">
        <f t="shared" si="949"/>
        <v/>
      </c>
      <c r="OH230" s="43" t="str">
        <f t="shared" si="950"/>
        <v/>
      </c>
      <c r="OI230" s="43" t="str">
        <f t="shared" si="951"/>
        <v/>
      </c>
      <c r="OJ230" s="43" t="str">
        <f t="shared" si="952"/>
        <v/>
      </c>
      <c r="OK230" s="43" t="str">
        <f t="shared" si="953"/>
        <v/>
      </c>
      <c r="OL230" s="43" t="str">
        <f t="shared" si="954"/>
        <v/>
      </c>
      <c r="OM230" s="43" t="str">
        <f t="shared" si="955"/>
        <v/>
      </c>
      <c r="ON230" s="43" t="str">
        <f t="shared" si="956"/>
        <v/>
      </c>
      <c r="OO230" s="43" t="str">
        <f t="shared" si="957"/>
        <v/>
      </c>
      <c r="OP230" s="43" t="str">
        <f t="shared" si="958"/>
        <v/>
      </c>
      <c r="OQ230" s="43" t="str">
        <f t="shared" si="959"/>
        <v/>
      </c>
      <c r="OR230" s="43" t="str">
        <f t="shared" si="960"/>
        <v/>
      </c>
      <c r="OS230" s="43" t="str">
        <f t="shared" si="961"/>
        <v>BAJO PESO</v>
      </c>
      <c r="OT230" s="43" t="str">
        <f t="shared" si="962"/>
        <v/>
      </c>
      <c r="OU230" s="43" t="str">
        <f t="shared" si="963"/>
        <v/>
      </c>
      <c r="OV230" s="110" t="str">
        <f t="shared" si="964"/>
        <v/>
      </c>
      <c r="OW230" s="43" t="str">
        <f t="shared" si="965"/>
        <v/>
      </c>
      <c r="OX230" s="43" t="str">
        <f t="shared" si="966"/>
        <v/>
      </c>
      <c r="OY230" s="43" t="str">
        <f t="shared" si="967"/>
        <v/>
      </c>
      <c r="OZ230" s="43" t="str">
        <f t="shared" si="968"/>
        <v/>
      </c>
      <c r="PA230" s="43" t="str">
        <f t="shared" si="969"/>
        <v/>
      </c>
      <c r="PB230" s="43" t="str">
        <f t="shared" si="970"/>
        <v/>
      </c>
      <c r="PC230" s="43" t="str">
        <f t="shared" si="971"/>
        <v/>
      </c>
      <c r="PD230" s="43" t="str">
        <f t="shared" si="972"/>
        <v/>
      </c>
      <c r="PE230" s="43" t="str">
        <f t="shared" si="973"/>
        <v/>
      </c>
      <c r="PF230" s="43" t="str">
        <f t="shared" si="974"/>
        <v/>
      </c>
      <c r="PG230" s="43" t="str">
        <f t="shared" si="975"/>
        <v/>
      </c>
      <c r="PH230" s="43" t="str">
        <f t="shared" si="976"/>
        <v/>
      </c>
      <c r="PI230" s="43">
        <f t="shared" si="977"/>
        <v>32</v>
      </c>
      <c r="PJ230" s="43" t="str">
        <f t="shared" si="978"/>
        <v/>
      </c>
      <c r="PK230" s="43" t="str">
        <f t="shared" si="979"/>
        <v/>
      </c>
      <c r="PL230" s="43" t="str">
        <f t="shared" si="980"/>
        <v/>
      </c>
      <c r="PM230" s="43" t="str">
        <f t="shared" si="981"/>
        <v/>
      </c>
      <c r="PN230" s="43" t="str">
        <f t="shared" si="982"/>
        <v/>
      </c>
      <c r="PO230" s="43" t="str">
        <f t="shared" si="983"/>
        <v/>
      </c>
      <c r="PP230" s="43" t="str">
        <f t="shared" si="984"/>
        <v/>
      </c>
      <c r="PQ230" s="43" t="str">
        <f t="shared" si="985"/>
        <v/>
      </c>
      <c r="PR230" s="43" t="str">
        <f t="shared" si="986"/>
        <v/>
      </c>
      <c r="PS230" s="43" t="str">
        <f t="shared" si="987"/>
        <v/>
      </c>
      <c r="PT230" s="43" t="str">
        <f t="shared" si="988"/>
        <v/>
      </c>
      <c r="PU230" s="43" t="str">
        <f t="shared" si="989"/>
        <v/>
      </c>
      <c r="PV230" s="43" t="str">
        <f t="shared" si="990"/>
        <v/>
      </c>
      <c r="PW230" s="43" t="str">
        <f t="shared" si="991"/>
        <v/>
      </c>
      <c r="PX230" s="43" t="str">
        <f t="shared" si="992"/>
        <v/>
      </c>
      <c r="PY230" s="43" t="str">
        <f t="shared" si="993"/>
        <v/>
      </c>
      <c r="PZ230" s="43" t="str">
        <f t="shared" si="994"/>
        <v/>
      </c>
      <c r="QA230" s="43" t="str">
        <f t="shared" si="995"/>
        <v/>
      </c>
      <c r="QB230" s="43" t="str">
        <f t="shared" si="996"/>
        <v/>
      </c>
      <c r="QC230" s="43" t="str">
        <f t="shared" si="997"/>
        <v/>
      </c>
      <c r="QD230" s="43" t="str">
        <f t="shared" si="998"/>
        <v/>
      </c>
      <c r="QE230" s="43" t="str">
        <f t="shared" si="999"/>
        <v/>
      </c>
      <c r="QF230" s="43" t="str">
        <f t="shared" si="1000"/>
        <v/>
      </c>
      <c r="QG230" s="43" t="str">
        <f t="shared" si="1001"/>
        <v>NORMAL</v>
      </c>
      <c r="QH230" s="43" t="str">
        <f t="shared" si="1002"/>
        <v/>
      </c>
      <c r="QI230" s="43" t="str">
        <f t="shared" si="1003"/>
        <v/>
      </c>
      <c r="QJ230" s="43" t="str">
        <f t="shared" si="1004"/>
        <v/>
      </c>
      <c r="QK230" s="43" t="str">
        <f t="shared" si="1005"/>
        <v/>
      </c>
      <c r="QL230" s="43" t="str">
        <f t="shared" si="1006"/>
        <v/>
      </c>
      <c r="QM230" s="43" t="str">
        <f t="shared" si="1007"/>
        <v/>
      </c>
      <c r="QN230" s="43" t="str">
        <f t="shared" si="1008"/>
        <v/>
      </c>
      <c r="QO230" s="43" t="str">
        <f t="shared" si="1009"/>
        <v/>
      </c>
      <c r="QP230" s="43" t="str">
        <f t="shared" si="1010"/>
        <v/>
      </c>
      <c r="QQ230" s="43" t="str">
        <f t="shared" si="1011"/>
        <v/>
      </c>
      <c r="QR230" s="43">
        <f t="shared" si="1012"/>
        <v>32</v>
      </c>
      <c r="QS230" s="43"/>
      <c r="QT230" s="21" t="str">
        <f t="shared" si="1013"/>
        <v/>
      </c>
      <c r="QU230" s="21" t="str">
        <f t="shared" si="1014"/>
        <v/>
      </c>
      <c r="QV230" s="21" t="str">
        <f t="shared" si="1015"/>
        <v/>
      </c>
      <c r="QW230" s="21" t="str">
        <f t="shared" si="1016"/>
        <v/>
      </c>
      <c r="QX230" s="21" t="str">
        <f t="shared" si="1017"/>
        <v/>
      </c>
      <c r="QY230" s="21" t="str">
        <f t="shared" si="1018"/>
        <v/>
      </c>
      <c r="QZ230" s="21" t="str">
        <f t="shared" si="1019"/>
        <v/>
      </c>
      <c r="RA230" s="21" t="str">
        <f t="shared" si="1020"/>
        <v/>
      </c>
      <c r="RB230" s="21" t="str">
        <f t="shared" si="1021"/>
        <v/>
      </c>
      <c r="RC230" s="21" t="str">
        <f t="shared" si="1022"/>
        <v/>
      </c>
      <c r="RD230" s="21" t="str">
        <f t="shared" si="1023"/>
        <v/>
      </c>
      <c r="RE230" s="21" t="str">
        <f t="shared" si="1024"/>
        <v/>
      </c>
      <c r="RF230" s="21" t="str">
        <f t="shared" si="1025"/>
        <v/>
      </c>
      <c r="RG230" s="21" t="str">
        <f t="shared" si="1026"/>
        <v/>
      </c>
      <c r="RH230" s="21" t="str">
        <f t="shared" si="1027"/>
        <v/>
      </c>
      <c r="RI230" s="21" t="str">
        <f t="shared" si="1028"/>
        <v/>
      </c>
      <c r="RJ230" s="21" t="str">
        <f t="shared" si="1029"/>
        <v/>
      </c>
      <c r="RK230" s="21" t="str">
        <f t="shared" si="1030"/>
        <v/>
      </c>
      <c r="RL230" s="21" t="str">
        <f t="shared" si="1031"/>
        <v/>
      </c>
      <c r="RM230" s="21" t="str">
        <f t="shared" si="1032"/>
        <v>ADECUADO PARA EDAD GESTACIONAL</v>
      </c>
      <c r="RN230" s="21" t="str">
        <f t="shared" si="1033"/>
        <v/>
      </c>
      <c r="RO230" s="21" t="str">
        <f t="shared" si="1034"/>
        <v/>
      </c>
      <c r="RP230" s="21" t="str">
        <f t="shared" si="1035"/>
        <v/>
      </c>
      <c r="RQ230" s="21" t="str">
        <f t="shared" si="1036"/>
        <v/>
      </c>
      <c r="RR230" s="21" t="str">
        <f t="shared" si="1037"/>
        <v/>
      </c>
      <c r="RS230" s="21" t="str">
        <f t="shared" si="1038"/>
        <v/>
      </c>
      <c r="RT230" s="21" t="str">
        <f t="shared" si="1039"/>
        <v/>
      </c>
      <c r="RU230" s="21" t="str">
        <f t="shared" si="1040"/>
        <v/>
      </c>
      <c r="RV230" s="21">
        <f t="shared" si="1041"/>
        <v>-1</v>
      </c>
      <c r="RW230" s="284">
        <f>IF(OR(Tabla1[[#This Row],[FUM FORMULA CONFIABLE]]="",Tabla1[[#This Row],[FUM FORMULA CONFIABLE]]="SD"),"",IF(Tabla1[[#This Row],[FUM FORMULA CONFIABLE]]="CORREGIDA",Tabla1[[#This Row],[FUM X ECO 1]],Tabla1[[#This Row],[FUM x AMENORREA]]))</f>
        <v>44886</v>
      </c>
      <c r="RX230" s="21">
        <f>IF(AND(Tabla1[[#This Row],[FUM X ECO 1]]="",Tabla1[[#This Row],[FUM x AMENORREA]]=""),"",IF(AND(Tabla1[[#This Row],[FUM X ECO 1]]="",Tabla1[[#This Row],[FUM x AMENORREA]]&lt;&gt;""),"X",SUM(Tabla1[[#This Row],[FUM X ECO 1]]-Tabla1[[#This Row],[FUM x AMENORREA]])))</f>
        <v>0.5</v>
      </c>
      <c r="RY230" s="21">
        <f t="shared" si="1042"/>
        <v>0</v>
      </c>
    </row>
    <row r="231" spans="1:493" ht="45" customHeight="1" x14ac:dyDescent="0.25">
      <c r="A231" s="109"/>
      <c r="B231" s="43"/>
      <c r="C231" s="299" t="s">
        <v>845</v>
      </c>
      <c r="D231" s="124"/>
      <c r="E231" s="43" t="s">
        <v>1621</v>
      </c>
      <c r="F231" s="43" t="s">
        <v>1622</v>
      </c>
      <c r="G231" s="43" t="s">
        <v>1619</v>
      </c>
      <c r="H231" s="43" t="s">
        <v>1620</v>
      </c>
      <c r="I231" s="109" t="s">
        <v>851</v>
      </c>
      <c r="J231" s="110">
        <v>1104776221</v>
      </c>
      <c r="K231" s="43" t="s">
        <v>852</v>
      </c>
      <c r="L231" s="175" t="s">
        <v>1509</v>
      </c>
      <c r="M231" s="22">
        <v>33654</v>
      </c>
      <c r="N231" s="213">
        <f t="shared" ca="1" si="841"/>
        <v>31.720547945205478</v>
      </c>
      <c r="O231" s="22">
        <v>45110</v>
      </c>
      <c r="P231" s="214" t="str">
        <f t="shared" si="919"/>
        <v>SI</v>
      </c>
      <c r="Q231" s="26" t="s">
        <v>855</v>
      </c>
      <c r="R231" s="22">
        <v>45110</v>
      </c>
      <c r="S231" s="21" t="s">
        <v>856</v>
      </c>
      <c r="T231" s="24" t="s">
        <v>690</v>
      </c>
      <c r="U231" s="21" t="s">
        <v>857</v>
      </c>
      <c r="V231" s="21" t="s">
        <v>858</v>
      </c>
      <c r="W231" s="21" t="s">
        <v>955</v>
      </c>
      <c r="X231" s="21" t="s">
        <v>955</v>
      </c>
      <c r="Y231" s="21" t="s">
        <v>955</v>
      </c>
      <c r="Z231" s="21">
        <v>3187661161</v>
      </c>
      <c r="AA231" s="21" t="s">
        <v>860</v>
      </c>
      <c r="AB231" s="27" t="s">
        <v>861</v>
      </c>
      <c r="AC231" s="26" t="s">
        <v>888</v>
      </c>
      <c r="AD231" s="38" t="s">
        <v>1546</v>
      </c>
      <c r="AE231" s="26" t="s">
        <v>854</v>
      </c>
      <c r="AF231" s="26" t="s">
        <v>854</v>
      </c>
      <c r="AG231" s="23" t="s">
        <v>864</v>
      </c>
      <c r="AH231" s="23" t="s">
        <v>864</v>
      </c>
      <c r="AI231" s="24" t="s">
        <v>863</v>
      </c>
      <c r="AJ231" s="23" t="s">
        <v>864</v>
      </c>
      <c r="AK231" s="220" t="str">
        <f>IF(AND(AD231="",AE231="",AF231="",AG231="",AH231="",AI231="",AJ231=""),"",IF(OR(Tabla1[[#This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EVALUACIÓN",IF(AND(O231="",R231=""),"",IF(AND(OR(O231&gt;0,R231&gt;0),NG231&gt;=0,NG231&lt;2),"SIN RIESGO",IF(AND(OR(O231&gt;0,R231&gt;0),NG231&gt;=2),"CON RIESGO","ASD")))))</f>
        <v>SIN RIESGO</v>
      </c>
      <c r="AL231" s="26" t="s">
        <v>864</v>
      </c>
      <c r="AM231" s="26" t="s">
        <v>864</v>
      </c>
      <c r="AN231" s="26" t="s">
        <v>864</v>
      </c>
      <c r="AO231" s="26" t="s">
        <v>864</v>
      </c>
      <c r="AP231" s="26" t="s">
        <v>864</v>
      </c>
      <c r="AQ231" s="26" t="s">
        <v>864</v>
      </c>
      <c r="AR231" s="26" t="s">
        <v>864</v>
      </c>
      <c r="AS231" s="21">
        <v>2</v>
      </c>
      <c r="AT231" s="21">
        <v>2</v>
      </c>
      <c r="AU231" s="21">
        <v>0</v>
      </c>
      <c r="AV231" s="26" t="s">
        <v>864</v>
      </c>
      <c r="AW231" s="21">
        <v>0</v>
      </c>
      <c r="AX231" s="26" t="s">
        <v>864</v>
      </c>
      <c r="AY231" s="26" t="s">
        <v>864</v>
      </c>
      <c r="AZ231" s="26" t="s">
        <v>864</v>
      </c>
      <c r="BA231" s="26" t="s">
        <v>864</v>
      </c>
      <c r="BB231" s="26" t="s">
        <v>864</v>
      </c>
      <c r="BC231" s="26" t="s">
        <v>864</v>
      </c>
      <c r="BD231" s="26" t="s">
        <v>864</v>
      </c>
      <c r="BE231" s="26" t="s">
        <v>864</v>
      </c>
      <c r="BF231" s="26" t="s">
        <v>864</v>
      </c>
      <c r="BG231" s="26" t="s">
        <v>864</v>
      </c>
      <c r="BH231" s="26" t="s">
        <v>864</v>
      </c>
      <c r="BI231" s="26" t="s">
        <v>864</v>
      </c>
      <c r="BJ231" s="26" t="s">
        <v>864</v>
      </c>
      <c r="BK231" s="26" t="s">
        <v>864</v>
      </c>
      <c r="BL231" s="26" t="s">
        <v>864</v>
      </c>
      <c r="BM231" s="26" t="s">
        <v>864</v>
      </c>
      <c r="BN231" s="22">
        <v>42019</v>
      </c>
      <c r="BO231" s="22">
        <v>45048</v>
      </c>
      <c r="BP231" s="21" t="s">
        <v>854</v>
      </c>
      <c r="BQ231" s="222">
        <f t="shared" si="842"/>
        <v>100.96666666666667</v>
      </c>
      <c r="BR231" s="223">
        <f t="shared" si="843"/>
        <v>45048.2</v>
      </c>
      <c r="BS231" s="224">
        <f t="shared" si="844"/>
        <v>8.8571428571428577</v>
      </c>
      <c r="BT231" s="216" t="str">
        <f t="shared" si="845"/>
        <v>I TRIM</v>
      </c>
      <c r="BU231" s="214">
        <f t="shared" ca="1" si="928"/>
        <v>26.285714285714285</v>
      </c>
      <c r="BV231" s="25" t="s">
        <v>988</v>
      </c>
      <c r="BW231" s="22">
        <v>45149</v>
      </c>
      <c r="BX231" s="28">
        <v>14.4</v>
      </c>
      <c r="BY231" s="28"/>
      <c r="BZ231" s="22"/>
      <c r="CA231" s="21"/>
      <c r="CB231" s="26" t="s">
        <v>864</v>
      </c>
      <c r="CC231" s="26" t="s">
        <v>864</v>
      </c>
      <c r="CD231" s="26" t="s">
        <v>865</v>
      </c>
      <c r="CE231" s="26" t="s">
        <v>864</v>
      </c>
      <c r="CF231" s="22" t="s">
        <v>1517</v>
      </c>
      <c r="CG231" s="21">
        <v>1.44</v>
      </c>
      <c r="CH231" s="21">
        <v>43</v>
      </c>
      <c r="CI231" s="214">
        <f t="shared" si="847"/>
        <v>20.736882716049383</v>
      </c>
      <c r="CJ231" s="225" t="str">
        <f>IF(AND(CI231&lt;10,CH231="SD"),"SIN DATO PESO PREGESTACION O I TRIM",IF(AND(OR(R231&gt;0,O231&gt;0),CI231="X"),"INGRESAR DATO DE PESO",IF(CI231="SD","INGRESAR DATO DE TALLA Y PESO",IF(AND(OR(Tabla1[[#This Row],[MOMENTO EN QUE SE REALIZA EL PESO AL INGRESO A CPN]]="PREGESTACIÓN",NZ231="Menor"),CI231&lt;18.5),"BAJO PESO",IF(AND(OR(Tabla1[[#This Row],[MOMENTO EN QUE SE REALIZA EL PESO AL INGRESO A CPN]]="PREGESTACIÓN",NZ231="Menor"),CI231&lt;25),"NORMAL",IF(AND(OR(Tabla1[[#This Row],[MOMENTO EN QUE SE REALIZA EL PESO AL INGRESO A CPN]]="PREGESTACIÓN",NZ231="Menor"),CI231&lt;30),"SOBREPESO",IF(AND(OR(Tabla1[[#This Row],[MOMENTO EN QUE SE REALIZA EL PESO AL INGRESO A CPN]]="PREGESTACIÓN",NZ231="Menor"),CI231&gt;=30,CI231&lt;50),"OBESIDAD",IF(AND(BS231&gt;0,Tabla1[[#This Row],[MOMENTO EN QUE SE REALIZA EL PESO AL INGRESO A CPN]]="GESTACIÓN"),HLOOKUP(NZ231,$OA$2:PH231,NY231),""))))))))</f>
        <v>NORMAL</v>
      </c>
      <c r="CK231" s="212">
        <f t="shared" si="848"/>
        <v>45149</v>
      </c>
      <c r="CL231" s="21">
        <v>44</v>
      </c>
      <c r="CM231" s="214">
        <f t="shared" si="849"/>
        <v>21.219135802469136</v>
      </c>
      <c r="CN231" s="216">
        <f t="shared" si="850"/>
        <v>14</v>
      </c>
      <c r="CO231" s="216" t="e">
        <f>IF(PI231="","",IF(PI231&gt;0,HLOOKUP(PI231,$PJ$2:QQ231,NY231),""))</f>
        <v>#REF!</v>
      </c>
      <c r="CP231" s="21"/>
      <c r="CQ231" s="216" t="e">
        <f>IF(QR231="Menor","NO APLICA-MENOR 13 SEM",IF(AND(CC231="SI",CN231&gt;23),"NO APLICA- GEMELAR",IF(QR231="","",IF(QR231&gt;0,HLOOKUP(QR231,$QS$2:RU231,NY231),""))))</f>
        <v>#REF!</v>
      </c>
      <c r="CR231" s="21">
        <v>90</v>
      </c>
      <c r="CS231" s="21">
        <v>60</v>
      </c>
      <c r="CT231" s="217" t="str">
        <f>IF(R231="","",IF(AND(BS231&gt;1,BS231&lt;12,Tabla1[[#This Row],[T.A. SISTOLICA - ANTES DE SEMANA 12]]="",Tabla1[[#This Row],[T.A. DIASTOLICA - ANTES DE SEMANA 12]]=""),"REGISTRE DATO TA ANTES SEMANA 12",IF(AND(BS231&gt;11,BS231&lt;43,Tabla1[[#This Row],[T.A. SISTOLICA - ANTES DE SEMANA 12]]="",Tabla1[[#This Row],[T.A. DIASTOLICA - ANTES DE SEMANA 12]]=""),"NO APLICA REGISTRO TA-INGRESO TARDIO",IF(AND(OR(O231&gt;0,R231&gt;0),OR(CR231&gt;=140,CS231&gt;=90)),"DEFINIR ESTADIO HTA",IF(AND(OR(O231&gt;0,R231&gt;0),AND(CR231&gt;120,CR231&lt;=139)),"PRE HTA SEGUIMIENTO",IF(AND(OR(O231&gt;0,R231&gt;0),AND(CS231&gt;80,CS231&lt;=89)),"PRE HTA SEGUIMIENTO",IF(AND(OR(O231&gt;0,R231&gt;0),AND(CR231&gt;=80,CR231&lt;=120)),"APARENTEMENTE NORMAL",IF(AND(OR(O231&gt;0,R231&gt;0),AND(CS231&gt;=50,CS231&lt;=80)),"APARENTEMENTE NORMAL",IF(AND(OR(O231&gt;0,R231&gt;0),AND(CR231&gt;1,CR231&lt;=70),AND(CS231&gt;1,CS231&lt;=40)),"HIPOTENSIÓN","")))))))))</f>
        <v>APARENTEMENTE NORMAL</v>
      </c>
      <c r="CU231" s="21"/>
      <c r="CV231" s="21"/>
      <c r="CW231" s="217" t="str">
        <f ca="1">IF(R231="","",IF(AND(CN231&gt;19,CN231&lt;27,Tabla1[[#This Row],[T.A. SISTOLICA (Entre semana 20 y 26)]]="",Tabla1[[#This Row],[T.A. DIATOLICA (Entre semana 20 y 26)]]=""),"ACUDE A CONTROL SEM 20 A 26 REGISTRE TA AHORA",IF(AND(BS231&gt;1,BS231&lt;27,BU231&gt;19,Tabla1[[#This Row],[T.A. SISTOLICA (Entre semana 20 y 26)]]="",Tabla1[[#This Row],[T.A. DIATOLICA (Entre semana 20 y 26)]]=""),"COMPLETE REGISTRO TA CONTROL SEM 20 A26 ",IF(AND(BS231&gt;26,BS231&lt;43,Tabla1[[#This Row],[T.A. SISTOLICA (Entre semana 20 y 26)]]="",Tabla1[[#This Row],[T.A. DIATOLICA (Entre semana 20 y 26)]]=""),"NO APLICA REGISTRO TA-INGRESO TARDIO",IF(AND(OR(O231&gt;0,R231&gt;0),OR(CU231&gt;=140,CV231&gt;=90)),"ALTO RIESGO PREECLAMPSIA,DEFINIR ESTADIO HTA",IF(AND(OR(O231&gt;0,R231&gt;0),AND(CU231&gt;120,CU231&lt;=139)),"PRE HTA SEGUIMIENTO,RIESGO HIPERTENSION INDUCIDA POR EL EMBARAZO",IF(AND(OR(O231&gt;0,R231&gt;0),AND(CV231&gt;80,CV231&lt;=89)),"PRE HTA SEGUIMIENTO, RIESGO HIPERTENSION INDUCIDA POR EL EMBARAZO",IF(AND(OR(O231&lt;&gt;"",R231&lt;&gt;""),CS231&lt;&gt;"",CV231&lt;&gt;"",CS231&lt;=CV231),"VIGILAR CIFRAS PRESION ARTERIAL",IF(AND(OR(O231&gt;0,R231&gt;0),AND(CU231&gt;120,CU231&lt;=139)),"PRE HTA SEGUIMIENTO",IF(AND(OR(O231&gt;0,R231&gt;0),AND(CU231&gt;1,CU231&lt;=70),AND(CV231&gt;1,CV231&lt;=40)),"HIPOTENSIÓN",IF(AND(OR(O231&lt;&gt;"",R231&lt;&gt;""),CS231&lt;&gt;"",CV231&lt;&gt;"",CS231&gt;CV231),"APARENTEMENTE NORMAL",IF(AND(OR(O231&gt;0,R231&gt;0),AND(CU231&gt;=80,CU231&lt;=120)),"APARENTEMENTE NORMAL",IF(AND(OR(O231&gt;0,R231&gt;0),AND(CV231&gt;=50,CV231&lt;=80)),"APARENTEMENTE NORMAL","")))))))))))))</f>
        <v xml:space="preserve">COMPLETE REGISTRO TA CONTROL SEM 20 A26 </v>
      </c>
      <c r="CX231" s="21"/>
      <c r="CY231" s="21"/>
      <c r="CZ231" s="216" t="str">
        <f t="shared" si="1045"/>
        <v/>
      </c>
      <c r="DA231" s="21">
        <v>90</v>
      </c>
      <c r="DB231" s="21">
        <v>60</v>
      </c>
      <c r="DC231" s="217" t="str">
        <f t="shared" si="851"/>
        <v>APARENTEMENTE NORMAL</v>
      </c>
      <c r="DD231" s="22">
        <v>45110</v>
      </c>
      <c r="DE231" s="22">
        <v>45110</v>
      </c>
      <c r="DF231" s="22">
        <v>45149</v>
      </c>
      <c r="DG231" s="22"/>
      <c r="DH231" s="22"/>
      <c r="DI231" s="22"/>
      <c r="DJ231" s="22"/>
      <c r="DK231" s="22"/>
      <c r="DL231" s="22"/>
      <c r="DM231" s="22"/>
      <c r="DN231" s="22"/>
      <c r="DO231" s="22"/>
      <c r="DP231" s="22"/>
      <c r="DQ231" s="22"/>
      <c r="DR231" s="28"/>
      <c r="DS231" s="22"/>
      <c r="DT231" s="22"/>
      <c r="DU231" s="216" t="str">
        <f t="shared" ca="1" si="920"/>
        <v>EN ESPERA</v>
      </c>
      <c r="DV231" s="226" t="str">
        <f t="shared" si="921"/>
        <v>ACTIVA INGRESO A CPN</v>
      </c>
      <c r="DW23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31" s="216" t="e">
        <f t="shared" ca="1" si="852"/>
        <v>#REF!</v>
      </c>
      <c r="DY231" s="212">
        <f>IF(R231="","",IF(R231&gt;0,MAX(Tabla1[[#This Row],[FECHA C2]:[FECHA C13]],Tabla1[[#This Row],[FECHA CONSULTA PRIMERA VEZ PROGRAMA CPN ]])))</f>
        <v>45149</v>
      </c>
      <c r="DZ231" s="216">
        <f t="shared" si="853"/>
        <v>14</v>
      </c>
      <c r="EA231" s="222">
        <f>IF(R231&gt;0,SUM(COUNTA(DF231:DQ231)+COUNTA(Tabla1[[#This Row],[FECHA CONSULTA PRIMERA VEZ PROGRAMA CPN ]])),"")</f>
        <v>2</v>
      </c>
      <c r="EB231" s="222" t="str">
        <f t="shared" si="854"/>
        <v>NO</v>
      </c>
      <c r="EC231" s="214">
        <f t="shared" si="855"/>
        <v>9</v>
      </c>
      <c r="ED231" s="227">
        <f t="shared" si="856"/>
        <v>0.22222222222222221</v>
      </c>
      <c r="EE231" s="22">
        <v>45110</v>
      </c>
      <c r="EF231" s="22">
        <v>45149</v>
      </c>
      <c r="EG231" s="22">
        <v>45110</v>
      </c>
      <c r="EH231" s="22">
        <v>45133</v>
      </c>
      <c r="EI231" s="22">
        <v>45110</v>
      </c>
      <c r="EJ231" s="22">
        <v>45134</v>
      </c>
      <c r="EK231" s="22"/>
      <c r="EL231" s="21"/>
      <c r="EM231" s="21">
        <v>12.9</v>
      </c>
      <c r="EN231" s="22">
        <v>45115</v>
      </c>
      <c r="EO231" s="222">
        <f t="shared" si="857"/>
        <v>9.5714285714285712</v>
      </c>
      <c r="EP231" s="214" t="str">
        <f t="shared" si="858"/>
        <v>NORMAL- SUMINISTRAR SULFATO FERROSO</v>
      </c>
      <c r="EQ231" s="216" t="str">
        <f t="shared" si="859"/>
        <v>I TRIM</v>
      </c>
      <c r="ER231" s="24"/>
      <c r="ES231" s="22"/>
      <c r="ET231" s="29" t="str">
        <f t="shared" ca="1" si="922"/>
        <v>TOMA HEMOGLOBINA A SEM 28 EN 1 SEMANA</v>
      </c>
      <c r="EU231" s="25" t="str">
        <f t="shared" si="860"/>
        <v/>
      </c>
      <c r="EV231" s="24" t="s">
        <v>1510</v>
      </c>
      <c r="EW231" s="22">
        <v>45115</v>
      </c>
      <c r="EX231" s="22"/>
      <c r="EY231" s="29">
        <f t="shared" si="1043"/>
        <v>9.5714285714285712</v>
      </c>
      <c r="EZ231" s="25" t="str">
        <f t="shared" si="1044"/>
        <v>SIN RIESGO DE ISOINMUNIZACIÓN</v>
      </c>
      <c r="FA231" s="21">
        <v>37</v>
      </c>
      <c r="FB231" s="22">
        <v>45115</v>
      </c>
      <c r="FC231" s="29">
        <f t="shared" si="861"/>
        <v>9.5714285714285712</v>
      </c>
      <c r="FD231" s="29"/>
      <c r="FE231" s="29"/>
      <c r="FF231" s="29"/>
      <c r="FG231" s="21" t="str">
        <f t="shared" ca="1" si="862"/>
        <v>TOMAR PTOG</v>
      </c>
      <c r="FH231" s="31"/>
      <c r="FI231" s="29" t="str">
        <f t="shared" si="863"/>
        <v>TOMAR EXAMEN</v>
      </c>
      <c r="FJ231" s="22" t="s">
        <v>867</v>
      </c>
      <c r="FK231" s="22">
        <v>45115</v>
      </c>
      <c r="FL231" s="29">
        <f t="shared" ca="1" si="864"/>
        <v>9.5714285714285712</v>
      </c>
      <c r="FM231" s="22"/>
      <c r="FN231" s="32"/>
      <c r="FO231" s="29" t="str">
        <f t="shared" ca="1" si="923"/>
        <v>TOMA INMEDIATA DE TAMIZAJE</v>
      </c>
      <c r="FP231" s="22"/>
      <c r="FQ231" s="32"/>
      <c r="FR231" s="29" t="str">
        <f t="shared" ca="1" si="924"/>
        <v>EN ESPERA-ESTÁ I TRIM O II TRIM</v>
      </c>
      <c r="FS231" s="22"/>
      <c r="FT231" s="32"/>
      <c r="FU231" s="29" t="str">
        <f>IF(AND(FJ231="",FM231="",FP231="",FS231=""),"",IF(OR(OR(Tabla1[[#This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31" s="28"/>
      <c r="FW231" s="22"/>
      <c r="FX231" s="29" t="str">
        <f t="shared" si="865"/>
        <v>TOMAR EXAMEN</v>
      </c>
      <c r="FY231" s="22" t="s">
        <v>868</v>
      </c>
      <c r="FZ231" s="22">
        <v>45115</v>
      </c>
      <c r="GA231" s="29">
        <f t="shared" ca="1" si="939"/>
        <v>9.5714285714285712</v>
      </c>
      <c r="GB231" s="22"/>
      <c r="GC231" s="22"/>
      <c r="GD231" s="29" t="str">
        <f t="shared" ref="GD231:GD248" ca="1" si="1048">IF(AND(BT231="ERROR FUM O INGRESO",GC231&gt;0),"ERROR FUM O INGRESO",IF(AND(GC231="",R231="",O231=""),"",IF(AND(GC231&lt;&gt;"",GC231&lt;RW231), "INCOHERENCIA FUM Y FECHA TAMIZAJE",IF(AND(GC231="",DV231="ACTIVA INGRESO A CPN",AND(BU231&gt;0,BU231&lt;13)),"EN ESPERA-ESTÁ I TRIM", IF(AND(GC231="",AND(BS231&gt;0, BS231&lt;12),OR(O231&gt;0,R231&gt;0),AND(IP231&gt;0,IP231&lt;13)),"NO APLICA-SALIO DEL PROGRAMA I TRIM",IF(AND(GC231&lt;&gt;"",AND(SUM((GC231-RW231)/7)&gt;0,SUM((GC231-RW231)/7)&lt;13)),"REGISTRAR EN I TRIMESTRE",IF(AND(GC231&lt;&gt;"",AND(SUM((GC231-RW231)/7)&gt;=27,SUM((GC231-RW231)/7)&lt;44)),"REGISTRAR EN III TRIMESTRE",IF(AND(GC231="",OR(O231&gt;0,R231&gt;0),AND(BU231&gt;=12,BU231&lt;25),DV231="ACTIVA INGRESO A CPN"),"EN RANGO PARA TOMAR EXAMEN",IF(AND(GC231="",OR(O231&gt;0,R231&gt;0),AND(BU231&gt;=25,BU231&lt;27),DV231="ACTIVA INGRESO A CPN"),"TOMA INMEDIATA DE TAMIZAJE",IF(AND(GC231="",OR(O231&gt;0,R231&gt;0),AND(BS231&gt;=27,BS231&lt;43)),"NO APLICA-INGRESO TARDIO",IF(AND(GC231="",BS231&lt;27),"PIERDE TOMA DE TAMIZAJE",IF(GC231&gt;0,SUM(GC231-RW231)/7,""))))))))))))</f>
        <v>TOMA INMEDIATA DE TAMIZAJE</v>
      </c>
      <c r="GE231" s="22"/>
      <c r="GF231" s="22"/>
      <c r="GG231" s="29" t="str">
        <f t="shared" ca="1" si="926"/>
        <v>EN ESPERA-ESTÁ I TRIM O II TRIM</v>
      </c>
      <c r="GH231" s="22"/>
      <c r="GI231" s="29"/>
      <c r="GJ231" s="22"/>
      <c r="GK231" s="22"/>
      <c r="GL231" s="22"/>
      <c r="GM231" s="22"/>
      <c r="GN231" s="28" t="s">
        <v>869</v>
      </c>
      <c r="GO231" s="22">
        <v>45115</v>
      </c>
      <c r="GP231" s="29">
        <f t="shared" si="866"/>
        <v>9.5714285714285712</v>
      </c>
      <c r="GQ231" s="28" t="s">
        <v>869</v>
      </c>
      <c r="GR231" s="28" t="s">
        <v>869</v>
      </c>
      <c r="GS231" s="22" t="str">
        <f t="shared" si="1047"/>
        <v>CONTROL Igm</v>
      </c>
      <c r="GT231" s="22">
        <v>45115</v>
      </c>
      <c r="GU231" s="29">
        <f t="shared" si="867"/>
        <v>9.5714285714285712</v>
      </c>
      <c r="GV231" s="21" t="str">
        <f t="shared" si="868"/>
        <v>I TRIM</v>
      </c>
      <c r="GW231" s="28"/>
      <c r="GX231" s="30"/>
      <c r="GY231" s="21"/>
      <c r="GZ231" s="21"/>
      <c r="HA231" s="21"/>
      <c r="HB231" s="21"/>
      <c r="HC231" s="21"/>
      <c r="HD231" s="21"/>
      <c r="HE231" s="21"/>
      <c r="HF231" s="22"/>
      <c r="HG231" s="22" t="str">
        <f>IF(OR(O231&gt;0,R231&gt;0),CONCATENATE(IF(Tabla1[[#This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31" s="22" t="e">
        <f t="shared" si="869"/>
        <v>#REF!</v>
      </c>
      <c r="HI231" s="22" t="e">
        <f t="shared" ca="1" si="870"/>
        <v>#REF!</v>
      </c>
      <c r="HJ231" s="21" t="str">
        <f t="shared" ca="1" si="871"/>
        <v>***************************************</v>
      </c>
      <c r="HK231" s="21" t="str">
        <f t="shared" si="872"/>
        <v>SIN ANTECEDENTES DE RIESGO</v>
      </c>
      <c r="HL231" s="24" t="str">
        <f t="shared" si="873"/>
        <v>APARENTEMENTE NORMAL</v>
      </c>
      <c r="HM231" s="21" t="e">
        <f t="shared" ca="1" si="874"/>
        <v>#REF!</v>
      </c>
      <c r="HN231" s="30" t="str">
        <f t="shared" si="927"/>
        <v>ACTIVA INGRESO A CPN</v>
      </c>
      <c r="HO231" s="21"/>
      <c r="HP231" s="21"/>
      <c r="HQ231" s="349"/>
      <c r="HR231" s="21" t="str">
        <f>IF(R231="","",IF(Tabla1[[#This Row],[ALARMA FACTORES DE RIESGO COMPLICACIONES HIPERTENSIVAS3]]="SIN ANTECEDENTES DE RIESGO","No Aplica para suministro de ASA",IF(AND(Tabla1[[#This Row],[FECHA INICIO DE SUMINISTRO DE ASA]]&gt;0,RV231&lt;12),"Inicia ASA ANTES de Sem 12",IF(AND(RV231&gt;11,RV231&lt;17,OR(HK231="RIESGO ALTO DE COMPLICACIONES HIPERTENSIVAS VER MANEJO GUIA SUMINISTRO ASA Y CALCIO",HK231="RIESGO MODERADO (2 O MAS CRITERIOS) VER MANEJO GUIA SUMINISTRO ASA Y CALCIO")),"Inicio oportuno de ASA",IF(AND(RV231&gt;12,OR(HK231="RIESGO ALTO DE COMPLICACIONES HIPERTENSIVAS VER MANEJO GUIA SUMINISTRO ASA Y CALCIO",HK231="RIESGO MODERADO (2 O MAS CRITERIOS) VER MANEJO GUIA SUMINISTRO ASA Y CALCIO")),"Inicio no oportuno mayor a 16 semanas",IF(AND(BU231&lt;12,OR(HK231="RIESGO ALTO DE COMPLICACIONES HIPERTENSIVAS VER MANEJO GUIA SUMINISTRO ASA Y CALCIO",HK231="RIESGO MODERADO (2 O MAS CRITERIOS) VER MANEJO GUIA SUMINISTRO ASA Y CALCIO")),"Pendiente Inicio de ASA a la semana 12",IF(AND(BU231&gt;11,BU231&lt;17,OR(HK231="RIESGO ALTO DE COMPLICACIONES HIPERTENSIVAS VER MANEJO GUIA SUMINISTRO ASA Y CALCIO",HK231="RIESGO MODERADO (2 O MAS CRITERIOS) VER MANEJO GUIA SUMINISTRO ASA Y CALCIO")),"Iniciar de inmediato ASA",IF(AND(BU231&gt;16,OR(HK231="RIESGO ALTO DE COMPLICACIONES HIPERTENSIVAS VER MANEJO GUIA SUMINISTRO ASA Y CALCIO",HK231="RIESGO MODERADO (2 O MAS CRITERIOS) VER MANEJO GUIA SUMINISTRO ASA Y CALCIO")),"Pierde Oportunidad, Inicio tardío de ASA","XXXXX"))))))))</f>
        <v>No Aplica para suministro de ASA</v>
      </c>
      <c r="HS231" s="22">
        <v>45110</v>
      </c>
      <c r="HT231" s="22" t="s">
        <v>1505</v>
      </c>
      <c r="HU231" s="22">
        <v>45110</v>
      </c>
      <c r="HV231" s="22" t="s">
        <v>1506</v>
      </c>
      <c r="HW231" s="22">
        <v>45110</v>
      </c>
      <c r="HX231" s="22" t="s">
        <v>1511</v>
      </c>
      <c r="HY231" s="22">
        <v>45110</v>
      </c>
      <c r="HZ231" s="28">
        <f t="shared" si="875"/>
        <v>8.8571428571428577</v>
      </c>
      <c r="IA231" s="26"/>
      <c r="IB231" s="26"/>
      <c r="IC231" s="111"/>
      <c r="ID231" s="22"/>
      <c r="IE231" s="22" t="str">
        <f t="shared" ca="1" si="876"/>
        <v>PROGRAMAR APLICACION DE VACUNA</v>
      </c>
      <c r="IF231" s="22"/>
      <c r="IG231" s="22">
        <f t="shared" si="877"/>
        <v>45328</v>
      </c>
      <c r="IH231" s="29">
        <f t="shared" ca="1" si="878"/>
        <v>96</v>
      </c>
      <c r="II231" s="22" t="str">
        <f t="shared" ca="1" si="879"/>
        <v>PENDIENTE</v>
      </c>
      <c r="IJ231" s="22"/>
      <c r="IK231" s="21"/>
      <c r="IL231" s="21"/>
      <c r="IM231" s="34"/>
      <c r="IN231" s="22"/>
      <c r="IO231" s="21"/>
      <c r="IP231" s="29" t="str">
        <f t="shared" si="880"/>
        <v/>
      </c>
      <c r="IQ231" s="35"/>
      <c r="IR231" s="21"/>
      <c r="IS231" s="21"/>
      <c r="IT231" s="21"/>
      <c r="IU231" s="21"/>
      <c r="IV231" s="21"/>
      <c r="IW231" s="21"/>
      <c r="IX231" s="21"/>
      <c r="IY231" s="21"/>
      <c r="IZ231" s="21"/>
      <c r="JA231" s="21"/>
      <c r="JB231" s="30"/>
      <c r="JC231" s="21"/>
      <c r="JD231" s="36"/>
      <c r="JE231" s="21" t="str">
        <f t="shared" si="881"/>
        <v/>
      </c>
      <c r="JF231" s="30"/>
      <c r="JG231" s="21"/>
      <c r="JH231" s="21"/>
      <c r="JI231" s="21"/>
      <c r="JJ231" s="30"/>
      <c r="JK231" s="22"/>
      <c r="JL231" s="22"/>
      <c r="JM231" s="21"/>
      <c r="JN231" s="36"/>
      <c r="JO231" s="21" t="str">
        <f t="shared" si="882"/>
        <v/>
      </c>
      <c r="JP231" s="22"/>
      <c r="JQ231" s="21"/>
      <c r="JR231" s="21"/>
      <c r="JS231" s="21"/>
      <c r="JT231" s="30"/>
      <c r="JU231" s="22"/>
      <c r="JV231" s="22"/>
      <c r="JW231" s="33"/>
      <c r="JX231" s="28" t="str">
        <f t="shared" si="883"/>
        <v/>
      </c>
      <c r="JY231" s="33"/>
      <c r="JZ231" s="28" t="str">
        <f t="shared" si="884"/>
        <v/>
      </c>
      <c r="KA231" s="21"/>
      <c r="KB231" s="21"/>
      <c r="KC231" s="21"/>
      <c r="KD231" s="37"/>
      <c r="KE231" s="28"/>
      <c r="KF231" s="28"/>
      <c r="KG231" s="28"/>
      <c r="KH231" s="39"/>
      <c r="KI231" s="39"/>
      <c r="KJ231" s="66"/>
      <c r="KK231" s="39"/>
      <c r="KL231" s="39"/>
      <c r="KM231" s="66"/>
      <c r="KN231" s="39"/>
      <c r="KO231" s="39"/>
      <c r="KP231" s="39"/>
      <c r="KQ231" s="39"/>
      <c r="KR231" s="39"/>
      <c r="KS231" s="39"/>
      <c r="KT231" s="39"/>
      <c r="KU231" s="38"/>
      <c r="KV231" s="38"/>
      <c r="KW231" s="38"/>
      <c r="KX231" s="38"/>
      <c r="KY231" s="38"/>
      <c r="KZ231" s="38"/>
      <c r="LA231" s="38"/>
      <c r="LB231" s="38"/>
      <c r="LC231" s="38"/>
      <c r="LD231" s="38"/>
      <c r="LE231" s="38"/>
      <c r="LF231" s="38"/>
      <c r="LG231" s="38"/>
      <c r="LH231" s="38"/>
      <c r="LI231" s="38"/>
      <c r="LJ231" s="38"/>
      <c r="LK231" s="38"/>
      <c r="LL231" s="38"/>
      <c r="LM231" s="38"/>
      <c r="LN231" s="38"/>
      <c r="LO231" s="38"/>
      <c r="LP231" s="38"/>
      <c r="LQ231" s="38"/>
      <c r="LR231" s="38"/>
      <c r="LS231" s="38"/>
      <c r="LT231" s="38"/>
      <c r="LU231" s="38"/>
      <c r="LV231" s="38"/>
      <c r="LW231" s="38"/>
      <c r="LX231" s="38"/>
      <c r="LY231" s="38"/>
      <c r="LZ231" s="38"/>
      <c r="MA231" s="38"/>
      <c r="MB231" s="38"/>
      <c r="MC231" s="38"/>
      <c r="MD231" s="38"/>
      <c r="ME231" s="38"/>
      <c r="MF231" s="38"/>
      <c r="MG231" s="38"/>
      <c r="MH231" s="43">
        <f t="shared" si="885"/>
        <v>0</v>
      </c>
      <c r="MI231" s="43" t="str">
        <f t="shared" si="929"/>
        <v/>
      </c>
      <c r="MJ231" s="43" t="str">
        <f t="shared" si="887"/>
        <v/>
      </c>
      <c r="MK231" s="43">
        <f t="shared" si="888"/>
        <v>0</v>
      </c>
      <c r="ML23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31" s="43">
        <f t="shared" si="930"/>
        <v>8.8571428571428577</v>
      </c>
      <c r="MN231" s="43">
        <f t="shared" si="931"/>
        <v>7</v>
      </c>
      <c r="MO231" s="43">
        <f t="shared" si="932"/>
        <v>2023</v>
      </c>
      <c r="MP231" s="43" t="str">
        <f t="shared" si="892"/>
        <v>III TRIMESTRE AÑO</v>
      </c>
      <c r="MQ231" s="43">
        <f t="shared" si="933"/>
        <v>30.916009636443274</v>
      </c>
      <c r="MR231" s="43">
        <f t="shared" si="894"/>
        <v>0</v>
      </c>
      <c r="MS231" s="43" t="str">
        <f t="shared" si="895"/>
        <v xml:space="preserve"> DE 30 A 34 AÑOS</v>
      </c>
      <c r="MT231" s="43">
        <f t="shared" si="896"/>
        <v>0</v>
      </c>
      <c r="MU231" s="43">
        <f t="shared" si="897"/>
        <v>0</v>
      </c>
      <c r="MV231" s="43">
        <f t="shared" si="898"/>
        <v>0</v>
      </c>
      <c r="MW231" s="43">
        <f t="shared" si="899"/>
        <v>0</v>
      </c>
      <c r="MX231" s="43" t="str">
        <f t="shared" si="900"/>
        <v/>
      </c>
      <c r="MY231" s="43" t="str">
        <f t="shared" ca="1" si="901"/>
        <v/>
      </c>
      <c r="MZ231" s="43" t="str">
        <f t="shared" si="902"/>
        <v/>
      </c>
      <c r="NA231" s="43">
        <f t="shared" si="903"/>
        <v>0</v>
      </c>
      <c r="NB231" s="43" t="str">
        <f t="shared" si="904"/>
        <v/>
      </c>
      <c r="NC231" s="43" t="str">
        <f t="shared" si="905"/>
        <v/>
      </c>
      <c r="ND231" s="43">
        <f t="shared" ca="1" si="934"/>
        <v>0</v>
      </c>
      <c r="NE231" s="43">
        <f>IF(OR(O231&gt;0,R231&gt;0),SUM(COUNTIF(Tabla1[[#This Row],[AÑOS AL INICIO5 CPN]],"&gt;=40"),COUNTIF(AS231,"0"),COUNTIF(AR231,"SI"),COUNTIF(CC231,"SI"),COUNTIF(BQ231,"&gt;119"),COUNTIF(CI231,"&gt;=35")),"")</f>
        <v>0</v>
      </c>
      <c r="NF231" s="43" t="str">
        <f t="shared" si="935"/>
        <v/>
      </c>
      <c r="NG231" s="43">
        <f t="shared" si="908"/>
        <v>0</v>
      </c>
      <c r="NH231" s="43">
        <f t="shared" si="909"/>
        <v>100.8</v>
      </c>
      <c r="NI23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CPN",P231="NO"),"Z",IF(AND(Tabla1[[#This Row],[CITA PROXIMO CONTROL]]="CITA MANUAL",Tabla1[[#This Row],[GESTANTES ACTUALES]]="ACTIVA INGRESO A CPN"),"W",IF(AND(Tabla1[[#This Row],[GESTANTES ACTUALES]]="SALIO PROGRAMA",IN231=""),"S",IF(AND(Tabla1[[#This Row],[CITA PROXIMO CONTROL]]&gt;0,IN231=""),(Tabla1[[#This Row],[CITA PROXIMO CONTROL]]-TODAY()),"SD"))))))))</f>
        <v>#REF!</v>
      </c>
      <c r="NJ231" s="43">
        <f>MONTH(Tabla1[[#This Row],[FECHA DE SALIDA  DEL PROGRAMA]])</f>
        <v>1</v>
      </c>
      <c r="NK231" s="43">
        <f>YEAR(Tabla1[[#This Row],[FECHA DE SALIDA  DEL PROGRAMA]])</f>
        <v>1900</v>
      </c>
      <c r="NL231" s="43">
        <f t="shared" si="936"/>
        <v>24</v>
      </c>
      <c r="NM231" s="43" t="str">
        <f t="shared" si="941"/>
        <v>NO</v>
      </c>
      <c r="NN231" s="43" t="str">
        <f ca="1">IF(AND(O231&gt;0,R231=""),"NO CPN",IF(AND(O231="",R231=""),"",IF(AND(R231&gt;0,Tabla1[[#This Row],[SEMANAS DE GESTACION ACTUALIZADAS]]&lt;=12),"NO APLICA",IF(AND(FH231&lt;&gt;"",FN231&lt;&gt;""),"SI","NO"))))</f>
        <v>NO</v>
      </c>
      <c r="NO231" s="43" t="str">
        <f ca="1">IF(AND(O231&gt;0,R231=""),"NO CPN",IF(AND(O231="",R231=""),"",IF(AND(R231&gt;0,Tabla1[[#This Row],[SEMANAS DE GESTACION ACTUALIZADAS]]&lt;=27),"NO APLICA",IF(AND(ES231&lt;&gt;"",FQ231&lt;&gt;"",GF231&lt;&gt;""),"SI","NO"))))</f>
        <v>NO APLICA</v>
      </c>
      <c r="NP231" s="204" t="str">
        <f t="shared" si="912"/>
        <v>I TRIM</v>
      </c>
      <c r="NQ231" s="21" t="str">
        <f t="shared" si="1046"/>
        <v/>
      </c>
      <c r="NR231" s="21">
        <f t="shared" ca="1" si="937"/>
        <v>2</v>
      </c>
      <c r="NS231" s="205">
        <f t="shared" ca="1" si="914"/>
        <v>1</v>
      </c>
      <c r="NT231" s="21">
        <f t="shared" ca="1" si="915"/>
        <v>1</v>
      </c>
      <c r="NU231" s="21" t="str">
        <f t="shared" ca="1" si="916"/>
        <v>INCOMPLETO</v>
      </c>
      <c r="NV231" s="21" t="str">
        <f t="shared" ca="1" si="917"/>
        <v>INCOMPLETO</v>
      </c>
      <c r="NW231" s="206" t="str">
        <f>IF(AND(O231="",R231=""),"",IF(OR(AND(Tabla1[[#This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31" s="207" t="str">
        <f t="shared" ca="1" si="938"/>
        <v>SIN VACUNAR</v>
      </c>
      <c r="NY231" s="43">
        <f>ROW(Tabla1[[#This Row],['# DE TAMIZAJES SIFILIS TOMADOS ]])</f>
        <v>231</v>
      </c>
      <c r="NZ231" s="43" t="str">
        <f t="shared" si="942"/>
        <v>Menor</v>
      </c>
      <c r="OA231" s="43" t="str">
        <f t="shared" si="943"/>
        <v>NORMAL</v>
      </c>
      <c r="OB231" s="43" t="str">
        <f t="shared" si="944"/>
        <v/>
      </c>
      <c r="OC231" s="43" t="str">
        <f t="shared" si="945"/>
        <v/>
      </c>
      <c r="OD231" s="43" t="str">
        <f t="shared" si="946"/>
        <v/>
      </c>
      <c r="OE231" s="43" t="str">
        <f t="shared" si="947"/>
        <v/>
      </c>
      <c r="OF231" s="43" t="str">
        <f t="shared" si="948"/>
        <v/>
      </c>
      <c r="OG231" s="43" t="str">
        <f t="shared" si="949"/>
        <v/>
      </c>
      <c r="OH231" s="43" t="str">
        <f t="shared" si="950"/>
        <v/>
      </c>
      <c r="OI231" s="43" t="str">
        <f t="shared" si="951"/>
        <v/>
      </c>
      <c r="OJ231" s="43" t="str">
        <f t="shared" si="952"/>
        <v/>
      </c>
      <c r="OK231" s="43" t="str">
        <f t="shared" si="953"/>
        <v/>
      </c>
      <c r="OL231" s="43" t="str">
        <f t="shared" si="954"/>
        <v/>
      </c>
      <c r="OM231" s="43" t="str">
        <f t="shared" si="955"/>
        <v/>
      </c>
      <c r="ON231" s="43" t="str">
        <f t="shared" si="956"/>
        <v/>
      </c>
      <c r="OO231" s="43" t="str">
        <f t="shared" si="957"/>
        <v/>
      </c>
      <c r="OP231" s="43" t="str">
        <f t="shared" si="958"/>
        <v/>
      </c>
      <c r="OQ231" s="43" t="str">
        <f t="shared" si="959"/>
        <v/>
      </c>
      <c r="OR231" s="43" t="str">
        <f t="shared" si="960"/>
        <v/>
      </c>
      <c r="OS231" s="43" t="str">
        <f t="shared" si="961"/>
        <v/>
      </c>
      <c r="OT231" s="43" t="str">
        <f t="shared" si="962"/>
        <v/>
      </c>
      <c r="OU231" s="43" t="str">
        <f t="shared" si="963"/>
        <v/>
      </c>
      <c r="OV231" s="110" t="str">
        <f t="shared" si="964"/>
        <v/>
      </c>
      <c r="OW231" s="43" t="str">
        <f t="shared" si="965"/>
        <v/>
      </c>
      <c r="OX231" s="43" t="str">
        <f t="shared" si="966"/>
        <v/>
      </c>
      <c r="OY231" s="43" t="str">
        <f t="shared" si="967"/>
        <v/>
      </c>
      <c r="OZ231" s="43" t="str">
        <f t="shared" si="968"/>
        <v/>
      </c>
      <c r="PA231" s="43" t="str">
        <f t="shared" si="969"/>
        <v/>
      </c>
      <c r="PB231" s="43" t="str">
        <f t="shared" si="970"/>
        <v/>
      </c>
      <c r="PC231" s="43" t="str">
        <f t="shared" si="971"/>
        <v/>
      </c>
      <c r="PD231" s="43" t="str">
        <f t="shared" si="972"/>
        <v/>
      </c>
      <c r="PE231" s="43" t="str">
        <f t="shared" si="973"/>
        <v/>
      </c>
      <c r="PF231" s="43" t="str">
        <f t="shared" si="974"/>
        <v/>
      </c>
      <c r="PG231" s="43" t="str">
        <f t="shared" si="975"/>
        <v/>
      </c>
      <c r="PH231" s="43" t="str">
        <f t="shared" si="976"/>
        <v/>
      </c>
      <c r="PI231" s="43">
        <f t="shared" si="977"/>
        <v>14</v>
      </c>
      <c r="PJ231" s="43" t="str">
        <f t="shared" si="978"/>
        <v/>
      </c>
      <c r="PK231" s="43" t="str">
        <f t="shared" si="979"/>
        <v/>
      </c>
      <c r="PL231" s="43" t="str">
        <f t="shared" si="980"/>
        <v/>
      </c>
      <c r="PM231" s="43" t="str">
        <f t="shared" si="981"/>
        <v/>
      </c>
      <c r="PN231" s="43" t="str">
        <f t="shared" si="982"/>
        <v/>
      </c>
      <c r="PO231" s="43" t="str">
        <f t="shared" si="983"/>
        <v>NORMAL</v>
      </c>
      <c r="PP231" s="43" t="str">
        <f t="shared" si="984"/>
        <v/>
      </c>
      <c r="PQ231" s="43" t="str">
        <f t="shared" si="985"/>
        <v/>
      </c>
      <c r="PR231" s="43" t="str">
        <f t="shared" si="986"/>
        <v/>
      </c>
      <c r="PS231" s="43" t="str">
        <f t="shared" si="987"/>
        <v/>
      </c>
      <c r="PT231" s="43" t="str">
        <f t="shared" si="988"/>
        <v/>
      </c>
      <c r="PU231" s="43" t="str">
        <f t="shared" si="989"/>
        <v/>
      </c>
      <c r="PV231" s="43" t="str">
        <f t="shared" si="990"/>
        <v/>
      </c>
      <c r="PW231" s="43" t="str">
        <f t="shared" si="991"/>
        <v/>
      </c>
      <c r="PX231" s="43" t="str">
        <f t="shared" si="992"/>
        <v/>
      </c>
      <c r="PY231" s="43" t="str">
        <f t="shared" si="993"/>
        <v/>
      </c>
      <c r="PZ231" s="43" t="str">
        <f t="shared" si="994"/>
        <v/>
      </c>
      <c r="QA231" s="43" t="str">
        <f t="shared" si="995"/>
        <v/>
      </c>
      <c r="QB231" s="43" t="str">
        <f t="shared" si="996"/>
        <v/>
      </c>
      <c r="QC231" s="43" t="str">
        <f t="shared" si="997"/>
        <v/>
      </c>
      <c r="QD231" s="43" t="str">
        <f t="shared" si="998"/>
        <v/>
      </c>
      <c r="QE231" s="43" t="str">
        <f t="shared" si="999"/>
        <v/>
      </c>
      <c r="QF231" s="43" t="str">
        <f t="shared" si="1000"/>
        <v/>
      </c>
      <c r="QG231" s="43" t="str">
        <f t="shared" si="1001"/>
        <v/>
      </c>
      <c r="QH231" s="43" t="str">
        <f t="shared" si="1002"/>
        <v/>
      </c>
      <c r="QI231" s="43" t="str">
        <f t="shared" si="1003"/>
        <v/>
      </c>
      <c r="QJ231" s="43" t="str">
        <f t="shared" si="1004"/>
        <v/>
      </c>
      <c r="QK231" s="43" t="str">
        <f t="shared" si="1005"/>
        <v/>
      </c>
      <c r="QL231" s="43" t="str">
        <f t="shared" si="1006"/>
        <v/>
      </c>
      <c r="QM231" s="43" t="str">
        <f t="shared" si="1007"/>
        <v/>
      </c>
      <c r="QN231" s="43" t="str">
        <f t="shared" si="1008"/>
        <v/>
      </c>
      <c r="QO231" s="43" t="str">
        <f t="shared" si="1009"/>
        <v/>
      </c>
      <c r="QP231" s="43" t="str">
        <f t="shared" si="1010"/>
        <v/>
      </c>
      <c r="QQ231" s="43" t="str">
        <f t="shared" si="1011"/>
        <v/>
      </c>
      <c r="QR231" s="43">
        <f t="shared" si="1012"/>
        <v>14</v>
      </c>
      <c r="QS231" s="43"/>
      <c r="QT231" s="21" t="str">
        <f t="shared" si="1013"/>
        <v/>
      </c>
      <c r="QU231" s="21" t="str">
        <f t="shared" si="1014"/>
        <v/>
      </c>
      <c r="QV231" s="21" t="str">
        <f t="shared" si="1015"/>
        <v/>
      </c>
      <c r="QW231" s="21" t="str">
        <f t="shared" si="1016"/>
        <v/>
      </c>
      <c r="QX231" s="21" t="str">
        <f t="shared" si="1017"/>
        <v/>
      </c>
      <c r="QY231" s="21" t="str">
        <f t="shared" si="1018"/>
        <v/>
      </c>
      <c r="QZ231" s="21" t="str">
        <f t="shared" si="1019"/>
        <v/>
      </c>
      <c r="RA231" s="21" t="str">
        <f t="shared" si="1020"/>
        <v/>
      </c>
      <c r="RB231" s="21" t="str">
        <f t="shared" si="1021"/>
        <v/>
      </c>
      <c r="RC231" s="21" t="str">
        <f t="shared" si="1022"/>
        <v/>
      </c>
      <c r="RD231" s="21" t="str">
        <f t="shared" si="1023"/>
        <v/>
      </c>
      <c r="RE231" s="21" t="str">
        <f t="shared" si="1024"/>
        <v/>
      </c>
      <c r="RF231" s="21" t="str">
        <f t="shared" si="1025"/>
        <v/>
      </c>
      <c r="RG231" s="21" t="str">
        <f t="shared" si="1026"/>
        <v/>
      </c>
      <c r="RH231" s="21" t="str">
        <f t="shared" si="1027"/>
        <v/>
      </c>
      <c r="RI231" s="21" t="str">
        <f t="shared" si="1028"/>
        <v/>
      </c>
      <c r="RJ231" s="21" t="str">
        <f t="shared" si="1029"/>
        <v/>
      </c>
      <c r="RK231" s="21" t="str">
        <f t="shared" si="1030"/>
        <v/>
      </c>
      <c r="RL231" s="21" t="str">
        <f t="shared" si="1031"/>
        <v/>
      </c>
      <c r="RM231" s="21" t="str">
        <f t="shared" si="1032"/>
        <v/>
      </c>
      <c r="RN231" s="21" t="str">
        <f t="shared" si="1033"/>
        <v/>
      </c>
      <c r="RO231" s="21" t="str">
        <f t="shared" si="1034"/>
        <v/>
      </c>
      <c r="RP231" s="21" t="str">
        <f t="shared" si="1035"/>
        <v/>
      </c>
      <c r="RQ231" s="21" t="str">
        <f t="shared" si="1036"/>
        <v/>
      </c>
      <c r="RR231" s="21" t="str">
        <f t="shared" si="1037"/>
        <v/>
      </c>
      <c r="RS231" s="21" t="str">
        <f t="shared" si="1038"/>
        <v/>
      </c>
      <c r="RT231" s="21" t="str">
        <f t="shared" si="1039"/>
        <v/>
      </c>
      <c r="RU231" s="21" t="str">
        <f t="shared" si="1040"/>
        <v/>
      </c>
      <c r="RV231" s="21">
        <f t="shared" si="1041"/>
        <v>-1</v>
      </c>
      <c r="RW231" s="284">
        <f>IF(OR(Tabla1[[#This Row],[FUM FORMULA CONFIABLE]]="",Tabla1[[#This Row],[FUM FORMULA CONFIABLE]]="SD"),"",IF(Tabla1[[#This Row],[FUM FORMULA CONFIABLE]]="CORREGIDA",Tabla1[[#This Row],[FUM X ECO 1]],Tabla1[[#This Row],[FUM x AMENORREA]]))</f>
        <v>45048</v>
      </c>
      <c r="RX231" s="21">
        <f>IF(AND(Tabla1[[#This Row],[FUM X ECO 1]]="",Tabla1[[#This Row],[FUM x AMENORREA]]=""),"",IF(AND(Tabla1[[#This Row],[FUM X ECO 1]]="",Tabla1[[#This Row],[FUM x AMENORREA]]&lt;&gt;""),"X",SUM(Tabla1[[#This Row],[FUM X ECO 1]]-Tabla1[[#This Row],[FUM x AMENORREA]])))</f>
        <v>0.19999999999708962</v>
      </c>
      <c r="RY231" s="21">
        <f t="shared" si="1042"/>
        <v>0</v>
      </c>
    </row>
    <row r="232" spans="1:493" ht="45" customHeight="1" x14ac:dyDescent="0.25">
      <c r="A232" s="109"/>
      <c r="B232" s="43"/>
      <c r="C232" s="299" t="s">
        <v>845</v>
      </c>
      <c r="D232" s="124"/>
      <c r="E232" s="43" t="s">
        <v>980</v>
      </c>
      <c r="F232" s="43" t="s">
        <v>914</v>
      </c>
      <c r="G232" s="43" t="s">
        <v>1623</v>
      </c>
      <c r="H232" s="43"/>
      <c r="I232" s="109" t="s">
        <v>851</v>
      </c>
      <c r="J232" s="110">
        <v>1059596737</v>
      </c>
      <c r="K232" s="43" t="s">
        <v>904</v>
      </c>
      <c r="L232" s="175" t="s">
        <v>1509</v>
      </c>
      <c r="M232" s="22">
        <v>38879</v>
      </c>
      <c r="N232" s="213">
        <f t="shared" ca="1" si="841"/>
        <v>17.405479452054795</v>
      </c>
      <c r="O232" s="22">
        <v>45149</v>
      </c>
      <c r="P232" s="214" t="str">
        <f t="shared" si="919"/>
        <v>SI</v>
      </c>
      <c r="Q232" s="26" t="s">
        <v>855</v>
      </c>
      <c r="R232" s="22">
        <v>45149</v>
      </c>
      <c r="S232" s="21" t="s">
        <v>856</v>
      </c>
      <c r="T232" s="24" t="s">
        <v>690</v>
      </c>
      <c r="U232" s="21" t="s">
        <v>857</v>
      </c>
      <c r="V232" s="21" t="s">
        <v>858</v>
      </c>
      <c r="W232" s="21" t="s">
        <v>893</v>
      </c>
      <c r="X232" s="21" t="s">
        <v>893</v>
      </c>
      <c r="Y232" s="21" t="s">
        <v>859</v>
      </c>
      <c r="Z232" s="21">
        <v>3183752741</v>
      </c>
      <c r="AA232" s="21" t="s">
        <v>860</v>
      </c>
      <c r="AB232" s="27" t="s">
        <v>861</v>
      </c>
      <c r="AC232" s="26" t="s">
        <v>897</v>
      </c>
      <c r="AD232" s="38" t="s">
        <v>1546</v>
      </c>
      <c r="AE232" s="26" t="s">
        <v>854</v>
      </c>
      <c r="AF232" s="26" t="s">
        <v>854</v>
      </c>
      <c r="AG232" s="23" t="s">
        <v>864</v>
      </c>
      <c r="AH232" s="23" t="s">
        <v>864</v>
      </c>
      <c r="AI232" s="24" t="s">
        <v>863</v>
      </c>
      <c r="AJ232" s="23" t="s">
        <v>864</v>
      </c>
      <c r="AK232" s="220" t="str">
        <f>IF(AND(AD232="",AE232="",AF232="",AG232="",AH232="",AI232="",AJ232=""),"",IF(OR(Tabla1[[#This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EVALUACIÓN",IF(AND(O232="",R232=""),"",IF(AND(OR(O232&gt;0,R232&gt;0),NG232&gt;=0,NG232&lt;2),"SIN RIESGO",IF(AND(OR(O232&gt;0,R232&gt;0),NG232&gt;=2),"CON RIESGO","ASD")))))</f>
        <v>SIN RIESGO</v>
      </c>
      <c r="AL232" s="26" t="s">
        <v>864</v>
      </c>
      <c r="AM232" s="26" t="s">
        <v>864</v>
      </c>
      <c r="AN232" s="26" t="s">
        <v>864</v>
      </c>
      <c r="AO232" s="26" t="s">
        <v>864</v>
      </c>
      <c r="AP232" s="26" t="s">
        <v>864</v>
      </c>
      <c r="AQ232" s="26" t="s">
        <v>864</v>
      </c>
      <c r="AR232" s="26" t="s">
        <v>864</v>
      </c>
      <c r="AS232" s="21">
        <v>0</v>
      </c>
      <c r="AT232" s="21">
        <v>0</v>
      </c>
      <c r="AU232" s="21">
        <v>0</v>
      </c>
      <c r="AV232" s="26" t="s">
        <v>864</v>
      </c>
      <c r="AW232" s="21">
        <v>0</v>
      </c>
      <c r="AX232" s="26" t="s">
        <v>864</v>
      </c>
      <c r="AY232" s="26" t="s">
        <v>864</v>
      </c>
      <c r="AZ232" s="26" t="s">
        <v>864</v>
      </c>
      <c r="BA232" s="26" t="s">
        <v>864</v>
      </c>
      <c r="BB232" s="26" t="s">
        <v>864</v>
      </c>
      <c r="BC232" s="26" t="s">
        <v>864</v>
      </c>
      <c r="BD232" s="26" t="s">
        <v>864</v>
      </c>
      <c r="BE232" s="26" t="s">
        <v>864</v>
      </c>
      <c r="BF232" s="26" t="s">
        <v>864</v>
      </c>
      <c r="BG232" s="26" t="s">
        <v>864</v>
      </c>
      <c r="BH232" s="26" t="s">
        <v>864</v>
      </c>
      <c r="BI232" s="26" t="s">
        <v>864</v>
      </c>
      <c r="BJ232" s="26" t="s">
        <v>864</v>
      </c>
      <c r="BK232" s="26" t="s">
        <v>864</v>
      </c>
      <c r="BL232" s="26" t="s">
        <v>864</v>
      </c>
      <c r="BM232" s="26" t="s">
        <v>864</v>
      </c>
      <c r="BN232" s="22"/>
      <c r="BO232" s="22">
        <v>45025</v>
      </c>
      <c r="BP232" s="21" t="s">
        <v>1380</v>
      </c>
      <c r="BQ232" s="222">
        <f t="shared" si="842"/>
        <v>0</v>
      </c>
      <c r="BR232" s="223">
        <f t="shared" si="843"/>
        <v>45025.8</v>
      </c>
      <c r="BS232" s="224">
        <f t="shared" si="844"/>
        <v>17.599999999999586</v>
      </c>
      <c r="BT232" s="216" t="str">
        <f t="shared" si="845"/>
        <v>II TRIM</v>
      </c>
      <c r="BU232" s="214">
        <f t="shared" ca="1" si="928"/>
        <v>29.45714285714244</v>
      </c>
      <c r="BV232" s="25" t="s">
        <v>988</v>
      </c>
      <c r="BW232" s="22">
        <v>45149</v>
      </c>
      <c r="BX232" s="28">
        <v>17.600000000000001</v>
      </c>
      <c r="BY232" s="28"/>
      <c r="BZ232" s="22"/>
      <c r="CA232" s="21"/>
      <c r="CB232" s="26" t="s">
        <v>864</v>
      </c>
      <c r="CC232" s="26" t="s">
        <v>864</v>
      </c>
      <c r="CD232" s="26" t="s">
        <v>865</v>
      </c>
      <c r="CE232" s="26" t="s">
        <v>864</v>
      </c>
      <c r="CF232" s="22" t="s">
        <v>1517</v>
      </c>
      <c r="CG232" s="21">
        <v>1.48</v>
      </c>
      <c r="CH232" s="21">
        <v>59</v>
      </c>
      <c r="CI232" s="214">
        <f t="shared" si="847"/>
        <v>26.935719503287071</v>
      </c>
      <c r="CJ232" s="225" t="e">
        <f>IF(AND(CI232&lt;10,CH232="SD"),"SIN DATO PESO PREGESTACION O I TRIM",IF(AND(OR(R232&gt;0,O232&gt;0),CI232="X"),"INGRESAR DATO DE PESO",IF(CI232="SD","INGRESAR DATO DE TALLA Y PESO",IF(AND(OR(Tabla1[[#This Row],[MOMENTO EN QUE SE REALIZA EL PESO AL INGRESO A CPN]]="PREGESTACIÓN",NZ232="Menor"),CI232&lt;18.5),"BAJO PESO",IF(AND(OR(Tabla1[[#This Row],[MOMENTO EN QUE SE REALIZA EL PESO AL INGRESO A CPN]]="PREGESTACIÓN",NZ232="Menor"),CI232&lt;25),"NORMAL",IF(AND(OR(Tabla1[[#This Row],[MOMENTO EN QUE SE REALIZA EL PESO AL INGRESO A CPN]]="PREGESTACIÓN",NZ232="Menor"),CI232&lt;30),"SOBREPESO",IF(AND(OR(Tabla1[[#This Row],[MOMENTO EN QUE SE REALIZA EL PESO AL INGRESO A CPN]]="PREGESTACIÓN",NZ232="Menor"),CI232&gt;=30,CI232&lt;50),"OBESIDAD",IF(AND(BS232&gt;0,Tabla1[[#This Row],[MOMENTO EN QUE SE REALIZA EL PESO AL INGRESO A CPN]]="GESTACIÓN"),HLOOKUP(NZ232,$OA$2:PH232,NY232),""))))))))</f>
        <v>#REF!</v>
      </c>
      <c r="CK232" s="212">
        <f t="shared" si="848"/>
        <v>45149</v>
      </c>
      <c r="CL232" s="21">
        <v>59</v>
      </c>
      <c r="CM232" s="214">
        <f t="shared" si="849"/>
        <v>26.935719503287071</v>
      </c>
      <c r="CN232" s="216">
        <f t="shared" si="850"/>
        <v>17</v>
      </c>
      <c r="CO232" s="216" t="e">
        <f>IF(PI232="","",IF(PI232&gt;0,HLOOKUP(PI232,$PJ$2:QQ232,NY232),""))</f>
        <v>#REF!</v>
      </c>
      <c r="CP232" s="21"/>
      <c r="CQ232" s="216" t="e">
        <f>IF(QR232="Menor","NO APLICA-MENOR 13 SEM",IF(AND(CC232="SI",CN232&gt;23),"NO APLICA- GEMELAR",IF(QR232="","",IF(QR232&gt;0,HLOOKUP(QR232,$QS$2:RU232,NY232),""))))</f>
        <v>#REF!</v>
      </c>
      <c r="CR232" s="21"/>
      <c r="CS232" s="21"/>
      <c r="CT232" s="217" t="str">
        <f>IF(R232="","",IF(AND(BS232&gt;1,BS232&lt;12,Tabla1[[#This Row],[T.A. SISTOLICA - ANTES DE SEMANA 12]]="",Tabla1[[#This Row],[T.A. DIASTOLICA - ANTES DE SEMANA 12]]=""),"REGISTRE DATO TA ANTES SEMANA 12",IF(AND(BS232&gt;11,BS232&lt;43,Tabla1[[#This Row],[T.A. SISTOLICA - ANTES DE SEMANA 12]]="",Tabla1[[#This Row],[T.A. DIASTOLICA - ANTES DE SEMANA 12]]=""),"NO APLICA REGISTRO TA-INGRESO TARDIO",IF(AND(OR(O232&gt;0,R232&gt;0),OR(CR232&gt;=140,CS232&gt;=90)),"DEFINIR ESTADIO HTA",IF(AND(OR(O232&gt;0,R232&gt;0),AND(CR232&gt;120,CR232&lt;=139)),"PRE HTA SEGUIMIENTO",IF(AND(OR(O232&gt;0,R232&gt;0),AND(CS232&gt;80,CS232&lt;=89)),"PRE HTA SEGUIMIENTO",IF(AND(OR(O232&gt;0,R232&gt;0),AND(CR232&gt;=80,CR232&lt;=120)),"APARENTEMENTE NORMAL",IF(AND(OR(O232&gt;0,R232&gt;0),AND(CS232&gt;=50,CS232&lt;=80)),"APARENTEMENTE NORMAL",IF(AND(OR(O232&gt;0,R232&gt;0),AND(CR232&gt;1,CR232&lt;=70),AND(CS232&gt;1,CS232&lt;=40)),"HIPOTENSIÓN","")))))))))</f>
        <v>NO APLICA REGISTRO TA-INGRESO TARDIO</v>
      </c>
      <c r="CU232" s="21"/>
      <c r="CV232" s="21"/>
      <c r="CW232" s="217" t="str">
        <f ca="1">IF(R232="","",IF(AND(CN232&gt;19,CN232&lt;27,Tabla1[[#This Row],[T.A. SISTOLICA (Entre semana 20 y 26)]]="",Tabla1[[#This Row],[T.A. DIATOLICA (Entre semana 20 y 26)]]=""),"ACUDE A CONTROL SEM 20 A 26 REGISTRE TA AHORA",IF(AND(BS232&gt;1,BS232&lt;27,BU232&gt;19,Tabla1[[#This Row],[T.A. SISTOLICA (Entre semana 20 y 26)]]="",Tabla1[[#This Row],[T.A. DIATOLICA (Entre semana 20 y 26)]]=""),"COMPLETE REGISTRO TA CONTROL SEM 20 A26 ",IF(AND(BS232&gt;26,BS232&lt;43,Tabla1[[#This Row],[T.A. SISTOLICA (Entre semana 20 y 26)]]="",Tabla1[[#This Row],[T.A. DIATOLICA (Entre semana 20 y 26)]]=""),"NO APLICA REGISTRO TA-INGRESO TARDIO",IF(AND(OR(O232&gt;0,R232&gt;0),OR(CU232&gt;=140,CV232&gt;=90)),"ALTO RIESGO PREECLAMPSIA,DEFINIR ESTADIO HTA",IF(AND(OR(O232&gt;0,R232&gt;0),AND(CU232&gt;120,CU232&lt;=139)),"PRE HTA SEGUIMIENTO,RIESGO HIPERTENSION INDUCIDA POR EL EMBARAZO",IF(AND(OR(O232&gt;0,R232&gt;0),AND(CV232&gt;80,CV232&lt;=89)),"PRE HTA SEGUIMIENTO, RIESGO HIPERTENSION INDUCIDA POR EL EMBARAZO",IF(AND(OR(O232&lt;&gt;"",R232&lt;&gt;""),CS232&lt;&gt;"",CV232&lt;&gt;"",CS232&lt;=CV232),"VIGILAR CIFRAS PRESION ARTERIAL",IF(AND(OR(O232&gt;0,R232&gt;0),AND(CU232&gt;120,CU232&lt;=139)),"PRE HTA SEGUIMIENTO",IF(AND(OR(O232&gt;0,R232&gt;0),AND(CU232&gt;1,CU232&lt;=70),AND(CV232&gt;1,CV232&lt;=40)),"HIPOTENSIÓN",IF(AND(OR(O232&lt;&gt;"",R232&lt;&gt;""),CS232&lt;&gt;"",CV232&lt;&gt;"",CS232&gt;CV232),"APARENTEMENTE NORMAL",IF(AND(OR(O232&gt;0,R232&gt;0),AND(CU232&gt;=80,CU232&lt;=120)),"APARENTEMENTE NORMAL",IF(AND(OR(O232&gt;0,R232&gt;0),AND(CV232&gt;=50,CV232&lt;=80)),"APARENTEMENTE NORMAL","")))))))))))))</f>
        <v xml:space="preserve">COMPLETE REGISTRO TA CONTROL SEM 20 A26 </v>
      </c>
      <c r="CX232" s="21"/>
      <c r="CY232" s="21"/>
      <c r="CZ232" s="216" t="str">
        <f t="shared" si="1045"/>
        <v/>
      </c>
      <c r="DA232" s="21">
        <v>90</v>
      </c>
      <c r="DB232" s="21">
        <v>60</v>
      </c>
      <c r="DC232" s="217" t="str">
        <f t="shared" si="851"/>
        <v>APARENTEMENTE NORMAL</v>
      </c>
      <c r="DD232" s="22">
        <v>45149</v>
      </c>
      <c r="DE232" s="22">
        <v>45149</v>
      </c>
      <c r="DF232" s="22"/>
      <c r="DG232" s="22"/>
      <c r="DH232" s="22"/>
      <c r="DI232" s="22"/>
      <c r="DJ232" s="22"/>
      <c r="DK232" s="22"/>
      <c r="DL232" s="22"/>
      <c r="DM232" s="22"/>
      <c r="DN232" s="22"/>
      <c r="DO232" s="22"/>
      <c r="DP232" s="22"/>
      <c r="DQ232" s="22"/>
      <c r="DR232" s="28"/>
      <c r="DS232" s="22"/>
      <c r="DT232" s="22"/>
      <c r="DU232" s="216" t="str">
        <f t="shared" ca="1" si="920"/>
        <v>PLANEAR PLAN DE PARTO</v>
      </c>
      <c r="DV232" s="226" t="str">
        <f t="shared" si="921"/>
        <v>ACTIVA INGRESO A CPN</v>
      </c>
      <c r="DW232"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32" s="216" t="e">
        <f t="shared" ca="1" si="852"/>
        <v>#REF!</v>
      </c>
      <c r="DY232" s="212">
        <f>IF(R232="","",IF(R232&gt;0,MAX(Tabla1[[#This Row],[FECHA C2]:[FECHA C13]],Tabla1[[#This Row],[FECHA CONSULTA PRIMERA VEZ PROGRAMA CPN ]])))</f>
        <v>45149</v>
      </c>
      <c r="DZ232" s="216">
        <f t="shared" si="853"/>
        <v>17</v>
      </c>
      <c r="EA232" s="222">
        <f>IF(R232&gt;0,SUM(COUNTA(DF232:DQ232)+COUNTA(Tabla1[[#This Row],[FECHA CONSULTA PRIMERA VEZ PROGRAMA CPN ]])),"")</f>
        <v>1</v>
      </c>
      <c r="EB232" s="222" t="str">
        <f t="shared" si="854"/>
        <v>NO</v>
      </c>
      <c r="EC232" s="214">
        <f t="shared" si="855"/>
        <v>7</v>
      </c>
      <c r="ED232" s="227">
        <f t="shared" si="856"/>
        <v>0.14285714285714285</v>
      </c>
      <c r="EE232" s="22">
        <v>45149</v>
      </c>
      <c r="EF232" s="22">
        <v>45149</v>
      </c>
      <c r="EG232" s="22">
        <v>45149</v>
      </c>
      <c r="EH232" s="22"/>
      <c r="EI232" s="22">
        <v>45149</v>
      </c>
      <c r="EJ232" s="22"/>
      <c r="EK232" s="22"/>
      <c r="EL232" s="21"/>
      <c r="EM232" s="21"/>
      <c r="EN232" s="22"/>
      <c r="EO232" s="222" t="str">
        <f t="shared" si="857"/>
        <v>TOMAR EXAMEN</v>
      </c>
      <c r="EP232" s="214" t="str">
        <f t="shared" si="858"/>
        <v/>
      </c>
      <c r="EQ232" s="216" t="str">
        <f t="shared" si="859"/>
        <v>POR DEFINIR</v>
      </c>
      <c r="ER232" s="24"/>
      <c r="ES232" s="22"/>
      <c r="ET232" s="29" t="str">
        <f t="shared" ca="1" si="922"/>
        <v>EN SEMANA 28 TOMA INMEDIATA DE EXAMEN</v>
      </c>
      <c r="EU232" s="25" t="str">
        <f t="shared" si="860"/>
        <v/>
      </c>
      <c r="EV232" s="24"/>
      <c r="EW232" s="24"/>
      <c r="EX232" s="22"/>
      <c r="EY232" s="29" t="str">
        <f t="shared" si="1043"/>
        <v>TOMAR EXAMEN</v>
      </c>
      <c r="EZ232" s="25" t="str">
        <f t="shared" ca="1" si="1044"/>
        <v/>
      </c>
      <c r="FA232" s="21"/>
      <c r="FB232" s="22"/>
      <c r="FC232" s="29" t="str">
        <f t="shared" si="861"/>
        <v>TOMAR EXAMEN</v>
      </c>
      <c r="FD232" s="29"/>
      <c r="FE232" s="29"/>
      <c r="FF232" s="29"/>
      <c r="FG232" s="21" t="str">
        <f t="shared" ca="1" si="862"/>
        <v>TOMAR PTOG</v>
      </c>
      <c r="FH232" s="31"/>
      <c r="FI232" s="29" t="str">
        <f t="shared" si="863"/>
        <v>TOMAR EXAMEN</v>
      </c>
      <c r="FJ232" s="22"/>
      <c r="FK232" s="22"/>
      <c r="FL232" s="29" t="str">
        <f t="shared" ca="1" si="864"/>
        <v>NO APLICA-INGRESO TARDIO</v>
      </c>
      <c r="FM232" s="22"/>
      <c r="FN232" s="32"/>
      <c r="FO232" s="29" t="str">
        <f t="shared" ca="1" si="923"/>
        <v>PIERDE TOMA DE TAMIZAJE</v>
      </c>
      <c r="FP232" s="22"/>
      <c r="FQ232" s="32"/>
      <c r="FR232" s="29" t="str">
        <f t="shared" ca="1" si="924"/>
        <v>EN RANGO PARA TOMAR EXAMEN</v>
      </c>
      <c r="FS232" s="22"/>
      <c r="FT232" s="32"/>
      <c r="FU232" s="29" t="str">
        <f>IF(AND(FJ232="",FM232="",FP232="",FS232=""),"",IF(OR(OR(Tabla1[[#This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32" s="28"/>
      <c r="FW232" s="22"/>
      <c r="FX232" s="29" t="str">
        <f t="shared" si="865"/>
        <v>TOMAR EXAMEN</v>
      </c>
      <c r="FY232" s="22"/>
      <c r="FZ232" s="22"/>
      <c r="GA232" s="29" t="str">
        <f t="shared" ca="1" si="939"/>
        <v>NO APLICA-INGRESO TARDIO</v>
      </c>
      <c r="GB232" s="22"/>
      <c r="GC232" s="22"/>
      <c r="GD232" s="29" t="str">
        <f t="shared" ca="1" si="1048"/>
        <v>PIERDE TOMA DE TAMIZAJE</v>
      </c>
      <c r="GE232" s="22"/>
      <c r="GF232" s="22"/>
      <c r="GG232" s="29" t="str">
        <f t="shared" ca="1" si="926"/>
        <v>EN RANGO PARA TOMAR EXAMEN</v>
      </c>
      <c r="GH232" s="22"/>
      <c r="GI232" s="29"/>
      <c r="GJ232" s="22"/>
      <c r="GK232" s="22"/>
      <c r="GL232" s="22"/>
      <c r="GM232" s="22"/>
      <c r="GN232" s="28"/>
      <c r="GO232" s="22"/>
      <c r="GP232" s="29" t="str">
        <f t="shared" si="866"/>
        <v>TOMAR EXAMEN</v>
      </c>
      <c r="GQ232" s="28"/>
      <c r="GR232" s="28"/>
      <c r="GS232" s="22" t="str">
        <f t="shared" si="1047"/>
        <v/>
      </c>
      <c r="GT232" s="22"/>
      <c r="GU232" s="29" t="str">
        <f t="shared" si="867"/>
        <v>TOMAR EXAMEN</v>
      </c>
      <c r="GV232" s="21" t="str">
        <f t="shared" si="868"/>
        <v>POR DEFINIR</v>
      </c>
      <c r="GW232" s="28"/>
      <c r="GX232" s="30"/>
      <c r="GY232" s="21"/>
      <c r="GZ232" s="21"/>
      <c r="HA232" s="21"/>
      <c r="HB232" s="21"/>
      <c r="HC232" s="21"/>
      <c r="HD232" s="21"/>
      <c r="HE232" s="21"/>
      <c r="HF232" s="22"/>
      <c r="HG232" s="22" t="str">
        <f>IF(OR(O232&gt;0,R232&gt;0),CONCATENATE(IF(Tabla1[[#This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32" s="22" t="e">
        <f t="shared" si="869"/>
        <v>#REF!</v>
      </c>
      <c r="HI232" s="22" t="e">
        <f t="shared" ca="1" si="870"/>
        <v>#REF!</v>
      </c>
      <c r="HJ232" s="21" t="str">
        <f t="shared" ca="1" si="871"/>
        <v>**********************MULTIPARIDAD*****************</v>
      </c>
      <c r="HK232" s="21" t="str">
        <f t="shared" si="872"/>
        <v>SIN ANTECEDENTES DE RIESGO</v>
      </c>
      <c r="HL232" s="24" t="str">
        <f t="shared" si="873"/>
        <v>APARENTEMENTE NORMAL</v>
      </c>
      <c r="HM232" s="21" t="e">
        <f t="shared" ca="1" si="874"/>
        <v>#REF!</v>
      </c>
      <c r="HN232" s="30" t="str">
        <f t="shared" si="927"/>
        <v>ACTIVA INGRESO A CPN</v>
      </c>
      <c r="HO232" s="21"/>
      <c r="HP232" s="21"/>
      <c r="HQ232" s="349"/>
      <c r="HR232" s="21" t="str">
        <f>IF(R232="","",IF(Tabla1[[#This Row],[ALARMA FACTORES DE RIESGO COMPLICACIONES HIPERTENSIVAS3]]="SIN ANTECEDENTES DE RIESGO","No Aplica para suministro de ASA",IF(AND(Tabla1[[#This Row],[FECHA INICIO DE SUMINISTRO DE ASA]]&gt;0,RV232&lt;12),"Inicia ASA ANTES de Sem 12",IF(AND(RV232&gt;11,RV232&lt;17,OR(HK232="RIESGO ALTO DE COMPLICACIONES HIPERTENSIVAS VER MANEJO GUIA SUMINISTRO ASA Y CALCIO",HK232="RIESGO MODERADO (2 O MAS CRITERIOS) VER MANEJO GUIA SUMINISTRO ASA Y CALCIO")),"Inicio oportuno de ASA",IF(AND(RV232&gt;12,OR(HK232="RIESGO ALTO DE COMPLICACIONES HIPERTENSIVAS VER MANEJO GUIA SUMINISTRO ASA Y CALCIO",HK232="RIESGO MODERADO (2 O MAS CRITERIOS) VER MANEJO GUIA SUMINISTRO ASA Y CALCIO")),"Inicio no oportuno mayor a 16 semanas",IF(AND(BU232&lt;12,OR(HK232="RIESGO ALTO DE COMPLICACIONES HIPERTENSIVAS VER MANEJO GUIA SUMINISTRO ASA Y CALCIO",HK232="RIESGO MODERADO (2 O MAS CRITERIOS) VER MANEJO GUIA SUMINISTRO ASA Y CALCIO")),"Pendiente Inicio de ASA a la semana 12",IF(AND(BU232&gt;11,BU232&lt;17,OR(HK232="RIESGO ALTO DE COMPLICACIONES HIPERTENSIVAS VER MANEJO GUIA SUMINISTRO ASA Y CALCIO",HK232="RIESGO MODERADO (2 O MAS CRITERIOS) VER MANEJO GUIA SUMINISTRO ASA Y CALCIO")),"Iniciar de inmediato ASA",IF(AND(BU232&gt;16,OR(HK232="RIESGO ALTO DE COMPLICACIONES HIPERTENSIVAS VER MANEJO GUIA SUMINISTRO ASA Y CALCIO",HK232="RIESGO MODERADO (2 O MAS CRITERIOS) VER MANEJO GUIA SUMINISTRO ASA Y CALCIO")),"Pierde Oportunidad, Inicio tardío de ASA","XXXXX"))))))))</f>
        <v>No Aplica para suministro de ASA</v>
      </c>
      <c r="HS232" s="22">
        <v>45149</v>
      </c>
      <c r="HT232" s="22" t="s">
        <v>1518</v>
      </c>
      <c r="HU232" s="22"/>
      <c r="HV232" s="22"/>
      <c r="HW232" s="22">
        <v>45149</v>
      </c>
      <c r="HX232" s="22" t="s">
        <v>1511</v>
      </c>
      <c r="HY232" s="340">
        <v>45149</v>
      </c>
      <c r="HZ232" s="28">
        <f t="shared" si="875"/>
        <v>17.599999999999586</v>
      </c>
      <c r="IA232" s="26"/>
      <c r="IB232" s="26"/>
      <c r="IC232" s="111"/>
      <c r="ID232" s="22"/>
      <c r="IE232" s="22" t="str">
        <f t="shared" ca="1" si="876"/>
        <v>INASISTENTE</v>
      </c>
      <c r="IF232" s="22"/>
      <c r="IG232" s="22">
        <f t="shared" si="877"/>
        <v>45305.8</v>
      </c>
      <c r="IH232" s="29">
        <f t="shared" ca="1" si="878"/>
        <v>73.80000000000291</v>
      </c>
      <c r="II232" s="22" t="str">
        <f t="shared" ca="1" si="879"/>
        <v>PENDIENTE</v>
      </c>
      <c r="IJ232" s="22"/>
      <c r="IK232" s="21"/>
      <c r="IL232" s="21"/>
      <c r="IM232" s="34"/>
      <c r="IN232" s="22"/>
      <c r="IO232" s="21"/>
      <c r="IP232" s="29" t="str">
        <f t="shared" si="880"/>
        <v/>
      </c>
      <c r="IQ232" s="35"/>
      <c r="IR232" s="21"/>
      <c r="IS232" s="21"/>
      <c r="IT232" s="21"/>
      <c r="IU232" s="21"/>
      <c r="IV232" s="21"/>
      <c r="IW232" s="21"/>
      <c r="IX232" s="21"/>
      <c r="IY232" s="21"/>
      <c r="IZ232" s="21"/>
      <c r="JA232" s="21"/>
      <c r="JB232" s="30"/>
      <c r="JC232" s="21"/>
      <c r="JD232" s="36"/>
      <c r="JE232" s="21" t="str">
        <f t="shared" si="881"/>
        <v/>
      </c>
      <c r="JF232" s="30"/>
      <c r="JG232" s="21"/>
      <c r="JH232" s="21"/>
      <c r="JI232" s="21"/>
      <c r="JJ232" s="30"/>
      <c r="JK232" s="22"/>
      <c r="JL232" s="22"/>
      <c r="JM232" s="21"/>
      <c r="JN232" s="36"/>
      <c r="JO232" s="21" t="str">
        <f t="shared" si="882"/>
        <v/>
      </c>
      <c r="JP232" s="22"/>
      <c r="JQ232" s="21"/>
      <c r="JR232" s="21"/>
      <c r="JS232" s="21"/>
      <c r="JT232" s="30"/>
      <c r="JU232" s="22"/>
      <c r="JV232" s="22"/>
      <c r="JW232" s="33"/>
      <c r="JX232" s="28" t="str">
        <f t="shared" si="883"/>
        <v/>
      </c>
      <c r="JY232" s="33"/>
      <c r="JZ232" s="28" t="str">
        <f t="shared" si="884"/>
        <v/>
      </c>
      <c r="KA232" s="21"/>
      <c r="KB232" s="21"/>
      <c r="KC232" s="21"/>
      <c r="KD232" s="37"/>
      <c r="KE232" s="28"/>
      <c r="KF232" s="28"/>
      <c r="KG232" s="28"/>
      <c r="KH232" s="39"/>
      <c r="KI232" s="39"/>
      <c r="KJ232" s="66"/>
      <c r="KK232" s="39"/>
      <c r="KL232" s="39"/>
      <c r="KM232" s="66"/>
      <c r="KN232" s="39"/>
      <c r="KO232" s="39"/>
      <c r="KP232" s="39"/>
      <c r="KQ232" s="39"/>
      <c r="KR232" s="39"/>
      <c r="KS232" s="39"/>
      <c r="KT232" s="39"/>
      <c r="KU232" s="38"/>
      <c r="KV232" s="38"/>
      <c r="KW232" s="38"/>
      <c r="KX232" s="38"/>
      <c r="KY232" s="38"/>
      <c r="KZ232" s="38"/>
      <c r="LA232" s="38"/>
      <c r="LB232" s="38"/>
      <c r="LC232" s="38"/>
      <c r="LD232" s="38"/>
      <c r="LE232" s="38"/>
      <c r="LF232" s="38"/>
      <c r="LG232" s="38"/>
      <c r="LH232" s="38"/>
      <c r="LI232" s="38"/>
      <c r="LJ232" s="38"/>
      <c r="LK232" s="38"/>
      <c r="LL232" s="38"/>
      <c r="LM232" s="38"/>
      <c r="LN232" s="38"/>
      <c r="LO232" s="38"/>
      <c r="LP232" s="38"/>
      <c r="LQ232" s="38"/>
      <c r="LR232" s="38"/>
      <c r="LS232" s="38"/>
      <c r="LT232" s="38"/>
      <c r="LU232" s="38"/>
      <c r="LV232" s="38"/>
      <c r="LW232" s="38"/>
      <c r="LX232" s="38"/>
      <c r="LY232" s="38"/>
      <c r="LZ232" s="38"/>
      <c r="MA232" s="38"/>
      <c r="MB232" s="38"/>
      <c r="MC232" s="38"/>
      <c r="MD232" s="38"/>
      <c r="ME232" s="38"/>
      <c r="MF232" s="38"/>
      <c r="MG232" s="38"/>
      <c r="MH232" s="43">
        <f t="shared" si="885"/>
        <v>0</v>
      </c>
      <c r="MI232" s="43" t="str">
        <f t="shared" si="929"/>
        <v/>
      </c>
      <c r="MJ232" s="43" t="str">
        <f t="shared" si="887"/>
        <v/>
      </c>
      <c r="MK232" s="43">
        <f t="shared" si="888"/>
        <v>0</v>
      </c>
      <c r="ML23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32" s="43">
        <f t="shared" si="930"/>
        <v>17.599999999999586</v>
      </c>
      <c r="MN232" s="43">
        <f t="shared" si="931"/>
        <v>8</v>
      </c>
      <c r="MO232" s="43">
        <f t="shared" si="932"/>
        <v>2023</v>
      </c>
      <c r="MP232" s="43" t="str">
        <f t="shared" si="892"/>
        <v>III TRIMESTRE AÑO</v>
      </c>
      <c r="MQ232" s="43">
        <f t="shared" si="933"/>
        <v>16.918528252299605</v>
      </c>
      <c r="MR232" s="43">
        <f t="shared" si="894"/>
        <v>0</v>
      </c>
      <c r="MS232" s="43" t="str">
        <f t="shared" si="895"/>
        <v>DE 14 A 19AÑOS</v>
      </c>
      <c r="MT232" s="43">
        <f t="shared" si="896"/>
        <v>0</v>
      </c>
      <c r="MU232" s="43">
        <f t="shared" si="897"/>
        <v>1</v>
      </c>
      <c r="MV232" s="43">
        <f t="shared" si="898"/>
        <v>0</v>
      </c>
      <c r="MW232" s="43">
        <f t="shared" si="899"/>
        <v>0</v>
      </c>
      <c r="MX232" s="43" t="str">
        <f t="shared" si="900"/>
        <v/>
      </c>
      <c r="MY232" s="43" t="str">
        <f t="shared" ca="1" si="901"/>
        <v/>
      </c>
      <c r="MZ232" s="43" t="str">
        <f t="shared" si="902"/>
        <v/>
      </c>
      <c r="NA232" s="43">
        <f t="shared" si="903"/>
        <v>0</v>
      </c>
      <c r="NB232" s="43" t="str">
        <f t="shared" si="904"/>
        <v/>
      </c>
      <c r="NC232" s="43" t="str">
        <f t="shared" si="905"/>
        <v/>
      </c>
      <c r="ND232" s="43">
        <f t="shared" ca="1" si="934"/>
        <v>1</v>
      </c>
      <c r="NE232" s="43">
        <f>IF(OR(O232&gt;0,R232&gt;0),SUM(COUNTIF(Tabla1[[#This Row],[AÑOS AL INICIO5 CPN]],"&gt;=40"),COUNTIF(AS232,"0"),COUNTIF(AR232,"SI"),COUNTIF(CC232,"SI"),COUNTIF(BQ232,"&gt;119"),COUNTIF(CI232,"&gt;=35")),"")</f>
        <v>1</v>
      </c>
      <c r="NF232" s="43" t="str">
        <f t="shared" si="935"/>
        <v/>
      </c>
      <c r="NG232" s="43">
        <f t="shared" si="908"/>
        <v>0</v>
      </c>
      <c r="NH232" s="43">
        <f t="shared" si="909"/>
        <v>123.20000000000002</v>
      </c>
      <c r="NI23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CPN",P232="NO"),"Z",IF(AND(Tabla1[[#This Row],[CITA PROXIMO CONTROL]]="CITA MANUAL",Tabla1[[#This Row],[GESTANTES ACTUALES]]="ACTIVA INGRESO A CPN"),"W",IF(AND(Tabla1[[#This Row],[GESTANTES ACTUALES]]="SALIO PROGRAMA",IN232=""),"S",IF(AND(Tabla1[[#This Row],[CITA PROXIMO CONTROL]]&gt;0,IN232=""),(Tabla1[[#This Row],[CITA PROXIMO CONTROL]]-TODAY()),"SD"))))))))</f>
        <v>#REF!</v>
      </c>
      <c r="NJ232" s="43">
        <f>MONTH(Tabla1[[#This Row],[FECHA DE SALIDA  DEL PROGRAMA]])</f>
        <v>1</v>
      </c>
      <c r="NK232" s="43">
        <f>YEAR(Tabla1[[#This Row],[FECHA DE SALIDA  DEL PROGRAMA]])</f>
        <v>1900</v>
      </c>
      <c r="NL232" s="43" t="str">
        <f t="shared" si="936"/>
        <v>X</v>
      </c>
      <c r="NM232" s="43" t="str">
        <f t="shared" si="941"/>
        <v>NO</v>
      </c>
      <c r="NN232" s="43" t="str">
        <f ca="1">IF(AND(O232&gt;0,R232=""),"NO CPN",IF(AND(O232="",R232=""),"",IF(AND(R232&gt;0,Tabla1[[#This Row],[SEMANAS DE GESTACION ACTUALIZADAS]]&lt;=12),"NO APLICA",IF(AND(FH232&lt;&gt;"",FN232&lt;&gt;""),"SI","NO"))))</f>
        <v>NO</v>
      </c>
      <c r="NO232" s="43" t="str">
        <f ca="1">IF(AND(O232&gt;0,R232=""),"NO CPN",IF(AND(O232="",R232=""),"",IF(AND(R232&gt;0,Tabla1[[#This Row],[SEMANAS DE GESTACION ACTUALIZADAS]]&lt;=27),"NO APLICA",IF(AND(ES232&lt;&gt;"",FQ232&lt;&gt;"",GF232&lt;&gt;""),"SI","NO"))))</f>
        <v>NO</v>
      </c>
      <c r="NP232" s="204" t="str">
        <f t="shared" si="912"/>
        <v>II TRIM</v>
      </c>
      <c r="NQ232" s="21" t="str">
        <f t="shared" si="1046"/>
        <v/>
      </c>
      <c r="NR232" s="21">
        <f t="shared" ca="1" si="937"/>
        <v>2</v>
      </c>
      <c r="NS232" s="205">
        <f t="shared" ca="1" si="914"/>
        <v>0</v>
      </c>
      <c r="NT232" s="21">
        <f t="shared" ca="1" si="915"/>
        <v>0</v>
      </c>
      <c r="NU232" s="21" t="str">
        <f t="shared" ca="1" si="916"/>
        <v>INCOMPLETO</v>
      </c>
      <c r="NV232" s="21" t="str">
        <f t="shared" ca="1" si="917"/>
        <v>INCOMPLETO</v>
      </c>
      <c r="NW232" s="206" t="str">
        <f>IF(AND(O232="",R232=""),"",IF(OR(AND(Tabla1[[#This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32" s="207" t="str">
        <f t="shared" ca="1" si="938"/>
        <v>SIN VACUNAR</v>
      </c>
      <c r="NY232" s="43">
        <f>ROW(Tabla1[[#This Row],['# DE TAMIZAJES SIFILIS TOMADOS ]])</f>
        <v>232</v>
      </c>
      <c r="NZ232" s="43">
        <f t="shared" si="942"/>
        <v>17</v>
      </c>
      <c r="OA232" s="43" t="str">
        <f t="shared" si="943"/>
        <v/>
      </c>
      <c r="OB232" s="43" t="str">
        <f t="shared" si="944"/>
        <v/>
      </c>
      <c r="OC232" s="43" t="str">
        <f t="shared" si="945"/>
        <v/>
      </c>
      <c r="OD232" s="43" t="str">
        <f t="shared" si="946"/>
        <v/>
      </c>
      <c r="OE232" s="43" t="str">
        <f t="shared" si="947"/>
        <v/>
      </c>
      <c r="OF232" s="43" t="str">
        <f t="shared" si="948"/>
        <v/>
      </c>
      <c r="OG232" s="43" t="str">
        <f t="shared" si="949"/>
        <v/>
      </c>
      <c r="OH232" s="43" t="str">
        <f t="shared" si="950"/>
        <v/>
      </c>
      <c r="OI232" s="43" t="str">
        <f t="shared" si="951"/>
        <v>SOBREPESO</v>
      </c>
      <c r="OJ232" s="43" t="str">
        <f t="shared" si="952"/>
        <v/>
      </c>
      <c r="OK232" s="43" t="str">
        <f t="shared" si="953"/>
        <v/>
      </c>
      <c r="OL232" s="43" t="str">
        <f t="shared" si="954"/>
        <v/>
      </c>
      <c r="OM232" s="43" t="str">
        <f t="shared" si="955"/>
        <v/>
      </c>
      <c r="ON232" s="43" t="str">
        <f t="shared" si="956"/>
        <v/>
      </c>
      <c r="OO232" s="43" t="str">
        <f t="shared" si="957"/>
        <v/>
      </c>
      <c r="OP232" s="43" t="str">
        <f t="shared" si="958"/>
        <v/>
      </c>
      <c r="OQ232" s="43" t="str">
        <f t="shared" si="959"/>
        <v/>
      </c>
      <c r="OR232" s="43" t="str">
        <f t="shared" si="960"/>
        <v/>
      </c>
      <c r="OS232" s="43" t="str">
        <f t="shared" si="961"/>
        <v/>
      </c>
      <c r="OT232" s="43" t="str">
        <f t="shared" si="962"/>
        <v/>
      </c>
      <c r="OU232" s="43" t="str">
        <f t="shared" si="963"/>
        <v/>
      </c>
      <c r="OV232" s="110" t="str">
        <f t="shared" si="964"/>
        <v/>
      </c>
      <c r="OW232" s="43" t="str">
        <f t="shared" si="965"/>
        <v/>
      </c>
      <c r="OX232" s="43" t="str">
        <f t="shared" si="966"/>
        <v/>
      </c>
      <c r="OY232" s="43" t="str">
        <f t="shared" si="967"/>
        <v/>
      </c>
      <c r="OZ232" s="43" t="str">
        <f t="shared" si="968"/>
        <v/>
      </c>
      <c r="PA232" s="43" t="str">
        <f t="shared" si="969"/>
        <v/>
      </c>
      <c r="PB232" s="43" t="str">
        <f t="shared" si="970"/>
        <v/>
      </c>
      <c r="PC232" s="43" t="str">
        <f t="shared" si="971"/>
        <v/>
      </c>
      <c r="PD232" s="43" t="str">
        <f t="shared" si="972"/>
        <v/>
      </c>
      <c r="PE232" s="43" t="str">
        <f t="shared" si="973"/>
        <v/>
      </c>
      <c r="PF232" s="43" t="str">
        <f t="shared" si="974"/>
        <v/>
      </c>
      <c r="PG232" s="43" t="str">
        <f t="shared" si="975"/>
        <v/>
      </c>
      <c r="PH232" s="43" t="str">
        <f t="shared" si="976"/>
        <v/>
      </c>
      <c r="PI232" s="43">
        <f t="shared" si="977"/>
        <v>17</v>
      </c>
      <c r="PJ232" s="43" t="str">
        <f t="shared" si="978"/>
        <v/>
      </c>
      <c r="PK232" s="43" t="str">
        <f t="shared" si="979"/>
        <v/>
      </c>
      <c r="PL232" s="43" t="str">
        <f t="shared" si="980"/>
        <v/>
      </c>
      <c r="PM232" s="43" t="str">
        <f t="shared" si="981"/>
        <v/>
      </c>
      <c r="PN232" s="43" t="str">
        <f t="shared" si="982"/>
        <v/>
      </c>
      <c r="PO232" s="43" t="str">
        <f t="shared" si="983"/>
        <v/>
      </c>
      <c r="PP232" s="43" t="str">
        <f t="shared" si="984"/>
        <v/>
      </c>
      <c r="PQ232" s="43" t="str">
        <f t="shared" si="985"/>
        <v/>
      </c>
      <c r="PR232" s="43" t="str">
        <f t="shared" si="986"/>
        <v>SOBREPESO</v>
      </c>
      <c r="PS232" s="43" t="str">
        <f t="shared" si="987"/>
        <v/>
      </c>
      <c r="PT232" s="43" t="str">
        <f t="shared" si="988"/>
        <v/>
      </c>
      <c r="PU232" s="43" t="str">
        <f t="shared" si="989"/>
        <v/>
      </c>
      <c r="PV232" s="43" t="str">
        <f t="shared" si="990"/>
        <v/>
      </c>
      <c r="PW232" s="43" t="str">
        <f t="shared" si="991"/>
        <v/>
      </c>
      <c r="PX232" s="43" t="str">
        <f t="shared" si="992"/>
        <v/>
      </c>
      <c r="PY232" s="43" t="str">
        <f t="shared" si="993"/>
        <v/>
      </c>
      <c r="PZ232" s="43" t="str">
        <f t="shared" si="994"/>
        <v/>
      </c>
      <c r="QA232" s="43" t="str">
        <f t="shared" si="995"/>
        <v/>
      </c>
      <c r="QB232" s="43" t="str">
        <f t="shared" si="996"/>
        <v/>
      </c>
      <c r="QC232" s="43" t="str">
        <f t="shared" si="997"/>
        <v/>
      </c>
      <c r="QD232" s="43" t="str">
        <f t="shared" si="998"/>
        <v/>
      </c>
      <c r="QE232" s="43" t="str">
        <f t="shared" si="999"/>
        <v/>
      </c>
      <c r="QF232" s="43" t="str">
        <f t="shared" si="1000"/>
        <v/>
      </c>
      <c r="QG232" s="43" t="str">
        <f t="shared" si="1001"/>
        <v/>
      </c>
      <c r="QH232" s="43" t="str">
        <f t="shared" si="1002"/>
        <v/>
      </c>
      <c r="QI232" s="43" t="str">
        <f t="shared" si="1003"/>
        <v/>
      </c>
      <c r="QJ232" s="43" t="str">
        <f t="shared" si="1004"/>
        <v/>
      </c>
      <c r="QK232" s="43" t="str">
        <f t="shared" si="1005"/>
        <v/>
      </c>
      <c r="QL232" s="43" t="str">
        <f t="shared" si="1006"/>
        <v/>
      </c>
      <c r="QM232" s="43" t="str">
        <f t="shared" si="1007"/>
        <v/>
      </c>
      <c r="QN232" s="43" t="str">
        <f t="shared" si="1008"/>
        <v/>
      </c>
      <c r="QO232" s="43" t="str">
        <f t="shared" si="1009"/>
        <v/>
      </c>
      <c r="QP232" s="43" t="str">
        <f t="shared" si="1010"/>
        <v/>
      </c>
      <c r="QQ232" s="43" t="str">
        <f t="shared" si="1011"/>
        <v/>
      </c>
      <c r="QR232" s="43">
        <f t="shared" si="1012"/>
        <v>17</v>
      </c>
      <c r="QS232" s="43"/>
      <c r="QT232" s="21" t="str">
        <f t="shared" si="1013"/>
        <v/>
      </c>
      <c r="QU232" s="21" t="str">
        <f t="shared" si="1014"/>
        <v/>
      </c>
      <c r="QV232" s="21" t="str">
        <f t="shared" si="1015"/>
        <v/>
      </c>
      <c r="QW232" s="21" t="str">
        <f t="shared" si="1016"/>
        <v/>
      </c>
      <c r="QX232" s="21" t="str">
        <f t="shared" si="1017"/>
        <v/>
      </c>
      <c r="QY232" s="21" t="str">
        <f t="shared" si="1018"/>
        <v/>
      </c>
      <c r="QZ232" s="21" t="str">
        <f t="shared" si="1019"/>
        <v/>
      </c>
      <c r="RA232" s="21" t="str">
        <f t="shared" si="1020"/>
        <v/>
      </c>
      <c r="RB232" s="21" t="str">
        <f t="shared" si="1021"/>
        <v/>
      </c>
      <c r="RC232" s="21" t="str">
        <f t="shared" si="1022"/>
        <v/>
      </c>
      <c r="RD232" s="21" t="str">
        <f t="shared" si="1023"/>
        <v/>
      </c>
      <c r="RE232" s="21" t="str">
        <f t="shared" si="1024"/>
        <v/>
      </c>
      <c r="RF232" s="21" t="str">
        <f t="shared" si="1025"/>
        <v/>
      </c>
      <c r="RG232" s="21" t="str">
        <f t="shared" si="1026"/>
        <v/>
      </c>
      <c r="RH232" s="21" t="str">
        <f t="shared" si="1027"/>
        <v/>
      </c>
      <c r="RI232" s="21" t="str">
        <f t="shared" si="1028"/>
        <v/>
      </c>
      <c r="RJ232" s="21" t="str">
        <f t="shared" si="1029"/>
        <v/>
      </c>
      <c r="RK232" s="21" t="str">
        <f t="shared" si="1030"/>
        <v/>
      </c>
      <c r="RL232" s="21" t="str">
        <f t="shared" si="1031"/>
        <v/>
      </c>
      <c r="RM232" s="21" t="str">
        <f t="shared" si="1032"/>
        <v/>
      </c>
      <c r="RN232" s="21" t="str">
        <f t="shared" si="1033"/>
        <v/>
      </c>
      <c r="RO232" s="21" t="str">
        <f t="shared" si="1034"/>
        <v/>
      </c>
      <c r="RP232" s="21" t="str">
        <f t="shared" si="1035"/>
        <v/>
      </c>
      <c r="RQ232" s="21" t="str">
        <f t="shared" si="1036"/>
        <v/>
      </c>
      <c r="RR232" s="21" t="str">
        <f t="shared" si="1037"/>
        <v/>
      </c>
      <c r="RS232" s="21" t="str">
        <f t="shared" si="1038"/>
        <v/>
      </c>
      <c r="RT232" s="21" t="str">
        <f t="shared" si="1039"/>
        <v/>
      </c>
      <c r="RU232" s="21" t="str">
        <f t="shared" si="1040"/>
        <v/>
      </c>
      <c r="RV232" s="21">
        <f t="shared" si="1041"/>
        <v>-1</v>
      </c>
      <c r="RW232" s="284">
        <f>IF(OR(Tabla1[[#This Row],[FUM FORMULA CONFIABLE]]="",Tabla1[[#This Row],[FUM FORMULA CONFIABLE]]="SD"),"",IF(Tabla1[[#This Row],[FUM FORMULA CONFIABLE]]="CORREGIDA",Tabla1[[#This Row],[FUM X ECO 1]],Tabla1[[#This Row],[FUM x AMENORREA]]))</f>
        <v>45025.8</v>
      </c>
      <c r="RX232" s="21">
        <f>IF(AND(Tabla1[[#This Row],[FUM X ECO 1]]="",Tabla1[[#This Row],[FUM x AMENORREA]]=""),"",IF(AND(Tabla1[[#This Row],[FUM X ECO 1]]="",Tabla1[[#This Row],[FUM x AMENORREA]]&lt;&gt;""),"X",SUM(Tabla1[[#This Row],[FUM X ECO 1]]-Tabla1[[#This Row],[FUM x AMENORREA]])))</f>
        <v>0.80000000000291038</v>
      </c>
      <c r="RY232" s="21">
        <f t="shared" si="1042"/>
        <v>0</v>
      </c>
    </row>
    <row r="233" spans="1:493" ht="45" customHeight="1" x14ac:dyDescent="0.25">
      <c r="A233" s="109"/>
      <c r="B233" s="43"/>
      <c r="C233" s="299" t="s">
        <v>845</v>
      </c>
      <c r="D233" s="124"/>
      <c r="E233" s="43" t="s">
        <v>884</v>
      </c>
      <c r="F233" s="43" t="s">
        <v>1286</v>
      </c>
      <c r="G233" s="43" t="s">
        <v>1452</v>
      </c>
      <c r="H233" s="43"/>
      <c r="I233" s="109" t="s">
        <v>851</v>
      </c>
      <c r="J233" s="110">
        <v>25546688</v>
      </c>
      <c r="K233" s="43" t="s">
        <v>932</v>
      </c>
      <c r="L233" s="175" t="s">
        <v>1509</v>
      </c>
      <c r="M233" s="22">
        <v>30085</v>
      </c>
      <c r="N233" s="213">
        <f t="shared" ca="1" si="841"/>
        <v>41.4986301369863</v>
      </c>
      <c r="O233" s="22">
        <v>45009</v>
      </c>
      <c r="P233" s="214" t="str">
        <f t="shared" si="919"/>
        <v>SI</v>
      </c>
      <c r="Q233" s="26" t="s">
        <v>855</v>
      </c>
      <c r="R233" s="22">
        <v>45009</v>
      </c>
      <c r="S233" s="21" t="s">
        <v>856</v>
      </c>
      <c r="T233" s="24" t="s">
        <v>690</v>
      </c>
      <c r="U233" s="21" t="s">
        <v>857</v>
      </c>
      <c r="V233" s="21" t="s">
        <v>858</v>
      </c>
      <c r="W233" s="21" t="s">
        <v>1618</v>
      </c>
      <c r="X233" s="21" t="s">
        <v>1618</v>
      </c>
      <c r="Y233" s="21" t="s">
        <v>859</v>
      </c>
      <c r="Z233" s="21">
        <v>3136427475</v>
      </c>
      <c r="AA233" s="21" t="s">
        <v>860</v>
      </c>
      <c r="AB233" s="27" t="s">
        <v>861</v>
      </c>
      <c r="AC233" s="26" t="s">
        <v>862</v>
      </c>
      <c r="AD233" s="38" t="s">
        <v>1546</v>
      </c>
      <c r="AE233" s="26" t="s">
        <v>854</v>
      </c>
      <c r="AF233" s="26" t="s">
        <v>854</v>
      </c>
      <c r="AG233" s="23" t="s">
        <v>864</v>
      </c>
      <c r="AH233" s="23" t="s">
        <v>864</v>
      </c>
      <c r="AI233" s="24" t="s">
        <v>863</v>
      </c>
      <c r="AJ233" s="23" t="s">
        <v>864</v>
      </c>
      <c r="AK233" s="220" t="str">
        <f>IF(AND(AD233="",AE233="",AF233="",AG233="",AH233="",AI233="",AJ233=""),"",IF(OR(Tabla1[[#This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EVALUACIÓN",IF(AND(O233="",R233=""),"",IF(AND(OR(O233&gt;0,R233&gt;0),NG233&gt;=0,NG233&lt;2),"SIN RIESGO",IF(AND(OR(O233&gt;0,R233&gt;0),NG233&gt;=2),"CON RIESGO","ASD")))))</f>
        <v>SIN RIESGO</v>
      </c>
      <c r="AL233" s="26" t="s">
        <v>864</v>
      </c>
      <c r="AM233" s="26" t="s">
        <v>864</v>
      </c>
      <c r="AN233" s="26" t="s">
        <v>864</v>
      </c>
      <c r="AO233" s="26" t="s">
        <v>864</v>
      </c>
      <c r="AP233" s="26" t="s">
        <v>864</v>
      </c>
      <c r="AQ233" s="26" t="s">
        <v>864</v>
      </c>
      <c r="AR233" s="26" t="s">
        <v>864</v>
      </c>
      <c r="AS233" s="21">
        <v>4</v>
      </c>
      <c r="AT233" s="21">
        <v>4</v>
      </c>
      <c r="AU233" s="21">
        <v>0</v>
      </c>
      <c r="AV233" s="26" t="s">
        <v>864</v>
      </c>
      <c r="AW233" s="21">
        <v>0</v>
      </c>
      <c r="AX233" s="26" t="s">
        <v>864</v>
      </c>
      <c r="AY233" s="26" t="s">
        <v>864</v>
      </c>
      <c r="AZ233" s="26" t="s">
        <v>864</v>
      </c>
      <c r="BA233" s="26" t="s">
        <v>864</v>
      </c>
      <c r="BB233" s="26" t="s">
        <v>864</v>
      </c>
      <c r="BC233" s="26" t="s">
        <v>864</v>
      </c>
      <c r="BD233" s="26" t="s">
        <v>864</v>
      </c>
      <c r="BE233" s="26" t="s">
        <v>864</v>
      </c>
      <c r="BF233" s="26" t="s">
        <v>864</v>
      </c>
      <c r="BG233" s="26" t="s">
        <v>864</v>
      </c>
      <c r="BH233" s="26" t="s">
        <v>864</v>
      </c>
      <c r="BI233" s="26" t="s">
        <v>864</v>
      </c>
      <c r="BJ233" s="26" t="s">
        <v>864</v>
      </c>
      <c r="BK233" s="26" t="s">
        <v>864</v>
      </c>
      <c r="BL233" s="26" t="s">
        <v>864</v>
      </c>
      <c r="BM233" s="26" t="s">
        <v>864</v>
      </c>
      <c r="BN233" s="22">
        <v>40589</v>
      </c>
      <c r="BO233" s="22">
        <v>44929</v>
      </c>
      <c r="BP233" s="21" t="s">
        <v>1380</v>
      </c>
      <c r="BQ233" s="222">
        <f t="shared" si="842"/>
        <v>144.69666666666672</v>
      </c>
      <c r="BR233" s="223">
        <f t="shared" si="843"/>
        <v>44929.9</v>
      </c>
      <c r="BS233" s="224">
        <f t="shared" si="844"/>
        <v>11.299999999999793</v>
      </c>
      <c r="BT233" s="216" t="str">
        <f t="shared" si="845"/>
        <v>II TRIM</v>
      </c>
      <c r="BU233" s="214" t="str">
        <f t="shared" ca="1" si="928"/>
        <v/>
      </c>
      <c r="BV233" s="25" t="s">
        <v>988</v>
      </c>
      <c r="BW233" s="22">
        <v>45149</v>
      </c>
      <c r="BX233" s="28">
        <v>31.3</v>
      </c>
      <c r="BY233" s="28"/>
      <c r="BZ233" s="22"/>
      <c r="CA233" s="21"/>
      <c r="CB233" s="26" t="s">
        <v>864</v>
      </c>
      <c r="CC233" s="26" t="s">
        <v>864</v>
      </c>
      <c r="CD233" s="26" t="s">
        <v>878</v>
      </c>
      <c r="CE233" s="26" t="s">
        <v>864</v>
      </c>
      <c r="CF233" s="22" t="s">
        <v>1517</v>
      </c>
      <c r="CG233" s="21">
        <v>1.54</v>
      </c>
      <c r="CH233" s="21">
        <v>72</v>
      </c>
      <c r="CI233" s="214">
        <f t="shared" si="847"/>
        <v>30.359251138471919</v>
      </c>
      <c r="CJ233" s="225" t="e">
        <f>IF(AND(CI233&lt;10,CH233="SD"),"SIN DATO PESO PREGESTACION O I TRIM",IF(AND(OR(R233&gt;0,O233&gt;0),CI233="X"),"INGRESAR DATO DE PESO",IF(CI233="SD","INGRESAR DATO DE TALLA Y PESO",IF(AND(OR(Tabla1[[#This Row],[MOMENTO EN QUE SE REALIZA EL PESO AL INGRESO A CPN]]="PREGESTACIÓN",NZ233="Menor"),CI233&lt;18.5),"BAJO PESO",IF(AND(OR(Tabla1[[#This Row],[MOMENTO EN QUE SE REALIZA EL PESO AL INGRESO A CPN]]="PREGESTACIÓN",NZ233="Menor"),CI233&lt;25),"NORMAL",IF(AND(OR(Tabla1[[#This Row],[MOMENTO EN QUE SE REALIZA EL PESO AL INGRESO A CPN]]="PREGESTACIÓN",NZ233="Menor"),CI233&lt;30),"SOBREPESO",IF(AND(OR(Tabla1[[#This Row],[MOMENTO EN QUE SE REALIZA EL PESO AL INGRESO A CPN]]="PREGESTACIÓN",NZ233="Menor"),CI233&gt;=30,CI233&lt;50),"OBESIDAD",IF(AND(BS233&gt;0,Tabla1[[#This Row],[MOMENTO EN QUE SE REALIZA EL PESO AL INGRESO A CPN]]="GESTACIÓN"),HLOOKUP(NZ233,$OA$2:PH233,NY233),""))))))))</f>
        <v>#REF!</v>
      </c>
      <c r="CK233" s="212">
        <f t="shared" si="848"/>
        <v>45149</v>
      </c>
      <c r="CL233" s="21">
        <v>72</v>
      </c>
      <c r="CM233" s="214">
        <f t="shared" si="849"/>
        <v>30.359251138471919</v>
      </c>
      <c r="CN233" s="216">
        <f t="shared" si="850"/>
        <v>31</v>
      </c>
      <c r="CO233" s="216" t="e">
        <f>IF(PI233="","",IF(PI233&gt;0,HLOOKUP(PI233,$PJ$2:QQ233,NY233),""))</f>
        <v>#REF!</v>
      </c>
      <c r="CP233" s="21">
        <v>32</v>
      </c>
      <c r="CQ233" s="216" t="e">
        <f>IF(QR233="Menor","NO APLICA-MENOR 13 SEM",IF(AND(CC233="SI",CN233&gt;23),"NO APLICA- GEMELAR",IF(QR233="","",IF(QR233&gt;0,HLOOKUP(QR233,$QS$2:RU233,NY233),""))))</f>
        <v>#REF!</v>
      </c>
      <c r="CR233" s="21"/>
      <c r="CS233" s="21"/>
      <c r="CT233" s="217" t="str">
        <f>IF(R233="","",IF(AND(BS233&gt;1,BS233&lt;12,Tabla1[[#This Row],[T.A. SISTOLICA - ANTES DE SEMANA 12]]="",Tabla1[[#This Row],[T.A. DIASTOLICA - ANTES DE SEMANA 12]]=""),"REGISTRE DATO TA ANTES SEMANA 12",IF(AND(BS233&gt;11,BS233&lt;43,Tabla1[[#This Row],[T.A. SISTOLICA - ANTES DE SEMANA 12]]="",Tabla1[[#This Row],[T.A. DIASTOLICA - ANTES DE SEMANA 12]]=""),"NO APLICA REGISTRO TA-INGRESO TARDIO",IF(AND(OR(O233&gt;0,R233&gt;0),OR(CR233&gt;=140,CS233&gt;=90)),"DEFINIR ESTADIO HTA",IF(AND(OR(O233&gt;0,R233&gt;0),AND(CR233&gt;120,CR233&lt;=139)),"PRE HTA SEGUIMIENTO",IF(AND(OR(O233&gt;0,R233&gt;0),AND(CS233&gt;80,CS233&lt;=89)),"PRE HTA SEGUIMIENTO",IF(AND(OR(O233&gt;0,R233&gt;0),AND(CR233&gt;=80,CR233&lt;=120)),"APARENTEMENTE NORMAL",IF(AND(OR(O233&gt;0,R233&gt;0),AND(CS233&gt;=50,CS233&lt;=80)),"APARENTEMENTE NORMAL",IF(AND(OR(O233&gt;0,R233&gt;0),AND(CR233&gt;1,CR233&lt;=70),AND(CS233&gt;1,CS233&lt;=40)),"HIPOTENSIÓN","")))))))))</f>
        <v>REGISTRE DATO TA ANTES SEMANA 12</v>
      </c>
      <c r="CU233" s="21"/>
      <c r="CV233" s="21"/>
      <c r="CW233" s="217" t="str">
        <f ca="1">IF(R233="","",IF(AND(CN233&gt;19,CN233&lt;27,Tabla1[[#This Row],[T.A. SISTOLICA (Entre semana 20 y 26)]]="",Tabla1[[#This Row],[T.A. DIATOLICA (Entre semana 20 y 26)]]=""),"ACUDE A CONTROL SEM 20 A 26 REGISTRE TA AHORA",IF(AND(BS233&gt;1,BS233&lt;27,BU233&gt;19,Tabla1[[#This Row],[T.A. SISTOLICA (Entre semana 20 y 26)]]="",Tabla1[[#This Row],[T.A. DIATOLICA (Entre semana 20 y 26)]]=""),"COMPLETE REGISTRO TA CONTROL SEM 20 A26 ",IF(AND(BS233&gt;26,BS233&lt;43,Tabla1[[#This Row],[T.A. SISTOLICA (Entre semana 20 y 26)]]="",Tabla1[[#This Row],[T.A. DIATOLICA (Entre semana 20 y 26)]]=""),"NO APLICA REGISTRO TA-INGRESO TARDIO",IF(AND(OR(O233&gt;0,R233&gt;0),OR(CU233&gt;=140,CV233&gt;=90)),"ALTO RIESGO PREECLAMPSIA,DEFINIR ESTADIO HTA",IF(AND(OR(O233&gt;0,R233&gt;0),AND(CU233&gt;120,CU233&lt;=139)),"PRE HTA SEGUIMIENTO,RIESGO HIPERTENSION INDUCIDA POR EL EMBARAZO",IF(AND(OR(O233&gt;0,R233&gt;0),AND(CV233&gt;80,CV233&lt;=89)),"PRE HTA SEGUIMIENTO, RIESGO HIPERTENSION INDUCIDA POR EL EMBARAZO",IF(AND(OR(O233&lt;&gt;"",R233&lt;&gt;""),CS233&lt;&gt;"",CV233&lt;&gt;"",CS233&lt;=CV233),"VIGILAR CIFRAS PRESION ARTERIAL",IF(AND(OR(O233&gt;0,R233&gt;0),AND(CU233&gt;120,CU233&lt;=139)),"PRE HTA SEGUIMIENTO",IF(AND(OR(O233&gt;0,R233&gt;0),AND(CU233&gt;1,CU233&lt;=70),AND(CV233&gt;1,CV233&lt;=40)),"HIPOTENSIÓN",IF(AND(OR(O233&lt;&gt;"",R233&lt;&gt;""),CS233&lt;&gt;"",CV233&lt;&gt;"",CS233&gt;CV233),"APARENTEMENTE NORMAL",IF(AND(OR(O233&gt;0,R233&gt;0),AND(CU233&gt;=80,CU233&lt;=120)),"APARENTEMENTE NORMAL",IF(AND(OR(O233&gt;0,R233&gt;0),AND(CV233&gt;=50,CV233&lt;=80)),"APARENTEMENTE NORMAL","")))))))))))))</f>
        <v xml:space="preserve">COMPLETE REGISTRO TA CONTROL SEM 20 A26 </v>
      </c>
      <c r="CX233" s="21">
        <v>100</v>
      </c>
      <c r="CY233" s="21">
        <v>60</v>
      </c>
      <c r="CZ233" s="216" t="str">
        <f t="shared" si="1045"/>
        <v>APARENTEMENTE NORMAL</v>
      </c>
      <c r="DA233" s="21">
        <v>100</v>
      </c>
      <c r="DB233" s="21">
        <v>60</v>
      </c>
      <c r="DC233" s="217" t="str">
        <f t="shared" si="851"/>
        <v>APARENTEMENTE NORMAL</v>
      </c>
      <c r="DD233" s="22">
        <v>45009</v>
      </c>
      <c r="DE233" s="22">
        <v>45009</v>
      </c>
      <c r="DF233" s="22">
        <v>45107</v>
      </c>
      <c r="DG233" s="22">
        <v>45149</v>
      </c>
      <c r="DH233" s="22"/>
      <c r="DI233" s="22"/>
      <c r="DJ233" s="22"/>
      <c r="DK233" s="22"/>
      <c r="DL233" s="22"/>
      <c r="DM233" s="22"/>
      <c r="DN233" s="22"/>
      <c r="DO233" s="22"/>
      <c r="DP233" s="22"/>
      <c r="DQ233" s="22"/>
      <c r="DR233" s="28"/>
      <c r="DS233" s="22"/>
      <c r="DT233" s="22"/>
      <c r="DU233" s="216" t="str">
        <f t="shared" ca="1" si="920"/>
        <v>CONCERTAR PLAN DE PARTO INMEDIATO</v>
      </c>
      <c r="DV233" s="226" t="str">
        <f t="shared" si="921"/>
        <v>ACTIVA INGRESO A CPN</v>
      </c>
      <c r="DW233"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33" s="216" t="e">
        <f t="shared" ca="1" si="852"/>
        <v>#REF!</v>
      </c>
      <c r="DY233" s="212">
        <f>IF(R233="","",IF(R233&gt;0,MAX(Tabla1[[#This Row],[FECHA C2]:[FECHA C13]],Tabla1[[#This Row],[FECHA CONSULTA PRIMERA VEZ PROGRAMA CPN ]])))</f>
        <v>45149</v>
      </c>
      <c r="DZ233" s="216">
        <f t="shared" si="853"/>
        <v>31</v>
      </c>
      <c r="EA233" s="222">
        <f>IF(R233&gt;0,SUM(COUNTA(DF233:DQ233)+COUNTA(Tabla1[[#This Row],[FECHA CONSULTA PRIMERA VEZ PROGRAMA CPN ]])),"")</f>
        <v>3</v>
      </c>
      <c r="EB233" s="222" t="str">
        <f t="shared" si="854"/>
        <v>NO</v>
      </c>
      <c r="EC233" s="214">
        <f t="shared" si="855"/>
        <v>9</v>
      </c>
      <c r="ED233" s="227">
        <f t="shared" si="856"/>
        <v>0.33333333333333331</v>
      </c>
      <c r="EE233" s="22">
        <v>45009</v>
      </c>
      <c r="EF233" s="22">
        <v>45149</v>
      </c>
      <c r="EG233" s="22">
        <v>45009</v>
      </c>
      <c r="EH233" s="22"/>
      <c r="EI233" s="22">
        <v>45009</v>
      </c>
      <c r="EJ233" s="22"/>
      <c r="EK233" s="22"/>
      <c r="EL233" s="21"/>
      <c r="EM233" s="21">
        <v>13.2</v>
      </c>
      <c r="EN233" s="22">
        <v>45108</v>
      </c>
      <c r="EO233" s="222">
        <f t="shared" si="857"/>
        <v>25.442857142856933</v>
      </c>
      <c r="EP233" s="214" t="str">
        <f t="shared" si="858"/>
        <v>NORMAL- SUMINISTRAR SULFATO FERROSO</v>
      </c>
      <c r="EQ233" s="216" t="str">
        <f t="shared" si="859"/>
        <v>II TRIM</v>
      </c>
      <c r="ER233" s="24"/>
      <c r="ES233" s="22"/>
      <c r="ET233" s="29" t="str">
        <f t="shared" ca="1" si="922"/>
        <v>TOMA DE HEMOGLOBINA TARDÍA</v>
      </c>
      <c r="EU233" s="25" t="str">
        <f t="shared" si="860"/>
        <v/>
      </c>
      <c r="EV233" s="24" t="s">
        <v>1510</v>
      </c>
      <c r="EW233" s="22">
        <v>45108</v>
      </c>
      <c r="EX233" s="22"/>
      <c r="EY233" s="29">
        <f t="shared" si="1043"/>
        <v>25.442857142856933</v>
      </c>
      <c r="EZ233" s="25" t="str">
        <f t="shared" si="1044"/>
        <v>SIN RIESGO DE ISOINMUNIZACIÓN</v>
      </c>
      <c r="FA233" s="21">
        <v>64</v>
      </c>
      <c r="FB233" s="22">
        <v>45108</v>
      </c>
      <c r="FC233" s="29" t="str">
        <f t="shared" si="861"/>
        <v>NO APLICA &gt; 23 SEM -TOMAR PTOG</v>
      </c>
      <c r="FD233" s="29"/>
      <c r="FE233" s="29"/>
      <c r="FF233" s="29"/>
      <c r="FG233" s="21" t="str">
        <f t="shared" ca="1" si="862"/>
        <v/>
      </c>
      <c r="FH233" s="31"/>
      <c r="FI233" s="29" t="str">
        <f t="shared" si="863"/>
        <v>TOMAR EXAMEN</v>
      </c>
      <c r="FJ233" s="22"/>
      <c r="FK233" s="22"/>
      <c r="FL233" s="29" t="str">
        <f t="shared" ca="1" si="864"/>
        <v>PIERDE TOMA DE TAMIZAJE</v>
      </c>
      <c r="FM233" s="22" t="s">
        <v>867</v>
      </c>
      <c r="FN233" s="32">
        <v>45108</v>
      </c>
      <c r="FO233" s="29">
        <f t="shared" ca="1" si="923"/>
        <v>25.442857142856933</v>
      </c>
      <c r="FP233" s="22"/>
      <c r="FQ233" s="32"/>
      <c r="FR233" s="29" t="str">
        <f t="shared" ca="1" si="924"/>
        <v>TOMA INMEDIATA DE TAMIZAJE</v>
      </c>
      <c r="FS233" s="22"/>
      <c r="FT233" s="32"/>
      <c r="FU233" s="29" t="str">
        <f>IF(AND(FJ233="",FM233="",FP233="",FS233=""),"",IF(OR(OR(Tabla1[[#This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33" s="28"/>
      <c r="FW233" s="22"/>
      <c r="FX233" s="29" t="str">
        <f t="shared" si="865"/>
        <v>TOMAR EXAMEN</v>
      </c>
      <c r="FY233" s="22"/>
      <c r="FZ233" s="22"/>
      <c r="GA233" s="29" t="str">
        <f t="shared" ca="1" si="939"/>
        <v>PIERDE TOMA DE TAMIZAJE</v>
      </c>
      <c r="GB233" s="22" t="s">
        <v>868</v>
      </c>
      <c r="GC233" s="22">
        <v>45108</v>
      </c>
      <c r="GD233" s="29">
        <f t="shared" ca="1" si="1048"/>
        <v>25.442857142856933</v>
      </c>
      <c r="GE233" s="22"/>
      <c r="GF233" s="22"/>
      <c r="GG233" s="29" t="str">
        <f t="shared" ca="1" si="926"/>
        <v>TOMA INMEDIATA DE TAMIZAJE</v>
      </c>
      <c r="GH233" s="22"/>
      <c r="GI233" s="29"/>
      <c r="GJ233" s="22"/>
      <c r="GK233" s="22"/>
      <c r="GL233" s="22"/>
      <c r="GM233" s="22"/>
      <c r="GN233" s="28" t="s">
        <v>869</v>
      </c>
      <c r="GO233" s="22">
        <v>45108</v>
      </c>
      <c r="GP233" s="29">
        <f t="shared" si="866"/>
        <v>25.442857142856933</v>
      </c>
      <c r="GQ233" s="28"/>
      <c r="GR233" s="28" t="s">
        <v>869</v>
      </c>
      <c r="GS233" s="22" t="str">
        <f t="shared" si="1047"/>
        <v/>
      </c>
      <c r="GT233" s="22">
        <v>45108</v>
      </c>
      <c r="GU233" s="29">
        <f t="shared" si="867"/>
        <v>25.571428571428573</v>
      </c>
      <c r="GV233" s="21" t="str">
        <f t="shared" si="868"/>
        <v>II TRIM</v>
      </c>
      <c r="GW233" s="28"/>
      <c r="GX233" s="30"/>
      <c r="GY233" s="21"/>
      <c r="GZ233" s="21"/>
      <c r="HA233" s="21"/>
      <c r="HB233" s="21"/>
      <c r="HC233" s="21"/>
      <c r="HD233" s="21"/>
      <c r="HE233" s="21"/>
      <c r="HF233" s="22"/>
      <c r="HG233" s="22" t="str">
        <f>IF(OR(O233&gt;0,R233&gt;0),CONCATENATE(IF(Tabla1[[#This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33" s="22" t="e">
        <f t="shared" si="869"/>
        <v>#REF!</v>
      </c>
      <c r="HI233" s="22" t="str">
        <f t="shared" si="870"/>
        <v>ALTO RIESGO</v>
      </c>
      <c r="HJ233" s="21" t="str">
        <f t="shared" ca="1" si="871"/>
        <v>************************RIESGO POR EDAD***************</v>
      </c>
      <c r="HK233" s="21" t="str">
        <f t="shared" si="872"/>
        <v>RIESGO MODERADO (2 O MAS CRITERIOS) VER MANEJO GUIA SUMINISTRO ASA Y CALCIO</v>
      </c>
      <c r="HL233" s="24" t="str">
        <f t="shared" si="873"/>
        <v>APARENTEMENTE NORMAL</v>
      </c>
      <c r="HM233" s="21" t="e">
        <f t="shared" ca="1" si="874"/>
        <v>#REF!</v>
      </c>
      <c r="HN233" s="30" t="str">
        <f t="shared" si="927"/>
        <v>ACTIVA INGRESO A CPN</v>
      </c>
      <c r="HO233" s="21"/>
      <c r="HP233" s="21"/>
      <c r="HQ233" s="349"/>
      <c r="HR233" s="21" t="str">
        <f ca="1">IF(R233="","",IF(Tabla1[[#This Row],[ALARMA FACTORES DE RIESGO COMPLICACIONES HIPERTENSIVAS3]]="SIN ANTECEDENTES DE RIESGO","No Aplica para suministro de ASA",IF(AND(Tabla1[[#This Row],[FECHA INICIO DE SUMINISTRO DE ASA]]&gt;0,RV233&lt;12),"Inicia ASA ANTES de Sem 12",IF(AND(RV233&gt;11,RV233&lt;17,OR(HK233="RIESGO ALTO DE COMPLICACIONES HIPERTENSIVAS VER MANEJO GUIA SUMINISTRO ASA Y CALCIO",HK233="RIESGO MODERADO (2 O MAS CRITERIOS) VER MANEJO GUIA SUMINISTRO ASA Y CALCIO")),"Inicio oportuno de ASA",IF(AND(RV233&gt;12,OR(HK233="RIESGO ALTO DE COMPLICACIONES HIPERTENSIVAS VER MANEJO GUIA SUMINISTRO ASA Y CALCIO",HK233="RIESGO MODERADO (2 O MAS CRITERIOS) VER MANEJO GUIA SUMINISTRO ASA Y CALCIO")),"Inicio no oportuno mayor a 16 semanas",IF(AND(BU233&lt;12,OR(HK233="RIESGO ALTO DE COMPLICACIONES HIPERTENSIVAS VER MANEJO GUIA SUMINISTRO ASA Y CALCIO",HK233="RIESGO MODERADO (2 O MAS CRITERIOS) VER MANEJO GUIA SUMINISTRO ASA Y CALCIO")),"Pendiente Inicio de ASA a la semana 12",IF(AND(BU233&gt;11,BU233&lt;17,OR(HK233="RIESGO ALTO DE COMPLICACIONES HIPERTENSIVAS VER MANEJO GUIA SUMINISTRO ASA Y CALCIO",HK233="RIESGO MODERADO (2 O MAS CRITERIOS) VER MANEJO GUIA SUMINISTRO ASA Y CALCIO")),"Iniciar de inmediato ASA",IF(AND(BU233&gt;16,OR(HK233="RIESGO ALTO DE COMPLICACIONES HIPERTENSIVAS VER MANEJO GUIA SUMINISTRO ASA Y CALCIO",HK233="RIESGO MODERADO (2 O MAS CRITERIOS) VER MANEJO GUIA SUMINISTRO ASA Y CALCIO")),"Pierde Oportunidad, Inicio tardío de ASA","XXXXX"))))))))</f>
        <v>Pierde Oportunidad, Inicio tardío de ASA</v>
      </c>
      <c r="HS233" s="22">
        <v>45009</v>
      </c>
      <c r="HT233" s="22" t="s">
        <v>1518</v>
      </c>
      <c r="HU233" s="22">
        <v>45009</v>
      </c>
      <c r="HV233" s="22" t="s">
        <v>1544</v>
      </c>
      <c r="HW233" s="22">
        <v>45009</v>
      </c>
      <c r="HX233" s="22" t="s">
        <v>1511</v>
      </c>
      <c r="HY233" s="22">
        <v>45149</v>
      </c>
      <c r="HZ233" s="28">
        <f t="shared" si="875"/>
        <v>31.299999999999791</v>
      </c>
      <c r="IA233" s="26"/>
      <c r="IB233" s="26"/>
      <c r="IC233" s="111">
        <v>45063</v>
      </c>
      <c r="ID233" s="22">
        <v>45094</v>
      </c>
      <c r="IE233" s="22" t="str">
        <f t="shared" ca="1" si="876"/>
        <v>VACUNA APLICADA ENTRE SEMANA 20 Y SEMANA 26</v>
      </c>
      <c r="IF233" s="111">
        <v>45063</v>
      </c>
      <c r="IG233" s="22">
        <f t="shared" si="877"/>
        <v>45209.9</v>
      </c>
      <c r="IH233" s="29">
        <f t="shared" ca="1" si="878"/>
        <v>-22.099999999998545</v>
      </c>
      <c r="II233" s="22" t="str">
        <f t="shared" ca="1" si="879"/>
        <v>POSIBLEMENTE NACIO</v>
      </c>
      <c r="IJ233" s="22"/>
      <c r="IK233" s="21"/>
      <c r="IL233" s="21"/>
      <c r="IM233" s="34"/>
      <c r="IN233" s="22"/>
      <c r="IO233" s="21"/>
      <c r="IP233" s="29" t="str">
        <f t="shared" si="880"/>
        <v/>
      </c>
      <c r="IQ233" s="35"/>
      <c r="IR233" s="21"/>
      <c r="IS233" s="21"/>
      <c r="IT233" s="21"/>
      <c r="IU233" s="21"/>
      <c r="IV233" s="21"/>
      <c r="IW233" s="21"/>
      <c r="IX233" s="21"/>
      <c r="IY233" s="21"/>
      <c r="IZ233" s="21"/>
      <c r="JA233" s="21"/>
      <c r="JB233" s="30"/>
      <c r="JC233" s="21"/>
      <c r="JD233" s="36"/>
      <c r="JE233" s="21" t="str">
        <f t="shared" si="881"/>
        <v/>
      </c>
      <c r="JF233" s="30"/>
      <c r="JG233" s="21"/>
      <c r="JH233" s="21"/>
      <c r="JI233" s="21"/>
      <c r="JJ233" s="30"/>
      <c r="JK233" s="22"/>
      <c r="JL233" s="22"/>
      <c r="JM233" s="21"/>
      <c r="JN233" s="36"/>
      <c r="JO233" s="21" t="str">
        <f t="shared" si="882"/>
        <v/>
      </c>
      <c r="JP233" s="22"/>
      <c r="JQ233" s="21"/>
      <c r="JR233" s="21"/>
      <c r="JS233" s="21"/>
      <c r="JT233" s="30"/>
      <c r="JU233" s="22"/>
      <c r="JV233" s="22"/>
      <c r="JW233" s="33"/>
      <c r="JX233" s="28" t="str">
        <f t="shared" si="883"/>
        <v/>
      </c>
      <c r="JY233" s="33"/>
      <c r="JZ233" s="28" t="str">
        <f t="shared" si="884"/>
        <v/>
      </c>
      <c r="KA233" s="21"/>
      <c r="KB233" s="21"/>
      <c r="KC233" s="21"/>
      <c r="KD233" s="37"/>
      <c r="KE233" s="28"/>
      <c r="KF233" s="28"/>
      <c r="KG233" s="28"/>
      <c r="KH233" s="39"/>
      <c r="KI233" s="39"/>
      <c r="KJ233" s="66"/>
      <c r="KK233" s="39"/>
      <c r="KL233" s="39"/>
      <c r="KM233" s="66"/>
      <c r="KN233" s="39"/>
      <c r="KO233" s="39"/>
      <c r="KP233" s="39"/>
      <c r="KQ233" s="39"/>
      <c r="KR233" s="39"/>
      <c r="KS233" s="39"/>
      <c r="KT233" s="39"/>
      <c r="KU233" s="38"/>
      <c r="KV233" s="38"/>
      <c r="KW233" s="38"/>
      <c r="KX233" s="38"/>
      <c r="KY233" s="38"/>
      <c r="KZ233" s="38"/>
      <c r="LA233" s="38"/>
      <c r="LB233" s="38"/>
      <c r="LC233" s="38"/>
      <c r="LD233" s="38"/>
      <c r="LE233" s="38"/>
      <c r="LF233" s="38"/>
      <c r="LG233" s="38"/>
      <c r="LH233" s="38"/>
      <c r="LI233" s="38"/>
      <c r="LJ233" s="38"/>
      <c r="LK233" s="38"/>
      <c r="LL233" s="38"/>
      <c r="LM233" s="38"/>
      <c r="LN233" s="38"/>
      <c r="LO233" s="38"/>
      <c r="LP233" s="38"/>
      <c r="LQ233" s="38"/>
      <c r="LR233" s="38"/>
      <c r="LS233" s="38"/>
      <c r="LT233" s="38"/>
      <c r="LU233" s="38"/>
      <c r="LV233" s="38"/>
      <c r="LW233" s="38"/>
      <c r="LX233" s="38"/>
      <c r="LY233" s="38"/>
      <c r="LZ233" s="38"/>
      <c r="MA233" s="38"/>
      <c r="MB233" s="38"/>
      <c r="MC233" s="38"/>
      <c r="MD233" s="38"/>
      <c r="ME233" s="38"/>
      <c r="MF233" s="38"/>
      <c r="MG233" s="38"/>
      <c r="MH233" s="43">
        <f t="shared" si="885"/>
        <v>0</v>
      </c>
      <c r="MI233" s="43" t="str">
        <f t="shared" si="929"/>
        <v/>
      </c>
      <c r="MJ233" s="43" t="str">
        <f t="shared" si="887"/>
        <v/>
      </c>
      <c r="MK233" s="43">
        <f t="shared" si="888"/>
        <v>0</v>
      </c>
      <c r="ML23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33" s="43">
        <f t="shared" si="930"/>
        <v>11.299999999999793</v>
      </c>
      <c r="MN233" s="43">
        <f t="shared" si="931"/>
        <v>3</v>
      </c>
      <c r="MO233" s="43">
        <f t="shared" si="932"/>
        <v>2023</v>
      </c>
      <c r="MP233" s="43" t="str">
        <f t="shared" si="892"/>
        <v>I TRIMESTRE AÑO</v>
      </c>
      <c r="MQ233" s="43">
        <f t="shared" si="933"/>
        <v>40.270477441962328</v>
      </c>
      <c r="MR233" s="43">
        <f t="shared" si="894"/>
        <v>2</v>
      </c>
      <c r="MS233" s="43" t="str">
        <f t="shared" si="895"/>
        <v xml:space="preserve"> DE 40 Y MAS</v>
      </c>
      <c r="MT233" s="43">
        <f t="shared" si="896"/>
        <v>0</v>
      </c>
      <c r="MU233" s="43">
        <f t="shared" si="897"/>
        <v>0</v>
      </c>
      <c r="MV233" s="43">
        <f t="shared" si="898"/>
        <v>0</v>
      </c>
      <c r="MW233" s="43">
        <f t="shared" si="899"/>
        <v>0</v>
      </c>
      <c r="MX233" s="43" t="str">
        <f t="shared" si="900"/>
        <v/>
      </c>
      <c r="MY233" s="43" t="str">
        <f t="shared" ca="1" si="901"/>
        <v/>
      </c>
      <c r="MZ233" s="43" t="str">
        <f t="shared" si="902"/>
        <v/>
      </c>
      <c r="NA233" s="43">
        <f t="shared" si="903"/>
        <v>0</v>
      </c>
      <c r="NB233" s="43" t="str">
        <f t="shared" si="904"/>
        <v/>
      </c>
      <c r="NC233" s="43" t="str">
        <f t="shared" si="905"/>
        <v/>
      </c>
      <c r="ND233" s="43">
        <f t="shared" ca="1" si="934"/>
        <v>2</v>
      </c>
      <c r="NE233" s="43">
        <f>IF(OR(O233&gt;0,R233&gt;0),SUM(COUNTIF(Tabla1[[#This Row],[AÑOS AL INICIO5 CPN]],"&gt;=40"),COUNTIF(AS233,"0"),COUNTIF(AR233,"SI"),COUNTIF(CC233,"SI"),COUNTIF(BQ233,"&gt;119"),COUNTIF(CI233,"&gt;=35")),"")</f>
        <v>2</v>
      </c>
      <c r="NF233" s="43">
        <f t="shared" si="935"/>
        <v>23.442857142856933</v>
      </c>
      <c r="NG233" s="43">
        <f t="shared" si="908"/>
        <v>0</v>
      </c>
      <c r="NH233" s="43">
        <f t="shared" si="909"/>
        <v>219.1</v>
      </c>
      <c r="NI23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CPN",P233="NO"),"Z",IF(AND(Tabla1[[#This Row],[CITA PROXIMO CONTROL]]="CITA MANUAL",Tabla1[[#This Row],[GESTANTES ACTUALES]]="ACTIVA INGRESO A CPN"),"W",IF(AND(Tabla1[[#This Row],[GESTANTES ACTUALES]]="SALIO PROGRAMA",IN233=""),"S",IF(AND(Tabla1[[#This Row],[CITA PROXIMO CONTROL]]&gt;0,IN233=""),(Tabla1[[#This Row],[CITA PROXIMO CONTROL]]-TODAY()),"SD"))))))))</f>
        <v>#REF!</v>
      </c>
      <c r="NJ233" s="43">
        <f>MONTH(Tabla1[[#This Row],[FECHA DE SALIDA  DEL PROGRAMA]])</f>
        <v>1</v>
      </c>
      <c r="NK233" s="43">
        <f>YEAR(Tabla1[[#This Row],[FECHA DE SALIDA  DEL PROGRAMA]])</f>
        <v>1900</v>
      </c>
      <c r="NL233" s="43" t="str">
        <f t="shared" si="936"/>
        <v>X</v>
      </c>
      <c r="NM233" s="43" t="str">
        <f t="shared" si="941"/>
        <v>NO</v>
      </c>
      <c r="NN233" s="43" t="str">
        <f ca="1">IF(AND(O233&gt;0,R233=""),"NO CPN",IF(AND(O233="",R233=""),"",IF(AND(R233&gt;0,Tabla1[[#This Row],[SEMANAS DE GESTACION ACTUALIZADAS]]&lt;=12),"NO APLICA",IF(AND(FH233&lt;&gt;"",FN233&lt;&gt;""),"SI","NO"))))</f>
        <v>NO</v>
      </c>
      <c r="NO233" s="43" t="str">
        <f ca="1">IF(AND(O233&gt;0,R233=""),"NO CPN",IF(AND(O233="",R233=""),"",IF(AND(R233&gt;0,Tabla1[[#This Row],[SEMANAS DE GESTACION ACTUALIZADAS]]&lt;=27),"NO APLICA",IF(AND(ES233&lt;&gt;"",FQ233&lt;&gt;"",GF233&lt;&gt;""),"SI","NO"))))</f>
        <v>NO</v>
      </c>
      <c r="NP233" s="204" t="str">
        <f t="shared" si="912"/>
        <v>I TRIM</v>
      </c>
      <c r="NQ233" s="21" t="str">
        <f t="shared" si="1046"/>
        <v/>
      </c>
      <c r="NR233" s="21" t="str">
        <f t="shared" ca="1" si="937"/>
        <v>REVISAR FUM O FECHA SALIDA PROGRAMA</v>
      </c>
      <c r="NS233" s="205">
        <f t="shared" ca="1" si="914"/>
        <v>1</v>
      </c>
      <c r="NT233" s="21">
        <f t="shared" ca="1" si="915"/>
        <v>1</v>
      </c>
      <c r="NU233" s="21" t="str">
        <f t="shared" ca="1" si="916"/>
        <v>POR DEFINIR</v>
      </c>
      <c r="NV233" s="21" t="str">
        <f t="shared" ca="1" si="917"/>
        <v>POR DEFINIR</v>
      </c>
      <c r="NW233" s="206" t="str">
        <f>IF(AND(O233="",R233=""),"",IF(OR(AND(Tabla1[[#This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33" s="207" t="str">
        <f t="shared" ca="1" si="938"/>
        <v>VACUNADA</v>
      </c>
      <c r="NY233" s="43">
        <f>ROW(Tabla1[[#This Row],['# DE TAMIZAJES SIFILIS TOMADOS ]])</f>
        <v>233</v>
      </c>
      <c r="NZ233" s="43">
        <f t="shared" si="942"/>
        <v>11</v>
      </c>
      <c r="OA233" s="43" t="str">
        <f t="shared" si="943"/>
        <v/>
      </c>
      <c r="OB233" s="43" t="str">
        <f t="shared" si="944"/>
        <v/>
      </c>
      <c r="OC233" s="43" t="str">
        <f t="shared" si="945"/>
        <v>SOBREPESO</v>
      </c>
      <c r="OD233" s="43" t="str">
        <f t="shared" si="946"/>
        <v/>
      </c>
      <c r="OE233" s="43" t="str">
        <f t="shared" si="947"/>
        <v/>
      </c>
      <c r="OF233" s="43" t="str">
        <f t="shared" si="948"/>
        <v/>
      </c>
      <c r="OG233" s="43" t="str">
        <f t="shared" si="949"/>
        <v/>
      </c>
      <c r="OH233" s="43" t="str">
        <f t="shared" si="950"/>
        <v/>
      </c>
      <c r="OI233" s="43" t="str">
        <f t="shared" si="951"/>
        <v/>
      </c>
      <c r="OJ233" s="43" t="str">
        <f t="shared" si="952"/>
        <v/>
      </c>
      <c r="OK233" s="43" t="str">
        <f t="shared" si="953"/>
        <v/>
      </c>
      <c r="OL233" s="43" t="str">
        <f t="shared" si="954"/>
        <v/>
      </c>
      <c r="OM233" s="43" t="str">
        <f t="shared" si="955"/>
        <v/>
      </c>
      <c r="ON233" s="43" t="str">
        <f t="shared" si="956"/>
        <v/>
      </c>
      <c r="OO233" s="43" t="str">
        <f t="shared" si="957"/>
        <v/>
      </c>
      <c r="OP233" s="43" t="str">
        <f t="shared" si="958"/>
        <v/>
      </c>
      <c r="OQ233" s="43" t="str">
        <f t="shared" si="959"/>
        <v/>
      </c>
      <c r="OR233" s="43" t="str">
        <f t="shared" si="960"/>
        <v/>
      </c>
      <c r="OS233" s="43" t="str">
        <f t="shared" si="961"/>
        <v/>
      </c>
      <c r="OT233" s="43" t="str">
        <f t="shared" si="962"/>
        <v/>
      </c>
      <c r="OU233" s="43" t="str">
        <f t="shared" si="963"/>
        <v/>
      </c>
      <c r="OV233" s="110" t="str">
        <f t="shared" si="964"/>
        <v/>
      </c>
      <c r="OW233" s="43" t="str">
        <f t="shared" si="965"/>
        <v/>
      </c>
      <c r="OX233" s="43" t="str">
        <f t="shared" si="966"/>
        <v/>
      </c>
      <c r="OY233" s="43" t="str">
        <f t="shared" si="967"/>
        <v/>
      </c>
      <c r="OZ233" s="43" t="str">
        <f t="shared" si="968"/>
        <v/>
      </c>
      <c r="PA233" s="43" t="str">
        <f t="shared" si="969"/>
        <v/>
      </c>
      <c r="PB233" s="43" t="str">
        <f t="shared" si="970"/>
        <v/>
      </c>
      <c r="PC233" s="43" t="str">
        <f t="shared" si="971"/>
        <v/>
      </c>
      <c r="PD233" s="43" t="str">
        <f t="shared" si="972"/>
        <v/>
      </c>
      <c r="PE233" s="43" t="str">
        <f t="shared" si="973"/>
        <v/>
      </c>
      <c r="PF233" s="43" t="str">
        <f t="shared" si="974"/>
        <v/>
      </c>
      <c r="PG233" s="43" t="str">
        <f t="shared" si="975"/>
        <v/>
      </c>
      <c r="PH233" s="43" t="str">
        <f t="shared" si="976"/>
        <v/>
      </c>
      <c r="PI233" s="43">
        <f t="shared" si="977"/>
        <v>31</v>
      </c>
      <c r="PJ233" s="43" t="str">
        <f t="shared" si="978"/>
        <v/>
      </c>
      <c r="PK233" s="43" t="str">
        <f t="shared" si="979"/>
        <v/>
      </c>
      <c r="PL233" s="43" t="str">
        <f t="shared" si="980"/>
        <v/>
      </c>
      <c r="PM233" s="43" t="str">
        <f t="shared" si="981"/>
        <v/>
      </c>
      <c r="PN233" s="43" t="str">
        <f t="shared" si="982"/>
        <v/>
      </c>
      <c r="PO233" s="43" t="str">
        <f t="shared" si="983"/>
        <v/>
      </c>
      <c r="PP233" s="43" t="str">
        <f t="shared" si="984"/>
        <v/>
      </c>
      <c r="PQ233" s="43" t="str">
        <f t="shared" si="985"/>
        <v/>
      </c>
      <c r="PR233" s="43" t="str">
        <f t="shared" si="986"/>
        <v/>
      </c>
      <c r="PS233" s="43" t="str">
        <f t="shared" si="987"/>
        <v/>
      </c>
      <c r="PT233" s="43" t="str">
        <f t="shared" si="988"/>
        <v/>
      </c>
      <c r="PU233" s="43" t="str">
        <f t="shared" si="989"/>
        <v/>
      </c>
      <c r="PV233" s="43" t="str">
        <f t="shared" si="990"/>
        <v/>
      </c>
      <c r="PW233" s="43" t="str">
        <f t="shared" si="991"/>
        <v/>
      </c>
      <c r="PX233" s="43" t="str">
        <f t="shared" si="992"/>
        <v/>
      </c>
      <c r="PY233" s="43" t="str">
        <f t="shared" si="993"/>
        <v/>
      </c>
      <c r="PZ233" s="43" t="str">
        <f t="shared" si="994"/>
        <v/>
      </c>
      <c r="QA233" s="43" t="str">
        <f t="shared" si="995"/>
        <v/>
      </c>
      <c r="QB233" s="43" t="str">
        <f t="shared" si="996"/>
        <v/>
      </c>
      <c r="QC233" s="43" t="str">
        <f t="shared" si="997"/>
        <v/>
      </c>
      <c r="QD233" s="43" t="str">
        <f t="shared" si="998"/>
        <v/>
      </c>
      <c r="QE233" s="43" t="str">
        <f t="shared" si="999"/>
        <v/>
      </c>
      <c r="QF233" s="43" t="str">
        <f t="shared" si="1000"/>
        <v>SOBREPESO</v>
      </c>
      <c r="QG233" s="43" t="str">
        <f t="shared" si="1001"/>
        <v/>
      </c>
      <c r="QH233" s="43" t="str">
        <f t="shared" si="1002"/>
        <v/>
      </c>
      <c r="QI233" s="43" t="str">
        <f t="shared" si="1003"/>
        <v/>
      </c>
      <c r="QJ233" s="43" t="str">
        <f t="shared" si="1004"/>
        <v/>
      </c>
      <c r="QK233" s="43" t="str">
        <f t="shared" si="1005"/>
        <v/>
      </c>
      <c r="QL233" s="43" t="str">
        <f t="shared" si="1006"/>
        <v/>
      </c>
      <c r="QM233" s="43" t="str">
        <f t="shared" si="1007"/>
        <v/>
      </c>
      <c r="QN233" s="43" t="str">
        <f t="shared" si="1008"/>
        <v/>
      </c>
      <c r="QO233" s="43" t="str">
        <f t="shared" si="1009"/>
        <v/>
      </c>
      <c r="QP233" s="43" t="str">
        <f t="shared" si="1010"/>
        <v/>
      </c>
      <c r="QQ233" s="43" t="str">
        <f t="shared" si="1011"/>
        <v/>
      </c>
      <c r="QR233" s="43">
        <f t="shared" si="1012"/>
        <v>31</v>
      </c>
      <c r="QS233" s="43"/>
      <c r="QT233" s="21" t="str">
        <f t="shared" si="1013"/>
        <v/>
      </c>
      <c r="QU233" s="21" t="str">
        <f t="shared" si="1014"/>
        <v/>
      </c>
      <c r="QV233" s="21" t="str">
        <f t="shared" si="1015"/>
        <v/>
      </c>
      <c r="QW233" s="21" t="str">
        <f t="shared" si="1016"/>
        <v/>
      </c>
      <c r="QX233" s="21" t="str">
        <f t="shared" si="1017"/>
        <v/>
      </c>
      <c r="QY233" s="21" t="str">
        <f t="shared" si="1018"/>
        <v/>
      </c>
      <c r="QZ233" s="21" t="str">
        <f t="shared" si="1019"/>
        <v/>
      </c>
      <c r="RA233" s="21" t="str">
        <f t="shared" si="1020"/>
        <v/>
      </c>
      <c r="RB233" s="21" t="str">
        <f t="shared" si="1021"/>
        <v/>
      </c>
      <c r="RC233" s="21" t="str">
        <f t="shared" si="1022"/>
        <v/>
      </c>
      <c r="RD233" s="21" t="str">
        <f t="shared" si="1023"/>
        <v/>
      </c>
      <c r="RE233" s="21" t="str">
        <f t="shared" si="1024"/>
        <v/>
      </c>
      <c r="RF233" s="21" t="str">
        <f t="shared" si="1025"/>
        <v/>
      </c>
      <c r="RG233" s="21" t="str">
        <f t="shared" si="1026"/>
        <v/>
      </c>
      <c r="RH233" s="21" t="str">
        <f t="shared" si="1027"/>
        <v/>
      </c>
      <c r="RI233" s="21" t="str">
        <f t="shared" si="1028"/>
        <v/>
      </c>
      <c r="RJ233" s="21" t="str">
        <f t="shared" si="1029"/>
        <v/>
      </c>
      <c r="RK233" s="21" t="str">
        <f t="shared" si="1030"/>
        <v/>
      </c>
      <c r="RL233" s="21" t="str">
        <f t="shared" si="1031"/>
        <v>ALTO PARA EDAD GESTACIONAL</v>
      </c>
      <c r="RM233" s="21" t="str">
        <f t="shared" si="1032"/>
        <v/>
      </c>
      <c r="RN233" s="21" t="str">
        <f t="shared" si="1033"/>
        <v/>
      </c>
      <c r="RO233" s="21" t="str">
        <f t="shared" si="1034"/>
        <v/>
      </c>
      <c r="RP233" s="21" t="str">
        <f t="shared" si="1035"/>
        <v/>
      </c>
      <c r="RQ233" s="21" t="str">
        <f t="shared" si="1036"/>
        <v/>
      </c>
      <c r="RR233" s="21" t="str">
        <f t="shared" si="1037"/>
        <v/>
      </c>
      <c r="RS233" s="21" t="str">
        <f t="shared" si="1038"/>
        <v/>
      </c>
      <c r="RT233" s="21" t="str">
        <f t="shared" si="1039"/>
        <v/>
      </c>
      <c r="RU233" s="21" t="str">
        <f t="shared" si="1040"/>
        <v/>
      </c>
      <c r="RV233" s="21">
        <f t="shared" si="1041"/>
        <v>-1</v>
      </c>
      <c r="RW233" s="284">
        <f>IF(OR(Tabla1[[#This Row],[FUM FORMULA CONFIABLE]]="",Tabla1[[#This Row],[FUM FORMULA CONFIABLE]]="SD"),"",IF(Tabla1[[#This Row],[FUM FORMULA CONFIABLE]]="CORREGIDA",Tabla1[[#This Row],[FUM X ECO 1]],Tabla1[[#This Row],[FUM x AMENORREA]]))</f>
        <v>44929.9</v>
      </c>
      <c r="RX233" s="21">
        <f>IF(AND(Tabla1[[#This Row],[FUM X ECO 1]]="",Tabla1[[#This Row],[FUM x AMENORREA]]=""),"",IF(AND(Tabla1[[#This Row],[FUM X ECO 1]]="",Tabla1[[#This Row],[FUM x AMENORREA]]&lt;&gt;""),"X",SUM(Tabla1[[#This Row],[FUM X ECO 1]]-Tabla1[[#This Row],[FUM x AMENORREA]])))</f>
        <v>0.90000000000145519</v>
      </c>
      <c r="RY233" s="21">
        <f t="shared" si="1042"/>
        <v>0</v>
      </c>
    </row>
    <row r="234" spans="1:493" ht="45" customHeight="1" x14ac:dyDescent="0.25">
      <c r="A234" s="109"/>
      <c r="B234" s="43"/>
      <c r="C234" s="43" t="s">
        <v>845</v>
      </c>
      <c r="D234" s="124"/>
      <c r="E234" s="43" t="s">
        <v>1629</v>
      </c>
      <c r="F234" s="43" t="s">
        <v>1249</v>
      </c>
      <c r="G234" s="43" t="s">
        <v>1630</v>
      </c>
      <c r="H234" s="43"/>
      <c r="I234" s="109" t="s">
        <v>851</v>
      </c>
      <c r="J234">
        <v>1059601748</v>
      </c>
      <c r="K234" s="43" t="s">
        <v>852</v>
      </c>
      <c r="L234" s="175" t="s">
        <v>1509</v>
      </c>
      <c r="M234" s="22">
        <v>34227</v>
      </c>
      <c r="N234" s="213">
        <f t="shared" ca="1" si="841"/>
        <v>30.150684931506849</v>
      </c>
      <c r="O234" s="22">
        <v>45112</v>
      </c>
      <c r="P234" s="214" t="str">
        <f t="shared" si="919"/>
        <v>SI</v>
      </c>
      <c r="Q234" s="26" t="s">
        <v>855</v>
      </c>
      <c r="R234" s="22">
        <v>45112</v>
      </c>
      <c r="S234" s="21" t="s">
        <v>856</v>
      </c>
      <c r="T234" s="24" t="s">
        <v>690</v>
      </c>
      <c r="U234" s="21" t="s">
        <v>857</v>
      </c>
      <c r="V234" s="21" t="s">
        <v>858</v>
      </c>
      <c r="W234" s="21" t="s">
        <v>955</v>
      </c>
      <c r="X234" s="21" t="s">
        <v>955</v>
      </c>
      <c r="Y234" s="21" t="s">
        <v>955</v>
      </c>
      <c r="Z234" s="21" t="s">
        <v>846</v>
      </c>
      <c r="AA234" s="21" t="s">
        <v>860</v>
      </c>
      <c r="AB234" s="27" t="s">
        <v>861</v>
      </c>
      <c r="AC234" s="26" t="s">
        <v>862</v>
      </c>
      <c r="AD234" s="38" t="s">
        <v>1546</v>
      </c>
      <c r="AE234" s="26" t="s">
        <v>854</v>
      </c>
      <c r="AF234" s="26" t="s">
        <v>854</v>
      </c>
      <c r="AG234" s="23" t="s">
        <v>864</v>
      </c>
      <c r="AH234" s="23" t="s">
        <v>864</v>
      </c>
      <c r="AI234" s="24" t="s">
        <v>863</v>
      </c>
      <c r="AJ234" s="23" t="s">
        <v>864</v>
      </c>
      <c r="AK234" s="220" t="str">
        <f>IF(AND(AD234="",AE234="",AF234="",AG234="",AH234="",AI234="",AJ234=""),"",IF(OR(Tabla1[[#This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EVALUACIÓN",IF(AND(O234="",R234=""),"",IF(AND(OR(O234&gt;0,R234&gt;0),NG234&gt;=0,NG234&lt;2),"SIN RIESGO",IF(AND(OR(O234&gt;0,R234&gt;0),NG234&gt;=2),"CON RIESGO","ASD")))))</f>
        <v>SIN RIESGO</v>
      </c>
      <c r="AL234" s="26" t="s">
        <v>864</v>
      </c>
      <c r="AM234" s="26" t="s">
        <v>864</v>
      </c>
      <c r="AN234" s="26" t="s">
        <v>864</v>
      </c>
      <c r="AO234" s="26" t="s">
        <v>864</v>
      </c>
      <c r="AP234" s="26" t="s">
        <v>864</v>
      </c>
      <c r="AQ234" s="26" t="s">
        <v>864</v>
      </c>
      <c r="AR234" s="26" t="s">
        <v>864</v>
      </c>
      <c r="AS234" s="21">
        <v>5</v>
      </c>
      <c r="AT234" s="21">
        <v>4</v>
      </c>
      <c r="AU234" s="21">
        <v>1</v>
      </c>
      <c r="AV234" s="26" t="s">
        <v>864</v>
      </c>
      <c r="AW234" s="21">
        <v>0</v>
      </c>
      <c r="AX234" s="26" t="s">
        <v>864</v>
      </c>
      <c r="AY234" s="26" t="s">
        <v>864</v>
      </c>
      <c r="AZ234" s="26" t="s">
        <v>864</v>
      </c>
      <c r="BA234" s="26" t="s">
        <v>865</v>
      </c>
      <c r="BB234" s="26" t="s">
        <v>864</v>
      </c>
      <c r="BC234" s="26" t="s">
        <v>864</v>
      </c>
      <c r="BD234" s="26" t="s">
        <v>864</v>
      </c>
      <c r="BE234" s="26" t="s">
        <v>864</v>
      </c>
      <c r="BF234" s="26" t="s">
        <v>864</v>
      </c>
      <c r="BG234" s="26" t="s">
        <v>864</v>
      </c>
      <c r="BH234" s="26" t="s">
        <v>864</v>
      </c>
      <c r="BI234" s="26" t="s">
        <v>864</v>
      </c>
      <c r="BJ234" s="26" t="s">
        <v>864</v>
      </c>
      <c r="BK234" s="26" t="s">
        <v>864</v>
      </c>
      <c r="BL234" s="26" t="s">
        <v>864</v>
      </c>
      <c r="BM234" s="26" t="s">
        <v>864</v>
      </c>
      <c r="BN234" s="22"/>
      <c r="BO234" s="22">
        <v>45036</v>
      </c>
      <c r="BP234" s="21" t="s">
        <v>854</v>
      </c>
      <c r="BQ234" s="222">
        <f t="shared" si="842"/>
        <v>0</v>
      </c>
      <c r="BR234" s="223">
        <f t="shared" si="843"/>
        <v>44920.5</v>
      </c>
      <c r="BS234" s="224">
        <f t="shared" si="844"/>
        <v>10.857142857142858</v>
      </c>
      <c r="BT234" s="216" t="str">
        <f t="shared" si="845"/>
        <v>II TRIM</v>
      </c>
      <c r="BU234" s="214">
        <f t="shared" ca="1" si="928"/>
        <v>28</v>
      </c>
      <c r="BV234" s="25" t="s">
        <v>988</v>
      </c>
      <c r="BW234" s="22">
        <v>45036</v>
      </c>
      <c r="BX234" s="28">
        <v>16.5</v>
      </c>
      <c r="BY234" s="28"/>
      <c r="BZ234" s="22"/>
      <c r="CA234" s="21"/>
      <c r="CB234" s="26" t="s">
        <v>864</v>
      </c>
      <c r="CC234" s="26" t="s">
        <v>864</v>
      </c>
      <c r="CD234" s="26"/>
      <c r="CE234" s="26" t="s">
        <v>864</v>
      </c>
      <c r="CF234" s="22" t="s">
        <v>1517</v>
      </c>
      <c r="CG234" s="21">
        <v>1.49</v>
      </c>
      <c r="CH234" s="21">
        <v>58.6</v>
      </c>
      <c r="CI234" s="214">
        <f t="shared" si="847"/>
        <v>26.395207423089051</v>
      </c>
      <c r="CJ234" s="225" t="e">
        <f>IF(AND(CI234&lt;10,CH234="SD"),"SIN DATO PESO PREGESTACION O I TRIM",IF(AND(OR(R234&gt;0,O234&gt;0),CI234="X"),"INGRESAR DATO DE PESO",IF(CI234="SD","INGRESAR DATO DE TALLA Y PESO",IF(AND(OR(Tabla1[[#This Row],[MOMENTO EN QUE SE REALIZA EL PESO AL INGRESO A CPN]]="PREGESTACIÓN",NZ234="Menor"),CI234&lt;18.5),"BAJO PESO",IF(AND(OR(Tabla1[[#This Row],[MOMENTO EN QUE SE REALIZA EL PESO AL INGRESO A CPN]]="PREGESTACIÓN",NZ234="Menor"),CI234&lt;25),"NORMAL",IF(AND(OR(Tabla1[[#This Row],[MOMENTO EN QUE SE REALIZA EL PESO AL INGRESO A CPN]]="PREGESTACIÓN",NZ234="Menor"),CI234&lt;30),"SOBREPESO",IF(AND(OR(Tabla1[[#This Row],[MOMENTO EN QUE SE REALIZA EL PESO AL INGRESO A CPN]]="PREGESTACIÓN",NZ234="Menor"),CI234&gt;=30,CI234&lt;50),"OBESIDAD",IF(AND(BS234&gt;0,Tabla1[[#This Row],[MOMENTO EN QUE SE REALIZA EL PESO AL INGRESO A CPN]]="GESTACIÓN"),HLOOKUP(NZ234,$OA$2:PH234,NY234),""))))))))</f>
        <v>#REF!</v>
      </c>
      <c r="CK234" s="212">
        <f t="shared" si="848"/>
        <v>45153</v>
      </c>
      <c r="CL234" s="21">
        <v>61</v>
      </c>
      <c r="CM234" s="214">
        <f t="shared" si="849"/>
        <v>27.476239809017613</v>
      </c>
      <c r="CN234" s="216">
        <f t="shared" si="850"/>
        <v>16</v>
      </c>
      <c r="CO234" s="216" t="e">
        <f>IF(PI234="","",IF(PI234&gt;0,HLOOKUP(PI234,$PJ$2:QQ234,NY234),""))</f>
        <v>#REF!</v>
      </c>
      <c r="CP234" s="21"/>
      <c r="CQ234" s="216" t="e">
        <f>IF(QR234="Menor","NO APLICA-MENOR 13 SEM",IF(AND(CC234="SI",CN234&gt;23),"NO APLICA- GEMELAR",IF(QR234="","",IF(QR234&gt;0,HLOOKUP(QR234,$QS$2:RU234,NY234),""))))</f>
        <v>#REF!</v>
      </c>
      <c r="CR234" s="21">
        <v>100</v>
      </c>
      <c r="CS234" s="21">
        <v>60</v>
      </c>
      <c r="CT234" s="217" t="str">
        <f>IF(R234="","",IF(AND(BS234&gt;1,BS234&lt;12,Tabla1[[#This Row],[T.A. SISTOLICA - ANTES DE SEMANA 12]]="",Tabla1[[#This Row],[T.A. DIASTOLICA - ANTES DE SEMANA 12]]=""),"REGISTRE DATO TA ANTES SEMANA 12",IF(AND(BS234&gt;11,BS234&lt;43,Tabla1[[#This Row],[T.A. SISTOLICA - ANTES DE SEMANA 12]]="",Tabla1[[#This Row],[T.A. DIASTOLICA - ANTES DE SEMANA 12]]=""),"NO APLICA REGISTRO TA-INGRESO TARDIO",IF(AND(OR(O234&gt;0,R234&gt;0),OR(CR234&gt;=140,CS234&gt;=90)),"DEFINIR ESTADIO HTA",IF(AND(OR(O234&gt;0,R234&gt;0),AND(CR234&gt;120,CR234&lt;=139)),"PRE HTA SEGUIMIENTO",IF(AND(OR(O234&gt;0,R234&gt;0),AND(CS234&gt;80,CS234&lt;=89)),"PRE HTA SEGUIMIENTO",IF(AND(OR(O234&gt;0,R234&gt;0),AND(CR234&gt;=80,CR234&lt;=120)),"APARENTEMENTE NORMAL",IF(AND(OR(O234&gt;0,R234&gt;0),AND(CS234&gt;=50,CS234&lt;=80)),"APARENTEMENTE NORMAL",IF(AND(OR(O234&gt;0,R234&gt;0),AND(CR234&gt;1,CR234&lt;=70),AND(CS234&gt;1,CS234&lt;=40)),"HIPOTENSIÓN","")))))))))</f>
        <v>APARENTEMENTE NORMAL</v>
      </c>
      <c r="CU234" s="21"/>
      <c r="CV234" s="21"/>
      <c r="CW234" s="217" t="str">
        <f ca="1">IF(R234="","",IF(AND(CN234&gt;19,CN234&lt;27,Tabla1[[#This Row],[T.A. SISTOLICA (Entre semana 20 y 26)]]="",Tabla1[[#This Row],[T.A. DIATOLICA (Entre semana 20 y 26)]]=""),"ACUDE A CONTROL SEM 20 A 26 REGISTRE TA AHORA",IF(AND(BS234&gt;1,BS234&lt;27,BU234&gt;19,Tabla1[[#This Row],[T.A. SISTOLICA (Entre semana 20 y 26)]]="",Tabla1[[#This Row],[T.A. DIATOLICA (Entre semana 20 y 26)]]=""),"COMPLETE REGISTRO TA CONTROL SEM 20 A26 ",IF(AND(BS234&gt;26,BS234&lt;43,Tabla1[[#This Row],[T.A. SISTOLICA (Entre semana 20 y 26)]]="",Tabla1[[#This Row],[T.A. DIATOLICA (Entre semana 20 y 26)]]=""),"NO APLICA REGISTRO TA-INGRESO TARDIO",IF(AND(OR(O234&gt;0,R234&gt;0),OR(CU234&gt;=140,CV234&gt;=90)),"ALTO RIESGO PREECLAMPSIA,DEFINIR ESTADIO HTA",IF(AND(OR(O234&gt;0,R234&gt;0),AND(CU234&gt;120,CU234&lt;=139)),"PRE HTA SEGUIMIENTO,RIESGO HIPERTENSION INDUCIDA POR EL EMBARAZO",IF(AND(OR(O234&gt;0,R234&gt;0),AND(CV234&gt;80,CV234&lt;=89)),"PRE HTA SEGUIMIENTO, RIESGO HIPERTENSION INDUCIDA POR EL EMBARAZO",IF(AND(OR(O234&lt;&gt;"",R234&lt;&gt;""),CS234&lt;&gt;"",CV234&lt;&gt;"",CS234&lt;=CV234),"VIGILAR CIFRAS PRESION ARTERIAL",IF(AND(OR(O234&gt;0,R234&gt;0),AND(CU234&gt;120,CU234&lt;=139)),"PRE HTA SEGUIMIENTO",IF(AND(OR(O234&gt;0,R234&gt;0),AND(CU234&gt;1,CU234&lt;=70),AND(CV234&gt;1,CV234&lt;=40)),"HIPOTENSIÓN",IF(AND(OR(O234&lt;&gt;"",R234&lt;&gt;""),CS234&lt;&gt;"",CV234&lt;&gt;"",CS234&gt;CV234),"APARENTEMENTE NORMAL",IF(AND(OR(O234&gt;0,R234&gt;0),AND(CU234&gt;=80,CU234&lt;=120)),"APARENTEMENTE NORMAL",IF(AND(OR(O234&gt;0,R234&gt;0),AND(CV234&gt;=50,CV234&lt;=80)),"APARENTEMENTE NORMAL","")))))))))))))</f>
        <v xml:space="preserve">COMPLETE REGISTRO TA CONTROL SEM 20 A26 </v>
      </c>
      <c r="CX234" s="21"/>
      <c r="CY234" s="21"/>
      <c r="CZ234" s="216" t="str">
        <f t="shared" si="1045"/>
        <v/>
      </c>
      <c r="DA234" s="21">
        <v>90</v>
      </c>
      <c r="DB234" s="21">
        <v>60</v>
      </c>
      <c r="DC234" s="217" t="str">
        <f t="shared" si="851"/>
        <v>APARENTEMENTE NORMAL</v>
      </c>
      <c r="DD234" s="22">
        <v>45112</v>
      </c>
      <c r="DE234" s="22">
        <v>45112</v>
      </c>
      <c r="DF234" s="22">
        <v>45153</v>
      </c>
      <c r="DG234" s="22"/>
      <c r="DH234" s="22"/>
      <c r="DI234" s="22"/>
      <c r="DJ234" s="22"/>
      <c r="DK234" s="22"/>
      <c r="DL234" s="22"/>
      <c r="DM234" s="22"/>
      <c r="DN234" s="22"/>
      <c r="DO234" s="22"/>
      <c r="DP234" s="22"/>
      <c r="DQ234" s="22"/>
      <c r="DR234" s="28"/>
      <c r="DS234" s="22"/>
      <c r="DT234" s="22"/>
      <c r="DU234" s="216" t="str">
        <f t="shared" ca="1" si="920"/>
        <v>PLANEAR PLAN DE PARTO</v>
      </c>
      <c r="DV234" s="226" t="str">
        <f t="shared" si="921"/>
        <v>ACTIVA INGRESO A CPN</v>
      </c>
      <c r="DW23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34" s="216" t="e">
        <f t="shared" ca="1" si="852"/>
        <v>#REF!</v>
      </c>
      <c r="DY234" s="212">
        <f>IF(R234="","",IF(R234&gt;0,MAX(Tabla1[[#This Row],[FECHA C2]:[FECHA C13]],Tabla1[[#This Row],[FECHA CONSULTA PRIMERA VEZ PROGRAMA CPN ]])))</f>
        <v>45153</v>
      </c>
      <c r="DZ234" s="216">
        <f t="shared" si="853"/>
        <v>16</v>
      </c>
      <c r="EA234" s="222">
        <f>IF(R234&gt;0,SUM(COUNTA(DF234:DQ234)+COUNTA(Tabla1[[#This Row],[FECHA CONSULTA PRIMERA VEZ PROGRAMA CPN ]])),"")</f>
        <v>2</v>
      </c>
      <c r="EB234" s="222" t="str">
        <f t="shared" si="854"/>
        <v>NO</v>
      </c>
      <c r="EC234" s="214">
        <f t="shared" si="855"/>
        <v>9</v>
      </c>
      <c r="ED234" s="227">
        <f t="shared" si="856"/>
        <v>0.22222222222222221</v>
      </c>
      <c r="EE234" s="22">
        <v>45112</v>
      </c>
      <c r="EF234" s="22"/>
      <c r="EG234" s="22">
        <v>45112</v>
      </c>
      <c r="EH234" s="22"/>
      <c r="EI234" s="22">
        <v>45112</v>
      </c>
      <c r="EJ234" s="22"/>
      <c r="EK234" s="22"/>
      <c r="EL234" s="21"/>
      <c r="EM234" s="21"/>
      <c r="EN234" s="22"/>
      <c r="EO234" s="222" t="str">
        <f t="shared" si="857"/>
        <v>TOMAR EXAMEN</v>
      </c>
      <c r="EP234" s="214" t="str">
        <f t="shared" si="858"/>
        <v/>
      </c>
      <c r="EQ234" s="216" t="str">
        <f t="shared" si="859"/>
        <v>POR DEFINIR</v>
      </c>
      <c r="ER234" s="24"/>
      <c r="ES234" s="22"/>
      <c r="ET234" s="29" t="str">
        <f t="shared" ca="1" si="922"/>
        <v>EN SEMANA 28 TOMA INMEDIATA DE EXAMEN</v>
      </c>
      <c r="EU234" s="25" t="str">
        <f t="shared" si="860"/>
        <v/>
      </c>
      <c r="EV234" s="24"/>
      <c r="EW234" s="24"/>
      <c r="EX234" s="22"/>
      <c r="EY234" s="29" t="str">
        <f t="shared" si="1043"/>
        <v>TOMAR EXAMEN</v>
      </c>
      <c r="EZ234" s="25" t="str">
        <f t="shared" ca="1" si="1044"/>
        <v/>
      </c>
      <c r="FA234" s="21"/>
      <c r="FB234" s="22"/>
      <c r="FC234" s="29" t="str">
        <f t="shared" si="861"/>
        <v>TOMAR EXAMEN</v>
      </c>
      <c r="FD234" s="29"/>
      <c r="FE234" s="29"/>
      <c r="FF234" s="29"/>
      <c r="FG234" s="21" t="str">
        <f t="shared" ca="1" si="862"/>
        <v>TOMAR PTOG</v>
      </c>
      <c r="FH234" s="31"/>
      <c r="FI234" s="29" t="str">
        <f t="shared" si="863"/>
        <v>TOMAR EXAMEN</v>
      </c>
      <c r="FJ234" s="22"/>
      <c r="FK234" s="22"/>
      <c r="FL234" s="29" t="str">
        <f t="shared" ca="1" si="864"/>
        <v>PIERDE TOMA DE TAMIZAJE</v>
      </c>
      <c r="FM234" s="22"/>
      <c r="FN234" s="32"/>
      <c r="FO234" s="29" t="str">
        <f t="shared" ca="1" si="923"/>
        <v>PIERDE TOMA DE TAMIZAJE</v>
      </c>
      <c r="FP234" s="22"/>
      <c r="FQ234" s="32"/>
      <c r="FR234" s="29" t="str">
        <f t="shared" ca="1" si="924"/>
        <v>EN RANGO PARA TOMAR EXAMEN</v>
      </c>
      <c r="FS234" s="22"/>
      <c r="FT234" s="32"/>
      <c r="FU234" s="29" t="str">
        <f>IF(AND(FJ234="",FM234="",FP234="",FS234=""),"",IF(OR(OR(Tabla1[[#This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34" s="28"/>
      <c r="FW234" s="22"/>
      <c r="FX234" s="29" t="str">
        <f t="shared" si="865"/>
        <v>TOMAR EXAMEN</v>
      </c>
      <c r="FY234" s="22"/>
      <c r="FZ234" s="22"/>
      <c r="GA234" s="29" t="str">
        <f t="shared" ca="1" si="939"/>
        <v>PIERDE TOMA DE TAMIZAJE</v>
      </c>
      <c r="GB234" s="22"/>
      <c r="GC234" s="22"/>
      <c r="GD234" s="29" t="str">
        <f t="shared" ca="1" si="1048"/>
        <v>PIERDE TOMA DE TAMIZAJE</v>
      </c>
      <c r="GE234" s="22"/>
      <c r="GF234" s="22"/>
      <c r="GG234" s="29" t="str">
        <f t="shared" ca="1" si="926"/>
        <v>EN RANGO PARA TOMAR EXAMEN</v>
      </c>
      <c r="GH234" s="22"/>
      <c r="GI234" s="29"/>
      <c r="GJ234" s="22"/>
      <c r="GK234" s="22"/>
      <c r="GL234" s="22"/>
      <c r="GM234" s="22"/>
      <c r="GN234" s="28"/>
      <c r="GO234" s="22"/>
      <c r="GP234" s="29" t="str">
        <f t="shared" si="866"/>
        <v>TOMAR EXAMEN</v>
      </c>
      <c r="GQ234" s="28"/>
      <c r="GR234" s="28"/>
      <c r="GS234" s="22" t="str">
        <f t="shared" si="1047"/>
        <v/>
      </c>
      <c r="GT234" s="22"/>
      <c r="GU234" s="29" t="str">
        <f t="shared" si="867"/>
        <v>TOMAR EXAMEN</v>
      </c>
      <c r="GV234" s="21" t="str">
        <f t="shared" si="868"/>
        <v>POR DEFINIR</v>
      </c>
      <c r="GW234" s="28"/>
      <c r="GX234" s="30"/>
      <c r="GY234" s="21"/>
      <c r="GZ234" s="21"/>
      <c r="HA234" s="21"/>
      <c r="HB234" s="21"/>
      <c r="HC234" s="21"/>
      <c r="HD234" s="21"/>
      <c r="HE234" s="21"/>
      <c r="HF234" s="22"/>
      <c r="HG234" s="22" t="str">
        <f>IF(OR(O234&gt;0,R234&gt;0),CONCATENATE(IF(Tabla1[[#This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34" s="22" t="e">
        <f t="shared" si="869"/>
        <v>#REF!</v>
      </c>
      <c r="HI234" s="22" t="e">
        <f t="shared" ca="1" si="870"/>
        <v>#REF!</v>
      </c>
      <c r="HJ234" s="21" t="str">
        <f t="shared" ca="1" si="871"/>
        <v>***************************************</v>
      </c>
      <c r="HK234" s="21" t="str">
        <f t="shared" si="872"/>
        <v>SIN ANTECEDENTES DE RIESGO</v>
      </c>
      <c r="HL234" s="24" t="str">
        <f t="shared" si="873"/>
        <v>APARENTEMENTE NORMAL</v>
      </c>
      <c r="HM234" s="21" t="e">
        <f t="shared" ca="1" si="874"/>
        <v>#REF!</v>
      </c>
      <c r="HN234" s="30" t="str">
        <f t="shared" si="927"/>
        <v>ACTIVA INGRESO A CPN</v>
      </c>
      <c r="HO234" s="21"/>
      <c r="HP234" s="21"/>
      <c r="HQ234" s="349"/>
      <c r="HR234" s="21" t="str">
        <f>IF(R234="","",IF(Tabla1[[#This Row],[ALARMA FACTORES DE RIESGO COMPLICACIONES HIPERTENSIVAS3]]="SIN ANTECEDENTES DE RIESGO","No Aplica para suministro de ASA",IF(AND(Tabla1[[#This Row],[FECHA INICIO DE SUMINISTRO DE ASA]]&gt;0,RV234&lt;12),"Inicia ASA ANTES de Sem 12",IF(AND(RV234&gt;11,RV234&lt;17,OR(HK234="RIESGO ALTO DE COMPLICACIONES HIPERTENSIVAS VER MANEJO GUIA SUMINISTRO ASA Y CALCIO",HK234="RIESGO MODERADO (2 O MAS CRITERIOS) VER MANEJO GUIA SUMINISTRO ASA Y CALCIO")),"Inicio oportuno de ASA",IF(AND(RV234&gt;12,OR(HK234="RIESGO ALTO DE COMPLICACIONES HIPERTENSIVAS VER MANEJO GUIA SUMINISTRO ASA Y CALCIO",HK234="RIESGO MODERADO (2 O MAS CRITERIOS) VER MANEJO GUIA SUMINISTRO ASA Y CALCIO")),"Inicio no oportuno mayor a 16 semanas",IF(AND(BU234&lt;12,OR(HK234="RIESGO ALTO DE COMPLICACIONES HIPERTENSIVAS VER MANEJO GUIA SUMINISTRO ASA Y CALCIO",HK234="RIESGO MODERADO (2 O MAS CRITERIOS) VER MANEJO GUIA SUMINISTRO ASA Y CALCIO")),"Pendiente Inicio de ASA a la semana 12",IF(AND(BU234&gt;11,BU234&lt;17,OR(HK234="RIESGO ALTO DE COMPLICACIONES HIPERTENSIVAS VER MANEJO GUIA SUMINISTRO ASA Y CALCIO",HK234="RIESGO MODERADO (2 O MAS CRITERIOS) VER MANEJO GUIA SUMINISTRO ASA Y CALCIO")),"Iniciar de inmediato ASA",IF(AND(BU234&gt;16,OR(HK234="RIESGO ALTO DE COMPLICACIONES HIPERTENSIVAS VER MANEJO GUIA SUMINISTRO ASA Y CALCIO",HK234="RIESGO MODERADO (2 O MAS CRITERIOS) VER MANEJO GUIA SUMINISTRO ASA Y CALCIO")),"Pierde Oportunidad, Inicio tardío de ASA","XXXXX"))))))))</f>
        <v>No Aplica para suministro de ASA</v>
      </c>
      <c r="HS234" s="22">
        <v>45112</v>
      </c>
      <c r="HT234" s="22" t="s">
        <v>1518</v>
      </c>
      <c r="HU234" s="22">
        <v>45112</v>
      </c>
      <c r="HV234" s="22" t="s">
        <v>1544</v>
      </c>
      <c r="HW234" s="22">
        <v>45112</v>
      </c>
      <c r="HX234" s="22" t="s">
        <v>1511</v>
      </c>
      <c r="HY234" s="22">
        <v>45154</v>
      </c>
      <c r="HZ234" s="28">
        <f t="shared" si="875"/>
        <v>16.857142857142858</v>
      </c>
      <c r="IA234" s="26"/>
      <c r="IB234" s="26"/>
      <c r="IC234" s="111"/>
      <c r="ID234" s="22"/>
      <c r="IE234" s="22" t="str">
        <f t="shared" ca="1" si="876"/>
        <v>INASISTENTE</v>
      </c>
      <c r="IF234" s="22"/>
      <c r="IG234" s="22">
        <f t="shared" si="877"/>
        <v>45316</v>
      </c>
      <c r="IH234" s="29">
        <f t="shared" ca="1" si="878"/>
        <v>84</v>
      </c>
      <c r="II234" s="22" t="str">
        <f t="shared" ca="1" si="879"/>
        <v>PENDIENTE</v>
      </c>
      <c r="IJ234" s="22"/>
      <c r="IK234" s="21"/>
      <c r="IL234" s="21"/>
      <c r="IM234" s="34"/>
      <c r="IN234" s="22"/>
      <c r="IO234" s="21"/>
      <c r="IP234" s="29" t="str">
        <f t="shared" si="880"/>
        <v/>
      </c>
      <c r="IQ234" s="35"/>
      <c r="IR234" s="21"/>
      <c r="IS234" s="21"/>
      <c r="IT234" s="21"/>
      <c r="IU234" s="21"/>
      <c r="IV234" s="21"/>
      <c r="IW234" s="21"/>
      <c r="IX234" s="21"/>
      <c r="IY234" s="21"/>
      <c r="IZ234" s="21"/>
      <c r="JA234" s="21"/>
      <c r="JB234" s="30"/>
      <c r="JC234" s="21"/>
      <c r="JD234" s="36"/>
      <c r="JE234" s="21" t="str">
        <f t="shared" si="881"/>
        <v/>
      </c>
      <c r="JF234" s="30"/>
      <c r="JG234" s="21"/>
      <c r="JH234" s="21"/>
      <c r="JI234" s="21"/>
      <c r="JJ234" s="30"/>
      <c r="JK234" s="22"/>
      <c r="JL234" s="22"/>
      <c r="JM234" s="21"/>
      <c r="JN234" s="36"/>
      <c r="JO234" s="21" t="str">
        <f t="shared" si="882"/>
        <v/>
      </c>
      <c r="JP234" s="22"/>
      <c r="JQ234" s="21"/>
      <c r="JR234" s="21"/>
      <c r="JS234" s="21"/>
      <c r="JT234" s="30"/>
      <c r="JU234" s="22"/>
      <c r="JV234" s="22"/>
      <c r="JW234" s="33"/>
      <c r="JX234" s="28" t="str">
        <f t="shared" si="883"/>
        <v/>
      </c>
      <c r="JY234" s="159"/>
      <c r="JZ234" s="28" t="str">
        <f t="shared" si="884"/>
        <v/>
      </c>
      <c r="KA234" s="21"/>
      <c r="KB234" s="21"/>
      <c r="KC234" s="21"/>
      <c r="KD234" s="37"/>
      <c r="KE234" s="28"/>
      <c r="KF234" s="28"/>
      <c r="KG234" s="28"/>
      <c r="KH234" s="39"/>
      <c r="KI234" s="39"/>
      <c r="KJ234" s="66"/>
      <c r="KK234" s="39"/>
      <c r="KL234" s="39"/>
      <c r="KM234" s="66"/>
      <c r="KN234" s="39"/>
      <c r="KO234" s="39"/>
      <c r="KP234" s="39"/>
      <c r="KQ234" s="39"/>
      <c r="KR234" s="39"/>
      <c r="KS234" s="39"/>
      <c r="KT234" s="39"/>
      <c r="KU234" s="38"/>
      <c r="KV234" s="38"/>
      <c r="KW234" s="38"/>
      <c r="KX234" s="38"/>
      <c r="KY234" s="38"/>
      <c r="KZ234" s="38"/>
      <c r="LA234" s="38"/>
      <c r="LB234" s="38"/>
      <c r="LC234" s="38"/>
      <c r="LD234" s="38"/>
      <c r="LE234" s="38"/>
      <c r="LF234" s="38"/>
      <c r="LG234" s="38"/>
      <c r="LH234" s="38"/>
      <c r="LI234" s="38"/>
      <c r="LJ234" s="38"/>
      <c r="LK234" s="38"/>
      <c r="LL234" s="38"/>
      <c r="LM234" s="38"/>
      <c r="LN234" s="38"/>
      <c r="LO234" s="38"/>
      <c r="LP234" s="38"/>
      <c r="LQ234" s="38"/>
      <c r="LR234" s="38"/>
      <c r="LS234" s="38"/>
      <c r="LT234" s="38"/>
      <c r="LU234" s="38"/>
      <c r="LV234" s="38"/>
      <c r="LW234" s="38"/>
      <c r="LX234" s="38"/>
      <c r="LY234" s="38"/>
      <c r="LZ234" s="38"/>
      <c r="MA234" s="38"/>
      <c r="MB234" s="38"/>
      <c r="MC234" s="38"/>
      <c r="MD234" s="38"/>
      <c r="ME234" s="38"/>
      <c r="MF234" s="38"/>
      <c r="MG234" s="38"/>
      <c r="MH234" s="43">
        <f t="shared" si="885"/>
        <v>0</v>
      </c>
      <c r="MI234" s="43" t="str">
        <f t="shared" si="929"/>
        <v/>
      </c>
      <c r="MJ234" s="43" t="str">
        <f t="shared" si="887"/>
        <v/>
      </c>
      <c r="MK234" s="43">
        <f t="shared" si="888"/>
        <v>0</v>
      </c>
      <c r="ML23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34" s="43">
        <f t="shared" si="930"/>
        <v>10.857142857142858</v>
      </c>
      <c r="MN234" s="43">
        <f t="shared" si="931"/>
        <v>7</v>
      </c>
      <c r="MO234" s="43">
        <f t="shared" si="932"/>
        <v>2023</v>
      </c>
      <c r="MP234" s="43" t="str">
        <f t="shared" si="892"/>
        <v>III TRIMESTRE AÑO</v>
      </c>
      <c r="MQ234" s="43">
        <f t="shared" si="933"/>
        <v>29.374726237406918</v>
      </c>
      <c r="MR234" s="43">
        <f t="shared" si="894"/>
        <v>0</v>
      </c>
      <c r="MS234" s="43" t="str">
        <f t="shared" si="895"/>
        <v xml:space="preserve"> DE 25 A 29 AÑOS</v>
      </c>
      <c r="MT234" s="43" t="str">
        <f t="shared" si="896"/>
        <v/>
      </c>
      <c r="MU234" s="43">
        <f t="shared" si="897"/>
        <v>0</v>
      </c>
      <c r="MV234" s="43">
        <f t="shared" si="898"/>
        <v>0</v>
      </c>
      <c r="MW234" s="43">
        <f t="shared" si="899"/>
        <v>0</v>
      </c>
      <c r="MX234" s="43" t="str">
        <f t="shared" si="900"/>
        <v/>
      </c>
      <c r="MY234" s="43" t="str">
        <f t="shared" ca="1" si="901"/>
        <v/>
      </c>
      <c r="MZ234" s="43" t="str">
        <f t="shared" si="902"/>
        <v/>
      </c>
      <c r="NA234" s="43" t="str">
        <f t="shared" si="903"/>
        <v/>
      </c>
      <c r="NB234" s="43" t="str">
        <f t="shared" si="904"/>
        <v/>
      </c>
      <c r="NC234" s="43" t="str">
        <f t="shared" si="905"/>
        <v/>
      </c>
      <c r="ND234" s="43">
        <f t="shared" ca="1" si="934"/>
        <v>0</v>
      </c>
      <c r="NE234" s="43">
        <f>IF(OR(O234&gt;0,R234&gt;0),SUM(COUNTIF(Tabla1[[#This Row],[AÑOS AL INICIO5 CPN]],"&gt;=40"),COUNTIF(AS234,"0"),COUNTIF(AR234,"SI"),COUNTIF(CC234,"SI"),COUNTIF(BQ234,"&gt;119"),COUNTIF(CI234,"&gt;=35")),"")</f>
        <v>0</v>
      </c>
      <c r="NF234" s="43" t="str">
        <f t="shared" si="935"/>
        <v/>
      </c>
      <c r="NG234" s="43">
        <f t="shared" si="908"/>
        <v>0</v>
      </c>
      <c r="NH234" s="43">
        <f t="shared" si="909"/>
        <v>115.5</v>
      </c>
      <c r="NI23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CPN",P234="NO"),"Z",IF(AND(Tabla1[[#This Row],[CITA PROXIMO CONTROL]]="CITA MANUAL",Tabla1[[#This Row],[GESTANTES ACTUALES]]="ACTIVA INGRESO A CPN"),"W",IF(AND(Tabla1[[#This Row],[GESTANTES ACTUALES]]="SALIO PROGRAMA",IN234=""),"S",IF(AND(Tabla1[[#This Row],[CITA PROXIMO CONTROL]]&gt;0,IN234=""),(Tabla1[[#This Row],[CITA PROXIMO CONTROL]]-TODAY()),"SD"))))))))</f>
        <v>#REF!</v>
      </c>
      <c r="NJ234" s="43">
        <f>MONTH(Tabla1[[#This Row],[FECHA DE SALIDA  DEL PROGRAMA]])</f>
        <v>1</v>
      </c>
      <c r="NK234" s="43">
        <f>YEAR(Tabla1[[#This Row],[FECHA DE SALIDA  DEL PROGRAMA]])</f>
        <v>1900</v>
      </c>
      <c r="NL234" s="43" t="str">
        <f t="shared" si="936"/>
        <v>X</v>
      </c>
      <c r="NM234" s="43" t="str">
        <f t="shared" si="941"/>
        <v>NO</v>
      </c>
      <c r="NN234" s="43" t="str">
        <f ca="1">IF(AND(O234&gt;0,R234=""),"NO CPN",IF(AND(O234="",R234=""),"",IF(AND(R234&gt;0,Tabla1[[#This Row],[SEMANAS DE GESTACION ACTUALIZADAS]]&lt;=12),"NO APLICA",IF(AND(FH234&lt;&gt;"",FN234&lt;&gt;""),"SI","NO"))))</f>
        <v>NO</v>
      </c>
      <c r="NO234" s="43" t="str">
        <f ca="1">IF(AND(O234&gt;0,R234=""),"NO CPN",IF(AND(O234="",R234=""),"",IF(AND(R234&gt;0,Tabla1[[#This Row],[SEMANAS DE GESTACION ACTUALIZADAS]]&lt;=27),"NO APLICA",IF(AND(ES234&lt;&gt;"",FQ234&lt;&gt;"",GF234&lt;&gt;""),"SI","NO"))))</f>
        <v>NO</v>
      </c>
      <c r="NP234" s="204" t="str">
        <f t="shared" si="912"/>
        <v>I TRIM</v>
      </c>
      <c r="NQ234" s="21" t="str">
        <f t="shared" si="1046"/>
        <v/>
      </c>
      <c r="NR234" s="21">
        <f t="shared" ca="1" si="937"/>
        <v>3</v>
      </c>
      <c r="NS234" s="205">
        <f t="shared" ca="1" si="914"/>
        <v>0</v>
      </c>
      <c r="NT234" s="21">
        <f t="shared" ca="1" si="915"/>
        <v>0</v>
      </c>
      <c r="NU234" s="21" t="str">
        <f t="shared" ca="1" si="916"/>
        <v>INCOMPLETO</v>
      </c>
      <c r="NV234" s="21" t="str">
        <f t="shared" ca="1" si="917"/>
        <v>INCOMPLETO</v>
      </c>
      <c r="NW234" s="206" t="str">
        <f>IF(AND(O234="",R234=""),"",IF(OR(AND(Tabla1[[#This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34" s="207" t="str">
        <f t="shared" ca="1" si="938"/>
        <v>SIN VACUNAR</v>
      </c>
      <c r="NY234" s="43">
        <f>ROW(Tabla1[[#This Row],['# DE TAMIZAJES SIFILIS TOMADOS ]])</f>
        <v>234</v>
      </c>
      <c r="NZ234" s="43">
        <f t="shared" si="942"/>
        <v>10</v>
      </c>
      <c r="OA234" s="43" t="str">
        <f t="shared" si="943"/>
        <v/>
      </c>
      <c r="OB234" s="43" t="str">
        <f t="shared" si="944"/>
        <v>SOBREPESO</v>
      </c>
      <c r="OC234" s="43" t="str">
        <f t="shared" si="945"/>
        <v/>
      </c>
      <c r="OD234" s="43" t="str">
        <f t="shared" si="946"/>
        <v/>
      </c>
      <c r="OE234" s="43" t="str">
        <f t="shared" si="947"/>
        <v/>
      </c>
      <c r="OF234" s="43" t="str">
        <f t="shared" si="948"/>
        <v/>
      </c>
      <c r="OG234" s="43" t="str">
        <f t="shared" si="949"/>
        <v/>
      </c>
      <c r="OH234" s="43" t="str">
        <f t="shared" si="950"/>
        <v/>
      </c>
      <c r="OI234" s="43" t="str">
        <f t="shared" si="951"/>
        <v/>
      </c>
      <c r="OJ234" s="43" t="str">
        <f t="shared" si="952"/>
        <v/>
      </c>
      <c r="OK234" s="43" t="str">
        <f t="shared" si="953"/>
        <v/>
      </c>
      <c r="OL234" s="43" t="str">
        <f t="shared" si="954"/>
        <v/>
      </c>
      <c r="OM234" s="43" t="str">
        <f t="shared" si="955"/>
        <v/>
      </c>
      <c r="ON234" s="43" t="str">
        <f t="shared" si="956"/>
        <v/>
      </c>
      <c r="OO234" s="43" t="str">
        <f t="shared" si="957"/>
        <v/>
      </c>
      <c r="OP234" s="43" t="str">
        <f t="shared" si="958"/>
        <v/>
      </c>
      <c r="OQ234" s="43" t="str">
        <f t="shared" si="959"/>
        <v/>
      </c>
      <c r="OR234" s="43" t="str">
        <f t="shared" si="960"/>
        <v/>
      </c>
      <c r="OS234" s="43" t="str">
        <f t="shared" si="961"/>
        <v/>
      </c>
      <c r="OT234" s="43" t="str">
        <f t="shared" si="962"/>
        <v/>
      </c>
      <c r="OU234" s="43" t="str">
        <f t="shared" si="963"/>
        <v/>
      </c>
      <c r="OV234" s="110" t="str">
        <f t="shared" si="964"/>
        <v/>
      </c>
      <c r="OW234" s="43" t="str">
        <f t="shared" si="965"/>
        <v/>
      </c>
      <c r="OX234" s="43" t="str">
        <f t="shared" si="966"/>
        <v/>
      </c>
      <c r="OY234" s="43" t="str">
        <f t="shared" si="967"/>
        <v/>
      </c>
      <c r="OZ234" s="43" t="str">
        <f t="shared" si="968"/>
        <v/>
      </c>
      <c r="PA234" s="43" t="str">
        <f t="shared" si="969"/>
        <v/>
      </c>
      <c r="PB234" s="43" t="str">
        <f t="shared" si="970"/>
        <v/>
      </c>
      <c r="PC234" s="43" t="str">
        <f t="shared" si="971"/>
        <v/>
      </c>
      <c r="PD234" s="43" t="str">
        <f t="shared" si="972"/>
        <v/>
      </c>
      <c r="PE234" s="43" t="str">
        <f t="shared" si="973"/>
        <v/>
      </c>
      <c r="PF234" s="43" t="str">
        <f t="shared" si="974"/>
        <v/>
      </c>
      <c r="PG234" s="43" t="str">
        <f t="shared" si="975"/>
        <v/>
      </c>
      <c r="PH234" s="43" t="str">
        <f t="shared" si="976"/>
        <v/>
      </c>
      <c r="PI234" s="43">
        <f t="shared" si="977"/>
        <v>16</v>
      </c>
      <c r="PJ234" s="43" t="str">
        <f t="shared" si="978"/>
        <v/>
      </c>
      <c r="PK234" s="43" t="str">
        <f t="shared" si="979"/>
        <v/>
      </c>
      <c r="PL234" s="43" t="str">
        <f t="shared" si="980"/>
        <v/>
      </c>
      <c r="PM234" s="43" t="str">
        <f t="shared" si="981"/>
        <v/>
      </c>
      <c r="PN234" s="43" t="str">
        <f t="shared" si="982"/>
        <v/>
      </c>
      <c r="PO234" s="43" t="str">
        <f t="shared" si="983"/>
        <v/>
      </c>
      <c r="PP234" s="43" t="str">
        <f t="shared" si="984"/>
        <v/>
      </c>
      <c r="PQ234" s="43" t="str">
        <f t="shared" si="985"/>
        <v>SOBREPESO</v>
      </c>
      <c r="PR234" s="43" t="str">
        <f t="shared" si="986"/>
        <v/>
      </c>
      <c r="PS234" s="43" t="str">
        <f t="shared" si="987"/>
        <v/>
      </c>
      <c r="PT234" s="43" t="str">
        <f t="shared" si="988"/>
        <v/>
      </c>
      <c r="PU234" s="43" t="str">
        <f t="shared" si="989"/>
        <v/>
      </c>
      <c r="PV234" s="43" t="str">
        <f t="shared" si="990"/>
        <v/>
      </c>
      <c r="PW234" s="43" t="str">
        <f t="shared" si="991"/>
        <v/>
      </c>
      <c r="PX234" s="43" t="str">
        <f t="shared" si="992"/>
        <v/>
      </c>
      <c r="PY234" s="43" t="str">
        <f t="shared" si="993"/>
        <v/>
      </c>
      <c r="PZ234" s="43" t="str">
        <f t="shared" si="994"/>
        <v/>
      </c>
      <c r="QA234" s="43" t="str">
        <f t="shared" si="995"/>
        <v/>
      </c>
      <c r="QB234" s="43" t="str">
        <f t="shared" si="996"/>
        <v/>
      </c>
      <c r="QC234" s="43" t="str">
        <f t="shared" si="997"/>
        <v/>
      </c>
      <c r="QD234" s="43" t="str">
        <f t="shared" si="998"/>
        <v/>
      </c>
      <c r="QE234" s="43" t="str">
        <f t="shared" si="999"/>
        <v/>
      </c>
      <c r="QF234" s="43" t="str">
        <f t="shared" si="1000"/>
        <v/>
      </c>
      <c r="QG234" s="43" t="str">
        <f t="shared" si="1001"/>
        <v/>
      </c>
      <c r="QH234" s="43" t="str">
        <f t="shared" si="1002"/>
        <v/>
      </c>
      <c r="QI234" s="43" t="str">
        <f t="shared" si="1003"/>
        <v/>
      </c>
      <c r="QJ234" s="43" t="str">
        <f t="shared" si="1004"/>
        <v/>
      </c>
      <c r="QK234" s="43" t="str">
        <f t="shared" si="1005"/>
        <v/>
      </c>
      <c r="QL234" s="43" t="str">
        <f t="shared" si="1006"/>
        <v/>
      </c>
      <c r="QM234" s="43" t="str">
        <f t="shared" si="1007"/>
        <v/>
      </c>
      <c r="QN234" s="43" t="str">
        <f t="shared" si="1008"/>
        <v/>
      </c>
      <c r="QO234" s="43" t="str">
        <f t="shared" si="1009"/>
        <v/>
      </c>
      <c r="QP234" s="43" t="str">
        <f t="shared" si="1010"/>
        <v/>
      </c>
      <c r="QQ234" s="43" t="str">
        <f t="shared" si="1011"/>
        <v/>
      </c>
      <c r="QR234" s="43">
        <f t="shared" si="1012"/>
        <v>16</v>
      </c>
      <c r="QS234" s="43"/>
      <c r="QT234" s="21" t="str">
        <f t="shared" si="1013"/>
        <v/>
      </c>
      <c r="QU234" s="21" t="str">
        <f t="shared" si="1014"/>
        <v/>
      </c>
      <c r="QV234" s="21" t="str">
        <f t="shared" si="1015"/>
        <v/>
      </c>
      <c r="QW234" s="21" t="str">
        <f t="shared" si="1016"/>
        <v/>
      </c>
      <c r="QX234" s="21" t="str">
        <f t="shared" si="1017"/>
        <v/>
      </c>
      <c r="QY234" s="21" t="str">
        <f t="shared" si="1018"/>
        <v/>
      </c>
      <c r="QZ234" s="21" t="str">
        <f t="shared" si="1019"/>
        <v/>
      </c>
      <c r="RA234" s="21" t="str">
        <f t="shared" si="1020"/>
        <v/>
      </c>
      <c r="RB234" s="21" t="str">
        <f t="shared" si="1021"/>
        <v/>
      </c>
      <c r="RC234" s="21" t="str">
        <f t="shared" si="1022"/>
        <v/>
      </c>
      <c r="RD234" s="21" t="str">
        <f t="shared" si="1023"/>
        <v/>
      </c>
      <c r="RE234" s="21" t="str">
        <f t="shared" si="1024"/>
        <v/>
      </c>
      <c r="RF234" s="21" t="str">
        <f t="shared" si="1025"/>
        <v/>
      </c>
      <c r="RG234" s="21" t="str">
        <f t="shared" si="1026"/>
        <v/>
      </c>
      <c r="RH234" s="21" t="str">
        <f t="shared" si="1027"/>
        <v/>
      </c>
      <c r="RI234" s="21" t="str">
        <f t="shared" si="1028"/>
        <v/>
      </c>
      <c r="RJ234" s="21" t="str">
        <f t="shared" si="1029"/>
        <v/>
      </c>
      <c r="RK234" s="21" t="str">
        <f t="shared" si="1030"/>
        <v/>
      </c>
      <c r="RL234" s="21" t="str">
        <f t="shared" si="1031"/>
        <v/>
      </c>
      <c r="RM234" s="21" t="str">
        <f t="shared" si="1032"/>
        <v/>
      </c>
      <c r="RN234" s="21" t="str">
        <f t="shared" si="1033"/>
        <v/>
      </c>
      <c r="RO234" s="21" t="str">
        <f t="shared" si="1034"/>
        <v/>
      </c>
      <c r="RP234" s="21" t="str">
        <f t="shared" si="1035"/>
        <v/>
      </c>
      <c r="RQ234" s="21" t="str">
        <f t="shared" si="1036"/>
        <v/>
      </c>
      <c r="RR234" s="21" t="str">
        <f t="shared" si="1037"/>
        <v/>
      </c>
      <c r="RS234" s="21" t="str">
        <f t="shared" si="1038"/>
        <v/>
      </c>
      <c r="RT234" s="21" t="str">
        <f t="shared" si="1039"/>
        <v/>
      </c>
      <c r="RU234" s="21" t="str">
        <f t="shared" si="1040"/>
        <v/>
      </c>
      <c r="RV234" s="21">
        <f t="shared" si="1041"/>
        <v>-1</v>
      </c>
      <c r="RW234" s="284">
        <f>IF(OR(Tabla1[[#This Row],[FUM FORMULA CONFIABLE]]="",Tabla1[[#This Row],[FUM FORMULA CONFIABLE]]="SD"),"",IF(Tabla1[[#This Row],[FUM FORMULA CONFIABLE]]="CORREGIDA",Tabla1[[#This Row],[FUM X ECO 1]],Tabla1[[#This Row],[FUM x AMENORREA]]))</f>
        <v>45036</v>
      </c>
      <c r="RX234" s="21">
        <f>IF(AND(Tabla1[[#This Row],[FUM X ECO 1]]="",Tabla1[[#This Row],[FUM x AMENORREA]]=""),"",IF(AND(Tabla1[[#This Row],[FUM X ECO 1]]="",Tabla1[[#This Row],[FUM x AMENORREA]]&lt;&gt;""),"X",SUM(Tabla1[[#This Row],[FUM X ECO 1]]-Tabla1[[#This Row],[FUM x AMENORREA]])))</f>
        <v>-115.5</v>
      </c>
      <c r="RY234" s="21">
        <f t="shared" si="1042"/>
        <v>1</v>
      </c>
    </row>
    <row r="235" spans="1:493" ht="45" customHeight="1" x14ac:dyDescent="0.25">
      <c r="A235" s="109"/>
      <c r="B235" s="43"/>
      <c r="C235" s="43" t="s">
        <v>845</v>
      </c>
      <c r="D235" s="124"/>
      <c r="E235" s="43" t="s">
        <v>896</v>
      </c>
      <c r="F235" s="43" t="s">
        <v>1632</v>
      </c>
      <c r="G235" s="43" t="s">
        <v>1633</v>
      </c>
      <c r="H235" s="43"/>
      <c r="I235" s="109" t="s">
        <v>851</v>
      </c>
      <c r="J235" s="297" t="s">
        <v>1631</v>
      </c>
      <c r="K235" s="43" t="s">
        <v>852</v>
      </c>
      <c r="L235" s="175" t="s">
        <v>1509</v>
      </c>
      <c r="M235" s="22">
        <v>34803</v>
      </c>
      <c r="N235" s="213">
        <f t="shared" ca="1" si="841"/>
        <v>28.572602739726026</v>
      </c>
      <c r="O235" s="22">
        <v>45112</v>
      </c>
      <c r="P235" s="214" t="str">
        <f t="shared" si="919"/>
        <v>SI</v>
      </c>
      <c r="Q235" s="26" t="s">
        <v>855</v>
      </c>
      <c r="R235" s="22">
        <v>45112</v>
      </c>
      <c r="S235" s="21" t="s">
        <v>856</v>
      </c>
      <c r="T235" s="24" t="s">
        <v>690</v>
      </c>
      <c r="U235" s="21" t="s">
        <v>857</v>
      </c>
      <c r="V235" s="21" t="s">
        <v>858</v>
      </c>
      <c r="W235" s="21" t="s">
        <v>1163</v>
      </c>
      <c r="X235" s="21" t="s">
        <v>859</v>
      </c>
      <c r="Y235" s="21" t="s">
        <v>859</v>
      </c>
      <c r="Z235" s="21">
        <v>3147173089</v>
      </c>
      <c r="AA235" s="21" t="s">
        <v>860</v>
      </c>
      <c r="AB235" s="27" t="s">
        <v>861</v>
      </c>
      <c r="AC235" s="26" t="s">
        <v>862</v>
      </c>
      <c r="AD235" s="38" t="s">
        <v>1546</v>
      </c>
      <c r="AE235" s="26" t="s">
        <v>854</v>
      </c>
      <c r="AF235" s="26" t="s">
        <v>854</v>
      </c>
      <c r="AG235" s="23" t="s">
        <v>864</v>
      </c>
      <c r="AH235" s="23" t="s">
        <v>864</v>
      </c>
      <c r="AI235" s="24" t="s">
        <v>863</v>
      </c>
      <c r="AJ235" s="23" t="s">
        <v>864</v>
      </c>
      <c r="AK235" s="220" t="str">
        <f>IF(AND(AD235="",AE235="",AF235="",AG235="",AH235="",AI235="",AJ235=""),"",IF(OR(Tabla1[[#This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EVALUACIÓN",IF(AND(O235="",R235=""),"",IF(AND(OR(O235&gt;0,R235&gt;0),NG235&gt;=0,NG235&lt;2),"SIN RIESGO",IF(AND(OR(O235&gt;0,R235&gt;0),NG235&gt;=2),"CON RIESGO","ASD")))))</f>
        <v>SIN RIESGO</v>
      </c>
      <c r="AL235" s="26" t="s">
        <v>864</v>
      </c>
      <c r="AM235" s="26" t="s">
        <v>864</v>
      </c>
      <c r="AN235" s="26" t="s">
        <v>864</v>
      </c>
      <c r="AO235" s="26" t="s">
        <v>864</v>
      </c>
      <c r="AP235" s="26" t="s">
        <v>864</v>
      </c>
      <c r="AQ235" s="26" t="s">
        <v>864</v>
      </c>
      <c r="AR235" s="26" t="s">
        <v>864</v>
      </c>
      <c r="AS235" s="21">
        <v>4</v>
      </c>
      <c r="AT235" s="21">
        <v>3</v>
      </c>
      <c r="AU235" s="21">
        <v>1</v>
      </c>
      <c r="AV235" s="26" t="s">
        <v>864</v>
      </c>
      <c r="AW235" s="21">
        <v>0</v>
      </c>
      <c r="AX235" s="26" t="s">
        <v>864</v>
      </c>
      <c r="AY235" s="26" t="s">
        <v>864</v>
      </c>
      <c r="AZ235" s="26" t="s">
        <v>864</v>
      </c>
      <c r="BA235" s="26" t="s">
        <v>865</v>
      </c>
      <c r="BB235" s="26" t="s">
        <v>864</v>
      </c>
      <c r="BC235" s="26" t="s">
        <v>864</v>
      </c>
      <c r="BD235" s="26" t="s">
        <v>864</v>
      </c>
      <c r="BE235" s="26" t="s">
        <v>864</v>
      </c>
      <c r="BF235" s="26" t="s">
        <v>864</v>
      </c>
      <c r="BG235" s="26" t="s">
        <v>864</v>
      </c>
      <c r="BH235" s="26" t="s">
        <v>864</v>
      </c>
      <c r="BI235" s="26" t="s">
        <v>864</v>
      </c>
      <c r="BJ235" s="26" t="s">
        <v>864</v>
      </c>
      <c r="BK235" s="26" t="s">
        <v>864</v>
      </c>
      <c r="BL235" s="26" t="s">
        <v>864</v>
      </c>
      <c r="BM235" s="26" t="s">
        <v>864</v>
      </c>
      <c r="BN235" s="22">
        <v>43063</v>
      </c>
      <c r="BO235" s="22">
        <v>45051</v>
      </c>
      <c r="BP235" s="21" t="s">
        <v>854</v>
      </c>
      <c r="BQ235" s="222">
        <f t="shared" si="842"/>
        <v>66.266666666666666</v>
      </c>
      <c r="BR235" s="223" t="str">
        <f t="shared" si="843"/>
        <v/>
      </c>
      <c r="BS235" s="224">
        <f t="shared" si="844"/>
        <v>8.7142857142857135</v>
      </c>
      <c r="BT235" s="216" t="str">
        <f t="shared" si="845"/>
        <v>I TRIM</v>
      </c>
      <c r="BU235" s="214">
        <f t="shared" ca="1" si="928"/>
        <v>25.857142857142858</v>
      </c>
      <c r="BV235" s="25"/>
      <c r="BW235" s="22"/>
      <c r="BX235" s="28"/>
      <c r="BY235" s="28"/>
      <c r="BZ235" s="22"/>
      <c r="CA235" s="21"/>
      <c r="CB235" s="26"/>
      <c r="CC235" s="26"/>
      <c r="CD235" s="26"/>
      <c r="CE235" s="26"/>
      <c r="CF235" s="22" t="s">
        <v>1517</v>
      </c>
      <c r="CG235" s="21">
        <v>1.44</v>
      </c>
      <c r="CH235" s="21">
        <v>48.3</v>
      </c>
      <c r="CI235" s="214">
        <f t="shared" si="847"/>
        <v>23.292824074074073</v>
      </c>
      <c r="CJ235" s="225" t="str">
        <f>IF(AND(CI235&lt;10,CH235="SD"),"SIN DATO PESO PREGESTACION O I TRIM",IF(AND(OR(R235&gt;0,O235&gt;0),CI235="X"),"INGRESAR DATO DE PESO",IF(CI235="SD","INGRESAR DATO DE TALLA Y PESO",IF(AND(OR(Tabla1[[#This Row],[MOMENTO EN QUE SE REALIZA EL PESO AL INGRESO A CPN]]="PREGESTACIÓN",NZ235="Menor"),CI235&lt;18.5),"BAJO PESO",IF(AND(OR(Tabla1[[#This Row],[MOMENTO EN QUE SE REALIZA EL PESO AL INGRESO A CPN]]="PREGESTACIÓN",NZ235="Menor"),CI235&lt;25),"NORMAL",IF(AND(OR(Tabla1[[#This Row],[MOMENTO EN QUE SE REALIZA EL PESO AL INGRESO A CPN]]="PREGESTACIÓN",NZ235="Menor"),CI235&lt;30),"SOBREPESO",IF(AND(OR(Tabla1[[#This Row],[MOMENTO EN QUE SE REALIZA EL PESO AL INGRESO A CPN]]="PREGESTACIÓN",NZ235="Menor"),CI235&gt;=30,CI235&lt;50),"OBESIDAD",IF(AND(BS235&gt;0,Tabla1[[#This Row],[MOMENTO EN QUE SE REALIZA EL PESO AL INGRESO A CPN]]="GESTACIÓN"),HLOOKUP(NZ235,$OA$2:PH235,NY235),""))))))))</f>
        <v>NORMAL</v>
      </c>
      <c r="CK235" s="212">
        <f t="shared" si="848"/>
        <v>45112</v>
      </c>
      <c r="CL235" s="21">
        <v>48.3</v>
      </c>
      <c r="CM235" s="214">
        <f t="shared" si="849"/>
        <v>23.292824074074073</v>
      </c>
      <c r="CN235" s="216">
        <f t="shared" si="850"/>
        <v>8</v>
      </c>
      <c r="CO235" s="216" t="e">
        <f>IF(PI235="","",IF(PI235&gt;0,HLOOKUP(PI235,$PJ$2:QQ235,NY235),""))</f>
        <v>#REF!</v>
      </c>
      <c r="CP235" s="21">
        <v>13</v>
      </c>
      <c r="CQ235" s="216" t="str">
        <f>IF(QR235="Menor","NO APLICA-MENOR 13 SEM",IF(AND(CC235="SI",CN235&gt;23),"NO APLICA- GEMELAR",IF(QR235="","",IF(QR235&gt;0,HLOOKUP(QR235,$QS$2:RU235,NY235),""))))</f>
        <v>NO APLICA-MENOR 13 SEM</v>
      </c>
      <c r="CR235" s="21">
        <v>90</v>
      </c>
      <c r="CS235" s="21">
        <v>60</v>
      </c>
      <c r="CT235" s="217" t="str">
        <f>IF(R235="","",IF(AND(BS235&gt;1,BS235&lt;12,Tabla1[[#This Row],[T.A. SISTOLICA - ANTES DE SEMANA 12]]="",Tabla1[[#This Row],[T.A. DIASTOLICA - ANTES DE SEMANA 12]]=""),"REGISTRE DATO TA ANTES SEMANA 12",IF(AND(BS235&gt;11,BS235&lt;43,Tabla1[[#This Row],[T.A. SISTOLICA - ANTES DE SEMANA 12]]="",Tabla1[[#This Row],[T.A. DIASTOLICA - ANTES DE SEMANA 12]]=""),"NO APLICA REGISTRO TA-INGRESO TARDIO",IF(AND(OR(O235&gt;0,R235&gt;0),OR(CR235&gt;=140,CS235&gt;=90)),"DEFINIR ESTADIO HTA",IF(AND(OR(O235&gt;0,R235&gt;0),AND(CR235&gt;120,CR235&lt;=139)),"PRE HTA SEGUIMIENTO",IF(AND(OR(O235&gt;0,R235&gt;0),AND(CS235&gt;80,CS235&lt;=89)),"PRE HTA SEGUIMIENTO",IF(AND(OR(O235&gt;0,R235&gt;0),AND(CR235&gt;=80,CR235&lt;=120)),"APARENTEMENTE NORMAL",IF(AND(OR(O235&gt;0,R235&gt;0),AND(CS235&gt;=50,CS235&lt;=80)),"APARENTEMENTE NORMAL",IF(AND(OR(O235&gt;0,R235&gt;0),AND(CR235&gt;1,CR235&lt;=70),AND(CS235&gt;1,CS235&lt;=40)),"HIPOTENSIÓN","")))))))))</f>
        <v>APARENTEMENTE NORMAL</v>
      </c>
      <c r="CU235" s="21"/>
      <c r="CV235" s="21"/>
      <c r="CW235" s="217" t="str">
        <f ca="1">IF(R235="","",IF(AND(CN235&gt;19,CN235&lt;27,Tabla1[[#This Row],[T.A. SISTOLICA (Entre semana 20 y 26)]]="",Tabla1[[#This Row],[T.A. DIATOLICA (Entre semana 20 y 26)]]=""),"ACUDE A CONTROL SEM 20 A 26 REGISTRE TA AHORA",IF(AND(BS235&gt;1,BS235&lt;27,BU235&gt;19,Tabla1[[#This Row],[T.A. SISTOLICA (Entre semana 20 y 26)]]="",Tabla1[[#This Row],[T.A. DIATOLICA (Entre semana 20 y 26)]]=""),"COMPLETE REGISTRO TA CONTROL SEM 20 A26 ",IF(AND(BS235&gt;26,BS235&lt;43,Tabla1[[#This Row],[T.A. SISTOLICA (Entre semana 20 y 26)]]="",Tabla1[[#This Row],[T.A. DIATOLICA (Entre semana 20 y 26)]]=""),"NO APLICA REGISTRO TA-INGRESO TARDIO",IF(AND(OR(O235&gt;0,R235&gt;0),OR(CU235&gt;=140,CV235&gt;=90)),"ALTO RIESGO PREECLAMPSIA,DEFINIR ESTADIO HTA",IF(AND(OR(O235&gt;0,R235&gt;0),AND(CU235&gt;120,CU235&lt;=139)),"PRE HTA SEGUIMIENTO,RIESGO HIPERTENSION INDUCIDA POR EL EMBARAZO",IF(AND(OR(O235&gt;0,R235&gt;0),AND(CV235&gt;80,CV235&lt;=89)),"PRE HTA SEGUIMIENTO, RIESGO HIPERTENSION INDUCIDA POR EL EMBARAZO",IF(AND(OR(O235&lt;&gt;"",R235&lt;&gt;""),CS235&lt;&gt;"",CV235&lt;&gt;"",CS235&lt;=CV235),"VIGILAR CIFRAS PRESION ARTERIAL",IF(AND(OR(O235&gt;0,R235&gt;0),AND(CU235&gt;120,CU235&lt;=139)),"PRE HTA SEGUIMIENTO",IF(AND(OR(O235&gt;0,R235&gt;0),AND(CU235&gt;1,CU235&lt;=70),AND(CV235&gt;1,CV235&lt;=40)),"HIPOTENSIÓN",IF(AND(OR(O235&lt;&gt;"",R235&lt;&gt;""),CS235&lt;&gt;"",CV235&lt;&gt;"",CS235&gt;CV235),"APARENTEMENTE NORMAL",IF(AND(OR(O235&gt;0,R235&gt;0),AND(CU235&gt;=80,CU235&lt;=120)),"APARENTEMENTE NORMAL",IF(AND(OR(O235&gt;0,R235&gt;0),AND(CV235&gt;=50,CV235&lt;=80)),"APARENTEMENTE NORMAL","")))))))))))))</f>
        <v xml:space="preserve">COMPLETE REGISTRO TA CONTROL SEM 20 A26 </v>
      </c>
      <c r="CX235" s="21"/>
      <c r="CY235" s="21"/>
      <c r="CZ235" s="216" t="str">
        <f t="shared" si="1045"/>
        <v/>
      </c>
      <c r="DA235" s="21">
        <v>90</v>
      </c>
      <c r="DB235" s="21">
        <v>60</v>
      </c>
      <c r="DC235" s="217" t="str">
        <f t="shared" si="851"/>
        <v>APARENTEMENTE NORMAL</v>
      </c>
      <c r="DD235" s="22">
        <v>45112</v>
      </c>
      <c r="DE235" s="22">
        <v>45112</v>
      </c>
      <c r="DF235" s="22"/>
      <c r="DG235" s="22"/>
      <c r="DH235" s="22"/>
      <c r="DI235" s="22"/>
      <c r="DJ235" s="22"/>
      <c r="DK235" s="22"/>
      <c r="DL235" s="22"/>
      <c r="DM235" s="22"/>
      <c r="DN235" s="22"/>
      <c r="DO235" s="22"/>
      <c r="DP235" s="22"/>
      <c r="DQ235" s="22"/>
      <c r="DR235" s="28"/>
      <c r="DS235" s="22"/>
      <c r="DT235" s="22"/>
      <c r="DU235" s="216" t="str">
        <f t="shared" ca="1" si="920"/>
        <v>EN ESPERA</v>
      </c>
      <c r="DV235" s="226" t="str">
        <f t="shared" si="921"/>
        <v>ACTIVA INGRESO A CPN</v>
      </c>
      <c r="DW23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35" s="216" t="e">
        <f t="shared" ca="1" si="852"/>
        <v>#REF!</v>
      </c>
      <c r="DY235" s="212">
        <f>IF(R235="","",IF(R235&gt;0,MAX(Tabla1[[#This Row],[FECHA C2]:[FECHA C13]],Tabla1[[#This Row],[FECHA CONSULTA PRIMERA VEZ PROGRAMA CPN ]])))</f>
        <v>45112</v>
      </c>
      <c r="DZ235" s="216">
        <f t="shared" si="853"/>
        <v>8</v>
      </c>
      <c r="EA235" s="222">
        <f>IF(R235&gt;0,SUM(COUNTA(DF235:DQ235)+COUNTA(Tabla1[[#This Row],[FECHA CONSULTA PRIMERA VEZ PROGRAMA CPN ]])),"")</f>
        <v>1</v>
      </c>
      <c r="EB235" s="222" t="str">
        <f t="shared" si="854"/>
        <v>NO</v>
      </c>
      <c r="EC235" s="214">
        <f t="shared" si="855"/>
        <v>9</v>
      </c>
      <c r="ED235" s="227">
        <f t="shared" si="856"/>
        <v>0.1111111111111111</v>
      </c>
      <c r="EE235" s="22">
        <v>45112</v>
      </c>
      <c r="EF235" s="22"/>
      <c r="EG235" s="22">
        <v>45112</v>
      </c>
      <c r="EH235" s="22"/>
      <c r="EI235" s="22">
        <v>45112</v>
      </c>
      <c r="EJ235" s="22"/>
      <c r="EK235" s="22"/>
      <c r="EL235" s="21"/>
      <c r="EM235" s="21">
        <v>12.8</v>
      </c>
      <c r="EN235" s="22">
        <v>45112</v>
      </c>
      <c r="EO235" s="222">
        <f t="shared" si="857"/>
        <v>8.7142857142857135</v>
      </c>
      <c r="EP235" s="214" t="str">
        <f t="shared" si="858"/>
        <v>NORMAL- SUMINISTRAR SULFATO FERROSO</v>
      </c>
      <c r="EQ235" s="216" t="str">
        <f t="shared" si="859"/>
        <v>I TRIM</v>
      </c>
      <c r="ER235" s="24"/>
      <c r="ES235" s="22"/>
      <c r="ET235" s="29" t="str">
        <f t="shared" ca="1" si="922"/>
        <v>PROGRAMAR TOMA HEMOGLOBINA A SEM 28</v>
      </c>
      <c r="EU235" s="25" t="str">
        <f t="shared" si="860"/>
        <v/>
      </c>
      <c r="EV235" s="24" t="s">
        <v>1510</v>
      </c>
      <c r="EW235" s="32">
        <v>45112</v>
      </c>
      <c r="EX235" s="22"/>
      <c r="EY235" s="29">
        <f t="shared" si="1043"/>
        <v>8.7142857142857135</v>
      </c>
      <c r="EZ235" s="25" t="str">
        <f t="shared" si="1044"/>
        <v>SIN RIESGO DE ISOINMUNIZACIÓN</v>
      </c>
      <c r="FA235" s="21">
        <v>65</v>
      </c>
      <c r="FB235" s="32">
        <v>45112</v>
      </c>
      <c r="FC235" s="29">
        <f t="shared" si="861"/>
        <v>8.7142857142857135</v>
      </c>
      <c r="FD235" s="29"/>
      <c r="FE235" s="29"/>
      <c r="FF235" s="29"/>
      <c r="FG235" s="21" t="str">
        <f t="shared" ca="1" si="862"/>
        <v>TOMAR PTOG</v>
      </c>
      <c r="FH235" s="31"/>
      <c r="FI235" s="29" t="str">
        <f t="shared" si="863"/>
        <v>TOMAR EXAMEN</v>
      </c>
      <c r="FJ235" s="22" t="s">
        <v>867</v>
      </c>
      <c r="FK235" s="32">
        <v>45112</v>
      </c>
      <c r="FL235" s="29">
        <f t="shared" ca="1" si="864"/>
        <v>8.7142857142857135</v>
      </c>
      <c r="FM235" s="22"/>
      <c r="FN235" s="32"/>
      <c r="FO235" s="29" t="str">
        <f t="shared" ca="1" si="923"/>
        <v>TOMA INMEDIATA DE TAMIZAJE</v>
      </c>
      <c r="FP235" s="22"/>
      <c r="FQ235" s="32"/>
      <c r="FR235" s="29" t="str">
        <f t="shared" ca="1" si="924"/>
        <v>EN ESPERA-ESTÁ I TRIM O II TRIM</v>
      </c>
      <c r="FS235" s="22"/>
      <c r="FT235" s="32"/>
      <c r="FU235" s="29" t="str">
        <f>IF(AND(FJ235="",FM235="",FP235="",FS235=""),"",IF(OR(OR(Tabla1[[#This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35" s="28"/>
      <c r="FW235" s="22"/>
      <c r="FX235" s="29" t="str">
        <f t="shared" si="865"/>
        <v>TOMAR EXAMEN</v>
      </c>
      <c r="FY235" s="22" t="s">
        <v>868</v>
      </c>
      <c r="FZ235" s="32">
        <v>45112</v>
      </c>
      <c r="GA235" s="29">
        <f t="shared" ca="1" si="939"/>
        <v>8.7142857142857135</v>
      </c>
      <c r="GB235" s="22"/>
      <c r="GC235" s="22"/>
      <c r="GD235" s="29" t="str">
        <f t="shared" ca="1" si="1048"/>
        <v>TOMA INMEDIATA DE TAMIZAJE</v>
      </c>
      <c r="GE235" s="22"/>
      <c r="GF235" s="22"/>
      <c r="GG235" s="29" t="str">
        <f t="shared" ca="1" si="926"/>
        <v>EN ESPERA-ESTÁ I TRIM O II TRIM</v>
      </c>
      <c r="GH235" s="22"/>
      <c r="GI235" s="29"/>
      <c r="GJ235" s="22"/>
      <c r="GK235" s="22"/>
      <c r="GL235" s="22"/>
      <c r="GM235" s="22"/>
      <c r="GN235" s="28" t="s">
        <v>869</v>
      </c>
      <c r="GO235" s="32">
        <v>45112</v>
      </c>
      <c r="GP235" s="29">
        <f t="shared" si="866"/>
        <v>8.7142857142857135</v>
      </c>
      <c r="GQ235" s="28" t="s">
        <v>880</v>
      </c>
      <c r="GR235" s="28" t="s">
        <v>869</v>
      </c>
      <c r="GS235" s="22" t="str">
        <f t="shared" si="1047"/>
        <v>SE EXCLUYE INFECCION</v>
      </c>
      <c r="GT235" s="32">
        <v>45112</v>
      </c>
      <c r="GU235" s="29">
        <f t="shared" si="867"/>
        <v>8.7142857142857135</v>
      </c>
      <c r="GV235" s="21" t="str">
        <f t="shared" si="868"/>
        <v>I TRIM</v>
      </c>
      <c r="GW235" s="28"/>
      <c r="GX235" s="30"/>
      <c r="GY235" s="21"/>
      <c r="GZ235" s="21"/>
      <c r="HA235" s="21"/>
      <c r="HB235" s="21"/>
      <c r="HC235" s="21"/>
      <c r="HD235" s="21"/>
      <c r="HE235" s="21"/>
      <c r="HF235" s="22"/>
      <c r="HG235" s="22" t="str">
        <f>IF(OR(O235&gt;0,R235&gt;0),CONCATENATE(IF(Tabla1[[#This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35" s="22" t="e">
        <f t="shared" si="869"/>
        <v>#REF!</v>
      </c>
      <c r="HI235" s="22" t="e">
        <f t="shared" ca="1" si="870"/>
        <v>#REF!</v>
      </c>
      <c r="HJ235" s="21" t="str">
        <f t="shared" ca="1" si="871"/>
        <v>***************************************</v>
      </c>
      <c r="HK235" s="21" t="str">
        <f t="shared" si="872"/>
        <v>SIN ANTECEDENTES DE RIESGO</v>
      </c>
      <c r="HL235" s="24" t="str">
        <f t="shared" si="873"/>
        <v>APARENTEMENTE NORMAL</v>
      </c>
      <c r="HM235" s="21" t="e">
        <f t="shared" ca="1" si="874"/>
        <v>#REF!</v>
      </c>
      <c r="HN235" s="30" t="str">
        <f t="shared" si="927"/>
        <v>ACTIVA INGRESO A CPN</v>
      </c>
      <c r="HO235" s="21"/>
      <c r="HP235" s="21"/>
      <c r="HQ235" s="349"/>
      <c r="HR235" s="21" t="str">
        <f>IF(R235="","",IF(Tabla1[[#This Row],[ALARMA FACTORES DE RIESGO COMPLICACIONES HIPERTENSIVAS3]]="SIN ANTECEDENTES DE RIESGO","No Aplica para suministro de ASA",IF(AND(Tabla1[[#This Row],[FECHA INICIO DE SUMINISTRO DE ASA]]&gt;0,RV235&lt;12),"Inicia ASA ANTES de Sem 12",IF(AND(RV235&gt;11,RV235&lt;17,OR(HK235="RIESGO ALTO DE COMPLICACIONES HIPERTENSIVAS VER MANEJO GUIA SUMINISTRO ASA Y CALCIO",HK235="RIESGO MODERADO (2 O MAS CRITERIOS) VER MANEJO GUIA SUMINISTRO ASA Y CALCIO")),"Inicio oportuno de ASA",IF(AND(RV235&gt;12,OR(HK235="RIESGO ALTO DE COMPLICACIONES HIPERTENSIVAS VER MANEJO GUIA SUMINISTRO ASA Y CALCIO",HK235="RIESGO MODERADO (2 O MAS CRITERIOS) VER MANEJO GUIA SUMINISTRO ASA Y CALCIO")),"Inicio no oportuno mayor a 16 semanas",IF(AND(BU235&lt;12,OR(HK235="RIESGO ALTO DE COMPLICACIONES HIPERTENSIVAS VER MANEJO GUIA SUMINISTRO ASA Y CALCIO",HK235="RIESGO MODERADO (2 O MAS CRITERIOS) VER MANEJO GUIA SUMINISTRO ASA Y CALCIO")),"Pendiente Inicio de ASA a la semana 12",IF(AND(BU235&gt;11,BU235&lt;17,OR(HK235="RIESGO ALTO DE COMPLICACIONES HIPERTENSIVAS VER MANEJO GUIA SUMINISTRO ASA Y CALCIO",HK235="RIESGO MODERADO (2 O MAS CRITERIOS) VER MANEJO GUIA SUMINISTRO ASA Y CALCIO")),"Iniciar de inmediato ASA",IF(AND(BU235&gt;16,OR(HK235="RIESGO ALTO DE COMPLICACIONES HIPERTENSIVAS VER MANEJO GUIA SUMINISTRO ASA Y CALCIO",HK235="RIESGO MODERADO (2 O MAS CRITERIOS) VER MANEJO GUIA SUMINISTRO ASA Y CALCIO")),"Pierde Oportunidad, Inicio tardío de ASA","XXXXX"))))))))</f>
        <v>No Aplica para suministro de ASA</v>
      </c>
      <c r="HS235" s="22">
        <v>45112</v>
      </c>
      <c r="HT235" s="22" t="s">
        <v>1518</v>
      </c>
      <c r="HU235" s="22">
        <v>45112</v>
      </c>
      <c r="HV235" s="22" t="s">
        <v>1544</v>
      </c>
      <c r="HW235" s="22">
        <v>45112</v>
      </c>
      <c r="HX235" s="22" t="s">
        <v>1511</v>
      </c>
      <c r="HY235" s="22">
        <v>45112</v>
      </c>
      <c r="HZ235" s="28">
        <f t="shared" si="875"/>
        <v>8.7142857142857135</v>
      </c>
      <c r="IA235" s="26"/>
      <c r="IB235" s="26"/>
      <c r="IC235" s="111"/>
      <c r="ID235" s="22"/>
      <c r="IE235" s="22" t="str">
        <f t="shared" ca="1" si="876"/>
        <v>PROGRAMAR APLICACION DE VACUNA</v>
      </c>
      <c r="IF235" s="22"/>
      <c r="IG235" s="22">
        <f t="shared" si="877"/>
        <v>45331</v>
      </c>
      <c r="IH235" s="29">
        <f t="shared" ca="1" si="878"/>
        <v>99</v>
      </c>
      <c r="II235" s="22" t="str">
        <f t="shared" ca="1" si="879"/>
        <v>PENDIENTE</v>
      </c>
      <c r="IJ235" s="22"/>
      <c r="IK235" s="21"/>
      <c r="IL235" s="21"/>
      <c r="IM235" s="34"/>
      <c r="IN235" s="22"/>
      <c r="IO235" s="21"/>
      <c r="IP235" s="29" t="str">
        <f t="shared" si="880"/>
        <v/>
      </c>
      <c r="IQ235" s="35"/>
      <c r="IR235" s="21"/>
      <c r="IS235" s="21"/>
      <c r="IT235" s="21"/>
      <c r="IU235" s="21"/>
      <c r="IV235" s="21"/>
      <c r="IW235" s="21"/>
      <c r="IX235" s="21"/>
      <c r="IY235" s="21"/>
      <c r="IZ235" s="21"/>
      <c r="JA235" s="21"/>
      <c r="JB235" s="30"/>
      <c r="JC235" s="21"/>
      <c r="JD235" s="36"/>
      <c r="JE235" s="21" t="str">
        <f t="shared" si="881"/>
        <v/>
      </c>
      <c r="JF235" s="30"/>
      <c r="JG235" s="21"/>
      <c r="JH235" s="21"/>
      <c r="JI235" s="21"/>
      <c r="JJ235" s="30"/>
      <c r="JK235" s="22"/>
      <c r="JL235" s="22"/>
      <c r="JM235" s="21"/>
      <c r="JN235" s="36"/>
      <c r="JO235" s="21" t="str">
        <f t="shared" si="882"/>
        <v/>
      </c>
      <c r="JP235" s="22"/>
      <c r="JQ235" s="21"/>
      <c r="JR235" s="21"/>
      <c r="JS235" s="21"/>
      <c r="JT235" s="30"/>
      <c r="JU235" s="22"/>
      <c r="JV235" s="22"/>
      <c r="JW235" s="33"/>
      <c r="JX235" s="28" t="str">
        <f t="shared" si="883"/>
        <v/>
      </c>
      <c r="JY235" s="33"/>
      <c r="JZ235" s="28" t="str">
        <f t="shared" si="884"/>
        <v/>
      </c>
      <c r="KA235" s="21"/>
      <c r="KB235" s="21"/>
      <c r="KC235" s="21"/>
      <c r="KD235" s="37"/>
      <c r="KE235" s="28"/>
      <c r="KF235" s="28"/>
      <c r="KG235" s="28"/>
      <c r="KH235" s="39"/>
      <c r="KI235" s="39"/>
      <c r="KJ235" s="66"/>
      <c r="KK235" s="39"/>
      <c r="KL235" s="39"/>
      <c r="KM235" s="66"/>
      <c r="KN235" s="39"/>
      <c r="KO235" s="39"/>
      <c r="KP235" s="39"/>
      <c r="KQ235" s="39"/>
      <c r="KR235" s="39"/>
      <c r="KS235" s="39"/>
      <c r="KT235" s="39"/>
      <c r="KU235" s="38"/>
      <c r="KV235" s="38"/>
      <c r="KW235" s="38"/>
      <c r="KX235" s="38"/>
      <c r="KY235" s="38"/>
      <c r="KZ235" s="38"/>
      <c r="LA235" s="38"/>
      <c r="LB235" s="38"/>
      <c r="LC235" s="38"/>
      <c r="LD235" s="38"/>
      <c r="LE235" s="38"/>
      <c r="LF235" s="38"/>
      <c r="LG235" s="38"/>
      <c r="LH235" s="38"/>
      <c r="LI235" s="38"/>
      <c r="LJ235" s="38"/>
      <c r="LK235" s="38"/>
      <c r="LL235" s="38"/>
      <c r="LM235" s="38"/>
      <c r="LN235" s="38"/>
      <c r="LO235" s="38"/>
      <c r="LP235" s="38"/>
      <c r="LQ235" s="38"/>
      <c r="LR235" s="38"/>
      <c r="LS235" s="38"/>
      <c r="LT235" s="38"/>
      <c r="LU235" s="38"/>
      <c r="LV235" s="38"/>
      <c r="LW235" s="38"/>
      <c r="LX235" s="38"/>
      <c r="LY235" s="38"/>
      <c r="LZ235" s="38"/>
      <c r="MA235" s="38"/>
      <c r="MB235" s="38"/>
      <c r="MC235" s="38"/>
      <c r="MD235" s="38"/>
      <c r="ME235" s="38"/>
      <c r="MF235" s="38"/>
      <c r="MG235" s="38"/>
      <c r="MH235" s="43">
        <f t="shared" si="885"/>
        <v>0</v>
      </c>
      <c r="MI235" s="43" t="str">
        <f t="shared" si="929"/>
        <v/>
      </c>
      <c r="MJ235" s="43" t="str">
        <f t="shared" si="887"/>
        <v/>
      </c>
      <c r="MK235" s="43">
        <f t="shared" si="888"/>
        <v>0</v>
      </c>
      <c r="ML23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35" s="43">
        <f t="shared" si="930"/>
        <v>8.7142857142857135</v>
      </c>
      <c r="MN235" s="43">
        <f t="shared" si="931"/>
        <v>7</v>
      </c>
      <c r="MO235" s="43">
        <f t="shared" si="932"/>
        <v>2023</v>
      </c>
      <c r="MP235" s="43" t="str">
        <f t="shared" si="892"/>
        <v>III TRIMESTRE AÑO</v>
      </c>
      <c r="MQ235" s="43">
        <f t="shared" si="933"/>
        <v>27.817017082785807</v>
      </c>
      <c r="MR235" s="43">
        <f t="shared" si="894"/>
        <v>0</v>
      </c>
      <c r="MS235" s="43" t="str">
        <f t="shared" si="895"/>
        <v xml:space="preserve"> DE 25 A 29 AÑOS</v>
      </c>
      <c r="MT235" s="43" t="str">
        <f t="shared" si="896"/>
        <v/>
      </c>
      <c r="MU235" s="43">
        <f t="shared" si="897"/>
        <v>0</v>
      </c>
      <c r="MV235" s="43">
        <f t="shared" si="898"/>
        <v>0</v>
      </c>
      <c r="MW235" s="43">
        <f t="shared" si="899"/>
        <v>0</v>
      </c>
      <c r="MX235" s="43" t="str">
        <f t="shared" si="900"/>
        <v/>
      </c>
      <c r="MY235" s="43" t="str">
        <f t="shared" ca="1" si="901"/>
        <v/>
      </c>
      <c r="MZ235" s="43" t="str">
        <f t="shared" si="902"/>
        <v/>
      </c>
      <c r="NA235" s="43" t="str">
        <f t="shared" si="903"/>
        <v/>
      </c>
      <c r="NB235" s="43" t="str">
        <f t="shared" si="904"/>
        <v/>
      </c>
      <c r="NC235" s="43" t="str">
        <f t="shared" si="905"/>
        <v/>
      </c>
      <c r="ND235" s="43">
        <f t="shared" ca="1" si="934"/>
        <v>0</v>
      </c>
      <c r="NE235" s="43">
        <f>IF(OR(O235&gt;0,R235&gt;0),SUM(COUNTIF(Tabla1[[#This Row],[AÑOS AL INICIO5 CPN]],"&gt;=40"),COUNTIF(AS235,"0"),COUNTIF(AR235,"SI"),COUNTIF(CC235,"SI"),COUNTIF(BQ235,"&gt;119"),COUNTIF(CI235,"&gt;=35")),"")</f>
        <v>0</v>
      </c>
      <c r="NF235" s="43" t="str">
        <f t="shared" si="935"/>
        <v/>
      </c>
      <c r="NG235" s="43">
        <f t="shared" si="908"/>
        <v>0</v>
      </c>
      <c r="NH235" s="43" t="str">
        <f t="shared" si="909"/>
        <v/>
      </c>
      <c r="NI23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CPN",P235="NO"),"Z",IF(AND(Tabla1[[#This Row],[CITA PROXIMO CONTROL]]="CITA MANUAL",Tabla1[[#This Row],[GESTANTES ACTUALES]]="ACTIVA INGRESO A CPN"),"W",IF(AND(Tabla1[[#This Row],[GESTANTES ACTUALES]]="SALIO PROGRAMA",IN235=""),"S",IF(AND(Tabla1[[#This Row],[CITA PROXIMO CONTROL]]&gt;0,IN235=""),(Tabla1[[#This Row],[CITA PROXIMO CONTROL]]-TODAY()),"SD"))))))))</f>
        <v>#REF!</v>
      </c>
      <c r="NJ235" s="43">
        <f>MONTH(Tabla1[[#This Row],[FECHA DE SALIDA  DEL PROGRAMA]])</f>
        <v>1</v>
      </c>
      <c r="NK235" s="43">
        <f>YEAR(Tabla1[[#This Row],[FECHA DE SALIDA  DEL PROGRAMA]])</f>
        <v>1900</v>
      </c>
      <c r="NL235" s="43" t="str">
        <f t="shared" si="936"/>
        <v>X</v>
      </c>
      <c r="NM235" s="43" t="str">
        <f t="shared" si="941"/>
        <v>NO</v>
      </c>
      <c r="NN235" s="43" t="str">
        <f ca="1">IF(AND(O235&gt;0,R235=""),"NO CPN",IF(AND(O235="",R235=""),"",IF(AND(R235&gt;0,Tabla1[[#This Row],[SEMANAS DE GESTACION ACTUALIZADAS]]&lt;=12),"NO APLICA",IF(AND(FH235&lt;&gt;"",FN235&lt;&gt;""),"SI","NO"))))</f>
        <v>NO</v>
      </c>
      <c r="NO235" s="43" t="str">
        <f ca="1">IF(AND(O235&gt;0,R235=""),"NO CPN",IF(AND(O235="",R235=""),"",IF(AND(R235&gt;0,Tabla1[[#This Row],[SEMANAS DE GESTACION ACTUALIZADAS]]&lt;=27),"NO APLICA",IF(AND(ES235&lt;&gt;"",FQ235&lt;&gt;"",GF235&lt;&gt;""),"SI","NO"))))</f>
        <v>NO APLICA</v>
      </c>
      <c r="NP235" s="204" t="str">
        <f t="shared" si="912"/>
        <v>I TRIM</v>
      </c>
      <c r="NQ235" s="21" t="str">
        <f t="shared" si="1046"/>
        <v/>
      </c>
      <c r="NR235" s="21">
        <f t="shared" ca="1" si="937"/>
        <v>2</v>
      </c>
      <c r="NS235" s="205">
        <f t="shared" ca="1" si="914"/>
        <v>1</v>
      </c>
      <c r="NT235" s="21">
        <f t="shared" ca="1" si="915"/>
        <v>1</v>
      </c>
      <c r="NU235" s="21" t="str">
        <f t="shared" ca="1" si="916"/>
        <v>INCOMPLETO</v>
      </c>
      <c r="NV235" s="21" t="str">
        <f t="shared" ca="1" si="917"/>
        <v>INCOMPLETO</v>
      </c>
      <c r="NW235" s="206" t="str">
        <f>IF(AND(O235="",R235=""),"",IF(OR(AND(Tabla1[[#This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35" s="207" t="str">
        <f t="shared" ca="1" si="938"/>
        <v>SIN VACUNAR</v>
      </c>
      <c r="NY235" s="43">
        <f>ROW(Tabla1[[#This Row],['# DE TAMIZAJES SIFILIS TOMADOS ]])</f>
        <v>235</v>
      </c>
      <c r="NZ235" s="43" t="str">
        <f t="shared" si="942"/>
        <v>Menor</v>
      </c>
      <c r="OA235" s="43" t="str">
        <f t="shared" si="943"/>
        <v>NORMAL</v>
      </c>
      <c r="OB235" s="43" t="str">
        <f t="shared" si="944"/>
        <v/>
      </c>
      <c r="OC235" s="43" t="str">
        <f t="shared" si="945"/>
        <v/>
      </c>
      <c r="OD235" s="43" t="str">
        <f t="shared" si="946"/>
        <v/>
      </c>
      <c r="OE235" s="43" t="str">
        <f t="shared" si="947"/>
        <v/>
      </c>
      <c r="OF235" s="43" t="str">
        <f t="shared" si="948"/>
        <v/>
      </c>
      <c r="OG235" s="43" t="str">
        <f t="shared" si="949"/>
        <v/>
      </c>
      <c r="OH235" s="43" t="str">
        <f t="shared" si="950"/>
        <v/>
      </c>
      <c r="OI235" s="43" t="str">
        <f t="shared" si="951"/>
        <v/>
      </c>
      <c r="OJ235" s="43" t="str">
        <f t="shared" si="952"/>
        <v/>
      </c>
      <c r="OK235" s="43" t="str">
        <f t="shared" si="953"/>
        <v/>
      </c>
      <c r="OL235" s="43" t="str">
        <f t="shared" si="954"/>
        <v/>
      </c>
      <c r="OM235" s="43" t="str">
        <f t="shared" si="955"/>
        <v/>
      </c>
      <c r="ON235" s="43" t="str">
        <f t="shared" si="956"/>
        <v/>
      </c>
      <c r="OO235" s="43" t="str">
        <f t="shared" si="957"/>
        <v/>
      </c>
      <c r="OP235" s="43" t="str">
        <f t="shared" si="958"/>
        <v/>
      </c>
      <c r="OQ235" s="43" t="str">
        <f t="shared" si="959"/>
        <v/>
      </c>
      <c r="OR235" s="43" t="str">
        <f t="shared" si="960"/>
        <v/>
      </c>
      <c r="OS235" s="43" t="str">
        <f t="shared" si="961"/>
        <v/>
      </c>
      <c r="OT235" s="43" t="str">
        <f t="shared" si="962"/>
        <v/>
      </c>
      <c r="OU235" s="43" t="str">
        <f t="shared" si="963"/>
        <v/>
      </c>
      <c r="OV235" s="110" t="str">
        <f t="shared" si="964"/>
        <v/>
      </c>
      <c r="OW235" s="43" t="str">
        <f t="shared" si="965"/>
        <v/>
      </c>
      <c r="OX235" s="43" t="str">
        <f t="shared" si="966"/>
        <v/>
      </c>
      <c r="OY235" s="43" t="str">
        <f t="shared" si="967"/>
        <v/>
      </c>
      <c r="OZ235" s="43" t="str">
        <f t="shared" si="968"/>
        <v/>
      </c>
      <c r="PA235" s="43" t="str">
        <f t="shared" si="969"/>
        <v/>
      </c>
      <c r="PB235" s="43" t="str">
        <f t="shared" si="970"/>
        <v/>
      </c>
      <c r="PC235" s="43" t="str">
        <f t="shared" si="971"/>
        <v/>
      </c>
      <c r="PD235" s="43" t="str">
        <f t="shared" si="972"/>
        <v/>
      </c>
      <c r="PE235" s="43" t="str">
        <f t="shared" si="973"/>
        <v/>
      </c>
      <c r="PF235" s="43" t="str">
        <f t="shared" si="974"/>
        <v/>
      </c>
      <c r="PG235" s="43" t="str">
        <f t="shared" si="975"/>
        <v/>
      </c>
      <c r="PH235" s="43" t="str">
        <f t="shared" si="976"/>
        <v/>
      </c>
      <c r="PI235" s="43" t="str">
        <f t="shared" si="977"/>
        <v>Menor</v>
      </c>
      <c r="PJ235" s="43" t="str">
        <f t="shared" si="978"/>
        <v>NORMAL</v>
      </c>
      <c r="PK235" s="43" t="str">
        <f t="shared" si="979"/>
        <v/>
      </c>
      <c r="PL235" s="43" t="str">
        <f t="shared" si="980"/>
        <v/>
      </c>
      <c r="PM235" s="43" t="str">
        <f t="shared" si="981"/>
        <v/>
      </c>
      <c r="PN235" s="43" t="str">
        <f t="shared" si="982"/>
        <v/>
      </c>
      <c r="PO235" s="43" t="str">
        <f t="shared" si="983"/>
        <v/>
      </c>
      <c r="PP235" s="43" t="str">
        <f t="shared" si="984"/>
        <v/>
      </c>
      <c r="PQ235" s="43" t="str">
        <f t="shared" si="985"/>
        <v/>
      </c>
      <c r="PR235" s="43" t="str">
        <f t="shared" si="986"/>
        <v/>
      </c>
      <c r="PS235" s="43" t="str">
        <f t="shared" si="987"/>
        <v/>
      </c>
      <c r="PT235" s="43" t="str">
        <f t="shared" si="988"/>
        <v/>
      </c>
      <c r="PU235" s="43" t="str">
        <f t="shared" si="989"/>
        <v/>
      </c>
      <c r="PV235" s="43" t="str">
        <f t="shared" si="990"/>
        <v/>
      </c>
      <c r="PW235" s="43" t="str">
        <f t="shared" si="991"/>
        <v/>
      </c>
      <c r="PX235" s="43" t="str">
        <f t="shared" si="992"/>
        <v/>
      </c>
      <c r="PY235" s="43" t="str">
        <f t="shared" si="993"/>
        <v/>
      </c>
      <c r="PZ235" s="43" t="str">
        <f t="shared" si="994"/>
        <v/>
      </c>
      <c r="QA235" s="43" t="str">
        <f t="shared" si="995"/>
        <v/>
      </c>
      <c r="QB235" s="43" t="str">
        <f t="shared" si="996"/>
        <v/>
      </c>
      <c r="QC235" s="43" t="str">
        <f t="shared" si="997"/>
        <v/>
      </c>
      <c r="QD235" s="43" t="str">
        <f t="shared" si="998"/>
        <v/>
      </c>
      <c r="QE235" s="43" t="str">
        <f t="shared" si="999"/>
        <v/>
      </c>
      <c r="QF235" s="43" t="str">
        <f t="shared" si="1000"/>
        <v/>
      </c>
      <c r="QG235" s="43" t="str">
        <f t="shared" si="1001"/>
        <v/>
      </c>
      <c r="QH235" s="43" t="str">
        <f t="shared" si="1002"/>
        <v/>
      </c>
      <c r="QI235" s="43" t="str">
        <f t="shared" si="1003"/>
        <v/>
      </c>
      <c r="QJ235" s="43" t="str">
        <f t="shared" si="1004"/>
        <v/>
      </c>
      <c r="QK235" s="43" t="str">
        <f t="shared" si="1005"/>
        <v/>
      </c>
      <c r="QL235" s="43" t="str">
        <f t="shared" si="1006"/>
        <v/>
      </c>
      <c r="QM235" s="43" t="str">
        <f t="shared" si="1007"/>
        <v/>
      </c>
      <c r="QN235" s="43" t="str">
        <f t="shared" si="1008"/>
        <v/>
      </c>
      <c r="QO235" s="43" t="str">
        <f t="shared" si="1009"/>
        <v/>
      </c>
      <c r="QP235" s="43" t="str">
        <f t="shared" si="1010"/>
        <v/>
      </c>
      <c r="QQ235" s="43" t="str">
        <f t="shared" si="1011"/>
        <v/>
      </c>
      <c r="QR235" s="43" t="str">
        <f t="shared" si="1012"/>
        <v>Menor</v>
      </c>
      <c r="QS235" s="43"/>
      <c r="QT235" s="21" t="str">
        <f t="shared" si="1013"/>
        <v/>
      </c>
      <c r="QU235" s="21" t="str">
        <f t="shared" si="1014"/>
        <v/>
      </c>
      <c r="QV235" s="21" t="str">
        <f t="shared" si="1015"/>
        <v/>
      </c>
      <c r="QW235" s="21" t="str">
        <f t="shared" si="1016"/>
        <v/>
      </c>
      <c r="QX235" s="21" t="str">
        <f t="shared" si="1017"/>
        <v/>
      </c>
      <c r="QY235" s="21" t="str">
        <f t="shared" si="1018"/>
        <v/>
      </c>
      <c r="QZ235" s="21" t="str">
        <f t="shared" si="1019"/>
        <v/>
      </c>
      <c r="RA235" s="21" t="str">
        <f t="shared" si="1020"/>
        <v/>
      </c>
      <c r="RB235" s="21" t="str">
        <f t="shared" si="1021"/>
        <v/>
      </c>
      <c r="RC235" s="21" t="str">
        <f t="shared" si="1022"/>
        <v/>
      </c>
      <c r="RD235" s="21" t="str">
        <f t="shared" si="1023"/>
        <v/>
      </c>
      <c r="RE235" s="21" t="str">
        <f t="shared" si="1024"/>
        <v/>
      </c>
      <c r="RF235" s="21" t="str">
        <f t="shared" si="1025"/>
        <v/>
      </c>
      <c r="RG235" s="21" t="str">
        <f t="shared" si="1026"/>
        <v/>
      </c>
      <c r="RH235" s="21" t="str">
        <f t="shared" si="1027"/>
        <v/>
      </c>
      <c r="RI235" s="21" t="str">
        <f t="shared" si="1028"/>
        <v/>
      </c>
      <c r="RJ235" s="21" t="str">
        <f t="shared" si="1029"/>
        <v/>
      </c>
      <c r="RK235" s="21" t="str">
        <f t="shared" si="1030"/>
        <v/>
      </c>
      <c r="RL235" s="21" t="str">
        <f t="shared" si="1031"/>
        <v/>
      </c>
      <c r="RM235" s="21" t="str">
        <f t="shared" si="1032"/>
        <v/>
      </c>
      <c r="RN235" s="21" t="str">
        <f t="shared" si="1033"/>
        <v/>
      </c>
      <c r="RO235" s="21" t="str">
        <f t="shared" si="1034"/>
        <v/>
      </c>
      <c r="RP235" s="21" t="str">
        <f t="shared" si="1035"/>
        <v/>
      </c>
      <c r="RQ235" s="21" t="str">
        <f t="shared" si="1036"/>
        <v/>
      </c>
      <c r="RR235" s="21" t="str">
        <f t="shared" si="1037"/>
        <v/>
      </c>
      <c r="RS235" s="21" t="str">
        <f t="shared" si="1038"/>
        <v/>
      </c>
      <c r="RT235" s="21" t="str">
        <f t="shared" si="1039"/>
        <v/>
      </c>
      <c r="RU235" s="21" t="str">
        <f t="shared" si="1040"/>
        <v/>
      </c>
      <c r="RV235" s="21">
        <f t="shared" si="1041"/>
        <v>-1</v>
      </c>
      <c r="RW235" s="284">
        <f>IF(OR(Tabla1[[#This Row],[FUM FORMULA CONFIABLE]]="",Tabla1[[#This Row],[FUM FORMULA CONFIABLE]]="SD"),"",IF(Tabla1[[#This Row],[FUM FORMULA CONFIABLE]]="CORREGIDA",Tabla1[[#This Row],[FUM X ECO 1]],Tabla1[[#This Row],[FUM x AMENORREA]]))</f>
        <v>45051</v>
      </c>
      <c r="RX235" s="21" t="str">
        <f>IF(AND(Tabla1[[#This Row],[FUM X ECO 1]]="",Tabla1[[#This Row],[FUM x AMENORREA]]=""),"",IF(AND(Tabla1[[#This Row],[FUM X ECO 1]]="",Tabla1[[#This Row],[FUM x AMENORREA]]&lt;&gt;""),"X",SUM(Tabla1[[#This Row],[FUM X ECO 1]]-Tabla1[[#This Row],[FUM x AMENORREA]])))</f>
        <v>X</v>
      </c>
      <c r="RY235" s="21" t="str">
        <f t="shared" si="1042"/>
        <v>x</v>
      </c>
    </row>
    <row r="236" spans="1:493" ht="45" customHeight="1" x14ac:dyDescent="0.25">
      <c r="A236" s="109"/>
      <c r="B236" s="43"/>
      <c r="C236" s="43" t="s">
        <v>845</v>
      </c>
      <c r="D236" s="124"/>
      <c r="E236" s="43" t="s">
        <v>1637</v>
      </c>
      <c r="F236" s="43" t="s">
        <v>1638</v>
      </c>
      <c r="G236" s="43" t="s">
        <v>1028</v>
      </c>
      <c r="H236" s="43"/>
      <c r="I236" s="109" t="s">
        <v>851</v>
      </c>
      <c r="J236" s="291">
        <v>1060986729</v>
      </c>
      <c r="K236" s="43" t="s">
        <v>852</v>
      </c>
      <c r="L236" s="175" t="s">
        <v>1509</v>
      </c>
      <c r="M236" s="22">
        <v>37871</v>
      </c>
      <c r="N236" s="213">
        <f t="shared" ca="1" si="841"/>
        <v>20.167123287671235</v>
      </c>
      <c r="O236" s="22">
        <v>45125</v>
      </c>
      <c r="P236" s="214" t="str">
        <f t="shared" si="919"/>
        <v>SI</v>
      </c>
      <c r="Q236" s="26" t="s">
        <v>855</v>
      </c>
      <c r="R236" s="22">
        <v>45125</v>
      </c>
      <c r="S236" s="21" t="s">
        <v>856</v>
      </c>
      <c r="T236" s="24" t="s">
        <v>690</v>
      </c>
      <c r="U236" s="21" t="s">
        <v>857</v>
      </c>
      <c r="V236" s="21" t="s">
        <v>858</v>
      </c>
      <c r="W236" s="21" t="s">
        <v>1359</v>
      </c>
      <c r="X236" s="21"/>
      <c r="Y236" s="21"/>
      <c r="Z236" s="21">
        <v>3234814636</v>
      </c>
      <c r="AA236" s="21" t="s">
        <v>860</v>
      </c>
      <c r="AB236" s="27" t="s">
        <v>861</v>
      </c>
      <c r="AC236" s="26" t="s">
        <v>862</v>
      </c>
      <c r="AD236" s="38" t="s">
        <v>1546</v>
      </c>
      <c r="AE236" s="26" t="s">
        <v>854</v>
      </c>
      <c r="AF236" s="26" t="s">
        <v>854</v>
      </c>
      <c r="AG236" s="23" t="s">
        <v>864</v>
      </c>
      <c r="AH236" s="23" t="s">
        <v>864</v>
      </c>
      <c r="AI236" s="24" t="s">
        <v>863</v>
      </c>
      <c r="AJ236" s="23" t="s">
        <v>864</v>
      </c>
      <c r="AK236" s="220" t="str">
        <f>IF(AND(AD236="",AE236="",AF236="",AG236="",AH236="",AI236="",AJ236=""),"",IF(OR(Tabla1[[#This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EVALUACIÓN",IF(AND(O236="",R236=""),"",IF(AND(OR(O236&gt;0,R236&gt;0),NG236&gt;=0,NG236&lt;2),"SIN RIESGO",IF(AND(OR(O236&gt;0,R236&gt;0),NG236&gt;=2),"CON RIESGO","ASD")))))</f>
        <v>SIN RIESGO</v>
      </c>
      <c r="AL236" s="26" t="s">
        <v>864</v>
      </c>
      <c r="AM236" s="26" t="s">
        <v>864</v>
      </c>
      <c r="AN236" s="26" t="s">
        <v>864</v>
      </c>
      <c r="AO236" s="26" t="s">
        <v>864</v>
      </c>
      <c r="AP236" s="26" t="s">
        <v>864</v>
      </c>
      <c r="AQ236" s="26" t="s">
        <v>864</v>
      </c>
      <c r="AR236" s="26" t="s">
        <v>864</v>
      </c>
      <c r="AS236" s="21">
        <v>0</v>
      </c>
      <c r="AT236" s="21">
        <v>0</v>
      </c>
      <c r="AU236" s="21">
        <v>0</v>
      </c>
      <c r="AV236" s="26" t="s">
        <v>864</v>
      </c>
      <c r="AW236" s="21">
        <v>0</v>
      </c>
      <c r="AX236" s="26" t="s">
        <v>864</v>
      </c>
      <c r="AY236" s="26" t="s">
        <v>864</v>
      </c>
      <c r="AZ236" s="26" t="s">
        <v>864</v>
      </c>
      <c r="BA236" s="26" t="s">
        <v>864</v>
      </c>
      <c r="BB236" s="26" t="s">
        <v>864</v>
      </c>
      <c r="BC236" s="26" t="s">
        <v>864</v>
      </c>
      <c r="BD236" s="26" t="s">
        <v>864</v>
      </c>
      <c r="BE236" s="26" t="s">
        <v>864</v>
      </c>
      <c r="BF236" s="26" t="s">
        <v>864</v>
      </c>
      <c r="BG236" s="26" t="s">
        <v>864</v>
      </c>
      <c r="BH236" s="26" t="s">
        <v>864</v>
      </c>
      <c r="BI236" s="26" t="s">
        <v>864</v>
      </c>
      <c r="BJ236" s="26" t="s">
        <v>864</v>
      </c>
      <c r="BK236" s="26" t="s">
        <v>864</v>
      </c>
      <c r="BL236" s="26" t="s">
        <v>864</v>
      </c>
      <c r="BM236" s="26" t="s">
        <v>864</v>
      </c>
      <c r="BN236" s="22"/>
      <c r="BO236" s="22">
        <v>44979</v>
      </c>
      <c r="BP236" s="21" t="s">
        <v>854</v>
      </c>
      <c r="BQ236" s="222">
        <f t="shared" si="842"/>
        <v>0</v>
      </c>
      <c r="BR236" s="223" t="str">
        <f t="shared" si="843"/>
        <v/>
      </c>
      <c r="BS236" s="224">
        <f t="shared" si="844"/>
        <v>20.857142857142858</v>
      </c>
      <c r="BT236" s="216" t="str">
        <f t="shared" si="845"/>
        <v>II TRIM</v>
      </c>
      <c r="BU236" s="214">
        <f t="shared" ca="1" si="928"/>
        <v>36.142857142857146</v>
      </c>
      <c r="BV236" s="25"/>
      <c r="BW236" s="22"/>
      <c r="BX236" s="28"/>
      <c r="BY236" s="28"/>
      <c r="BZ236" s="22"/>
      <c r="CA236" s="21"/>
      <c r="CB236" s="26"/>
      <c r="CC236" s="26"/>
      <c r="CD236" s="26"/>
      <c r="CE236" s="26"/>
      <c r="CF236" s="22" t="s">
        <v>1517</v>
      </c>
      <c r="CG236" s="21">
        <v>1.51</v>
      </c>
      <c r="CH236" s="21">
        <v>51</v>
      </c>
      <c r="CI236" s="214">
        <f t="shared" si="847"/>
        <v>22.367440024560327</v>
      </c>
      <c r="CJ236" s="225" t="e">
        <f>IF(AND(CI236&lt;10,CH236="SD"),"SIN DATO PESO PREGESTACION O I TRIM",IF(AND(OR(R236&gt;0,O236&gt;0),CI236="X"),"INGRESAR DATO DE PESO",IF(CI236="SD","INGRESAR DATO DE TALLA Y PESO",IF(AND(OR(Tabla1[[#This Row],[MOMENTO EN QUE SE REALIZA EL PESO AL INGRESO A CPN]]="PREGESTACIÓN",NZ236="Menor"),CI236&lt;18.5),"BAJO PESO",IF(AND(OR(Tabla1[[#This Row],[MOMENTO EN QUE SE REALIZA EL PESO AL INGRESO A CPN]]="PREGESTACIÓN",NZ236="Menor"),CI236&lt;25),"NORMAL",IF(AND(OR(Tabla1[[#This Row],[MOMENTO EN QUE SE REALIZA EL PESO AL INGRESO A CPN]]="PREGESTACIÓN",NZ236="Menor"),CI236&lt;30),"SOBREPESO",IF(AND(OR(Tabla1[[#This Row],[MOMENTO EN QUE SE REALIZA EL PESO AL INGRESO A CPN]]="PREGESTACIÓN",NZ236="Menor"),CI236&gt;=30,CI236&lt;50),"OBESIDAD",IF(AND(BS236&gt;0,Tabla1[[#This Row],[MOMENTO EN QUE SE REALIZA EL PESO AL INGRESO A CPN]]="GESTACIÓN"),HLOOKUP(NZ236,$OA$2:PH236,NY236),""))))))))</f>
        <v>#REF!</v>
      </c>
      <c r="CK236" s="212">
        <f t="shared" si="848"/>
        <v>45156</v>
      </c>
      <c r="CL236" s="21">
        <v>53</v>
      </c>
      <c r="CM236" s="214">
        <f t="shared" si="849"/>
        <v>23.244594535327398</v>
      </c>
      <c r="CN236" s="216">
        <f t="shared" si="850"/>
        <v>25</v>
      </c>
      <c r="CO236" s="216" t="e">
        <f>IF(PI236="","",IF(PI236&gt;0,HLOOKUP(PI236,$PJ$2:QQ236,NY236),""))</f>
        <v>#REF!</v>
      </c>
      <c r="CP236" s="21">
        <v>23</v>
      </c>
      <c r="CQ236" s="216" t="e">
        <f>IF(QR236="Menor","NO APLICA-MENOR 13 SEM",IF(AND(CC236="SI",CN236&gt;23),"NO APLICA- GEMELAR",IF(QR236="","",IF(QR236&gt;0,HLOOKUP(QR236,$QS$2:RU236,NY236),""))))</f>
        <v>#REF!</v>
      </c>
      <c r="CR236" s="21"/>
      <c r="CS236" s="21"/>
      <c r="CT236" s="217" t="str">
        <f>IF(R236="","",IF(AND(BS236&gt;1,BS236&lt;12,Tabla1[[#This Row],[T.A. SISTOLICA - ANTES DE SEMANA 12]]="",Tabla1[[#This Row],[T.A. DIASTOLICA - ANTES DE SEMANA 12]]=""),"REGISTRE DATO TA ANTES SEMANA 12",IF(AND(BS236&gt;11,BS236&lt;43,Tabla1[[#This Row],[T.A. SISTOLICA - ANTES DE SEMANA 12]]="",Tabla1[[#This Row],[T.A. DIASTOLICA - ANTES DE SEMANA 12]]=""),"NO APLICA REGISTRO TA-INGRESO TARDIO",IF(AND(OR(O236&gt;0,R236&gt;0),OR(CR236&gt;=140,CS236&gt;=90)),"DEFINIR ESTADIO HTA",IF(AND(OR(O236&gt;0,R236&gt;0),AND(CR236&gt;120,CR236&lt;=139)),"PRE HTA SEGUIMIENTO",IF(AND(OR(O236&gt;0,R236&gt;0),AND(CS236&gt;80,CS236&lt;=89)),"PRE HTA SEGUIMIENTO",IF(AND(OR(O236&gt;0,R236&gt;0),AND(CR236&gt;=80,CR236&lt;=120)),"APARENTEMENTE NORMAL",IF(AND(OR(O236&gt;0,R236&gt;0),AND(CS236&gt;=50,CS236&lt;=80)),"APARENTEMENTE NORMAL",IF(AND(OR(O236&gt;0,R236&gt;0),AND(CR236&gt;1,CR236&lt;=70),AND(CS236&gt;1,CS236&lt;=40)),"HIPOTENSIÓN","")))))))))</f>
        <v>NO APLICA REGISTRO TA-INGRESO TARDIO</v>
      </c>
      <c r="CU236" s="21">
        <v>90</v>
      </c>
      <c r="CV236" s="21">
        <v>60</v>
      </c>
      <c r="CW236" s="217" t="str">
        <f ca="1">IF(R236="","",IF(AND(CN236&gt;19,CN236&lt;27,Tabla1[[#This Row],[T.A. SISTOLICA (Entre semana 20 y 26)]]="",Tabla1[[#This Row],[T.A. DIATOLICA (Entre semana 20 y 26)]]=""),"ACUDE A CONTROL SEM 20 A 26 REGISTRE TA AHORA",IF(AND(BS236&gt;1,BS236&lt;27,BU236&gt;19,Tabla1[[#This Row],[T.A. SISTOLICA (Entre semana 20 y 26)]]="",Tabla1[[#This Row],[T.A. DIATOLICA (Entre semana 20 y 26)]]=""),"COMPLETE REGISTRO TA CONTROL SEM 20 A26 ",IF(AND(BS236&gt;26,BS236&lt;43,Tabla1[[#This Row],[T.A. SISTOLICA (Entre semana 20 y 26)]]="",Tabla1[[#This Row],[T.A. DIATOLICA (Entre semana 20 y 26)]]=""),"NO APLICA REGISTRO TA-INGRESO TARDIO",IF(AND(OR(O236&gt;0,R236&gt;0),OR(CU236&gt;=140,CV236&gt;=90)),"ALTO RIESGO PREECLAMPSIA,DEFINIR ESTADIO HTA",IF(AND(OR(O236&gt;0,R236&gt;0),AND(CU236&gt;120,CU236&lt;=139)),"PRE HTA SEGUIMIENTO,RIESGO HIPERTENSION INDUCIDA POR EL EMBARAZO",IF(AND(OR(O236&gt;0,R236&gt;0),AND(CV236&gt;80,CV236&lt;=89)),"PRE HTA SEGUIMIENTO, RIESGO HIPERTENSION INDUCIDA POR EL EMBARAZO",IF(AND(OR(O236&lt;&gt;"",R236&lt;&gt;""),CS236&lt;&gt;"",CV236&lt;&gt;"",CS236&lt;=CV236),"VIGILAR CIFRAS PRESION ARTERIAL",IF(AND(OR(O236&gt;0,R236&gt;0),AND(CU236&gt;120,CU236&lt;=139)),"PRE HTA SEGUIMIENTO",IF(AND(OR(O236&gt;0,R236&gt;0),AND(CU236&gt;1,CU236&lt;=70),AND(CV236&gt;1,CV236&lt;=40)),"HIPOTENSIÓN",IF(AND(OR(O236&lt;&gt;"",R236&lt;&gt;""),CS236&lt;&gt;"",CV236&lt;&gt;"",CS236&gt;CV236),"APARENTEMENTE NORMAL",IF(AND(OR(O236&gt;0,R236&gt;0),AND(CU236&gt;=80,CU236&lt;=120)),"APARENTEMENTE NORMAL",IF(AND(OR(O236&gt;0,R236&gt;0),AND(CV236&gt;=50,CV236&lt;=80)),"APARENTEMENTE NORMAL","")))))))))))))</f>
        <v>APARENTEMENTE NORMAL</v>
      </c>
      <c r="CX236" s="21"/>
      <c r="CY236" s="21"/>
      <c r="CZ236" s="216" t="str">
        <f t="shared" si="1045"/>
        <v/>
      </c>
      <c r="DA236" s="21">
        <v>90</v>
      </c>
      <c r="DB236" s="21">
        <v>60</v>
      </c>
      <c r="DC236" s="217" t="str">
        <f t="shared" si="851"/>
        <v>APARENTEMENTE NORMAL</v>
      </c>
      <c r="DD236" s="22">
        <v>45125</v>
      </c>
      <c r="DE236" s="22">
        <v>45125</v>
      </c>
      <c r="DF236" s="22">
        <v>45156</v>
      </c>
      <c r="DG236" s="22"/>
      <c r="DH236" s="22"/>
      <c r="DI236" s="22"/>
      <c r="DJ236" s="22"/>
      <c r="DK236" s="22"/>
      <c r="DL236" s="22"/>
      <c r="DM236" s="22"/>
      <c r="DN236" s="22"/>
      <c r="DO236" s="22"/>
      <c r="DP236" s="22"/>
      <c r="DQ236" s="22"/>
      <c r="DR236" s="28"/>
      <c r="DS236" s="22"/>
      <c r="DT236" s="22"/>
      <c r="DU236" s="216" t="str">
        <f t="shared" ca="1" si="920"/>
        <v>CONCERTAR PLAN DE PARTO INMEDIATO</v>
      </c>
      <c r="DV236" s="226" t="str">
        <f t="shared" si="921"/>
        <v>ACTIVA INGRESO A CPN</v>
      </c>
      <c r="DW23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36" s="216" t="e">
        <f t="shared" ca="1" si="852"/>
        <v>#REF!</v>
      </c>
      <c r="DY236" s="212">
        <f>IF(R236="","",IF(R236&gt;0,MAX(Tabla1[[#This Row],[FECHA C2]:[FECHA C13]],Tabla1[[#This Row],[FECHA CONSULTA PRIMERA VEZ PROGRAMA CPN ]])))</f>
        <v>45156</v>
      </c>
      <c r="DZ236" s="216">
        <f t="shared" si="853"/>
        <v>25</v>
      </c>
      <c r="EA236" s="222">
        <f>IF(R236&gt;0,SUM(COUNTA(DF236:DQ236)+COUNTA(Tabla1[[#This Row],[FECHA CONSULTA PRIMERA VEZ PROGRAMA CPN ]])),"")</f>
        <v>2</v>
      </c>
      <c r="EB236" s="222" t="str">
        <f t="shared" si="854"/>
        <v>NO</v>
      </c>
      <c r="EC236" s="214">
        <f t="shared" si="855"/>
        <v>6</v>
      </c>
      <c r="ED236" s="227">
        <f t="shared" si="856"/>
        <v>0.33333333333333331</v>
      </c>
      <c r="EE236" s="22">
        <v>45125</v>
      </c>
      <c r="EF236" s="22">
        <v>45156</v>
      </c>
      <c r="EG236" s="22">
        <v>45125</v>
      </c>
      <c r="EH236" s="22"/>
      <c r="EI236" s="22">
        <v>45125</v>
      </c>
      <c r="EJ236" s="22"/>
      <c r="EK236" s="22"/>
      <c r="EL236" s="21"/>
      <c r="EM236" s="21">
        <v>12.6</v>
      </c>
      <c r="EN236" s="22">
        <v>45129</v>
      </c>
      <c r="EO236" s="222">
        <f t="shared" si="857"/>
        <v>21.428571428571427</v>
      </c>
      <c r="EP236" s="214" t="str">
        <f t="shared" si="858"/>
        <v>NORMAL- SUMINISTRAR SULFATO FERROSO</v>
      </c>
      <c r="EQ236" s="216" t="str">
        <f t="shared" si="859"/>
        <v>II TRIM</v>
      </c>
      <c r="ER236" s="24">
        <v>63</v>
      </c>
      <c r="ES236" s="22">
        <v>45129</v>
      </c>
      <c r="ET236" s="29">
        <f t="shared" ca="1" si="922"/>
        <v>21.428571428571427</v>
      </c>
      <c r="EU236" s="25" t="str">
        <f t="shared" si="860"/>
        <v/>
      </c>
      <c r="EV236" s="24" t="s">
        <v>1510</v>
      </c>
      <c r="EW236" s="32">
        <v>45129</v>
      </c>
      <c r="EX236" s="22"/>
      <c r="EY236" s="29">
        <f t="shared" si="1043"/>
        <v>21.428571428571427</v>
      </c>
      <c r="EZ236" s="25" t="str">
        <f t="shared" si="1044"/>
        <v>SIN RIESGO DE ISOINMUNIZACIÓN</v>
      </c>
      <c r="FA236" s="21">
        <v>63</v>
      </c>
      <c r="FB236" s="32">
        <v>45129</v>
      </c>
      <c r="FC236" s="29">
        <f t="shared" si="861"/>
        <v>21.428571428571427</v>
      </c>
      <c r="FD236" s="29"/>
      <c r="FE236" s="29"/>
      <c r="FF236" s="29"/>
      <c r="FG236" s="21" t="str">
        <f t="shared" ca="1" si="862"/>
        <v>TOMAR PTOG</v>
      </c>
      <c r="FH236" s="31"/>
      <c r="FI236" s="29" t="str">
        <f t="shared" si="863"/>
        <v>TOMAR EXAMEN</v>
      </c>
      <c r="FJ236" s="22"/>
      <c r="FK236" s="22"/>
      <c r="FL236" s="29" t="str">
        <f t="shared" ca="1" si="864"/>
        <v>NO APLICA-INGRESO TARDIO</v>
      </c>
      <c r="FM236" s="22" t="s">
        <v>867</v>
      </c>
      <c r="FN236" s="22">
        <v>45129</v>
      </c>
      <c r="FO236" s="29">
        <f t="shared" ca="1" si="923"/>
        <v>21.428571428571427</v>
      </c>
      <c r="FP236" s="22"/>
      <c r="FQ236" s="32"/>
      <c r="FR236" s="29" t="str">
        <f t="shared" ca="1" si="924"/>
        <v>TOMA INMEDIATA DE TAMIZAJE</v>
      </c>
      <c r="FS236" s="22"/>
      <c r="FT236" s="32"/>
      <c r="FU236" s="29" t="str">
        <f>IF(AND(FJ236="",FM236="",FP236="",FS236=""),"",IF(OR(OR(Tabla1[[#This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36" s="28"/>
      <c r="FW236" s="22"/>
      <c r="FX236" s="29" t="str">
        <f t="shared" si="865"/>
        <v>TOMAR EXAMEN</v>
      </c>
      <c r="FY236" s="22"/>
      <c r="FZ236" s="22"/>
      <c r="GA236" s="29" t="str">
        <f t="shared" ca="1" si="939"/>
        <v>NO APLICA-INGRESO TARDIO</v>
      </c>
      <c r="GB236" s="22" t="s">
        <v>868</v>
      </c>
      <c r="GC236" s="22">
        <v>45129</v>
      </c>
      <c r="GD236" s="29">
        <f t="shared" ca="1" si="1048"/>
        <v>21.428571428571427</v>
      </c>
      <c r="GE236" s="22"/>
      <c r="GF236" s="22"/>
      <c r="GG236" s="29" t="str">
        <f t="shared" ca="1" si="926"/>
        <v>TOMA INMEDIATA DE TAMIZAJE</v>
      </c>
      <c r="GH236" s="22"/>
      <c r="GI236" s="29"/>
      <c r="GJ236" s="22"/>
      <c r="GK236" s="22"/>
      <c r="GL236" s="22"/>
      <c r="GM236" s="22"/>
      <c r="GN236" s="28" t="s">
        <v>869</v>
      </c>
      <c r="GO236" s="22">
        <v>45129</v>
      </c>
      <c r="GP236" s="29">
        <f t="shared" si="866"/>
        <v>21.428571428571427</v>
      </c>
      <c r="GQ236" s="28" t="s">
        <v>880</v>
      </c>
      <c r="GR236" s="28"/>
      <c r="GS236" s="22" t="str">
        <f t="shared" si="1047"/>
        <v/>
      </c>
      <c r="GT236" s="22">
        <v>45129</v>
      </c>
      <c r="GU236" s="29">
        <f t="shared" si="867"/>
        <v>21.428571428571427</v>
      </c>
      <c r="GV236" s="21" t="str">
        <f t="shared" si="868"/>
        <v>II TRIM</v>
      </c>
      <c r="GW236" s="28"/>
      <c r="GX236" s="30"/>
      <c r="GY236" s="21"/>
      <c r="GZ236" s="21"/>
      <c r="HA236" s="21"/>
      <c r="HB236" s="21"/>
      <c r="HC236" s="21"/>
      <c r="HD236" s="21"/>
      <c r="HE236" s="21"/>
      <c r="HF236" s="22"/>
      <c r="HG236" s="22" t="str">
        <f>IF(OR(O236&gt;0,R236&gt;0),CONCATENATE(IF(Tabla1[[#This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36" s="22" t="e">
        <f t="shared" si="869"/>
        <v>#REF!</v>
      </c>
      <c r="HI236" s="22" t="e">
        <f t="shared" ca="1" si="870"/>
        <v>#REF!</v>
      </c>
      <c r="HJ236" s="21" t="str">
        <f t="shared" ca="1" si="871"/>
        <v>**********************MULTIPARIDAD*****************</v>
      </c>
      <c r="HK236" s="21" t="str">
        <f t="shared" si="872"/>
        <v>SIN ANTECEDENTES DE RIESGO</v>
      </c>
      <c r="HL236" s="24" t="str">
        <f t="shared" si="873"/>
        <v>APARENTEMENTE NORMAL</v>
      </c>
      <c r="HM236" s="21" t="e">
        <f t="shared" ca="1" si="874"/>
        <v>#REF!</v>
      </c>
      <c r="HN236" s="30" t="str">
        <f t="shared" si="927"/>
        <v>ACTIVA INGRESO A CPN</v>
      </c>
      <c r="HO236" s="21"/>
      <c r="HP236" s="21"/>
      <c r="HQ236" s="349"/>
      <c r="HR236" s="21" t="str">
        <f>IF(R236="","",IF(Tabla1[[#This Row],[ALARMA FACTORES DE RIESGO COMPLICACIONES HIPERTENSIVAS3]]="SIN ANTECEDENTES DE RIESGO","No Aplica para suministro de ASA",IF(AND(Tabla1[[#This Row],[FECHA INICIO DE SUMINISTRO DE ASA]]&gt;0,RV236&lt;12),"Inicia ASA ANTES de Sem 12",IF(AND(RV236&gt;11,RV236&lt;17,OR(HK236="RIESGO ALTO DE COMPLICACIONES HIPERTENSIVAS VER MANEJO GUIA SUMINISTRO ASA Y CALCIO",HK236="RIESGO MODERADO (2 O MAS CRITERIOS) VER MANEJO GUIA SUMINISTRO ASA Y CALCIO")),"Inicio oportuno de ASA",IF(AND(RV236&gt;12,OR(HK236="RIESGO ALTO DE COMPLICACIONES HIPERTENSIVAS VER MANEJO GUIA SUMINISTRO ASA Y CALCIO",HK236="RIESGO MODERADO (2 O MAS CRITERIOS) VER MANEJO GUIA SUMINISTRO ASA Y CALCIO")),"Inicio no oportuno mayor a 16 semanas",IF(AND(BU236&lt;12,OR(HK236="RIESGO ALTO DE COMPLICACIONES HIPERTENSIVAS VER MANEJO GUIA SUMINISTRO ASA Y CALCIO",HK236="RIESGO MODERADO (2 O MAS CRITERIOS) VER MANEJO GUIA SUMINISTRO ASA Y CALCIO")),"Pendiente Inicio de ASA a la semana 12",IF(AND(BU236&gt;11,BU236&lt;17,OR(HK236="RIESGO ALTO DE COMPLICACIONES HIPERTENSIVAS VER MANEJO GUIA SUMINISTRO ASA Y CALCIO",HK236="RIESGO MODERADO (2 O MAS CRITERIOS) VER MANEJO GUIA SUMINISTRO ASA Y CALCIO")),"Iniciar de inmediato ASA",IF(AND(BU236&gt;16,OR(HK236="RIESGO ALTO DE COMPLICACIONES HIPERTENSIVAS VER MANEJO GUIA SUMINISTRO ASA Y CALCIO",HK236="RIESGO MODERADO (2 O MAS CRITERIOS) VER MANEJO GUIA SUMINISTRO ASA Y CALCIO")),"Pierde Oportunidad, Inicio tardío de ASA","XXXXX"))))))))</f>
        <v>No Aplica para suministro de ASA</v>
      </c>
      <c r="HS236" s="22">
        <v>45125</v>
      </c>
      <c r="HT236" s="22" t="s">
        <v>1518</v>
      </c>
      <c r="HU236" s="22"/>
      <c r="HV236" s="22"/>
      <c r="HW236" s="22">
        <v>45125</v>
      </c>
      <c r="HX236" s="22" t="s">
        <v>1511</v>
      </c>
      <c r="HY236" s="22"/>
      <c r="HZ236" s="28" t="str">
        <f t="shared" si="875"/>
        <v>PENDIENTE CONSULTA</v>
      </c>
      <c r="IA236" s="26"/>
      <c r="IB236" s="26"/>
      <c r="IC236" s="111"/>
      <c r="ID236" s="22"/>
      <c r="IE236" s="22" t="str">
        <f t="shared" ca="1" si="876"/>
        <v>INASISTENTE</v>
      </c>
      <c r="IF236" s="22"/>
      <c r="IG236" s="22">
        <f t="shared" si="877"/>
        <v>45259</v>
      </c>
      <c r="IH236" s="29">
        <f t="shared" ca="1" si="878"/>
        <v>27</v>
      </c>
      <c r="II236" s="22" t="str">
        <f t="shared" ca="1" si="879"/>
        <v>MENOS DE 4 SEMANAS</v>
      </c>
      <c r="IJ236" s="22"/>
      <c r="IK236" s="21"/>
      <c r="IL236" s="21"/>
      <c r="IM236" s="34"/>
      <c r="IN236" s="22"/>
      <c r="IO236" s="21"/>
      <c r="IP236" s="29" t="str">
        <f t="shared" si="880"/>
        <v/>
      </c>
      <c r="IQ236" s="35"/>
      <c r="IR236" s="21"/>
      <c r="IS236" s="21"/>
      <c r="IT236" s="21"/>
      <c r="IU236" s="21"/>
      <c r="IV236" s="21"/>
      <c r="IW236" s="21"/>
      <c r="IX236" s="21"/>
      <c r="IY236" s="21"/>
      <c r="IZ236" s="21"/>
      <c r="JA236" s="21"/>
      <c r="JB236" s="30"/>
      <c r="JC236" s="21"/>
      <c r="JD236" s="36"/>
      <c r="JE236" s="21" t="str">
        <f t="shared" si="881"/>
        <v/>
      </c>
      <c r="JF236" s="30"/>
      <c r="JG236" s="21"/>
      <c r="JH236" s="21"/>
      <c r="JI236" s="21"/>
      <c r="JJ236" s="30"/>
      <c r="JK236" s="22"/>
      <c r="JL236" s="22"/>
      <c r="JM236" s="21"/>
      <c r="JN236" s="36"/>
      <c r="JO236" s="21" t="str">
        <f t="shared" si="882"/>
        <v/>
      </c>
      <c r="JP236" s="22"/>
      <c r="JQ236" s="21"/>
      <c r="JR236" s="21"/>
      <c r="JS236" s="21"/>
      <c r="JT236" s="30"/>
      <c r="JU236" s="22"/>
      <c r="JV236" s="22"/>
      <c r="JW236" s="33"/>
      <c r="JX236" s="28" t="str">
        <f t="shared" si="883"/>
        <v/>
      </c>
      <c r="JY236" s="33"/>
      <c r="JZ236" s="28" t="str">
        <f t="shared" si="884"/>
        <v/>
      </c>
      <c r="KA236" s="21"/>
      <c r="KB236" s="21"/>
      <c r="KC236" s="21"/>
      <c r="KD236" s="37"/>
      <c r="KE236" s="28"/>
      <c r="KF236" s="28"/>
      <c r="KG236" s="28"/>
      <c r="KH236" s="39"/>
      <c r="KI236" s="39"/>
      <c r="KJ236" s="66"/>
      <c r="KK236" s="39"/>
      <c r="KL236" s="39"/>
      <c r="KM236" s="66"/>
      <c r="KN236" s="39"/>
      <c r="KO236" s="39"/>
      <c r="KP236" s="39"/>
      <c r="KQ236" s="39"/>
      <c r="KR236" s="39"/>
      <c r="KS236" s="39"/>
      <c r="KT236" s="39"/>
      <c r="KU236" s="38"/>
      <c r="KV236" s="38"/>
      <c r="KW236" s="38"/>
      <c r="KX236" s="38"/>
      <c r="KY236" s="38"/>
      <c r="KZ236" s="38"/>
      <c r="LA236" s="38"/>
      <c r="LB236" s="38"/>
      <c r="LC236" s="38"/>
      <c r="LD236" s="38"/>
      <c r="LE236" s="38"/>
      <c r="LF236" s="38"/>
      <c r="LG236" s="38"/>
      <c r="LH236" s="38"/>
      <c r="LI236" s="38"/>
      <c r="LJ236" s="38"/>
      <c r="LK236" s="38"/>
      <c r="LL236" s="38"/>
      <c r="LM236" s="38"/>
      <c r="LN236" s="38"/>
      <c r="LO236" s="38"/>
      <c r="LP236" s="38"/>
      <c r="LQ236" s="38"/>
      <c r="LR236" s="38"/>
      <c r="LS236" s="38"/>
      <c r="LT236" s="38"/>
      <c r="LU236" s="38"/>
      <c r="LV236" s="38"/>
      <c r="LW236" s="38"/>
      <c r="LX236" s="38"/>
      <c r="LY236" s="38"/>
      <c r="LZ236" s="38"/>
      <c r="MA236" s="38"/>
      <c r="MB236" s="38"/>
      <c r="MC236" s="38"/>
      <c r="MD236" s="38"/>
      <c r="ME236" s="38"/>
      <c r="MF236" s="38"/>
      <c r="MG236" s="38"/>
      <c r="MH236" s="43">
        <f t="shared" si="885"/>
        <v>0</v>
      </c>
      <c r="MI236" s="43" t="str">
        <f t="shared" si="929"/>
        <v/>
      </c>
      <c r="MJ236" s="43" t="str">
        <f t="shared" si="887"/>
        <v/>
      </c>
      <c r="MK236" s="43">
        <f t="shared" si="888"/>
        <v>0</v>
      </c>
      <c r="ML23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36" s="43">
        <f t="shared" si="930"/>
        <v>20.857142857142858</v>
      </c>
      <c r="MN236" s="43">
        <f t="shared" si="931"/>
        <v>7</v>
      </c>
      <c r="MO236" s="43">
        <f t="shared" si="932"/>
        <v>2023</v>
      </c>
      <c r="MP236" s="43" t="str">
        <f t="shared" si="892"/>
        <v>III TRIMESTRE AÑO</v>
      </c>
      <c r="MQ236" s="43">
        <f t="shared" si="933"/>
        <v>19.576763031099429</v>
      </c>
      <c r="MR236" s="43">
        <f t="shared" si="894"/>
        <v>0</v>
      </c>
      <c r="MS236" s="43" t="str">
        <f t="shared" si="895"/>
        <v>DE 14 A 19AÑOS</v>
      </c>
      <c r="MT236" s="43">
        <f t="shared" si="896"/>
        <v>0</v>
      </c>
      <c r="MU236" s="43">
        <f t="shared" si="897"/>
        <v>1</v>
      </c>
      <c r="MV236" s="43">
        <f t="shared" si="898"/>
        <v>0</v>
      </c>
      <c r="MW236" s="43">
        <f t="shared" si="899"/>
        <v>0</v>
      </c>
      <c r="MX236" s="43" t="str">
        <f t="shared" si="900"/>
        <v/>
      </c>
      <c r="MY236" s="43" t="str">
        <f t="shared" ca="1" si="901"/>
        <v/>
      </c>
      <c r="MZ236" s="43" t="str">
        <f t="shared" si="902"/>
        <v/>
      </c>
      <c r="NA236" s="43" t="str">
        <f t="shared" si="903"/>
        <v/>
      </c>
      <c r="NB236" s="43" t="str">
        <f t="shared" si="904"/>
        <v/>
      </c>
      <c r="NC236" s="43" t="str">
        <f t="shared" si="905"/>
        <v/>
      </c>
      <c r="ND236" s="43">
        <f t="shared" ca="1" si="934"/>
        <v>1</v>
      </c>
      <c r="NE236" s="43">
        <f>IF(OR(O236&gt;0,R236&gt;0),SUM(COUNTIF(Tabla1[[#This Row],[AÑOS AL INICIO5 CPN]],"&gt;=40"),COUNTIF(AS236,"0"),COUNTIF(AR236,"SI"),COUNTIF(CC236,"SI"),COUNTIF(BQ236,"&gt;119"),COUNTIF(CI236,"&gt;=35")),"")</f>
        <v>1</v>
      </c>
      <c r="NF236" s="43" t="str">
        <f t="shared" si="935"/>
        <v/>
      </c>
      <c r="NG236" s="43">
        <f t="shared" si="908"/>
        <v>0</v>
      </c>
      <c r="NH236" s="43" t="str">
        <f t="shared" si="909"/>
        <v/>
      </c>
      <c r="NI23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CPN",P236="NO"),"Z",IF(AND(Tabla1[[#This Row],[CITA PROXIMO CONTROL]]="CITA MANUAL",Tabla1[[#This Row],[GESTANTES ACTUALES]]="ACTIVA INGRESO A CPN"),"W",IF(AND(Tabla1[[#This Row],[GESTANTES ACTUALES]]="SALIO PROGRAMA",IN236=""),"S",IF(AND(Tabla1[[#This Row],[CITA PROXIMO CONTROL]]&gt;0,IN236=""),(Tabla1[[#This Row],[CITA PROXIMO CONTROL]]-TODAY()),"SD"))))))))</f>
        <v>#REF!</v>
      </c>
      <c r="NJ236" s="43">
        <f>MONTH(Tabla1[[#This Row],[FECHA DE SALIDA  DEL PROGRAMA]])</f>
        <v>1</v>
      </c>
      <c r="NK236" s="43">
        <f>YEAR(Tabla1[[#This Row],[FECHA DE SALIDA  DEL PROGRAMA]])</f>
        <v>1900</v>
      </c>
      <c r="NL236" s="43" t="str">
        <f t="shared" si="936"/>
        <v>X</v>
      </c>
      <c r="NM236" s="43" t="str">
        <f t="shared" si="941"/>
        <v>NO</v>
      </c>
      <c r="NN236" s="43" t="str">
        <f ca="1">IF(AND(O236&gt;0,R236=""),"NO CPN",IF(AND(O236="",R236=""),"",IF(AND(R236&gt;0,Tabla1[[#This Row],[SEMANAS DE GESTACION ACTUALIZADAS]]&lt;=12),"NO APLICA",IF(AND(FH236&lt;&gt;"",FN236&lt;&gt;""),"SI","NO"))))</f>
        <v>NO</v>
      </c>
      <c r="NO236" s="43" t="str">
        <f ca="1">IF(AND(O236&gt;0,R236=""),"NO CPN",IF(AND(O236="",R236=""),"",IF(AND(R236&gt;0,Tabla1[[#This Row],[SEMANAS DE GESTACION ACTUALIZADAS]]&lt;=27),"NO APLICA",IF(AND(ES236&lt;&gt;"",FQ236&lt;&gt;"",GF236&lt;&gt;""),"SI","NO"))))</f>
        <v>NO</v>
      </c>
      <c r="NP236" s="204" t="str">
        <f t="shared" si="912"/>
        <v>II TRIM</v>
      </c>
      <c r="NQ236" s="21" t="str">
        <f t="shared" si="1046"/>
        <v/>
      </c>
      <c r="NR236" s="21">
        <f t="shared" ca="1" si="937"/>
        <v>2</v>
      </c>
      <c r="NS236" s="205">
        <f t="shared" ca="1" si="914"/>
        <v>1</v>
      </c>
      <c r="NT236" s="21">
        <f t="shared" ca="1" si="915"/>
        <v>1</v>
      </c>
      <c r="NU236" s="21" t="str">
        <f t="shared" ca="1" si="916"/>
        <v>INCOMPLETO</v>
      </c>
      <c r="NV236" s="21" t="str">
        <f t="shared" ca="1" si="917"/>
        <v>INCOMPLETO</v>
      </c>
      <c r="NW236" s="206" t="str">
        <f>IF(AND(O236="",R236=""),"",IF(OR(AND(Tabla1[[#This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36" s="207" t="str">
        <f t="shared" ca="1" si="938"/>
        <v>SIN VACUNAR</v>
      </c>
      <c r="NY236" s="43">
        <f>ROW(Tabla1[[#This Row],['# DE TAMIZAJES SIFILIS TOMADOS ]])</f>
        <v>236</v>
      </c>
      <c r="NZ236" s="43">
        <f t="shared" si="942"/>
        <v>20</v>
      </c>
      <c r="OA236" s="43" t="str">
        <f t="shared" si="943"/>
        <v/>
      </c>
      <c r="OB236" s="43" t="str">
        <f t="shared" si="944"/>
        <v/>
      </c>
      <c r="OC236" s="43" t="str">
        <f t="shared" si="945"/>
        <v/>
      </c>
      <c r="OD236" s="43" t="str">
        <f t="shared" si="946"/>
        <v/>
      </c>
      <c r="OE236" s="43" t="str">
        <f t="shared" si="947"/>
        <v/>
      </c>
      <c r="OF236" s="43" t="str">
        <f t="shared" si="948"/>
        <v/>
      </c>
      <c r="OG236" s="43" t="str">
        <f t="shared" si="949"/>
        <v/>
      </c>
      <c r="OH236" s="43" t="str">
        <f t="shared" si="950"/>
        <v/>
      </c>
      <c r="OI236" s="43" t="str">
        <f t="shared" si="951"/>
        <v/>
      </c>
      <c r="OJ236" s="43" t="str">
        <f t="shared" si="952"/>
        <v/>
      </c>
      <c r="OK236" s="43" t="str">
        <f t="shared" si="953"/>
        <v/>
      </c>
      <c r="OL236" s="43" t="str">
        <f t="shared" si="954"/>
        <v>NORMAL</v>
      </c>
      <c r="OM236" s="43" t="str">
        <f t="shared" si="955"/>
        <v/>
      </c>
      <c r="ON236" s="43" t="str">
        <f t="shared" si="956"/>
        <v/>
      </c>
      <c r="OO236" s="43" t="str">
        <f t="shared" si="957"/>
        <v/>
      </c>
      <c r="OP236" s="43" t="str">
        <f t="shared" si="958"/>
        <v/>
      </c>
      <c r="OQ236" s="43" t="str">
        <f t="shared" si="959"/>
        <v/>
      </c>
      <c r="OR236" s="43" t="str">
        <f t="shared" si="960"/>
        <v/>
      </c>
      <c r="OS236" s="43" t="str">
        <f t="shared" si="961"/>
        <v/>
      </c>
      <c r="OT236" s="43" t="str">
        <f t="shared" si="962"/>
        <v/>
      </c>
      <c r="OU236" s="43" t="str">
        <f t="shared" si="963"/>
        <v/>
      </c>
      <c r="OV236" s="110" t="str">
        <f t="shared" si="964"/>
        <v/>
      </c>
      <c r="OW236" s="43" t="str">
        <f t="shared" si="965"/>
        <v/>
      </c>
      <c r="OX236" s="43" t="str">
        <f t="shared" si="966"/>
        <v/>
      </c>
      <c r="OY236" s="43" t="str">
        <f t="shared" si="967"/>
        <v/>
      </c>
      <c r="OZ236" s="43" t="str">
        <f t="shared" si="968"/>
        <v/>
      </c>
      <c r="PA236" s="43" t="str">
        <f t="shared" si="969"/>
        <v/>
      </c>
      <c r="PB236" s="43" t="str">
        <f t="shared" si="970"/>
        <v/>
      </c>
      <c r="PC236" s="43" t="str">
        <f t="shared" si="971"/>
        <v/>
      </c>
      <c r="PD236" s="43" t="str">
        <f t="shared" si="972"/>
        <v/>
      </c>
      <c r="PE236" s="43" t="str">
        <f t="shared" si="973"/>
        <v/>
      </c>
      <c r="PF236" s="43" t="str">
        <f t="shared" si="974"/>
        <v/>
      </c>
      <c r="PG236" s="43" t="str">
        <f t="shared" si="975"/>
        <v/>
      </c>
      <c r="PH236" s="43" t="str">
        <f t="shared" si="976"/>
        <v/>
      </c>
      <c r="PI236" s="43">
        <f t="shared" si="977"/>
        <v>25</v>
      </c>
      <c r="PJ236" s="43" t="str">
        <f t="shared" si="978"/>
        <v/>
      </c>
      <c r="PK236" s="43" t="str">
        <f t="shared" si="979"/>
        <v/>
      </c>
      <c r="PL236" s="43" t="str">
        <f t="shared" si="980"/>
        <v/>
      </c>
      <c r="PM236" s="43" t="str">
        <f t="shared" si="981"/>
        <v/>
      </c>
      <c r="PN236" s="43" t="str">
        <f t="shared" si="982"/>
        <v/>
      </c>
      <c r="PO236" s="43" t="str">
        <f t="shared" si="983"/>
        <v/>
      </c>
      <c r="PP236" s="43" t="str">
        <f t="shared" si="984"/>
        <v/>
      </c>
      <c r="PQ236" s="43" t="str">
        <f t="shared" si="985"/>
        <v/>
      </c>
      <c r="PR236" s="43" t="str">
        <f t="shared" si="986"/>
        <v/>
      </c>
      <c r="PS236" s="43" t="str">
        <f t="shared" si="987"/>
        <v/>
      </c>
      <c r="PT236" s="43" t="str">
        <f t="shared" si="988"/>
        <v/>
      </c>
      <c r="PU236" s="43" t="str">
        <f t="shared" si="989"/>
        <v/>
      </c>
      <c r="PV236" s="43" t="str">
        <f t="shared" si="990"/>
        <v/>
      </c>
      <c r="PW236" s="43" t="str">
        <f t="shared" si="991"/>
        <v/>
      </c>
      <c r="PX236" s="43" t="str">
        <f t="shared" si="992"/>
        <v/>
      </c>
      <c r="PY236" s="43" t="str">
        <f t="shared" si="993"/>
        <v/>
      </c>
      <c r="PZ236" s="43" t="str">
        <f t="shared" si="994"/>
        <v>NORMAL</v>
      </c>
      <c r="QA236" s="43" t="str">
        <f t="shared" si="995"/>
        <v/>
      </c>
      <c r="QB236" s="43" t="str">
        <f t="shared" si="996"/>
        <v/>
      </c>
      <c r="QC236" s="43" t="str">
        <f t="shared" si="997"/>
        <v/>
      </c>
      <c r="QD236" s="43" t="str">
        <f t="shared" si="998"/>
        <v/>
      </c>
      <c r="QE236" s="43" t="str">
        <f t="shared" si="999"/>
        <v/>
      </c>
      <c r="QF236" s="43" t="str">
        <f t="shared" si="1000"/>
        <v/>
      </c>
      <c r="QG236" s="43" t="str">
        <f t="shared" si="1001"/>
        <v/>
      </c>
      <c r="QH236" s="43" t="str">
        <f t="shared" si="1002"/>
        <v/>
      </c>
      <c r="QI236" s="43" t="str">
        <f t="shared" si="1003"/>
        <v/>
      </c>
      <c r="QJ236" s="43" t="str">
        <f t="shared" si="1004"/>
        <v/>
      </c>
      <c r="QK236" s="43" t="str">
        <f t="shared" si="1005"/>
        <v/>
      </c>
      <c r="QL236" s="43" t="str">
        <f t="shared" si="1006"/>
        <v/>
      </c>
      <c r="QM236" s="43" t="str">
        <f t="shared" si="1007"/>
        <v/>
      </c>
      <c r="QN236" s="43" t="str">
        <f t="shared" si="1008"/>
        <v/>
      </c>
      <c r="QO236" s="43" t="str">
        <f t="shared" si="1009"/>
        <v/>
      </c>
      <c r="QP236" s="43" t="str">
        <f t="shared" si="1010"/>
        <v/>
      </c>
      <c r="QQ236" s="43" t="str">
        <f t="shared" si="1011"/>
        <v/>
      </c>
      <c r="QR236" s="43">
        <f t="shared" si="1012"/>
        <v>25</v>
      </c>
      <c r="QS236" s="43"/>
      <c r="QT236" s="21" t="str">
        <f t="shared" si="1013"/>
        <v/>
      </c>
      <c r="QU236" s="21" t="str">
        <f t="shared" si="1014"/>
        <v/>
      </c>
      <c r="QV236" s="21" t="str">
        <f t="shared" si="1015"/>
        <v/>
      </c>
      <c r="QW236" s="21" t="str">
        <f t="shared" si="1016"/>
        <v/>
      </c>
      <c r="QX236" s="21" t="str">
        <f t="shared" si="1017"/>
        <v/>
      </c>
      <c r="QY236" s="21" t="str">
        <f t="shared" si="1018"/>
        <v/>
      </c>
      <c r="QZ236" s="21" t="str">
        <f t="shared" si="1019"/>
        <v/>
      </c>
      <c r="RA236" s="21" t="str">
        <f t="shared" si="1020"/>
        <v/>
      </c>
      <c r="RB236" s="21" t="str">
        <f t="shared" si="1021"/>
        <v/>
      </c>
      <c r="RC236" s="21" t="str">
        <f t="shared" si="1022"/>
        <v/>
      </c>
      <c r="RD236" s="21" t="str">
        <f t="shared" si="1023"/>
        <v/>
      </c>
      <c r="RE236" s="21" t="str">
        <f t="shared" si="1024"/>
        <v/>
      </c>
      <c r="RF236" s="21" t="str">
        <f t="shared" si="1025"/>
        <v>ADECUADO PARA EDAD GESTACIONAL</v>
      </c>
      <c r="RG236" s="21" t="str">
        <f t="shared" si="1026"/>
        <v/>
      </c>
      <c r="RH236" s="21" t="str">
        <f t="shared" si="1027"/>
        <v/>
      </c>
      <c r="RI236" s="21" t="str">
        <f t="shared" si="1028"/>
        <v/>
      </c>
      <c r="RJ236" s="21" t="str">
        <f t="shared" si="1029"/>
        <v/>
      </c>
      <c r="RK236" s="21" t="str">
        <f t="shared" si="1030"/>
        <v/>
      </c>
      <c r="RL236" s="21" t="str">
        <f t="shared" si="1031"/>
        <v/>
      </c>
      <c r="RM236" s="21" t="str">
        <f t="shared" si="1032"/>
        <v/>
      </c>
      <c r="RN236" s="21" t="str">
        <f t="shared" si="1033"/>
        <v/>
      </c>
      <c r="RO236" s="21" t="str">
        <f t="shared" si="1034"/>
        <v/>
      </c>
      <c r="RP236" s="21" t="str">
        <f t="shared" si="1035"/>
        <v/>
      </c>
      <c r="RQ236" s="21" t="str">
        <f t="shared" si="1036"/>
        <v/>
      </c>
      <c r="RR236" s="21" t="str">
        <f t="shared" si="1037"/>
        <v/>
      </c>
      <c r="RS236" s="21" t="str">
        <f t="shared" si="1038"/>
        <v/>
      </c>
      <c r="RT236" s="21" t="str">
        <f t="shared" si="1039"/>
        <v/>
      </c>
      <c r="RU236" s="21" t="str">
        <f t="shared" si="1040"/>
        <v/>
      </c>
      <c r="RV236" s="21">
        <f t="shared" si="1041"/>
        <v>-1</v>
      </c>
      <c r="RW236" s="284">
        <f>IF(OR(Tabla1[[#This Row],[FUM FORMULA CONFIABLE]]="",Tabla1[[#This Row],[FUM FORMULA CONFIABLE]]="SD"),"",IF(Tabla1[[#This Row],[FUM FORMULA CONFIABLE]]="CORREGIDA",Tabla1[[#This Row],[FUM X ECO 1]],Tabla1[[#This Row],[FUM x AMENORREA]]))</f>
        <v>44979</v>
      </c>
      <c r="RX236" s="21" t="str">
        <f>IF(AND(Tabla1[[#This Row],[FUM X ECO 1]]="",Tabla1[[#This Row],[FUM x AMENORREA]]=""),"",IF(AND(Tabla1[[#This Row],[FUM X ECO 1]]="",Tabla1[[#This Row],[FUM x AMENORREA]]&lt;&gt;""),"X",SUM(Tabla1[[#This Row],[FUM X ECO 1]]-Tabla1[[#This Row],[FUM x AMENORREA]])))</f>
        <v>X</v>
      </c>
      <c r="RY236" s="21" t="str">
        <f t="shared" si="1042"/>
        <v>x</v>
      </c>
    </row>
    <row r="237" spans="1:493" ht="45" customHeight="1" x14ac:dyDescent="0.25">
      <c r="A237" s="109"/>
      <c r="B237" s="43"/>
      <c r="C237" s="43" t="s">
        <v>845</v>
      </c>
      <c r="D237" s="124"/>
      <c r="E237" s="43" t="s">
        <v>1249</v>
      </c>
      <c r="F237" s="43" t="s">
        <v>914</v>
      </c>
      <c r="G237" s="43" t="s">
        <v>1659</v>
      </c>
      <c r="H237" s="43"/>
      <c r="I237" s="109" t="s">
        <v>851</v>
      </c>
      <c r="J237" s="110">
        <v>1059597497</v>
      </c>
      <c r="K237" s="43" t="s">
        <v>852</v>
      </c>
      <c r="L237" s="175" t="s">
        <v>1509</v>
      </c>
      <c r="M237" s="22">
        <v>31776</v>
      </c>
      <c r="N237" s="213">
        <f t="shared" ca="1" si="841"/>
        <v>36.865753424657534</v>
      </c>
      <c r="O237" s="22">
        <v>45139</v>
      </c>
      <c r="P237" s="214" t="str">
        <f t="shared" si="919"/>
        <v>SI</v>
      </c>
      <c r="Q237" s="26" t="s">
        <v>855</v>
      </c>
      <c r="R237" s="22">
        <v>45139</v>
      </c>
      <c r="S237" s="21" t="s">
        <v>856</v>
      </c>
      <c r="T237" s="24" t="s">
        <v>690</v>
      </c>
      <c r="U237" s="21" t="s">
        <v>857</v>
      </c>
      <c r="V237" s="21" t="s">
        <v>858</v>
      </c>
      <c r="W237" s="21" t="s">
        <v>999</v>
      </c>
      <c r="X237" s="21" t="s">
        <v>999</v>
      </c>
      <c r="Y237" s="21" t="s">
        <v>999</v>
      </c>
      <c r="Z237" s="21">
        <v>3185789811</v>
      </c>
      <c r="AA237" s="21" t="s">
        <v>860</v>
      </c>
      <c r="AB237" s="27" t="s">
        <v>861</v>
      </c>
      <c r="AC237" s="26" t="s">
        <v>846</v>
      </c>
      <c r="AD237" s="21" t="s">
        <v>1546</v>
      </c>
      <c r="AE237" s="26" t="s">
        <v>854</v>
      </c>
      <c r="AF237" s="26" t="s">
        <v>854</v>
      </c>
      <c r="AG237" s="23" t="s">
        <v>864</v>
      </c>
      <c r="AH237" s="23" t="s">
        <v>864</v>
      </c>
      <c r="AI237" s="24" t="s">
        <v>863</v>
      </c>
      <c r="AJ237" s="23" t="s">
        <v>864</v>
      </c>
      <c r="AK237" s="220" t="str">
        <f>IF(AND(AD237="",AE237="",AF237="",AG237="",AH237="",AI237="",AJ237=""),"",IF(OR(Tabla1[[#This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EVALUACIÓN",IF(AND(O237="",R237=""),"",IF(AND(OR(O237&gt;0,R237&gt;0),NG237&gt;=0,NG237&lt;2),"SIN RIESGO",IF(AND(OR(O237&gt;0,R237&gt;0),NG237&gt;=2),"CON RIESGO","ASD")))))</f>
        <v>SIN RIESGO</v>
      </c>
      <c r="AL237" s="26" t="s">
        <v>864</v>
      </c>
      <c r="AM237" s="26" t="s">
        <v>864</v>
      </c>
      <c r="AN237" s="26" t="s">
        <v>864</v>
      </c>
      <c r="AO237" s="26" t="s">
        <v>864</v>
      </c>
      <c r="AP237" s="26" t="s">
        <v>864</v>
      </c>
      <c r="AQ237" s="26" t="s">
        <v>864</v>
      </c>
      <c r="AR237" s="26" t="s">
        <v>864</v>
      </c>
      <c r="AS237" s="21">
        <v>1</v>
      </c>
      <c r="AT237" s="21">
        <v>1</v>
      </c>
      <c r="AU237" s="21">
        <v>0</v>
      </c>
      <c r="AV237" s="26" t="s">
        <v>864</v>
      </c>
      <c r="AW237" s="21">
        <v>0</v>
      </c>
      <c r="AX237" s="26" t="s">
        <v>864</v>
      </c>
      <c r="AY237" s="26" t="s">
        <v>864</v>
      </c>
      <c r="AZ237" s="26" t="s">
        <v>864</v>
      </c>
      <c r="BA237" s="26" t="s">
        <v>864</v>
      </c>
      <c r="BB237" s="26" t="s">
        <v>864</v>
      </c>
      <c r="BC237" s="26" t="s">
        <v>864</v>
      </c>
      <c r="BD237" s="26" t="s">
        <v>864</v>
      </c>
      <c r="BE237" s="26" t="s">
        <v>864</v>
      </c>
      <c r="BF237" s="26" t="s">
        <v>864</v>
      </c>
      <c r="BG237" s="26" t="s">
        <v>864</v>
      </c>
      <c r="BH237" s="26" t="s">
        <v>864</v>
      </c>
      <c r="BI237" s="26" t="s">
        <v>864</v>
      </c>
      <c r="BJ237" s="26" t="s">
        <v>864</v>
      </c>
      <c r="BK237" s="26" t="s">
        <v>864</v>
      </c>
      <c r="BL237" s="26" t="s">
        <v>864</v>
      </c>
      <c r="BM237" s="26" t="s">
        <v>864</v>
      </c>
      <c r="BN237" s="22"/>
      <c r="BO237" s="22">
        <v>45101</v>
      </c>
      <c r="BP237" s="21" t="s">
        <v>864</v>
      </c>
      <c r="BQ237" s="222">
        <f t="shared" si="842"/>
        <v>0</v>
      </c>
      <c r="BR237" s="223" t="str">
        <f t="shared" si="843"/>
        <v/>
      </c>
      <c r="BS237" s="224">
        <f t="shared" si="844"/>
        <v>5.4285714285714288</v>
      </c>
      <c r="BT237" s="216" t="str">
        <f t="shared" si="845"/>
        <v>DEFINIR CON ECO</v>
      </c>
      <c r="BU237" s="214">
        <f t="shared" ca="1" si="928"/>
        <v>18.714285714285715</v>
      </c>
      <c r="BV237" s="25"/>
      <c r="BW237" s="22"/>
      <c r="BX237" s="28"/>
      <c r="BY237" s="28"/>
      <c r="BZ237" s="22"/>
      <c r="CA237" s="21"/>
      <c r="CB237" s="26"/>
      <c r="CC237" s="26"/>
      <c r="CD237" s="26"/>
      <c r="CE237" s="26"/>
      <c r="CF237" s="22" t="s">
        <v>1517</v>
      </c>
      <c r="CG237" s="21">
        <v>1.52</v>
      </c>
      <c r="CH237" s="21">
        <v>52.6</v>
      </c>
      <c r="CI237" s="214">
        <f t="shared" si="847"/>
        <v>22.766620498614959</v>
      </c>
      <c r="CJ237" s="225" t="str">
        <f>IF(AND(CI237&lt;10,CH237="SD"),"SIN DATO PESO PREGESTACION O I TRIM",IF(AND(OR(R237&gt;0,O237&gt;0),CI237="X"),"INGRESAR DATO DE PESO",IF(CI237="SD","INGRESAR DATO DE TALLA Y PESO",IF(AND(OR(Tabla1[[#This Row],[MOMENTO EN QUE SE REALIZA EL PESO AL INGRESO A CPN]]="PREGESTACIÓN",NZ237="Menor"),CI237&lt;18.5),"BAJO PESO",IF(AND(OR(Tabla1[[#This Row],[MOMENTO EN QUE SE REALIZA EL PESO AL INGRESO A CPN]]="PREGESTACIÓN",NZ237="Menor"),CI237&lt;25),"NORMAL",IF(AND(OR(Tabla1[[#This Row],[MOMENTO EN QUE SE REALIZA EL PESO AL INGRESO A CPN]]="PREGESTACIÓN",NZ237="Menor"),CI237&lt;30),"SOBREPESO",IF(AND(OR(Tabla1[[#This Row],[MOMENTO EN QUE SE REALIZA EL PESO AL INGRESO A CPN]]="PREGESTACIÓN",NZ237="Menor"),CI237&gt;=30,CI237&lt;50),"OBESIDAD",IF(AND(BS237&gt;0,Tabla1[[#This Row],[MOMENTO EN QUE SE REALIZA EL PESO AL INGRESO A CPN]]="GESTACIÓN"),HLOOKUP(NZ237,$OA$2:PH237,NY237),""))))))))</f>
        <v>NORMAL</v>
      </c>
      <c r="CK237" s="212">
        <f t="shared" si="848"/>
        <v>45171</v>
      </c>
      <c r="CL237" s="21">
        <v>52.6</v>
      </c>
      <c r="CM237" s="214">
        <f t="shared" si="849"/>
        <v>22.766620498614959</v>
      </c>
      <c r="CN237" s="216">
        <f t="shared" si="850"/>
        <v>10</v>
      </c>
      <c r="CO237" s="216" t="e">
        <f>IF(PI237="","",IF(PI237&gt;0,HLOOKUP(PI237,$PJ$2:QQ237,NY237),""))</f>
        <v>#REF!</v>
      </c>
      <c r="CP237" s="21"/>
      <c r="CQ237" s="216" t="str">
        <f>IF(QR237="Menor","NO APLICA-MENOR 13 SEM",IF(AND(CC237="SI",CN237&gt;23),"NO APLICA- GEMELAR",IF(QR237="","",IF(QR237&gt;0,HLOOKUP(QR237,$QS$2:RU237,NY237),""))))</f>
        <v>NO APLICA-MENOR 13 SEM</v>
      </c>
      <c r="CR237" s="21">
        <v>90</v>
      </c>
      <c r="CS237" s="21">
        <v>60</v>
      </c>
      <c r="CT237" s="217" t="str">
        <f>IF(R237="","",IF(AND(BS237&gt;1,BS237&lt;12,Tabla1[[#This Row],[T.A. SISTOLICA - ANTES DE SEMANA 12]]="",Tabla1[[#This Row],[T.A. DIASTOLICA - ANTES DE SEMANA 12]]=""),"REGISTRE DATO TA ANTES SEMANA 12",IF(AND(BS237&gt;11,BS237&lt;43,Tabla1[[#This Row],[T.A. SISTOLICA - ANTES DE SEMANA 12]]="",Tabla1[[#This Row],[T.A. DIASTOLICA - ANTES DE SEMANA 12]]=""),"NO APLICA REGISTRO TA-INGRESO TARDIO",IF(AND(OR(O237&gt;0,R237&gt;0),OR(CR237&gt;=140,CS237&gt;=90)),"DEFINIR ESTADIO HTA",IF(AND(OR(O237&gt;0,R237&gt;0),AND(CR237&gt;120,CR237&lt;=139)),"PRE HTA SEGUIMIENTO",IF(AND(OR(O237&gt;0,R237&gt;0),AND(CS237&gt;80,CS237&lt;=89)),"PRE HTA SEGUIMIENTO",IF(AND(OR(O237&gt;0,R237&gt;0),AND(CR237&gt;=80,CR237&lt;=120)),"APARENTEMENTE NORMAL",IF(AND(OR(O237&gt;0,R237&gt;0),AND(CS237&gt;=50,CS237&lt;=80)),"APARENTEMENTE NORMAL",IF(AND(OR(O237&gt;0,R237&gt;0),AND(CR237&gt;1,CR237&lt;=70),AND(CS237&gt;1,CS237&lt;=40)),"HIPOTENSIÓN","")))))))))</f>
        <v>APARENTEMENTE NORMAL</v>
      </c>
      <c r="CU237" s="21"/>
      <c r="CV237" s="21"/>
      <c r="CW237" s="217" t="str">
        <f ca="1">IF(R237="","",IF(AND(CN237&gt;19,CN237&lt;27,Tabla1[[#This Row],[T.A. SISTOLICA (Entre semana 20 y 26)]]="",Tabla1[[#This Row],[T.A. DIATOLICA (Entre semana 20 y 26)]]=""),"ACUDE A CONTROL SEM 20 A 26 REGISTRE TA AHORA",IF(AND(BS237&gt;1,BS237&lt;27,BU237&gt;19,Tabla1[[#This Row],[T.A. SISTOLICA (Entre semana 20 y 26)]]="",Tabla1[[#This Row],[T.A. DIATOLICA (Entre semana 20 y 26)]]=""),"COMPLETE REGISTRO TA CONTROL SEM 20 A26 ",IF(AND(BS237&gt;26,BS237&lt;43,Tabla1[[#This Row],[T.A. SISTOLICA (Entre semana 20 y 26)]]="",Tabla1[[#This Row],[T.A. DIATOLICA (Entre semana 20 y 26)]]=""),"NO APLICA REGISTRO TA-INGRESO TARDIO",IF(AND(OR(O237&gt;0,R237&gt;0),OR(CU237&gt;=140,CV237&gt;=90)),"ALTO RIESGO PREECLAMPSIA,DEFINIR ESTADIO HTA",IF(AND(OR(O237&gt;0,R237&gt;0),AND(CU237&gt;120,CU237&lt;=139)),"PRE HTA SEGUIMIENTO,RIESGO HIPERTENSION INDUCIDA POR EL EMBARAZO",IF(AND(OR(O237&gt;0,R237&gt;0),AND(CV237&gt;80,CV237&lt;=89)),"PRE HTA SEGUIMIENTO, RIESGO HIPERTENSION INDUCIDA POR EL EMBARAZO",IF(AND(OR(O237&lt;&gt;"",R237&lt;&gt;""),CS237&lt;&gt;"",CV237&lt;&gt;"",CS237&lt;=CV237),"VIGILAR CIFRAS PRESION ARTERIAL",IF(AND(OR(O237&gt;0,R237&gt;0),AND(CU237&gt;120,CU237&lt;=139)),"PRE HTA SEGUIMIENTO",IF(AND(OR(O237&gt;0,R237&gt;0),AND(CU237&gt;1,CU237&lt;=70),AND(CV237&gt;1,CV237&lt;=40)),"HIPOTENSIÓN",IF(AND(OR(O237&lt;&gt;"",R237&lt;&gt;""),CS237&lt;&gt;"",CV237&lt;&gt;"",CS237&gt;CV237),"APARENTEMENTE NORMAL",IF(AND(OR(O237&gt;0,R237&gt;0),AND(CU237&gt;=80,CU237&lt;=120)),"APARENTEMENTE NORMAL",IF(AND(OR(O237&gt;0,R237&gt;0),AND(CV237&gt;=50,CV237&lt;=80)),"APARENTEMENTE NORMAL","")))))))))))))</f>
        <v/>
      </c>
      <c r="CX237" s="21"/>
      <c r="CY237" s="21"/>
      <c r="CZ237" s="216" t="str">
        <f t="shared" si="1045"/>
        <v/>
      </c>
      <c r="DA237" s="21">
        <v>90</v>
      </c>
      <c r="DB237" s="21">
        <v>60</v>
      </c>
      <c r="DC237" s="217" t="str">
        <f t="shared" si="851"/>
        <v>APARENTEMENTE NORMAL</v>
      </c>
      <c r="DD237" s="22">
        <v>45139</v>
      </c>
      <c r="DE237" s="22">
        <v>45139</v>
      </c>
      <c r="DF237" s="22">
        <v>45171</v>
      </c>
      <c r="DG237" s="22"/>
      <c r="DH237" s="22"/>
      <c r="DI237" s="22"/>
      <c r="DJ237" s="22"/>
      <c r="DK237" s="22"/>
      <c r="DL237" s="22"/>
      <c r="DM237" s="22"/>
      <c r="DN237" s="22"/>
      <c r="DO237" s="22"/>
      <c r="DP237" s="22"/>
      <c r="DQ237" s="22"/>
      <c r="DR237" s="28"/>
      <c r="DS237" s="22"/>
      <c r="DT237" s="22"/>
      <c r="DU237" s="216" t="str">
        <f t="shared" ca="1" si="920"/>
        <v>EN ESPERA</v>
      </c>
      <c r="DV237" s="226" t="str">
        <f t="shared" si="921"/>
        <v>ACTIVA INGRESO A CPN</v>
      </c>
      <c r="DW23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37" s="216" t="e">
        <f t="shared" ca="1" si="852"/>
        <v>#REF!</v>
      </c>
      <c r="DY237" s="212">
        <f>IF(R237="","",IF(R237&gt;0,MAX(Tabla1[[#This Row],[FECHA C2]:[FECHA C13]],Tabla1[[#This Row],[FECHA CONSULTA PRIMERA VEZ PROGRAMA CPN ]])))</f>
        <v>45171</v>
      </c>
      <c r="DZ237" s="216">
        <f t="shared" si="853"/>
        <v>10</v>
      </c>
      <c r="EA237" s="222">
        <f>IF(R237&gt;0,SUM(COUNTA(DF237:DQ237)+COUNTA(Tabla1[[#This Row],[FECHA CONSULTA PRIMERA VEZ PROGRAMA CPN ]])),"")</f>
        <v>2</v>
      </c>
      <c r="EB237" s="222" t="str">
        <f t="shared" si="854"/>
        <v>NO</v>
      </c>
      <c r="EC237" s="214">
        <f t="shared" si="855"/>
        <v>10</v>
      </c>
      <c r="ED237" s="227">
        <f t="shared" si="856"/>
        <v>0.2</v>
      </c>
      <c r="EE237" s="22">
        <v>45139</v>
      </c>
      <c r="EF237" s="22">
        <v>45154</v>
      </c>
      <c r="EG237" s="22">
        <v>45139</v>
      </c>
      <c r="EH237" s="22"/>
      <c r="EI237" s="22">
        <v>45139</v>
      </c>
      <c r="EJ237" s="22"/>
      <c r="EK237" s="22"/>
      <c r="EL237" s="21"/>
      <c r="EM237" s="21">
        <v>12.8</v>
      </c>
      <c r="EN237" s="22">
        <v>45171</v>
      </c>
      <c r="EO237" s="222">
        <f t="shared" si="857"/>
        <v>10</v>
      </c>
      <c r="EP237" s="214" t="str">
        <f t="shared" si="858"/>
        <v>NORMAL- SUMINISTRAR SULFATO FERROSO</v>
      </c>
      <c r="EQ237" s="216" t="str">
        <f t="shared" si="859"/>
        <v>I TRIM</v>
      </c>
      <c r="ER237" s="24"/>
      <c r="ES237" s="22"/>
      <c r="ET237" s="29" t="str">
        <f t="shared" ca="1" si="922"/>
        <v>EN ESPERA PARA TOMA EXAMEN</v>
      </c>
      <c r="EU237" s="25" t="str">
        <f t="shared" si="860"/>
        <v/>
      </c>
      <c r="EV237" s="24" t="s">
        <v>1510</v>
      </c>
      <c r="EW237" s="32">
        <v>45171</v>
      </c>
      <c r="EX237" s="22"/>
      <c r="EY237" s="29">
        <f t="shared" si="1043"/>
        <v>10</v>
      </c>
      <c r="EZ237" s="25" t="str">
        <f t="shared" si="1044"/>
        <v>SIN RIESGO DE ISOINMUNIZACIÓN</v>
      </c>
      <c r="FA237" s="21">
        <v>66</v>
      </c>
      <c r="FB237" s="22">
        <v>45171</v>
      </c>
      <c r="FC237" s="29">
        <f t="shared" si="861"/>
        <v>10</v>
      </c>
      <c r="FD237" s="29"/>
      <c r="FE237" s="29"/>
      <c r="FF237" s="29"/>
      <c r="FG237" s="21" t="str">
        <f t="shared" ca="1" si="862"/>
        <v/>
      </c>
      <c r="FH237" s="31"/>
      <c r="FI237" s="29" t="str">
        <f t="shared" si="863"/>
        <v>TOMAR EXAMEN</v>
      </c>
      <c r="FJ237" s="22" t="s">
        <v>867</v>
      </c>
      <c r="FK237" s="22">
        <v>45171</v>
      </c>
      <c r="FL237" s="29">
        <f t="shared" ca="1" si="864"/>
        <v>10</v>
      </c>
      <c r="FM237" s="22"/>
      <c r="FN237" s="32"/>
      <c r="FO237" s="29" t="str">
        <f t="shared" ca="1" si="923"/>
        <v>EN RANGO PARA TOMAR EXAMEN</v>
      </c>
      <c r="FP237" s="22"/>
      <c r="FQ237" s="32"/>
      <c r="FR237" s="29" t="str">
        <f t="shared" ca="1" si="924"/>
        <v>EN ESPERA-ESTÁ I TRIM O II TRIM</v>
      </c>
      <c r="FS237" s="22"/>
      <c r="FT237" s="32"/>
      <c r="FU237" s="29" t="str">
        <f>IF(AND(FJ237="",FM237="",FP237="",FS237=""),"",IF(OR(OR(Tabla1[[#This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37" s="28"/>
      <c r="FW237" s="22"/>
      <c r="FX237" s="29" t="str">
        <f t="shared" si="865"/>
        <v>TOMAR EXAMEN</v>
      </c>
      <c r="FY237" s="22" t="s">
        <v>868</v>
      </c>
      <c r="FZ237" s="22">
        <v>45171</v>
      </c>
      <c r="GA237" s="29">
        <f t="shared" ca="1" si="939"/>
        <v>10</v>
      </c>
      <c r="GB237" s="22"/>
      <c r="GC237" s="22"/>
      <c r="GD237" s="29" t="str">
        <f t="shared" ca="1" si="1048"/>
        <v>EN RANGO PARA TOMAR EXAMEN</v>
      </c>
      <c r="GE237" s="22"/>
      <c r="GF237" s="22"/>
      <c r="GG237" s="29" t="str">
        <f t="shared" ca="1" si="926"/>
        <v>EN ESPERA-ESTÁ I TRIM O II TRIM</v>
      </c>
      <c r="GH237" s="22"/>
      <c r="GI237" s="29"/>
      <c r="GJ237" s="22"/>
      <c r="GK237" s="22"/>
      <c r="GL237" s="22"/>
      <c r="GM237" s="22"/>
      <c r="GN237" s="28" t="s">
        <v>869</v>
      </c>
      <c r="GO237" s="22">
        <v>45171</v>
      </c>
      <c r="GP237" s="29">
        <f t="shared" si="866"/>
        <v>10</v>
      </c>
      <c r="GQ237" s="28" t="s">
        <v>869</v>
      </c>
      <c r="GR237" s="28" t="s">
        <v>869</v>
      </c>
      <c r="GS237" s="22" t="str">
        <f t="shared" si="1047"/>
        <v>CONTROL Igm</v>
      </c>
      <c r="GT237" s="22">
        <v>45171</v>
      </c>
      <c r="GU237" s="29">
        <f t="shared" si="867"/>
        <v>10</v>
      </c>
      <c r="GV237" s="21" t="str">
        <f t="shared" si="868"/>
        <v>I TRIM</v>
      </c>
      <c r="GW237" s="28"/>
      <c r="GX237" s="30"/>
      <c r="GY237" s="21"/>
      <c r="GZ237" s="21"/>
      <c r="HA237" s="21"/>
      <c r="HB237" s="21"/>
      <c r="HC237" s="21"/>
      <c r="HD237" s="21"/>
      <c r="HE237" s="21"/>
      <c r="HF237" s="22"/>
      <c r="HG237" s="22" t="str">
        <f>IF(OR(O237&gt;0,R237&gt;0),CONCATENATE(IF(Tabla1[[#This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37" s="22" t="e">
        <f t="shared" si="869"/>
        <v>#REF!</v>
      </c>
      <c r="HI237" s="22" t="e">
        <f t="shared" ca="1" si="870"/>
        <v>#REF!</v>
      </c>
      <c r="HJ237" s="21" t="str">
        <f t="shared" ca="1" si="871"/>
        <v>************************RIESGO POR EDAD***************</v>
      </c>
      <c r="HK237" s="21" t="str">
        <f t="shared" si="872"/>
        <v>SIN ANTECEDENTES DE RIESGO</v>
      </c>
      <c r="HL237" s="24" t="str">
        <f t="shared" si="873"/>
        <v>APARENTEMENTE NORMAL</v>
      </c>
      <c r="HM237" s="21" t="e">
        <f t="shared" ca="1" si="874"/>
        <v>#REF!</v>
      </c>
      <c r="HN237" s="30" t="str">
        <f t="shared" si="927"/>
        <v>ACTIVA INGRESO A CPN</v>
      </c>
      <c r="HO237" s="21"/>
      <c r="HP237" s="21"/>
      <c r="HQ237" s="349"/>
      <c r="HR237" s="21" t="str">
        <f>IF(R237="","",IF(Tabla1[[#This Row],[ALARMA FACTORES DE RIESGO COMPLICACIONES HIPERTENSIVAS3]]="SIN ANTECEDENTES DE RIESGO","No Aplica para suministro de ASA",IF(AND(Tabla1[[#This Row],[FECHA INICIO DE SUMINISTRO DE ASA]]&gt;0,RV237&lt;12),"Inicia ASA ANTES de Sem 12",IF(AND(RV237&gt;11,RV237&lt;17,OR(HK237="RIESGO ALTO DE COMPLICACIONES HIPERTENSIVAS VER MANEJO GUIA SUMINISTRO ASA Y CALCIO",HK237="RIESGO MODERADO (2 O MAS CRITERIOS) VER MANEJO GUIA SUMINISTRO ASA Y CALCIO")),"Inicio oportuno de ASA",IF(AND(RV237&gt;12,OR(HK237="RIESGO ALTO DE COMPLICACIONES HIPERTENSIVAS VER MANEJO GUIA SUMINISTRO ASA Y CALCIO",HK237="RIESGO MODERADO (2 O MAS CRITERIOS) VER MANEJO GUIA SUMINISTRO ASA Y CALCIO")),"Inicio no oportuno mayor a 16 semanas",IF(AND(BU237&lt;12,OR(HK237="RIESGO ALTO DE COMPLICACIONES HIPERTENSIVAS VER MANEJO GUIA SUMINISTRO ASA Y CALCIO",HK237="RIESGO MODERADO (2 O MAS CRITERIOS) VER MANEJO GUIA SUMINISTRO ASA Y CALCIO")),"Pendiente Inicio de ASA a la semana 12",IF(AND(BU237&gt;11,BU237&lt;17,OR(HK237="RIESGO ALTO DE COMPLICACIONES HIPERTENSIVAS VER MANEJO GUIA SUMINISTRO ASA Y CALCIO",HK237="RIESGO MODERADO (2 O MAS CRITERIOS) VER MANEJO GUIA SUMINISTRO ASA Y CALCIO")),"Iniciar de inmediato ASA",IF(AND(BU237&gt;16,OR(HK237="RIESGO ALTO DE COMPLICACIONES HIPERTENSIVAS VER MANEJO GUIA SUMINISTRO ASA Y CALCIO",HK237="RIESGO MODERADO (2 O MAS CRITERIOS) VER MANEJO GUIA SUMINISTRO ASA Y CALCIO")),"Pierde Oportunidad, Inicio tardío de ASA","XXXXX"))))))))</f>
        <v>No Aplica para suministro de ASA</v>
      </c>
      <c r="HS237" s="22"/>
      <c r="HT237" s="22"/>
      <c r="HU237" s="22"/>
      <c r="HV237" s="22"/>
      <c r="HW237" s="22">
        <v>45139</v>
      </c>
      <c r="HX237" s="22" t="s">
        <v>1511</v>
      </c>
      <c r="HY237" s="22"/>
      <c r="HZ237" s="28" t="str">
        <f t="shared" si="875"/>
        <v>PENDIENTE CONSULTA</v>
      </c>
      <c r="IA237" s="26"/>
      <c r="IB237" s="26"/>
      <c r="IC237" s="111"/>
      <c r="ID237" s="22"/>
      <c r="IE237" s="22" t="str">
        <f t="shared" ca="1" si="876"/>
        <v>EN ESPERA PARA VACUNAR</v>
      </c>
      <c r="IF237" s="22"/>
      <c r="IG237" s="22">
        <f t="shared" si="877"/>
        <v>45381</v>
      </c>
      <c r="IH237" s="29">
        <f t="shared" ca="1" si="878"/>
        <v>149</v>
      </c>
      <c r="II237" s="22" t="str">
        <f t="shared" ca="1" si="879"/>
        <v>PENDIENTE</v>
      </c>
      <c r="IJ237" s="22"/>
      <c r="IK237" s="21"/>
      <c r="IL237" s="21"/>
      <c r="IM237" s="34"/>
      <c r="IN237" s="22"/>
      <c r="IO237" s="21"/>
      <c r="IP237" s="29" t="str">
        <f t="shared" si="880"/>
        <v/>
      </c>
      <c r="IQ237" s="35"/>
      <c r="IR237" s="21"/>
      <c r="IS237" s="21"/>
      <c r="IT237" s="21"/>
      <c r="IU237" s="21"/>
      <c r="IV237" s="21"/>
      <c r="IW237" s="21"/>
      <c r="IX237" s="21"/>
      <c r="IY237" s="21"/>
      <c r="IZ237" s="21"/>
      <c r="JA237" s="21"/>
      <c r="JB237" s="30"/>
      <c r="JC237" s="21"/>
      <c r="JD237" s="36"/>
      <c r="JE237" s="21" t="str">
        <f t="shared" si="881"/>
        <v/>
      </c>
      <c r="JF237" s="30"/>
      <c r="JG237" s="21"/>
      <c r="JH237" s="21"/>
      <c r="JI237" s="21"/>
      <c r="JJ237" s="30"/>
      <c r="JK237" s="22"/>
      <c r="JL237" s="22"/>
      <c r="JM237" s="21"/>
      <c r="JN237" s="36"/>
      <c r="JO237" s="21" t="str">
        <f t="shared" si="882"/>
        <v/>
      </c>
      <c r="JP237" s="22"/>
      <c r="JQ237" s="21"/>
      <c r="JR237" s="21"/>
      <c r="JS237" s="21"/>
      <c r="JT237" s="30"/>
      <c r="JU237" s="22"/>
      <c r="JV237" s="22"/>
      <c r="JW237" s="33"/>
      <c r="JX237" s="28" t="str">
        <f t="shared" si="883"/>
        <v/>
      </c>
      <c r="JY237" s="159"/>
      <c r="JZ237" s="28" t="str">
        <f t="shared" si="884"/>
        <v/>
      </c>
      <c r="KA237" s="21"/>
      <c r="KB237" s="21"/>
      <c r="KC237" s="21"/>
      <c r="KD237" s="37"/>
      <c r="KE237" s="28"/>
      <c r="KF237" s="28"/>
      <c r="KG237" s="28"/>
      <c r="KH237" s="39"/>
      <c r="KI237" s="39"/>
      <c r="KJ237" s="66"/>
      <c r="KK237" s="39"/>
      <c r="KL237" s="39"/>
      <c r="KM237" s="66"/>
      <c r="KN237" s="39"/>
      <c r="KO237" s="39"/>
      <c r="KP237" s="39"/>
      <c r="KQ237" s="39"/>
      <c r="KR237" s="39"/>
      <c r="KS237" s="39"/>
      <c r="KT237" s="39"/>
      <c r="KU237" s="38"/>
      <c r="KV237" s="38"/>
      <c r="KW237" s="38"/>
      <c r="KX237" s="38"/>
      <c r="KY237" s="38"/>
      <c r="KZ237" s="38"/>
      <c r="LA237" s="38"/>
      <c r="LB237" s="38"/>
      <c r="LC237" s="38"/>
      <c r="LD237" s="38"/>
      <c r="LE237" s="38"/>
      <c r="LF237" s="38"/>
      <c r="LG237" s="38"/>
      <c r="LH237" s="38"/>
      <c r="LI237" s="38"/>
      <c r="LJ237" s="38"/>
      <c r="LK237" s="38"/>
      <c r="LL237" s="38"/>
      <c r="LM237" s="38"/>
      <c r="LN237" s="38"/>
      <c r="LO237" s="38"/>
      <c r="LP237" s="38"/>
      <c r="LQ237" s="38"/>
      <c r="LR237" s="38"/>
      <c r="LS237" s="38"/>
      <c r="LT237" s="38"/>
      <c r="LU237" s="38"/>
      <c r="LV237" s="38"/>
      <c r="LW237" s="38"/>
      <c r="LX237" s="38"/>
      <c r="LY237" s="38"/>
      <c r="LZ237" s="38"/>
      <c r="MA237" s="38"/>
      <c r="MB237" s="38"/>
      <c r="MC237" s="38"/>
      <c r="MD237" s="38"/>
      <c r="ME237" s="38"/>
      <c r="MF237" s="38"/>
      <c r="MG237" s="38"/>
      <c r="MH237" s="43">
        <f t="shared" si="885"/>
        <v>0</v>
      </c>
      <c r="MI237" s="43" t="str">
        <f t="shared" si="929"/>
        <v/>
      </c>
      <c r="MJ237" s="43" t="str">
        <f t="shared" si="887"/>
        <v/>
      </c>
      <c r="MK237" s="43">
        <f t="shared" si="888"/>
        <v>0</v>
      </c>
      <c r="ML23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37" s="43">
        <f t="shared" si="930"/>
        <v>5.4285714285714288</v>
      </c>
      <c r="MN237" s="43">
        <f t="shared" si="931"/>
        <v>8</v>
      </c>
      <c r="MO237" s="43">
        <f t="shared" si="932"/>
        <v>2023</v>
      </c>
      <c r="MP237" s="43" t="str">
        <f t="shared" si="892"/>
        <v>III TRIMESTRE AÑO</v>
      </c>
      <c r="MQ237" s="43">
        <f t="shared" si="933"/>
        <v>36.057271134472181</v>
      </c>
      <c r="MR237" s="43">
        <f t="shared" si="894"/>
        <v>2</v>
      </c>
      <c r="MS237" s="43" t="str">
        <f t="shared" si="895"/>
        <v xml:space="preserve"> DE 35 A 39 AÑOS</v>
      </c>
      <c r="MT237" s="43">
        <f t="shared" si="896"/>
        <v>0</v>
      </c>
      <c r="MU237" s="43">
        <f t="shared" si="897"/>
        <v>0</v>
      </c>
      <c r="MV237" s="43">
        <f t="shared" si="898"/>
        <v>0</v>
      </c>
      <c r="MW237" s="43">
        <f t="shared" si="899"/>
        <v>0</v>
      </c>
      <c r="MX237" s="43" t="str">
        <f t="shared" si="900"/>
        <v/>
      </c>
      <c r="MY237" s="43" t="str">
        <f t="shared" ca="1" si="901"/>
        <v/>
      </c>
      <c r="MZ237" s="43" t="str">
        <f t="shared" si="902"/>
        <v/>
      </c>
      <c r="NA237" s="43" t="str">
        <f t="shared" si="903"/>
        <v/>
      </c>
      <c r="NB237" s="43" t="str">
        <f t="shared" si="904"/>
        <v/>
      </c>
      <c r="NC237" s="43" t="str">
        <f t="shared" si="905"/>
        <v/>
      </c>
      <c r="ND237" s="43">
        <f t="shared" ca="1" si="934"/>
        <v>2</v>
      </c>
      <c r="NE237" s="43">
        <f>IF(OR(O237&gt;0,R237&gt;0),SUM(COUNTIF(Tabla1[[#This Row],[AÑOS AL INICIO5 CPN]],"&gt;=40"),COUNTIF(AS237,"0"),COUNTIF(AR237,"SI"),COUNTIF(CC237,"SI"),COUNTIF(BQ237,"&gt;119"),COUNTIF(CI237,"&gt;=35")),"")</f>
        <v>0</v>
      </c>
      <c r="NF237" s="43" t="str">
        <f t="shared" si="935"/>
        <v/>
      </c>
      <c r="NG237" s="43">
        <f t="shared" si="908"/>
        <v>0</v>
      </c>
      <c r="NH237" s="43" t="str">
        <f t="shared" si="909"/>
        <v/>
      </c>
      <c r="NI23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CPN",P237="NO"),"Z",IF(AND(Tabla1[[#This Row],[CITA PROXIMO CONTROL]]="CITA MANUAL",Tabla1[[#This Row],[GESTANTES ACTUALES]]="ACTIVA INGRESO A CPN"),"W",IF(AND(Tabla1[[#This Row],[GESTANTES ACTUALES]]="SALIO PROGRAMA",IN237=""),"S",IF(AND(Tabla1[[#This Row],[CITA PROXIMO CONTROL]]&gt;0,IN237=""),(Tabla1[[#This Row],[CITA PROXIMO CONTROL]]-TODAY()),"SD"))))))))</f>
        <v>#REF!</v>
      </c>
      <c r="NJ237" s="43">
        <f>MONTH(Tabla1[[#This Row],[FECHA DE SALIDA  DEL PROGRAMA]])</f>
        <v>1</v>
      </c>
      <c r="NK237" s="43">
        <f>YEAR(Tabla1[[#This Row],[FECHA DE SALIDA  DEL PROGRAMA]])</f>
        <v>1900</v>
      </c>
      <c r="NL237" s="43" t="str">
        <f t="shared" si="936"/>
        <v>X</v>
      </c>
      <c r="NM237" s="43" t="str">
        <f t="shared" si="941"/>
        <v>NO</v>
      </c>
      <c r="NN237" s="43" t="str">
        <f ca="1">IF(AND(O237&gt;0,R237=""),"NO CPN",IF(AND(O237="",R237=""),"",IF(AND(R237&gt;0,Tabla1[[#This Row],[SEMANAS DE GESTACION ACTUALIZADAS]]&lt;=12),"NO APLICA",IF(AND(FH237&lt;&gt;"",FN237&lt;&gt;""),"SI","NO"))))</f>
        <v>NO</v>
      </c>
      <c r="NO237" s="43" t="str">
        <f ca="1">IF(AND(O237&gt;0,R237=""),"NO CPN",IF(AND(O237="",R237=""),"",IF(AND(R237&gt;0,Tabla1[[#This Row],[SEMANAS DE GESTACION ACTUALIZADAS]]&lt;=27),"NO APLICA",IF(AND(ES237&lt;&gt;"",FQ237&lt;&gt;"",GF237&lt;&gt;""),"SI","NO"))))</f>
        <v>NO APLICA</v>
      </c>
      <c r="NP237" s="204" t="str">
        <f t="shared" si="912"/>
        <v>DEFINIR CON ECO</v>
      </c>
      <c r="NQ237" s="21" t="str">
        <f t="shared" si="1046"/>
        <v/>
      </c>
      <c r="NR237" s="21">
        <f t="shared" ca="1" si="937"/>
        <v>2</v>
      </c>
      <c r="NS237" s="205">
        <f t="shared" ca="1" si="914"/>
        <v>1</v>
      </c>
      <c r="NT237" s="21">
        <f t="shared" ca="1" si="915"/>
        <v>1</v>
      </c>
      <c r="NU237" s="21" t="str">
        <f t="shared" ca="1" si="916"/>
        <v>INCOMPLETO</v>
      </c>
      <c r="NV237" s="21" t="str">
        <f t="shared" ca="1" si="917"/>
        <v>INCOMPLETO</v>
      </c>
      <c r="NW237" s="206" t="str">
        <f>IF(AND(O237="",R237=""),"",IF(OR(AND(Tabla1[[#This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37" s="207" t="str">
        <f t="shared" ca="1" si="938"/>
        <v>SIN VACUNAR</v>
      </c>
      <c r="NY237" s="43">
        <f>ROW(Tabla1[[#This Row],['# DE TAMIZAJES SIFILIS TOMADOS ]])</f>
        <v>237</v>
      </c>
      <c r="NZ237" s="43" t="str">
        <f t="shared" si="942"/>
        <v>Menor</v>
      </c>
      <c r="OA237" s="43" t="str">
        <f t="shared" si="943"/>
        <v>NORMAL</v>
      </c>
      <c r="OB237" s="43" t="str">
        <f t="shared" si="944"/>
        <v/>
      </c>
      <c r="OC237" s="43" t="str">
        <f t="shared" si="945"/>
        <v/>
      </c>
      <c r="OD237" s="43" t="str">
        <f t="shared" si="946"/>
        <v/>
      </c>
      <c r="OE237" s="43" t="str">
        <f t="shared" si="947"/>
        <v/>
      </c>
      <c r="OF237" s="43" t="str">
        <f t="shared" si="948"/>
        <v/>
      </c>
      <c r="OG237" s="43" t="str">
        <f t="shared" si="949"/>
        <v/>
      </c>
      <c r="OH237" s="43" t="str">
        <f t="shared" si="950"/>
        <v/>
      </c>
      <c r="OI237" s="43" t="str">
        <f t="shared" si="951"/>
        <v/>
      </c>
      <c r="OJ237" s="43" t="str">
        <f t="shared" si="952"/>
        <v/>
      </c>
      <c r="OK237" s="43" t="str">
        <f t="shared" si="953"/>
        <v/>
      </c>
      <c r="OL237" s="43" t="str">
        <f t="shared" si="954"/>
        <v/>
      </c>
      <c r="OM237" s="43" t="str">
        <f t="shared" si="955"/>
        <v/>
      </c>
      <c r="ON237" s="43" t="str">
        <f t="shared" si="956"/>
        <v/>
      </c>
      <c r="OO237" s="43" t="str">
        <f t="shared" si="957"/>
        <v/>
      </c>
      <c r="OP237" s="43" t="str">
        <f t="shared" si="958"/>
        <v/>
      </c>
      <c r="OQ237" s="43" t="str">
        <f t="shared" si="959"/>
        <v/>
      </c>
      <c r="OR237" s="43" t="str">
        <f t="shared" si="960"/>
        <v/>
      </c>
      <c r="OS237" s="43" t="str">
        <f t="shared" si="961"/>
        <v/>
      </c>
      <c r="OT237" s="43" t="str">
        <f t="shared" si="962"/>
        <v/>
      </c>
      <c r="OU237" s="43" t="str">
        <f t="shared" si="963"/>
        <v/>
      </c>
      <c r="OV237" s="110" t="str">
        <f t="shared" si="964"/>
        <v/>
      </c>
      <c r="OW237" s="43" t="str">
        <f t="shared" si="965"/>
        <v/>
      </c>
      <c r="OX237" s="43" t="str">
        <f t="shared" si="966"/>
        <v/>
      </c>
      <c r="OY237" s="43" t="str">
        <f t="shared" si="967"/>
        <v/>
      </c>
      <c r="OZ237" s="43" t="str">
        <f t="shared" si="968"/>
        <v/>
      </c>
      <c r="PA237" s="43" t="str">
        <f t="shared" si="969"/>
        <v/>
      </c>
      <c r="PB237" s="43" t="str">
        <f t="shared" si="970"/>
        <v/>
      </c>
      <c r="PC237" s="43" t="str">
        <f t="shared" si="971"/>
        <v/>
      </c>
      <c r="PD237" s="43" t="str">
        <f t="shared" si="972"/>
        <v/>
      </c>
      <c r="PE237" s="43" t="str">
        <f t="shared" si="973"/>
        <v/>
      </c>
      <c r="PF237" s="43" t="str">
        <f t="shared" si="974"/>
        <v/>
      </c>
      <c r="PG237" s="43" t="str">
        <f t="shared" si="975"/>
        <v/>
      </c>
      <c r="PH237" s="43" t="str">
        <f t="shared" si="976"/>
        <v/>
      </c>
      <c r="PI237" s="43">
        <f t="shared" si="977"/>
        <v>10</v>
      </c>
      <c r="PJ237" s="43" t="str">
        <f t="shared" si="978"/>
        <v/>
      </c>
      <c r="PK237" s="43" t="str">
        <f t="shared" si="979"/>
        <v>NORMAL</v>
      </c>
      <c r="PL237" s="43" t="str">
        <f t="shared" si="980"/>
        <v/>
      </c>
      <c r="PM237" s="43" t="str">
        <f t="shared" si="981"/>
        <v/>
      </c>
      <c r="PN237" s="43" t="str">
        <f t="shared" si="982"/>
        <v/>
      </c>
      <c r="PO237" s="43" t="str">
        <f t="shared" si="983"/>
        <v/>
      </c>
      <c r="PP237" s="43" t="str">
        <f t="shared" si="984"/>
        <v/>
      </c>
      <c r="PQ237" s="43" t="str">
        <f t="shared" si="985"/>
        <v/>
      </c>
      <c r="PR237" s="43" t="str">
        <f t="shared" si="986"/>
        <v/>
      </c>
      <c r="PS237" s="43" t="str">
        <f t="shared" si="987"/>
        <v/>
      </c>
      <c r="PT237" s="43" t="str">
        <f t="shared" si="988"/>
        <v/>
      </c>
      <c r="PU237" s="43" t="str">
        <f t="shared" si="989"/>
        <v/>
      </c>
      <c r="PV237" s="43" t="str">
        <f t="shared" si="990"/>
        <v/>
      </c>
      <c r="PW237" s="43" t="str">
        <f t="shared" si="991"/>
        <v/>
      </c>
      <c r="PX237" s="43" t="str">
        <f t="shared" si="992"/>
        <v/>
      </c>
      <c r="PY237" s="43" t="str">
        <f t="shared" si="993"/>
        <v/>
      </c>
      <c r="PZ237" s="43" t="str">
        <f t="shared" si="994"/>
        <v/>
      </c>
      <c r="QA237" s="43" t="str">
        <f t="shared" si="995"/>
        <v/>
      </c>
      <c r="QB237" s="43" t="str">
        <f t="shared" si="996"/>
        <v/>
      </c>
      <c r="QC237" s="43" t="str">
        <f t="shared" si="997"/>
        <v/>
      </c>
      <c r="QD237" s="43" t="str">
        <f t="shared" si="998"/>
        <v/>
      </c>
      <c r="QE237" s="43" t="str">
        <f t="shared" si="999"/>
        <v/>
      </c>
      <c r="QF237" s="43" t="str">
        <f t="shared" si="1000"/>
        <v/>
      </c>
      <c r="QG237" s="43" t="str">
        <f t="shared" si="1001"/>
        <v/>
      </c>
      <c r="QH237" s="43" t="str">
        <f t="shared" si="1002"/>
        <v/>
      </c>
      <c r="QI237" s="43" t="str">
        <f t="shared" si="1003"/>
        <v/>
      </c>
      <c r="QJ237" s="43" t="str">
        <f t="shared" si="1004"/>
        <v/>
      </c>
      <c r="QK237" s="43" t="str">
        <f t="shared" si="1005"/>
        <v/>
      </c>
      <c r="QL237" s="43" t="str">
        <f t="shared" si="1006"/>
        <v/>
      </c>
      <c r="QM237" s="43" t="str">
        <f t="shared" si="1007"/>
        <v/>
      </c>
      <c r="QN237" s="43" t="str">
        <f t="shared" si="1008"/>
        <v/>
      </c>
      <c r="QO237" s="43" t="str">
        <f t="shared" si="1009"/>
        <v/>
      </c>
      <c r="QP237" s="43" t="str">
        <f t="shared" si="1010"/>
        <v/>
      </c>
      <c r="QQ237" s="43" t="str">
        <f t="shared" si="1011"/>
        <v/>
      </c>
      <c r="QR237" s="43" t="str">
        <f t="shared" si="1012"/>
        <v>Menor</v>
      </c>
      <c r="QS237" s="43"/>
      <c r="QT237" s="21" t="str">
        <f t="shared" si="1013"/>
        <v/>
      </c>
      <c r="QU237" s="21" t="str">
        <f t="shared" si="1014"/>
        <v/>
      </c>
      <c r="QV237" s="21" t="str">
        <f t="shared" si="1015"/>
        <v/>
      </c>
      <c r="QW237" s="21" t="str">
        <f t="shared" si="1016"/>
        <v/>
      </c>
      <c r="QX237" s="21" t="str">
        <f t="shared" si="1017"/>
        <v/>
      </c>
      <c r="QY237" s="21" t="str">
        <f t="shared" si="1018"/>
        <v/>
      </c>
      <c r="QZ237" s="21" t="str">
        <f t="shared" si="1019"/>
        <v/>
      </c>
      <c r="RA237" s="21" t="str">
        <f t="shared" si="1020"/>
        <v/>
      </c>
      <c r="RB237" s="21" t="str">
        <f t="shared" si="1021"/>
        <v/>
      </c>
      <c r="RC237" s="21" t="str">
        <f t="shared" si="1022"/>
        <v/>
      </c>
      <c r="RD237" s="21" t="str">
        <f t="shared" si="1023"/>
        <v/>
      </c>
      <c r="RE237" s="21" t="str">
        <f t="shared" si="1024"/>
        <v/>
      </c>
      <c r="RF237" s="21" t="str">
        <f t="shared" si="1025"/>
        <v/>
      </c>
      <c r="RG237" s="21" t="str">
        <f t="shared" si="1026"/>
        <v/>
      </c>
      <c r="RH237" s="21" t="str">
        <f t="shared" si="1027"/>
        <v/>
      </c>
      <c r="RI237" s="21" t="str">
        <f t="shared" si="1028"/>
        <v/>
      </c>
      <c r="RJ237" s="21" t="str">
        <f t="shared" si="1029"/>
        <v/>
      </c>
      <c r="RK237" s="21" t="str">
        <f t="shared" si="1030"/>
        <v/>
      </c>
      <c r="RL237" s="21" t="str">
        <f t="shared" si="1031"/>
        <v/>
      </c>
      <c r="RM237" s="21" t="str">
        <f t="shared" si="1032"/>
        <v/>
      </c>
      <c r="RN237" s="21" t="str">
        <f t="shared" si="1033"/>
        <v/>
      </c>
      <c r="RO237" s="21" t="str">
        <f t="shared" si="1034"/>
        <v/>
      </c>
      <c r="RP237" s="21" t="str">
        <f t="shared" si="1035"/>
        <v/>
      </c>
      <c r="RQ237" s="21" t="str">
        <f t="shared" si="1036"/>
        <v/>
      </c>
      <c r="RR237" s="21" t="str">
        <f t="shared" si="1037"/>
        <v/>
      </c>
      <c r="RS237" s="21" t="str">
        <f t="shared" si="1038"/>
        <v/>
      </c>
      <c r="RT237" s="21" t="str">
        <f t="shared" si="1039"/>
        <v/>
      </c>
      <c r="RU237" s="21" t="str">
        <f t="shared" si="1040"/>
        <v/>
      </c>
      <c r="RV237" s="21">
        <f t="shared" si="1041"/>
        <v>-1</v>
      </c>
      <c r="RW237" s="284">
        <f>IF(OR(Tabla1[[#This Row],[FUM FORMULA CONFIABLE]]="",Tabla1[[#This Row],[FUM FORMULA CONFIABLE]]="SD"),"",IF(Tabla1[[#This Row],[FUM FORMULA CONFIABLE]]="CORREGIDA",Tabla1[[#This Row],[FUM X ECO 1]],Tabla1[[#This Row],[FUM x AMENORREA]]))</f>
        <v>45101</v>
      </c>
      <c r="RX237" s="21" t="str">
        <f>IF(AND(Tabla1[[#This Row],[FUM X ECO 1]]="",Tabla1[[#This Row],[FUM x AMENORREA]]=""),"",IF(AND(Tabla1[[#This Row],[FUM X ECO 1]]="",Tabla1[[#This Row],[FUM x AMENORREA]]&lt;&gt;""),"X",SUM(Tabla1[[#This Row],[FUM X ECO 1]]-Tabla1[[#This Row],[FUM x AMENORREA]])))</f>
        <v>X</v>
      </c>
      <c r="RY237" s="21" t="str">
        <f t="shared" si="1042"/>
        <v>x</v>
      </c>
    </row>
    <row r="238" spans="1:493" ht="45" customHeight="1" x14ac:dyDescent="0.25">
      <c r="A238" s="109"/>
      <c r="B238" s="43"/>
      <c r="C238" s="43" t="s">
        <v>845</v>
      </c>
      <c r="D238" s="124"/>
      <c r="E238" s="43" t="s">
        <v>1439</v>
      </c>
      <c r="F238" s="43" t="s">
        <v>848</v>
      </c>
      <c r="G238" s="43" t="s">
        <v>1437</v>
      </c>
      <c r="H238" s="43"/>
      <c r="I238" s="109" t="s">
        <v>851</v>
      </c>
      <c r="J238" s="110">
        <v>1059595628</v>
      </c>
      <c r="K238" s="43" t="s">
        <v>852</v>
      </c>
      <c r="L238" s="175" t="s">
        <v>1509</v>
      </c>
      <c r="M238" s="22">
        <v>37604</v>
      </c>
      <c r="N238" s="213">
        <f t="shared" ca="1" si="841"/>
        <v>20.898630136986302</v>
      </c>
      <c r="O238" s="22">
        <v>45139</v>
      </c>
      <c r="P238" s="214" t="str">
        <f t="shared" si="919"/>
        <v>SI</v>
      </c>
      <c r="Q238" s="26" t="s">
        <v>855</v>
      </c>
      <c r="R238" s="22">
        <v>45139</v>
      </c>
      <c r="S238" s="21" t="s">
        <v>856</v>
      </c>
      <c r="T238" s="24" t="s">
        <v>690</v>
      </c>
      <c r="U238" s="21" t="s">
        <v>857</v>
      </c>
      <c r="V238" s="21" t="s">
        <v>858</v>
      </c>
      <c r="W238" s="21" t="s">
        <v>920</v>
      </c>
      <c r="X238" s="21" t="s">
        <v>920</v>
      </c>
      <c r="Y238" s="21" t="s">
        <v>920</v>
      </c>
      <c r="Z238" s="21">
        <v>3156698297</v>
      </c>
      <c r="AA238" s="21" t="s">
        <v>860</v>
      </c>
      <c r="AB238" s="27" t="s">
        <v>861</v>
      </c>
      <c r="AC238" s="26" t="s">
        <v>846</v>
      </c>
      <c r="AD238" s="21" t="s">
        <v>1546</v>
      </c>
      <c r="AE238" s="26" t="s">
        <v>854</v>
      </c>
      <c r="AF238" s="26" t="s">
        <v>854</v>
      </c>
      <c r="AG238" s="23" t="s">
        <v>864</v>
      </c>
      <c r="AH238" s="23" t="s">
        <v>864</v>
      </c>
      <c r="AI238" s="24" t="s">
        <v>863</v>
      </c>
      <c r="AJ238" s="23" t="s">
        <v>864</v>
      </c>
      <c r="AK238" s="220" t="str">
        <f>IF(AND(AD238="",AE238="",AF238="",AG238="",AH238="",AI238="",AJ238=""),"",IF(OR(Tabla1[[#This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EVALUACIÓN",IF(AND(O238="",R238=""),"",IF(AND(OR(O238&gt;0,R238&gt;0),NG238&gt;=0,NG238&lt;2),"SIN RIESGO",IF(AND(OR(O238&gt;0,R238&gt;0),NG238&gt;=2),"CON RIESGO","ASD")))))</f>
        <v>SIN RIESGO</v>
      </c>
      <c r="AL238" s="26" t="s">
        <v>864</v>
      </c>
      <c r="AM238" s="26" t="s">
        <v>864</v>
      </c>
      <c r="AN238" s="26" t="s">
        <v>864</v>
      </c>
      <c r="AO238" s="26" t="s">
        <v>864</v>
      </c>
      <c r="AP238" s="26" t="s">
        <v>864</v>
      </c>
      <c r="AQ238" s="26" t="s">
        <v>864</v>
      </c>
      <c r="AR238" s="26" t="s">
        <v>864</v>
      </c>
      <c r="AS238" s="21">
        <v>0</v>
      </c>
      <c r="AT238" s="21">
        <v>0</v>
      </c>
      <c r="AU238" s="21">
        <v>0</v>
      </c>
      <c r="AV238" s="26" t="s">
        <v>864</v>
      </c>
      <c r="AW238" s="21">
        <v>0</v>
      </c>
      <c r="AX238" s="26" t="s">
        <v>864</v>
      </c>
      <c r="AY238" s="26" t="s">
        <v>864</v>
      </c>
      <c r="AZ238" s="26" t="s">
        <v>864</v>
      </c>
      <c r="BA238" s="26" t="s">
        <v>864</v>
      </c>
      <c r="BB238" s="26" t="s">
        <v>864</v>
      </c>
      <c r="BC238" s="26" t="s">
        <v>864</v>
      </c>
      <c r="BD238" s="26" t="s">
        <v>864</v>
      </c>
      <c r="BE238" s="26" t="s">
        <v>864</v>
      </c>
      <c r="BF238" s="26" t="s">
        <v>864</v>
      </c>
      <c r="BG238" s="26" t="s">
        <v>864</v>
      </c>
      <c r="BH238" s="26" t="s">
        <v>864</v>
      </c>
      <c r="BI238" s="26" t="s">
        <v>864</v>
      </c>
      <c r="BJ238" s="26" t="s">
        <v>864</v>
      </c>
      <c r="BK238" s="26" t="s">
        <v>864</v>
      </c>
      <c r="BL238" s="26" t="s">
        <v>864</v>
      </c>
      <c r="BM238" s="26" t="s">
        <v>864</v>
      </c>
      <c r="BN238" s="22"/>
      <c r="BO238" s="22">
        <v>45036</v>
      </c>
      <c r="BP238" s="21" t="s">
        <v>854</v>
      </c>
      <c r="BQ238" s="222">
        <f t="shared" si="842"/>
        <v>0</v>
      </c>
      <c r="BR238" s="223" t="str">
        <f t="shared" si="843"/>
        <v/>
      </c>
      <c r="BS238" s="224">
        <f t="shared" si="844"/>
        <v>14.714285714285714</v>
      </c>
      <c r="BT238" s="216" t="str">
        <f t="shared" si="845"/>
        <v>II TRIM</v>
      </c>
      <c r="BU238" s="214">
        <f t="shared" ca="1" si="928"/>
        <v>28</v>
      </c>
      <c r="BV238" s="25"/>
      <c r="BW238" s="22"/>
      <c r="BX238" s="28"/>
      <c r="BY238" s="28"/>
      <c r="BZ238" s="22"/>
      <c r="CA238" s="21"/>
      <c r="CB238" s="26"/>
      <c r="CC238" s="26"/>
      <c r="CD238" s="26"/>
      <c r="CE238" s="26"/>
      <c r="CF238" s="22" t="s">
        <v>1517</v>
      </c>
      <c r="CG238" s="21">
        <v>1.44</v>
      </c>
      <c r="CH238" s="21">
        <v>48</v>
      </c>
      <c r="CI238" s="214">
        <f t="shared" si="847"/>
        <v>23.148148148148149</v>
      </c>
      <c r="CJ238" s="225" t="e">
        <f>IF(AND(CI238&lt;10,CH238="SD"),"SIN DATO PESO PREGESTACION O I TRIM",IF(AND(OR(R238&gt;0,O238&gt;0),CI238="X"),"INGRESAR DATO DE PESO",IF(CI238="SD","INGRESAR DATO DE TALLA Y PESO",IF(AND(OR(Tabla1[[#This Row],[MOMENTO EN QUE SE REALIZA EL PESO AL INGRESO A CPN]]="PREGESTACIÓN",NZ238="Menor"),CI238&lt;18.5),"BAJO PESO",IF(AND(OR(Tabla1[[#This Row],[MOMENTO EN QUE SE REALIZA EL PESO AL INGRESO A CPN]]="PREGESTACIÓN",NZ238="Menor"),CI238&lt;25),"NORMAL",IF(AND(OR(Tabla1[[#This Row],[MOMENTO EN QUE SE REALIZA EL PESO AL INGRESO A CPN]]="PREGESTACIÓN",NZ238="Menor"),CI238&lt;30),"SOBREPESO",IF(AND(OR(Tabla1[[#This Row],[MOMENTO EN QUE SE REALIZA EL PESO AL INGRESO A CPN]]="PREGESTACIÓN",NZ238="Menor"),CI238&gt;=30,CI238&lt;50),"OBESIDAD",IF(AND(BS238&gt;0,Tabla1[[#This Row],[MOMENTO EN QUE SE REALIZA EL PESO AL INGRESO A CPN]]="GESTACIÓN"),HLOOKUP(NZ238,$OA$2:PH238,NY238),""))))))))</f>
        <v>#REF!</v>
      </c>
      <c r="CK238" s="212">
        <f t="shared" si="848"/>
        <v>45139</v>
      </c>
      <c r="CL238" s="21">
        <v>48</v>
      </c>
      <c r="CM238" s="214">
        <f t="shared" si="849"/>
        <v>23.148148148148149</v>
      </c>
      <c r="CN238" s="216">
        <f t="shared" si="850"/>
        <v>14</v>
      </c>
      <c r="CO238" s="216" t="e">
        <f>IF(PI238="","",IF(PI238&gt;0,HLOOKUP(PI238,$PJ$2:QQ238,NY238),""))</f>
        <v>#REF!</v>
      </c>
      <c r="CP238" s="21">
        <v>14</v>
      </c>
      <c r="CQ238" s="216" t="e">
        <f>IF(QR238="Menor","NO APLICA-MENOR 13 SEM",IF(AND(CC238="SI",CN238&gt;23),"NO APLICA- GEMELAR",IF(QR238="","",IF(QR238&gt;0,HLOOKUP(QR238,$QS$2:RU238,NY238),""))))</f>
        <v>#REF!</v>
      </c>
      <c r="CR238" s="21"/>
      <c r="CS238" s="21"/>
      <c r="CT238" s="217" t="str">
        <f>IF(R238="","",IF(AND(BS238&gt;1,BS238&lt;12,Tabla1[[#This Row],[T.A. SISTOLICA - ANTES DE SEMANA 12]]="",Tabla1[[#This Row],[T.A. DIASTOLICA - ANTES DE SEMANA 12]]=""),"REGISTRE DATO TA ANTES SEMANA 12",IF(AND(BS238&gt;11,BS238&lt;43,Tabla1[[#This Row],[T.A. SISTOLICA - ANTES DE SEMANA 12]]="",Tabla1[[#This Row],[T.A. DIASTOLICA - ANTES DE SEMANA 12]]=""),"NO APLICA REGISTRO TA-INGRESO TARDIO",IF(AND(OR(O238&gt;0,R238&gt;0),OR(CR238&gt;=140,CS238&gt;=90)),"DEFINIR ESTADIO HTA",IF(AND(OR(O238&gt;0,R238&gt;0),AND(CR238&gt;120,CR238&lt;=139)),"PRE HTA SEGUIMIENTO",IF(AND(OR(O238&gt;0,R238&gt;0),AND(CS238&gt;80,CS238&lt;=89)),"PRE HTA SEGUIMIENTO",IF(AND(OR(O238&gt;0,R238&gt;0),AND(CR238&gt;=80,CR238&lt;=120)),"APARENTEMENTE NORMAL",IF(AND(OR(O238&gt;0,R238&gt;0),AND(CS238&gt;=50,CS238&lt;=80)),"APARENTEMENTE NORMAL",IF(AND(OR(O238&gt;0,R238&gt;0),AND(CR238&gt;1,CR238&lt;=70),AND(CS238&gt;1,CS238&lt;=40)),"HIPOTENSIÓN","")))))))))</f>
        <v>NO APLICA REGISTRO TA-INGRESO TARDIO</v>
      </c>
      <c r="CU238" s="21"/>
      <c r="CV238" s="21"/>
      <c r="CW238" s="217" t="str">
        <f ca="1">IF(R238="","",IF(AND(CN238&gt;19,CN238&lt;27,Tabla1[[#This Row],[T.A. SISTOLICA (Entre semana 20 y 26)]]="",Tabla1[[#This Row],[T.A. DIATOLICA (Entre semana 20 y 26)]]=""),"ACUDE A CONTROL SEM 20 A 26 REGISTRE TA AHORA",IF(AND(BS238&gt;1,BS238&lt;27,BU238&gt;19,Tabla1[[#This Row],[T.A. SISTOLICA (Entre semana 20 y 26)]]="",Tabla1[[#This Row],[T.A. DIATOLICA (Entre semana 20 y 26)]]=""),"COMPLETE REGISTRO TA CONTROL SEM 20 A26 ",IF(AND(BS238&gt;26,BS238&lt;43,Tabla1[[#This Row],[T.A. SISTOLICA (Entre semana 20 y 26)]]="",Tabla1[[#This Row],[T.A. DIATOLICA (Entre semana 20 y 26)]]=""),"NO APLICA REGISTRO TA-INGRESO TARDIO",IF(AND(OR(O238&gt;0,R238&gt;0),OR(CU238&gt;=140,CV238&gt;=90)),"ALTO RIESGO PREECLAMPSIA,DEFINIR ESTADIO HTA",IF(AND(OR(O238&gt;0,R238&gt;0),AND(CU238&gt;120,CU238&lt;=139)),"PRE HTA SEGUIMIENTO,RIESGO HIPERTENSION INDUCIDA POR EL EMBARAZO",IF(AND(OR(O238&gt;0,R238&gt;0),AND(CV238&gt;80,CV238&lt;=89)),"PRE HTA SEGUIMIENTO, RIESGO HIPERTENSION INDUCIDA POR EL EMBARAZO",IF(AND(OR(O238&lt;&gt;"",R238&lt;&gt;""),CS238&lt;&gt;"",CV238&lt;&gt;"",CS238&lt;=CV238),"VIGILAR CIFRAS PRESION ARTERIAL",IF(AND(OR(O238&gt;0,R238&gt;0),AND(CU238&gt;120,CU238&lt;=139)),"PRE HTA SEGUIMIENTO",IF(AND(OR(O238&gt;0,R238&gt;0),AND(CU238&gt;1,CU238&lt;=70),AND(CV238&gt;1,CV238&lt;=40)),"HIPOTENSIÓN",IF(AND(OR(O238&lt;&gt;"",R238&lt;&gt;""),CS238&lt;&gt;"",CV238&lt;&gt;"",CS238&gt;CV238),"APARENTEMENTE NORMAL",IF(AND(OR(O238&gt;0,R238&gt;0),AND(CU238&gt;=80,CU238&lt;=120)),"APARENTEMENTE NORMAL",IF(AND(OR(O238&gt;0,R238&gt;0),AND(CV238&gt;=50,CV238&lt;=80)),"APARENTEMENTE NORMAL","")))))))))))))</f>
        <v xml:space="preserve">COMPLETE REGISTRO TA CONTROL SEM 20 A26 </v>
      </c>
      <c r="CX238" s="21"/>
      <c r="CY238" s="21"/>
      <c r="CZ238" s="216" t="str">
        <f t="shared" si="1045"/>
        <v/>
      </c>
      <c r="DA238" s="21">
        <v>100</v>
      </c>
      <c r="DB238" s="21">
        <v>60</v>
      </c>
      <c r="DC238" s="217" t="str">
        <f t="shared" si="851"/>
        <v>APARENTEMENTE NORMAL</v>
      </c>
      <c r="DD238" s="22">
        <v>45139</v>
      </c>
      <c r="DE238" s="22">
        <v>45139</v>
      </c>
      <c r="DF238" s="22"/>
      <c r="DG238" s="22"/>
      <c r="DH238" s="22"/>
      <c r="DI238" s="22"/>
      <c r="DJ238" s="22"/>
      <c r="DK238" s="22"/>
      <c r="DL238" s="22"/>
      <c r="DM238" s="22"/>
      <c r="DN238" s="22"/>
      <c r="DO238" s="22"/>
      <c r="DP238" s="22"/>
      <c r="DQ238" s="22"/>
      <c r="DR238" s="28"/>
      <c r="DS238" s="22"/>
      <c r="DT238" s="22"/>
      <c r="DU238" s="216" t="str">
        <f t="shared" ca="1" si="920"/>
        <v>PLANEAR PLAN DE PARTO</v>
      </c>
      <c r="DV238" s="226" t="str">
        <f t="shared" si="921"/>
        <v>ACTIVA INGRESO A CPN</v>
      </c>
      <c r="DW23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38" s="216" t="e">
        <f t="shared" ca="1" si="852"/>
        <v>#REF!</v>
      </c>
      <c r="DY238" s="212">
        <f>IF(R238="","",IF(R238&gt;0,MAX(Tabla1[[#This Row],[FECHA C2]:[FECHA C13]],Tabla1[[#This Row],[FECHA CONSULTA PRIMERA VEZ PROGRAMA CPN ]])))</f>
        <v>45139</v>
      </c>
      <c r="DZ238" s="216">
        <f t="shared" si="853"/>
        <v>14</v>
      </c>
      <c r="EA238" s="222">
        <f>IF(R238&gt;0,SUM(COUNTA(DF238:DQ238)+COUNTA(Tabla1[[#This Row],[FECHA CONSULTA PRIMERA VEZ PROGRAMA CPN ]])),"")</f>
        <v>1</v>
      </c>
      <c r="EB238" s="222" t="str">
        <f t="shared" si="854"/>
        <v>NO</v>
      </c>
      <c r="EC238" s="214">
        <f t="shared" si="855"/>
        <v>8</v>
      </c>
      <c r="ED238" s="227">
        <f t="shared" si="856"/>
        <v>0.125</v>
      </c>
      <c r="EE238" s="22">
        <v>45139</v>
      </c>
      <c r="EF238" s="22"/>
      <c r="EG238" s="22">
        <v>45139</v>
      </c>
      <c r="EH238" s="22"/>
      <c r="EI238" s="22">
        <v>45139</v>
      </c>
      <c r="EJ238" s="22"/>
      <c r="EK238" s="22"/>
      <c r="EL238" s="21"/>
      <c r="EM238" s="21">
        <v>12.5</v>
      </c>
      <c r="EN238" s="22">
        <v>45143</v>
      </c>
      <c r="EO238" s="222">
        <f t="shared" si="857"/>
        <v>15.285714285714286</v>
      </c>
      <c r="EP238" s="214" t="str">
        <f t="shared" si="858"/>
        <v>NORMAL- SUMINISTRAR SULFATO FERROSO</v>
      </c>
      <c r="EQ238" s="216" t="str">
        <f t="shared" si="859"/>
        <v>II TRIM</v>
      </c>
      <c r="ER238" s="24"/>
      <c r="ES238" s="22"/>
      <c r="ET238" s="29" t="str">
        <f t="shared" ca="1" si="922"/>
        <v>EN SEMANA 28 TOMA INMEDIATA DE EXAMEN</v>
      </c>
      <c r="EU238" s="25" t="str">
        <f t="shared" si="860"/>
        <v/>
      </c>
      <c r="EV238" s="24" t="s">
        <v>1510</v>
      </c>
      <c r="EW238" s="32">
        <v>45143</v>
      </c>
      <c r="EX238" s="22"/>
      <c r="EY238" s="29">
        <f t="shared" si="1043"/>
        <v>15.285714285714286</v>
      </c>
      <c r="EZ238" s="25" t="str">
        <f t="shared" si="1044"/>
        <v>SIN RIESGO DE ISOINMUNIZACIÓN</v>
      </c>
      <c r="FA238" s="21">
        <v>82</v>
      </c>
      <c r="FB238" s="32">
        <v>45143</v>
      </c>
      <c r="FC238" s="29">
        <f t="shared" si="861"/>
        <v>15.285714285714286</v>
      </c>
      <c r="FD238" s="29"/>
      <c r="FE238" s="29"/>
      <c r="FF238" s="29"/>
      <c r="FG238" s="21" t="str">
        <f t="shared" ca="1" si="862"/>
        <v>TOMAR PTOG</v>
      </c>
      <c r="FH238" s="31"/>
      <c r="FI238" s="29" t="str">
        <f t="shared" si="863"/>
        <v>TOMAR EXAMEN</v>
      </c>
      <c r="FJ238" s="22"/>
      <c r="FK238" s="32"/>
      <c r="FL238" s="29" t="str">
        <f t="shared" ca="1" si="864"/>
        <v>NO APLICA-INGRESO TARDIO</v>
      </c>
      <c r="FM238" s="22" t="s">
        <v>867</v>
      </c>
      <c r="FN238" s="32">
        <v>45143</v>
      </c>
      <c r="FO238" s="29">
        <f t="shared" ca="1" si="923"/>
        <v>15.285714285714286</v>
      </c>
      <c r="FP238" s="22"/>
      <c r="FQ238" s="32"/>
      <c r="FR238" s="29" t="str">
        <f t="shared" ca="1" si="924"/>
        <v>EN RANGO PARA TOMAR EXAMEN</v>
      </c>
      <c r="FS238" s="22"/>
      <c r="FT238" s="32"/>
      <c r="FU238" s="29" t="str">
        <f>IF(AND(FJ238="",FM238="",FP238="",FS238=""),"",IF(OR(OR(Tabla1[[#This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38" s="28"/>
      <c r="FW238" s="22"/>
      <c r="FX238" s="29" t="str">
        <f t="shared" si="865"/>
        <v>TOMAR EXAMEN</v>
      </c>
      <c r="FY238" s="22"/>
      <c r="FZ238" s="22"/>
      <c r="GA238" s="29" t="str">
        <f t="shared" ca="1" si="939"/>
        <v>NO APLICA-INGRESO TARDIO</v>
      </c>
      <c r="GB238" s="22" t="s">
        <v>868</v>
      </c>
      <c r="GC238" s="22">
        <v>45143</v>
      </c>
      <c r="GD238" s="29">
        <f t="shared" ca="1" si="1048"/>
        <v>15.285714285714286</v>
      </c>
      <c r="GE238" s="22"/>
      <c r="GF238" s="22"/>
      <c r="GG238" s="29" t="str">
        <f t="shared" ca="1" si="926"/>
        <v>EN RANGO PARA TOMAR EXAMEN</v>
      </c>
      <c r="GH238" s="22"/>
      <c r="GI238" s="29"/>
      <c r="GJ238" s="22"/>
      <c r="GK238" s="22"/>
      <c r="GL238" s="22"/>
      <c r="GM238" s="22"/>
      <c r="GN238" s="28" t="s">
        <v>869</v>
      </c>
      <c r="GO238" s="22">
        <v>45143</v>
      </c>
      <c r="GP238" s="29">
        <f t="shared" si="866"/>
        <v>15.285714285714286</v>
      </c>
      <c r="GQ238" s="28" t="s">
        <v>880</v>
      </c>
      <c r="GR238" s="28" t="s">
        <v>869</v>
      </c>
      <c r="GS238" s="22" t="str">
        <f t="shared" si="1047"/>
        <v>SE EXCLUYE INFECCION</v>
      </c>
      <c r="GT238" s="22">
        <v>45143</v>
      </c>
      <c r="GU238" s="29">
        <f t="shared" si="867"/>
        <v>15.285714285714286</v>
      </c>
      <c r="GV238" s="21" t="str">
        <f t="shared" si="868"/>
        <v>II TRIM</v>
      </c>
      <c r="GW238" s="28"/>
      <c r="GX238" s="30"/>
      <c r="GY238" s="21"/>
      <c r="GZ238" s="21"/>
      <c r="HA238" s="21"/>
      <c r="HB238" s="21"/>
      <c r="HC238" s="21"/>
      <c r="HD238" s="21"/>
      <c r="HE238" s="21"/>
      <c r="HF238" s="22"/>
      <c r="HG238" s="22" t="str">
        <f>IF(OR(O238&gt;0,R238&gt;0),CONCATENATE(IF(Tabla1[[#This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38" s="22" t="e">
        <f t="shared" si="869"/>
        <v>#REF!</v>
      </c>
      <c r="HI238" s="22" t="e">
        <f t="shared" ca="1" si="870"/>
        <v>#REF!</v>
      </c>
      <c r="HJ238" s="21" t="str">
        <f t="shared" ca="1" si="871"/>
        <v>**********************MULTIPARIDAD*****************</v>
      </c>
      <c r="HK238" s="21" t="str">
        <f t="shared" si="872"/>
        <v>SIN ANTECEDENTES DE RIESGO</v>
      </c>
      <c r="HL238" s="24" t="str">
        <f t="shared" si="873"/>
        <v>APARENTEMENTE NORMAL</v>
      </c>
      <c r="HM238" s="21" t="e">
        <f t="shared" ca="1" si="874"/>
        <v>#REF!</v>
      </c>
      <c r="HN238" s="30" t="str">
        <f t="shared" si="927"/>
        <v>ACTIVA INGRESO A CPN</v>
      </c>
      <c r="HO238" s="21"/>
      <c r="HP238" s="21"/>
      <c r="HQ238" s="349"/>
      <c r="HR238" s="21" t="str">
        <f>IF(R238="","",IF(Tabla1[[#This Row],[ALARMA FACTORES DE RIESGO COMPLICACIONES HIPERTENSIVAS3]]="SIN ANTECEDENTES DE RIESGO","No Aplica para suministro de ASA",IF(AND(Tabla1[[#This Row],[FECHA INICIO DE SUMINISTRO DE ASA]]&gt;0,RV238&lt;12),"Inicia ASA ANTES de Sem 12",IF(AND(RV238&gt;11,RV238&lt;17,OR(HK238="RIESGO ALTO DE COMPLICACIONES HIPERTENSIVAS VER MANEJO GUIA SUMINISTRO ASA Y CALCIO",HK238="RIESGO MODERADO (2 O MAS CRITERIOS) VER MANEJO GUIA SUMINISTRO ASA Y CALCIO")),"Inicio oportuno de ASA",IF(AND(RV238&gt;12,OR(HK238="RIESGO ALTO DE COMPLICACIONES HIPERTENSIVAS VER MANEJO GUIA SUMINISTRO ASA Y CALCIO",HK238="RIESGO MODERADO (2 O MAS CRITERIOS) VER MANEJO GUIA SUMINISTRO ASA Y CALCIO")),"Inicio no oportuno mayor a 16 semanas",IF(AND(BU238&lt;12,OR(HK238="RIESGO ALTO DE COMPLICACIONES HIPERTENSIVAS VER MANEJO GUIA SUMINISTRO ASA Y CALCIO",HK238="RIESGO MODERADO (2 O MAS CRITERIOS) VER MANEJO GUIA SUMINISTRO ASA Y CALCIO")),"Pendiente Inicio de ASA a la semana 12",IF(AND(BU238&gt;11,BU238&lt;17,OR(HK238="RIESGO ALTO DE COMPLICACIONES HIPERTENSIVAS VER MANEJO GUIA SUMINISTRO ASA Y CALCIO",HK238="RIESGO MODERADO (2 O MAS CRITERIOS) VER MANEJO GUIA SUMINISTRO ASA Y CALCIO")),"Iniciar de inmediato ASA",IF(AND(BU238&gt;16,OR(HK238="RIESGO ALTO DE COMPLICACIONES HIPERTENSIVAS VER MANEJO GUIA SUMINISTRO ASA Y CALCIO",HK238="RIESGO MODERADO (2 O MAS CRITERIOS) VER MANEJO GUIA SUMINISTRO ASA Y CALCIO")),"Pierde Oportunidad, Inicio tardío de ASA","XXXXX"))))))))</f>
        <v>No Aplica para suministro de ASA</v>
      </c>
      <c r="HS238" s="22">
        <v>45139</v>
      </c>
      <c r="HT238" s="22" t="s">
        <v>1518</v>
      </c>
      <c r="HU238" s="22">
        <v>45139</v>
      </c>
      <c r="HV238" s="22" t="s">
        <v>1523</v>
      </c>
      <c r="HW238" s="22">
        <v>45139</v>
      </c>
      <c r="HX238" s="22" t="s">
        <v>1511</v>
      </c>
      <c r="HY238" s="22"/>
      <c r="HZ238" s="28" t="str">
        <f t="shared" si="875"/>
        <v>PENDIENTE CONSULTA</v>
      </c>
      <c r="IA238" s="26"/>
      <c r="IB238" s="26"/>
      <c r="IC238" s="111"/>
      <c r="ID238" s="22"/>
      <c r="IE238" s="22" t="str">
        <f t="shared" ca="1" si="876"/>
        <v>INASISTENTE</v>
      </c>
      <c r="IF238" s="22"/>
      <c r="IG238" s="22">
        <f t="shared" si="877"/>
        <v>45316</v>
      </c>
      <c r="IH238" s="29">
        <f t="shared" ca="1" si="878"/>
        <v>84</v>
      </c>
      <c r="II238" s="22" t="str">
        <f t="shared" ca="1" si="879"/>
        <v>PENDIENTE</v>
      </c>
      <c r="IJ238" s="22"/>
      <c r="IK238" s="21"/>
      <c r="IL238" s="21"/>
      <c r="IM238" s="34"/>
      <c r="IN238" s="22"/>
      <c r="IO238" s="21"/>
      <c r="IP238" s="29" t="str">
        <f t="shared" si="880"/>
        <v/>
      </c>
      <c r="IQ238" s="35"/>
      <c r="IR238" s="21"/>
      <c r="IS238" s="21"/>
      <c r="IT238" s="21"/>
      <c r="IU238" s="21"/>
      <c r="IV238" s="21"/>
      <c r="IW238" s="21"/>
      <c r="IX238" s="21"/>
      <c r="IY238" s="21"/>
      <c r="IZ238" s="21"/>
      <c r="JA238" s="21"/>
      <c r="JB238" s="30"/>
      <c r="JC238" s="21"/>
      <c r="JD238" s="36"/>
      <c r="JE238" s="21" t="str">
        <f t="shared" si="881"/>
        <v/>
      </c>
      <c r="JF238" s="30"/>
      <c r="JG238" s="21"/>
      <c r="JH238" s="21"/>
      <c r="JI238" s="21"/>
      <c r="JJ238" s="30"/>
      <c r="JK238" s="22"/>
      <c r="JL238" s="22"/>
      <c r="JM238" s="21"/>
      <c r="JN238" s="36"/>
      <c r="JO238" s="21" t="str">
        <f t="shared" si="882"/>
        <v/>
      </c>
      <c r="JP238" s="22"/>
      <c r="JQ238" s="21"/>
      <c r="JR238" s="21"/>
      <c r="JS238" s="21"/>
      <c r="JT238" s="30"/>
      <c r="JU238" s="22"/>
      <c r="JV238" s="22"/>
      <c r="JW238" s="33"/>
      <c r="JX238" s="28" t="str">
        <f t="shared" si="883"/>
        <v/>
      </c>
      <c r="JY238" s="33"/>
      <c r="JZ238" s="28" t="str">
        <f t="shared" si="884"/>
        <v/>
      </c>
      <c r="KA238" s="21"/>
      <c r="KB238" s="21"/>
      <c r="KC238" s="21"/>
      <c r="KD238" s="37"/>
      <c r="KE238" s="28"/>
      <c r="KF238" s="28"/>
      <c r="KG238" s="28"/>
      <c r="KH238" s="39"/>
      <c r="KI238" s="39"/>
      <c r="KJ238" s="66"/>
      <c r="KK238" s="39"/>
      <c r="KL238" s="39"/>
      <c r="KM238" s="66"/>
      <c r="KN238" s="39"/>
      <c r="KO238" s="39"/>
      <c r="KP238" s="39"/>
      <c r="KQ238" s="39"/>
      <c r="KR238" s="39"/>
      <c r="KS238" s="39"/>
      <c r="KT238" s="39"/>
      <c r="KU238" s="38"/>
      <c r="KV238" s="38"/>
      <c r="KW238" s="38"/>
      <c r="KX238" s="38"/>
      <c r="KY238" s="38"/>
      <c r="KZ238" s="38"/>
      <c r="LA238" s="38"/>
      <c r="LB238" s="38"/>
      <c r="LC238" s="38"/>
      <c r="LD238" s="38"/>
      <c r="LE238" s="38"/>
      <c r="LF238" s="38"/>
      <c r="LG238" s="38"/>
      <c r="LH238" s="38"/>
      <c r="LI238" s="38"/>
      <c r="LJ238" s="38"/>
      <c r="LK238" s="38"/>
      <c r="LL238" s="38"/>
      <c r="LM238" s="38"/>
      <c r="LN238" s="38"/>
      <c r="LO238" s="38"/>
      <c r="LP238" s="38"/>
      <c r="LQ238" s="38"/>
      <c r="LR238" s="38"/>
      <c r="LS238" s="38"/>
      <c r="LT238" s="38"/>
      <c r="LU238" s="38"/>
      <c r="LV238" s="38"/>
      <c r="LW238" s="38"/>
      <c r="LX238" s="38"/>
      <c r="LY238" s="38"/>
      <c r="LZ238" s="38"/>
      <c r="MA238" s="38"/>
      <c r="MB238" s="38"/>
      <c r="MC238" s="38"/>
      <c r="MD238" s="38"/>
      <c r="ME238" s="38"/>
      <c r="MF238" s="38"/>
      <c r="MG238" s="38"/>
      <c r="MH238" s="43">
        <f t="shared" si="885"/>
        <v>0</v>
      </c>
      <c r="MI238" s="43" t="str">
        <f t="shared" si="929"/>
        <v/>
      </c>
      <c r="MJ238" s="43" t="str">
        <f t="shared" si="887"/>
        <v/>
      </c>
      <c r="MK238" s="43">
        <f t="shared" si="888"/>
        <v>0</v>
      </c>
      <c r="ML23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38" s="43">
        <f t="shared" si="930"/>
        <v>14.714285714285714</v>
      </c>
      <c r="MN238" s="43">
        <f t="shared" si="931"/>
        <v>8</v>
      </c>
      <c r="MO238" s="43">
        <f t="shared" si="932"/>
        <v>2023</v>
      </c>
      <c r="MP238" s="43" t="str">
        <f t="shared" si="892"/>
        <v>III TRIMESTRE AÑO</v>
      </c>
      <c r="MQ238" s="43">
        <f t="shared" si="933"/>
        <v>20.332347787998248</v>
      </c>
      <c r="MR238" s="43">
        <f t="shared" si="894"/>
        <v>0</v>
      </c>
      <c r="MS238" s="43" t="str">
        <f t="shared" si="895"/>
        <v xml:space="preserve"> DE 20 A 24 AÑOS</v>
      </c>
      <c r="MT238" s="43">
        <f t="shared" si="896"/>
        <v>0</v>
      </c>
      <c r="MU238" s="43">
        <f t="shared" si="897"/>
        <v>1</v>
      </c>
      <c r="MV238" s="43">
        <f t="shared" si="898"/>
        <v>0</v>
      </c>
      <c r="MW238" s="43">
        <f t="shared" si="899"/>
        <v>0</v>
      </c>
      <c r="MX238" s="43" t="str">
        <f t="shared" si="900"/>
        <v/>
      </c>
      <c r="MY238" s="43" t="str">
        <f t="shared" ca="1" si="901"/>
        <v/>
      </c>
      <c r="MZ238" s="43" t="str">
        <f t="shared" si="902"/>
        <v/>
      </c>
      <c r="NA238" s="43" t="str">
        <f t="shared" si="903"/>
        <v/>
      </c>
      <c r="NB238" s="43" t="str">
        <f t="shared" si="904"/>
        <v/>
      </c>
      <c r="NC238" s="43" t="str">
        <f t="shared" si="905"/>
        <v/>
      </c>
      <c r="ND238" s="43">
        <f t="shared" ca="1" si="934"/>
        <v>1</v>
      </c>
      <c r="NE238" s="43">
        <f>IF(OR(O238&gt;0,R238&gt;0),SUM(COUNTIF(Tabla1[[#This Row],[AÑOS AL INICIO5 CPN]],"&gt;=40"),COUNTIF(AS238,"0"),COUNTIF(AR238,"SI"),COUNTIF(CC238,"SI"),COUNTIF(BQ238,"&gt;119"),COUNTIF(CI238,"&gt;=35")),"")</f>
        <v>1</v>
      </c>
      <c r="NF238" s="43" t="str">
        <f t="shared" si="935"/>
        <v/>
      </c>
      <c r="NG238" s="43">
        <f t="shared" si="908"/>
        <v>0</v>
      </c>
      <c r="NH238" s="43" t="str">
        <f t="shared" si="909"/>
        <v/>
      </c>
      <c r="NI23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CPN",P238="NO"),"Z",IF(AND(Tabla1[[#This Row],[CITA PROXIMO CONTROL]]="CITA MANUAL",Tabla1[[#This Row],[GESTANTES ACTUALES]]="ACTIVA INGRESO A CPN"),"W",IF(AND(Tabla1[[#This Row],[GESTANTES ACTUALES]]="SALIO PROGRAMA",IN238=""),"S",IF(AND(Tabla1[[#This Row],[CITA PROXIMO CONTROL]]&gt;0,IN238=""),(Tabla1[[#This Row],[CITA PROXIMO CONTROL]]-TODAY()),"SD"))))))))</f>
        <v>#REF!</v>
      </c>
      <c r="NJ238" s="43">
        <f>MONTH(Tabla1[[#This Row],[FECHA DE SALIDA  DEL PROGRAMA]])</f>
        <v>1</v>
      </c>
      <c r="NK238" s="43">
        <f>YEAR(Tabla1[[#This Row],[FECHA DE SALIDA  DEL PROGRAMA]])</f>
        <v>1900</v>
      </c>
      <c r="NL238" s="43" t="str">
        <f t="shared" si="936"/>
        <v>X</v>
      </c>
      <c r="NM238" s="43" t="str">
        <f t="shared" si="941"/>
        <v>NO</v>
      </c>
      <c r="NN238" s="43" t="str">
        <f ca="1">IF(AND(O238&gt;0,R238=""),"NO CPN",IF(AND(O238="",R238=""),"",IF(AND(R238&gt;0,Tabla1[[#This Row],[SEMANAS DE GESTACION ACTUALIZADAS]]&lt;=12),"NO APLICA",IF(AND(FH238&lt;&gt;"",FN238&lt;&gt;""),"SI","NO"))))</f>
        <v>NO</v>
      </c>
      <c r="NO238" s="43" t="str">
        <f ca="1">IF(AND(O238&gt;0,R238=""),"NO CPN",IF(AND(O238="",R238=""),"",IF(AND(R238&gt;0,Tabla1[[#This Row],[SEMANAS DE GESTACION ACTUALIZADAS]]&lt;=27),"NO APLICA",IF(AND(ES238&lt;&gt;"",FQ238&lt;&gt;"",GF238&lt;&gt;""),"SI","NO"))))</f>
        <v>NO</v>
      </c>
      <c r="NP238" s="204" t="str">
        <f t="shared" si="912"/>
        <v>II TRIM</v>
      </c>
      <c r="NQ238" s="21" t="str">
        <f t="shared" si="1046"/>
        <v/>
      </c>
      <c r="NR238" s="21">
        <f t="shared" ca="1" si="937"/>
        <v>2</v>
      </c>
      <c r="NS238" s="205">
        <f t="shared" ca="1" si="914"/>
        <v>1</v>
      </c>
      <c r="NT238" s="21">
        <f t="shared" ca="1" si="915"/>
        <v>1</v>
      </c>
      <c r="NU238" s="21" t="str">
        <f t="shared" ca="1" si="916"/>
        <v>INCOMPLETO</v>
      </c>
      <c r="NV238" s="21" t="str">
        <f t="shared" ca="1" si="917"/>
        <v>INCOMPLETO</v>
      </c>
      <c r="NW238" s="206" t="str">
        <f>IF(AND(O238="",R238=""),"",IF(OR(AND(Tabla1[[#This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38" s="207" t="str">
        <f t="shared" ca="1" si="938"/>
        <v>SIN VACUNAR</v>
      </c>
      <c r="NY238" s="43">
        <f>ROW(Tabla1[[#This Row],['# DE TAMIZAJES SIFILIS TOMADOS ]])</f>
        <v>238</v>
      </c>
      <c r="NZ238" s="43">
        <f t="shared" si="942"/>
        <v>14</v>
      </c>
      <c r="OA238" s="43" t="str">
        <f t="shared" si="943"/>
        <v/>
      </c>
      <c r="OB238" s="43" t="str">
        <f t="shared" si="944"/>
        <v/>
      </c>
      <c r="OC238" s="43" t="str">
        <f t="shared" si="945"/>
        <v/>
      </c>
      <c r="OD238" s="43" t="str">
        <f t="shared" si="946"/>
        <v/>
      </c>
      <c r="OE238" s="43" t="str">
        <f t="shared" si="947"/>
        <v/>
      </c>
      <c r="OF238" s="43" t="str">
        <f t="shared" si="948"/>
        <v>NORMAL</v>
      </c>
      <c r="OG238" s="43" t="str">
        <f t="shared" si="949"/>
        <v/>
      </c>
      <c r="OH238" s="43" t="str">
        <f t="shared" si="950"/>
        <v/>
      </c>
      <c r="OI238" s="43" t="str">
        <f t="shared" si="951"/>
        <v/>
      </c>
      <c r="OJ238" s="43" t="str">
        <f t="shared" si="952"/>
        <v/>
      </c>
      <c r="OK238" s="43" t="str">
        <f t="shared" si="953"/>
        <v/>
      </c>
      <c r="OL238" s="43" t="str">
        <f t="shared" si="954"/>
        <v/>
      </c>
      <c r="OM238" s="43" t="str">
        <f t="shared" si="955"/>
        <v/>
      </c>
      <c r="ON238" s="43" t="str">
        <f t="shared" si="956"/>
        <v/>
      </c>
      <c r="OO238" s="43" t="str">
        <f t="shared" si="957"/>
        <v/>
      </c>
      <c r="OP238" s="43" t="str">
        <f t="shared" si="958"/>
        <v/>
      </c>
      <c r="OQ238" s="43" t="str">
        <f t="shared" si="959"/>
        <v/>
      </c>
      <c r="OR238" s="43" t="str">
        <f t="shared" si="960"/>
        <v/>
      </c>
      <c r="OS238" s="43" t="str">
        <f t="shared" si="961"/>
        <v/>
      </c>
      <c r="OT238" s="43" t="str">
        <f t="shared" si="962"/>
        <v/>
      </c>
      <c r="OU238" s="43" t="str">
        <f t="shared" si="963"/>
        <v/>
      </c>
      <c r="OV238" s="110" t="str">
        <f t="shared" si="964"/>
        <v/>
      </c>
      <c r="OW238" s="43" t="str">
        <f t="shared" si="965"/>
        <v/>
      </c>
      <c r="OX238" s="43" t="str">
        <f t="shared" si="966"/>
        <v/>
      </c>
      <c r="OY238" s="43" t="str">
        <f t="shared" si="967"/>
        <v/>
      </c>
      <c r="OZ238" s="43" t="str">
        <f t="shared" si="968"/>
        <v/>
      </c>
      <c r="PA238" s="43" t="str">
        <f t="shared" si="969"/>
        <v/>
      </c>
      <c r="PB238" s="43" t="str">
        <f t="shared" si="970"/>
        <v/>
      </c>
      <c r="PC238" s="43" t="str">
        <f t="shared" si="971"/>
        <v/>
      </c>
      <c r="PD238" s="43" t="str">
        <f t="shared" si="972"/>
        <v/>
      </c>
      <c r="PE238" s="43" t="str">
        <f t="shared" si="973"/>
        <v/>
      </c>
      <c r="PF238" s="43" t="str">
        <f t="shared" si="974"/>
        <v/>
      </c>
      <c r="PG238" s="43" t="str">
        <f t="shared" si="975"/>
        <v/>
      </c>
      <c r="PH238" s="43" t="str">
        <f t="shared" si="976"/>
        <v/>
      </c>
      <c r="PI238" s="43">
        <f t="shared" si="977"/>
        <v>14</v>
      </c>
      <c r="PJ238" s="43" t="str">
        <f t="shared" si="978"/>
        <v/>
      </c>
      <c r="PK238" s="43" t="str">
        <f t="shared" si="979"/>
        <v/>
      </c>
      <c r="PL238" s="43" t="str">
        <f t="shared" si="980"/>
        <v/>
      </c>
      <c r="PM238" s="43" t="str">
        <f t="shared" si="981"/>
        <v/>
      </c>
      <c r="PN238" s="43" t="str">
        <f t="shared" si="982"/>
        <v/>
      </c>
      <c r="PO238" s="43" t="str">
        <f t="shared" si="983"/>
        <v>NORMAL</v>
      </c>
      <c r="PP238" s="43" t="str">
        <f t="shared" si="984"/>
        <v/>
      </c>
      <c r="PQ238" s="43" t="str">
        <f t="shared" si="985"/>
        <v/>
      </c>
      <c r="PR238" s="43" t="str">
        <f t="shared" si="986"/>
        <v/>
      </c>
      <c r="PS238" s="43" t="str">
        <f t="shared" si="987"/>
        <v/>
      </c>
      <c r="PT238" s="43" t="str">
        <f t="shared" si="988"/>
        <v/>
      </c>
      <c r="PU238" s="43" t="str">
        <f t="shared" si="989"/>
        <v/>
      </c>
      <c r="PV238" s="43" t="str">
        <f t="shared" si="990"/>
        <v/>
      </c>
      <c r="PW238" s="43" t="str">
        <f t="shared" si="991"/>
        <v/>
      </c>
      <c r="PX238" s="43" t="str">
        <f t="shared" si="992"/>
        <v/>
      </c>
      <c r="PY238" s="43" t="str">
        <f t="shared" si="993"/>
        <v/>
      </c>
      <c r="PZ238" s="43" t="str">
        <f t="shared" si="994"/>
        <v/>
      </c>
      <c r="QA238" s="43" t="str">
        <f t="shared" si="995"/>
        <v/>
      </c>
      <c r="QB238" s="43" t="str">
        <f t="shared" si="996"/>
        <v/>
      </c>
      <c r="QC238" s="43" t="str">
        <f t="shared" si="997"/>
        <v/>
      </c>
      <c r="QD238" s="43" t="str">
        <f t="shared" si="998"/>
        <v/>
      </c>
      <c r="QE238" s="43" t="str">
        <f t="shared" si="999"/>
        <v/>
      </c>
      <c r="QF238" s="43" t="str">
        <f t="shared" si="1000"/>
        <v/>
      </c>
      <c r="QG238" s="43" t="str">
        <f t="shared" si="1001"/>
        <v/>
      </c>
      <c r="QH238" s="43" t="str">
        <f t="shared" si="1002"/>
        <v/>
      </c>
      <c r="QI238" s="43" t="str">
        <f t="shared" si="1003"/>
        <v/>
      </c>
      <c r="QJ238" s="43" t="str">
        <f t="shared" si="1004"/>
        <v/>
      </c>
      <c r="QK238" s="43" t="str">
        <f t="shared" si="1005"/>
        <v/>
      </c>
      <c r="QL238" s="43" t="str">
        <f t="shared" si="1006"/>
        <v/>
      </c>
      <c r="QM238" s="43" t="str">
        <f t="shared" si="1007"/>
        <v/>
      </c>
      <c r="QN238" s="43" t="str">
        <f t="shared" si="1008"/>
        <v/>
      </c>
      <c r="QO238" s="43" t="str">
        <f t="shared" si="1009"/>
        <v/>
      </c>
      <c r="QP238" s="43" t="str">
        <f t="shared" si="1010"/>
        <v/>
      </c>
      <c r="QQ238" s="43" t="str">
        <f t="shared" si="1011"/>
        <v/>
      </c>
      <c r="QR238" s="43">
        <f t="shared" si="1012"/>
        <v>14</v>
      </c>
      <c r="QS238" s="43"/>
      <c r="QT238" s="21" t="str">
        <f t="shared" si="1013"/>
        <v/>
      </c>
      <c r="QU238" s="21" t="str">
        <f t="shared" si="1014"/>
        <v>ADECUADO PARA EDAD GESTACIONAL</v>
      </c>
      <c r="QV238" s="21" t="str">
        <f t="shared" si="1015"/>
        <v/>
      </c>
      <c r="QW238" s="21" t="str">
        <f t="shared" si="1016"/>
        <v/>
      </c>
      <c r="QX238" s="21" t="str">
        <f t="shared" si="1017"/>
        <v/>
      </c>
      <c r="QY238" s="21" t="str">
        <f t="shared" si="1018"/>
        <v/>
      </c>
      <c r="QZ238" s="21" t="str">
        <f t="shared" si="1019"/>
        <v/>
      </c>
      <c r="RA238" s="21" t="str">
        <f t="shared" si="1020"/>
        <v/>
      </c>
      <c r="RB238" s="21" t="str">
        <f t="shared" si="1021"/>
        <v/>
      </c>
      <c r="RC238" s="21" t="str">
        <f t="shared" si="1022"/>
        <v/>
      </c>
      <c r="RD238" s="21" t="str">
        <f t="shared" si="1023"/>
        <v/>
      </c>
      <c r="RE238" s="21" t="str">
        <f t="shared" si="1024"/>
        <v/>
      </c>
      <c r="RF238" s="21" t="str">
        <f t="shared" si="1025"/>
        <v/>
      </c>
      <c r="RG238" s="21" t="str">
        <f t="shared" si="1026"/>
        <v/>
      </c>
      <c r="RH238" s="21" t="str">
        <f t="shared" si="1027"/>
        <v/>
      </c>
      <c r="RI238" s="21" t="str">
        <f t="shared" si="1028"/>
        <v/>
      </c>
      <c r="RJ238" s="21" t="str">
        <f t="shared" si="1029"/>
        <v/>
      </c>
      <c r="RK238" s="21" t="str">
        <f t="shared" si="1030"/>
        <v/>
      </c>
      <c r="RL238" s="21" t="str">
        <f t="shared" si="1031"/>
        <v/>
      </c>
      <c r="RM238" s="21" t="str">
        <f t="shared" si="1032"/>
        <v/>
      </c>
      <c r="RN238" s="21" t="str">
        <f t="shared" si="1033"/>
        <v/>
      </c>
      <c r="RO238" s="21" t="str">
        <f t="shared" si="1034"/>
        <v/>
      </c>
      <c r="RP238" s="21" t="str">
        <f t="shared" si="1035"/>
        <v/>
      </c>
      <c r="RQ238" s="21" t="str">
        <f t="shared" si="1036"/>
        <v/>
      </c>
      <c r="RR238" s="21" t="str">
        <f t="shared" si="1037"/>
        <v/>
      </c>
      <c r="RS238" s="21" t="str">
        <f t="shared" si="1038"/>
        <v/>
      </c>
      <c r="RT238" s="21" t="str">
        <f t="shared" si="1039"/>
        <v/>
      </c>
      <c r="RU238" s="21" t="str">
        <f t="shared" si="1040"/>
        <v/>
      </c>
      <c r="RV238" s="21">
        <f t="shared" si="1041"/>
        <v>-1</v>
      </c>
      <c r="RW238" s="284">
        <f>IF(OR(Tabla1[[#This Row],[FUM FORMULA CONFIABLE]]="",Tabla1[[#This Row],[FUM FORMULA CONFIABLE]]="SD"),"",IF(Tabla1[[#This Row],[FUM FORMULA CONFIABLE]]="CORREGIDA",Tabla1[[#This Row],[FUM X ECO 1]],Tabla1[[#This Row],[FUM x AMENORREA]]))</f>
        <v>45036</v>
      </c>
      <c r="RX238" s="21" t="str">
        <f>IF(AND(Tabla1[[#This Row],[FUM X ECO 1]]="",Tabla1[[#This Row],[FUM x AMENORREA]]=""),"",IF(AND(Tabla1[[#This Row],[FUM X ECO 1]]="",Tabla1[[#This Row],[FUM x AMENORREA]]&lt;&gt;""),"X",SUM(Tabla1[[#This Row],[FUM X ECO 1]]-Tabla1[[#This Row],[FUM x AMENORREA]])))</f>
        <v>X</v>
      </c>
      <c r="RY238" s="21" t="str">
        <f t="shared" si="1042"/>
        <v>x</v>
      </c>
    </row>
    <row r="239" spans="1:493" ht="45" customHeight="1" x14ac:dyDescent="0.25">
      <c r="A239" s="109"/>
      <c r="B239" s="43"/>
      <c r="C239" s="43" t="s">
        <v>845</v>
      </c>
      <c r="D239" s="124"/>
      <c r="E239" s="43" t="s">
        <v>953</v>
      </c>
      <c r="F239" s="43" t="s">
        <v>1660</v>
      </c>
      <c r="G239" s="43" t="s">
        <v>1217</v>
      </c>
      <c r="H239" s="43" t="s">
        <v>1661</v>
      </c>
      <c r="I239" s="109" t="s">
        <v>851</v>
      </c>
      <c r="J239" s="110">
        <v>1002848134</v>
      </c>
      <c r="K239" s="43" t="s">
        <v>852</v>
      </c>
      <c r="L239" s="175" t="s">
        <v>1509</v>
      </c>
      <c r="M239" s="22">
        <v>37788</v>
      </c>
      <c r="N239" s="213">
        <f t="shared" ca="1" si="841"/>
        <v>20.394520547945206</v>
      </c>
      <c r="O239" s="22">
        <v>45140</v>
      </c>
      <c r="P239" s="214" t="str">
        <f t="shared" si="919"/>
        <v>SI</v>
      </c>
      <c r="Q239" s="26" t="s">
        <v>855</v>
      </c>
      <c r="R239" s="22">
        <v>45140</v>
      </c>
      <c r="S239" s="21" t="s">
        <v>856</v>
      </c>
      <c r="T239" s="24" t="s">
        <v>690</v>
      </c>
      <c r="U239" s="21" t="s">
        <v>857</v>
      </c>
      <c r="V239" s="21" t="s">
        <v>858</v>
      </c>
      <c r="W239" s="21" t="s">
        <v>1200</v>
      </c>
      <c r="X239" s="21" t="s">
        <v>1200</v>
      </c>
      <c r="Y239" s="21" t="s">
        <v>1200</v>
      </c>
      <c r="Z239" s="21">
        <v>3216959370</v>
      </c>
      <c r="AA239" s="21" t="s">
        <v>860</v>
      </c>
      <c r="AB239" s="27" t="s">
        <v>861</v>
      </c>
      <c r="AC239" s="26" t="s">
        <v>846</v>
      </c>
      <c r="AD239" s="21" t="s">
        <v>1546</v>
      </c>
      <c r="AE239" s="26" t="s">
        <v>854</v>
      </c>
      <c r="AF239" s="26" t="s">
        <v>854</v>
      </c>
      <c r="AG239" s="23" t="s">
        <v>864</v>
      </c>
      <c r="AH239" s="23" t="s">
        <v>864</v>
      </c>
      <c r="AI239" s="24" t="s">
        <v>863</v>
      </c>
      <c r="AJ239" s="23" t="s">
        <v>864</v>
      </c>
      <c r="AK239" s="220" t="str">
        <f>IF(AND(AD239="",AE239="",AF239="",AG239="",AH239="",AI239="",AJ239=""),"",IF(OR(Tabla1[[#This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EVALUACIÓN",IF(AND(O239="",R239=""),"",IF(AND(OR(O239&gt;0,R239&gt;0),NG239&gt;=0,NG239&lt;2),"SIN RIESGO",IF(AND(OR(O239&gt;0,R239&gt;0),NG239&gt;=2),"CON RIESGO","ASD")))))</f>
        <v>SIN RIESGO</v>
      </c>
      <c r="AL239" s="26" t="s">
        <v>864</v>
      </c>
      <c r="AM239" s="26" t="s">
        <v>864</v>
      </c>
      <c r="AN239" s="26" t="s">
        <v>864</v>
      </c>
      <c r="AO239" s="26" t="s">
        <v>864</v>
      </c>
      <c r="AP239" s="26" t="s">
        <v>864</v>
      </c>
      <c r="AQ239" s="26" t="s">
        <v>864</v>
      </c>
      <c r="AR239" s="26" t="s">
        <v>864</v>
      </c>
      <c r="AS239" s="21">
        <v>1</v>
      </c>
      <c r="AT239" s="21">
        <v>1</v>
      </c>
      <c r="AU239" s="21">
        <v>0</v>
      </c>
      <c r="AV239" s="26" t="s">
        <v>864</v>
      </c>
      <c r="AW239" s="21">
        <v>0</v>
      </c>
      <c r="AX239" s="26" t="s">
        <v>864</v>
      </c>
      <c r="AY239" s="26" t="s">
        <v>864</v>
      </c>
      <c r="AZ239" s="26" t="s">
        <v>864</v>
      </c>
      <c r="BA239" s="26" t="s">
        <v>864</v>
      </c>
      <c r="BB239" s="26" t="s">
        <v>864</v>
      </c>
      <c r="BC239" s="26" t="s">
        <v>864</v>
      </c>
      <c r="BD239" s="26" t="s">
        <v>864</v>
      </c>
      <c r="BE239" s="26" t="s">
        <v>864</v>
      </c>
      <c r="BF239" s="26" t="s">
        <v>864</v>
      </c>
      <c r="BG239" s="26" t="s">
        <v>864</v>
      </c>
      <c r="BH239" s="26" t="s">
        <v>864</v>
      </c>
      <c r="BI239" s="26" t="s">
        <v>864</v>
      </c>
      <c r="BJ239" s="26" t="s">
        <v>864</v>
      </c>
      <c r="BK239" s="26" t="s">
        <v>864</v>
      </c>
      <c r="BL239" s="26" t="s">
        <v>864</v>
      </c>
      <c r="BM239" s="26" t="s">
        <v>864</v>
      </c>
      <c r="BN239" s="22"/>
      <c r="BO239" s="22">
        <v>45052</v>
      </c>
      <c r="BP239" s="21" t="s">
        <v>854</v>
      </c>
      <c r="BQ239" s="222">
        <f t="shared" si="842"/>
        <v>0</v>
      </c>
      <c r="BR239" s="223" t="str">
        <f t="shared" si="843"/>
        <v/>
      </c>
      <c r="BS239" s="224">
        <f t="shared" si="844"/>
        <v>12.571428571428571</v>
      </c>
      <c r="BT239" s="216" t="str">
        <f t="shared" si="845"/>
        <v>II TRIM</v>
      </c>
      <c r="BU239" s="214">
        <f t="shared" ca="1" si="928"/>
        <v>25.714285714285715</v>
      </c>
      <c r="BV239" s="25"/>
      <c r="BW239" s="22"/>
      <c r="BX239" s="28"/>
      <c r="BY239" s="28"/>
      <c r="BZ239" s="22"/>
      <c r="CA239" s="21"/>
      <c r="CB239" s="26"/>
      <c r="CC239" s="26"/>
      <c r="CD239" s="26"/>
      <c r="CE239" s="26"/>
      <c r="CF239" s="22" t="s">
        <v>1517</v>
      </c>
      <c r="CG239" s="21">
        <v>1.52</v>
      </c>
      <c r="CH239" s="21">
        <v>49</v>
      </c>
      <c r="CI239" s="214">
        <f t="shared" si="847"/>
        <v>21.208448753462605</v>
      </c>
      <c r="CJ239" s="225" t="e">
        <f>IF(AND(CI239&lt;10,CH239="SD"),"SIN DATO PESO PREGESTACION O I TRIM",IF(AND(OR(R239&gt;0,O239&gt;0),CI239="X"),"INGRESAR DATO DE PESO",IF(CI239="SD","INGRESAR DATO DE TALLA Y PESO",IF(AND(OR(Tabla1[[#This Row],[MOMENTO EN QUE SE REALIZA EL PESO AL INGRESO A CPN]]="PREGESTACIÓN",NZ239="Menor"),CI239&lt;18.5),"BAJO PESO",IF(AND(OR(Tabla1[[#This Row],[MOMENTO EN QUE SE REALIZA EL PESO AL INGRESO A CPN]]="PREGESTACIÓN",NZ239="Menor"),CI239&lt;25),"NORMAL",IF(AND(OR(Tabla1[[#This Row],[MOMENTO EN QUE SE REALIZA EL PESO AL INGRESO A CPN]]="PREGESTACIÓN",NZ239="Menor"),CI239&lt;30),"SOBREPESO",IF(AND(OR(Tabla1[[#This Row],[MOMENTO EN QUE SE REALIZA EL PESO AL INGRESO A CPN]]="PREGESTACIÓN",NZ239="Menor"),CI239&gt;=30,CI239&lt;50),"OBESIDAD",IF(AND(BS239&gt;0,Tabla1[[#This Row],[MOMENTO EN QUE SE REALIZA EL PESO AL INGRESO A CPN]]="GESTACIÓN"),HLOOKUP(NZ239,$OA$2:PH239,NY239),""))))))))</f>
        <v>#REF!</v>
      </c>
      <c r="CK239" s="212">
        <f t="shared" si="848"/>
        <v>45140</v>
      </c>
      <c r="CL239" s="21">
        <v>49</v>
      </c>
      <c r="CM239" s="214">
        <f t="shared" si="849"/>
        <v>21.208448753462605</v>
      </c>
      <c r="CN239" s="216">
        <f t="shared" si="850"/>
        <v>12</v>
      </c>
      <c r="CO239" s="216" t="e">
        <f>IF(PI239="","",IF(PI239&gt;0,HLOOKUP(PI239,$PJ$2:QQ239,NY239),""))</f>
        <v>#REF!</v>
      </c>
      <c r="CP239" s="21"/>
      <c r="CQ239" s="216" t="str">
        <f>IF(QR239="Menor","NO APLICA-MENOR 13 SEM",IF(AND(CC239="SI",CN239&gt;23),"NO APLICA- GEMELAR",IF(QR239="","",IF(QR239&gt;0,HLOOKUP(QR239,$QS$2:RU239,NY239),""))))</f>
        <v>NO APLICA-MENOR 13 SEM</v>
      </c>
      <c r="CR239" s="21"/>
      <c r="CS239" s="21"/>
      <c r="CT239" s="217" t="str">
        <f>IF(R239="","",IF(AND(BS239&gt;1,BS239&lt;12,Tabla1[[#This Row],[T.A. SISTOLICA - ANTES DE SEMANA 12]]="",Tabla1[[#This Row],[T.A. DIASTOLICA - ANTES DE SEMANA 12]]=""),"REGISTRE DATO TA ANTES SEMANA 12",IF(AND(BS239&gt;11,BS239&lt;43,Tabla1[[#This Row],[T.A. SISTOLICA - ANTES DE SEMANA 12]]="",Tabla1[[#This Row],[T.A. DIASTOLICA - ANTES DE SEMANA 12]]=""),"NO APLICA REGISTRO TA-INGRESO TARDIO",IF(AND(OR(O239&gt;0,R239&gt;0),OR(CR239&gt;=140,CS239&gt;=90)),"DEFINIR ESTADIO HTA",IF(AND(OR(O239&gt;0,R239&gt;0),AND(CR239&gt;120,CR239&lt;=139)),"PRE HTA SEGUIMIENTO",IF(AND(OR(O239&gt;0,R239&gt;0),AND(CS239&gt;80,CS239&lt;=89)),"PRE HTA SEGUIMIENTO",IF(AND(OR(O239&gt;0,R239&gt;0),AND(CR239&gt;=80,CR239&lt;=120)),"APARENTEMENTE NORMAL",IF(AND(OR(O239&gt;0,R239&gt;0),AND(CS239&gt;=50,CS239&lt;=80)),"APARENTEMENTE NORMAL",IF(AND(OR(O239&gt;0,R239&gt;0),AND(CR239&gt;1,CR239&lt;=70),AND(CS239&gt;1,CS239&lt;=40)),"HIPOTENSIÓN","")))))))))</f>
        <v>NO APLICA REGISTRO TA-INGRESO TARDIO</v>
      </c>
      <c r="CU239" s="21"/>
      <c r="CV239" s="21"/>
      <c r="CW239" s="217" t="str">
        <f ca="1">IF(R239="","",IF(AND(CN239&gt;19,CN239&lt;27,Tabla1[[#This Row],[T.A. SISTOLICA (Entre semana 20 y 26)]]="",Tabla1[[#This Row],[T.A. DIATOLICA (Entre semana 20 y 26)]]=""),"ACUDE A CONTROL SEM 20 A 26 REGISTRE TA AHORA",IF(AND(BS239&gt;1,BS239&lt;27,BU239&gt;19,Tabla1[[#This Row],[T.A. SISTOLICA (Entre semana 20 y 26)]]="",Tabla1[[#This Row],[T.A. DIATOLICA (Entre semana 20 y 26)]]=""),"COMPLETE REGISTRO TA CONTROL SEM 20 A26 ",IF(AND(BS239&gt;26,BS239&lt;43,Tabla1[[#This Row],[T.A. SISTOLICA (Entre semana 20 y 26)]]="",Tabla1[[#This Row],[T.A. DIATOLICA (Entre semana 20 y 26)]]=""),"NO APLICA REGISTRO TA-INGRESO TARDIO",IF(AND(OR(O239&gt;0,R239&gt;0),OR(CU239&gt;=140,CV239&gt;=90)),"ALTO RIESGO PREECLAMPSIA,DEFINIR ESTADIO HTA",IF(AND(OR(O239&gt;0,R239&gt;0),AND(CU239&gt;120,CU239&lt;=139)),"PRE HTA SEGUIMIENTO,RIESGO HIPERTENSION INDUCIDA POR EL EMBARAZO",IF(AND(OR(O239&gt;0,R239&gt;0),AND(CV239&gt;80,CV239&lt;=89)),"PRE HTA SEGUIMIENTO, RIESGO HIPERTENSION INDUCIDA POR EL EMBARAZO",IF(AND(OR(O239&lt;&gt;"",R239&lt;&gt;""),CS239&lt;&gt;"",CV239&lt;&gt;"",CS239&lt;=CV239),"VIGILAR CIFRAS PRESION ARTERIAL",IF(AND(OR(O239&gt;0,R239&gt;0),AND(CU239&gt;120,CU239&lt;=139)),"PRE HTA SEGUIMIENTO",IF(AND(OR(O239&gt;0,R239&gt;0),AND(CU239&gt;1,CU239&lt;=70),AND(CV239&gt;1,CV239&lt;=40)),"HIPOTENSIÓN",IF(AND(OR(O239&lt;&gt;"",R239&lt;&gt;""),CS239&lt;&gt;"",CV239&lt;&gt;"",CS239&gt;CV239),"APARENTEMENTE NORMAL",IF(AND(OR(O239&gt;0,R239&gt;0),AND(CU239&gt;=80,CU239&lt;=120)),"APARENTEMENTE NORMAL",IF(AND(OR(O239&gt;0,R239&gt;0),AND(CV239&gt;=50,CV239&lt;=80)),"APARENTEMENTE NORMAL","")))))))))))))</f>
        <v xml:space="preserve">COMPLETE REGISTRO TA CONTROL SEM 20 A26 </v>
      </c>
      <c r="CX239" s="21"/>
      <c r="CY239" s="21"/>
      <c r="CZ239" s="216" t="str">
        <f t="shared" si="1045"/>
        <v/>
      </c>
      <c r="DA239" s="21">
        <v>90</v>
      </c>
      <c r="DB239" s="21">
        <v>60</v>
      </c>
      <c r="DC239" s="217" t="str">
        <f t="shared" si="851"/>
        <v>APARENTEMENTE NORMAL</v>
      </c>
      <c r="DD239" s="22">
        <v>45140</v>
      </c>
      <c r="DE239" s="22">
        <v>45140</v>
      </c>
      <c r="DF239" s="22"/>
      <c r="DG239" s="22"/>
      <c r="DH239" s="22"/>
      <c r="DI239" s="22"/>
      <c r="DJ239" s="22"/>
      <c r="DK239" s="22"/>
      <c r="DL239" s="22"/>
      <c r="DM239" s="22"/>
      <c r="DN239" s="22"/>
      <c r="DO239" s="22"/>
      <c r="DP239" s="22"/>
      <c r="DQ239" s="22"/>
      <c r="DR239" s="28"/>
      <c r="DS239" s="22"/>
      <c r="DT239" s="22"/>
      <c r="DU239" s="216" t="str">
        <f t="shared" ca="1" si="920"/>
        <v>EN ESPERA</v>
      </c>
      <c r="DV239" s="226" t="str">
        <f t="shared" si="921"/>
        <v>ACTIVA INGRESO A CPN</v>
      </c>
      <c r="DW239"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39" s="216" t="e">
        <f t="shared" ca="1" si="852"/>
        <v>#REF!</v>
      </c>
      <c r="DY239" s="212">
        <f>IF(R239="","",IF(R239&gt;0,MAX(Tabla1[[#This Row],[FECHA C2]:[FECHA C13]],Tabla1[[#This Row],[FECHA CONSULTA PRIMERA VEZ PROGRAMA CPN ]])))</f>
        <v>45140</v>
      </c>
      <c r="DZ239" s="216">
        <f t="shared" si="853"/>
        <v>12</v>
      </c>
      <c r="EA239" s="222">
        <f>IF(R239&gt;0,SUM(COUNTA(DF239:DQ239)+COUNTA(Tabla1[[#This Row],[FECHA CONSULTA PRIMERA VEZ PROGRAMA CPN ]])),"")</f>
        <v>1</v>
      </c>
      <c r="EB239" s="222" t="str">
        <f t="shared" si="854"/>
        <v>NO</v>
      </c>
      <c r="EC239" s="214">
        <f t="shared" si="855"/>
        <v>8</v>
      </c>
      <c r="ED239" s="227">
        <f t="shared" si="856"/>
        <v>0.125</v>
      </c>
      <c r="EE239" s="22">
        <v>45140</v>
      </c>
      <c r="EF239" s="22"/>
      <c r="EG239" s="22">
        <v>45140</v>
      </c>
      <c r="EH239" s="22"/>
      <c r="EI239" s="22">
        <v>45140</v>
      </c>
      <c r="EJ239" s="22"/>
      <c r="EK239" s="22"/>
      <c r="EL239" s="21"/>
      <c r="EM239" s="21"/>
      <c r="EN239" s="22"/>
      <c r="EO239" s="222" t="str">
        <f t="shared" si="857"/>
        <v>TOMAR EXAMEN</v>
      </c>
      <c r="EP239" s="214" t="str">
        <f t="shared" si="858"/>
        <v/>
      </c>
      <c r="EQ239" s="216" t="str">
        <f t="shared" si="859"/>
        <v>POR DEFINIR</v>
      </c>
      <c r="ER239" s="24"/>
      <c r="ES239" s="22"/>
      <c r="ET239" s="29" t="str">
        <f t="shared" ca="1" si="922"/>
        <v>PROGRAMAR TOMA HEMOGLOBINA A SEM 28</v>
      </c>
      <c r="EU239" s="25" t="str">
        <f t="shared" si="860"/>
        <v/>
      </c>
      <c r="EV239" s="24"/>
      <c r="EW239" s="24"/>
      <c r="EX239" s="22"/>
      <c r="EY239" s="29" t="str">
        <f t="shared" si="1043"/>
        <v>TOMAR EXAMEN</v>
      </c>
      <c r="EZ239" s="25" t="str">
        <f t="shared" ca="1" si="1044"/>
        <v/>
      </c>
      <c r="FA239" s="21"/>
      <c r="FB239" s="22"/>
      <c r="FC239" s="29" t="str">
        <f t="shared" si="861"/>
        <v>TOMAR EXAMEN</v>
      </c>
      <c r="FD239" s="29"/>
      <c r="FE239" s="29"/>
      <c r="FF239" s="29"/>
      <c r="FG239" s="21" t="str">
        <f t="shared" ca="1" si="862"/>
        <v>TOMAR PTOG</v>
      </c>
      <c r="FH239" s="31"/>
      <c r="FI239" s="29" t="str">
        <f t="shared" si="863"/>
        <v>TOMAR EXAMEN</v>
      </c>
      <c r="FJ239" s="22"/>
      <c r="FK239" s="22"/>
      <c r="FL239" s="29" t="str">
        <f t="shared" ca="1" si="864"/>
        <v>PIERDE TOMA DE TAMIZAJE</v>
      </c>
      <c r="FM239" s="22"/>
      <c r="FN239" s="32"/>
      <c r="FO239" s="29" t="str">
        <f t="shared" ca="1" si="923"/>
        <v>TOMA INMEDIATA DE TAMIZAJE</v>
      </c>
      <c r="FP239" s="22"/>
      <c r="FQ239" s="32"/>
      <c r="FR239" s="29" t="str">
        <f t="shared" ca="1" si="924"/>
        <v>EN ESPERA-ESTÁ I TRIM O II TRIM</v>
      </c>
      <c r="FS239" s="22"/>
      <c r="FT239" s="32"/>
      <c r="FU239" s="29" t="str">
        <f>IF(AND(FJ239="",FM239="",FP239="",FS239=""),"",IF(OR(OR(Tabla1[[#This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39" s="28"/>
      <c r="FW239" s="22"/>
      <c r="FX239" s="29" t="str">
        <f t="shared" si="865"/>
        <v>TOMAR EXAMEN</v>
      </c>
      <c r="FY239" s="22"/>
      <c r="FZ239" s="22"/>
      <c r="GA239" s="29" t="str">
        <f t="shared" ref="GA239" ca="1" si="1049">IF(AND(BT239="ERROR FUM O INGRESO",FZ239&gt;0),"ERROR FUM O INGRESO",IF(AND(FZ239="",R239="",O239=""),"",IF(OR(AND(FZ239&lt;&gt;"",FZ239&lt;RW239),AND(FZ239&lt;&gt;"",AND(SUM((FZ239-RW239)/7)&gt;=13,SUM((FZ239-RW239)/7)&lt;27))),"REGISTRAR EN II TRIMESTRE",IF(OR(AND(FZ239&lt;&gt;"",FZ239&lt;RW239),AND(FZ239&lt;&gt;"",AND(SUM((FZ239-RW239)/7)&gt;=27,SUM((FZ239-RW239)/7)&lt;44))),"REGISTRAR EN III TRIMESTRE",IF(AND(FZ239="",OR(O239&gt;0,R239&gt;0),AND(BU239&gt;1,BU239&lt;10)),"EN RANGO PARA TOMAR EXAMEN",IF(AND(FZ239="",OR(O239&gt;0,R239&gt;0),AND(BU239&gt;=10,BU239&lt;12)),"TOMA INMEDIATA DE TAMIZAJE",IF(AND(FZ239="",BS239&lt;12,OR(O239&gt;0,R239&gt;0)),"PIERDE TOMA DE TAMIZAJE",IF(AND(FZ239="",OR(O239&gt;0,R239&gt;0),AND(BS239&gt;=13,BS239&lt;44)),"NO APLICA-INGRESO TARDIO",IF(FZ239&gt;0,SUM(FZ239-RW239)/7,"")))))))))</f>
        <v/>
      </c>
      <c r="GB239" s="22"/>
      <c r="GC239" s="22"/>
      <c r="GD239" s="29" t="str">
        <f t="shared" ca="1" si="1048"/>
        <v>TOMA INMEDIATA DE TAMIZAJE</v>
      </c>
      <c r="GE239" s="22"/>
      <c r="GF239" s="22"/>
      <c r="GG239" s="29" t="str">
        <f t="shared" ca="1" si="926"/>
        <v>EN ESPERA-ESTÁ I TRIM O II TRIM</v>
      </c>
      <c r="GH239" s="22"/>
      <c r="GI239" s="29"/>
      <c r="GJ239" s="22"/>
      <c r="GK239" s="22"/>
      <c r="GL239" s="22"/>
      <c r="GM239" s="22"/>
      <c r="GN239" s="28"/>
      <c r="GO239" s="22"/>
      <c r="GP239" s="29" t="str">
        <f t="shared" si="866"/>
        <v>TOMAR EXAMEN</v>
      </c>
      <c r="GQ239" s="28"/>
      <c r="GR239" s="28"/>
      <c r="GS239" s="22" t="str">
        <f t="shared" si="1047"/>
        <v/>
      </c>
      <c r="GT239" s="22"/>
      <c r="GU239" s="29" t="str">
        <f t="shared" si="867"/>
        <v>TOMAR EXAMEN</v>
      </c>
      <c r="GV239" s="21" t="str">
        <f t="shared" si="868"/>
        <v>POR DEFINIR</v>
      </c>
      <c r="GW239" s="28"/>
      <c r="GX239" s="30"/>
      <c r="GY239" s="21"/>
      <c r="GZ239" s="21"/>
      <c r="HA239" s="21"/>
      <c r="HB239" s="21"/>
      <c r="HC239" s="21"/>
      <c r="HD239" s="21"/>
      <c r="HE239" s="21"/>
      <c r="HF239" s="22"/>
      <c r="HG239" s="22" t="str">
        <f>IF(OR(O239&gt;0,R239&gt;0),CONCATENATE(IF(Tabla1[[#This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39" s="22" t="e">
        <f t="shared" si="869"/>
        <v>#REF!</v>
      </c>
      <c r="HI239" s="22" t="e">
        <f t="shared" ca="1" si="870"/>
        <v>#REF!</v>
      </c>
      <c r="HJ239" s="21" t="str">
        <f t="shared" ca="1" si="871"/>
        <v>***************************************</v>
      </c>
      <c r="HK239" s="21" t="str">
        <f t="shared" si="872"/>
        <v>SIN ANTECEDENTES DE RIESGO</v>
      </c>
      <c r="HL239" s="24" t="str">
        <f t="shared" si="873"/>
        <v>APARENTEMENTE NORMAL</v>
      </c>
      <c r="HM239" s="21" t="e">
        <f t="shared" ca="1" si="874"/>
        <v>#REF!</v>
      </c>
      <c r="HN239" s="30" t="str">
        <f t="shared" si="927"/>
        <v>ACTIVA INGRESO A CPN</v>
      </c>
      <c r="HO239" s="21"/>
      <c r="HP239" s="21"/>
      <c r="HQ239" s="349"/>
      <c r="HR239" s="21" t="str">
        <f>IF(R239="","",IF(Tabla1[[#This Row],[ALARMA FACTORES DE RIESGO COMPLICACIONES HIPERTENSIVAS3]]="SIN ANTECEDENTES DE RIESGO","No Aplica para suministro de ASA",IF(AND(Tabla1[[#This Row],[FECHA INICIO DE SUMINISTRO DE ASA]]&gt;0,RV239&lt;12),"Inicia ASA ANTES de Sem 12",IF(AND(RV239&gt;11,RV239&lt;17,OR(HK239="RIESGO ALTO DE COMPLICACIONES HIPERTENSIVAS VER MANEJO GUIA SUMINISTRO ASA Y CALCIO",HK239="RIESGO MODERADO (2 O MAS CRITERIOS) VER MANEJO GUIA SUMINISTRO ASA Y CALCIO")),"Inicio oportuno de ASA",IF(AND(RV239&gt;12,OR(HK239="RIESGO ALTO DE COMPLICACIONES HIPERTENSIVAS VER MANEJO GUIA SUMINISTRO ASA Y CALCIO",HK239="RIESGO MODERADO (2 O MAS CRITERIOS) VER MANEJO GUIA SUMINISTRO ASA Y CALCIO")),"Inicio no oportuno mayor a 16 semanas",IF(AND(BU239&lt;12,OR(HK239="RIESGO ALTO DE COMPLICACIONES HIPERTENSIVAS VER MANEJO GUIA SUMINISTRO ASA Y CALCIO",HK239="RIESGO MODERADO (2 O MAS CRITERIOS) VER MANEJO GUIA SUMINISTRO ASA Y CALCIO")),"Pendiente Inicio de ASA a la semana 12",IF(AND(BU239&gt;11,BU239&lt;17,OR(HK239="RIESGO ALTO DE COMPLICACIONES HIPERTENSIVAS VER MANEJO GUIA SUMINISTRO ASA Y CALCIO",HK239="RIESGO MODERADO (2 O MAS CRITERIOS) VER MANEJO GUIA SUMINISTRO ASA Y CALCIO")),"Iniciar de inmediato ASA",IF(AND(BU239&gt;16,OR(HK239="RIESGO ALTO DE COMPLICACIONES HIPERTENSIVAS VER MANEJO GUIA SUMINISTRO ASA Y CALCIO",HK239="RIESGO MODERADO (2 O MAS CRITERIOS) VER MANEJO GUIA SUMINISTRO ASA Y CALCIO")),"Pierde Oportunidad, Inicio tardío de ASA","XXXXX"))))))))</f>
        <v>No Aplica para suministro de ASA</v>
      </c>
      <c r="HS239" s="22">
        <v>45140</v>
      </c>
      <c r="HT239" s="22" t="s">
        <v>1518</v>
      </c>
      <c r="HU239" s="22">
        <v>45140</v>
      </c>
      <c r="HV239" s="22" t="s">
        <v>1506</v>
      </c>
      <c r="HW239" s="22"/>
      <c r="HX239" s="22"/>
      <c r="HY239" s="22"/>
      <c r="HZ239" s="28" t="str">
        <f t="shared" si="875"/>
        <v>PENDIENTE CONSULTA</v>
      </c>
      <c r="IA239" s="26"/>
      <c r="IB239" s="26"/>
      <c r="IC239" s="111"/>
      <c r="ID239" s="22"/>
      <c r="IE239" s="22" t="str">
        <f t="shared" ca="1" si="876"/>
        <v>PROGRAMAR APLICACION DE VACUNA</v>
      </c>
      <c r="IF239" s="22"/>
      <c r="IG239" s="22">
        <f t="shared" si="877"/>
        <v>45332</v>
      </c>
      <c r="IH239" s="29">
        <f t="shared" ca="1" si="878"/>
        <v>100</v>
      </c>
      <c r="II239" s="22" t="str">
        <f t="shared" ca="1" si="879"/>
        <v>PENDIENTE</v>
      </c>
      <c r="IJ239" s="22"/>
      <c r="IK239" s="21"/>
      <c r="IL239" s="21"/>
      <c r="IM239" s="34"/>
      <c r="IN239" s="22"/>
      <c r="IO239" s="21"/>
      <c r="IP239" s="29" t="str">
        <f t="shared" si="880"/>
        <v/>
      </c>
      <c r="IQ239" s="35"/>
      <c r="IR239" s="21"/>
      <c r="IS239" s="21"/>
      <c r="IT239" s="21"/>
      <c r="IU239" s="21"/>
      <c r="IV239" s="21"/>
      <c r="IW239" s="21"/>
      <c r="IX239" s="21"/>
      <c r="IY239" s="21"/>
      <c r="IZ239" s="21"/>
      <c r="JA239" s="21"/>
      <c r="JB239" s="30"/>
      <c r="JC239" s="21"/>
      <c r="JD239" s="36"/>
      <c r="JE239" s="21" t="str">
        <f t="shared" si="881"/>
        <v/>
      </c>
      <c r="JF239" s="30"/>
      <c r="JG239" s="21"/>
      <c r="JH239" s="21"/>
      <c r="JI239" s="21"/>
      <c r="JJ239" s="30"/>
      <c r="JK239" s="22"/>
      <c r="JL239" s="22"/>
      <c r="JM239" s="21"/>
      <c r="JN239" s="36"/>
      <c r="JO239" s="21" t="str">
        <f t="shared" si="882"/>
        <v/>
      </c>
      <c r="JP239" s="22"/>
      <c r="JQ239" s="21"/>
      <c r="JR239" s="21"/>
      <c r="JS239" s="21"/>
      <c r="JT239" s="30"/>
      <c r="JU239" s="22"/>
      <c r="JV239" s="22"/>
      <c r="JW239" s="33"/>
      <c r="JX239" s="28" t="str">
        <f t="shared" si="883"/>
        <v/>
      </c>
      <c r="JY239" s="33"/>
      <c r="JZ239" s="28" t="str">
        <f t="shared" si="884"/>
        <v/>
      </c>
      <c r="KA239" s="21"/>
      <c r="KB239" s="21"/>
      <c r="KC239" s="21"/>
      <c r="KD239" s="37"/>
      <c r="KE239" s="28"/>
      <c r="KF239" s="28"/>
      <c r="KG239" s="28"/>
      <c r="KH239" s="39"/>
      <c r="KI239" s="39"/>
      <c r="KJ239" s="66"/>
      <c r="KK239" s="39"/>
      <c r="KL239" s="39"/>
      <c r="KM239" s="66"/>
      <c r="KN239" s="39"/>
      <c r="KO239" s="39"/>
      <c r="KP239" s="39"/>
      <c r="KQ239" s="39"/>
      <c r="KR239" s="39"/>
      <c r="KS239" s="39"/>
      <c r="KT239" s="39"/>
      <c r="KU239" s="38"/>
      <c r="KV239" s="38"/>
      <c r="KW239" s="38"/>
      <c r="KX239" s="38"/>
      <c r="KY239" s="38"/>
      <c r="KZ239" s="38"/>
      <c r="LA239" s="38"/>
      <c r="LB239" s="38"/>
      <c r="LC239" s="38"/>
      <c r="LD239" s="38"/>
      <c r="LE239" s="38"/>
      <c r="LF239" s="38"/>
      <c r="LG239" s="38"/>
      <c r="LH239" s="38"/>
      <c r="LI239" s="38"/>
      <c r="LJ239" s="38"/>
      <c r="LK239" s="38"/>
      <c r="LL239" s="38"/>
      <c r="LM239" s="38"/>
      <c r="LN239" s="38"/>
      <c r="LO239" s="38"/>
      <c r="LP239" s="38"/>
      <c r="LQ239" s="38"/>
      <c r="LR239" s="38"/>
      <c r="LS239" s="38"/>
      <c r="LT239" s="38"/>
      <c r="LU239" s="38"/>
      <c r="LV239" s="38"/>
      <c r="LW239" s="38"/>
      <c r="LX239" s="38"/>
      <c r="LY239" s="38"/>
      <c r="LZ239" s="38"/>
      <c r="MA239" s="38"/>
      <c r="MB239" s="38"/>
      <c r="MC239" s="38"/>
      <c r="MD239" s="38"/>
      <c r="ME239" s="38"/>
      <c r="MF239" s="38"/>
      <c r="MG239" s="38"/>
      <c r="MH239" s="43">
        <f t="shared" si="885"/>
        <v>0</v>
      </c>
      <c r="MI239" s="43" t="str">
        <f t="shared" si="929"/>
        <v/>
      </c>
      <c r="MJ239" s="43" t="str">
        <f t="shared" si="887"/>
        <v/>
      </c>
      <c r="MK239" s="43">
        <f t="shared" si="888"/>
        <v>0</v>
      </c>
      <c r="ML23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39" s="43">
        <f t="shared" si="930"/>
        <v>12.571428571428571</v>
      </c>
      <c r="MN239" s="43">
        <f t="shared" si="931"/>
        <v>8</v>
      </c>
      <c r="MO239" s="43">
        <f t="shared" si="932"/>
        <v>2023</v>
      </c>
      <c r="MP239" s="43" t="str">
        <f t="shared" si="892"/>
        <v>III TRIMESTRE AÑO</v>
      </c>
      <c r="MQ239" s="43">
        <f t="shared" si="933"/>
        <v>19.836837494524747</v>
      </c>
      <c r="MR239" s="43">
        <f t="shared" si="894"/>
        <v>0</v>
      </c>
      <c r="MS239" s="43" t="str">
        <f t="shared" si="895"/>
        <v>DE 14 A 19AÑOS</v>
      </c>
      <c r="MT239" s="43">
        <f t="shared" si="896"/>
        <v>0</v>
      </c>
      <c r="MU239" s="43">
        <f t="shared" si="897"/>
        <v>0</v>
      </c>
      <c r="MV239" s="43">
        <f t="shared" si="898"/>
        <v>0</v>
      </c>
      <c r="MW239" s="43">
        <f t="shared" si="899"/>
        <v>0</v>
      </c>
      <c r="MX239" s="43" t="str">
        <f t="shared" si="900"/>
        <v/>
      </c>
      <c r="MY239" s="43" t="str">
        <f t="shared" ca="1" si="901"/>
        <v/>
      </c>
      <c r="MZ239" s="43" t="str">
        <f t="shared" si="902"/>
        <v/>
      </c>
      <c r="NA239" s="43" t="str">
        <f t="shared" si="903"/>
        <v/>
      </c>
      <c r="NB239" s="43" t="str">
        <f t="shared" si="904"/>
        <v/>
      </c>
      <c r="NC239" s="43" t="str">
        <f t="shared" si="905"/>
        <v/>
      </c>
      <c r="ND239" s="43">
        <f t="shared" ca="1" si="934"/>
        <v>0</v>
      </c>
      <c r="NE239" s="43">
        <f>IF(OR(O239&gt;0,R239&gt;0),SUM(COUNTIF(Tabla1[[#This Row],[AÑOS AL INICIO5 CPN]],"&gt;=40"),COUNTIF(AS239,"0"),COUNTIF(AR239,"SI"),COUNTIF(CC239,"SI"),COUNTIF(BQ239,"&gt;119"),COUNTIF(CI239,"&gt;=35")),"")</f>
        <v>0</v>
      </c>
      <c r="NF239" s="43" t="str">
        <f t="shared" si="935"/>
        <v/>
      </c>
      <c r="NG239" s="43">
        <f t="shared" si="908"/>
        <v>0</v>
      </c>
      <c r="NH239" s="43" t="str">
        <f t="shared" si="909"/>
        <v/>
      </c>
      <c r="NI239"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CPN",P239="NO"),"Z",IF(AND(Tabla1[[#This Row],[CITA PROXIMO CONTROL]]="CITA MANUAL",Tabla1[[#This Row],[GESTANTES ACTUALES]]="ACTIVA INGRESO A CPN"),"W",IF(AND(Tabla1[[#This Row],[GESTANTES ACTUALES]]="SALIO PROGRAMA",IN239=""),"S",IF(AND(Tabla1[[#This Row],[CITA PROXIMO CONTROL]]&gt;0,IN239=""),(Tabla1[[#This Row],[CITA PROXIMO CONTROL]]-TODAY()),"SD"))))))))</f>
        <v>#REF!</v>
      </c>
      <c r="NJ239" s="43">
        <f>MONTH(Tabla1[[#This Row],[FECHA DE SALIDA  DEL PROGRAMA]])</f>
        <v>1</v>
      </c>
      <c r="NK239" s="43">
        <f>YEAR(Tabla1[[#This Row],[FECHA DE SALIDA  DEL PROGRAMA]])</f>
        <v>1900</v>
      </c>
      <c r="NL239" s="43" t="str">
        <f t="shared" si="936"/>
        <v>X</v>
      </c>
      <c r="NM239" s="43" t="str">
        <f t="shared" si="941"/>
        <v>NO</v>
      </c>
      <c r="NN239" s="43" t="str">
        <f ca="1">IF(AND(O239&gt;0,R239=""),"NO CPN",IF(AND(O239="",R239=""),"",IF(AND(R239&gt;0,Tabla1[[#This Row],[SEMANAS DE GESTACION ACTUALIZADAS]]&lt;=12),"NO APLICA",IF(AND(FH239&lt;&gt;"",FN239&lt;&gt;""),"SI","NO"))))</f>
        <v>NO</v>
      </c>
      <c r="NO239" s="43" t="str">
        <f ca="1">IF(AND(O239&gt;0,R239=""),"NO CPN",IF(AND(O239="",R239=""),"",IF(AND(R239&gt;0,Tabla1[[#This Row],[SEMANAS DE GESTACION ACTUALIZADAS]]&lt;=27),"NO APLICA",IF(AND(ES239&lt;&gt;"",FQ239&lt;&gt;"",GF239&lt;&gt;""),"SI","NO"))))</f>
        <v>NO APLICA</v>
      </c>
      <c r="NP239" s="204" t="str">
        <f t="shared" si="912"/>
        <v>II TRIM</v>
      </c>
      <c r="NQ239" s="21" t="str">
        <f t="shared" si="1046"/>
        <v/>
      </c>
      <c r="NR239" s="21">
        <f t="shared" ca="1" si="937"/>
        <v>1</v>
      </c>
      <c r="NS239" s="205">
        <f t="shared" ca="1" si="914"/>
        <v>0</v>
      </c>
      <c r="NT239" s="21">
        <f t="shared" ca="1" si="915"/>
        <v>0</v>
      </c>
      <c r="NU239" s="21" t="str">
        <f t="shared" ca="1" si="916"/>
        <v>INCOMPLETO</v>
      </c>
      <c r="NV239" s="21" t="str">
        <f t="shared" ca="1" si="917"/>
        <v>INCOMPLETO</v>
      </c>
      <c r="NW239" s="206" t="str">
        <f>IF(AND(O239="",R239=""),"",IF(OR(AND(Tabla1[[#This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39" s="207" t="str">
        <f t="shared" ca="1" si="938"/>
        <v>SIN VACUNAR</v>
      </c>
      <c r="NY239" s="43">
        <f>ROW(Tabla1[[#This Row],['# DE TAMIZAJES SIFILIS TOMADOS ]])</f>
        <v>239</v>
      </c>
      <c r="NZ239" s="43">
        <f t="shared" si="942"/>
        <v>12</v>
      </c>
      <c r="OA239" s="43" t="str">
        <f t="shared" si="943"/>
        <v/>
      </c>
      <c r="OB239" s="43" t="str">
        <f t="shared" si="944"/>
        <v/>
      </c>
      <c r="OC239" s="43" t="str">
        <f t="shared" si="945"/>
        <v/>
      </c>
      <c r="OD239" s="43" t="str">
        <f t="shared" si="946"/>
        <v>NORMAL</v>
      </c>
      <c r="OE239" s="43" t="str">
        <f t="shared" si="947"/>
        <v/>
      </c>
      <c r="OF239" s="43" t="str">
        <f t="shared" si="948"/>
        <v/>
      </c>
      <c r="OG239" s="43" t="str">
        <f t="shared" si="949"/>
        <v/>
      </c>
      <c r="OH239" s="43" t="str">
        <f t="shared" si="950"/>
        <v/>
      </c>
      <c r="OI239" s="43" t="str">
        <f t="shared" si="951"/>
        <v/>
      </c>
      <c r="OJ239" s="43" t="str">
        <f t="shared" si="952"/>
        <v/>
      </c>
      <c r="OK239" s="43" t="str">
        <f t="shared" si="953"/>
        <v/>
      </c>
      <c r="OL239" s="43" t="str">
        <f t="shared" si="954"/>
        <v/>
      </c>
      <c r="OM239" s="43" t="str">
        <f t="shared" si="955"/>
        <v/>
      </c>
      <c r="ON239" s="43" t="str">
        <f t="shared" si="956"/>
        <v/>
      </c>
      <c r="OO239" s="43" t="str">
        <f t="shared" si="957"/>
        <v/>
      </c>
      <c r="OP239" s="43" t="str">
        <f t="shared" si="958"/>
        <v/>
      </c>
      <c r="OQ239" s="43" t="str">
        <f t="shared" si="959"/>
        <v/>
      </c>
      <c r="OR239" s="43" t="str">
        <f t="shared" si="960"/>
        <v/>
      </c>
      <c r="OS239" s="43" t="str">
        <f t="shared" si="961"/>
        <v/>
      </c>
      <c r="OT239" s="43" t="str">
        <f t="shared" si="962"/>
        <v/>
      </c>
      <c r="OU239" s="43" t="str">
        <f t="shared" si="963"/>
        <v/>
      </c>
      <c r="OV239" s="110" t="str">
        <f t="shared" si="964"/>
        <v/>
      </c>
      <c r="OW239" s="43" t="str">
        <f t="shared" si="965"/>
        <v/>
      </c>
      <c r="OX239" s="43" t="str">
        <f t="shared" si="966"/>
        <v/>
      </c>
      <c r="OY239" s="43" t="str">
        <f t="shared" si="967"/>
        <v/>
      </c>
      <c r="OZ239" s="43" t="str">
        <f t="shared" si="968"/>
        <v/>
      </c>
      <c r="PA239" s="43" t="str">
        <f t="shared" si="969"/>
        <v/>
      </c>
      <c r="PB239" s="43" t="str">
        <f t="shared" si="970"/>
        <v/>
      </c>
      <c r="PC239" s="43" t="str">
        <f t="shared" si="971"/>
        <v/>
      </c>
      <c r="PD239" s="43" t="str">
        <f t="shared" si="972"/>
        <v/>
      </c>
      <c r="PE239" s="43" t="str">
        <f t="shared" si="973"/>
        <v/>
      </c>
      <c r="PF239" s="43" t="str">
        <f t="shared" si="974"/>
        <v/>
      </c>
      <c r="PG239" s="43" t="str">
        <f t="shared" si="975"/>
        <v/>
      </c>
      <c r="PH239" s="43" t="str">
        <f t="shared" si="976"/>
        <v/>
      </c>
      <c r="PI239" s="43">
        <f t="shared" si="977"/>
        <v>12</v>
      </c>
      <c r="PJ239" s="43" t="str">
        <f t="shared" si="978"/>
        <v/>
      </c>
      <c r="PK239" s="43" t="str">
        <f t="shared" si="979"/>
        <v/>
      </c>
      <c r="PL239" s="43" t="str">
        <f t="shared" si="980"/>
        <v/>
      </c>
      <c r="PM239" s="43" t="str">
        <f t="shared" si="981"/>
        <v>NORMAL</v>
      </c>
      <c r="PN239" s="43" t="str">
        <f t="shared" si="982"/>
        <v/>
      </c>
      <c r="PO239" s="43" t="str">
        <f t="shared" si="983"/>
        <v/>
      </c>
      <c r="PP239" s="43" t="str">
        <f t="shared" si="984"/>
        <v/>
      </c>
      <c r="PQ239" s="43" t="str">
        <f t="shared" si="985"/>
        <v/>
      </c>
      <c r="PR239" s="43" t="str">
        <f t="shared" si="986"/>
        <v/>
      </c>
      <c r="PS239" s="43" t="str">
        <f t="shared" si="987"/>
        <v/>
      </c>
      <c r="PT239" s="43" t="str">
        <f t="shared" si="988"/>
        <v/>
      </c>
      <c r="PU239" s="43" t="str">
        <f t="shared" si="989"/>
        <v/>
      </c>
      <c r="PV239" s="43" t="str">
        <f t="shared" si="990"/>
        <v/>
      </c>
      <c r="PW239" s="43" t="str">
        <f t="shared" si="991"/>
        <v/>
      </c>
      <c r="PX239" s="43" t="str">
        <f t="shared" si="992"/>
        <v/>
      </c>
      <c r="PY239" s="43" t="str">
        <f t="shared" si="993"/>
        <v/>
      </c>
      <c r="PZ239" s="43" t="str">
        <f t="shared" si="994"/>
        <v/>
      </c>
      <c r="QA239" s="43" t="str">
        <f t="shared" si="995"/>
        <v/>
      </c>
      <c r="QB239" s="43" t="str">
        <f t="shared" si="996"/>
        <v/>
      </c>
      <c r="QC239" s="43" t="str">
        <f t="shared" si="997"/>
        <v/>
      </c>
      <c r="QD239" s="43" t="str">
        <f t="shared" si="998"/>
        <v/>
      </c>
      <c r="QE239" s="43" t="str">
        <f t="shared" si="999"/>
        <v/>
      </c>
      <c r="QF239" s="43" t="str">
        <f t="shared" si="1000"/>
        <v/>
      </c>
      <c r="QG239" s="43" t="str">
        <f t="shared" si="1001"/>
        <v/>
      </c>
      <c r="QH239" s="43" t="str">
        <f t="shared" si="1002"/>
        <v/>
      </c>
      <c r="QI239" s="43" t="str">
        <f t="shared" si="1003"/>
        <v/>
      </c>
      <c r="QJ239" s="43" t="str">
        <f t="shared" si="1004"/>
        <v/>
      </c>
      <c r="QK239" s="43" t="str">
        <f t="shared" si="1005"/>
        <v/>
      </c>
      <c r="QL239" s="43" t="str">
        <f t="shared" si="1006"/>
        <v/>
      </c>
      <c r="QM239" s="43" t="str">
        <f t="shared" si="1007"/>
        <v/>
      </c>
      <c r="QN239" s="43" t="str">
        <f t="shared" si="1008"/>
        <v/>
      </c>
      <c r="QO239" s="43" t="str">
        <f t="shared" si="1009"/>
        <v/>
      </c>
      <c r="QP239" s="43" t="str">
        <f t="shared" si="1010"/>
        <v/>
      </c>
      <c r="QQ239" s="43" t="str">
        <f t="shared" si="1011"/>
        <v/>
      </c>
      <c r="QR239" s="43" t="str">
        <f t="shared" si="1012"/>
        <v>Menor</v>
      </c>
      <c r="QS239" s="43"/>
      <c r="QT239" s="21" t="str">
        <f t="shared" si="1013"/>
        <v/>
      </c>
      <c r="QU239" s="21" t="str">
        <f t="shared" si="1014"/>
        <v/>
      </c>
      <c r="QV239" s="21" t="str">
        <f t="shared" si="1015"/>
        <v/>
      </c>
      <c r="QW239" s="21" t="str">
        <f t="shared" si="1016"/>
        <v/>
      </c>
      <c r="QX239" s="21" t="str">
        <f t="shared" si="1017"/>
        <v/>
      </c>
      <c r="QY239" s="21" t="str">
        <f t="shared" si="1018"/>
        <v/>
      </c>
      <c r="QZ239" s="21" t="str">
        <f t="shared" si="1019"/>
        <v/>
      </c>
      <c r="RA239" s="21" t="str">
        <f t="shared" si="1020"/>
        <v/>
      </c>
      <c r="RB239" s="21" t="str">
        <f t="shared" si="1021"/>
        <v/>
      </c>
      <c r="RC239" s="21" t="str">
        <f t="shared" si="1022"/>
        <v/>
      </c>
      <c r="RD239" s="21" t="str">
        <f t="shared" si="1023"/>
        <v/>
      </c>
      <c r="RE239" s="21" t="str">
        <f t="shared" si="1024"/>
        <v/>
      </c>
      <c r="RF239" s="21" t="str">
        <f t="shared" si="1025"/>
        <v/>
      </c>
      <c r="RG239" s="21" t="str">
        <f t="shared" si="1026"/>
        <v/>
      </c>
      <c r="RH239" s="21" t="str">
        <f t="shared" si="1027"/>
        <v/>
      </c>
      <c r="RI239" s="21" t="str">
        <f t="shared" si="1028"/>
        <v/>
      </c>
      <c r="RJ239" s="21" t="str">
        <f t="shared" si="1029"/>
        <v/>
      </c>
      <c r="RK239" s="21" t="str">
        <f t="shared" si="1030"/>
        <v/>
      </c>
      <c r="RL239" s="21" t="str">
        <f t="shared" si="1031"/>
        <v/>
      </c>
      <c r="RM239" s="21" t="str">
        <f t="shared" si="1032"/>
        <v/>
      </c>
      <c r="RN239" s="21" t="str">
        <f t="shared" si="1033"/>
        <v/>
      </c>
      <c r="RO239" s="21" t="str">
        <f t="shared" si="1034"/>
        <v/>
      </c>
      <c r="RP239" s="21" t="str">
        <f t="shared" si="1035"/>
        <v/>
      </c>
      <c r="RQ239" s="21" t="str">
        <f t="shared" si="1036"/>
        <v/>
      </c>
      <c r="RR239" s="21" t="str">
        <f t="shared" si="1037"/>
        <v/>
      </c>
      <c r="RS239" s="21" t="str">
        <f t="shared" si="1038"/>
        <v/>
      </c>
      <c r="RT239" s="21" t="str">
        <f t="shared" si="1039"/>
        <v/>
      </c>
      <c r="RU239" s="21" t="str">
        <f t="shared" si="1040"/>
        <v/>
      </c>
      <c r="RV239" s="21">
        <f t="shared" si="1041"/>
        <v>-1</v>
      </c>
      <c r="RW239" s="284">
        <f>IF(OR(Tabla1[[#This Row],[FUM FORMULA CONFIABLE]]="",Tabla1[[#This Row],[FUM FORMULA CONFIABLE]]="SD"),"",IF(Tabla1[[#This Row],[FUM FORMULA CONFIABLE]]="CORREGIDA",Tabla1[[#This Row],[FUM X ECO 1]],Tabla1[[#This Row],[FUM x AMENORREA]]))</f>
        <v>45052</v>
      </c>
      <c r="RX239" s="21" t="str">
        <f>IF(AND(Tabla1[[#This Row],[FUM X ECO 1]]="",Tabla1[[#This Row],[FUM x AMENORREA]]=""),"",IF(AND(Tabla1[[#This Row],[FUM X ECO 1]]="",Tabla1[[#This Row],[FUM x AMENORREA]]&lt;&gt;""),"X",SUM(Tabla1[[#This Row],[FUM X ECO 1]]-Tabla1[[#This Row],[FUM x AMENORREA]])))</f>
        <v>X</v>
      </c>
      <c r="RY239" s="21" t="str">
        <f t="shared" si="1042"/>
        <v>x</v>
      </c>
    </row>
    <row r="240" spans="1:493" ht="45" customHeight="1" x14ac:dyDescent="0.25">
      <c r="A240" s="109"/>
      <c r="B240" s="43"/>
      <c r="C240" s="43" t="s">
        <v>845</v>
      </c>
      <c r="D240" s="124"/>
      <c r="E240" s="43" t="s">
        <v>848</v>
      </c>
      <c r="F240" s="43" t="s">
        <v>1034</v>
      </c>
      <c r="G240" s="43" t="s">
        <v>1612</v>
      </c>
      <c r="H240" s="43" t="s">
        <v>1662</v>
      </c>
      <c r="I240" s="109" t="s">
        <v>851</v>
      </c>
      <c r="J240" s="110">
        <v>1059601726</v>
      </c>
      <c r="K240" s="43" t="s">
        <v>852</v>
      </c>
      <c r="L240" s="175" t="s">
        <v>1509</v>
      </c>
      <c r="M240" s="22">
        <v>34076</v>
      </c>
      <c r="N240" s="213">
        <f t="shared" ca="1" si="841"/>
        <v>30.564383561643837</v>
      </c>
      <c r="O240" s="22">
        <v>45141</v>
      </c>
      <c r="P240" s="214" t="str">
        <f t="shared" si="919"/>
        <v>SI</v>
      </c>
      <c r="Q240" s="26" t="s">
        <v>855</v>
      </c>
      <c r="R240" s="22">
        <v>45141</v>
      </c>
      <c r="S240" s="21" t="s">
        <v>856</v>
      </c>
      <c r="T240" s="24" t="s">
        <v>690</v>
      </c>
      <c r="U240" s="21" t="s">
        <v>857</v>
      </c>
      <c r="V240" s="21" t="s">
        <v>858</v>
      </c>
      <c r="W240" s="21" t="s">
        <v>1139</v>
      </c>
      <c r="X240" s="21" t="s">
        <v>1139</v>
      </c>
      <c r="Y240" s="21"/>
      <c r="Z240" s="21">
        <v>3215913070</v>
      </c>
      <c r="AA240" s="21" t="s">
        <v>860</v>
      </c>
      <c r="AB240" s="27" t="s">
        <v>861</v>
      </c>
      <c r="AC240" s="26" t="s">
        <v>846</v>
      </c>
      <c r="AD240" s="21" t="s">
        <v>1546</v>
      </c>
      <c r="AE240" s="26" t="s">
        <v>854</v>
      </c>
      <c r="AF240" s="26" t="s">
        <v>854</v>
      </c>
      <c r="AG240" s="23" t="s">
        <v>864</v>
      </c>
      <c r="AH240" s="23" t="s">
        <v>864</v>
      </c>
      <c r="AI240" s="24" t="s">
        <v>863</v>
      </c>
      <c r="AJ240" s="23" t="s">
        <v>864</v>
      </c>
      <c r="AK240" s="220" t="str">
        <f>IF(AND(AD240="",AE240="",AF240="",AG240="",AH240="",AI240="",AJ240=""),"",IF(OR(Tabla1[[#This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EVALUACIÓN",IF(AND(O240="",R240=""),"",IF(AND(OR(O240&gt;0,R240&gt;0),NG240&gt;=0,NG240&lt;2),"SIN RIESGO",IF(AND(OR(O240&gt;0,R240&gt;0),NG240&gt;=2),"CON RIESGO","ASD")))))</f>
        <v>SIN RIESGO</v>
      </c>
      <c r="AL240" s="26" t="s">
        <v>864</v>
      </c>
      <c r="AM240" s="26" t="s">
        <v>864</v>
      </c>
      <c r="AN240" s="26" t="s">
        <v>864</v>
      </c>
      <c r="AO240" s="26" t="s">
        <v>864</v>
      </c>
      <c r="AP240" s="26" t="s">
        <v>864</v>
      </c>
      <c r="AQ240" s="26" t="s">
        <v>864</v>
      </c>
      <c r="AR240" s="26" t="s">
        <v>864</v>
      </c>
      <c r="AS240" s="21">
        <v>1</v>
      </c>
      <c r="AT240" s="21">
        <v>1</v>
      </c>
      <c r="AU240" s="21">
        <v>0</v>
      </c>
      <c r="AV240" s="26" t="s">
        <v>864</v>
      </c>
      <c r="AW240" s="21">
        <v>0</v>
      </c>
      <c r="AX240" s="26" t="s">
        <v>864</v>
      </c>
      <c r="AY240" s="26" t="s">
        <v>864</v>
      </c>
      <c r="AZ240" s="26" t="s">
        <v>864</v>
      </c>
      <c r="BA240" s="26" t="s">
        <v>864</v>
      </c>
      <c r="BB240" s="26" t="s">
        <v>864</v>
      </c>
      <c r="BC240" s="26" t="s">
        <v>864</v>
      </c>
      <c r="BD240" s="26" t="s">
        <v>864</v>
      </c>
      <c r="BE240" s="26" t="s">
        <v>864</v>
      </c>
      <c r="BF240" s="26" t="s">
        <v>864</v>
      </c>
      <c r="BG240" s="26" t="s">
        <v>864</v>
      </c>
      <c r="BH240" s="26" t="s">
        <v>864</v>
      </c>
      <c r="BI240" s="26" t="s">
        <v>864</v>
      </c>
      <c r="BJ240" s="26" t="s">
        <v>864</v>
      </c>
      <c r="BK240" s="26" t="s">
        <v>864</v>
      </c>
      <c r="BL240" s="26" t="s">
        <v>864</v>
      </c>
      <c r="BM240" s="26" t="s">
        <v>864</v>
      </c>
      <c r="BN240" s="22"/>
      <c r="BO240" s="22">
        <v>45092</v>
      </c>
      <c r="BP240" s="21" t="s">
        <v>864</v>
      </c>
      <c r="BQ240" s="222">
        <f t="shared" si="842"/>
        <v>0</v>
      </c>
      <c r="BR240" s="223" t="str">
        <f t="shared" si="843"/>
        <v/>
      </c>
      <c r="BS240" s="224">
        <f t="shared" si="844"/>
        <v>7</v>
      </c>
      <c r="BT240" s="216" t="str">
        <f t="shared" si="845"/>
        <v>DEFINIR CON ECO</v>
      </c>
      <c r="BU240" s="214">
        <f t="shared" ca="1" si="928"/>
        <v>20</v>
      </c>
      <c r="BV240" s="25"/>
      <c r="BW240" s="22"/>
      <c r="BX240" s="28"/>
      <c r="BY240" s="28"/>
      <c r="BZ240" s="22"/>
      <c r="CA240" s="21"/>
      <c r="CB240" s="26"/>
      <c r="CC240" s="26"/>
      <c r="CD240" s="26"/>
      <c r="CE240" s="26"/>
      <c r="CF240" s="22" t="s">
        <v>1517</v>
      </c>
      <c r="CG240" s="21">
        <v>1.48</v>
      </c>
      <c r="CH240" s="21">
        <v>55</v>
      </c>
      <c r="CI240" s="214">
        <f t="shared" si="847"/>
        <v>25.10956902848795</v>
      </c>
      <c r="CJ240" s="225" t="str">
        <f>IF(AND(CI240&lt;10,CH240="SD"),"SIN DATO PESO PREGESTACION O I TRIM",IF(AND(OR(R240&gt;0,O240&gt;0),CI240="X"),"INGRESAR DATO DE PESO",IF(CI240="SD","INGRESAR DATO DE TALLA Y PESO",IF(AND(OR(Tabla1[[#This Row],[MOMENTO EN QUE SE REALIZA EL PESO AL INGRESO A CPN]]="PREGESTACIÓN",NZ240="Menor"),CI240&lt;18.5),"BAJO PESO",IF(AND(OR(Tabla1[[#This Row],[MOMENTO EN QUE SE REALIZA EL PESO AL INGRESO A CPN]]="PREGESTACIÓN",NZ240="Menor"),CI240&lt;25),"NORMAL",IF(AND(OR(Tabla1[[#This Row],[MOMENTO EN QUE SE REALIZA EL PESO AL INGRESO A CPN]]="PREGESTACIÓN",NZ240="Menor"),CI240&lt;30),"SOBREPESO",IF(AND(OR(Tabla1[[#This Row],[MOMENTO EN QUE SE REALIZA EL PESO AL INGRESO A CPN]]="PREGESTACIÓN",NZ240="Menor"),CI240&gt;=30,CI240&lt;50),"OBESIDAD",IF(AND(BS240&gt;0,Tabla1[[#This Row],[MOMENTO EN QUE SE REALIZA EL PESO AL INGRESO A CPN]]="GESTACIÓN"),HLOOKUP(NZ240,$OA$2:PH240,NY240),""))))))))</f>
        <v>SOBREPESO</v>
      </c>
      <c r="CK240" s="212">
        <f t="shared" si="848"/>
        <v>45141</v>
      </c>
      <c r="CL240" s="21">
        <v>55</v>
      </c>
      <c r="CM240" s="214">
        <f t="shared" si="849"/>
        <v>25.10956902848795</v>
      </c>
      <c r="CN240" s="216">
        <f t="shared" si="850"/>
        <v>7</v>
      </c>
      <c r="CO240" s="216" t="e">
        <f>IF(PI240="","",IF(PI240&gt;0,HLOOKUP(PI240,$PJ$2:QQ240,NY240),""))</f>
        <v>#REF!</v>
      </c>
      <c r="CP240" s="21"/>
      <c r="CQ240" s="216" t="str">
        <f>IF(QR240="Menor","NO APLICA-MENOR 13 SEM",IF(AND(CC240="SI",CN240&gt;23),"NO APLICA- GEMELAR",IF(QR240="","",IF(QR240&gt;0,HLOOKUP(QR240,$QS$2:RU240,NY240),""))))</f>
        <v>NO APLICA-MENOR 13 SEM</v>
      </c>
      <c r="CR240" s="21">
        <v>90</v>
      </c>
      <c r="CS240" s="21">
        <v>60</v>
      </c>
      <c r="CT240" s="217" t="str">
        <f>IF(R240="","",IF(AND(BS240&gt;1,BS240&lt;12,Tabla1[[#This Row],[T.A. SISTOLICA - ANTES DE SEMANA 12]]="",Tabla1[[#This Row],[T.A. DIASTOLICA - ANTES DE SEMANA 12]]=""),"REGISTRE DATO TA ANTES SEMANA 12",IF(AND(BS240&gt;11,BS240&lt;43,Tabla1[[#This Row],[T.A. SISTOLICA - ANTES DE SEMANA 12]]="",Tabla1[[#This Row],[T.A. DIASTOLICA - ANTES DE SEMANA 12]]=""),"NO APLICA REGISTRO TA-INGRESO TARDIO",IF(AND(OR(O240&gt;0,R240&gt;0),OR(CR240&gt;=140,CS240&gt;=90)),"DEFINIR ESTADIO HTA",IF(AND(OR(O240&gt;0,R240&gt;0),AND(CR240&gt;120,CR240&lt;=139)),"PRE HTA SEGUIMIENTO",IF(AND(OR(O240&gt;0,R240&gt;0),AND(CS240&gt;80,CS240&lt;=89)),"PRE HTA SEGUIMIENTO",IF(AND(OR(O240&gt;0,R240&gt;0),AND(CR240&gt;=80,CR240&lt;=120)),"APARENTEMENTE NORMAL",IF(AND(OR(O240&gt;0,R240&gt;0),AND(CS240&gt;=50,CS240&lt;=80)),"APARENTEMENTE NORMAL",IF(AND(OR(O240&gt;0,R240&gt;0),AND(CR240&gt;1,CR240&lt;=70),AND(CS240&gt;1,CS240&lt;=40)),"HIPOTENSIÓN","")))))))))</f>
        <v>APARENTEMENTE NORMAL</v>
      </c>
      <c r="CU240" s="21"/>
      <c r="CV240" s="21"/>
      <c r="CW240" s="217" t="str">
        <f ca="1">IF(R240="","",IF(AND(CN240&gt;19,CN240&lt;27,Tabla1[[#This Row],[T.A. SISTOLICA (Entre semana 20 y 26)]]="",Tabla1[[#This Row],[T.A. DIATOLICA (Entre semana 20 y 26)]]=""),"ACUDE A CONTROL SEM 20 A 26 REGISTRE TA AHORA",IF(AND(BS240&gt;1,BS240&lt;27,BU240&gt;19,Tabla1[[#This Row],[T.A. SISTOLICA (Entre semana 20 y 26)]]="",Tabla1[[#This Row],[T.A. DIATOLICA (Entre semana 20 y 26)]]=""),"COMPLETE REGISTRO TA CONTROL SEM 20 A26 ",IF(AND(BS240&gt;26,BS240&lt;43,Tabla1[[#This Row],[T.A. SISTOLICA (Entre semana 20 y 26)]]="",Tabla1[[#This Row],[T.A. DIATOLICA (Entre semana 20 y 26)]]=""),"NO APLICA REGISTRO TA-INGRESO TARDIO",IF(AND(OR(O240&gt;0,R240&gt;0),OR(CU240&gt;=140,CV240&gt;=90)),"ALTO RIESGO PREECLAMPSIA,DEFINIR ESTADIO HTA",IF(AND(OR(O240&gt;0,R240&gt;0),AND(CU240&gt;120,CU240&lt;=139)),"PRE HTA SEGUIMIENTO,RIESGO HIPERTENSION INDUCIDA POR EL EMBARAZO",IF(AND(OR(O240&gt;0,R240&gt;0),AND(CV240&gt;80,CV240&lt;=89)),"PRE HTA SEGUIMIENTO, RIESGO HIPERTENSION INDUCIDA POR EL EMBARAZO",IF(AND(OR(O240&lt;&gt;"",R240&lt;&gt;""),CS240&lt;&gt;"",CV240&lt;&gt;"",CS240&lt;=CV240),"VIGILAR CIFRAS PRESION ARTERIAL",IF(AND(OR(O240&gt;0,R240&gt;0),AND(CU240&gt;120,CU240&lt;=139)),"PRE HTA SEGUIMIENTO",IF(AND(OR(O240&gt;0,R240&gt;0),AND(CU240&gt;1,CU240&lt;=70),AND(CV240&gt;1,CV240&lt;=40)),"HIPOTENSIÓN",IF(AND(OR(O240&lt;&gt;"",R240&lt;&gt;""),CS240&lt;&gt;"",CV240&lt;&gt;"",CS240&gt;CV240),"APARENTEMENTE NORMAL",IF(AND(OR(O240&gt;0,R240&gt;0),AND(CU240&gt;=80,CU240&lt;=120)),"APARENTEMENTE NORMAL",IF(AND(OR(O240&gt;0,R240&gt;0),AND(CV240&gt;=50,CV240&lt;=80)),"APARENTEMENTE NORMAL","")))))))))))))</f>
        <v xml:space="preserve">COMPLETE REGISTRO TA CONTROL SEM 20 A26 </v>
      </c>
      <c r="CX240" s="21"/>
      <c r="CY240" s="21"/>
      <c r="CZ240" s="216" t="str">
        <f t="shared" si="1045"/>
        <v/>
      </c>
      <c r="DA240" s="21">
        <v>90</v>
      </c>
      <c r="DB240" s="21">
        <v>60</v>
      </c>
      <c r="DC240" s="217" t="str">
        <f t="shared" si="851"/>
        <v>APARENTEMENTE NORMAL</v>
      </c>
      <c r="DD240" s="22">
        <v>45141</v>
      </c>
      <c r="DE240" s="22">
        <v>45141</v>
      </c>
      <c r="DF240" s="22"/>
      <c r="DG240" s="22"/>
      <c r="DH240" s="22"/>
      <c r="DI240" s="22"/>
      <c r="DJ240" s="22"/>
      <c r="DK240" s="22"/>
      <c r="DL240" s="22"/>
      <c r="DM240" s="22"/>
      <c r="DN240" s="22"/>
      <c r="DO240" s="22"/>
      <c r="DP240" s="22"/>
      <c r="DQ240" s="22"/>
      <c r="DR240" s="28"/>
      <c r="DS240" s="22"/>
      <c r="DT240" s="22"/>
      <c r="DU240" s="216" t="str">
        <f t="shared" ca="1" si="920"/>
        <v>EN ESPERA</v>
      </c>
      <c r="DV240" s="226" t="str">
        <f t="shared" si="921"/>
        <v>ACTIVA INGRESO A CPN</v>
      </c>
      <c r="DW240"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40" s="216" t="e">
        <f t="shared" ca="1" si="852"/>
        <v>#REF!</v>
      </c>
      <c r="DY240" s="212">
        <f>IF(R240="","",IF(R240&gt;0,MAX(Tabla1[[#This Row],[FECHA C2]:[FECHA C13]],Tabla1[[#This Row],[FECHA CONSULTA PRIMERA VEZ PROGRAMA CPN ]])))</f>
        <v>45141</v>
      </c>
      <c r="DZ240" s="216">
        <f t="shared" si="853"/>
        <v>7</v>
      </c>
      <c r="EA240" s="222">
        <f>IF(R240&gt;0,SUM(COUNTA(DF240:DQ240)+COUNTA(Tabla1[[#This Row],[FECHA CONSULTA PRIMERA VEZ PROGRAMA CPN ]])),"")</f>
        <v>1</v>
      </c>
      <c r="EB240" s="222" t="str">
        <f t="shared" si="854"/>
        <v>NO</v>
      </c>
      <c r="EC240" s="214">
        <f t="shared" si="855"/>
        <v>10</v>
      </c>
      <c r="ED240" s="227">
        <f t="shared" si="856"/>
        <v>0.1</v>
      </c>
      <c r="EE240" s="22">
        <v>45141</v>
      </c>
      <c r="EF240" s="22">
        <v>45141</v>
      </c>
      <c r="EG240" s="22">
        <v>45141</v>
      </c>
      <c r="EH240" s="22"/>
      <c r="EI240" s="22">
        <v>45141</v>
      </c>
      <c r="EJ240" s="22"/>
      <c r="EK240" s="22"/>
      <c r="EL240" s="21"/>
      <c r="EM240" s="21"/>
      <c r="EN240" s="22"/>
      <c r="EO240" s="222" t="str">
        <f t="shared" si="857"/>
        <v>TOMAR EXAMEN</v>
      </c>
      <c r="EP240" s="214" t="str">
        <f t="shared" si="858"/>
        <v/>
      </c>
      <c r="EQ240" s="216" t="str">
        <f t="shared" si="859"/>
        <v>POR DEFINIR</v>
      </c>
      <c r="ER240" s="24"/>
      <c r="ES240" s="22"/>
      <c r="ET240" s="29" t="str">
        <f t="shared" ca="1" si="922"/>
        <v>EN ESPERA PARA TOMA EXAMEN</v>
      </c>
      <c r="EU240" s="25" t="str">
        <f t="shared" si="860"/>
        <v/>
      </c>
      <c r="EV240" s="24"/>
      <c r="EW240" s="24"/>
      <c r="EX240" s="22"/>
      <c r="EY240" s="29" t="str">
        <f t="shared" si="1043"/>
        <v>TOMAR EXAMEN</v>
      </c>
      <c r="EZ240" s="25" t="str">
        <f t="shared" ca="1" si="1044"/>
        <v/>
      </c>
      <c r="FA240" s="21"/>
      <c r="FB240" s="22"/>
      <c r="FC240" s="29" t="str">
        <f t="shared" si="861"/>
        <v>TOMAR EXAMEN</v>
      </c>
      <c r="FD240" s="29"/>
      <c r="FE240" s="29"/>
      <c r="FF240" s="29"/>
      <c r="FG240" s="21" t="str">
        <f t="shared" ca="1" si="862"/>
        <v>PROGRAMAR TOMA PTOG SIGUIENTE CONTROL</v>
      </c>
      <c r="FH240" s="31"/>
      <c r="FI240" s="29" t="str">
        <f t="shared" si="863"/>
        <v>TOMAR EXAMEN</v>
      </c>
      <c r="FJ240" s="22"/>
      <c r="FK240" s="22"/>
      <c r="FL240" s="29" t="str">
        <f t="shared" ca="1" si="864"/>
        <v>PIERDE TOMA DE TAMIZAJE</v>
      </c>
      <c r="FM240" s="22"/>
      <c r="FN240" s="32"/>
      <c r="FO240" s="29" t="str">
        <f t="shared" ca="1" si="923"/>
        <v>EN RANGO PARA TOMAR EXAMEN</v>
      </c>
      <c r="FP240" s="22"/>
      <c r="FQ240" s="32"/>
      <c r="FR240" s="29" t="str">
        <f t="shared" ca="1" si="924"/>
        <v>EN ESPERA-ESTÁ I TRIM O II TRIM</v>
      </c>
      <c r="FS240" s="22"/>
      <c r="FT240" s="32"/>
      <c r="FU240" s="29" t="str">
        <f>IF(AND(FJ240="",FM240="",FP240="",FS240=""),"",IF(OR(OR(Tabla1[[#This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40" s="28"/>
      <c r="FW240" s="22"/>
      <c r="FX240" s="29" t="str">
        <f t="shared" si="865"/>
        <v>TOMAR EXAMEN</v>
      </c>
      <c r="FY240" s="22"/>
      <c r="FZ240" s="22"/>
      <c r="GA240" s="29" t="str">
        <f t="shared" ca="1" si="939"/>
        <v>PIERDE TOMA DE TAMIZAJE</v>
      </c>
      <c r="GB240" s="22"/>
      <c r="GC240" s="22"/>
      <c r="GD240" s="29" t="str">
        <f t="shared" ca="1" si="1048"/>
        <v>EN RANGO PARA TOMAR EXAMEN</v>
      </c>
      <c r="GE240" s="22"/>
      <c r="GF240" s="22"/>
      <c r="GG240" s="29" t="str">
        <f t="shared" ca="1" si="926"/>
        <v>EN ESPERA-ESTÁ I TRIM O II TRIM</v>
      </c>
      <c r="GH240" s="22"/>
      <c r="GI240" s="29"/>
      <c r="GJ240" s="22"/>
      <c r="GK240" s="22"/>
      <c r="GL240" s="22"/>
      <c r="GM240" s="22"/>
      <c r="GN240" s="28"/>
      <c r="GO240" s="22"/>
      <c r="GP240" s="29" t="str">
        <f t="shared" si="866"/>
        <v>TOMAR EXAMEN</v>
      </c>
      <c r="GQ240" s="28"/>
      <c r="GR240" s="28"/>
      <c r="GS240" s="22" t="str">
        <f t="shared" si="1047"/>
        <v/>
      </c>
      <c r="GT240" s="22"/>
      <c r="GU240" s="29" t="str">
        <f t="shared" si="867"/>
        <v>TOMAR EXAMEN</v>
      </c>
      <c r="GV240" s="21" t="str">
        <f t="shared" si="868"/>
        <v>POR DEFINIR</v>
      </c>
      <c r="GW240" s="28"/>
      <c r="GX240" s="30"/>
      <c r="GY240" s="21"/>
      <c r="GZ240" s="21"/>
      <c r="HA240" s="21"/>
      <c r="HB240" s="21"/>
      <c r="HC240" s="21"/>
      <c r="HD240" s="21"/>
      <c r="HE240" s="21"/>
      <c r="HF240" s="22"/>
      <c r="HG240" s="22" t="str">
        <f>IF(OR(O240&gt;0,R240&gt;0),CONCATENATE(IF(Tabla1[[#This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40" s="22" t="e">
        <f t="shared" si="869"/>
        <v>#REF!</v>
      </c>
      <c r="HI240" s="22" t="e">
        <f t="shared" ca="1" si="870"/>
        <v>#REF!</v>
      </c>
      <c r="HJ240" s="21" t="str">
        <f t="shared" ca="1" si="871"/>
        <v>***************************************</v>
      </c>
      <c r="HK240" s="21" t="str">
        <f t="shared" si="872"/>
        <v>SIN ANTECEDENTES DE RIESGO</v>
      </c>
      <c r="HL240" s="24" t="str">
        <f t="shared" si="873"/>
        <v>APARENTEMENTE NORMAL</v>
      </c>
      <c r="HM240" s="21" t="e">
        <f t="shared" ca="1" si="874"/>
        <v>#REF!</v>
      </c>
      <c r="HN240" s="30" t="str">
        <f t="shared" si="927"/>
        <v>ACTIVA INGRESO A CPN</v>
      </c>
      <c r="HO240" s="21"/>
      <c r="HP240" s="21"/>
      <c r="HQ240" s="349"/>
      <c r="HR240" s="21" t="str">
        <f>IF(R240="","",IF(Tabla1[[#This Row],[ALARMA FACTORES DE RIESGO COMPLICACIONES HIPERTENSIVAS3]]="SIN ANTECEDENTES DE RIESGO","No Aplica para suministro de ASA",IF(AND(Tabla1[[#This Row],[FECHA INICIO DE SUMINISTRO DE ASA]]&gt;0,RV240&lt;12),"Inicia ASA ANTES de Sem 12",IF(AND(RV240&gt;11,RV240&lt;17,OR(HK240="RIESGO ALTO DE COMPLICACIONES HIPERTENSIVAS VER MANEJO GUIA SUMINISTRO ASA Y CALCIO",HK240="RIESGO MODERADO (2 O MAS CRITERIOS) VER MANEJO GUIA SUMINISTRO ASA Y CALCIO")),"Inicio oportuno de ASA",IF(AND(RV240&gt;12,OR(HK240="RIESGO ALTO DE COMPLICACIONES HIPERTENSIVAS VER MANEJO GUIA SUMINISTRO ASA Y CALCIO",HK240="RIESGO MODERADO (2 O MAS CRITERIOS) VER MANEJO GUIA SUMINISTRO ASA Y CALCIO")),"Inicio no oportuno mayor a 16 semanas",IF(AND(BU240&lt;12,OR(HK240="RIESGO ALTO DE COMPLICACIONES HIPERTENSIVAS VER MANEJO GUIA SUMINISTRO ASA Y CALCIO",HK240="RIESGO MODERADO (2 O MAS CRITERIOS) VER MANEJO GUIA SUMINISTRO ASA Y CALCIO")),"Pendiente Inicio de ASA a la semana 12",IF(AND(BU240&gt;11,BU240&lt;17,OR(HK240="RIESGO ALTO DE COMPLICACIONES HIPERTENSIVAS VER MANEJO GUIA SUMINISTRO ASA Y CALCIO",HK240="RIESGO MODERADO (2 O MAS CRITERIOS) VER MANEJO GUIA SUMINISTRO ASA Y CALCIO")),"Iniciar de inmediato ASA",IF(AND(BU240&gt;16,OR(HK240="RIESGO ALTO DE COMPLICACIONES HIPERTENSIVAS VER MANEJO GUIA SUMINISTRO ASA Y CALCIO",HK240="RIESGO MODERADO (2 O MAS CRITERIOS) VER MANEJO GUIA SUMINISTRO ASA Y CALCIO")),"Pierde Oportunidad, Inicio tardío de ASA","XXXXX"))))))))</f>
        <v>No Aplica para suministro de ASA</v>
      </c>
      <c r="HS240" s="22">
        <v>45141</v>
      </c>
      <c r="HT240" s="22" t="s">
        <v>1518</v>
      </c>
      <c r="HU240" s="22">
        <v>45141</v>
      </c>
      <c r="HV240" s="22" t="s">
        <v>1506</v>
      </c>
      <c r="HW240" s="22"/>
      <c r="HX240" s="22"/>
      <c r="HY240" s="22">
        <v>45141</v>
      </c>
      <c r="HZ240" s="28">
        <f t="shared" si="875"/>
        <v>7</v>
      </c>
      <c r="IA240" s="26"/>
      <c r="IB240" s="26"/>
      <c r="IC240" s="111"/>
      <c r="ID240" s="22"/>
      <c r="IE240" s="22" t="str">
        <f t="shared" ca="1" si="876"/>
        <v>PROGRAMAR APLICACION DE VACUNA</v>
      </c>
      <c r="IF240" s="22"/>
      <c r="IG240" s="22">
        <f t="shared" si="877"/>
        <v>45372</v>
      </c>
      <c r="IH240" s="29">
        <f t="shared" ca="1" si="878"/>
        <v>140</v>
      </c>
      <c r="II240" s="22" t="str">
        <f t="shared" ca="1" si="879"/>
        <v>PENDIENTE</v>
      </c>
      <c r="IJ240" s="22"/>
      <c r="IK240" s="21"/>
      <c r="IL240" s="21"/>
      <c r="IM240" s="34"/>
      <c r="IN240" s="22"/>
      <c r="IO240" s="21"/>
      <c r="IP240" s="29" t="str">
        <f t="shared" si="880"/>
        <v/>
      </c>
      <c r="IQ240" s="35"/>
      <c r="IR240" s="21"/>
      <c r="IS240" s="21"/>
      <c r="IT240" s="21"/>
      <c r="IU240" s="21"/>
      <c r="IV240" s="21"/>
      <c r="IW240" s="21"/>
      <c r="IX240" s="21"/>
      <c r="IY240" s="21"/>
      <c r="IZ240" s="21"/>
      <c r="JA240" s="21"/>
      <c r="JB240" s="30"/>
      <c r="JC240" s="21"/>
      <c r="JD240" s="36"/>
      <c r="JE240" s="21" t="str">
        <f t="shared" si="881"/>
        <v/>
      </c>
      <c r="JF240" s="30"/>
      <c r="JG240" s="21"/>
      <c r="JH240" s="21"/>
      <c r="JI240" s="21"/>
      <c r="JJ240" s="30"/>
      <c r="JK240" s="22"/>
      <c r="JL240" s="22"/>
      <c r="JM240" s="21"/>
      <c r="JN240" s="36"/>
      <c r="JO240" s="21" t="str">
        <f t="shared" si="882"/>
        <v/>
      </c>
      <c r="JP240" s="22"/>
      <c r="JQ240" s="21"/>
      <c r="JR240" s="21"/>
      <c r="JS240" s="21"/>
      <c r="JT240" s="30"/>
      <c r="JU240" s="22"/>
      <c r="JV240" s="22"/>
      <c r="JW240" s="33"/>
      <c r="JX240" s="28" t="str">
        <f t="shared" si="883"/>
        <v/>
      </c>
      <c r="JY240" s="33"/>
      <c r="JZ240" s="28" t="str">
        <f t="shared" si="884"/>
        <v/>
      </c>
      <c r="KA240" s="21"/>
      <c r="KB240" s="21"/>
      <c r="KC240" s="21"/>
      <c r="KD240" s="37"/>
      <c r="KE240" s="28"/>
      <c r="KF240" s="28"/>
      <c r="KG240" s="28"/>
      <c r="KH240" s="39"/>
      <c r="KI240" s="39"/>
      <c r="KJ240" s="66"/>
      <c r="KK240" s="39"/>
      <c r="KL240" s="39"/>
      <c r="KM240" s="66"/>
      <c r="KN240" s="39"/>
      <c r="KO240" s="39"/>
      <c r="KP240" s="39"/>
      <c r="KQ240" s="39"/>
      <c r="KR240" s="39"/>
      <c r="KS240" s="39"/>
      <c r="KT240" s="39"/>
      <c r="KU240" s="38"/>
      <c r="KV240" s="38"/>
      <c r="KW240" s="38"/>
      <c r="KX240" s="38"/>
      <c r="KY240" s="38"/>
      <c r="KZ240" s="38"/>
      <c r="LA240" s="38"/>
      <c r="LB240" s="38"/>
      <c r="LC240" s="38"/>
      <c r="LD240" s="38"/>
      <c r="LE240" s="38"/>
      <c r="LF240" s="38"/>
      <c r="LG240" s="38"/>
      <c r="LH240" s="38"/>
      <c r="LI240" s="38"/>
      <c r="LJ240" s="38"/>
      <c r="LK240" s="38"/>
      <c r="LL240" s="38"/>
      <c r="LM240" s="38"/>
      <c r="LN240" s="38"/>
      <c r="LO240" s="38"/>
      <c r="LP240" s="38"/>
      <c r="LQ240" s="38"/>
      <c r="LR240" s="38"/>
      <c r="LS240" s="38"/>
      <c r="LT240" s="38"/>
      <c r="LU240" s="38"/>
      <c r="LV240" s="38"/>
      <c r="LW240" s="38"/>
      <c r="LX240" s="38"/>
      <c r="LY240" s="38"/>
      <c r="LZ240" s="38"/>
      <c r="MA240" s="38"/>
      <c r="MB240" s="38"/>
      <c r="MC240" s="38"/>
      <c r="MD240" s="38"/>
      <c r="ME240" s="38"/>
      <c r="MF240" s="38"/>
      <c r="MG240" s="38"/>
      <c r="MH240" s="43">
        <f t="shared" si="885"/>
        <v>0</v>
      </c>
      <c r="MI240" s="43" t="str">
        <f t="shared" si="929"/>
        <v/>
      </c>
      <c r="MJ240" s="43" t="str">
        <f t="shared" si="887"/>
        <v/>
      </c>
      <c r="MK240" s="43">
        <f t="shared" si="888"/>
        <v>0</v>
      </c>
      <c r="ML24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40" s="43">
        <f t="shared" si="930"/>
        <v>7</v>
      </c>
      <c r="MN240" s="43">
        <f t="shared" si="931"/>
        <v>8</v>
      </c>
      <c r="MO240" s="43">
        <f t="shared" si="932"/>
        <v>2023</v>
      </c>
      <c r="MP240" s="43" t="str">
        <f t="shared" si="892"/>
        <v>III TRIMESTRE AÑO</v>
      </c>
      <c r="MQ240" s="43">
        <f t="shared" si="933"/>
        <v>29.856548401226458</v>
      </c>
      <c r="MR240" s="43">
        <f t="shared" si="894"/>
        <v>0</v>
      </c>
      <c r="MS240" s="43" t="str">
        <f t="shared" si="895"/>
        <v xml:space="preserve"> DE 25 A 29 AÑOS</v>
      </c>
      <c r="MT240" s="43">
        <f t="shared" si="896"/>
        <v>0</v>
      </c>
      <c r="MU240" s="43">
        <f t="shared" si="897"/>
        <v>0</v>
      </c>
      <c r="MV240" s="43">
        <f t="shared" si="898"/>
        <v>0</v>
      </c>
      <c r="MW240" s="43">
        <f t="shared" si="899"/>
        <v>0</v>
      </c>
      <c r="MX240" s="43" t="str">
        <f t="shared" si="900"/>
        <v/>
      </c>
      <c r="MY240" s="43" t="str">
        <f t="shared" ca="1" si="901"/>
        <v/>
      </c>
      <c r="MZ240" s="43" t="str">
        <f t="shared" si="902"/>
        <v/>
      </c>
      <c r="NA240" s="43" t="str">
        <f t="shared" si="903"/>
        <v/>
      </c>
      <c r="NB240" s="43" t="str">
        <f t="shared" si="904"/>
        <v/>
      </c>
      <c r="NC240" s="43" t="str">
        <f t="shared" si="905"/>
        <v/>
      </c>
      <c r="ND240" s="43">
        <f t="shared" ca="1" si="934"/>
        <v>0</v>
      </c>
      <c r="NE240" s="43">
        <f>IF(OR(O240&gt;0,R240&gt;0),SUM(COUNTIF(Tabla1[[#This Row],[AÑOS AL INICIO5 CPN]],"&gt;=40"),COUNTIF(AS240,"0"),COUNTIF(AR240,"SI"),COUNTIF(CC240,"SI"),COUNTIF(BQ240,"&gt;119"),COUNTIF(CI240,"&gt;=35")),"")</f>
        <v>0</v>
      </c>
      <c r="NF240" s="43" t="str">
        <f t="shared" si="935"/>
        <v/>
      </c>
      <c r="NG240" s="43">
        <f t="shared" si="908"/>
        <v>0</v>
      </c>
      <c r="NH240" s="43" t="str">
        <f t="shared" si="909"/>
        <v/>
      </c>
      <c r="NI240"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CPN",P240="NO"),"Z",IF(AND(Tabla1[[#This Row],[CITA PROXIMO CONTROL]]="CITA MANUAL",Tabla1[[#This Row],[GESTANTES ACTUALES]]="ACTIVA INGRESO A CPN"),"W",IF(AND(Tabla1[[#This Row],[GESTANTES ACTUALES]]="SALIO PROGRAMA",IN240=""),"S",IF(AND(Tabla1[[#This Row],[CITA PROXIMO CONTROL]]&gt;0,IN240=""),(Tabla1[[#This Row],[CITA PROXIMO CONTROL]]-TODAY()),"SD"))))))))</f>
        <v>#REF!</v>
      </c>
      <c r="NJ240" s="43">
        <f>MONTH(Tabla1[[#This Row],[FECHA DE SALIDA  DEL PROGRAMA]])</f>
        <v>1</v>
      </c>
      <c r="NK240" s="43">
        <f>YEAR(Tabla1[[#This Row],[FECHA DE SALIDA  DEL PROGRAMA]])</f>
        <v>1900</v>
      </c>
      <c r="NL240" s="43" t="str">
        <f t="shared" si="936"/>
        <v>X</v>
      </c>
      <c r="NM240" s="43" t="str">
        <f t="shared" si="941"/>
        <v>NO</v>
      </c>
      <c r="NN240" s="43" t="str">
        <f ca="1">IF(AND(O240&gt;0,R240=""),"NO CPN",IF(AND(O240="",R240=""),"",IF(AND(R240&gt;0,Tabla1[[#This Row],[SEMANAS DE GESTACION ACTUALIZADAS]]&lt;=12),"NO APLICA",IF(AND(FH240&lt;&gt;"",FN240&lt;&gt;""),"SI","NO"))))</f>
        <v>NO</v>
      </c>
      <c r="NO240" s="43" t="str">
        <f ca="1">IF(AND(O240&gt;0,R240=""),"NO CPN",IF(AND(O240="",R240=""),"",IF(AND(R240&gt;0,Tabla1[[#This Row],[SEMANAS DE GESTACION ACTUALIZADAS]]&lt;=27),"NO APLICA",IF(AND(ES240&lt;&gt;"",FQ240&lt;&gt;"",GF240&lt;&gt;""),"SI","NO"))))</f>
        <v>NO APLICA</v>
      </c>
      <c r="NP240" s="204" t="str">
        <f t="shared" si="912"/>
        <v>DEFINIR CON ECO</v>
      </c>
      <c r="NQ240" s="21" t="str">
        <f t="shared" si="1046"/>
        <v/>
      </c>
      <c r="NR240" s="21">
        <f t="shared" ca="1" si="937"/>
        <v>2</v>
      </c>
      <c r="NS240" s="205">
        <f t="shared" ca="1" si="914"/>
        <v>0</v>
      </c>
      <c r="NT240" s="21">
        <f t="shared" ca="1" si="915"/>
        <v>0</v>
      </c>
      <c r="NU240" s="21" t="str">
        <f t="shared" ca="1" si="916"/>
        <v>INCOMPLETO</v>
      </c>
      <c r="NV240" s="21" t="str">
        <f t="shared" ca="1" si="917"/>
        <v>INCOMPLETO</v>
      </c>
      <c r="NW240" s="206" t="str">
        <f>IF(AND(O240="",R240=""),"",IF(OR(AND(Tabla1[[#This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40" s="207" t="str">
        <f t="shared" ca="1" si="938"/>
        <v>SIN VACUNAR</v>
      </c>
      <c r="NY240" s="43">
        <f>ROW(Tabla1[[#This Row],['# DE TAMIZAJES SIFILIS TOMADOS ]])</f>
        <v>240</v>
      </c>
      <c r="NZ240" s="43" t="str">
        <f t="shared" si="942"/>
        <v>Menor</v>
      </c>
      <c r="OA240" s="43" t="str">
        <f t="shared" si="943"/>
        <v>SOBREPESO</v>
      </c>
      <c r="OB240" s="43" t="str">
        <f t="shared" si="944"/>
        <v/>
      </c>
      <c r="OC240" s="43" t="str">
        <f t="shared" si="945"/>
        <v/>
      </c>
      <c r="OD240" s="43" t="str">
        <f t="shared" si="946"/>
        <v/>
      </c>
      <c r="OE240" s="43" t="str">
        <f t="shared" si="947"/>
        <v/>
      </c>
      <c r="OF240" s="43" t="str">
        <f t="shared" si="948"/>
        <v/>
      </c>
      <c r="OG240" s="43" t="str">
        <f t="shared" si="949"/>
        <v/>
      </c>
      <c r="OH240" s="43" t="str">
        <f t="shared" si="950"/>
        <v/>
      </c>
      <c r="OI240" s="43" t="str">
        <f t="shared" si="951"/>
        <v/>
      </c>
      <c r="OJ240" s="43" t="str">
        <f t="shared" si="952"/>
        <v/>
      </c>
      <c r="OK240" s="43" t="str">
        <f t="shared" si="953"/>
        <v/>
      </c>
      <c r="OL240" s="43" t="str">
        <f t="shared" si="954"/>
        <v/>
      </c>
      <c r="OM240" s="43" t="str">
        <f t="shared" si="955"/>
        <v/>
      </c>
      <c r="ON240" s="43" t="str">
        <f t="shared" si="956"/>
        <v/>
      </c>
      <c r="OO240" s="43" t="str">
        <f t="shared" si="957"/>
        <v/>
      </c>
      <c r="OP240" s="43" t="str">
        <f t="shared" si="958"/>
        <v/>
      </c>
      <c r="OQ240" s="43" t="str">
        <f t="shared" si="959"/>
        <v/>
      </c>
      <c r="OR240" s="43" t="str">
        <f t="shared" si="960"/>
        <v/>
      </c>
      <c r="OS240" s="43" t="str">
        <f t="shared" si="961"/>
        <v/>
      </c>
      <c r="OT240" s="43" t="str">
        <f t="shared" si="962"/>
        <v/>
      </c>
      <c r="OU240" s="43" t="str">
        <f t="shared" si="963"/>
        <v/>
      </c>
      <c r="OV240" s="110" t="str">
        <f t="shared" si="964"/>
        <v/>
      </c>
      <c r="OW240" s="43" t="str">
        <f t="shared" si="965"/>
        <v/>
      </c>
      <c r="OX240" s="43" t="str">
        <f t="shared" si="966"/>
        <v/>
      </c>
      <c r="OY240" s="43" t="str">
        <f t="shared" si="967"/>
        <v/>
      </c>
      <c r="OZ240" s="43" t="str">
        <f t="shared" si="968"/>
        <v/>
      </c>
      <c r="PA240" s="43" t="str">
        <f t="shared" si="969"/>
        <v/>
      </c>
      <c r="PB240" s="43" t="str">
        <f t="shared" si="970"/>
        <v/>
      </c>
      <c r="PC240" s="43" t="str">
        <f t="shared" si="971"/>
        <v/>
      </c>
      <c r="PD240" s="43" t="str">
        <f t="shared" si="972"/>
        <v/>
      </c>
      <c r="PE240" s="43" t="str">
        <f t="shared" si="973"/>
        <v/>
      </c>
      <c r="PF240" s="43" t="str">
        <f t="shared" si="974"/>
        <v/>
      </c>
      <c r="PG240" s="43" t="str">
        <f t="shared" si="975"/>
        <v/>
      </c>
      <c r="PH240" s="43" t="str">
        <f t="shared" si="976"/>
        <v/>
      </c>
      <c r="PI240" s="43" t="str">
        <f t="shared" si="977"/>
        <v>Menor</v>
      </c>
      <c r="PJ240" s="43" t="str">
        <f t="shared" si="978"/>
        <v>SOBREPESO</v>
      </c>
      <c r="PK240" s="43" t="str">
        <f t="shared" si="979"/>
        <v/>
      </c>
      <c r="PL240" s="43" t="str">
        <f t="shared" si="980"/>
        <v/>
      </c>
      <c r="PM240" s="43" t="str">
        <f t="shared" si="981"/>
        <v/>
      </c>
      <c r="PN240" s="43" t="str">
        <f t="shared" si="982"/>
        <v/>
      </c>
      <c r="PO240" s="43" t="str">
        <f t="shared" si="983"/>
        <v/>
      </c>
      <c r="PP240" s="43" t="str">
        <f t="shared" si="984"/>
        <v/>
      </c>
      <c r="PQ240" s="43" t="str">
        <f t="shared" si="985"/>
        <v/>
      </c>
      <c r="PR240" s="43" t="str">
        <f t="shared" si="986"/>
        <v/>
      </c>
      <c r="PS240" s="43" t="str">
        <f t="shared" si="987"/>
        <v/>
      </c>
      <c r="PT240" s="43" t="str">
        <f t="shared" si="988"/>
        <v/>
      </c>
      <c r="PU240" s="43" t="str">
        <f t="shared" si="989"/>
        <v/>
      </c>
      <c r="PV240" s="43" t="str">
        <f t="shared" si="990"/>
        <v/>
      </c>
      <c r="PW240" s="43" t="str">
        <f t="shared" si="991"/>
        <v/>
      </c>
      <c r="PX240" s="43" t="str">
        <f t="shared" si="992"/>
        <v/>
      </c>
      <c r="PY240" s="43" t="str">
        <f t="shared" si="993"/>
        <v/>
      </c>
      <c r="PZ240" s="43" t="str">
        <f t="shared" si="994"/>
        <v/>
      </c>
      <c r="QA240" s="43" t="str">
        <f t="shared" si="995"/>
        <v/>
      </c>
      <c r="QB240" s="43" t="str">
        <f t="shared" si="996"/>
        <v/>
      </c>
      <c r="QC240" s="43" t="str">
        <f t="shared" si="997"/>
        <v/>
      </c>
      <c r="QD240" s="43" t="str">
        <f t="shared" si="998"/>
        <v/>
      </c>
      <c r="QE240" s="43" t="str">
        <f t="shared" si="999"/>
        <v/>
      </c>
      <c r="QF240" s="43" t="str">
        <f t="shared" si="1000"/>
        <v/>
      </c>
      <c r="QG240" s="43" t="str">
        <f t="shared" si="1001"/>
        <v/>
      </c>
      <c r="QH240" s="43" t="str">
        <f t="shared" si="1002"/>
        <v/>
      </c>
      <c r="QI240" s="43" t="str">
        <f t="shared" si="1003"/>
        <v/>
      </c>
      <c r="QJ240" s="43" t="str">
        <f t="shared" si="1004"/>
        <v/>
      </c>
      <c r="QK240" s="43" t="str">
        <f t="shared" si="1005"/>
        <v/>
      </c>
      <c r="QL240" s="43" t="str">
        <f t="shared" si="1006"/>
        <v/>
      </c>
      <c r="QM240" s="43" t="str">
        <f t="shared" si="1007"/>
        <v/>
      </c>
      <c r="QN240" s="43" t="str">
        <f t="shared" si="1008"/>
        <v/>
      </c>
      <c r="QO240" s="43" t="str">
        <f t="shared" si="1009"/>
        <v/>
      </c>
      <c r="QP240" s="43" t="str">
        <f t="shared" si="1010"/>
        <v/>
      </c>
      <c r="QQ240" s="43" t="str">
        <f t="shared" si="1011"/>
        <v/>
      </c>
      <c r="QR240" s="43" t="str">
        <f t="shared" si="1012"/>
        <v>Menor</v>
      </c>
      <c r="QS240" s="43"/>
      <c r="QT240" s="21" t="str">
        <f t="shared" si="1013"/>
        <v/>
      </c>
      <c r="QU240" s="21" t="str">
        <f t="shared" si="1014"/>
        <v/>
      </c>
      <c r="QV240" s="21" t="str">
        <f t="shared" si="1015"/>
        <v/>
      </c>
      <c r="QW240" s="21" t="str">
        <f t="shared" si="1016"/>
        <v/>
      </c>
      <c r="QX240" s="21" t="str">
        <f t="shared" si="1017"/>
        <v/>
      </c>
      <c r="QY240" s="21" t="str">
        <f t="shared" si="1018"/>
        <v/>
      </c>
      <c r="QZ240" s="21" t="str">
        <f t="shared" si="1019"/>
        <v/>
      </c>
      <c r="RA240" s="21" t="str">
        <f t="shared" si="1020"/>
        <v/>
      </c>
      <c r="RB240" s="21" t="str">
        <f t="shared" si="1021"/>
        <v/>
      </c>
      <c r="RC240" s="21" t="str">
        <f t="shared" si="1022"/>
        <v/>
      </c>
      <c r="RD240" s="21" t="str">
        <f t="shared" si="1023"/>
        <v/>
      </c>
      <c r="RE240" s="21" t="str">
        <f t="shared" si="1024"/>
        <v/>
      </c>
      <c r="RF240" s="21" t="str">
        <f t="shared" si="1025"/>
        <v/>
      </c>
      <c r="RG240" s="21" t="str">
        <f t="shared" si="1026"/>
        <v/>
      </c>
      <c r="RH240" s="21" t="str">
        <f t="shared" si="1027"/>
        <v/>
      </c>
      <c r="RI240" s="21" t="str">
        <f t="shared" si="1028"/>
        <v/>
      </c>
      <c r="RJ240" s="21" t="str">
        <f t="shared" si="1029"/>
        <v/>
      </c>
      <c r="RK240" s="21" t="str">
        <f t="shared" si="1030"/>
        <v/>
      </c>
      <c r="RL240" s="21" t="str">
        <f t="shared" si="1031"/>
        <v/>
      </c>
      <c r="RM240" s="21" t="str">
        <f t="shared" si="1032"/>
        <v/>
      </c>
      <c r="RN240" s="21" t="str">
        <f t="shared" si="1033"/>
        <v/>
      </c>
      <c r="RO240" s="21" t="str">
        <f t="shared" si="1034"/>
        <v/>
      </c>
      <c r="RP240" s="21" t="str">
        <f t="shared" si="1035"/>
        <v/>
      </c>
      <c r="RQ240" s="21" t="str">
        <f t="shared" si="1036"/>
        <v/>
      </c>
      <c r="RR240" s="21" t="str">
        <f t="shared" si="1037"/>
        <v/>
      </c>
      <c r="RS240" s="21" t="str">
        <f t="shared" si="1038"/>
        <v/>
      </c>
      <c r="RT240" s="21" t="str">
        <f t="shared" si="1039"/>
        <v/>
      </c>
      <c r="RU240" s="21" t="str">
        <f t="shared" si="1040"/>
        <v/>
      </c>
      <c r="RV240" s="21">
        <f t="shared" si="1041"/>
        <v>-1</v>
      </c>
      <c r="RW240" s="284">
        <f>IF(OR(Tabla1[[#This Row],[FUM FORMULA CONFIABLE]]="",Tabla1[[#This Row],[FUM FORMULA CONFIABLE]]="SD"),"",IF(Tabla1[[#This Row],[FUM FORMULA CONFIABLE]]="CORREGIDA",Tabla1[[#This Row],[FUM X ECO 1]],Tabla1[[#This Row],[FUM x AMENORREA]]))</f>
        <v>45092</v>
      </c>
      <c r="RX240" s="21" t="str">
        <f>IF(AND(Tabla1[[#This Row],[FUM X ECO 1]]="",Tabla1[[#This Row],[FUM x AMENORREA]]=""),"",IF(AND(Tabla1[[#This Row],[FUM X ECO 1]]="",Tabla1[[#This Row],[FUM x AMENORREA]]&lt;&gt;""),"X",SUM(Tabla1[[#This Row],[FUM X ECO 1]]-Tabla1[[#This Row],[FUM x AMENORREA]])))</f>
        <v>X</v>
      </c>
      <c r="RY240" s="21" t="str">
        <f t="shared" si="1042"/>
        <v>x</v>
      </c>
    </row>
    <row r="241" spans="1:493" ht="45" customHeight="1" x14ac:dyDescent="0.25">
      <c r="A241" s="109"/>
      <c r="B241" s="43"/>
      <c r="C241" s="43" t="s">
        <v>845</v>
      </c>
      <c r="D241" s="124"/>
      <c r="E241" s="43" t="s">
        <v>1663</v>
      </c>
      <c r="F241" s="43" t="s">
        <v>1664</v>
      </c>
      <c r="G241" s="43" t="s">
        <v>938</v>
      </c>
      <c r="H241" s="43" t="s">
        <v>1665</v>
      </c>
      <c r="I241" s="109" t="s">
        <v>851</v>
      </c>
      <c r="J241" s="110">
        <v>1059601634</v>
      </c>
      <c r="K241" s="43" t="s">
        <v>852</v>
      </c>
      <c r="L241" s="175" t="s">
        <v>1509</v>
      </c>
      <c r="M241" s="22">
        <v>34116</v>
      </c>
      <c r="N241" s="213">
        <f t="shared" ca="1" si="841"/>
        <v>30.454794520547946</v>
      </c>
      <c r="O241" s="22">
        <v>45142</v>
      </c>
      <c r="P241" s="214" t="str">
        <f t="shared" si="919"/>
        <v>SI</v>
      </c>
      <c r="Q241" s="26" t="s">
        <v>855</v>
      </c>
      <c r="R241" s="22">
        <v>45142</v>
      </c>
      <c r="S241" s="21" t="s">
        <v>856</v>
      </c>
      <c r="T241" s="24" t="s">
        <v>690</v>
      </c>
      <c r="U241" s="21" t="s">
        <v>857</v>
      </c>
      <c r="V241" s="21" t="s">
        <v>858</v>
      </c>
      <c r="W241" s="21" t="s">
        <v>911</v>
      </c>
      <c r="X241" s="21" t="s">
        <v>911</v>
      </c>
      <c r="Y241" s="21"/>
      <c r="Z241" s="21">
        <v>3148122566</v>
      </c>
      <c r="AA241" s="21" t="s">
        <v>860</v>
      </c>
      <c r="AB241" s="27" t="s">
        <v>861</v>
      </c>
      <c r="AC241" s="26" t="s">
        <v>846</v>
      </c>
      <c r="AD241" s="21" t="s">
        <v>1546</v>
      </c>
      <c r="AE241" s="26" t="s">
        <v>854</v>
      </c>
      <c r="AF241" s="26" t="s">
        <v>854</v>
      </c>
      <c r="AG241" s="23" t="s">
        <v>864</v>
      </c>
      <c r="AH241" s="23" t="s">
        <v>864</v>
      </c>
      <c r="AI241" s="24" t="s">
        <v>863</v>
      </c>
      <c r="AJ241" s="23" t="s">
        <v>864</v>
      </c>
      <c r="AK241" s="220" t="str">
        <f>IF(AND(AD241="",AE241="",AF241="",AG241="",AH241="",AI241="",AJ241=""),"",IF(OR(Tabla1[[#This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EVALUACIÓN",IF(AND(O241="",R241=""),"",IF(AND(OR(O241&gt;0,R241&gt;0),NG241&gt;=0,NG241&lt;2),"SIN RIESGO",IF(AND(OR(O241&gt;0,R241&gt;0),NG241&gt;=2),"CON RIESGO","ASD")))))</f>
        <v>SIN RIESGO</v>
      </c>
      <c r="AL241" s="26" t="s">
        <v>864</v>
      </c>
      <c r="AM241" s="26" t="s">
        <v>864</v>
      </c>
      <c r="AN241" s="26" t="s">
        <v>864</v>
      </c>
      <c r="AO241" s="26" t="s">
        <v>864</v>
      </c>
      <c r="AP241" s="26" t="s">
        <v>864</v>
      </c>
      <c r="AQ241" s="26" t="s">
        <v>864</v>
      </c>
      <c r="AR241" s="26" t="s">
        <v>864</v>
      </c>
      <c r="AS241" s="21">
        <v>1</v>
      </c>
      <c r="AT241" s="21">
        <v>1</v>
      </c>
      <c r="AU241" s="21">
        <v>0</v>
      </c>
      <c r="AV241" s="26" t="s">
        <v>864</v>
      </c>
      <c r="AW241" s="21">
        <v>0</v>
      </c>
      <c r="AX241" s="26" t="s">
        <v>864</v>
      </c>
      <c r="AY241" s="26" t="s">
        <v>864</v>
      </c>
      <c r="AZ241" s="26" t="s">
        <v>864</v>
      </c>
      <c r="BA241" s="26" t="s">
        <v>864</v>
      </c>
      <c r="BB241" s="26" t="s">
        <v>864</v>
      </c>
      <c r="BC241" s="26" t="s">
        <v>864</v>
      </c>
      <c r="BD241" s="26" t="s">
        <v>864</v>
      </c>
      <c r="BE241" s="26" t="s">
        <v>864</v>
      </c>
      <c r="BF241" s="26" t="s">
        <v>864</v>
      </c>
      <c r="BG241" s="26" t="s">
        <v>864</v>
      </c>
      <c r="BH241" s="26" t="s">
        <v>864</v>
      </c>
      <c r="BI241" s="26" t="s">
        <v>864</v>
      </c>
      <c r="BJ241" s="26" t="s">
        <v>864</v>
      </c>
      <c r="BK241" s="26" t="s">
        <v>864</v>
      </c>
      <c r="BL241" s="26" t="s">
        <v>864</v>
      </c>
      <c r="BM241" s="26" t="s">
        <v>864</v>
      </c>
      <c r="BN241" s="22"/>
      <c r="BO241" s="22">
        <v>45097</v>
      </c>
      <c r="BP241" s="21" t="s">
        <v>864</v>
      </c>
      <c r="BQ241" s="222">
        <f t="shared" si="842"/>
        <v>0</v>
      </c>
      <c r="BR241" s="223" t="str">
        <f t="shared" si="843"/>
        <v/>
      </c>
      <c r="BS241" s="224">
        <f t="shared" si="844"/>
        <v>6.4285714285714288</v>
      </c>
      <c r="BT241" s="216" t="str">
        <f t="shared" si="845"/>
        <v>DEFINIR CON ECO</v>
      </c>
      <c r="BU241" s="214">
        <f t="shared" ca="1" si="928"/>
        <v>19.285714285714285</v>
      </c>
      <c r="BV241" s="25"/>
      <c r="BW241" s="22"/>
      <c r="BX241" s="28"/>
      <c r="BY241" s="28"/>
      <c r="BZ241" s="22"/>
      <c r="CA241" s="21"/>
      <c r="CB241" s="26"/>
      <c r="CC241" s="26"/>
      <c r="CD241" s="26"/>
      <c r="CE241" s="26"/>
      <c r="CF241" s="22" t="s">
        <v>1517</v>
      </c>
      <c r="CG241" s="21">
        <v>1.49</v>
      </c>
      <c r="CH241" s="21">
        <v>51.8</v>
      </c>
      <c r="CI241" s="214">
        <f t="shared" si="847"/>
        <v>23.332282329624793</v>
      </c>
      <c r="CJ241" s="225" t="str">
        <f>IF(AND(CI241&lt;10,CH241="SD"),"SIN DATO PESO PREGESTACION O I TRIM",IF(AND(OR(R241&gt;0,O241&gt;0),CI241="X"),"INGRESAR DATO DE PESO",IF(CI241="SD","INGRESAR DATO DE TALLA Y PESO",IF(AND(OR(Tabla1[[#This Row],[MOMENTO EN QUE SE REALIZA EL PESO AL INGRESO A CPN]]="PREGESTACIÓN",NZ241="Menor"),CI241&lt;18.5),"BAJO PESO",IF(AND(OR(Tabla1[[#This Row],[MOMENTO EN QUE SE REALIZA EL PESO AL INGRESO A CPN]]="PREGESTACIÓN",NZ241="Menor"),CI241&lt;25),"NORMAL",IF(AND(OR(Tabla1[[#This Row],[MOMENTO EN QUE SE REALIZA EL PESO AL INGRESO A CPN]]="PREGESTACIÓN",NZ241="Menor"),CI241&lt;30),"SOBREPESO",IF(AND(OR(Tabla1[[#This Row],[MOMENTO EN QUE SE REALIZA EL PESO AL INGRESO A CPN]]="PREGESTACIÓN",NZ241="Menor"),CI241&gt;=30,CI241&lt;50),"OBESIDAD",IF(AND(BS241&gt;0,Tabla1[[#This Row],[MOMENTO EN QUE SE REALIZA EL PESO AL INGRESO A CPN]]="GESTACIÓN"),HLOOKUP(NZ241,$OA$2:PH241,NY241),""))))))))</f>
        <v>NORMAL</v>
      </c>
      <c r="CK241" s="212">
        <f t="shared" si="848"/>
        <v>45142</v>
      </c>
      <c r="CL241" s="21">
        <v>51.8</v>
      </c>
      <c r="CM241" s="214">
        <f t="shared" si="849"/>
        <v>23.332282329624793</v>
      </c>
      <c r="CN241" s="216">
        <f t="shared" si="850"/>
        <v>6</v>
      </c>
      <c r="CO241" s="216" t="e">
        <f>IF(PI241="","",IF(PI241&gt;0,HLOOKUP(PI241,$PJ$2:QQ241,NY241),""))</f>
        <v>#REF!</v>
      </c>
      <c r="CP241" s="21"/>
      <c r="CQ241" s="216" t="str">
        <f>IF(QR241="Menor","NO APLICA-MENOR 13 SEM",IF(AND(CC241="SI",CN241&gt;23),"NO APLICA- GEMELAR",IF(QR241="","",IF(QR241&gt;0,HLOOKUP(QR241,$QS$2:RU241,NY241),""))))</f>
        <v>NO APLICA-MENOR 13 SEM</v>
      </c>
      <c r="CR241" s="21">
        <v>100</v>
      </c>
      <c r="CS241" s="21">
        <v>70</v>
      </c>
      <c r="CT241" s="217" t="str">
        <f>IF(R241="","",IF(AND(BS241&gt;1,BS241&lt;12,Tabla1[[#This Row],[T.A. SISTOLICA - ANTES DE SEMANA 12]]="",Tabla1[[#This Row],[T.A. DIASTOLICA - ANTES DE SEMANA 12]]=""),"REGISTRE DATO TA ANTES SEMANA 12",IF(AND(BS241&gt;11,BS241&lt;43,Tabla1[[#This Row],[T.A. SISTOLICA - ANTES DE SEMANA 12]]="",Tabla1[[#This Row],[T.A. DIASTOLICA - ANTES DE SEMANA 12]]=""),"NO APLICA REGISTRO TA-INGRESO TARDIO",IF(AND(OR(O241&gt;0,R241&gt;0),OR(CR241&gt;=140,CS241&gt;=90)),"DEFINIR ESTADIO HTA",IF(AND(OR(O241&gt;0,R241&gt;0),AND(CR241&gt;120,CR241&lt;=139)),"PRE HTA SEGUIMIENTO",IF(AND(OR(O241&gt;0,R241&gt;0),AND(CS241&gt;80,CS241&lt;=89)),"PRE HTA SEGUIMIENTO",IF(AND(OR(O241&gt;0,R241&gt;0),AND(CR241&gt;=80,CR241&lt;=120)),"APARENTEMENTE NORMAL",IF(AND(OR(O241&gt;0,R241&gt;0),AND(CS241&gt;=50,CS241&lt;=80)),"APARENTEMENTE NORMAL",IF(AND(OR(O241&gt;0,R241&gt;0),AND(CR241&gt;1,CR241&lt;=70),AND(CS241&gt;1,CS241&lt;=40)),"HIPOTENSIÓN","")))))))))</f>
        <v>APARENTEMENTE NORMAL</v>
      </c>
      <c r="CU241" s="21"/>
      <c r="CV241" s="21"/>
      <c r="CW241" s="217" t="str">
        <f ca="1">IF(R241="","",IF(AND(CN241&gt;19,CN241&lt;27,Tabla1[[#This Row],[T.A. SISTOLICA (Entre semana 20 y 26)]]="",Tabla1[[#This Row],[T.A. DIATOLICA (Entre semana 20 y 26)]]=""),"ACUDE A CONTROL SEM 20 A 26 REGISTRE TA AHORA",IF(AND(BS241&gt;1,BS241&lt;27,BU241&gt;19,Tabla1[[#This Row],[T.A. SISTOLICA (Entre semana 20 y 26)]]="",Tabla1[[#This Row],[T.A. DIATOLICA (Entre semana 20 y 26)]]=""),"COMPLETE REGISTRO TA CONTROL SEM 20 A26 ",IF(AND(BS241&gt;26,BS241&lt;43,Tabla1[[#This Row],[T.A. SISTOLICA (Entre semana 20 y 26)]]="",Tabla1[[#This Row],[T.A. DIATOLICA (Entre semana 20 y 26)]]=""),"NO APLICA REGISTRO TA-INGRESO TARDIO",IF(AND(OR(O241&gt;0,R241&gt;0),OR(CU241&gt;=140,CV241&gt;=90)),"ALTO RIESGO PREECLAMPSIA,DEFINIR ESTADIO HTA",IF(AND(OR(O241&gt;0,R241&gt;0),AND(CU241&gt;120,CU241&lt;=139)),"PRE HTA SEGUIMIENTO,RIESGO HIPERTENSION INDUCIDA POR EL EMBARAZO",IF(AND(OR(O241&gt;0,R241&gt;0),AND(CV241&gt;80,CV241&lt;=89)),"PRE HTA SEGUIMIENTO, RIESGO HIPERTENSION INDUCIDA POR EL EMBARAZO",IF(AND(OR(O241&lt;&gt;"",R241&lt;&gt;""),CS241&lt;&gt;"",CV241&lt;&gt;"",CS241&lt;=CV241),"VIGILAR CIFRAS PRESION ARTERIAL",IF(AND(OR(O241&gt;0,R241&gt;0),AND(CU241&gt;120,CU241&lt;=139)),"PRE HTA SEGUIMIENTO",IF(AND(OR(O241&gt;0,R241&gt;0),AND(CU241&gt;1,CU241&lt;=70),AND(CV241&gt;1,CV241&lt;=40)),"HIPOTENSIÓN",IF(AND(OR(O241&lt;&gt;"",R241&lt;&gt;""),CS241&lt;&gt;"",CV241&lt;&gt;"",CS241&gt;CV241),"APARENTEMENTE NORMAL",IF(AND(OR(O241&gt;0,R241&gt;0),AND(CU241&gt;=80,CU241&lt;=120)),"APARENTEMENTE NORMAL",IF(AND(OR(O241&gt;0,R241&gt;0),AND(CV241&gt;=50,CV241&lt;=80)),"APARENTEMENTE NORMAL","")))))))))))))</f>
        <v xml:space="preserve">COMPLETE REGISTRO TA CONTROL SEM 20 A26 </v>
      </c>
      <c r="CX241" s="21"/>
      <c r="CY241" s="21"/>
      <c r="CZ241" s="216" t="str">
        <f t="shared" si="1045"/>
        <v/>
      </c>
      <c r="DA241" s="21">
        <v>100</v>
      </c>
      <c r="DB241" s="21">
        <v>70</v>
      </c>
      <c r="DC241" s="217" t="str">
        <f t="shared" si="851"/>
        <v>APARENTEMENTE NORMAL</v>
      </c>
      <c r="DD241" s="22">
        <v>45142</v>
      </c>
      <c r="DE241" s="22">
        <v>45142</v>
      </c>
      <c r="DF241" s="22"/>
      <c r="DG241" s="22"/>
      <c r="DH241" s="22"/>
      <c r="DI241" s="22"/>
      <c r="DJ241" s="22"/>
      <c r="DK241" s="22"/>
      <c r="DL241" s="22"/>
      <c r="DM241" s="22"/>
      <c r="DN241" s="22"/>
      <c r="DO241" s="22"/>
      <c r="DP241" s="22"/>
      <c r="DQ241" s="22"/>
      <c r="DR241" s="28"/>
      <c r="DS241" s="22"/>
      <c r="DT241" s="22"/>
      <c r="DU241" s="216" t="str">
        <f t="shared" ca="1" si="920"/>
        <v>EN ESPERA</v>
      </c>
      <c r="DV241" s="226" t="str">
        <f t="shared" si="921"/>
        <v>ACTIVA INGRESO A CPN</v>
      </c>
      <c r="DW24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41" s="216" t="e">
        <f t="shared" ca="1" si="852"/>
        <v>#REF!</v>
      </c>
      <c r="DY241" s="212">
        <f>IF(R241="","",IF(R241&gt;0,MAX(Tabla1[[#This Row],[FECHA C2]:[FECHA C13]],Tabla1[[#This Row],[FECHA CONSULTA PRIMERA VEZ PROGRAMA CPN ]])))</f>
        <v>45142</v>
      </c>
      <c r="DZ241" s="216">
        <f t="shared" si="853"/>
        <v>6</v>
      </c>
      <c r="EA241" s="222">
        <f>IF(R241&gt;0,SUM(COUNTA(DF241:DQ241)+COUNTA(Tabla1[[#This Row],[FECHA CONSULTA PRIMERA VEZ PROGRAMA CPN ]])),"")</f>
        <v>1</v>
      </c>
      <c r="EB241" s="222" t="str">
        <f t="shared" si="854"/>
        <v>NO</v>
      </c>
      <c r="EC241" s="214">
        <f t="shared" si="855"/>
        <v>10</v>
      </c>
      <c r="ED241" s="227">
        <f t="shared" si="856"/>
        <v>0.1</v>
      </c>
      <c r="EE241" s="22">
        <v>45142</v>
      </c>
      <c r="EF241" s="22">
        <v>45149</v>
      </c>
      <c r="EG241" s="22">
        <v>45142</v>
      </c>
      <c r="EH241" s="22"/>
      <c r="EI241" s="22">
        <v>45142</v>
      </c>
      <c r="EJ241" s="22"/>
      <c r="EK241" s="22"/>
      <c r="EL241" s="21"/>
      <c r="EM241" s="21"/>
      <c r="EN241" s="22"/>
      <c r="EO241" s="222" t="str">
        <f t="shared" si="857"/>
        <v>TOMAR EXAMEN</v>
      </c>
      <c r="EP241" s="214" t="str">
        <f t="shared" si="858"/>
        <v/>
      </c>
      <c r="EQ241" s="216" t="str">
        <f t="shared" si="859"/>
        <v>POR DEFINIR</v>
      </c>
      <c r="ER241" s="24"/>
      <c r="ES241" s="22"/>
      <c r="ET241" s="29" t="str">
        <f t="shared" ca="1" si="922"/>
        <v>EN ESPERA PARA TOMA EXAMEN</v>
      </c>
      <c r="EU241" s="25" t="str">
        <f t="shared" si="860"/>
        <v/>
      </c>
      <c r="EV241" s="24"/>
      <c r="EW241" s="24"/>
      <c r="EX241" s="22"/>
      <c r="EY241" s="29" t="str">
        <f t="shared" si="1043"/>
        <v>TOMAR EXAMEN</v>
      </c>
      <c r="EZ241" s="25" t="str">
        <f t="shared" ca="1" si="1044"/>
        <v/>
      </c>
      <c r="FA241" s="21"/>
      <c r="FB241" s="22"/>
      <c r="FC241" s="29" t="str">
        <f t="shared" si="861"/>
        <v>TOMAR EXAMEN</v>
      </c>
      <c r="FD241" s="29"/>
      <c r="FE241" s="29"/>
      <c r="FF241" s="29"/>
      <c r="FG241" s="21" t="str">
        <f t="shared" ca="1" si="862"/>
        <v>PROGRAMAR TOMA PTOG SIGUIENTE CONTROL</v>
      </c>
      <c r="FH241" s="31"/>
      <c r="FI241" s="29" t="str">
        <f t="shared" si="863"/>
        <v>TOMAR EXAMEN</v>
      </c>
      <c r="FJ241" s="22"/>
      <c r="FK241" s="22"/>
      <c r="FL241" s="29" t="str">
        <f t="shared" ca="1" si="864"/>
        <v>PIERDE TOMA DE TAMIZAJE</v>
      </c>
      <c r="FM241" s="22"/>
      <c r="FN241" s="32"/>
      <c r="FO241" s="29" t="str">
        <f t="shared" ca="1" si="923"/>
        <v>EN RANGO PARA TOMAR EXAMEN</v>
      </c>
      <c r="FP241" s="22"/>
      <c r="FQ241" s="32"/>
      <c r="FR241" s="29" t="str">
        <f t="shared" ca="1" si="924"/>
        <v>EN ESPERA-ESTÁ I TRIM O II TRIM</v>
      </c>
      <c r="FS241" s="22"/>
      <c r="FT241" s="32"/>
      <c r="FU241" s="29" t="str">
        <f>IF(AND(FJ241="",FM241="",FP241="",FS241=""),"",IF(OR(OR(Tabla1[[#This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41" s="28"/>
      <c r="FW241" s="22"/>
      <c r="FX241" s="29" t="str">
        <f t="shared" si="865"/>
        <v>TOMAR EXAMEN</v>
      </c>
      <c r="FY241" s="22"/>
      <c r="FZ241" s="22"/>
      <c r="GA241" s="29" t="str">
        <f t="shared" ca="1" si="939"/>
        <v>PIERDE TOMA DE TAMIZAJE</v>
      </c>
      <c r="GB241" s="22"/>
      <c r="GC241" s="22"/>
      <c r="GD241" s="29" t="str">
        <f t="shared" ca="1" si="1048"/>
        <v>EN RANGO PARA TOMAR EXAMEN</v>
      </c>
      <c r="GE241" s="22"/>
      <c r="GF241" s="22"/>
      <c r="GG241" s="29" t="str">
        <f t="shared" ca="1" si="926"/>
        <v>EN ESPERA-ESTÁ I TRIM O II TRIM</v>
      </c>
      <c r="GH241" s="22"/>
      <c r="GI241" s="29"/>
      <c r="GJ241" s="22"/>
      <c r="GK241" s="22"/>
      <c r="GL241" s="22"/>
      <c r="GM241" s="22"/>
      <c r="GN241" s="28"/>
      <c r="GO241" s="22"/>
      <c r="GP241" s="29" t="str">
        <f t="shared" si="866"/>
        <v>TOMAR EXAMEN</v>
      </c>
      <c r="GQ241" s="28"/>
      <c r="GR241" s="28"/>
      <c r="GS241" s="22" t="str">
        <f t="shared" si="1047"/>
        <v/>
      </c>
      <c r="GT241" s="22"/>
      <c r="GU241" s="29" t="str">
        <f t="shared" si="867"/>
        <v>TOMAR EXAMEN</v>
      </c>
      <c r="GV241" s="21" t="str">
        <f t="shared" si="868"/>
        <v>POR DEFINIR</v>
      </c>
      <c r="GW241" s="28"/>
      <c r="GX241" s="30"/>
      <c r="GY241" s="21"/>
      <c r="GZ241" s="21"/>
      <c r="HA241" s="21"/>
      <c r="HB241" s="21"/>
      <c r="HC241" s="21"/>
      <c r="HD241" s="21"/>
      <c r="HE241" s="21"/>
      <c r="HF241" s="22"/>
      <c r="HG241" s="22" t="str">
        <f>IF(OR(O241&gt;0,R241&gt;0),CONCATENATE(IF(Tabla1[[#This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41" s="22" t="e">
        <f t="shared" si="869"/>
        <v>#REF!</v>
      </c>
      <c r="HI241" s="22" t="e">
        <f t="shared" ca="1" si="870"/>
        <v>#REF!</v>
      </c>
      <c r="HJ241" s="21" t="str">
        <f t="shared" ca="1" si="871"/>
        <v>***************************************</v>
      </c>
      <c r="HK241" s="21" t="str">
        <f t="shared" si="872"/>
        <v>SIN ANTECEDENTES DE RIESGO</v>
      </c>
      <c r="HL241" s="24" t="str">
        <f t="shared" si="873"/>
        <v>APARENTEMENTE NORMAL</v>
      </c>
      <c r="HM241" s="21" t="e">
        <f t="shared" ca="1" si="874"/>
        <v>#REF!</v>
      </c>
      <c r="HN241" s="30" t="str">
        <f t="shared" si="927"/>
        <v>ACTIVA INGRESO A CPN</v>
      </c>
      <c r="HO241" s="21"/>
      <c r="HP241" s="21"/>
      <c r="HQ241" s="349"/>
      <c r="HR241" s="21" t="str">
        <f>IF(R241="","",IF(Tabla1[[#This Row],[ALARMA FACTORES DE RIESGO COMPLICACIONES HIPERTENSIVAS3]]="SIN ANTECEDENTES DE RIESGO","No Aplica para suministro de ASA",IF(AND(Tabla1[[#This Row],[FECHA INICIO DE SUMINISTRO DE ASA]]&gt;0,RV241&lt;12),"Inicia ASA ANTES de Sem 12",IF(AND(RV241&gt;11,RV241&lt;17,OR(HK241="RIESGO ALTO DE COMPLICACIONES HIPERTENSIVAS VER MANEJO GUIA SUMINISTRO ASA Y CALCIO",HK241="RIESGO MODERADO (2 O MAS CRITERIOS) VER MANEJO GUIA SUMINISTRO ASA Y CALCIO")),"Inicio oportuno de ASA",IF(AND(RV241&gt;12,OR(HK241="RIESGO ALTO DE COMPLICACIONES HIPERTENSIVAS VER MANEJO GUIA SUMINISTRO ASA Y CALCIO",HK241="RIESGO MODERADO (2 O MAS CRITERIOS) VER MANEJO GUIA SUMINISTRO ASA Y CALCIO")),"Inicio no oportuno mayor a 16 semanas",IF(AND(BU241&lt;12,OR(HK241="RIESGO ALTO DE COMPLICACIONES HIPERTENSIVAS VER MANEJO GUIA SUMINISTRO ASA Y CALCIO",HK241="RIESGO MODERADO (2 O MAS CRITERIOS) VER MANEJO GUIA SUMINISTRO ASA Y CALCIO")),"Pendiente Inicio de ASA a la semana 12",IF(AND(BU241&gt;11,BU241&lt;17,OR(HK241="RIESGO ALTO DE COMPLICACIONES HIPERTENSIVAS VER MANEJO GUIA SUMINISTRO ASA Y CALCIO",HK241="RIESGO MODERADO (2 O MAS CRITERIOS) VER MANEJO GUIA SUMINISTRO ASA Y CALCIO")),"Iniciar de inmediato ASA",IF(AND(BU241&gt;16,OR(HK241="RIESGO ALTO DE COMPLICACIONES HIPERTENSIVAS VER MANEJO GUIA SUMINISTRO ASA Y CALCIO",HK241="RIESGO MODERADO (2 O MAS CRITERIOS) VER MANEJO GUIA SUMINISTRO ASA Y CALCIO")),"Pierde Oportunidad, Inicio tardío de ASA","XXXXX"))))))))</f>
        <v>No Aplica para suministro de ASA</v>
      </c>
      <c r="HS241" s="22">
        <v>45142</v>
      </c>
      <c r="HT241" s="22" t="s">
        <v>1518</v>
      </c>
      <c r="HU241" s="22">
        <v>45142</v>
      </c>
      <c r="HV241" s="22" t="s">
        <v>1506</v>
      </c>
      <c r="HW241" s="22">
        <v>45142</v>
      </c>
      <c r="HX241" s="22" t="s">
        <v>1506</v>
      </c>
      <c r="HY241" s="22">
        <v>45141</v>
      </c>
      <c r="HZ241" s="28">
        <f t="shared" si="875"/>
        <v>6.2857142857142856</v>
      </c>
      <c r="IA241" s="26"/>
      <c r="IB241" s="26"/>
      <c r="IC241" s="111"/>
      <c r="ID241" s="22"/>
      <c r="IE241" s="22" t="str">
        <f t="shared" ca="1" si="876"/>
        <v>EN ESPERA PARA VACUNAR</v>
      </c>
      <c r="IF241" s="22"/>
      <c r="IG241" s="22">
        <f t="shared" si="877"/>
        <v>45377</v>
      </c>
      <c r="IH241" s="29">
        <f t="shared" ca="1" si="878"/>
        <v>145</v>
      </c>
      <c r="II241" s="22" t="str">
        <f t="shared" ca="1" si="879"/>
        <v>PENDIENTE</v>
      </c>
      <c r="IJ241" s="22"/>
      <c r="IK241" s="21"/>
      <c r="IL241" s="21"/>
      <c r="IM241" s="34"/>
      <c r="IN241" s="22"/>
      <c r="IO241" s="21"/>
      <c r="IP241" s="29" t="str">
        <f t="shared" si="880"/>
        <v/>
      </c>
      <c r="IQ241" s="35"/>
      <c r="IR241" s="21"/>
      <c r="IS241" s="21"/>
      <c r="IT241" s="21"/>
      <c r="IU241" s="21"/>
      <c r="IV241" s="21"/>
      <c r="IW241" s="21"/>
      <c r="IX241" s="21"/>
      <c r="IY241" s="21"/>
      <c r="IZ241" s="21"/>
      <c r="JA241" s="21"/>
      <c r="JB241" s="30"/>
      <c r="JC241" s="21"/>
      <c r="JD241" s="36"/>
      <c r="JE241" s="21" t="str">
        <f t="shared" si="881"/>
        <v/>
      </c>
      <c r="JF241" s="30"/>
      <c r="JG241" s="21"/>
      <c r="JH241" s="21"/>
      <c r="JI241" s="21"/>
      <c r="JJ241" s="30"/>
      <c r="JK241" s="22"/>
      <c r="JL241" s="22"/>
      <c r="JM241" s="21"/>
      <c r="JN241" s="36"/>
      <c r="JO241" s="21" t="str">
        <f t="shared" si="882"/>
        <v/>
      </c>
      <c r="JP241" s="22"/>
      <c r="JQ241" s="21"/>
      <c r="JR241" s="21"/>
      <c r="JS241" s="21"/>
      <c r="JT241" s="30"/>
      <c r="JU241" s="22"/>
      <c r="JV241" s="22"/>
      <c r="JW241" s="33"/>
      <c r="JX241" s="28" t="str">
        <f t="shared" si="883"/>
        <v/>
      </c>
      <c r="JY241" s="33"/>
      <c r="JZ241" s="28" t="str">
        <f t="shared" si="884"/>
        <v/>
      </c>
      <c r="KA241" s="21"/>
      <c r="KB241" s="21"/>
      <c r="KC241" s="21"/>
      <c r="KD241" s="37"/>
      <c r="KE241" s="28"/>
      <c r="KF241" s="28"/>
      <c r="KG241" s="28"/>
      <c r="KH241" s="39"/>
      <c r="KI241" s="39"/>
      <c r="KJ241" s="66"/>
      <c r="KK241" s="39"/>
      <c r="KL241" s="39"/>
      <c r="KM241" s="66"/>
      <c r="KN241" s="39"/>
      <c r="KO241" s="39"/>
      <c r="KP241" s="39"/>
      <c r="KQ241" s="39"/>
      <c r="KR241" s="39"/>
      <c r="KS241" s="39"/>
      <c r="KT241" s="39"/>
      <c r="KU241" s="38"/>
      <c r="KV241" s="38"/>
      <c r="KW241" s="38"/>
      <c r="KX241" s="38"/>
      <c r="KY241" s="38"/>
      <c r="KZ241" s="38"/>
      <c r="LA241" s="38"/>
      <c r="LB241" s="38"/>
      <c r="LC241" s="38"/>
      <c r="LD241" s="38"/>
      <c r="LE241" s="38"/>
      <c r="LF241" s="38"/>
      <c r="LG241" s="38"/>
      <c r="LH241" s="38"/>
      <c r="LI241" s="38"/>
      <c r="LJ241" s="38"/>
      <c r="LK241" s="38"/>
      <c r="LL241" s="38"/>
      <c r="LM241" s="38"/>
      <c r="LN241" s="38"/>
      <c r="LO241" s="38"/>
      <c r="LP241" s="38"/>
      <c r="LQ241" s="38"/>
      <c r="LR241" s="38"/>
      <c r="LS241" s="38"/>
      <c r="LT241" s="38"/>
      <c r="LU241" s="38"/>
      <c r="LV241" s="38"/>
      <c r="LW241" s="38"/>
      <c r="LX241" s="38"/>
      <c r="LY241" s="38"/>
      <c r="LZ241" s="38"/>
      <c r="MA241" s="38"/>
      <c r="MB241" s="38"/>
      <c r="MC241" s="38"/>
      <c r="MD241" s="38"/>
      <c r="ME241" s="38"/>
      <c r="MF241" s="38"/>
      <c r="MG241" s="38"/>
      <c r="MH241" s="43">
        <f t="shared" si="885"/>
        <v>0</v>
      </c>
      <c r="MI241" s="43" t="str">
        <f t="shared" si="929"/>
        <v/>
      </c>
      <c r="MJ241" s="43" t="str">
        <f t="shared" si="887"/>
        <v/>
      </c>
      <c r="MK241" s="43">
        <f t="shared" si="888"/>
        <v>0</v>
      </c>
      <c r="ML24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41" s="43">
        <f t="shared" si="930"/>
        <v>6.4285714285714288</v>
      </c>
      <c r="MN241" s="43">
        <f t="shared" si="931"/>
        <v>8</v>
      </c>
      <c r="MO241" s="43">
        <f t="shared" si="932"/>
        <v>2023</v>
      </c>
      <c r="MP241" s="43" t="str">
        <f t="shared" si="892"/>
        <v>III TRIMESTRE AÑO</v>
      </c>
      <c r="MQ241" s="43">
        <f t="shared" si="933"/>
        <v>29.749780989925537</v>
      </c>
      <c r="MR241" s="43">
        <f t="shared" si="894"/>
        <v>0</v>
      </c>
      <c r="MS241" s="43" t="str">
        <f t="shared" si="895"/>
        <v xml:space="preserve"> DE 25 A 29 AÑOS</v>
      </c>
      <c r="MT241" s="43">
        <f t="shared" si="896"/>
        <v>0</v>
      </c>
      <c r="MU241" s="43">
        <f t="shared" si="897"/>
        <v>0</v>
      </c>
      <c r="MV241" s="43">
        <f t="shared" si="898"/>
        <v>0</v>
      </c>
      <c r="MW241" s="43">
        <f t="shared" si="899"/>
        <v>0</v>
      </c>
      <c r="MX241" s="43" t="str">
        <f t="shared" si="900"/>
        <v/>
      </c>
      <c r="MY241" s="43" t="str">
        <f t="shared" ca="1" si="901"/>
        <v/>
      </c>
      <c r="MZ241" s="43" t="str">
        <f t="shared" si="902"/>
        <v/>
      </c>
      <c r="NA241" s="43" t="str">
        <f t="shared" si="903"/>
        <v/>
      </c>
      <c r="NB241" s="43" t="str">
        <f t="shared" si="904"/>
        <v/>
      </c>
      <c r="NC241" s="43" t="str">
        <f t="shared" si="905"/>
        <v/>
      </c>
      <c r="ND241" s="43">
        <f t="shared" ca="1" si="934"/>
        <v>0</v>
      </c>
      <c r="NE241" s="43">
        <f>IF(OR(O241&gt;0,R241&gt;0),SUM(COUNTIF(Tabla1[[#This Row],[AÑOS AL INICIO5 CPN]],"&gt;=40"),COUNTIF(AS241,"0"),COUNTIF(AR241,"SI"),COUNTIF(CC241,"SI"),COUNTIF(BQ241,"&gt;119"),COUNTIF(CI241,"&gt;=35")),"")</f>
        <v>0</v>
      </c>
      <c r="NF241" s="43" t="str">
        <f t="shared" si="935"/>
        <v/>
      </c>
      <c r="NG241" s="43">
        <f t="shared" si="908"/>
        <v>0</v>
      </c>
      <c r="NH241" s="43" t="str">
        <f t="shared" si="909"/>
        <v/>
      </c>
      <c r="NI24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CPN",P241="NO"),"Z",IF(AND(Tabla1[[#This Row],[CITA PROXIMO CONTROL]]="CITA MANUAL",Tabla1[[#This Row],[GESTANTES ACTUALES]]="ACTIVA INGRESO A CPN"),"W",IF(AND(Tabla1[[#This Row],[GESTANTES ACTUALES]]="SALIO PROGRAMA",IN241=""),"S",IF(AND(Tabla1[[#This Row],[CITA PROXIMO CONTROL]]&gt;0,IN241=""),(Tabla1[[#This Row],[CITA PROXIMO CONTROL]]-TODAY()),"SD"))))))))</f>
        <v>#REF!</v>
      </c>
      <c r="NJ241" s="43">
        <f>MONTH(Tabla1[[#This Row],[FECHA DE SALIDA  DEL PROGRAMA]])</f>
        <v>1</v>
      </c>
      <c r="NK241" s="43">
        <f>YEAR(Tabla1[[#This Row],[FECHA DE SALIDA  DEL PROGRAMA]])</f>
        <v>1900</v>
      </c>
      <c r="NL241" s="43" t="str">
        <f t="shared" si="936"/>
        <v>X</v>
      </c>
      <c r="NM241" s="43" t="str">
        <f t="shared" si="941"/>
        <v>NO</v>
      </c>
      <c r="NN241" s="43" t="str">
        <f ca="1">IF(AND(O241&gt;0,R241=""),"NO CPN",IF(AND(O241="",R241=""),"",IF(AND(R241&gt;0,Tabla1[[#This Row],[SEMANAS DE GESTACION ACTUALIZADAS]]&lt;=12),"NO APLICA",IF(AND(FH241&lt;&gt;"",FN241&lt;&gt;""),"SI","NO"))))</f>
        <v>NO</v>
      </c>
      <c r="NO241" s="43" t="str">
        <f ca="1">IF(AND(O241&gt;0,R241=""),"NO CPN",IF(AND(O241="",R241=""),"",IF(AND(R241&gt;0,Tabla1[[#This Row],[SEMANAS DE GESTACION ACTUALIZADAS]]&lt;=27),"NO APLICA",IF(AND(ES241&lt;&gt;"",FQ241&lt;&gt;"",GF241&lt;&gt;""),"SI","NO"))))</f>
        <v>NO APLICA</v>
      </c>
      <c r="NP241" s="204" t="str">
        <f t="shared" si="912"/>
        <v>DEFINIR CON ECO</v>
      </c>
      <c r="NQ241" s="21" t="str">
        <f t="shared" si="1046"/>
        <v/>
      </c>
      <c r="NR241" s="21">
        <f t="shared" ca="1" si="937"/>
        <v>2</v>
      </c>
      <c r="NS241" s="205">
        <f t="shared" ca="1" si="914"/>
        <v>0</v>
      </c>
      <c r="NT241" s="21">
        <f t="shared" ca="1" si="915"/>
        <v>0</v>
      </c>
      <c r="NU241" s="21" t="str">
        <f t="shared" ca="1" si="916"/>
        <v>INCOMPLETO</v>
      </c>
      <c r="NV241" s="21" t="str">
        <f t="shared" ca="1" si="917"/>
        <v>INCOMPLETO</v>
      </c>
      <c r="NW241" s="206" t="str">
        <f>IF(AND(O241="",R241=""),"",IF(OR(AND(Tabla1[[#This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41" s="207" t="str">
        <f t="shared" ca="1" si="938"/>
        <v>SIN VACUNAR</v>
      </c>
      <c r="NY241" s="43">
        <f>ROW(Tabla1[[#This Row],['# DE TAMIZAJES SIFILIS TOMADOS ]])</f>
        <v>241</v>
      </c>
      <c r="NZ241" s="43" t="str">
        <f t="shared" si="942"/>
        <v>Menor</v>
      </c>
      <c r="OA241" s="43" t="str">
        <f t="shared" si="943"/>
        <v>NORMAL</v>
      </c>
      <c r="OB241" s="43" t="str">
        <f t="shared" si="944"/>
        <v/>
      </c>
      <c r="OC241" s="43" t="str">
        <f t="shared" si="945"/>
        <v/>
      </c>
      <c r="OD241" s="43" t="str">
        <f t="shared" si="946"/>
        <v/>
      </c>
      <c r="OE241" s="43" t="str">
        <f t="shared" si="947"/>
        <v/>
      </c>
      <c r="OF241" s="43" t="str">
        <f t="shared" si="948"/>
        <v/>
      </c>
      <c r="OG241" s="43" t="str">
        <f t="shared" si="949"/>
        <v/>
      </c>
      <c r="OH241" s="43" t="str">
        <f t="shared" si="950"/>
        <v/>
      </c>
      <c r="OI241" s="43" t="str">
        <f t="shared" si="951"/>
        <v/>
      </c>
      <c r="OJ241" s="43" t="str">
        <f t="shared" si="952"/>
        <v/>
      </c>
      <c r="OK241" s="43" t="str">
        <f t="shared" si="953"/>
        <v/>
      </c>
      <c r="OL241" s="43" t="str">
        <f t="shared" si="954"/>
        <v/>
      </c>
      <c r="OM241" s="43" t="str">
        <f t="shared" si="955"/>
        <v/>
      </c>
      <c r="ON241" s="43" t="str">
        <f t="shared" si="956"/>
        <v/>
      </c>
      <c r="OO241" s="43" t="str">
        <f t="shared" si="957"/>
        <v/>
      </c>
      <c r="OP241" s="43" t="str">
        <f t="shared" si="958"/>
        <v/>
      </c>
      <c r="OQ241" s="43" t="str">
        <f t="shared" si="959"/>
        <v/>
      </c>
      <c r="OR241" s="43" t="str">
        <f t="shared" si="960"/>
        <v/>
      </c>
      <c r="OS241" s="43" t="str">
        <f t="shared" si="961"/>
        <v/>
      </c>
      <c r="OT241" s="43" t="str">
        <f t="shared" si="962"/>
        <v/>
      </c>
      <c r="OU241" s="43" t="str">
        <f t="shared" si="963"/>
        <v/>
      </c>
      <c r="OV241" s="110" t="str">
        <f t="shared" si="964"/>
        <v/>
      </c>
      <c r="OW241" s="43" t="str">
        <f t="shared" si="965"/>
        <v/>
      </c>
      <c r="OX241" s="43" t="str">
        <f t="shared" si="966"/>
        <v/>
      </c>
      <c r="OY241" s="43" t="str">
        <f t="shared" si="967"/>
        <v/>
      </c>
      <c r="OZ241" s="43" t="str">
        <f t="shared" si="968"/>
        <v/>
      </c>
      <c r="PA241" s="43" t="str">
        <f t="shared" si="969"/>
        <v/>
      </c>
      <c r="PB241" s="43" t="str">
        <f t="shared" si="970"/>
        <v/>
      </c>
      <c r="PC241" s="43" t="str">
        <f t="shared" si="971"/>
        <v/>
      </c>
      <c r="PD241" s="43" t="str">
        <f t="shared" si="972"/>
        <v/>
      </c>
      <c r="PE241" s="43" t="str">
        <f t="shared" si="973"/>
        <v/>
      </c>
      <c r="PF241" s="43" t="str">
        <f t="shared" si="974"/>
        <v/>
      </c>
      <c r="PG241" s="43" t="str">
        <f t="shared" si="975"/>
        <v/>
      </c>
      <c r="PH241" s="43" t="str">
        <f t="shared" si="976"/>
        <v/>
      </c>
      <c r="PI241" s="43" t="str">
        <f t="shared" si="977"/>
        <v>Menor</v>
      </c>
      <c r="PJ241" s="43" t="str">
        <f t="shared" si="978"/>
        <v>NORMAL</v>
      </c>
      <c r="PK241" s="43" t="str">
        <f t="shared" si="979"/>
        <v/>
      </c>
      <c r="PL241" s="43" t="str">
        <f t="shared" si="980"/>
        <v/>
      </c>
      <c r="PM241" s="43" t="str">
        <f t="shared" si="981"/>
        <v/>
      </c>
      <c r="PN241" s="43" t="str">
        <f t="shared" si="982"/>
        <v/>
      </c>
      <c r="PO241" s="43" t="str">
        <f t="shared" si="983"/>
        <v/>
      </c>
      <c r="PP241" s="43" t="str">
        <f t="shared" si="984"/>
        <v/>
      </c>
      <c r="PQ241" s="43" t="str">
        <f t="shared" si="985"/>
        <v/>
      </c>
      <c r="PR241" s="43" t="str">
        <f t="shared" si="986"/>
        <v/>
      </c>
      <c r="PS241" s="43" t="str">
        <f t="shared" si="987"/>
        <v/>
      </c>
      <c r="PT241" s="43" t="str">
        <f t="shared" si="988"/>
        <v/>
      </c>
      <c r="PU241" s="43" t="str">
        <f t="shared" si="989"/>
        <v/>
      </c>
      <c r="PV241" s="43" t="str">
        <f t="shared" si="990"/>
        <v/>
      </c>
      <c r="PW241" s="43" t="str">
        <f t="shared" si="991"/>
        <v/>
      </c>
      <c r="PX241" s="43" t="str">
        <f t="shared" si="992"/>
        <v/>
      </c>
      <c r="PY241" s="43" t="str">
        <f t="shared" si="993"/>
        <v/>
      </c>
      <c r="PZ241" s="43" t="str">
        <f t="shared" si="994"/>
        <v/>
      </c>
      <c r="QA241" s="43" t="str">
        <f t="shared" si="995"/>
        <v/>
      </c>
      <c r="QB241" s="43" t="str">
        <f t="shared" si="996"/>
        <v/>
      </c>
      <c r="QC241" s="43" t="str">
        <f t="shared" si="997"/>
        <v/>
      </c>
      <c r="QD241" s="43" t="str">
        <f t="shared" si="998"/>
        <v/>
      </c>
      <c r="QE241" s="43" t="str">
        <f t="shared" si="999"/>
        <v/>
      </c>
      <c r="QF241" s="43" t="str">
        <f t="shared" si="1000"/>
        <v/>
      </c>
      <c r="QG241" s="43" t="str">
        <f t="shared" si="1001"/>
        <v/>
      </c>
      <c r="QH241" s="43" t="str">
        <f t="shared" si="1002"/>
        <v/>
      </c>
      <c r="QI241" s="43" t="str">
        <f t="shared" si="1003"/>
        <v/>
      </c>
      <c r="QJ241" s="43" t="str">
        <f t="shared" si="1004"/>
        <v/>
      </c>
      <c r="QK241" s="43" t="str">
        <f t="shared" si="1005"/>
        <v/>
      </c>
      <c r="QL241" s="43" t="str">
        <f t="shared" si="1006"/>
        <v/>
      </c>
      <c r="QM241" s="43" t="str">
        <f t="shared" si="1007"/>
        <v/>
      </c>
      <c r="QN241" s="43" t="str">
        <f t="shared" si="1008"/>
        <v/>
      </c>
      <c r="QO241" s="43" t="str">
        <f t="shared" si="1009"/>
        <v/>
      </c>
      <c r="QP241" s="43" t="str">
        <f t="shared" si="1010"/>
        <v/>
      </c>
      <c r="QQ241" s="43" t="str">
        <f t="shared" si="1011"/>
        <v/>
      </c>
      <c r="QR241" s="43" t="str">
        <f t="shared" si="1012"/>
        <v>Menor</v>
      </c>
      <c r="QS241" s="43"/>
      <c r="QT241" s="21" t="str">
        <f t="shared" si="1013"/>
        <v/>
      </c>
      <c r="QU241" s="21" t="str">
        <f t="shared" si="1014"/>
        <v/>
      </c>
      <c r="QV241" s="21" t="str">
        <f t="shared" si="1015"/>
        <v/>
      </c>
      <c r="QW241" s="21" t="str">
        <f t="shared" si="1016"/>
        <v/>
      </c>
      <c r="QX241" s="21" t="str">
        <f t="shared" si="1017"/>
        <v/>
      </c>
      <c r="QY241" s="21" t="str">
        <f t="shared" si="1018"/>
        <v/>
      </c>
      <c r="QZ241" s="21" t="str">
        <f t="shared" si="1019"/>
        <v/>
      </c>
      <c r="RA241" s="21" t="str">
        <f t="shared" si="1020"/>
        <v/>
      </c>
      <c r="RB241" s="21" t="str">
        <f t="shared" si="1021"/>
        <v/>
      </c>
      <c r="RC241" s="21" t="str">
        <f t="shared" si="1022"/>
        <v/>
      </c>
      <c r="RD241" s="21" t="str">
        <f t="shared" si="1023"/>
        <v/>
      </c>
      <c r="RE241" s="21" t="str">
        <f t="shared" si="1024"/>
        <v/>
      </c>
      <c r="RF241" s="21" t="str">
        <f t="shared" si="1025"/>
        <v/>
      </c>
      <c r="RG241" s="21" t="str">
        <f t="shared" si="1026"/>
        <v/>
      </c>
      <c r="RH241" s="21" t="str">
        <f t="shared" si="1027"/>
        <v/>
      </c>
      <c r="RI241" s="21" t="str">
        <f t="shared" si="1028"/>
        <v/>
      </c>
      <c r="RJ241" s="21" t="str">
        <f t="shared" si="1029"/>
        <v/>
      </c>
      <c r="RK241" s="21" t="str">
        <f t="shared" si="1030"/>
        <v/>
      </c>
      <c r="RL241" s="21" t="str">
        <f t="shared" si="1031"/>
        <v/>
      </c>
      <c r="RM241" s="21" t="str">
        <f t="shared" si="1032"/>
        <v/>
      </c>
      <c r="RN241" s="21" t="str">
        <f t="shared" si="1033"/>
        <v/>
      </c>
      <c r="RO241" s="21" t="str">
        <f t="shared" si="1034"/>
        <v/>
      </c>
      <c r="RP241" s="21" t="str">
        <f t="shared" si="1035"/>
        <v/>
      </c>
      <c r="RQ241" s="21" t="str">
        <f t="shared" si="1036"/>
        <v/>
      </c>
      <c r="RR241" s="21" t="str">
        <f t="shared" si="1037"/>
        <v/>
      </c>
      <c r="RS241" s="21" t="str">
        <f t="shared" si="1038"/>
        <v/>
      </c>
      <c r="RT241" s="21" t="str">
        <f t="shared" si="1039"/>
        <v/>
      </c>
      <c r="RU241" s="21" t="str">
        <f t="shared" si="1040"/>
        <v/>
      </c>
      <c r="RV241" s="21">
        <f t="shared" si="1041"/>
        <v>-1</v>
      </c>
      <c r="RW241" s="284">
        <f>IF(OR(Tabla1[[#This Row],[FUM FORMULA CONFIABLE]]="",Tabla1[[#This Row],[FUM FORMULA CONFIABLE]]="SD"),"",IF(Tabla1[[#This Row],[FUM FORMULA CONFIABLE]]="CORREGIDA",Tabla1[[#This Row],[FUM X ECO 1]],Tabla1[[#This Row],[FUM x AMENORREA]]))</f>
        <v>45097</v>
      </c>
      <c r="RX241" s="21" t="str">
        <f>IF(AND(Tabla1[[#This Row],[FUM X ECO 1]]="",Tabla1[[#This Row],[FUM x AMENORREA]]=""),"",IF(AND(Tabla1[[#This Row],[FUM X ECO 1]]="",Tabla1[[#This Row],[FUM x AMENORREA]]&lt;&gt;""),"X",SUM(Tabla1[[#This Row],[FUM X ECO 1]]-Tabla1[[#This Row],[FUM x AMENORREA]])))</f>
        <v>X</v>
      </c>
      <c r="RY241" s="21" t="str">
        <f t="shared" si="1042"/>
        <v>x</v>
      </c>
    </row>
    <row r="242" spans="1:493" ht="45" customHeight="1" x14ac:dyDescent="0.25">
      <c r="A242" s="393"/>
      <c r="B242" s="43"/>
      <c r="C242" s="43" t="s">
        <v>845</v>
      </c>
      <c r="D242" s="124"/>
      <c r="E242" s="43" t="s">
        <v>980</v>
      </c>
      <c r="F242" s="43" t="s">
        <v>1666</v>
      </c>
      <c r="G242" s="43" t="s">
        <v>1287</v>
      </c>
      <c r="H242" s="43" t="s">
        <v>919</v>
      </c>
      <c r="I242" s="109" t="s">
        <v>851</v>
      </c>
      <c r="J242" s="110">
        <v>1002846819</v>
      </c>
      <c r="K242" s="43" t="s">
        <v>852</v>
      </c>
      <c r="L242" s="175" t="s">
        <v>1509</v>
      </c>
      <c r="M242" s="22">
        <v>36644</v>
      </c>
      <c r="N242" s="213">
        <f t="shared" ca="1" si="841"/>
        <v>23.528767123287672</v>
      </c>
      <c r="O242" s="22">
        <v>45139</v>
      </c>
      <c r="P242" s="214" t="str">
        <f t="shared" si="919"/>
        <v>SI</v>
      </c>
      <c r="Q242" s="26" t="s">
        <v>855</v>
      </c>
      <c r="R242" s="22">
        <v>45139</v>
      </c>
      <c r="S242" s="21" t="s">
        <v>856</v>
      </c>
      <c r="T242" s="24" t="s">
        <v>690</v>
      </c>
      <c r="U242" s="21" t="s">
        <v>857</v>
      </c>
      <c r="V242" s="21" t="s">
        <v>858</v>
      </c>
      <c r="W242" s="21" t="s">
        <v>1259</v>
      </c>
      <c r="X242" s="21" t="s">
        <v>1259</v>
      </c>
      <c r="Y242" s="21" t="s">
        <v>1259</v>
      </c>
      <c r="Z242" s="21" t="s">
        <v>894</v>
      </c>
      <c r="AA242" s="21" t="s">
        <v>860</v>
      </c>
      <c r="AB242" s="27" t="s">
        <v>861</v>
      </c>
      <c r="AC242" s="26" t="s">
        <v>846</v>
      </c>
      <c r="AD242" s="21" t="s">
        <v>1546</v>
      </c>
      <c r="AE242" s="26" t="s">
        <v>854</v>
      </c>
      <c r="AF242" s="26" t="s">
        <v>854</v>
      </c>
      <c r="AG242" s="23" t="s">
        <v>864</v>
      </c>
      <c r="AH242" s="23" t="s">
        <v>864</v>
      </c>
      <c r="AI242" s="24" t="s">
        <v>863</v>
      </c>
      <c r="AJ242" s="23" t="s">
        <v>864</v>
      </c>
      <c r="AK242" s="220" t="str">
        <f>IF(AND(AD242="",AE242="",AF242="",AG242="",AH242="",AI242="",AJ242=""),"",IF(OR(Tabla1[[#This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EVALUACIÓN",IF(AND(O242="",R242=""),"",IF(AND(OR(O242&gt;0,R242&gt;0),NG242&gt;=0,NG242&lt;2),"SIN RIESGO",IF(AND(OR(O242&gt;0,R242&gt;0),NG242&gt;=2),"CON RIESGO","ASD")))))</f>
        <v>SIN RIESGO</v>
      </c>
      <c r="AL242" s="26" t="s">
        <v>864</v>
      </c>
      <c r="AM242" s="26" t="s">
        <v>864</v>
      </c>
      <c r="AN242" s="26" t="s">
        <v>864</v>
      </c>
      <c r="AO242" s="26" t="s">
        <v>864</v>
      </c>
      <c r="AP242" s="26" t="s">
        <v>864</v>
      </c>
      <c r="AQ242" s="26" t="s">
        <v>864</v>
      </c>
      <c r="AR242" s="26" t="s">
        <v>864</v>
      </c>
      <c r="AS242" s="21">
        <v>0</v>
      </c>
      <c r="AT242" s="21">
        <v>0</v>
      </c>
      <c r="AU242" s="21">
        <v>0</v>
      </c>
      <c r="AV242" s="26" t="s">
        <v>864</v>
      </c>
      <c r="AW242" s="21">
        <v>0</v>
      </c>
      <c r="AX242" s="26" t="s">
        <v>864</v>
      </c>
      <c r="AY242" s="26" t="s">
        <v>864</v>
      </c>
      <c r="AZ242" s="26" t="s">
        <v>864</v>
      </c>
      <c r="BA242" s="26" t="s">
        <v>864</v>
      </c>
      <c r="BB242" s="26" t="s">
        <v>864</v>
      </c>
      <c r="BC242" s="26" t="s">
        <v>864</v>
      </c>
      <c r="BD242" s="26" t="s">
        <v>864</v>
      </c>
      <c r="BE242" s="26" t="s">
        <v>864</v>
      </c>
      <c r="BF242" s="26" t="s">
        <v>864</v>
      </c>
      <c r="BG242" s="26" t="s">
        <v>864</v>
      </c>
      <c r="BH242" s="26" t="s">
        <v>864</v>
      </c>
      <c r="BI242" s="26" t="s">
        <v>864</v>
      </c>
      <c r="BJ242" s="26" t="s">
        <v>864</v>
      </c>
      <c r="BK242" s="26" t="s">
        <v>864</v>
      </c>
      <c r="BL242" s="26" t="s">
        <v>864</v>
      </c>
      <c r="BM242" s="26" t="s">
        <v>864</v>
      </c>
      <c r="BN242" s="22"/>
      <c r="BO242" s="22">
        <v>45034</v>
      </c>
      <c r="BP242" s="21" t="s">
        <v>854</v>
      </c>
      <c r="BQ242" s="222">
        <f t="shared" si="842"/>
        <v>0</v>
      </c>
      <c r="BR242" s="223">
        <f t="shared" si="843"/>
        <v>45034.2</v>
      </c>
      <c r="BS242" s="224">
        <f t="shared" si="844"/>
        <v>15</v>
      </c>
      <c r="BT242" s="216" t="str">
        <f t="shared" si="845"/>
        <v>II TRIM</v>
      </c>
      <c r="BU242" s="214">
        <f t="shared" ca="1" si="928"/>
        <v>28.285714285714285</v>
      </c>
      <c r="BV242" s="25" t="s">
        <v>1525</v>
      </c>
      <c r="BW242" s="22">
        <v>45121</v>
      </c>
      <c r="BX242" s="28">
        <v>12.4</v>
      </c>
      <c r="BY242" s="28"/>
      <c r="BZ242" s="22"/>
      <c r="CA242" s="21"/>
      <c r="CB242" s="26" t="s">
        <v>864</v>
      </c>
      <c r="CC242" s="26" t="s">
        <v>864</v>
      </c>
      <c r="CD242" s="26"/>
      <c r="CE242" s="26" t="s">
        <v>864</v>
      </c>
      <c r="CF242" s="22" t="s">
        <v>1517</v>
      </c>
      <c r="CG242" s="21">
        <v>1.6</v>
      </c>
      <c r="CH242" s="21">
        <v>57</v>
      </c>
      <c r="CI242" s="214">
        <f t="shared" si="847"/>
        <v>22.265624999999996</v>
      </c>
      <c r="CJ242" s="225" t="e">
        <f>IF(AND(CI242&lt;10,CH242="SD"),"SIN DATO PESO PREGESTACION O I TRIM",IF(AND(OR(R242&gt;0,O242&gt;0),CI242="X"),"INGRESAR DATO DE PESO",IF(CI242="SD","INGRESAR DATO DE TALLA Y PESO",IF(AND(OR(Tabla1[[#This Row],[MOMENTO EN QUE SE REALIZA EL PESO AL INGRESO A CPN]]="PREGESTACIÓN",NZ242="Menor"),CI242&lt;18.5),"BAJO PESO",IF(AND(OR(Tabla1[[#This Row],[MOMENTO EN QUE SE REALIZA EL PESO AL INGRESO A CPN]]="PREGESTACIÓN",NZ242="Menor"),CI242&lt;25),"NORMAL",IF(AND(OR(Tabla1[[#This Row],[MOMENTO EN QUE SE REALIZA EL PESO AL INGRESO A CPN]]="PREGESTACIÓN",NZ242="Menor"),CI242&lt;30),"SOBREPESO",IF(AND(OR(Tabla1[[#This Row],[MOMENTO EN QUE SE REALIZA EL PESO AL INGRESO A CPN]]="PREGESTACIÓN",NZ242="Menor"),CI242&gt;=30,CI242&lt;50),"OBESIDAD",IF(AND(BS242&gt;0,Tabla1[[#This Row],[MOMENTO EN QUE SE REALIZA EL PESO AL INGRESO A CPN]]="GESTACIÓN"),HLOOKUP(NZ242,$OA$2:PH242,NY242),""))))))))</f>
        <v>#REF!</v>
      </c>
      <c r="CK242" s="212">
        <f t="shared" si="848"/>
        <v>45139</v>
      </c>
      <c r="CL242" s="21">
        <v>57</v>
      </c>
      <c r="CM242" s="214">
        <f t="shared" si="849"/>
        <v>22.265624999999996</v>
      </c>
      <c r="CN242" s="216">
        <f t="shared" si="850"/>
        <v>15</v>
      </c>
      <c r="CO242" s="216" t="e">
        <f>IF(PI242="","",IF(PI242&gt;0,HLOOKUP(PI242,$PJ$2:QQ242,NY242),""))</f>
        <v>#REF!</v>
      </c>
      <c r="CP242" s="21"/>
      <c r="CQ242" s="216" t="e">
        <f>IF(QR242="Menor","NO APLICA-MENOR 13 SEM",IF(AND(CC242="SI",CN242&gt;23),"NO APLICA- GEMELAR",IF(QR242="","",IF(QR242&gt;0,HLOOKUP(QR242,$QS$2:RU242,NY242),""))))</f>
        <v>#REF!</v>
      </c>
      <c r="CR242" s="21"/>
      <c r="CS242" s="21"/>
      <c r="CT242" s="217" t="str">
        <f>IF(R242="","",IF(AND(BS242&gt;1,BS242&lt;12,Tabla1[[#This Row],[T.A. SISTOLICA - ANTES DE SEMANA 12]]="",Tabla1[[#This Row],[T.A. DIASTOLICA - ANTES DE SEMANA 12]]=""),"REGISTRE DATO TA ANTES SEMANA 12",IF(AND(BS242&gt;11,BS242&lt;43,Tabla1[[#This Row],[T.A. SISTOLICA - ANTES DE SEMANA 12]]="",Tabla1[[#This Row],[T.A. DIASTOLICA - ANTES DE SEMANA 12]]=""),"NO APLICA REGISTRO TA-INGRESO TARDIO",IF(AND(OR(O242&gt;0,R242&gt;0),OR(CR242&gt;=140,CS242&gt;=90)),"DEFINIR ESTADIO HTA",IF(AND(OR(O242&gt;0,R242&gt;0),AND(CR242&gt;120,CR242&lt;=139)),"PRE HTA SEGUIMIENTO",IF(AND(OR(O242&gt;0,R242&gt;0),AND(CS242&gt;80,CS242&lt;=89)),"PRE HTA SEGUIMIENTO",IF(AND(OR(O242&gt;0,R242&gt;0),AND(CR242&gt;=80,CR242&lt;=120)),"APARENTEMENTE NORMAL",IF(AND(OR(O242&gt;0,R242&gt;0),AND(CS242&gt;=50,CS242&lt;=80)),"APARENTEMENTE NORMAL",IF(AND(OR(O242&gt;0,R242&gt;0),AND(CR242&gt;1,CR242&lt;=70),AND(CS242&gt;1,CS242&lt;=40)),"HIPOTENSIÓN","")))))))))</f>
        <v>NO APLICA REGISTRO TA-INGRESO TARDIO</v>
      </c>
      <c r="CU242" s="21"/>
      <c r="CV242" s="21"/>
      <c r="CW242" s="217" t="str">
        <f ca="1">IF(R242="","",IF(AND(CN242&gt;19,CN242&lt;27,Tabla1[[#This Row],[T.A. SISTOLICA (Entre semana 20 y 26)]]="",Tabla1[[#This Row],[T.A. DIATOLICA (Entre semana 20 y 26)]]=""),"ACUDE A CONTROL SEM 20 A 26 REGISTRE TA AHORA",IF(AND(BS242&gt;1,BS242&lt;27,BU242&gt;19,Tabla1[[#This Row],[T.A. SISTOLICA (Entre semana 20 y 26)]]="",Tabla1[[#This Row],[T.A. DIATOLICA (Entre semana 20 y 26)]]=""),"COMPLETE REGISTRO TA CONTROL SEM 20 A26 ",IF(AND(BS242&gt;26,BS242&lt;43,Tabla1[[#This Row],[T.A. SISTOLICA (Entre semana 20 y 26)]]="",Tabla1[[#This Row],[T.A. DIATOLICA (Entre semana 20 y 26)]]=""),"NO APLICA REGISTRO TA-INGRESO TARDIO",IF(AND(OR(O242&gt;0,R242&gt;0),OR(CU242&gt;=140,CV242&gt;=90)),"ALTO RIESGO PREECLAMPSIA,DEFINIR ESTADIO HTA",IF(AND(OR(O242&gt;0,R242&gt;0),AND(CU242&gt;120,CU242&lt;=139)),"PRE HTA SEGUIMIENTO,RIESGO HIPERTENSION INDUCIDA POR EL EMBARAZO",IF(AND(OR(O242&gt;0,R242&gt;0),AND(CV242&gt;80,CV242&lt;=89)),"PRE HTA SEGUIMIENTO, RIESGO HIPERTENSION INDUCIDA POR EL EMBARAZO",IF(AND(OR(O242&lt;&gt;"",R242&lt;&gt;""),CS242&lt;&gt;"",CV242&lt;&gt;"",CS242&lt;=CV242),"VIGILAR CIFRAS PRESION ARTERIAL",IF(AND(OR(O242&gt;0,R242&gt;0),AND(CU242&gt;120,CU242&lt;=139)),"PRE HTA SEGUIMIENTO",IF(AND(OR(O242&gt;0,R242&gt;0),AND(CU242&gt;1,CU242&lt;=70),AND(CV242&gt;1,CV242&lt;=40)),"HIPOTENSIÓN",IF(AND(OR(O242&lt;&gt;"",R242&lt;&gt;""),CS242&lt;&gt;"",CV242&lt;&gt;"",CS242&gt;CV242),"APARENTEMENTE NORMAL",IF(AND(OR(O242&gt;0,R242&gt;0),AND(CU242&gt;=80,CU242&lt;=120)),"APARENTEMENTE NORMAL",IF(AND(OR(O242&gt;0,R242&gt;0),AND(CV242&gt;=50,CV242&lt;=80)),"APARENTEMENTE NORMAL","")))))))))))))</f>
        <v xml:space="preserve">COMPLETE REGISTRO TA CONTROL SEM 20 A26 </v>
      </c>
      <c r="CX242" s="21"/>
      <c r="CY242" s="21"/>
      <c r="CZ242" s="216" t="str">
        <f t="shared" si="1045"/>
        <v/>
      </c>
      <c r="DA242" s="21">
        <v>90</v>
      </c>
      <c r="DB242" s="21">
        <v>60</v>
      </c>
      <c r="DC242" s="217" t="str">
        <f t="shared" si="851"/>
        <v>APARENTEMENTE NORMAL</v>
      </c>
      <c r="DD242" s="22">
        <v>45139</v>
      </c>
      <c r="DE242" s="22">
        <v>45139</v>
      </c>
      <c r="DF242" s="22">
        <v>45139</v>
      </c>
      <c r="DG242" s="22"/>
      <c r="DH242" s="22"/>
      <c r="DI242" s="22"/>
      <c r="DJ242" s="22"/>
      <c r="DK242" s="22"/>
      <c r="DL242" s="22"/>
      <c r="DM242" s="22"/>
      <c r="DN242" s="22"/>
      <c r="DO242" s="22"/>
      <c r="DP242" s="22"/>
      <c r="DQ242" s="22"/>
      <c r="DR242" s="28"/>
      <c r="DS242" s="22"/>
      <c r="DT242" s="22"/>
      <c r="DU242" s="216" t="str">
        <f t="shared" ca="1" si="920"/>
        <v>PLANEAR PLAN DE PARTO</v>
      </c>
      <c r="DV242" s="226" t="str">
        <f t="shared" si="921"/>
        <v>ACTIVA INGRESO A CPN</v>
      </c>
      <c r="DW242"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42" s="216" t="e">
        <f t="shared" ca="1" si="852"/>
        <v>#REF!</v>
      </c>
      <c r="DY242" s="212">
        <f>IF(R242="","",IF(R242&gt;0,MAX(Tabla1[[#This Row],[FECHA C2]:[FECHA C13]],Tabla1[[#This Row],[FECHA CONSULTA PRIMERA VEZ PROGRAMA CPN ]])))</f>
        <v>45139</v>
      </c>
      <c r="DZ242" s="216">
        <f t="shared" si="853"/>
        <v>15</v>
      </c>
      <c r="EA242" s="222">
        <f>IF(R242&gt;0,SUM(COUNTA(DF242:DQ242)+COUNTA(Tabla1[[#This Row],[FECHA CONSULTA PRIMERA VEZ PROGRAMA CPN ]])),"")</f>
        <v>2</v>
      </c>
      <c r="EB242" s="222" t="str">
        <f t="shared" si="854"/>
        <v>NO</v>
      </c>
      <c r="EC242" s="214">
        <f t="shared" si="855"/>
        <v>8</v>
      </c>
      <c r="ED242" s="227">
        <f t="shared" si="856"/>
        <v>0.25</v>
      </c>
      <c r="EE242" s="22">
        <v>45139</v>
      </c>
      <c r="EF242" s="22"/>
      <c r="EG242" s="22">
        <v>45139</v>
      </c>
      <c r="EH242" s="22"/>
      <c r="EI242" s="22">
        <v>45139</v>
      </c>
      <c r="EJ242" s="22"/>
      <c r="EK242" s="22"/>
      <c r="EL242" s="21"/>
      <c r="EM242" s="21">
        <v>14.1</v>
      </c>
      <c r="EN242" s="22">
        <v>45115</v>
      </c>
      <c r="EO242" s="222">
        <f t="shared" si="857"/>
        <v>11.571428571428571</v>
      </c>
      <c r="EP242" s="214" t="str">
        <f t="shared" si="858"/>
        <v>NO DAR SULFATO FERROSO</v>
      </c>
      <c r="EQ242" s="216" t="str">
        <f t="shared" si="859"/>
        <v>I TRIM</v>
      </c>
      <c r="ER242" s="24"/>
      <c r="ES242" s="22"/>
      <c r="ET242" s="29" t="str">
        <f t="shared" ca="1" si="922"/>
        <v>EN SEMANA 28 TOMA INMEDIATA DE EXAMEN</v>
      </c>
      <c r="EU242" s="25" t="str">
        <f t="shared" si="860"/>
        <v/>
      </c>
      <c r="EV242" s="24" t="s">
        <v>1510</v>
      </c>
      <c r="EW242" s="22">
        <v>45115</v>
      </c>
      <c r="EX242" s="22"/>
      <c r="EY242" s="29">
        <f t="shared" si="1043"/>
        <v>11.571428571428571</v>
      </c>
      <c r="EZ242" s="25" t="str">
        <f t="shared" si="1044"/>
        <v>SIN RIESGO DE ISOINMUNIZACIÓN</v>
      </c>
      <c r="FA242" s="21">
        <v>81</v>
      </c>
      <c r="FB242" s="22">
        <v>45115</v>
      </c>
      <c r="FC242" s="29">
        <f t="shared" si="861"/>
        <v>11.571428571428571</v>
      </c>
      <c r="FD242" s="29"/>
      <c r="FE242" s="29"/>
      <c r="FF242" s="29"/>
      <c r="FG242" s="21" t="str">
        <f t="shared" ca="1" si="862"/>
        <v>TOMAR PTOG</v>
      </c>
      <c r="FH242" s="31"/>
      <c r="FI242" s="29" t="str">
        <f t="shared" si="863"/>
        <v>TOMAR EXAMEN</v>
      </c>
      <c r="FJ242" s="22" t="s">
        <v>867</v>
      </c>
      <c r="FK242" s="22">
        <v>45115</v>
      </c>
      <c r="FL242" s="29">
        <f t="shared" ca="1" si="864"/>
        <v>11.571428571428571</v>
      </c>
      <c r="FM242" s="22"/>
      <c r="FN242" s="22"/>
      <c r="FO242" s="29" t="str">
        <f t="shared" ca="1" si="923"/>
        <v>PIERDE TOMA DE TAMIZAJE</v>
      </c>
      <c r="FP242" s="22"/>
      <c r="FQ242" s="32"/>
      <c r="FR242" s="29" t="str">
        <f t="shared" ca="1" si="924"/>
        <v>EN RANGO PARA TOMAR EXAMEN</v>
      </c>
      <c r="FS242" s="22"/>
      <c r="FT242" s="32"/>
      <c r="FU242" s="29" t="str">
        <f>IF(AND(FJ242="",FM242="",FP242="",FS242=""),"",IF(OR(OR(Tabla1[[#This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42" s="28"/>
      <c r="FW242" s="22"/>
      <c r="FX242" s="29" t="str">
        <f t="shared" si="865"/>
        <v>TOMAR EXAMEN</v>
      </c>
      <c r="FY242" s="22" t="s">
        <v>868</v>
      </c>
      <c r="FZ242" s="22">
        <v>45115</v>
      </c>
      <c r="GA242" s="29">
        <f t="shared" ca="1" si="939"/>
        <v>11.571428571428571</v>
      </c>
      <c r="GB242" s="22"/>
      <c r="GC242" s="22"/>
      <c r="GD242" s="29" t="str">
        <f t="shared" ca="1" si="1048"/>
        <v>PIERDE TOMA DE TAMIZAJE</v>
      </c>
      <c r="GE242" s="22"/>
      <c r="GF242" s="22"/>
      <c r="GG242" s="29" t="str">
        <f t="shared" ca="1" si="926"/>
        <v>EN RANGO PARA TOMAR EXAMEN</v>
      </c>
      <c r="GH242" s="22"/>
      <c r="GI242" s="29"/>
      <c r="GJ242" s="22"/>
      <c r="GK242" s="22"/>
      <c r="GL242" s="22"/>
      <c r="GM242" s="22"/>
      <c r="GN242" s="28" t="s">
        <v>869</v>
      </c>
      <c r="GO242" s="22">
        <v>45115</v>
      </c>
      <c r="GP242" s="29">
        <f t="shared" si="866"/>
        <v>11.571428571428571</v>
      </c>
      <c r="GQ242" s="28" t="s">
        <v>869</v>
      </c>
      <c r="GR242" s="28" t="s">
        <v>869</v>
      </c>
      <c r="GS242" s="22" t="str">
        <f t="shared" si="1047"/>
        <v>CONTROL Igm</v>
      </c>
      <c r="GT242" s="22">
        <v>45115</v>
      </c>
      <c r="GU242" s="29">
        <f t="shared" si="867"/>
        <v>11.571428571428571</v>
      </c>
      <c r="GV242" s="21" t="str">
        <f t="shared" si="868"/>
        <v>I TRIM</v>
      </c>
      <c r="GW242" s="28"/>
      <c r="GX242" s="30"/>
      <c r="GY242" s="21"/>
      <c r="GZ242" s="21"/>
      <c r="HA242" s="21"/>
      <c r="HB242" s="21"/>
      <c r="HC242" s="21"/>
      <c r="HD242" s="21"/>
      <c r="HE242" s="21"/>
      <c r="HF242" s="22"/>
      <c r="HG242" s="22" t="str">
        <f>IF(OR(O242&gt;0,R242&gt;0),CONCATENATE(IF(Tabla1[[#This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42" s="22" t="e">
        <f t="shared" si="869"/>
        <v>#REF!</v>
      </c>
      <c r="HI242" s="22" t="e">
        <f t="shared" ca="1" si="870"/>
        <v>#REF!</v>
      </c>
      <c r="HJ242" s="21" t="str">
        <f t="shared" ca="1" si="871"/>
        <v>**********************MULTIPARIDAD*****************</v>
      </c>
      <c r="HK242" s="21" t="str">
        <f t="shared" si="872"/>
        <v>SIN ANTECEDENTES DE RIESGO</v>
      </c>
      <c r="HL242" s="24" t="str">
        <f t="shared" si="873"/>
        <v>APARENTEMENTE NORMAL</v>
      </c>
      <c r="HM242" s="21" t="e">
        <f t="shared" ca="1" si="874"/>
        <v>#REF!</v>
      </c>
      <c r="HN242" s="30" t="str">
        <f t="shared" si="927"/>
        <v>ACTIVA INGRESO A CPN</v>
      </c>
      <c r="HO242" s="21"/>
      <c r="HP242" s="21"/>
      <c r="HQ242" s="349"/>
      <c r="HR242" s="21" t="str">
        <f>IF(R242="","",IF(Tabla1[[#This Row],[ALARMA FACTORES DE RIESGO COMPLICACIONES HIPERTENSIVAS3]]="SIN ANTECEDENTES DE RIESGO","No Aplica para suministro de ASA",IF(AND(Tabla1[[#This Row],[FECHA INICIO DE SUMINISTRO DE ASA]]&gt;0,RV242&lt;12),"Inicia ASA ANTES de Sem 12",IF(AND(RV242&gt;11,RV242&lt;17,OR(HK242="RIESGO ALTO DE COMPLICACIONES HIPERTENSIVAS VER MANEJO GUIA SUMINISTRO ASA Y CALCIO",HK242="RIESGO MODERADO (2 O MAS CRITERIOS) VER MANEJO GUIA SUMINISTRO ASA Y CALCIO")),"Inicio oportuno de ASA",IF(AND(RV242&gt;12,OR(HK242="RIESGO ALTO DE COMPLICACIONES HIPERTENSIVAS VER MANEJO GUIA SUMINISTRO ASA Y CALCIO",HK242="RIESGO MODERADO (2 O MAS CRITERIOS) VER MANEJO GUIA SUMINISTRO ASA Y CALCIO")),"Inicio no oportuno mayor a 16 semanas",IF(AND(BU242&lt;12,OR(HK242="RIESGO ALTO DE COMPLICACIONES HIPERTENSIVAS VER MANEJO GUIA SUMINISTRO ASA Y CALCIO",HK242="RIESGO MODERADO (2 O MAS CRITERIOS) VER MANEJO GUIA SUMINISTRO ASA Y CALCIO")),"Pendiente Inicio de ASA a la semana 12",IF(AND(BU242&gt;11,BU242&lt;17,OR(HK242="RIESGO ALTO DE COMPLICACIONES HIPERTENSIVAS VER MANEJO GUIA SUMINISTRO ASA Y CALCIO",HK242="RIESGO MODERADO (2 O MAS CRITERIOS) VER MANEJO GUIA SUMINISTRO ASA Y CALCIO")),"Iniciar de inmediato ASA",IF(AND(BU242&gt;16,OR(HK242="RIESGO ALTO DE COMPLICACIONES HIPERTENSIVAS VER MANEJO GUIA SUMINISTRO ASA Y CALCIO",HK242="RIESGO MODERADO (2 O MAS CRITERIOS) VER MANEJO GUIA SUMINISTRO ASA Y CALCIO")),"Pierde Oportunidad, Inicio tardío de ASA","XXXXX"))))))))</f>
        <v>No Aplica para suministro de ASA</v>
      </c>
      <c r="HS242" s="22">
        <v>45115</v>
      </c>
      <c r="HT242" s="22" t="s">
        <v>1518</v>
      </c>
      <c r="HU242" s="22">
        <v>45115</v>
      </c>
      <c r="HV242" s="22" t="s">
        <v>1544</v>
      </c>
      <c r="HW242" s="22"/>
      <c r="HX242" s="22" t="s">
        <v>1511</v>
      </c>
      <c r="HY242" s="22"/>
      <c r="HZ242" s="28" t="str">
        <f t="shared" si="875"/>
        <v>PENDIENTE CONSULTA</v>
      </c>
      <c r="IA242" s="26"/>
      <c r="IB242" s="26"/>
      <c r="IC242" s="111"/>
      <c r="ID242" s="22"/>
      <c r="IE242" s="22" t="str">
        <f t="shared" ca="1" si="876"/>
        <v>INASISTENTE</v>
      </c>
      <c r="IF242" s="22"/>
      <c r="IG242" s="22">
        <f t="shared" si="877"/>
        <v>45314</v>
      </c>
      <c r="IH242" s="29">
        <f t="shared" ca="1" si="878"/>
        <v>82</v>
      </c>
      <c r="II242" s="22" t="str">
        <f t="shared" ca="1" si="879"/>
        <v>PENDIENTE</v>
      </c>
      <c r="IJ242" s="22"/>
      <c r="IK242" s="21"/>
      <c r="IL242" s="21"/>
      <c r="IM242" s="34"/>
      <c r="IN242" s="22"/>
      <c r="IO242" s="21"/>
      <c r="IP242" s="29" t="str">
        <f t="shared" si="880"/>
        <v/>
      </c>
      <c r="IQ242" s="35"/>
      <c r="IR242" s="21"/>
      <c r="IS242" s="21"/>
      <c r="IT242" s="21"/>
      <c r="IU242" s="21"/>
      <c r="IV242" s="21"/>
      <c r="IW242" s="21"/>
      <c r="IX242" s="21"/>
      <c r="IY242" s="21"/>
      <c r="IZ242" s="21"/>
      <c r="JA242" s="21"/>
      <c r="JB242" s="30"/>
      <c r="JC242" s="21"/>
      <c r="JD242" s="36"/>
      <c r="JE242" s="21" t="str">
        <f t="shared" si="881"/>
        <v/>
      </c>
      <c r="JF242" s="30"/>
      <c r="JG242" s="21"/>
      <c r="JH242" s="21"/>
      <c r="JI242" s="21"/>
      <c r="JJ242" s="30"/>
      <c r="JK242" s="22"/>
      <c r="JL242" s="22"/>
      <c r="JM242" s="21"/>
      <c r="JN242" s="36"/>
      <c r="JO242" s="21" t="str">
        <f t="shared" si="882"/>
        <v/>
      </c>
      <c r="JP242" s="22"/>
      <c r="JQ242" s="21"/>
      <c r="JR242" s="21"/>
      <c r="JS242" s="21"/>
      <c r="JT242" s="30"/>
      <c r="JU242" s="22"/>
      <c r="JV242" s="22"/>
      <c r="JW242" s="33"/>
      <c r="JX242" s="28" t="str">
        <f t="shared" si="883"/>
        <v/>
      </c>
      <c r="JY242" s="33"/>
      <c r="JZ242" s="28" t="str">
        <f t="shared" si="884"/>
        <v/>
      </c>
      <c r="KA242" s="21"/>
      <c r="KB242" s="21"/>
      <c r="KC242" s="21"/>
      <c r="KD242" s="37"/>
      <c r="KE242" s="28"/>
      <c r="KF242" s="28"/>
      <c r="KG242" s="28"/>
      <c r="KH242" s="39"/>
      <c r="KI242" s="39"/>
      <c r="KJ242" s="66"/>
      <c r="KK242" s="39"/>
      <c r="KL242" s="39"/>
      <c r="KM242" s="66"/>
      <c r="KN242" s="39"/>
      <c r="KO242" s="39"/>
      <c r="KP242" s="39"/>
      <c r="KQ242" s="39"/>
      <c r="KR242" s="39"/>
      <c r="KS242" s="39"/>
      <c r="KT242" s="39"/>
      <c r="KU242" s="38"/>
      <c r="KV242" s="38"/>
      <c r="KW242" s="38"/>
      <c r="KX242" s="38"/>
      <c r="KY242" s="38"/>
      <c r="KZ242" s="38"/>
      <c r="LA242" s="38"/>
      <c r="LB242" s="38"/>
      <c r="LC242" s="38"/>
      <c r="LD242" s="38"/>
      <c r="LE242" s="38"/>
      <c r="LF242" s="38"/>
      <c r="LG242" s="38"/>
      <c r="LH242" s="38"/>
      <c r="LI242" s="38"/>
      <c r="LJ242" s="38"/>
      <c r="LK242" s="38"/>
      <c r="LL242" s="38"/>
      <c r="LM242" s="38"/>
      <c r="LN242" s="38"/>
      <c r="LO242" s="38"/>
      <c r="LP242" s="38"/>
      <c r="LQ242" s="38"/>
      <c r="LR242" s="38"/>
      <c r="LS242" s="38"/>
      <c r="LT242" s="38"/>
      <c r="LU242" s="38"/>
      <c r="LV242" s="38"/>
      <c r="LW242" s="38"/>
      <c r="LX242" s="38"/>
      <c r="LY242" s="38"/>
      <c r="LZ242" s="38"/>
      <c r="MA242" s="38"/>
      <c r="MB242" s="38"/>
      <c r="MC242" s="38"/>
      <c r="MD242" s="38"/>
      <c r="ME242" s="38"/>
      <c r="MF242" s="38"/>
      <c r="MG242" s="38"/>
      <c r="MH242" s="43">
        <f t="shared" si="885"/>
        <v>0</v>
      </c>
      <c r="MI242" s="43" t="str">
        <f t="shared" si="929"/>
        <v/>
      </c>
      <c r="MJ242" s="43" t="str">
        <f t="shared" si="887"/>
        <v/>
      </c>
      <c r="MK242" s="43">
        <f t="shared" si="888"/>
        <v>0</v>
      </c>
      <c r="ML24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42" s="43">
        <f t="shared" si="930"/>
        <v>15</v>
      </c>
      <c r="MN242" s="43">
        <f t="shared" si="931"/>
        <v>8</v>
      </c>
      <c r="MO242" s="43">
        <f t="shared" si="932"/>
        <v>2023</v>
      </c>
      <c r="MP242" s="43" t="str">
        <f t="shared" si="892"/>
        <v>III TRIMESTRE AÑO</v>
      </c>
      <c r="MQ242" s="43">
        <f t="shared" si="933"/>
        <v>22.922141918528251</v>
      </c>
      <c r="MR242" s="43">
        <f t="shared" si="894"/>
        <v>0</v>
      </c>
      <c r="MS242" s="43" t="str">
        <f t="shared" si="895"/>
        <v xml:space="preserve"> DE 20 A 24 AÑOS</v>
      </c>
      <c r="MT242" s="43">
        <f t="shared" si="896"/>
        <v>0</v>
      </c>
      <c r="MU242" s="43">
        <f t="shared" si="897"/>
        <v>1</v>
      </c>
      <c r="MV242" s="43">
        <f t="shared" si="898"/>
        <v>0</v>
      </c>
      <c r="MW242" s="43">
        <f t="shared" si="899"/>
        <v>0</v>
      </c>
      <c r="MX242" s="43" t="str">
        <f t="shared" si="900"/>
        <v/>
      </c>
      <c r="MY242" s="43" t="str">
        <f t="shared" ca="1" si="901"/>
        <v/>
      </c>
      <c r="MZ242" s="43" t="str">
        <f t="shared" si="902"/>
        <v/>
      </c>
      <c r="NA242" s="43" t="str">
        <f t="shared" si="903"/>
        <v/>
      </c>
      <c r="NB242" s="43" t="str">
        <f t="shared" si="904"/>
        <v/>
      </c>
      <c r="NC242" s="43" t="str">
        <f t="shared" si="905"/>
        <v/>
      </c>
      <c r="ND242" s="43">
        <f t="shared" ca="1" si="934"/>
        <v>1</v>
      </c>
      <c r="NE242" s="43">
        <f>IF(OR(O242&gt;0,R242&gt;0),SUM(COUNTIF(Tabla1[[#This Row],[AÑOS AL INICIO5 CPN]],"&gt;=40"),COUNTIF(AS242,"0"),COUNTIF(AR242,"SI"),COUNTIF(CC242,"SI"),COUNTIF(BQ242,"&gt;119"),COUNTIF(CI242,"&gt;=35")),"")</f>
        <v>1</v>
      </c>
      <c r="NF242" s="43" t="str">
        <f t="shared" si="935"/>
        <v/>
      </c>
      <c r="NG242" s="43">
        <f t="shared" si="908"/>
        <v>0</v>
      </c>
      <c r="NH242" s="43">
        <f t="shared" si="909"/>
        <v>86.8</v>
      </c>
      <c r="NI24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CPN",P242="NO"),"Z",IF(AND(Tabla1[[#This Row],[CITA PROXIMO CONTROL]]="CITA MANUAL",Tabla1[[#This Row],[GESTANTES ACTUALES]]="ACTIVA INGRESO A CPN"),"W",IF(AND(Tabla1[[#This Row],[GESTANTES ACTUALES]]="SALIO PROGRAMA",IN242=""),"S",IF(AND(Tabla1[[#This Row],[CITA PROXIMO CONTROL]]&gt;0,IN242=""),(Tabla1[[#This Row],[CITA PROXIMO CONTROL]]-TODAY()),"SD"))))))))</f>
        <v>#REF!</v>
      </c>
      <c r="NJ242" s="43">
        <f>MONTH(Tabla1[[#This Row],[FECHA DE SALIDA  DEL PROGRAMA]])</f>
        <v>1</v>
      </c>
      <c r="NK242" s="43">
        <f>YEAR(Tabla1[[#This Row],[FECHA DE SALIDA  DEL PROGRAMA]])</f>
        <v>1900</v>
      </c>
      <c r="NL242" s="43" t="str">
        <f t="shared" si="936"/>
        <v>X</v>
      </c>
      <c r="NM242" s="43" t="str">
        <f t="shared" si="941"/>
        <v>NO</v>
      </c>
      <c r="NN242" s="43" t="str">
        <f ca="1">IF(AND(O242&gt;0,R242=""),"NO CPN",IF(AND(O242="",R242=""),"",IF(AND(R242&gt;0,Tabla1[[#This Row],[SEMANAS DE GESTACION ACTUALIZADAS]]&lt;=12),"NO APLICA",IF(AND(FH242&lt;&gt;"",FN242&lt;&gt;""),"SI","NO"))))</f>
        <v>NO</v>
      </c>
      <c r="NO242" s="43" t="str">
        <f ca="1">IF(AND(O242&gt;0,R242=""),"NO CPN",IF(AND(O242="",R242=""),"",IF(AND(R242&gt;0,Tabla1[[#This Row],[SEMANAS DE GESTACION ACTUALIZADAS]]&lt;=27),"NO APLICA",IF(AND(ES242&lt;&gt;"",FQ242&lt;&gt;"",GF242&lt;&gt;""),"SI","NO"))))</f>
        <v>NO</v>
      </c>
      <c r="NP242" s="204" t="str">
        <f t="shared" si="912"/>
        <v>II TRIM</v>
      </c>
      <c r="NQ242" s="21" t="str">
        <f t="shared" si="1046"/>
        <v/>
      </c>
      <c r="NR242" s="21">
        <f t="shared" ca="1" si="937"/>
        <v>2</v>
      </c>
      <c r="NS242" s="205">
        <f t="shared" ca="1" si="914"/>
        <v>1</v>
      </c>
      <c r="NT242" s="21">
        <f t="shared" ca="1" si="915"/>
        <v>1</v>
      </c>
      <c r="NU242" s="21" t="str">
        <f t="shared" ca="1" si="916"/>
        <v>INCOMPLETO</v>
      </c>
      <c r="NV242" s="21" t="str">
        <f t="shared" ca="1" si="917"/>
        <v>INCOMPLETO</v>
      </c>
      <c r="NW242" s="206" t="str">
        <f>IF(AND(O242="",R242=""),"",IF(OR(AND(Tabla1[[#This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42" s="207" t="str">
        <f t="shared" ca="1" si="938"/>
        <v>SIN VACUNAR</v>
      </c>
      <c r="NY242" s="43">
        <f>ROW(Tabla1[[#This Row],['# DE TAMIZAJES SIFILIS TOMADOS ]])</f>
        <v>242</v>
      </c>
      <c r="NZ242" s="43">
        <f t="shared" si="942"/>
        <v>15</v>
      </c>
      <c r="OA242" s="43" t="str">
        <f t="shared" si="943"/>
        <v/>
      </c>
      <c r="OB242" s="43" t="str">
        <f t="shared" si="944"/>
        <v/>
      </c>
      <c r="OC242" s="43" t="str">
        <f t="shared" si="945"/>
        <v/>
      </c>
      <c r="OD242" s="43" t="str">
        <f t="shared" si="946"/>
        <v/>
      </c>
      <c r="OE242" s="43" t="str">
        <f t="shared" si="947"/>
        <v/>
      </c>
      <c r="OF242" s="43" t="str">
        <f t="shared" si="948"/>
        <v/>
      </c>
      <c r="OG242" s="43" t="str">
        <f t="shared" si="949"/>
        <v>NORMAL</v>
      </c>
      <c r="OH242" s="43" t="str">
        <f t="shared" si="950"/>
        <v/>
      </c>
      <c r="OI242" s="43" t="str">
        <f t="shared" si="951"/>
        <v/>
      </c>
      <c r="OJ242" s="43" t="str">
        <f t="shared" si="952"/>
        <v/>
      </c>
      <c r="OK242" s="43" t="str">
        <f t="shared" si="953"/>
        <v/>
      </c>
      <c r="OL242" s="43" t="str">
        <f t="shared" si="954"/>
        <v/>
      </c>
      <c r="OM242" s="43" t="str">
        <f t="shared" si="955"/>
        <v/>
      </c>
      <c r="ON242" s="43" t="str">
        <f t="shared" si="956"/>
        <v/>
      </c>
      <c r="OO242" s="43" t="str">
        <f t="shared" si="957"/>
        <v/>
      </c>
      <c r="OP242" s="43" t="str">
        <f t="shared" si="958"/>
        <v/>
      </c>
      <c r="OQ242" s="43" t="str">
        <f t="shared" si="959"/>
        <v/>
      </c>
      <c r="OR242" s="43" t="str">
        <f t="shared" si="960"/>
        <v/>
      </c>
      <c r="OS242" s="43" t="str">
        <f t="shared" si="961"/>
        <v/>
      </c>
      <c r="OT242" s="43" t="str">
        <f t="shared" si="962"/>
        <v/>
      </c>
      <c r="OU242" s="43" t="str">
        <f t="shared" si="963"/>
        <v/>
      </c>
      <c r="OV242" s="110" t="str">
        <f t="shared" si="964"/>
        <v/>
      </c>
      <c r="OW242" s="43" t="str">
        <f t="shared" si="965"/>
        <v/>
      </c>
      <c r="OX242" s="43" t="str">
        <f t="shared" si="966"/>
        <v/>
      </c>
      <c r="OY242" s="43" t="str">
        <f t="shared" si="967"/>
        <v/>
      </c>
      <c r="OZ242" s="43" t="str">
        <f t="shared" si="968"/>
        <v/>
      </c>
      <c r="PA242" s="43" t="str">
        <f t="shared" si="969"/>
        <v/>
      </c>
      <c r="PB242" s="43" t="str">
        <f t="shared" si="970"/>
        <v/>
      </c>
      <c r="PC242" s="43" t="str">
        <f t="shared" si="971"/>
        <v/>
      </c>
      <c r="PD242" s="43" t="str">
        <f t="shared" si="972"/>
        <v/>
      </c>
      <c r="PE242" s="43" t="str">
        <f t="shared" si="973"/>
        <v/>
      </c>
      <c r="PF242" s="43" t="str">
        <f t="shared" si="974"/>
        <v/>
      </c>
      <c r="PG242" s="43" t="str">
        <f t="shared" si="975"/>
        <v/>
      </c>
      <c r="PH242" s="43" t="str">
        <f t="shared" si="976"/>
        <v/>
      </c>
      <c r="PI242" s="43">
        <f t="shared" si="977"/>
        <v>15</v>
      </c>
      <c r="PJ242" s="43" t="str">
        <f t="shared" si="978"/>
        <v/>
      </c>
      <c r="PK242" s="43" t="str">
        <f t="shared" si="979"/>
        <v/>
      </c>
      <c r="PL242" s="43" t="str">
        <f t="shared" si="980"/>
        <v/>
      </c>
      <c r="PM242" s="43" t="str">
        <f t="shared" si="981"/>
        <v/>
      </c>
      <c r="PN242" s="43" t="str">
        <f t="shared" si="982"/>
        <v/>
      </c>
      <c r="PO242" s="43" t="str">
        <f t="shared" si="983"/>
        <v/>
      </c>
      <c r="PP242" s="43" t="str">
        <f t="shared" si="984"/>
        <v>NORMAL</v>
      </c>
      <c r="PQ242" s="43" t="str">
        <f t="shared" si="985"/>
        <v/>
      </c>
      <c r="PR242" s="43" t="str">
        <f t="shared" si="986"/>
        <v/>
      </c>
      <c r="PS242" s="43" t="str">
        <f t="shared" si="987"/>
        <v/>
      </c>
      <c r="PT242" s="43" t="str">
        <f t="shared" si="988"/>
        <v/>
      </c>
      <c r="PU242" s="43" t="str">
        <f t="shared" si="989"/>
        <v/>
      </c>
      <c r="PV242" s="43" t="str">
        <f t="shared" si="990"/>
        <v/>
      </c>
      <c r="PW242" s="43" t="str">
        <f t="shared" si="991"/>
        <v/>
      </c>
      <c r="PX242" s="43" t="str">
        <f t="shared" si="992"/>
        <v/>
      </c>
      <c r="PY242" s="43" t="str">
        <f t="shared" si="993"/>
        <v/>
      </c>
      <c r="PZ242" s="43" t="str">
        <f t="shared" si="994"/>
        <v/>
      </c>
      <c r="QA242" s="43" t="str">
        <f t="shared" si="995"/>
        <v/>
      </c>
      <c r="QB242" s="43" t="str">
        <f t="shared" si="996"/>
        <v/>
      </c>
      <c r="QC242" s="43" t="str">
        <f t="shared" si="997"/>
        <v/>
      </c>
      <c r="QD242" s="43" t="str">
        <f t="shared" si="998"/>
        <v/>
      </c>
      <c r="QE242" s="43" t="str">
        <f t="shared" si="999"/>
        <v/>
      </c>
      <c r="QF242" s="43" t="str">
        <f t="shared" si="1000"/>
        <v/>
      </c>
      <c r="QG242" s="43" t="str">
        <f t="shared" si="1001"/>
        <v/>
      </c>
      <c r="QH242" s="43" t="str">
        <f t="shared" si="1002"/>
        <v/>
      </c>
      <c r="QI242" s="43" t="str">
        <f t="shared" si="1003"/>
        <v/>
      </c>
      <c r="QJ242" s="43" t="str">
        <f t="shared" si="1004"/>
        <v/>
      </c>
      <c r="QK242" s="43" t="str">
        <f t="shared" si="1005"/>
        <v/>
      </c>
      <c r="QL242" s="43" t="str">
        <f t="shared" si="1006"/>
        <v/>
      </c>
      <c r="QM242" s="43" t="str">
        <f t="shared" si="1007"/>
        <v/>
      </c>
      <c r="QN242" s="43" t="str">
        <f t="shared" si="1008"/>
        <v/>
      </c>
      <c r="QO242" s="43" t="str">
        <f t="shared" si="1009"/>
        <v/>
      </c>
      <c r="QP242" s="43" t="str">
        <f t="shared" si="1010"/>
        <v/>
      </c>
      <c r="QQ242" s="43" t="str">
        <f t="shared" si="1011"/>
        <v/>
      </c>
      <c r="QR242" s="43">
        <f t="shared" si="1012"/>
        <v>15</v>
      </c>
      <c r="QS242" s="43"/>
      <c r="QT242" s="21" t="str">
        <f t="shared" si="1013"/>
        <v/>
      </c>
      <c r="QU242" s="21" t="str">
        <f t="shared" si="1014"/>
        <v/>
      </c>
      <c r="QV242" s="21" t="str">
        <f t="shared" si="1015"/>
        <v/>
      </c>
      <c r="QW242" s="21" t="str">
        <f t="shared" si="1016"/>
        <v/>
      </c>
      <c r="QX242" s="21" t="str">
        <f t="shared" si="1017"/>
        <v/>
      </c>
      <c r="QY242" s="21" t="str">
        <f t="shared" si="1018"/>
        <v/>
      </c>
      <c r="QZ242" s="21" t="str">
        <f t="shared" si="1019"/>
        <v/>
      </c>
      <c r="RA242" s="21" t="str">
        <f t="shared" si="1020"/>
        <v/>
      </c>
      <c r="RB242" s="21" t="str">
        <f t="shared" si="1021"/>
        <v/>
      </c>
      <c r="RC242" s="21" t="str">
        <f t="shared" si="1022"/>
        <v/>
      </c>
      <c r="RD242" s="21" t="str">
        <f t="shared" si="1023"/>
        <v/>
      </c>
      <c r="RE242" s="21" t="str">
        <f t="shared" si="1024"/>
        <v/>
      </c>
      <c r="RF242" s="21" t="str">
        <f t="shared" si="1025"/>
        <v/>
      </c>
      <c r="RG242" s="21" t="str">
        <f t="shared" si="1026"/>
        <v/>
      </c>
      <c r="RH242" s="21" t="str">
        <f t="shared" si="1027"/>
        <v/>
      </c>
      <c r="RI242" s="21" t="str">
        <f t="shared" si="1028"/>
        <v/>
      </c>
      <c r="RJ242" s="21" t="str">
        <f t="shared" si="1029"/>
        <v/>
      </c>
      <c r="RK242" s="21" t="str">
        <f t="shared" si="1030"/>
        <v/>
      </c>
      <c r="RL242" s="21" t="str">
        <f t="shared" si="1031"/>
        <v/>
      </c>
      <c r="RM242" s="21" t="str">
        <f t="shared" si="1032"/>
        <v/>
      </c>
      <c r="RN242" s="21" t="str">
        <f t="shared" si="1033"/>
        <v/>
      </c>
      <c r="RO242" s="21" t="str">
        <f t="shared" si="1034"/>
        <v/>
      </c>
      <c r="RP242" s="21" t="str">
        <f t="shared" si="1035"/>
        <v/>
      </c>
      <c r="RQ242" s="21" t="str">
        <f t="shared" si="1036"/>
        <v/>
      </c>
      <c r="RR242" s="21" t="str">
        <f t="shared" si="1037"/>
        <v/>
      </c>
      <c r="RS242" s="21" t="str">
        <f t="shared" si="1038"/>
        <v/>
      </c>
      <c r="RT242" s="21" t="str">
        <f t="shared" si="1039"/>
        <v/>
      </c>
      <c r="RU242" s="21" t="str">
        <f t="shared" si="1040"/>
        <v/>
      </c>
      <c r="RV242" s="21">
        <f t="shared" si="1041"/>
        <v>-1</v>
      </c>
      <c r="RW242" s="284">
        <f>IF(OR(Tabla1[[#This Row],[FUM FORMULA CONFIABLE]]="",Tabla1[[#This Row],[FUM FORMULA CONFIABLE]]="SD"),"",IF(Tabla1[[#This Row],[FUM FORMULA CONFIABLE]]="CORREGIDA",Tabla1[[#This Row],[FUM X ECO 1]],Tabla1[[#This Row],[FUM x AMENORREA]]))</f>
        <v>45034</v>
      </c>
      <c r="RX242" s="21">
        <f>IF(AND(Tabla1[[#This Row],[FUM X ECO 1]]="",Tabla1[[#This Row],[FUM x AMENORREA]]=""),"",IF(AND(Tabla1[[#This Row],[FUM X ECO 1]]="",Tabla1[[#This Row],[FUM x AMENORREA]]&lt;&gt;""),"X",SUM(Tabla1[[#This Row],[FUM X ECO 1]]-Tabla1[[#This Row],[FUM x AMENORREA]])))</f>
        <v>0.19999999999708962</v>
      </c>
      <c r="RY242" s="21">
        <f t="shared" si="1042"/>
        <v>0</v>
      </c>
    </row>
    <row r="243" spans="1:493" ht="45" customHeight="1" x14ac:dyDescent="0.25">
      <c r="A243" s="109"/>
      <c r="B243" s="43"/>
      <c r="C243" s="43" t="s">
        <v>845</v>
      </c>
      <c r="D243" s="124"/>
      <c r="E243" s="43" t="s">
        <v>1667</v>
      </c>
      <c r="F243" s="43" t="s">
        <v>1668</v>
      </c>
      <c r="G243" s="43" t="s">
        <v>1669</v>
      </c>
      <c r="H243" s="43"/>
      <c r="I243" s="109" t="s">
        <v>851</v>
      </c>
      <c r="J243" s="110">
        <v>1064426895</v>
      </c>
      <c r="K243" s="43" t="s">
        <v>932</v>
      </c>
      <c r="L243" s="175" t="s">
        <v>1509</v>
      </c>
      <c r="M243" s="22">
        <v>31452</v>
      </c>
      <c r="N243" s="213">
        <f t="shared" ca="1" si="841"/>
        <v>37.753424657534246</v>
      </c>
      <c r="O243" s="22">
        <v>45140</v>
      </c>
      <c r="P243" s="214" t="str">
        <f t="shared" si="919"/>
        <v>SI</v>
      </c>
      <c r="Q243" s="26" t="s">
        <v>855</v>
      </c>
      <c r="R243" s="22">
        <v>45140</v>
      </c>
      <c r="S243" s="21" t="s">
        <v>856</v>
      </c>
      <c r="T243" s="24" t="s">
        <v>690</v>
      </c>
      <c r="U243" s="21" t="s">
        <v>857</v>
      </c>
      <c r="V243" s="21" t="s">
        <v>858</v>
      </c>
      <c r="W243" s="21" t="s">
        <v>1191</v>
      </c>
      <c r="X243" s="21" t="s">
        <v>1191</v>
      </c>
      <c r="Y243" s="21"/>
      <c r="Z243" s="21">
        <v>3155165067</v>
      </c>
      <c r="AA243" s="21" t="s">
        <v>860</v>
      </c>
      <c r="AB243" s="27" t="s">
        <v>861</v>
      </c>
      <c r="AC243" s="26" t="s">
        <v>846</v>
      </c>
      <c r="AD243" s="21" t="s">
        <v>1546</v>
      </c>
      <c r="AE243" s="26" t="s">
        <v>854</v>
      </c>
      <c r="AF243" s="26" t="s">
        <v>854</v>
      </c>
      <c r="AG243" s="23" t="s">
        <v>864</v>
      </c>
      <c r="AH243" s="23" t="s">
        <v>864</v>
      </c>
      <c r="AI243" s="24" t="s">
        <v>863</v>
      </c>
      <c r="AJ243" s="23" t="s">
        <v>864</v>
      </c>
      <c r="AK243" s="220" t="str">
        <f>IF(AND(AD243="",AE243="",AF243="",AG243="",AH243="",AI243="",AJ243=""),"",IF(OR(Tabla1[[#This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EVALUACIÓN",IF(AND(O243="",R243=""),"",IF(AND(OR(O243&gt;0,R243&gt;0),NG243&gt;=0,NG243&lt;2),"SIN RIESGO",IF(AND(OR(O243&gt;0,R243&gt;0),NG243&gt;=2),"CON RIESGO","ASD")))))</f>
        <v>SIN RIESGO</v>
      </c>
      <c r="AL243" s="26" t="s">
        <v>864</v>
      </c>
      <c r="AM243" s="26" t="s">
        <v>864</v>
      </c>
      <c r="AN243" s="26" t="s">
        <v>864</v>
      </c>
      <c r="AO243" s="26" t="s">
        <v>864</v>
      </c>
      <c r="AP243" s="26" t="s">
        <v>864</v>
      </c>
      <c r="AQ243" s="26" t="s">
        <v>864</v>
      </c>
      <c r="AR243" s="26" t="s">
        <v>864</v>
      </c>
      <c r="AS243" s="21">
        <v>4</v>
      </c>
      <c r="AT243" s="21">
        <v>4</v>
      </c>
      <c r="AU243" s="21">
        <v>0</v>
      </c>
      <c r="AV243" s="26" t="s">
        <v>864</v>
      </c>
      <c r="AW243" s="21">
        <v>0</v>
      </c>
      <c r="AX243" s="26" t="s">
        <v>864</v>
      </c>
      <c r="AY243" s="26" t="s">
        <v>864</v>
      </c>
      <c r="AZ243" s="26" t="s">
        <v>864</v>
      </c>
      <c r="BA243" s="26" t="s">
        <v>864</v>
      </c>
      <c r="BB243" s="26" t="s">
        <v>864</v>
      </c>
      <c r="BC243" s="26" t="s">
        <v>864</v>
      </c>
      <c r="BD243" s="26" t="s">
        <v>864</v>
      </c>
      <c r="BE243" s="26" t="s">
        <v>864</v>
      </c>
      <c r="BF243" s="26" t="s">
        <v>864</v>
      </c>
      <c r="BG243" s="26" t="s">
        <v>864</v>
      </c>
      <c r="BH243" s="26" t="s">
        <v>864</v>
      </c>
      <c r="BI243" s="26" t="s">
        <v>864</v>
      </c>
      <c r="BJ243" s="26" t="s">
        <v>864</v>
      </c>
      <c r="BK243" s="26" t="s">
        <v>864</v>
      </c>
      <c r="BL243" s="26" t="s">
        <v>864</v>
      </c>
      <c r="BM243" s="26" t="s">
        <v>864</v>
      </c>
      <c r="BN243" s="22"/>
      <c r="BO243" s="22">
        <v>45051</v>
      </c>
      <c r="BP243" s="21" t="s">
        <v>864</v>
      </c>
      <c r="BQ243" s="222">
        <f t="shared" si="842"/>
        <v>0</v>
      </c>
      <c r="BR243" s="223" t="str">
        <f t="shared" si="843"/>
        <v/>
      </c>
      <c r="BS243" s="224">
        <f t="shared" si="844"/>
        <v>12.714285714285714</v>
      </c>
      <c r="BT243" s="216" t="str">
        <f t="shared" si="845"/>
        <v>DEFINIR CON ECO</v>
      </c>
      <c r="BU243" s="214">
        <f t="shared" ca="1" si="928"/>
        <v>25.857142857142858</v>
      </c>
      <c r="BV243" s="25"/>
      <c r="BW243" s="22"/>
      <c r="BX243" s="28"/>
      <c r="BY243" s="28"/>
      <c r="BZ243" s="22"/>
      <c r="CA243" s="21"/>
      <c r="CB243" s="26"/>
      <c r="CC243" s="26"/>
      <c r="CD243" s="26"/>
      <c r="CE243" s="26"/>
      <c r="CF243" s="22" t="s">
        <v>1517</v>
      </c>
      <c r="CG243" s="21">
        <v>1.5</v>
      </c>
      <c r="CH243" s="21">
        <v>66</v>
      </c>
      <c r="CI243" s="214">
        <f t="shared" si="847"/>
        <v>29.333333333333332</v>
      </c>
      <c r="CJ243" s="225" t="e">
        <f>IF(AND(CI243&lt;10,CH243="SD"),"SIN DATO PESO PREGESTACION O I TRIM",IF(AND(OR(R243&gt;0,O243&gt;0),CI243="X"),"INGRESAR DATO DE PESO",IF(CI243="SD","INGRESAR DATO DE TALLA Y PESO",IF(AND(OR(Tabla1[[#This Row],[MOMENTO EN QUE SE REALIZA EL PESO AL INGRESO A CPN]]="PREGESTACIÓN",NZ243="Menor"),CI243&lt;18.5),"BAJO PESO",IF(AND(OR(Tabla1[[#This Row],[MOMENTO EN QUE SE REALIZA EL PESO AL INGRESO A CPN]]="PREGESTACIÓN",NZ243="Menor"),CI243&lt;25),"NORMAL",IF(AND(OR(Tabla1[[#This Row],[MOMENTO EN QUE SE REALIZA EL PESO AL INGRESO A CPN]]="PREGESTACIÓN",NZ243="Menor"),CI243&lt;30),"SOBREPESO",IF(AND(OR(Tabla1[[#This Row],[MOMENTO EN QUE SE REALIZA EL PESO AL INGRESO A CPN]]="PREGESTACIÓN",NZ243="Menor"),CI243&gt;=30,CI243&lt;50),"OBESIDAD",IF(AND(BS243&gt;0,Tabla1[[#This Row],[MOMENTO EN QUE SE REALIZA EL PESO AL INGRESO A CPN]]="GESTACIÓN"),HLOOKUP(NZ243,$OA$2:PH243,NY243),""))))))))</f>
        <v>#REF!</v>
      </c>
      <c r="CK243" s="212">
        <f t="shared" si="848"/>
        <v>45140</v>
      </c>
      <c r="CL243" s="21">
        <v>66</v>
      </c>
      <c r="CM243" s="214">
        <f t="shared" si="849"/>
        <v>29.333333333333332</v>
      </c>
      <c r="CN243" s="216">
        <f t="shared" si="850"/>
        <v>12</v>
      </c>
      <c r="CO243" s="216" t="e">
        <f>IF(PI243="","",IF(PI243&gt;0,HLOOKUP(PI243,$PJ$2:QQ243,NY243),""))</f>
        <v>#REF!</v>
      </c>
      <c r="CP243" s="21">
        <v>11</v>
      </c>
      <c r="CQ243" s="216" t="str">
        <f>IF(QR243="Menor","NO APLICA-MENOR 13 SEM",IF(AND(CC243="SI",CN243&gt;23),"NO APLICA- GEMELAR",IF(QR243="","",IF(QR243&gt;0,HLOOKUP(QR243,$QS$2:RU243,NY243),""))))</f>
        <v>NO APLICA-MENOR 13 SEM</v>
      </c>
      <c r="CR243" s="21"/>
      <c r="CS243" s="21"/>
      <c r="CT243" s="217" t="str">
        <f>IF(R243="","",IF(AND(BS243&gt;1,BS243&lt;12,Tabla1[[#This Row],[T.A. SISTOLICA - ANTES DE SEMANA 12]]="",Tabla1[[#This Row],[T.A. DIASTOLICA - ANTES DE SEMANA 12]]=""),"REGISTRE DATO TA ANTES SEMANA 12",IF(AND(BS243&gt;11,BS243&lt;43,Tabla1[[#This Row],[T.A. SISTOLICA - ANTES DE SEMANA 12]]="",Tabla1[[#This Row],[T.A. DIASTOLICA - ANTES DE SEMANA 12]]=""),"NO APLICA REGISTRO TA-INGRESO TARDIO",IF(AND(OR(O243&gt;0,R243&gt;0),OR(CR243&gt;=140,CS243&gt;=90)),"DEFINIR ESTADIO HTA",IF(AND(OR(O243&gt;0,R243&gt;0),AND(CR243&gt;120,CR243&lt;=139)),"PRE HTA SEGUIMIENTO",IF(AND(OR(O243&gt;0,R243&gt;0),AND(CS243&gt;80,CS243&lt;=89)),"PRE HTA SEGUIMIENTO",IF(AND(OR(O243&gt;0,R243&gt;0),AND(CR243&gt;=80,CR243&lt;=120)),"APARENTEMENTE NORMAL",IF(AND(OR(O243&gt;0,R243&gt;0),AND(CS243&gt;=50,CS243&lt;=80)),"APARENTEMENTE NORMAL",IF(AND(OR(O243&gt;0,R243&gt;0),AND(CR243&gt;1,CR243&lt;=70),AND(CS243&gt;1,CS243&lt;=40)),"HIPOTENSIÓN","")))))))))</f>
        <v>NO APLICA REGISTRO TA-INGRESO TARDIO</v>
      </c>
      <c r="CU243" s="21"/>
      <c r="CV243" s="21"/>
      <c r="CW243" s="217" t="str">
        <f ca="1">IF(R243="","",IF(AND(CN243&gt;19,CN243&lt;27,Tabla1[[#This Row],[T.A. SISTOLICA (Entre semana 20 y 26)]]="",Tabla1[[#This Row],[T.A. DIATOLICA (Entre semana 20 y 26)]]=""),"ACUDE A CONTROL SEM 20 A 26 REGISTRE TA AHORA",IF(AND(BS243&gt;1,BS243&lt;27,BU243&gt;19,Tabla1[[#This Row],[T.A. SISTOLICA (Entre semana 20 y 26)]]="",Tabla1[[#This Row],[T.A. DIATOLICA (Entre semana 20 y 26)]]=""),"COMPLETE REGISTRO TA CONTROL SEM 20 A26 ",IF(AND(BS243&gt;26,BS243&lt;43,Tabla1[[#This Row],[T.A. SISTOLICA (Entre semana 20 y 26)]]="",Tabla1[[#This Row],[T.A. DIATOLICA (Entre semana 20 y 26)]]=""),"NO APLICA REGISTRO TA-INGRESO TARDIO",IF(AND(OR(O243&gt;0,R243&gt;0),OR(CU243&gt;=140,CV243&gt;=90)),"ALTO RIESGO PREECLAMPSIA,DEFINIR ESTADIO HTA",IF(AND(OR(O243&gt;0,R243&gt;0),AND(CU243&gt;120,CU243&lt;=139)),"PRE HTA SEGUIMIENTO,RIESGO HIPERTENSION INDUCIDA POR EL EMBARAZO",IF(AND(OR(O243&gt;0,R243&gt;0),AND(CV243&gt;80,CV243&lt;=89)),"PRE HTA SEGUIMIENTO, RIESGO HIPERTENSION INDUCIDA POR EL EMBARAZO",IF(AND(OR(O243&lt;&gt;"",R243&lt;&gt;""),CS243&lt;&gt;"",CV243&lt;&gt;"",CS243&lt;=CV243),"VIGILAR CIFRAS PRESION ARTERIAL",IF(AND(OR(O243&gt;0,R243&gt;0),AND(CU243&gt;120,CU243&lt;=139)),"PRE HTA SEGUIMIENTO",IF(AND(OR(O243&gt;0,R243&gt;0),AND(CU243&gt;1,CU243&lt;=70),AND(CV243&gt;1,CV243&lt;=40)),"HIPOTENSIÓN",IF(AND(OR(O243&lt;&gt;"",R243&lt;&gt;""),CS243&lt;&gt;"",CV243&lt;&gt;"",CS243&gt;CV243),"APARENTEMENTE NORMAL",IF(AND(OR(O243&gt;0,R243&gt;0),AND(CU243&gt;=80,CU243&lt;=120)),"APARENTEMENTE NORMAL",IF(AND(OR(O243&gt;0,R243&gt;0),AND(CV243&gt;=50,CV243&lt;=80)),"APARENTEMENTE NORMAL","")))))))))))))</f>
        <v xml:space="preserve">COMPLETE REGISTRO TA CONTROL SEM 20 A26 </v>
      </c>
      <c r="CX243" s="21"/>
      <c r="CY243" s="21"/>
      <c r="CZ243" s="216" t="str">
        <f t="shared" si="1045"/>
        <v/>
      </c>
      <c r="DA243" s="21">
        <v>90</v>
      </c>
      <c r="DB243" s="21">
        <v>60</v>
      </c>
      <c r="DC243" s="217" t="str">
        <f t="shared" si="851"/>
        <v>APARENTEMENTE NORMAL</v>
      </c>
      <c r="DD243" s="22">
        <v>45140</v>
      </c>
      <c r="DE243" s="22">
        <v>45140</v>
      </c>
      <c r="DF243" s="22">
        <v>45140</v>
      </c>
      <c r="DG243" s="22"/>
      <c r="DH243" s="22"/>
      <c r="DI243" s="22"/>
      <c r="DJ243" s="22"/>
      <c r="DK243" s="22"/>
      <c r="DL243" s="22"/>
      <c r="DM243" s="22"/>
      <c r="DN243" s="22"/>
      <c r="DO243" s="22"/>
      <c r="DP243" s="22"/>
      <c r="DQ243" s="22"/>
      <c r="DR243" s="28"/>
      <c r="DS243" s="22"/>
      <c r="DT243" s="22"/>
      <c r="DU243" s="216" t="str">
        <f t="shared" ca="1" si="920"/>
        <v>EN ESPERA</v>
      </c>
      <c r="DV243" s="226" t="str">
        <f t="shared" si="921"/>
        <v>ACTIVA INGRESO A CPN</v>
      </c>
      <c r="DW243"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43" s="216" t="e">
        <f t="shared" ca="1" si="852"/>
        <v>#REF!</v>
      </c>
      <c r="DY243" s="212">
        <f>IF(R243="","",IF(R243&gt;0,MAX(Tabla1[[#This Row],[FECHA C2]:[FECHA C13]],Tabla1[[#This Row],[FECHA CONSULTA PRIMERA VEZ PROGRAMA CPN ]])))</f>
        <v>45140</v>
      </c>
      <c r="DZ243" s="216">
        <f t="shared" si="853"/>
        <v>12</v>
      </c>
      <c r="EA243" s="222">
        <f>IF(R243&gt;0,SUM(COUNTA(DF243:DQ243)+COUNTA(Tabla1[[#This Row],[FECHA CONSULTA PRIMERA VEZ PROGRAMA CPN ]])),"")</f>
        <v>2</v>
      </c>
      <c r="EB243" s="222" t="str">
        <f t="shared" si="854"/>
        <v>NO</v>
      </c>
      <c r="EC243" s="214">
        <f t="shared" si="855"/>
        <v>8</v>
      </c>
      <c r="ED243" s="227">
        <f t="shared" si="856"/>
        <v>0.25</v>
      </c>
      <c r="EE243" s="22">
        <v>45140</v>
      </c>
      <c r="EF243" s="22"/>
      <c r="EG243" s="22">
        <v>45140</v>
      </c>
      <c r="EH243" s="22"/>
      <c r="EI243" s="22">
        <v>45140</v>
      </c>
      <c r="EJ243" s="22"/>
      <c r="EK243" s="22"/>
      <c r="EL243" s="21"/>
      <c r="EM243" s="21"/>
      <c r="EN243" s="22"/>
      <c r="EO243" s="222" t="str">
        <f t="shared" si="857"/>
        <v>TOMAR EXAMEN</v>
      </c>
      <c r="EP243" s="214" t="str">
        <f t="shared" si="858"/>
        <v/>
      </c>
      <c r="EQ243" s="216" t="str">
        <f t="shared" si="859"/>
        <v>POR DEFINIR</v>
      </c>
      <c r="ER243" s="24"/>
      <c r="ES243" s="22"/>
      <c r="ET243" s="29" t="str">
        <f t="shared" ca="1" si="922"/>
        <v>PROGRAMAR TOMA HEMOGLOBINA A SEM 28</v>
      </c>
      <c r="EU243" s="25" t="str">
        <f t="shared" si="860"/>
        <v/>
      </c>
      <c r="EV243" s="24"/>
      <c r="EW243" s="24"/>
      <c r="EX243" s="22"/>
      <c r="EY243" s="29" t="str">
        <f t="shared" si="1043"/>
        <v>TOMAR EXAMEN</v>
      </c>
      <c r="EZ243" s="25" t="str">
        <f t="shared" ca="1" si="1044"/>
        <v/>
      </c>
      <c r="FA243" s="21"/>
      <c r="FB243" s="22"/>
      <c r="FC243" s="29" t="str">
        <f t="shared" si="861"/>
        <v>TOMAR EXAMEN</v>
      </c>
      <c r="FD243" s="29"/>
      <c r="FE243" s="29"/>
      <c r="FF243" s="29"/>
      <c r="FG243" s="21" t="str">
        <f t="shared" ca="1" si="862"/>
        <v>TOMAR PTOG</v>
      </c>
      <c r="FH243" s="31"/>
      <c r="FI243" s="29" t="str">
        <f t="shared" si="863"/>
        <v>TOMAR EXAMEN</v>
      </c>
      <c r="FJ243" s="22"/>
      <c r="FK243" s="22"/>
      <c r="FL243" s="29" t="str">
        <f t="shared" ca="1" si="864"/>
        <v>PIERDE TOMA DE TAMIZAJE</v>
      </c>
      <c r="FM243" s="22"/>
      <c r="FN243" s="32"/>
      <c r="FO243" s="29" t="str">
        <f t="shared" ca="1" si="923"/>
        <v>TOMA INMEDIATA DE TAMIZAJE</v>
      </c>
      <c r="FP243" s="22"/>
      <c r="FQ243" s="32"/>
      <c r="FR243" s="29" t="str">
        <f t="shared" ca="1" si="924"/>
        <v>EN ESPERA-ESTÁ I TRIM O II TRIM</v>
      </c>
      <c r="FS243" s="22"/>
      <c r="FT243" s="32"/>
      <c r="FU243" s="29" t="str">
        <f>IF(AND(FJ243="",FM243="",FP243="",FS243=""),"",IF(OR(OR(Tabla1[[#This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43" s="28"/>
      <c r="FW243" s="22"/>
      <c r="FX243" s="29" t="str">
        <f t="shared" si="865"/>
        <v>TOMAR EXAMEN</v>
      </c>
      <c r="FY243" s="22"/>
      <c r="FZ243" s="22"/>
      <c r="GA243" s="29" t="str">
        <f t="shared" ref="GA243" ca="1" si="1050">IF(AND(BT243="ERROR FUM O INGRESO",FZ243&gt;0),"ERROR FUM O INGRESO",IF(AND(FZ243="",R243="",O243=""),"",IF(OR(AND(FZ243&lt;&gt;"",FZ243&lt;RW243),AND(FZ243&lt;&gt;"",AND(SUM((FZ243-RW243)/7)&gt;=13,SUM((FZ243-RW243)/7)&lt;27))),"REGISTRAR EN II TRIMESTRE",IF(OR(AND(FZ243&lt;&gt;"",FZ243&lt;RW243),AND(FZ243&lt;&gt;"",AND(SUM((FZ243-RW243)/7)&gt;=27,SUM((FZ243-RW243)/7)&lt;44))),"REGISTRAR EN III TRIMESTRE",IF(AND(FZ243="",OR(O243&gt;0,R243&gt;0),AND(BU243&gt;1,BU243&lt;10)),"EN RANGO PARA TOMAR EXAMEN",IF(AND(FZ243="",OR(O243&gt;0,R243&gt;0),AND(BU243&gt;=10,BU243&lt;12)),"TOMA INMEDIATA DE TAMIZAJE",IF(AND(FZ243="",BS243&lt;12,OR(O243&gt;0,R243&gt;0)),"PIERDE TOMA DE TAMIZAJE",IF(AND(FZ243="",OR(O243&gt;0,R243&gt;0),AND(BS243&gt;=13,BS243&lt;44)),"NO APLICA-INGRESO TARDIO",IF(FZ243&gt;0,SUM(FZ243-RW243)/7,"")))))))))</f>
        <v/>
      </c>
      <c r="GB243" s="22"/>
      <c r="GC243" s="22"/>
      <c r="GD243" s="29" t="str">
        <f t="shared" ca="1" si="1048"/>
        <v>TOMA INMEDIATA DE TAMIZAJE</v>
      </c>
      <c r="GE243" s="22"/>
      <c r="GF243" s="22"/>
      <c r="GG243" s="29" t="str">
        <f t="shared" ca="1" si="926"/>
        <v>EN ESPERA-ESTÁ I TRIM O II TRIM</v>
      </c>
      <c r="GH243" s="22"/>
      <c r="GI243" s="29"/>
      <c r="GJ243" s="22"/>
      <c r="GK243" s="22"/>
      <c r="GL243" s="22"/>
      <c r="GM243" s="22"/>
      <c r="GN243" s="28"/>
      <c r="GO243" s="22"/>
      <c r="GP243" s="29" t="str">
        <f t="shared" si="866"/>
        <v>TOMAR EXAMEN</v>
      </c>
      <c r="GQ243" s="28"/>
      <c r="GR243" s="28"/>
      <c r="GS243" s="22" t="str">
        <f t="shared" si="1047"/>
        <v/>
      </c>
      <c r="GT243" s="22"/>
      <c r="GU243" s="29" t="str">
        <f t="shared" si="867"/>
        <v>TOMAR EXAMEN</v>
      </c>
      <c r="GV243" s="21" t="str">
        <f t="shared" si="868"/>
        <v>POR DEFINIR</v>
      </c>
      <c r="GW243" s="28"/>
      <c r="GX243" s="30"/>
      <c r="GY243" s="21"/>
      <c r="GZ243" s="21"/>
      <c r="HA243" s="21"/>
      <c r="HB243" s="21"/>
      <c r="HC243" s="21"/>
      <c r="HD243" s="21"/>
      <c r="HE243" s="21"/>
      <c r="HF243" s="22"/>
      <c r="HG243" s="22" t="str">
        <f>IF(OR(O243&gt;0,R243&gt;0),CONCATENATE(IF(Tabla1[[#This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43" s="22" t="e">
        <f t="shared" si="869"/>
        <v>#REF!</v>
      </c>
      <c r="HI243" s="22" t="e">
        <f t="shared" ca="1" si="870"/>
        <v>#REF!</v>
      </c>
      <c r="HJ243" s="21" t="str">
        <f t="shared" ca="1" si="871"/>
        <v>************************RIESGO POR EDAD***************</v>
      </c>
      <c r="HK243" s="21" t="str">
        <f t="shared" si="872"/>
        <v>SIN ANTECEDENTES DE RIESGO</v>
      </c>
      <c r="HL243" s="24" t="str">
        <f t="shared" si="873"/>
        <v>APARENTEMENTE NORMAL</v>
      </c>
      <c r="HM243" s="21" t="e">
        <f t="shared" ca="1" si="874"/>
        <v>#REF!</v>
      </c>
      <c r="HN243" s="30" t="str">
        <f t="shared" si="927"/>
        <v>ACTIVA INGRESO A CPN</v>
      </c>
      <c r="HO243" s="21"/>
      <c r="HP243" s="21" t="s">
        <v>1626</v>
      </c>
      <c r="HQ243" s="349">
        <v>45140</v>
      </c>
      <c r="HR243" s="21" t="str">
        <f>IF(R243="","",IF(Tabla1[[#This Row],[ALARMA FACTORES DE RIESGO COMPLICACIONES HIPERTENSIVAS3]]="SIN ANTECEDENTES DE RIESGO","No Aplica para suministro de ASA",IF(AND(Tabla1[[#This Row],[FECHA INICIO DE SUMINISTRO DE ASA]]&gt;0,RV243&lt;12),"Inicia ASA ANTES de Sem 12",IF(AND(RV243&gt;11,RV243&lt;17,OR(HK243="RIESGO ALTO DE COMPLICACIONES HIPERTENSIVAS VER MANEJO GUIA SUMINISTRO ASA Y CALCIO",HK243="RIESGO MODERADO (2 O MAS CRITERIOS) VER MANEJO GUIA SUMINISTRO ASA Y CALCIO")),"Inicio oportuno de ASA",IF(AND(RV243&gt;12,OR(HK243="RIESGO ALTO DE COMPLICACIONES HIPERTENSIVAS VER MANEJO GUIA SUMINISTRO ASA Y CALCIO",HK243="RIESGO MODERADO (2 O MAS CRITERIOS) VER MANEJO GUIA SUMINISTRO ASA Y CALCIO")),"Inicio no oportuno mayor a 16 semanas",IF(AND(BU243&lt;12,OR(HK243="RIESGO ALTO DE COMPLICACIONES HIPERTENSIVAS VER MANEJO GUIA SUMINISTRO ASA Y CALCIO",HK243="RIESGO MODERADO (2 O MAS CRITERIOS) VER MANEJO GUIA SUMINISTRO ASA Y CALCIO")),"Pendiente Inicio de ASA a la semana 12",IF(AND(BU243&gt;11,BU243&lt;17,OR(HK243="RIESGO ALTO DE COMPLICACIONES HIPERTENSIVAS VER MANEJO GUIA SUMINISTRO ASA Y CALCIO",HK243="RIESGO MODERADO (2 O MAS CRITERIOS) VER MANEJO GUIA SUMINISTRO ASA Y CALCIO")),"Iniciar de inmediato ASA",IF(AND(BU243&gt;16,OR(HK243="RIESGO ALTO DE COMPLICACIONES HIPERTENSIVAS VER MANEJO GUIA SUMINISTRO ASA Y CALCIO",HK243="RIESGO MODERADO (2 O MAS CRITERIOS) VER MANEJO GUIA SUMINISTRO ASA Y CALCIO")),"Pierde Oportunidad, Inicio tardío de ASA","XXXXX"))))))))</f>
        <v>No Aplica para suministro de ASA</v>
      </c>
      <c r="HS243" s="22">
        <v>45140</v>
      </c>
      <c r="HT243" s="22" t="s">
        <v>1518</v>
      </c>
      <c r="HU243" s="22">
        <v>45140</v>
      </c>
      <c r="HV243" s="22" t="s">
        <v>1544</v>
      </c>
      <c r="HW243" s="22">
        <v>45140</v>
      </c>
      <c r="HX243" s="22" t="s">
        <v>1529</v>
      </c>
      <c r="HY243" s="22"/>
      <c r="HZ243" s="28" t="str">
        <f t="shared" si="875"/>
        <v>PENDIENTE CONSULTA</v>
      </c>
      <c r="IA243" s="26"/>
      <c r="IB243" s="26"/>
      <c r="IC243" s="111"/>
      <c r="ID243" s="22"/>
      <c r="IE243" s="22" t="str">
        <f t="shared" ca="1" si="876"/>
        <v>PROGRAMAR APLICACION DE VACUNA</v>
      </c>
      <c r="IF243" s="22"/>
      <c r="IG243" s="22">
        <f t="shared" si="877"/>
        <v>45331</v>
      </c>
      <c r="IH243" s="29">
        <f t="shared" ca="1" si="878"/>
        <v>99</v>
      </c>
      <c r="II243" s="22" t="str">
        <f t="shared" ca="1" si="879"/>
        <v>PENDIENTE</v>
      </c>
      <c r="IJ243" s="22"/>
      <c r="IK243" s="21"/>
      <c r="IL243" s="21"/>
      <c r="IM243" s="34"/>
      <c r="IN243" s="22"/>
      <c r="IO243" s="21"/>
      <c r="IP243" s="29" t="str">
        <f t="shared" si="880"/>
        <v/>
      </c>
      <c r="IQ243" s="35"/>
      <c r="IR243" s="21"/>
      <c r="IS243" s="21"/>
      <c r="IT243" s="21"/>
      <c r="IU243" s="21"/>
      <c r="IV243" s="21"/>
      <c r="IW243" s="21"/>
      <c r="IX243" s="21"/>
      <c r="IY243" s="21"/>
      <c r="IZ243" s="21"/>
      <c r="JA243" s="21"/>
      <c r="JB243" s="30"/>
      <c r="JC243" s="21"/>
      <c r="JD243" s="36"/>
      <c r="JE243" s="21" t="str">
        <f t="shared" si="881"/>
        <v/>
      </c>
      <c r="JF243" s="30"/>
      <c r="JG243" s="21"/>
      <c r="JH243" s="21"/>
      <c r="JI243" s="21"/>
      <c r="JJ243" s="30"/>
      <c r="JK243" s="22"/>
      <c r="JL243" s="22"/>
      <c r="JM243" s="21"/>
      <c r="JN243" s="36"/>
      <c r="JO243" s="21" t="str">
        <f t="shared" si="882"/>
        <v/>
      </c>
      <c r="JP243" s="22"/>
      <c r="JQ243" s="21"/>
      <c r="JR243" s="21"/>
      <c r="JS243" s="21"/>
      <c r="JT243" s="30"/>
      <c r="JU243" s="22"/>
      <c r="JV243" s="22"/>
      <c r="JW243" s="33"/>
      <c r="JX243" s="28" t="str">
        <f t="shared" si="883"/>
        <v/>
      </c>
      <c r="JY243" s="33"/>
      <c r="JZ243" s="28" t="str">
        <f t="shared" si="884"/>
        <v/>
      </c>
      <c r="KA243" s="21"/>
      <c r="KB243" s="21"/>
      <c r="KC243" s="21"/>
      <c r="KD243" s="37"/>
      <c r="KE243" s="28"/>
      <c r="KF243" s="28"/>
      <c r="KG243" s="28"/>
      <c r="KH243" s="39"/>
      <c r="KI243" s="39"/>
      <c r="KJ243" s="66"/>
      <c r="KK243" s="39"/>
      <c r="KL243" s="39"/>
      <c r="KM243" s="66"/>
      <c r="KN243" s="39"/>
      <c r="KO243" s="39"/>
      <c r="KP243" s="39"/>
      <c r="KQ243" s="39"/>
      <c r="KR243" s="39"/>
      <c r="KS243" s="39"/>
      <c r="KT243" s="39"/>
      <c r="KU243" s="38"/>
      <c r="KV243" s="38"/>
      <c r="KW243" s="38"/>
      <c r="KX243" s="38"/>
      <c r="KY243" s="38"/>
      <c r="KZ243" s="38"/>
      <c r="LA243" s="38"/>
      <c r="LB243" s="38"/>
      <c r="LC243" s="38"/>
      <c r="LD243" s="38"/>
      <c r="LE243" s="38"/>
      <c r="LF243" s="38"/>
      <c r="LG243" s="38"/>
      <c r="LH243" s="38"/>
      <c r="LI243" s="38"/>
      <c r="LJ243" s="38"/>
      <c r="LK243" s="38"/>
      <c r="LL243" s="38"/>
      <c r="LM243" s="38"/>
      <c r="LN243" s="38"/>
      <c r="LO243" s="38"/>
      <c r="LP243" s="38"/>
      <c r="LQ243" s="38"/>
      <c r="LR243" s="38"/>
      <c r="LS243" s="38"/>
      <c r="LT243" s="38"/>
      <c r="LU243" s="38"/>
      <c r="LV243" s="38"/>
      <c r="LW243" s="38"/>
      <c r="LX243" s="38"/>
      <c r="LY243" s="38"/>
      <c r="LZ243" s="38"/>
      <c r="MA243" s="38"/>
      <c r="MB243" s="38"/>
      <c r="MC243" s="38"/>
      <c r="MD243" s="38"/>
      <c r="ME243" s="38"/>
      <c r="MF243" s="38"/>
      <c r="MG243" s="38"/>
      <c r="MH243" s="43">
        <f t="shared" si="885"/>
        <v>0</v>
      </c>
      <c r="MI243" s="43" t="str">
        <f t="shared" si="929"/>
        <v/>
      </c>
      <c r="MJ243" s="43" t="str">
        <f t="shared" si="887"/>
        <v/>
      </c>
      <c r="MK243" s="43">
        <f t="shared" si="888"/>
        <v>0</v>
      </c>
      <c r="ML24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43" s="43">
        <f t="shared" si="930"/>
        <v>12.714285714285714</v>
      </c>
      <c r="MN243" s="43">
        <f t="shared" si="931"/>
        <v>8</v>
      </c>
      <c r="MO243" s="43">
        <f t="shared" si="932"/>
        <v>2023</v>
      </c>
      <c r="MP243" s="43" t="str">
        <f t="shared" si="892"/>
        <v>III TRIMESTRE AÑO</v>
      </c>
      <c r="MQ243" s="43">
        <f t="shared" si="933"/>
        <v>36.93878668418747</v>
      </c>
      <c r="MR243" s="43">
        <f t="shared" si="894"/>
        <v>2</v>
      </c>
      <c r="MS243" s="43" t="str">
        <f t="shared" si="895"/>
        <v xml:space="preserve"> DE 35 A 39 AÑOS</v>
      </c>
      <c r="MT243" s="43">
        <f t="shared" si="896"/>
        <v>0</v>
      </c>
      <c r="MU243" s="43">
        <f t="shared" si="897"/>
        <v>0</v>
      </c>
      <c r="MV243" s="43">
        <f t="shared" si="898"/>
        <v>0</v>
      </c>
      <c r="MW243" s="43">
        <f t="shared" si="899"/>
        <v>0</v>
      </c>
      <c r="MX243" s="43" t="str">
        <f t="shared" si="900"/>
        <v/>
      </c>
      <c r="MY243" s="43" t="str">
        <f t="shared" ca="1" si="901"/>
        <v/>
      </c>
      <c r="MZ243" s="43" t="str">
        <f t="shared" si="902"/>
        <v/>
      </c>
      <c r="NA243" s="43" t="str">
        <f t="shared" si="903"/>
        <v/>
      </c>
      <c r="NB243" s="43" t="str">
        <f t="shared" si="904"/>
        <v/>
      </c>
      <c r="NC243" s="43" t="str">
        <f t="shared" si="905"/>
        <v/>
      </c>
      <c r="ND243" s="43">
        <f t="shared" ca="1" si="934"/>
        <v>2</v>
      </c>
      <c r="NE243" s="43">
        <f>IF(OR(O243&gt;0,R243&gt;0),SUM(COUNTIF(Tabla1[[#This Row],[AÑOS AL INICIO5 CPN]],"&gt;=40"),COUNTIF(AS243,"0"),COUNTIF(AR243,"SI"),COUNTIF(CC243,"SI"),COUNTIF(BQ243,"&gt;119"),COUNTIF(CI243,"&gt;=35")),"")</f>
        <v>0</v>
      </c>
      <c r="NF243" s="43" t="str">
        <f t="shared" si="935"/>
        <v/>
      </c>
      <c r="NG243" s="43">
        <f t="shared" si="908"/>
        <v>0</v>
      </c>
      <c r="NH243" s="43" t="str">
        <f t="shared" si="909"/>
        <v/>
      </c>
      <c r="NI24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CPN",P243="NO"),"Z",IF(AND(Tabla1[[#This Row],[CITA PROXIMO CONTROL]]="CITA MANUAL",Tabla1[[#This Row],[GESTANTES ACTUALES]]="ACTIVA INGRESO A CPN"),"W",IF(AND(Tabla1[[#This Row],[GESTANTES ACTUALES]]="SALIO PROGRAMA",IN243=""),"S",IF(AND(Tabla1[[#This Row],[CITA PROXIMO CONTROL]]&gt;0,IN243=""),(Tabla1[[#This Row],[CITA PROXIMO CONTROL]]-TODAY()),"SD"))))))))</f>
        <v>#REF!</v>
      </c>
      <c r="NJ243" s="43">
        <f>MONTH(Tabla1[[#This Row],[FECHA DE SALIDA  DEL PROGRAMA]])</f>
        <v>1</v>
      </c>
      <c r="NK243" s="43">
        <f>YEAR(Tabla1[[#This Row],[FECHA DE SALIDA  DEL PROGRAMA]])</f>
        <v>1900</v>
      </c>
      <c r="NL243" s="43" t="str">
        <f t="shared" si="936"/>
        <v>X</v>
      </c>
      <c r="NM243" s="43" t="str">
        <f t="shared" si="941"/>
        <v>NO</v>
      </c>
      <c r="NN243" s="43" t="str">
        <f ca="1">IF(AND(O243&gt;0,R243=""),"NO CPN",IF(AND(O243="",R243=""),"",IF(AND(R243&gt;0,Tabla1[[#This Row],[SEMANAS DE GESTACION ACTUALIZADAS]]&lt;=12),"NO APLICA",IF(AND(FH243&lt;&gt;"",FN243&lt;&gt;""),"SI","NO"))))</f>
        <v>NO</v>
      </c>
      <c r="NO243" s="43" t="str">
        <f ca="1">IF(AND(O243&gt;0,R243=""),"NO CPN",IF(AND(O243="",R243=""),"",IF(AND(R243&gt;0,Tabla1[[#This Row],[SEMANAS DE GESTACION ACTUALIZADAS]]&lt;=27),"NO APLICA",IF(AND(ES243&lt;&gt;"",FQ243&lt;&gt;"",GF243&lt;&gt;""),"SI","NO"))))</f>
        <v>NO APLICA</v>
      </c>
      <c r="NP243" s="204" t="str">
        <f t="shared" si="912"/>
        <v>DEFINIR CON ECO</v>
      </c>
      <c r="NQ243" s="21" t="str">
        <f t="shared" si="1046"/>
        <v/>
      </c>
      <c r="NR243" s="21">
        <f t="shared" ca="1" si="937"/>
        <v>1</v>
      </c>
      <c r="NS243" s="205">
        <f t="shared" ca="1" si="914"/>
        <v>0</v>
      </c>
      <c r="NT243" s="21">
        <f t="shared" ca="1" si="915"/>
        <v>0</v>
      </c>
      <c r="NU243" s="21" t="str">
        <f t="shared" ca="1" si="916"/>
        <v>INCOMPLETO</v>
      </c>
      <c r="NV243" s="21" t="str">
        <f t="shared" ca="1" si="917"/>
        <v>INCOMPLETO</v>
      </c>
      <c r="NW243" s="206" t="str">
        <f>IF(AND(O243="",R243=""),"",IF(OR(AND(Tabla1[[#This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43" s="207" t="str">
        <f t="shared" ca="1" si="938"/>
        <v>SIN VACUNAR</v>
      </c>
      <c r="NY243" s="43">
        <f>ROW(Tabla1[[#This Row],['# DE TAMIZAJES SIFILIS TOMADOS ]])</f>
        <v>243</v>
      </c>
      <c r="NZ243" s="43">
        <f t="shared" si="942"/>
        <v>12</v>
      </c>
      <c r="OA243" s="43" t="str">
        <f t="shared" si="943"/>
        <v/>
      </c>
      <c r="OB243" s="43" t="str">
        <f t="shared" si="944"/>
        <v/>
      </c>
      <c r="OC243" s="43" t="str">
        <f t="shared" si="945"/>
        <v/>
      </c>
      <c r="OD243" s="43" t="str">
        <f t="shared" si="946"/>
        <v>SOBREPESO</v>
      </c>
      <c r="OE243" s="43" t="str">
        <f t="shared" si="947"/>
        <v/>
      </c>
      <c r="OF243" s="43" t="str">
        <f t="shared" si="948"/>
        <v/>
      </c>
      <c r="OG243" s="43" t="str">
        <f t="shared" si="949"/>
        <v/>
      </c>
      <c r="OH243" s="43" t="str">
        <f t="shared" si="950"/>
        <v/>
      </c>
      <c r="OI243" s="43" t="str">
        <f t="shared" si="951"/>
        <v/>
      </c>
      <c r="OJ243" s="43" t="str">
        <f t="shared" si="952"/>
        <v/>
      </c>
      <c r="OK243" s="43" t="str">
        <f t="shared" si="953"/>
        <v/>
      </c>
      <c r="OL243" s="43" t="str">
        <f t="shared" si="954"/>
        <v/>
      </c>
      <c r="OM243" s="43" t="str">
        <f t="shared" si="955"/>
        <v/>
      </c>
      <c r="ON243" s="43" t="str">
        <f t="shared" si="956"/>
        <v/>
      </c>
      <c r="OO243" s="43" t="str">
        <f t="shared" si="957"/>
        <v/>
      </c>
      <c r="OP243" s="43" t="str">
        <f t="shared" si="958"/>
        <v/>
      </c>
      <c r="OQ243" s="43" t="str">
        <f t="shared" si="959"/>
        <v/>
      </c>
      <c r="OR243" s="43" t="str">
        <f t="shared" si="960"/>
        <v/>
      </c>
      <c r="OS243" s="43" t="str">
        <f t="shared" si="961"/>
        <v/>
      </c>
      <c r="OT243" s="43" t="str">
        <f t="shared" si="962"/>
        <v/>
      </c>
      <c r="OU243" s="43" t="str">
        <f t="shared" si="963"/>
        <v/>
      </c>
      <c r="OV243" s="110" t="str">
        <f t="shared" si="964"/>
        <v/>
      </c>
      <c r="OW243" s="43" t="str">
        <f t="shared" si="965"/>
        <v/>
      </c>
      <c r="OX243" s="43" t="str">
        <f t="shared" si="966"/>
        <v/>
      </c>
      <c r="OY243" s="43" t="str">
        <f t="shared" si="967"/>
        <v/>
      </c>
      <c r="OZ243" s="43" t="str">
        <f t="shared" si="968"/>
        <v/>
      </c>
      <c r="PA243" s="43" t="str">
        <f t="shared" si="969"/>
        <v/>
      </c>
      <c r="PB243" s="43" t="str">
        <f t="shared" si="970"/>
        <v/>
      </c>
      <c r="PC243" s="43" t="str">
        <f t="shared" si="971"/>
        <v/>
      </c>
      <c r="PD243" s="43" t="str">
        <f t="shared" si="972"/>
        <v/>
      </c>
      <c r="PE243" s="43" t="str">
        <f t="shared" si="973"/>
        <v/>
      </c>
      <c r="PF243" s="43" t="str">
        <f t="shared" si="974"/>
        <v/>
      </c>
      <c r="PG243" s="43" t="str">
        <f t="shared" si="975"/>
        <v/>
      </c>
      <c r="PH243" s="43" t="str">
        <f t="shared" si="976"/>
        <v/>
      </c>
      <c r="PI243" s="43">
        <f t="shared" si="977"/>
        <v>12</v>
      </c>
      <c r="PJ243" s="43" t="str">
        <f t="shared" si="978"/>
        <v/>
      </c>
      <c r="PK243" s="43" t="str">
        <f t="shared" si="979"/>
        <v/>
      </c>
      <c r="PL243" s="43" t="str">
        <f t="shared" si="980"/>
        <v/>
      </c>
      <c r="PM243" s="43" t="str">
        <f t="shared" si="981"/>
        <v>SOBREPESO</v>
      </c>
      <c r="PN243" s="43" t="str">
        <f t="shared" si="982"/>
        <v/>
      </c>
      <c r="PO243" s="43" t="str">
        <f t="shared" si="983"/>
        <v/>
      </c>
      <c r="PP243" s="43" t="str">
        <f t="shared" si="984"/>
        <v/>
      </c>
      <c r="PQ243" s="43" t="str">
        <f t="shared" si="985"/>
        <v/>
      </c>
      <c r="PR243" s="43" t="str">
        <f t="shared" si="986"/>
        <v/>
      </c>
      <c r="PS243" s="43" t="str">
        <f t="shared" si="987"/>
        <v/>
      </c>
      <c r="PT243" s="43" t="str">
        <f t="shared" si="988"/>
        <v/>
      </c>
      <c r="PU243" s="43" t="str">
        <f t="shared" si="989"/>
        <v/>
      </c>
      <c r="PV243" s="43" t="str">
        <f t="shared" si="990"/>
        <v/>
      </c>
      <c r="PW243" s="43" t="str">
        <f t="shared" si="991"/>
        <v/>
      </c>
      <c r="PX243" s="43" t="str">
        <f t="shared" si="992"/>
        <v/>
      </c>
      <c r="PY243" s="43" t="str">
        <f t="shared" si="993"/>
        <v/>
      </c>
      <c r="PZ243" s="43" t="str">
        <f t="shared" si="994"/>
        <v/>
      </c>
      <c r="QA243" s="43" t="str">
        <f t="shared" si="995"/>
        <v/>
      </c>
      <c r="QB243" s="43" t="str">
        <f t="shared" si="996"/>
        <v/>
      </c>
      <c r="QC243" s="43" t="str">
        <f t="shared" si="997"/>
        <v/>
      </c>
      <c r="QD243" s="43" t="str">
        <f t="shared" si="998"/>
        <v/>
      </c>
      <c r="QE243" s="43" t="str">
        <f t="shared" si="999"/>
        <v/>
      </c>
      <c r="QF243" s="43" t="str">
        <f t="shared" si="1000"/>
        <v/>
      </c>
      <c r="QG243" s="43" t="str">
        <f t="shared" si="1001"/>
        <v/>
      </c>
      <c r="QH243" s="43" t="str">
        <f t="shared" si="1002"/>
        <v/>
      </c>
      <c r="QI243" s="43" t="str">
        <f t="shared" si="1003"/>
        <v/>
      </c>
      <c r="QJ243" s="43" t="str">
        <f t="shared" si="1004"/>
        <v/>
      </c>
      <c r="QK243" s="43" t="str">
        <f t="shared" si="1005"/>
        <v/>
      </c>
      <c r="QL243" s="43" t="str">
        <f t="shared" si="1006"/>
        <v/>
      </c>
      <c r="QM243" s="43" t="str">
        <f t="shared" si="1007"/>
        <v/>
      </c>
      <c r="QN243" s="43" t="str">
        <f t="shared" si="1008"/>
        <v/>
      </c>
      <c r="QO243" s="43" t="str">
        <f t="shared" si="1009"/>
        <v/>
      </c>
      <c r="QP243" s="43" t="str">
        <f t="shared" si="1010"/>
        <v/>
      </c>
      <c r="QQ243" s="43" t="str">
        <f t="shared" si="1011"/>
        <v/>
      </c>
      <c r="QR243" s="43" t="str">
        <f t="shared" si="1012"/>
        <v>Menor</v>
      </c>
      <c r="QS243" s="43"/>
      <c r="QT243" s="21" t="str">
        <f t="shared" si="1013"/>
        <v/>
      </c>
      <c r="QU243" s="21" t="str">
        <f t="shared" si="1014"/>
        <v/>
      </c>
      <c r="QV243" s="21" t="str">
        <f t="shared" si="1015"/>
        <v/>
      </c>
      <c r="QW243" s="21" t="str">
        <f t="shared" si="1016"/>
        <v/>
      </c>
      <c r="QX243" s="21" t="str">
        <f t="shared" si="1017"/>
        <v/>
      </c>
      <c r="QY243" s="21" t="str">
        <f t="shared" si="1018"/>
        <v/>
      </c>
      <c r="QZ243" s="21" t="str">
        <f t="shared" si="1019"/>
        <v/>
      </c>
      <c r="RA243" s="21" t="str">
        <f t="shared" si="1020"/>
        <v/>
      </c>
      <c r="RB243" s="21" t="str">
        <f t="shared" si="1021"/>
        <v/>
      </c>
      <c r="RC243" s="21" t="str">
        <f t="shared" si="1022"/>
        <v/>
      </c>
      <c r="RD243" s="21" t="str">
        <f t="shared" si="1023"/>
        <v/>
      </c>
      <c r="RE243" s="21" t="str">
        <f t="shared" si="1024"/>
        <v/>
      </c>
      <c r="RF243" s="21" t="str">
        <f t="shared" si="1025"/>
        <v/>
      </c>
      <c r="RG243" s="21" t="str">
        <f t="shared" si="1026"/>
        <v/>
      </c>
      <c r="RH243" s="21" t="str">
        <f t="shared" si="1027"/>
        <v/>
      </c>
      <c r="RI243" s="21" t="str">
        <f t="shared" si="1028"/>
        <v/>
      </c>
      <c r="RJ243" s="21" t="str">
        <f t="shared" si="1029"/>
        <v/>
      </c>
      <c r="RK243" s="21" t="str">
        <f t="shared" si="1030"/>
        <v/>
      </c>
      <c r="RL243" s="21" t="str">
        <f t="shared" si="1031"/>
        <v/>
      </c>
      <c r="RM243" s="21" t="str">
        <f t="shared" si="1032"/>
        <v/>
      </c>
      <c r="RN243" s="21" t="str">
        <f t="shared" si="1033"/>
        <v/>
      </c>
      <c r="RO243" s="21" t="str">
        <f t="shared" si="1034"/>
        <v/>
      </c>
      <c r="RP243" s="21" t="str">
        <f t="shared" si="1035"/>
        <v/>
      </c>
      <c r="RQ243" s="21" t="str">
        <f t="shared" si="1036"/>
        <v/>
      </c>
      <c r="RR243" s="21" t="str">
        <f t="shared" si="1037"/>
        <v/>
      </c>
      <c r="RS243" s="21" t="str">
        <f t="shared" si="1038"/>
        <v/>
      </c>
      <c r="RT243" s="21" t="str">
        <f t="shared" si="1039"/>
        <v/>
      </c>
      <c r="RU243" s="21" t="str">
        <f t="shared" si="1040"/>
        <v/>
      </c>
      <c r="RV243" s="21">
        <f t="shared" si="1041"/>
        <v>12.714285714285714</v>
      </c>
      <c r="RW243" s="284">
        <f>IF(OR(Tabla1[[#This Row],[FUM FORMULA CONFIABLE]]="",Tabla1[[#This Row],[FUM FORMULA CONFIABLE]]="SD"),"",IF(Tabla1[[#This Row],[FUM FORMULA CONFIABLE]]="CORREGIDA",Tabla1[[#This Row],[FUM X ECO 1]],Tabla1[[#This Row],[FUM x AMENORREA]]))</f>
        <v>45051</v>
      </c>
      <c r="RX243" s="21" t="str">
        <f>IF(AND(Tabla1[[#This Row],[FUM X ECO 1]]="",Tabla1[[#This Row],[FUM x AMENORREA]]=""),"",IF(AND(Tabla1[[#This Row],[FUM X ECO 1]]="",Tabla1[[#This Row],[FUM x AMENORREA]]&lt;&gt;""),"X",SUM(Tabla1[[#This Row],[FUM X ECO 1]]-Tabla1[[#This Row],[FUM x AMENORREA]])))</f>
        <v>X</v>
      </c>
      <c r="RY243" s="21" t="str">
        <f t="shared" si="1042"/>
        <v>x</v>
      </c>
    </row>
    <row r="244" spans="1:493" ht="45" customHeight="1" x14ac:dyDescent="0.25">
      <c r="A244" s="393"/>
      <c r="B244" s="109"/>
      <c r="C244" s="43" t="s">
        <v>845</v>
      </c>
      <c r="D244" s="124"/>
      <c r="E244" s="43" t="s">
        <v>1210</v>
      </c>
      <c r="F244" s="43" t="s">
        <v>848</v>
      </c>
      <c r="G244" s="43" t="s">
        <v>1670</v>
      </c>
      <c r="H244" s="43" t="s">
        <v>1671</v>
      </c>
      <c r="I244" s="109" t="s">
        <v>851</v>
      </c>
      <c r="J244" s="110">
        <v>1059602883</v>
      </c>
      <c r="K244" s="43" t="s">
        <v>852</v>
      </c>
      <c r="L244" s="175" t="s">
        <v>1509</v>
      </c>
      <c r="M244" s="22">
        <v>34717</v>
      </c>
      <c r="N244" s="213">
        <f t="shared" ca="1" si="841"/>
        <v>28.80821917808219</v>
      </c>
      <c r="O244" s="22">
        <v>45154</v>
      </c>
      <c r="P244" s="214" t="str">
        <f t="shared" si="919"/>
        <v>SI</v>
      </c>
      <c r="Q244" s="26" t="s">
        <v>855</v>
      </c>
      <c r="R244" s="22">
        <v>45154</v>
      </c>
      <c r="S244" s="21" t="s">
        <v>856</v>
      </c>
      <c r="T244" s="24" t="s">
        <v>690</v>
      </c>
      <c r="U244" s="21" t="s">
        <v>857</v>
      </c>
      <c r="V244" s="21" t="s">
        <v>858</v>
      </c>
      <c r="W244" s="21" t="s">
        <v>1200</v>
      </c>
      <c r="X244" s="21" t="s">
        <v>1200</v>
      </c>
      <c r="Y244" s="21"/>
      <c r="Z244" s="21">
        <v>3187506034</v>
      </c>
      <c r="AA244" s="21" t="s">
        <v>860</v>
      </c>
      <c r="AB244" s="27" t="s">
        <v>861</v>
      </c>
      <c r="AC244" s="26" t="s">
        <v>846</v>
      </c>
      <c r="AD244" s="21" t="s">
        <v>1546</v>
      </c>
      <c r="AE244" s="26" t="s">
        <v>854</v>
      </c>
      <c r="AF244" s="26" t="s">
        <v>854</v>
      </c>
      <c r="AG244" s="23" t="s">
        <v>864</v>
      </c>
      <c r="AH244" s="23" t="s">
        <v>864</v>
      </c>
      <c r="AI244" s="24" t="s">
        <v>863</v>
      </c>
      <c r="AJ244" s="23" t="s">
        <v>864</v>
      </c>
      <c r="AK244" s="220" t="str">
        <f>IF(AND(AD244="",AE244="",AF244="",AG244="",AH244="",AI244="",AJ244=""),"",IF(OR(Tabla1[[#This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EVALUACIÓN",IF(AND(O244="",R244=""),"",IF(AND(OR(O244&gt;0,R244&gt;0),NG244&gt;=0,NG244&lt;2),"SIN RIESGO",IF(AND(OR(O244&gt;0,R244&gt;0),NG244&gt;=2),"CON RIESGO","ASD")))))</f>
        <v>SIN RIESGO</v>
      </c>
      <c r="AL244" s="26" t="s">
        <v>864</v>
      </c>
      <c r="AM244" s="26" t="s">
        <v>864</v>
      </c>
      <c r="AN244" s="26" t="s">
        <v>864</v>
      </c>
      <c r="AO244" s="26" t="s">
        <v>864</v>
      </c>
      <c r="AP244" s="26" t="s">
        <v>864</v>
      </c>
      <c r="AQ244" s="26" t="s">
        <v>864</v>
      </c>
      <c r="AR244" s="26" t="s">
        <v>864</v>
      </c>
      <c r="AS244" s="21">
        <v>0</v>
      </c>
      <c r="AT244" s="21">
        <v>0</v>
      </c>
      <c r="AU244" s="21">
        <v>0</v>
      </c>
      <c r="AV244" s="26" t="s">
        <v>864</v>
      </c>
      <c r="AW244" s="21">
        <v>0</v>
      </c>
      <c r="AX244" s="26" t="s">
        <v>864</v>
      </c>
      <c r="AY244" s="26" t="s">
        <v>864</v>
      </c>
      <c r="AZ244" s="26" t="s">
        <v>864</v>
      </c>
      <c r="BA244" s="26" t="s">
        <v>864</v>
      </c>
      <c r="BB244" s="26" t="s">
        <v>864</v>
      </c>
      <c r="BC244" s="26" t="s">
        <v>864</v>
      </c>
      <c r="BD244" s="26" t="s">
        <v>864</v>
      </c>
      <c r="BE244" s="26" t="s">
        <v>864</v>
      </c>
      <c r="BF244" s="26" t="s">
        <v>864</v>
      </c>
      <c r="BG244" s="26" t="s">
        <v>864</v>
      </c>
      <c r="BH244" s="26" t="s">
        <v>864</v>
      </c>
      <c r="BI244" s="26" t="s">
        <v>864</v>
      </c>
      <c r="BJ244" s="26" t="s">
        <v>864</v>
      </c>
      <c r="BK244" s="26" t="s">
        <v>864</v>
      </c>
      <c r="BL244" s="26" t="s">
        <v>864</v>
      </c>
      <c r="BM244" s="26" t="s">
        <v>864</v>
      </c>
      <c r="BN244" s="22"/>
      <c r="BO244" s="22">
        <v>44983</v>
      </c>
      <c r="BP244" s="21" t="s">
        <v>864</v>
      </c>
      <c r="BQ244" s="222">
        <f t="shared" si="842"/>
        <v>0</v>
      </c>
      <c r="BR244" s="223" t="str">
        <f t="shared" si="843"/>
        <v/>
      </c>
      <c r="BS244" s="224">
        <f t="shared" si="844"/>
        <v>24.428571428571427</v>
      </c>
      <c r="BT244" s="216" t="str">
        <f t="shared" si="845"/>
        <v>DEFINIR CON ECO</v>
      </c>
      <c r="BU244" s="214">
        <f t="shared" ca="1" si="928"/>
        <v>35.571428571428569</v>
      </c>
      <c r="BV244" s="25"/>
      <c r="BW244" s="22"/>
      <c r="BX244" s="28"/>
      <c r="BY244" s="28"/>
      <c r="BZ244" s="22"/>
      <c r="CA244" s="21"/>
      <c r="CB244" s="26"/>
      <c r="CC244" s="26"/>
      <c r="CD244" s="26"/>
      <c r="CE244" s="26"/>
      <c r="CF244" s="22" t="s">
        <v>1517</v>
      </c>
      <c r="CG244" s="21">
        <v>1.57</v>
      </c>
      <c r="CH244" s="21">
        <v>67.3</v>
      </c>
      <c r="CI244" s="214">
        <f t="shared" si="847"/>
        <v>27.30333887784494</v>
      </c>
      <c r="CJ244" s="225" t="e">
        <f>IF(AND(CI244&lt;10,CH244="SD"),"SIN DATO PESO PREGESTACION O I TRIM",IF(AND(OR(R244&gt;0,O244&gt;0),CI244="X"),"INGRESAR DATO DE PESO",IF(CI244="SD","INGRESAR DATO DE TALLA Y PESO",IF(AND(OR(Tabla1[[#This Row],[MOMENTO EN QUE SE REALIZA EL PESO AL INGRESO A CPN]]="PREGESTACIÓN",NZ244="Menor"),CI244&lt;18.5),"BAJO PESO",IF(AND(OR(Tabla1[[#This Row],[MOMENTO EN QUE SE REALIZA EL PESO AL INGRESO A CPN]]="PREGESTACIÓN",NZ244="Menor"),CI244&lt;25),"NORMAL",IF(AND(OR(Tabla1[[#This Row],[MOMENTO EN QUE SE REALIZA EL PESO AL INGRESO A CPN]]="PREGESTACIÓN",NZ244="Menor"),CI244&lt;30),"SOBREPESO",IF(AND(OR(Tabla1[[#This Row],[MOMENTO EN QUE SE REALIZA EL PESO AL INGRESO A CPN]]="PREGESTACIÓN",NZ244="Menor"),CI244&gt;=30,CI244&lt;50),"OBESIDAD",IF(AND(BS244&gt;0,Tabla1[[#This Row],[MOMENTO EN QUE SE REALIZA EL PESO AL INGRESO A CPN]]="GESTACIÓN"),HLOOKUP(NZ244,$OA$2:PH244,NY244),""))))))))</f>
        <v>#REF!</v>
      </c>
      <c r="CK244" s="212">
        <f t="shared" si="848"/>
        <v>45154</v>
      </c>
      <c r="CL244" s="21">
        <v>67.3</v>
      </c>
      <c r="CM244" s="214">
        <f t="shared" si="849"/>
        <v>27.30333887784494</v>
      </c>
      <c r="CN244" s="216">
        <f t="shared" si="850"/>
        <v>24</v>
      </c>
      <c r="CO244" s="216" t="e">
        <f>IF(PI244="","",IF(PI244&gt;0,HLOOKUP(PI244,$PJ$2:QQ244,NY244),""))</f>
        <v>#REF!</v>
      </c>
      <c r="CP244" s="21">
        <v>28</v>
      </c>
      <c r="CQ244" s="216" t="e">
        <f>IF(QR244="Menor","NO APLICA-MENOR 13 SEM",IF(AND(CC244="SI",CN244&gt;23),"NO APLICA- GEMELAR",IF(QR244="","",IF(QR244&gt;0,HLOOKUP(QR244,$QS$2:RU244,NY244),""))))</f>
        <v>#REF!</v>
      </c>
      <c r="CR244" s="21"/>
      <c r="CS244" s="21"/>
      <c r="CT244" s="217" t="str">
        <f>IF(R244="","",IF(AND(BS244&gt;1,BS244&lt;12,Tabla1[[#This Row],[T.A. SISTOLICA - ANTES DE SEMANA 12]]="",Tabla1[[#This Row],[T.A. DIASTOLICA - ANTES DE SEMANA 12]]=""),"REGISTRE DATO TA ANTES SEMANA 12",IF(AND(BS244&gt;11,BS244&lt;43,Tabla1[[#This Row],[T.A. SISTOLICA - ANTES DE SEMANA 12]]="",Tabla1[[#This Row],[T.A. DIASTOLICA - ANTES DE SEMANA 12]]=""),"NO APLICA REGISTRO TA-INGRESO TARDIO",IF(AND(OR(O244&gt;0,R244&gt;0),OR(CR244&gt;=140,CS244&gt;=90)),"DEFINIR ESTADIO HTA",IF(AND(OR(O244&gt;0,R244&gt;0),AND(CR244&gt;120,CR244&lt;=139)),"PRE HTA SEGUIMIENTO",IF(AND(OR(O244&gt;0,R244&gt;0),AND(CS244&gt;80,CS244&lt;=89)),"PRE HTA SEGUIMIENTO",IF(AND(OR(O244&gt;0,R244&gt;0),AND(CR244&gt;=80,CR244&lt;=120)),"APARENTEMENTE NORMAL",IF(AND(OR(O244&gt;0,R244&gt;0),AND(CS244&gt;=50,CS244&lt;=80)),"APARENTEMENTE NORMAL",IF(AND(OR(O244&gt;0,R244&gt;0),AND(CR244&gt;1,CR244&lt;=70),AND(CS244&gt;1,CS244&lt;=40)),"HIPOTENSIÓN","")))))))))</f>
        <v>NO APLICA REGISTRO TA-INGRESO TARDIO</v>
      </c>
      <c r="CU244" s="21"/>
      <c r="CV244" s="21"/>
      <c r="CW244" s="217" t="str">
        <f>IF(R244="","",IF(AND(CN244&gt;19,CN244&lt;27,Tabla1[[#This Row],[T.A. SISTOLICA (Entre semana 20 y 26)]]="",Tabla1[[#This Row],[T.A. DIATOLICA (Entre semana 20 y 26)]]=""),"ACUDE A CONTROL SEM 20 A 26 REGISTRE TA AHORA",IF(AND(BS244&gt;1,BS244&lt;27,BU244&gt;19,Tabla1[[#This Row],[T.A. SISTOLICA (Entre semana 20 y 26)]]="",Tabla1[[#This Row],[T.A. DIATOLICA (Entre semana 20 y 26)]]=""),"COMPLETE REGISTRO TA CONTROL SEM 20 A26 ",IF(AND(BS244&gt;26,BS244&lt;43,Tabla1[[#This Row],[T.A. SISTOLICA (Entre semana 20 y 26)]]="",Tabla1[[#This Row],[T.A. DIATOLICA (Entre semana 20 y 26)]]=""),"NO APLICA REGISTRO TA-INGRESO TARDIO",IF(AND(OR(O244&gt;0,R244&gt;0),OR(CU244&gt;=140,CV244&gt;=90)),"ALTO RIESGO PREECLAMPSIA,DEFINIR ESTADIO HTA",IF(AND(OR(O244&gt;0,R244&gt;0),AND(CU244&gt;120,CU244&lt;=139)),"PRE HTA SEGUIMIENTO,RIESGO HIPERTENSION INDUCIDA POR EL EMBARAZO",IF(AND(OR(O244&gt;0,R244&gt;0),AND(CV244&gt;80,CV244&lt;=89)),"PRE HTA SEGUIMIENTO, RIESGO HIPERTENSION INDUCIDA POR EL EMBARAZO",IF(AND(OR(O244&lt;&gt;"",R244&lt;&gt;""),CS244&lt;&gt;"",CV244&lt;&gt;"",CS244&lt;=CV244),"VIGILAR CIFRAS PRESION ARTERIAL",IF(AND(OR(O244&gt;0,R244&gt;0),AND(CU244&gt;120,CU244&lt;=139)),"PRE HTA SEGUIMIENTO",IF(AND(OR(O244&gt;0,R244&gt;0),AND(CU244&gt;1,CU244&lt;=70),AND(CV244&gt;1,CV244&lt;=40)),"HIPOTENSIÓN",IF(AND(OR(O244&lt;&gt;"",R244&lt;&gt;""),CS244&lt;&gt;"",CV244&lt;&gt;"",CS244&gt;CV244),"APARENTEMENTE NORMAL",IF(AND(OR(O244&gt;0,R244&gt;0),AND(CU244&gt;=80,CU244&lt;=120)),"APARENTEMENTE NORMAL",IF(AND(OR(O244&gt;0,R244&gt;0),AND(CV244&gt;=50,CV244&lt;=80)),"APARENTEMENTE NORMAL","")))))))))))))</f>
        <v>ACUDE A CONTROL SEM 20 A 26 REGISTRE TA AHORA</v>
      </c>
      <c r="CX244" s="21">
        <v>90</v>
      </c>
      <c r="CY244" s="21">
        <v>60</v>
      </c>
      <c r="CZ244" s="216" t="str">
        <f t="shared" si="1045"/>
        <v>APARENTEMENTE NORMAL</v>
      </c>
      <c r="DA244" s="21">
        <v>90</v>
      </c>
      <c r="DB244" s="21">
        <v>60</v>
      </c>
      <c r="DC244" s="217" t="str">
        <f t="shared" si="851"/>
        <v>APARENTEMENTE NORMAL</v>
      </c>
      <c r="DD244" s="22">
        <v>45154</v>
      </c>
      <c r="DE244" s="22">
        <v>45154</v>
      </c>
      <c r="DF244" s="22"/>
      <c r="DG244" s="22"/>
      <c r="DH244" s="22"/>
      <c r="DI244" s="22"/>
      <c r="DJ244" s="22"/>
      <c r="DK244" s="22"/>
      <c r="DL244" s="22"/>
      <c r="DM244" s="22"/>
      <c r="DN244" s="22"/>
      <c r="DO244" s="22"/>
      <c r="DP244" s="22"/>
      <c r="DQ244" s="22"/>
      <c r="DR244" s="28"/>
      <c r="DS244" s="22"/>
      <c r="DT244" s="22"/>
      <c r="DU244" s="216" t="str">
        <f t="shared" ca="1" si="920"/>
        <v>CONCERTAR PLAN DE PARTO INMEDIATO</v>
      </c>
      <c r="DV244" s="226" t="str">
        <f t="shared" si="921"/>
        <v>ACTIVA INGRESO A CPN</v>
      </c>
      <c r="DW24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44" s="216" t="e">
        <f t="shared" ca="1" si="852"/>
        <v>#REF!</v>
      </c>
      <c r="DY244" s="212">
        <f>IF(R244="","",IF(R244&gt;0,MAX(Tabla1[[#This Row],[FECHA C2]:[FECHA C13]],Tabla1[[#This Row],[FECHA CONSULTA PRIMERA VEZ PROGRAMA CPN ]])))</f>
        <v>45154</v>
      </c>
      <c r="DZ244" s="216">
        <f t="shared" si="853"/>
        <v>24</v>
      </c>
      <c r="EA244" s="222">
        <f>IF(R244&gt;0,SUM(COUNTA(DF244:DQ244)+COUNTA(Tabla1[[#This Row],[FECHA CONSULTA PRIMERA VEZ PROGRAMA CPN ]])),"")</f>
        <v>1</v>
      </c>
      <c r="EB244" s="222" t="str">
        <f t="shared" si="854"/>
        <v>NO</v>
      </c>
      <c r="EC244" s="214">
        <f t="shared" si="855"/>
        <v>5</v>
      </c>
      <c r="ED244" s="227">
        <f t="shared" si="856"/>
        <v>0.2</v>
      </c>
      <c r="EE244" s="22">
        <v>45154</v>
      </c>
      <c r="EF244" s="22"/>
      <c r="EG244" s="22">
        <v>45154</v>
      </c>
      <c r="EH244" s="22"/>
      <c r="EI244" s="22">
        <v>45154</v>
      </c>
      <c r="EJ244" s="22"/>
      <c r="EK244" s="22"/>
      <c r="EL244" s="21"/>
      <c r="EM244" s="21"/>
      <c r="EN244" s="22"/>
      <c r="EO244" s="222" t="str">
        <f t="shared" si="857"/>
        <v>TOMAR EXAMEN</v>
      </c>
      <c r="EP244" s="214" t="str">
        <f t="shared" si="858"/>
        <v/>
      </c>
      <c r="EQ244" s="216" t="str">
        <f t="shared" si="859"/>
        <v>POR DEFINIR</v>
      </c>
      <c r="ER244" s="24"/>
      <c r="ES244" s="22"/>
      <c r="ET244" s="29" t="str">
        <f t="shared" ca="1" si="922"/>
        <v>TOMA DE HEMOGLOBINA TARDÍA</v>
      </c>
      <c r="EU244" s="25" t="str">
        <f t="shared" si="860"/>
        <v/>
      </c>
      <c r="EV244" s="24"/>
      <c r="EW244" s="24"/>
      <c r="EX244" s="22"/>
      <c r="EY244" s="29" t="str">
        <f t="shared" si="1043"/>
        <v>TOMAR EXAMEN</v>
      </c>
      <c r="EZ244" s="25" t="str">
        <f t="shared" ca="1" si="1044"/>
        <v/>
      </c>
      <c r="FA244" s="21"/>
      <c r="FB244" s="22"/>
      <c r="FC244" s="29" t="str">
        <f t="shared" si="861"/>
        <v>PIERDE TOMA TAMIZAJE- INGRESO TARDIO</v>
      </c>
      <c r="FD244" s="29"/>
      <c r="FE244" s="29"/>
      <c r="FF244" s="29"/>
      <c r="FG244" s="21" t="str">
        <f t="shared" ca="1" si="862"/>
        <v>TOMAR PTOG</v>
      </c>
      <c r="FH244" s="31"/>
      <c r="FI244" s="29" t="str">
        <f t="shared" si="863"/>
        <v>TOMAR EXAMEN</v>
      </c>
      <c r="FJ244" s="22"/>
      <c r="FK244" s="22"/>
      <c r="FL244" s="29" t="str">
        <f t="shared" ca="1" si="864"/>
        <v>NO APLICA-INGRESO TARDIO</v>
      </c>
      <c r="FM244" s="22"/>
      <c r="FN244" s="32"/>
      <c r="FO244" s="29" t="str">
        <f t="shared" ca="1" si="923"/>
        <v>PIERDE TOMA DE TAMIZAJE</v>
      </c>
      <c r="FP244" s="22"/>
      <c r="FQ244" s="32"/>
      <c r="FR244" s="29" t="str">
        <f t="shared" ca="1" si="924"/>
        <v>TOMA INMEDIATA DE TAMIZAJE</v>
      </c>
      <c r="FS244" s="22"/>
      <c r="FT244" s="32"/>
      <c r="FU244" s="29" t="str">
        <f>IF(AND(FJ244="",FM244="",FP244="",FS244=""),"",IF(OR(OR(Tabla1[[#This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44" s="28"/>
      <c r="FW244" s="22"/>
      <c r="FX244" s="29" t="str">
        <f t="shared" si="865"/>
        <v>TOMAR EXAMEN</v>
      </c>
      <c r="FY244" s="22"/>
      <c r="FZ244" s="22"/>
      <c r="GA244" s="29" t="str">
        <f t="shared" ca="1" si="939"/>
        <v>NO APLICA-INGRESO TARDIO</v>
      </c>
      <c r="GB244" s="22"/>
      <c r="GC244" s="22"/>
      <c r="GD244" s="29" t="str">
        <f t="shared" ca="1" si="1048"/>
        <v>PIERDE TOMA DE TAMIZAJE</v>
      </c>
      <c r="GE244" s="22"/>
      <c r="GF244" s="22"/>
      <c r="GG244" s="29" t="str">
        <f t="shared" ca="1" si="926"/>
        <v>TOMA INMEDIATA DE TAMIZAJE</v>
      </c>
      <c r="GH244" s="22"/>
      <c r="GI244" s="29"/>
      <c r="GJ244" s="22"/>
      <c r="GK244" s="22"/>
      <c r="GL244" s="22"/>
      <c r="GM244" s="22"/>
      <c r="GN244" s="28"/>
      <c r="GO244" s="22"/>
      <c r="GP244" s="29" t="str">
        <f t="shared" si="866"/>
        <v>TOMAR EXAMEN</v>
      </c>
      <c r="GQ244" s="28"/>
      <c r="GR244" s="28"/>
      <c r="GS244" s="22" t="str">
        <f t="shared" si="1047"/>
        <v/>
      </c>
      <c r="GT244" s="22"/>
      <c r="GU244" s="29" t="str">
        <f t="shared" si="867"/>
        <v>TOMAR EXAMEN</v>
      </c>
      <c r="GV244" s="21" t="str">
        <f t="shared" si="868"/>
        <v>POR DEFINIR</v>
      </c>
      <c r="GW244" s="28"/>
      <c r="GX244" s="30"/>
      <c r="GY244" s="21"/>
      <c r="GZ244" s="21"/>
      <c r="HA244" s="21"/>
      <c r="HB244" s="21"/>
      <c r="HC244" s="21"/>
      <c r="HD244" s="21"/>
      <c r="HE244" s="21"/>
      <c r="HF244" s="22"/>
      <c r="HG244" s="22" t="str">
        <f>IF(OR(O244&gt;0,R244&gt;0),CONCATENATE(IF(Tabla1[[#This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44" s="22" t="e">
        <f t="shared" si="869"/>
        <v>#REF!</v>
      </c>
      <c r="HI244" s="22" t="e">
        <f t="shared" ca="1" si="870"/>
        <v>#REF!</v>
      </c>
      <c r="HJ244" s="21" t="str">
        <f t="shared" ca="1" si="871"/>
        <v>**********************MULTIPARIDAD*****************</v>
      </c>
      <c r="HK244" s="21" t="str">
        <f t="shared" si="872"/>
        <v>SIN ANTECEDENTES DE RIESGO</v>
      </c>
      <c r="HL244" s="24" t="str">
        <f t="shared" si="873"/>
        <v>APARENTEMENTE NORMAL</v>
      </c>
      <c r="HM244" s="21" t="e">
        <f t="shared" ca="1" si="874"/>
        <v>#REF!</v>
      </c>
      <c r="HN244" s="30" t="str">
        <f t="shared" si="927"/>
        <v>ACTIVA INGRESO A CPN</v>
      </c>
      <c r="HO244" s="21"/>
      <c r="HP244" s="21"/>
      <c r="HQ244" s="349"/>
      <c r="HR244" s="21" t="str">
        <f>IF(R244="","",IF(Tabla1[[#This Row],[ALARMA FACTORES DE RIESGO COMPLICACIONES HIPERTENSIVAS3]]="SIN ANTECEDENTES DE RIESGO","No Aplica para suministro de ASA",IF(AND(Tabla1[[#This Row],[FECHA INICIO DE SUMINISTRO DE ASA]]&gt;0,RV244&lt;12),"Inicia ASA ANTES de Sem 12",IF(AND(RV244&gt;11,RV244&lt;17,OR(HK244="RIESGO ALTO DE COMPLICACIONES HIPERTENSIVAS VER MANEJO GUIA SUMINISTRO ASA Y CALCIO",HK244="RIESGO MODERADO (2 O MAS CRITERIOS) VER MANEJO GUIA SUMINISTRO ASA Y CALCIO")),"Inicio oportuno de ASA",IF(AND(RV244&gt;12,OR(HK244="RIESGO ALTO DE COMPLICACIONES HIPERTENSIVAS VER MANEJO GUIA SUMINISTRO ASA Y CALCIO",HK244="RIESGO MODERADO (2 O MAS CRITERIOS) VER MANEJO GUIA SUMINISTRO ASA Y CALCIO")),"Inicio no oportuno mayor a 16 semanas",IF(AND(BU244&lt;12,OR(HK244="RIESGO ALTO DE COMPLICACIONES HIPERTENSIVAS VER MANEJO GUIA SUMINISTRO ASA Y CALCIO",HK244="RIESGO MODERADO (2 O MAS CRITERIOS) VER MANEJO GUIA SUMINISTRO ASA Y CALCIO")),"Pendiente Inicio de ASA a la semana 12",IF(AND(BU244&gt;11,BU244&lt;17,OR(HK244="RIESGO ALTO DE COMPLICACIONES HIPERTENSIVAS VER MANEJO GUIA SUMINISTRO ASA Y CALCIO",HK244="RIESGO MODERADO (2 O MAS CRITERIOS) VER MANEJO GUIA SUMINISTRO ASA Y CALCIO")),"Iniciar de inmediato ASA",IF(AND(BU244&gt;16,OR(HK244="RIESGO ALTO DE COMPLICACIONES HIPERTENSIVAS VER MANEJO GUIA SUMINISTRO ASA Y CALCIO",HK244="RIESGO MODERADO (2 O MAS CRITERIOS) VER MANEJO GUIA SUMINISTRO ASA Y CALCIO")),"Pierde Oportunidad, Inicio tardío de ASA","XXXXX"))))))))</f>
        <v>No Aplica para suministro de ASA</v>
      </c>
      <c r="HS244" s="22">
        <v>45154</v>
      </c>
      <c r="HT244" s="22" t="s">
        <v>1518</v>
      </c>
      <c r="HU244" s="22"/>
      <c r="HV244" s="22"/>
      <c r="HW244" s="22">
        <v>45154</v>
      </c>
      <c r="HX244" s="22" t="s">
        <v>1511</v>
      </c>
      <c r="HY244" s="22"/>
      <c r="HZ244" s="28" t="str">
        <f t="shared" si="875"/>
        <v>PENDIENTE CONSULTA</v>
      </c>
      <c r="IA244" s="26"/>
      <c r="IB244" s="26"/>
      <c r="IC244" s="111"/>
      <c r="ID244" s="22"/>
      <c r="IE244" s="22" t="str">
        <f t="shared" ca="1" si="876"/>
        <v>INASISTENTE</v>
      </c>
      <c r="IF244" s="22"/>
      <c r="IG244" s="22">
        <f t="shared" si="877"/>
        <v>45263</v>
      </c>
      <c r="IH244" s="29">
        <f t="shared" ca="1" si="878"/>
        <v>31</v>
      </c>
      <c r="II244" s="22" t="str">
        <f t="shared" ca="1" si="879"/>
        <v>PENDIENTE</v>
      </c>
      <c r="IJ244" s="22"/>
      <c r="IK244" s="21"/>
      <c r="IL244" s="21"/>
      <c r="IM244" s="34"/>
      <c r="IN244" s="22"/>
      <c r="IO244" s="21"/>
      <c r="IP244" s="29" t="str">
        <f t="shared" si="880"/>
        <v/>
      </c>
      <c r="IQ244" s="35"/>
      <c r="IR244" s="21"/>
      <c r="IS244" s="21"/>
      <c r="IT244" s="21"/>
      <c r="IU244" s="21"/>
      <c r="IV244" s="21"/>
      <c r="IW244" s="21"/>
      <c r="IX244" s="21"/>
      <c r="IY244" s="21"/>
      <c r="IZ244" s="21"/>
      <c r="JA244" s="21"/>
      <c r="JB244" s="30"/>
      <c r="JC244" s="21"/>
      <c r="JD244" s="36"/>
      <c r="JE244" s="21" t="str">
        <f t="shared" si="881"/>
        <v/>
      </c>
      <c r="JF244" s="30"/>
      <c r="JG244" s="21"/>
      <c r="JH244" s="21"/>
      <c r="JI244" s="21"/>
      <c r="JJ244" s="30"/>
      <c r="JK244" s="22"/>
      <c r="JL244" s="22"/>
      <c r="JM244" s="21"/>
      <c r="JN244" s="36"/>
      <c r="JO244" s="21" t="str">
        <f t="shared" si="882"/>
        <v/>
      </c>
      <c r="JP244" s="22"/>
      <c r="JQ244" s="21"/>
      <c r="JR244" s="21"/>
      <c r="JS244" s="21"/>
      <c r="JT244" s="30"/>
      <c r="JU244" s="22"/>
      <c r="JV244" s="22"/>
      <c r="JW244" s="33"/>
      <c r="JX244" s="28" t="str">
        <f t="shared" si="883"/>
        <v/>
      </c>
      <c r="JY244" s="159"/>
      <c r="JZ244" s="28" t="str">
        <f t="shared" si="884"/>
        <v/>
      </c>
      <c r="KA244" s="21"/>
      <c r="KB244" s="21"/>
      <c r="KC244" s="21"/>
      <c r="KD244" s="37"/>
      <c r="KE244" s="28"/>
      <c r="KF244" s="28"/>
      <c r="KG244" s="28"/>
      <c r="KH244" s="39"/>
      <c r="KI244" s="39"/>
      <c r="KJ244" s="66"/>
      <c r="KK244" s="39"/>
      <c r="KL244" s="39"/>
      <c r="KM244" s="66"/>
      <c r="KN244" s="39"/>
      <c r="KO244" s="39"/>
      <c r="KP244" s="39"/>
      <c r="KQ244" s="39"/>
      <c r="KR244" s="39"/>
      <c r="KS244" s="39"/>
      <c r="KT244" s="39"/>
      <c r="KU244" s="38"/>
      <c r="KV244" s="38"/>
      <c r="KW244" s="38"/>
      <c r="KX244" s="38"/>
      <c r="KY244" s="38"/>
      <c r="KZ244" s="38"/>
      <c r="LA244" s="38"/>
      <c r="LB244" s="38"/>
      <c r="LC244" s="38"/>
      <c r="LD244" s="38"/>
      <c r="LE244" s="38"/>
      <c r="LF244" s="38"/>
      <c r="LG244" s="38"/>
      <c r="LH244" s="38"/>
      <c r="LI244" s="38"/>
      <c r="LJ244" s="38"/>
      <c r="LK244" s="38"/>
      <c r="LL244" s="38"/>
      <c r="LM244" s="38"/>
      <c r="LN244" s="38"/>
      <c r="LO244" s="38"/>
      <c r="LP244" s="38"/>
      <c r="LQ244" s="38"/>
      <c r="LR244" s="38"/>
      <c r="LS244" s="38"/>
      <c r="LT244" s="38"/>
      <c r="LU244" s="38"/>
      <c r="LV244" s="38"/>
      <c r="LW244" s="38"/>
      <c r="LX244" s="38"/>
      <c r="LY244" s="38"/>
      <c r="LZ244" s="38"/>
      <c r="MA244" s="38"/>
      <c r="MB244" s="38"/>
      <c r="MC244" s="38"/>
      <c r="MD244" s="38"/>
      <c r="ME244" s="38"/>
      <c r="MF244" s="38"/>
      <c r="MG244" s="38"/>
      <c r="MH244" s="43">
        <f t="shared" si="885"/>
        <v>0</v>
      </c>
      <c r="MI244" s="43" t="str">
        <f t="shared" si="929"/>
        <v/>
      </c>
      <c r="MJ244" s="43" t="str">
        <f t="shared" si="887"/>
        <v/>
      </c>
      <c r="MK244" s="43">
        <f t="shared" si="888"/>
        <v>0</v>
      </c>
      <c r="ML24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44" s="43">
        <f t="shared" si="930"/>
        <v>24.428571428571427</v>
      </c>
      <c r="MN244" s="43">
        <f t="shared" si="931"/>
        <v>8</v>
      </c>
      <c r="MO244" s="43">
        <f t="shared" si="932"/>
        <v>2023</v>
      </c>
      <c r="MP244" s="43" t="str">
        <f t="shared" si="892"/>
        <v>III TRIMESTRE AÑO</v>
      </c>
      <c r="MQ244" s="43">
        <f t="shared" si="933"/>
        <v>28.164695575996493</v>
      </c>
      <c r="MR244" s="43">
        <f t="shared" si="894"/>
        <v>0</v>
      </c>
      <c r="MS244" s="43" t="str">
        <f t="shared" si="895"/>
        <v xml:space="preserve"> DE 25 A 29 AÑOS</v>
      </c>
      <c r="MT244" s="43">
        <f t="shared" si="896"/>
        <v>0</v>
      </c>
      <c r="MU244" s="43">
        <f t="shared" si="897"/>
        <v>1</v>
      </c>
      <c r="MV244" s="43">
        <f t="shared" si="898"/>
        <v>0</v>
      </c>
      <c r="MW244" s="43">
        <f t="shared" si="899"/>
        <v>0</v>
      </c>
      <c r="MX244" s="43" t="str">
        <f t="shared" si="900"/>
        <v/>
      </c>
      <c r="MY244" s="43" t="str">
        <f t="shared" ca="1" si="901"/>
        <v/>
      </c>
      <c r="MZ244" s="43" t="str">
        <f t="shared" si="902"/>
        <v/>
      </c>
      <c r="NA244" s="43" t="str">
        <f t="shared" si="903"/>
        <v/>
      </c>
      <c r="NB244" s="43" t="str">
        <f t="shared" si="904"/>
        <v/>
      </c>
      <c r="NC244" s="43" t="str">
        <f t="shared" si="905"/>
        <v/>
      </c>
      <c r="ND244" s="43">
        <f t="shared" ca="1" si="934"/>
        <v>1</v>
      </c>
      <c r="NE244" s="43">
        <f>IF(OR(O244&gt;0,R244&gt;0),SUM(COUNTIF(Tabla1[[#This Row],[AÑOS AL INICIO5 CPN]],"&gt;=40"),COUNTIF(AS244,"0"),COUNTIF(AR244,"SI"),COUNTIF(CC244,"SI"),COUNTIF(BQ244,"&gt;119"),COUNTIF(CI244,"&gt;=35")),"")</f>
        <v>1</v>
      </c>
      <c r="NF244" s="43" t="str">
        <f t="shared" si="935"/>
        <v/>
      </c>
      <c r="NG244" s="43">
        <f t="shared" si="908"/>
        <v>0</v>
      </c>
      <c r="NH244" s="43" t="str">
        <f t="shared" si="909"/>
        <v/>
      </c>
      <c r="NI24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CPN",P244="NO"),"Z",IF(AND(Tabla1[[#This Row],[CITA PROXIMO CONTROL]]="CITA MANUAL",Tabla1[[#This Row],[GESTANTES ACTUALES]]="ACTIVA INGRESO A CPN"),"W",IF(AND(Tabla1[[#This Row],[GESTANTES ACTUALES]]="SALIO PROGRAMA",IN244=""),"S",IF(AND(Tabla1[[#This Row],[CITA PROXIMO CONTROL]]&gt;0,IN244=""),(Tabla1[[#This Row],[CITA PROXIMO CONTROL]]-TODAY()),"SD"))))))))</f>
        <v>#REF!</v>
      </c>
      <c r="NJ244" s="43">
        <f>MONTH(Tabla1[[#This Row],[FECHA DE SALIDA  DEL PROGRAMA]])</f>
        <v>1</v>
      </c>
      <c r="NK244" s="43">
        <f>YEAR(Tabla1[[#This Row],[FECHA DE SALIDA  DEL PROGRAMA]])</f>
        <v>1900</v>
      </c>
      <c r="NL244" s="43" t="str">
        <f t="shared" si="936"/>
        <v>X</v>
      </c>
      <c r="NM244" s="43" t="str">
        <f t="shared" si="941"/>
        <v>NO</v>
      </c>
      <c r="NN244" s="43" t="str">
        <f ca="1">IF(AND(O244&gt;0,R244=""),"NO CPN",IF(AND(O244="",R244=""),"",IF(AND(R244&gt;0,Tabla1[[#This Row],[SEMANAS DE GESTACION ACTUALIZADAS]]&lt;=12),"NO APLICA",IF(AND(FH244&lt;&gt;"",FN244&lt;&gt;""),"SI","NO"))))</f>
        <v>NO</v>
      </c>
      <c r="NO244" s="43" t="str">
        <f ca="1">IF(AND(O244&gt;0,R244=""),"NO CPN",IF(AND(O244="",R244=""),"",IF(AND(R244&gt;0,Tabla1[[#This Row],[SEMANAS DE GESTACION ACTUALIZADAS]]&lt;=27),"NO APLICA",IF(AND(ES244&lt;&gt;"",FQ244&lt;&gt;"",GF244&lt;&gt;""),"SI","NO"))))</f>
        <v>NO</v>
      </c>
      <c r="NP244" s="204" t="str">
        <f t="shared" si="912"/>
        <v>DEFINIR CON ECO</v>
      </c>
      <c r="NQ244" s="21" t="str">
        <f t="shared" si="1046"/>
        <v/>
      </c>
      <c r="NR244" s="21">
        <f t="shared" ca="1" si="937"/>
        <v>2</v>
      </c>
      <c r="NS244" s="205">
        <f t="shared" ca="1" si="914"/>
        <v>0</v>
      </c>
      <c r="NT244" s="21">
        <f t="shared" ca="1" si="915"/>
        <v>0</v>
      </c>
      <c r="NU244" s="21" t="str">
        <f t="shared" ca="1" si="916"/>
        <v>INCOMPLETO</v>
      </c>
      <c r="NV244" s="21" t="str">
        <f t="shared" ca="1" si="917"/>
        <v>INCOMPLETO</v>
      </c>
      <c r="NW244" s="206" t="str">
        <f>IF(AND(O244="",R244=""),"",IF(OR(AND(Tabla1[[#This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44" s="207" t="str">
        <f t="shared" ca="1" si="938"/>
        <v>SIN VACUNAR</v>
      </c>
      <c r="NY244" s="43">
        <f>ROW(Tabla1[[#This Row],['# DE TAMIZAJES SIFILIS TOMADOS ]])</f>
        <v>244</v>
      </c>
      <c r="NZ244" s="43">
        <f t="shared" si="942"/>
        <v>24</v>
      </c>
      <c r="OA244" s="43" t="str">
        <f t="shared" si="943"/>
        <v/>
      </c>
      <c r="OB244" s="43" t="str">
        <f t="shared" si="944"/>
        <v/>
      </c>
      <c r="OC244" s="43" t="str">
        <f t="shared" si="945"/>
        <v/>
      </c>
      <c r="OD244" s="43" t="str">
        <f t="shared" si="946"/>
        <v/>
      </c>
      <c r="OE244" s="43" t="str">
        <f t="shared" si="947"/>
        <v/>
      </c>
      <c r="OF244" s="43" t="str">
        <f t="shared" si="948"/>
        <v/>
      </c>
      <c r="OG244" s="43" t="str">
        <f t="shared" si="949"/>
        <v/>
      </c>
      <c r="OH244" s="43" t="str">
        <f t="shared" si="950"/>
        <v/>
      </c>
      <c r="OI244" s="43" t="str">
        <f t="shared" si="951"/>
        <v/>
      </c>
      <c r="OJ244" s="43" t="str">
        <f t="shared" si="952"/>
        <v/>
      </c>
      <c r="OK244" s="43" t="str">
        <f t="shared" si="953"/>
        <v/>
      </c>
      <c r="OL244" s="43" t="str">
        <f t="shared" si="954"/>
        <v/>
      </c>
      <c r="OM244" s="43" t="str">
        <f t="shared" si="955"/>
        <v/>
      </c>
      <c r="ON244" s="43" t="str">
        <f t="shared" si="956"/>
        <v/>
      </c>
      <c r="OO244" s="43" t="str">
        <f t="shared" si="957"/>
        <v/>
      </c>
      <c r="OP244" s="43" t="str">
        <f t="shared" si="958"/>
        <v>SOBREPESO</v>
      </c>
      <c r="OQ244" s="43" t="str">
        <f t="shared" si="959"/>
        <v/>
      </c>
      <c r="OR244" s="43" t="str">
        <f t="shared" si="960"/>
        <v/>
      </c>
      <c r="OS244" s="43" t="str">
        <f t="shared" si="961"/>
        <v/>
      </c>
      <c r="OT244" s="43" t="str">
        <f t="shared" si="962"/>
        <v/>
      </c>
      <c r="OU244" s="43" t="str">
        <f t="shared" si="963"/>
        <v/>
      </c>
      <c r="OV244" s="110" t="str">
        <f t="shared" si="964"/>
        <v/>
      </c>
      <c r="OW244" s="43" t="str">
        <f t="shared" si="965"/>
        <v/>
      </c>
      <c r="OX244" s="43" t="str">
        <f t="shared" si="966"/>
        <v/>
      </c>
      <c r="OY244" s="43" t="str">
        <f t="shared" si="967"/>
        <v/>
      </c>
      <c r="OZ244" s="43" t="str">
        <f t="shared" si="968"/>
        <v/>
      </c>
      <c r="PA244" s="43" t="str">
        <f t="shared" si="969"/>
        <v/>
      </c>
      <c r="PB244" s="43" t="str">
        <f t="shared" si="970"/>
        <v/>
      </c>
      <c r="PC244" s="43" t="str">
        <f t="shared" si="971"/>
        <v/>
      </c>
      <c r="PD244" s="43" t="str">
        <f t="shared" si="972"/>
        <v/>
      </c>
      <c r="PE244" s="43" t="str">
        <f t="shared" si="973"/>
        <v/>
      </c>
      <c r="PF244" s="43" t="str">
        <f t="shared" si="974"/>
        <v/>
      </c>
      <c r="PG244" s="43" t="str">
        <f t="shared" si="975"/>
        <v/>
      </c>
      <c r="PH244" s="43" t="str">
        <f t="shared" si="976"/>
        <v/>
      </c>
      <c r="PI244" s="43">
        <f t="shared" si="977"/>
        <v>24</v>
      </c>
      <c r="PJ244" s="43" t="str">
        <f t="shared" si="978"/>
        <v/>
      </c>
      <c r="PK244" s="43" t="str">
        <f t="shared" si="979"/>
        <v/>
      </c>
      <c r="PL244" s="43" t="str">
        <f t="shared" si="980"/>
        <v/>
      </c>
      <c r="PM244" s="43" t="str">
        <f t="shared" si="981"/>
        <v/>
      </c>
      <c r="PN244" s="43" t="str">
        <f t="shared" si="982"/>
        <v/>
      </c>
      <c r="PO244" s="43" t="str">
        <f t="shared" si="983"/>
        <v/>
      </c>
      <c r="PP244" s="43" t="str">
        <f t="shared" si="984"/>
        <v/>
      </c>
      <c r="PQ244" s="43" t="str">
        <f t="shared" si="985"/>
        <v/>
      </c>
      <c r="PR244" s="43" t="str">
        <f t="shared" si="986"/>
        <v/>
      </c>
      <c r="PS244" s="43" t="str">
        <f t="shared" si="987"/>
        <v/>
      </c>
      <c r="PT244" s="43" t="str">
        <f t="shared" si="988"/>
        <v/>
      </c>
      <c r="PU244" s="43" t="str">
        <f t="shared" si="989"/>
        <v/>
      </c>
      <c r="PV244" s="43" t="str">
        <f t="shared" si="990"/>
        <v/>
      </c>
      <c r="PW244" s="43" t="str">
        <f t="shared" si="991"/>
        <v/>
      </c>
      <c r="PX244" s="43" t="str">
        <f t="shared" si="992"/>
        <v/>
      </c>
      <c r="PY244" s="43" t="str">
        <f t="shared" si="993"/>
        <v>SOBREPESO</v>
      </c>
      <c r="PZ244" s="43" t="str">
        <f t="shared" si="994"/>
        <v/>
      </c>
      <c r="QA244" s="43" t="str">
        <f t="shared" si="995"/>
        <v/>
      </c>
      <c r="QB244" s="43" t="str">
        <f t="shared" si="996"/>
        <v/>
      </c>
      <c r="QC244" s="43" t="str">
        <f t="shared" si="997"/>
        <v/>
      </c>
      <c r="QD244" s="43" t="str">
        <f t="shared" si="998"/>
        <v/>
      </c>
      <c r="QE244" s="43" t="str">
        <f t="shared" si="999"/>
        <v/>
      </c>
      <c r="QF244" s="43" t="str">
        <f t="shared" si="1000"/>
        <v/>
      </c>
      <c r="QG244" s="43" t="str">
        <f t="shared" si="1001"/>
        <v/>
      </c>
      <c r="QH244" s="43" t="str">
        <f t="shared" si="1002"/>
        <v/>
      </c>
      <c r="QI244" s="43" t="str">
        <f t="shared" si="1003"/>
        <v/>
      </c>
      <c r="QJ244" s="43" t="str">
        <f t="shared" si="1004"/>
        <v/>
      </c>
      <c r="QK244" s="43" t="str">
        <f t="shared" si="1005"/>
        <v/>
      </c>
      <c r="QL244" s="43" t="str">
        <f t="shared" si="1006"/>
        <v/>
      </c>
      <c r="QM244" s="43" t="str">
        <f t="shared" si="1007"/>
        <v/>
      </c>
      <c r="QN244" s="43" t="str">
        <f t="shared" si="1008"/>
        <v/>
      </c>
      <c r="QO244" s="43" t="str">
        <f t="shared" si="1009"/>
        <v/>
      </c>
      <c r="QP244" s="43" t="str">
        <f t="shared" si="1010"/>
        <v/>
      </c>
      <c r="QQ244" s="43" t="str">
        <f t="shared" si="1011"/>
        <v/>
      </c>
      <c r="QR244" s="43">
        <f t="shared" si="1012"/>
        <v>24</v>
      </c>
      <c r="QS244" s="43"/>
      <c r="QT244" s="21" t="str">
        <f t="shared" si="1013"/>
        <v/>
      </c>
      <c r="QU244" s="21" t="str">
        <f t="shared" si="1014"/>
        <v/>
      </c>
      <c r="QV244" s="21" t="str">
        <f t="shared" si="1015"/>
        <v/>
      </c>
      <c r="QW244" s="21" t="str">
        <f t="shared" si="1016"/>
        <v/>
      </c>
      <c r="QX244" s="21" t="str">
        <f t="shared" si="1017"/>
        <v/>
      </c>
      <c r="QY244" s="21" t="str">
        <f t="shared" si="1018"/>
        <v/>
      </c>
      <c r="QZ244" s="21" t="str">
        <f t="shared" si="1019"/>
        <v/>
      </c>
      <c r="RA244" s="21" t="str">
        <f t="shared" si="1020"/>
        <v/>
      </c>
      <c r="RB244" s="21" t="str">
        <f t="shared" si="1021"/>
        <v/>
      </c>
      <c r="RC244" s="21" t="str">
        <f t="shared" si="1022"/>
        <v/>
      </c>
      <c r="RD244" s="21" t="str">
        <f t="shared" si="1023"/>
        <v/>
      </c>
      <c r="RE244" s="21" t="str">
        <f t="shared" si="1024"/>
        <v>ALTO PARA EDAD GESTACIONAL</v>
      </c>
      <c r="RF244" s="21" t="str">
        <f t="shared" si="1025"/>
        <v/>
      </c>
      <c r="RG244" s="21" t="str">
        <f t="shared" si="1026"/>
        <v/>
      </c>
      <c r="RH244" s="21" t="str">
        <f t="shared" si="1027"/>
        <v/>
      </c>
      <c r="RI244" s="21" t="str">
        <f t="shared" si="1028"/>
        <v/>
      </c>
      <c r="RJ244" s="21" t="str">
        <f t="shared" si="1029"/>
        <v/>
      </c>
      <c r="RK244" s="21" t="str">
        <f t="shared" si="1030"/>
        <v/>
      </c>
      <c r="RL244" s="21" t="str">
        <f t="shared" si="1031"/>
        <v/>
      </c>
      <c r="RM244" s="21" t="str">
        <f t="shared" si="1032"/>
        <v/>
      </c>
      <c r="RN244" s="21" t="str">
        <f t="shared" si="1033"/>
        <v/>
      </c>
      <c r="RO244" s="21" t="str">
        <f t="shared" si="1034"/>
        <v/>
      </c>
      <c r="RP244" s="21" t="str">
        <f t="shared" si="1035"/>
        <v/>
      </c>
      <c r="RQ244" s="21" t="str">
        <f t="shared" si="1036"/>
        <v/>
      </c>
      <c r="RR244" s="21" t="str">
        <f t="shared" si="1037"/>
        <v/>
      </c>
      <c r="RS244" s="21" t="str">
        <f t="shared" si="1038"/>
        <v/>
      </c>
      <c r="RT244" s="21" t="str">
        <f t="shared" si="1039"/>
        <v/>
      </c>
      <c r="RU244" s="21" t="str">
        <f t="shared" si="1040"/>
        <v/>
      </c>
      <c r="RV244" s="21">
        <f t="shared" si="1041"/>
        <v>-1</v>
      </c>
      <c r="RW244" s="284">
        <f>IF(OR(Tabla1[[#This Row],[FUM FORMULA CONFIABLE]]="",Tabla1[[#This Row],[FUM FORMULA CONFIABLE]]="SD"),"",IF(Tabla1[[#This Row],[FUM FORMULA CONFIABLE]]="CORREGIDA",Tabla1[[#This Row],[FUM X ECO 1]],Tabla1[[#This Row],[FUM x AMENORREA]]))</f>
        <v>44983</v>
      </c>
      <c r="RX244" s="21" t="str">
        <f>IF(AND(Tabla1[[#This Row],[FUM X ECO 1]]="",Tabla1[[#This Row],[FUM x AMENORREA]]=""),"",IF(AND(Tabla1[[#This Row],[FUM X ECO 1]]="",Tabla1[[#This Row],[FUM x AMENORREA]]&lt;&gt;""),"X",SUM(Tabla1[[#This Row],[FUM X ECO 1]]-Tabla1[[#This Row],[FUM x AMENORREA]])))</f>
        <v>X</v>
      </c>
      <c r="RY244" s="21" t="str">
        <f t="shared" si="1042"/>
        <v>x</v>
      </c>
    </row>
    <row r="245" spans="1:493" ht="45" customHeight="1" x14ac:dyDescent="0.25">
      <c r="A245" s="109"/>
      <c r="B245" s="43"/>
      <c r="C245" s="43" t="s">
        <v>845</v>
      </c>
      <c r="D245" s="124"/>
      <c r="E245" s="43" t="s">
        <v>943</v>
      </c>
      <c r="F245" s="43" t="s">
        <v>848</v>
      </c>
      <c r="G245" s="43" t="s">
        <v>1673</v>
      </c>
      <c r="H245" s="43" t="s">
        <v>1674</v>
      </c>
      <c r="I245" s="109" t="s">
        <v>851</v>
      </c>
      <c r="J245" s="342" t="s">
        <v>1672</v>
      </c>
      <c r="K245" s="43" t="s">
        <v>852</v>
      </c>
      <c r="L245" s="175" t="s">
        <v>1509</v>
      </c>
      <c r="M245" s="22">
        <v>31319</v>
      </c>
      <c r="N245" s="213">
        <f t="shared" ca="1" si="841"/>
        <v>38.11780821917808</v>
      </c>
      <c r="O245" s="22">
        <v>45157</v>
      </c>
      <c r="P245" s="214" t="str">
        <f t="shared" si="919"/>
        <v>SI</v>
      </c>
      <c r="Q245" s="26" t="s">
        <v>855</v>
      </c>
      <c r="R245" s="22">
        <v>45157</v>
      </c>
      <c r="S245" s="21" t="s">
        <v>856</v>
      </c>
      <c r="T245" s="24" t="s">
        <v>690</v>
      </c>
      <c r="U245" s="21" t="s">
        <v>857</v>
      </c>
      <c r="V245" s="21" t="s">
        <v>858</v>
      </c>
      <c r="W245" s="21" t="s">
        <v>1200</v>
      </c>
      <c r="X245" s="21" t="s">
        <v>1200</v>
      </c>
      <c r="Y245" s="21"/>
      <c r="Z245" s="21">
        <v>3163402687</v>
      </c>
      <c r="AA245" s="21" t="s">
        <v>860</v>
      </c>
      <c r="AB245" s="27" t="s">
        <v>861</v>
      </c>
      <c r="AC245" s="26" t="s">
        <v>846</v>
      </c>
      <c r="AD245" s="21" t="s">
        <v>1546</v>
      </c>
      <c r="AE245" s="26" t="s">
        <v>854</v>
      </c>
      <c r="AF245" s="26" t="s">
        <v>854</v>
      </c>
      <c r="AG245" s="23" t="s">
        <v>864</v>
      </c>
      <c r="AH245" s="23" t="s">
        <v>864</v>
      </c>
      <c r="AI245" s="24" t="s">
        <v>863</v>
      </c>
      <c r="AJ245" s="23" t="s">
        <v>864</v>
      </c>
      <c r="AK245" s="220" t="str">
        <f>IF(AND(AD245="",AE245="",AF245="",AG245="",AH245="",AI245="",AJ245=""),"",IF(OR(Tabla1[[#This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EVALUACIÓN",IF(AND(O245="",R245=""),"",IF(AND(OR(O245&gt;0,R245&gt;0),NG245&gt;=0,NG245&lt;2),"SIN RIESGO",IF(AND(OR(O245&gt;0,R245&gt;0),NG245&gt;=2),"CON RIESGO","ASD")))))</f>
        <v>SIN RIESGO</v>
      </c>
      <c r="AL245" s="26" t="s">
        <v>864</v>
      </c>
      <c r="AM245" s="26" t="s">
        <v>864</v>
      </c>
      <c r="AN245" s="26" t="s">
        <v>864</v>
      </c>
      <c r="AO245" s="26" t="s">
        <v>864</v>
      </c>
      <c r="AP245" s="26" t="s">
        <v>864</v>
      </c>
      <c r="AQ245" s="26" t="s">
        <v>864</v>
      </c>
      <c r="AR245" s="26" t="s">
        <v>864</v>
      </c>
      <c r="AS245" s="21">
        <v>5</v>
      </c>
      <c r="AT245" s="21">
        <v>4</v>
      </c>
      <c r="AU245" s="21">
        <v>0</v>
      </c>
      <c r="AV245" s="26" t="s">
        <v>864</v>
      </c>
      <c r="AW245" s="21">
        <v>0</v>
      </c>
      <c r="AX245" s="26" t="s">
        <v>854</v>
      </c>
      <c r="AY245" s="26" t="s">
        <v>864</v>
      </c>
      <c r="AZ245" s="26" t="s">
        <v>864</v>
      </c>
      <c r="BA245" s="26" t="s">
        <v>864</v>
      </c>
      <c r="BB245" s="26" t="s">
        <v>864</v>
      </c>
      <c r="BC245" s="26" t="s">
        <v>864</v>
      </c>
      <c r="BD245" s="26" t="s">
        <v>864</v>
      </c>
      <c r="BE245" s="26" t="s">
        <v>864</v>
      </c>
      <c r="BF245" s="26" t="s">
        <v>864</v>
      </c>
      <c r="BG245" s="26" t="s">
        <v>864</v>
      </c>
      <c r="BH245" s="26" t="s">
        <v>864</v>
      </c>
      <c r="BI245" s="26" t="s">
        <v>864</v>
      </c>
      <c r="BJ245" s="26" t="s">
        <v>864</v>
      </c>
      <c r="BK245" s="26" t="s">
        <v>864</v>
      </c>
      <c r="BL245" s="26" t="s">
        <v>864</v>
      </c>
      <c r="BM245" s="26" t="s">
        <v>864</v>
      </c>
      <c r="BN245" s="22"/>
      <c r="BO245" s="22">
        <v>45070</v>
      </c>
      <c r="BP245" s="21" t="s">
        <v>854</v>
      </c>
      <c r="BQ245" s="222">
        <f t="shared" si="842"/>
        <v>0</v>
      </c>
      <c r="BR245" s="223" t="str">
        <f t="shared" si="843"/>
        <v/>
      </c>
      <c r="BS245" s="224">
        <f t="shared" si="844"/>
        <v>12.428571428571429</v>
      </c>
      <c r="BT245" s="216" t="str">
        <f t="shared" si="845"/>
        <v>II TRIM</v>
      </c>
      <c r="BU245" s="214">
        <f t="shared" ca="1" si="928"/>
        <v>23.142857142857142</v>
      </c>
      <c r="BV245" s="25"/>
      <c r="BW245" s="22"/>
      <c r="BX245" s="28"/>
      <c r="BY245" s="28"/>
      <c r="BZ245" s="22"/>
      <c r="CA245" s="21"/>
      <c r="CB245" s="26"/>
      <c r="CC245" s="26"/>
      <c r="CD245" s="26"/>
      <c r="CE245" s="26"/>
      <c r="CF245" s="22" t="s">
        <v>1517</v>
      </c>
      <c r="CG245" s="21">
        <v>1.37</v>
      </c>
      <c r="CH245" s="21">
        <v>45</v>
      </c>
      <c r="CI245" s="214">
        <f t="shared" si="847"/>
        <v>23.975704619319085</v>
      </c>
      <c r="CJ245" s="225" t="e">
        <f>IF(AND(CI245&lt;10,CH245="SD"),"SIN DATO PESO PREGESTACION O I TRIM",IF(AND(OR(R245&gt;0,O245&gt;0),CI245="X"),"INGRESAR DATO DE PESO",IF(CI245="SD","INGRESAR DATO DE TALLA Y PESO",IF(AND(OR(Tabla1[[#This Row],[MOMENTO EN QUE SE REALIZA EL PESO AL INGRESO A CPN]]="PREGESTACIÓN",NZ245="Menor"),CI245&lt;18.5),"BAJO PESO",IF(AND(OR(Tabla1[[#This Row],[MOMENTO EN QUE SE REALIZA EL PESO AL INGRESO A CPN]]="PREGESTACIÓN",NZ245="Menor"),CI245&lt;25),"NORMAL",IF(AND(OR(Tabla1[[#This Row],[MOMENTO EN QUE SE REALIZA EL PESO AL INGRESO A CPN]]="PREGESTACIÓN",NZ245="Menor"),CI245&lt;30),"SOBREPESO",IF(AND(OR(Tabla1[[#This Row],[MOMENTO EN QUE SE REALIZA EL PESO AL INGRESO A CPN]]="PREGESTACIÓN",NZ245="Menor"),CI245&gt;=30,CI245&lt;50),"OBESIDAD",IF(AND(BS245&gt;0,Tabla1[[#This Row],[MOMENTO EN QUE SE REALIZA EL PESO AL INGRESO A CPN]]="GESTACIÓN"),HLOOKUP(NZ245,$OA$2:PH245,NY245),""))))))))</f>
        <v>#REF!</v>
      </c>
      <c r="CK245" s="212">
        <f t="shared" si="848"/>
        <v>45157</v>
      </c>
      <c r="CL245" s="21">
        <v>45</v>
      </c>
      <c r="CM245" s="214">
        <f t="shared" si="849"/>
        <v>23.975704619319085</v>
      </c>
      <c r="CN245" s="216">
        <f t="shared" si="850"/>
        <v>12</v>
      </c>
      <c r="CO245" s="216" t="e">
        <f>IF(PI245="","",IF(PI245&gt;0,HLOOKUP(PI245,$PJ$2:QQ245,NY245),""))</f>
        <v>#REF!</v>
      </c>
      <c r="CP245" s="21">
        <v>12</v>
      </c>
      <c r="CQ245" s="216" t="str">
        <f>IF(QR245="Menor","NO APLICA-MENOR 13 SEM",IF(AND(CC245="SI",CN245&gt;23),"NO APLICA- GEMELAR",IF(QR245="","",IF(QR245&gt;0,HLOOKUP(QR245,$QS$2:RU245,NY245),""))))</f>
        <v>NO APLICA-MENOR 13 SEM</v>
      </c>
      <c r="CR245" s="21"/>
      <c r="CS245" s="21"/>
      <c r="CT245" s="217" t="str">
        <f>IF(R245="","",IF(AND(BS245&gt;1,BS245&lt;12,Tabla1[[#This Row],[T.A. SISTOLICA - ANTES DE SEMANA 12]]="",Tabla1[[#This Row],[T.A. DIASTOLICA - ANTES DE SEMANA 12]]=""),"REGISTRE DATO TA ANTES SEMANA 12",IF(AND(BS245&gt;11,BS245&lt;43,Tabla1[[#This Row],[T.A. SISTOLICA - ANTES DE SEMANA 12]]="",Tabla1[[#This Row],[T.A. DIASTOLICA - ANTES DE SEMANA 12]]=""),"NO APLICA REGISTRO TA-INGRESO TARDIO",IF(AND(OR(O245&gt;0,R245&gt;0),OR(CR245&gt;=140,CS245&gt;=90)),"DEFINIR ESTADIO HTA",IF(AND(OR(O245&gt;0,R245&gt;0),AND(CR245&gt;120,CR245&lt;=139)),"PRE HTA SEGUIMIENTO",IF(AND(OR(O245&gt;0,R245&gt;0),AND(CS245&gt;80,CS245&lt;=89)),"PRE HTA SEGUIMIENTO",IF(AND(OR(O245&gt;0,R245&gt;0),AND(CR245&gt;=80,CR245&lt;=120)),"APARENTEMENTE NORMAL",IF(AND(OR(O245&gt;0,R245&gt;0),AND(CS245&gt;=50,CS245&lt;=80)),"APARENTEMENTE NORMAL",IF(AND(OR(O245&gt;0,R245&gt;0),AND(CR245&gt;1,CR245&lt;=70),AND(CS245&gt;1,CS245&lt;=40)),"HIPOTENSIÓN","")))))))))</f>
        <v>NO APLICA REGISTRO TA-INGRESO TARDIO</v>
      </c>
      <c r="CU245" s="21"/>
      <c r="CV245" s="21"/>
      <c r="CW245" s="217" t="str">
        <f ca="1">IF(R245="","",IF(AND(CN245&gt;19,CN245&lt;27,Tabla1[[#This Row],[T.A. SISTOLICA (Entre semana 20 y 26)]]="",Tabla1[[#This Row],[T.A. DIATOLICA (Entre semana 20 y 26)]]=""),"ACUDE A CONTROL SEM 20 A 26 REGISTRE TA AHORA",IF(AND(BS245&gt;1,BS245&lt;27,BU245&gt;19,Tabla1[[#This Row],[T.A. SISTOLICA (Entre semana 20 y 26)]]="",Tabla1[[#This Row],[T.A. DIATOLICA (Entre semana 20 y 26)]]=""),"COMPLETE REGISTRO TA CONTROL SEM 20 A26 ",IF(AND(BS245&gt;26,BS245&lt;43,Tabla1[[#This Row],[T.A. SISTOLICA (Entre semana 20 y 26)]]="",Tabla1[[#This Row],[T.A. DIATOLICA (Entre semana 20 y 26)]]=""),"NO APLICA REGISTRO TA-INGRESO TARDIO",IF(AND(OR(O245&gt;0,R245&gt;0),OR(CU245&gt;=140,CV245&gt;=90)),"ALTO RIESGO PREECLAMPSIA,DEFINIR ESTADIO HTA",IF(AND(OR(O245&gt;0,R245&gt;0),AND(CU245&gt;120,CU245&lt;=139)),"PRE HTA SEGUIMIENTO,RIESGO HIPERTENSION INDUCIDA POR EL EMBARAZO",IF(AND(OR(O245&gt;0,R245&gt;0),AND(CV245&gt;80,CV245&lt;=89)),"PRE HTA SEGUIMIENTO, RIESGO HIPERTENSION INDUCIDA POR EL EMBARAZO",IF(AND(OR(O245&lt;&gt;"",R245&lt;&gt;""),CS245&lt;&gt;"",CV245&lt;&gt;"",CS245&lt;=CV245),"VIGILAR CIFRAS PRESION ARTERIAL",IF(AND(OR(O245&gt;0,R245&gt;0),AND(CU245&gt;120,CU245&lt;=139)),"PRE HTA SEGUIMIENTO",IF(AND(OR(O245&gt;0,R245&gt;0),AND(CU245&gt;1,CU245&lt;=70),AND(CV245&gt;1,CV245&lt;=40)),"HIPOTENSIÓN",IF(AND(OR(O245&lt;&gt;"",R245&lt;&gt;""),CS245&lt;&gt;"",CV245&lt;&gt;"",CS245&gt;CV245),"APARENTEMENTE NORMAL",IF(AND(OR(O245&gt;0,R245&gt;0),AND(CU245&gt;=80,CU245&lt;=120)),"APARENTEMENTE NORMAL",IF(AND(OR(O245&gt;0,R245&gt;0),AND(CV245&gt;=50,CV245&lt;=80)),"APARENTEMENTE NORMAL","")))))))))))))</f>
        <v xml:space="preserve">COMPLETE REGISTRO TA CONTROL SEM 20 A26 </v>
      </c>
      <c r="CX245" s="21"/>
      <c r="CY245" s="21"/>
      <c r="CZ245" s="216" t="str">
        <f t="shared" si="1045"/>
        <v/>
      </c>
      <c r="DA245" s="21">
        <v>98</v>
      </c>
      <c r="DB245" s="21">
        <v>60</v>
      </c>
      <c r="DC245" s="217" t="str">
        <f t="shared" si="851"/>
        <v>APARENTEMENTE NORMAL</v>
      </c>
      <c r="DD245" s="22">
        <v>45157</v>
      </c>
      <c r="DE245" s="22">
        <v>45157</v>
      </c>
      <c r="DF245" s="22"/>
      <c r="DG245" s="22"/>
      <c r="DH245" s="22"/>
      <c r="DI245" s="22"/>
      <c r="DJ245" s="22"/>
      <c r="DK245" s="22"/>
      <c r="DL245" s="22"/>
      <c r="DM245" s="22"/>
      <c r="DN245" s="22"/>
      <c r="DO245" s="22"/>
      <c r="DP245" s="22"/>
      <c r="DQ245" s="22"/>
      <c r="DR245" s="28"/>
      <c r="DS245" s="22"/>
      <c r="DT245" s="22"/>
      <c r="DU245" s="216" t="str">
        <f t="shared" ca="1" si="920"/>
        <v>EN ESPERA</v>
      </c>
      <c r="DV245" s="226" t="str">
        <f t="shared" si="921"/>
        <v>ACTIVA INGRESO A CPN</v>
      </c>
      <c r="DW24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45" s="216" t="e">
        <f t="shared" ca="1" si="852"/>
        <v>#REF!</v>
      </c>
      <c r="DY245" s="212">
        <f>IF(R245="","",IF(R245&gt;0,MAX(Tabla1[[#This Row],[FECHA C2]:[FECHA C13]],Tabla1[[#This Row],[FECHA CONSULTA PRIMERA VEZ PROGRAMA CPN ]])))</f>
        <v>45157</v>
      </c>
      <c r="DZ245" s="216">
        <f t="shared" si="853"/>
        <v>12</v>
      </c>
      <c r="EA245" s="222">
        <f>IF(R245&gt;0,SUM(COUNTA(DF245:DQ245)+COUNTA(Tabla1[[#This Row],[FECHA CONSULTA PRIMERA VEZ PROGRAMA CPN ]])),"")</f>
        <v>1</v>
      </c>
      <c r="EB245" s="222" t="str">
        <f t="shared" si="854"/>
        <v>NO</v>
      </c>
      <c r="EC245" s="214">
        <f t="shared" si="855"/>
        <v>8</v>
      </c>
      <c r="ED245" s="227">
        <f t="shared" si="856"/>
        <v>0.125</v>
      </c>
      <c r="EE245" s="22">
        <v>45157</v>
      </c>
      <c r="EF245" s="22"/>
      <c r="EG245" s="22">
        <v>45157</v>
      </c>
      <c r="EH245" s="22"/>
      <c r="EI245" s="22">
        <v>45157</v>
      </c>
      <c r="EJ245" s="22"/>
      <c r="EK245" s="22"/>
      <c r="EL245" s="21"/>
      <c r="EM245" s="21"/>
      <c r="EN245" s="22"/>
      <c r="EO245" s="222" t="str">
        <f t="shared" si="857"/>
        <v>TOMAR EXAMEN</v>
      </c>
      <c r="EP245" s="214" t="str">
        <f t="shared" si="858"/>
        <v/>
      </c>
      <c r="EQ245" s="216" t="str">
        <f t="shared" si="859"/>
        <v>POR DEFINIR</v>
      </c>
      <c r="ER245" s="24"/>
      <c r="ES245" s="22"/>
      <c r="ET245" s="29" t="str">
        <f t="shared" ca="1" si="922"/>
        <v>PROGRAMAR TOMA HEMOGLOBINA A SEM 28</v>
      </c>
      <c r="EU245" s="25" t="str">
        <f t="shared" si="860"/>
        <v/>
      </c>
      <c r="EV245" s="24"/>
      <c r="EW245" s="24"/>
      <c r="EX245" s="22"/>
      <c r="EY245" s="29" t="str">
        <f t="shared" si="1043"/>
        <v>TOMAR EXAMEN</v>
      </c>
      <c r="EZ245" s="25" t="str">
        <f t="shared" ca="1" si="1044"/>
        <v/>
      </c>
      <c r="FA245" s="21"/>
      <c r="FB245" s="22"/>
      <c r="FC245" s="29" t="str">
        <f t="shared" si="861"/>
        <v>TOMAR EXAMEN</v>
      </c>
      <c r="FD245" s="29"/>
      <c r="FE245" s="29"/>
      <c r="FF245" s="29"/>
      <c r="FG245" s="21" t="str">
        <f t="shared" ca="1" si="862"/>
        <v>PROGRAMAR TOMA PTOG SIGUIENTE CONTROL</v>
      </c>
      <c r="FH245" s="31"/>
      <c r="FI245" s="29" t="str">
        <f t="shared" si="863"/>
        <v>TOMAR EXAMEN</v>
      </c>
      <c r="FJ245" s="22"/>
      <c r="FK245" s="22"/>
      <c r="FL245" s="29" t="str">
        <f t="shared" ca="1" si="864"/>
        <v>PIERDE TOMA DE TAMIZAJE</v>
      </c>
      <c r="FM245" s="22"/>
      <c r="FN245" s="32"/>
      <c r="FO245" s="29" t="str">
        <f t="shared" ca="1" si="923"/>
        <v>EN RANGO PARA TOMAR EXAMEN</v>
      </c>
      <c r="FP245" s="22"/>
      <c r="FQ245" s="32"/>
      <c r="FR245" s="29" t="str">
        <f t="shared" ca="1" si="924"/>
        <v>EN ESPERA-ESTÁ I TRIM O II TRIM</v>
      </c>
      <c r="FS245" s="22"/>
      <c r="FT245" s="32"/>
      <c r="FU245" s="29" t="str">
        <f>IF(AND(FJ245="",FM245="",FP245="",FS245=""),"",IF(OR(OR(Tabla1[[#This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45" s="28"/>
      <c r="FW245" s="22"/>
      <c r="FX245" s="29" t="str">
        <f t="shared" si="865"/>
        <v>TOMAR EXAMEN</v>
      </c>
      <c r="FY245" s="22"/>
      <c r="FZ245" s="22"/>
      <c r="GA245" s="29" t="str">
        <f t="shared" ref="GA245" ca="1" si="1051">IF(AND(BT245="ERROR FUM O INGRESO",FZ245&gt;0),"ERROR FUM O INGRESO",IF(AND(FZ245="",R245="",O245=""),"",IF(OR(AND(FZ245&lt;&gt;"",FZ245&lt;RW245),AND(FZ245&lt;&gt;"",AND(SUM((FZ245-RW245)/7)&gt;=13,SUM((FZ245-RW245)/7)&lt;27))),"REGISTRAR EN II TRIMESTRE",IF(OR(AND(FZ245&lt;&gt;"",FZ245&lt;RW245),AND(FZ245&lt;&gt;"",AND(SUM((FZ245-RW245)/7)&gt;=27,SUM((FZ245-RW245)/7)&lt;44))),"REGISTRAR EN III TRIMESTRE",IF(AND(FZ245="",OR(O245&gt;0,R245&gt;0),AND(BU245&gt;1,BU245&lt;10)),"EN RANGO PARA TOMAR EXAMEN",IF(AND(FZ245="",OR(O245&gt;0,R245&gt;0),AND(BU245&gt;=10,BU245&lt;12)),"TOMA INMEDIATA DE TAMIZAJE",IF(AND(FZ245="",BS245&lt;12,OR(O245&gt;0,R245&gt;0)),"PIERDE TOMA DE TAMIZAJE",IF(AND(FZ245="",OR(O245&gt;0,R245&gt;0),AND(BS245&gt;=13,BS245&lt;44)),"NO APLICA-INGRESO TARDIO",IF(FZ245&gt;0,SUM(FZ245-RW245)/7,"")))))))))</f>
        <v/>
      </c>
      <c r="GB245" s="22"/>
      <c r="GC245" s="22"/>
      <c r="GD245" s="29" t="str">
        <f t="shared" ca="1" si="1048"/>
        <v>EN RANGO PARA TOMAR EXAMEN</v>
      </c>
      <c r="GE245" s="22"/>
      <c r="GF245" s="22"/>
      <c r="GG245" s="29" t="str">
        <f t="shared" ca="1" si="926"/>
        <v>EN ESPERA-ESTÁ I TRIM O II TRIM</v>
      </c>
      <c r="GH245" s="22"/>
      <c r="GI245" s="29"/>
      <c r="GJ245" s="22"/>
      <c r="GK245" s="22"/>
      <c r="GL245" s="22"/>
      <c r="GM245" s="22"/>
      <c r="GN245" s="28"/>
      <c r="GO245" s="22"/>
      <c r="GP245" s="29" t="str">
        <f t="shared" si="866"/>
        <v>TOMAR EXAMEN</v>
      </c>
      <c r="GQ245" s="28"/>
      <c r="GR245" s="28"/>
      <c r="GS245" s="22" t="str">
        <f t="shared" si="1047"/>
        <v/>
      </c>
      <c r="GT245" s="22"/>
      <c r="GU245" s="29" t="str">
        <f t="shared" si="867"/>
        <v>TOMAR EXAMEN</v>
      </c>
      <c r="GV245" s="21" t="str">
        <f t="shared" si="868"/>
        <v>POR DEFINIR</v>
      </c>
      <c r="GW245" s="28"/>
      <c r="GX245" s="30"/>
      <c r="GY245" s="21"/>
      <c r="GZ245" s="21"/>
      <c r="HA245" s="21"/>
      <c r="HB245" s="21"/>
      <c r="HC245" s="21"/>
      <c r="HD245" s="21"/>
      <c r="HE245" s="21"/>
      <c r="HF245" s="22"/>
      <c r="HG245" s="22" t="str">
        <f>IF(OR(O245&gt;0,R245&gt;0),CONCATENATE(IF(Tabla1[[#This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45" s="22" t="e">
        <f t="shared" si="869"/>
        <v>#REF!</v>
      </c>
      <c r="HI245" s="22" t="e">
        <f t="shared" ca="1" si="870"/>
        <v>#REF!</v>
      </c>
      <c r="HJ245" s="21" t="str">
        <f t="shared" ca="1" si="871"/>
        <v>***********************ANTECEDENTE MUERTE PERINATAL*RIESGO POR EDAD***************</v>
      </c>
      <c r="HK245" s="21" t="str">
        <f t="shared" si="872"/>
        <v>SIN ANTECEDENTES DE RIESGO</v>
      </c>
      <c r="HL245" s="24" t="str">
        <f t="shared" si="873"/>
        <v>APARENTEMENTE NORMAL</v>
      </c>
      <c r="HM245" s="21" t="e">
        <f t="shared" ca="1" si="874"/>
        <v>#REF!</v>
      </c>
      <c r="HN245" s="30" t="str">
        <f t="shared" si="927"/>
        <v>ACTIVA INGRESO A CPN</v>
      </c>
      <c r="HO245" s="21"/>
      <c r="HP245" s="21"/>
      <c r="HQ245" s="349"/>
      <c r="HR245" s="21" t="str">
        <f>IF(R245="","",IF(Tabla1[[#This Row],[ALARMA FACTORES DE RIESGO COMPLICACIONES HIPERTENSIVAS3]]="SIN ANTECEDENTES DE RIESGO","No Aplica para suministro de ASA",IF(AND(Tabla1[[#This Row],[FECHA INICIO DE SUMINISTRO DE ASA]]&gt;0,RV245&lt;12),"Inicia ASA ANTES de Sem 12",IF(AND(RV245&gt;11,RV245&lt;17,OR(HK245="RIESGO ALTO DE COMPLICACIONES HIPERTENSIVAS VER MANEJO GUIA SUMINISTRO ASA Y CALCIO",HK245="RIESGO MODERADO (2 O MAS CRITERIOS) VER MANEJO GUIA SUMINISTRO ASA Y CALCIO")),"Inicio oportuno de ASA",IF(AND(RV245&gt;12,OR(HK245="RIESGO ALTO DE COMPLICACIONES HIPERTENSIVAS VER MANEJO GUIA SUMINISTRO ASA Y CALCIO",HK245="RIESGO MODERADO (2 O MAS CRITERIOS) VER MANEJO GUIA SUMINISTRO ASA Y CALCIO")),"Inicio no oportuno mayor a 16 semanas",IF(AND(BU245&lt;12,OR(HK245="RIESGO ALTO DE COMPLICACIONES HIPERTENSIVAS VER MANEJO GUIA SUMINISTRO ASA Y CALCIO",HK245="RIESGO MODERADO (2 O MAS CRITERIOS) VER MANEJO GUIA SUMINISTRO ASA Y CALCIO")),"Pendiente Inicio de ASA a la semana 12",IF(AND(BU245&gt;11,BU245&lt;17,OR(HK245="RIESGO ALTO DE COMPLICACIONES HIPERTENSIVAS VER MANEJO GUIA SUMINISTRO ASA Y CALCIO",HK245="RIESGO MODERADO (2 O MAS CRITERIOS) VER MANEJO GUIA SUMINISTRO ASA Y CALCIO")),"Iniciar de inmediato ASA",IF(AND(BU245&gt;16,OR(HK245="RIESGO ALTO DE COMPLICACIONES HIPERTENSIVAS VER MANEJO GUIA SUMINISTRO ASA Y CALCIO",HK245="RIESGO MODERADO (2 O MAS CRITERIOS) VER MANEJO GUIA SUMINISTRO ASA Y CALCIO")),"Pierde Oportunidad, Inicio tardío de ASA","XXXXX"))))))))</f>
        <v>No Aplica para suministro de ASA</v>
      </c>
      <c r="HS245" s="22"/>
      <c r="HT245" s="22"/>
      <c r="HU245" s="22"/>
      <c r="HV245" s="22"/>
      <c r="HW245" s="22">
        <v>45157</v>
      </c>
      <c r="HX245" s="22" t="s">
        <v>1511</v>
      </c>
      <c r="HY245" s="22"/>
      <c r="HZ245" s="28" t="str">
        <f t="shared" si="875"/>
        <v>PENDIENTE CONSULTA</v>
      </c>
      <c r="IA245" s="26"/>
      <c r="IB245" s="26"/>
      <c r="IC245" s="111"/>
      <c r="ID245" s="22"/>
      <c r="IE245" s="22" t="str">
        <f t="shared" ca="1" si="876"/>
        <v>PROGRAMAR APLICACION DE VACUNA</v>
      </c>
      <c r="IF245" s="22"/>
      <c r="IG245" s="22">
        <f t="shared" si="877"/>
        <v>45350</v>
      </c>
      <c r="IH245" s="29">
        <f t="shared" ca="1" si="878"/>
        <v>118</v>
      </c>
      <c r="II245" s="22" t="str">
        <f t="shared" ca="1" si="879"/>
        <v>PENDIENTE</v>
      </c>
      <c r="IJ245" s="22"/>
      <c r="IK245" s="21"/>
      <c r="IL245" s="21"/>
      <c r="IM245" s="34"/>
      <c r="IN245" s="22"/>
      <c r="IO245" s="21"/>
      <c r="IP245" s="29" t="str">
        <f t="shared" si="880"/>
        <v/>
      </c>
      <c r="IQ245" s="35"/>
      <c r="IR245" s="21"/>
      <c r="IS245" s="21"/>
      <c r="IT245" s="21"/>
      <c r="IU245" s="21"/>
      <c r="IV245" s="21"/>
      <c r="IW245" s="21"/>
      <c r="IX245" s="21"/>
      <c r="IY245" s="21"/>
      <c r="IZ245" s="21"/>
      <c r="JA245" s="21"/>
      <c r="JB245" s="30"/>
      <c r="JC245" s="21"/>
      <c r="JD245" s="36"/>
      <c r="JE245" s="21" t="str">
        <f t="shared" si="881"/>
        <v/>
      </c>
      <c r="JF245" s="30"/>
      <c r="JG245" s="21"/>
      <c r="JH245" s="21"/>
      <c r="JI245" s="21"/>
      <c r="JJ245" s="30"/>
      <c r="JK245" s="22"/>
      <c r="JL245" s="22"/>
      <c r="JM245" s="21"/>
      <c r="JN245" s="36"/>
      <c r="JO245" s="21" t="str">
        <f t="shared" si="882"/>
        <v/>
      </c>
      <c r="JP245" s="22"/>
      <c r="JQ245" s="21"/>
      <c r="JR245" s="21"/>
      <c r="JS245" s="21"/>
      <c r="JT245" s="30"/>
      <c r="JU245" s="22"/>
      <c r="JV245" s="22"/>
      <c r="JW245" s="33"/>
      <c r="JX245" s="28" t="str">
        <f t="shared" si="883"/>
        <v/>
      </c>
      <c r="JY245" s="33"/>
      <c r="JZ245" s="28" t="str">
        <f t="shared" si="884"/>
        <v/>
      </c>
      <c r="KA245" s="21"/>
      <c r="KB245" s="21"/>
      <c r="KC245" s="21"/>
      <c r="KD245" s="37"/>
      <c r="KE245" s="28"/>
      <c r="KF245" s="28"/>
      <c r="KG245" s="28"/>
      <c r="KH245" s="39"/>
      <c r="KI245" s="39"/>
      <c r="KJ245" s="66"/>
      <c r="KK245" s="39"/>
      <c r="KL245" s="39"/>
      <c r="KM245" s="66"/>
      <c r="KN245" s="39"/>
      <c r="KO245" s="39"/>
      <c r="KP245" s="39"/>
      <c r="KQ245" s="39"/>
      <c r="KR245" s="39"/>
      <c r="KS245" s="39"/>
      <c r="KT245" s="39"/>
      <c r="KU245" s="38"/>
      <c r="KV245" s="38"/>
      <c r="KW245" s="38"/>
      <c r="KX245" s="38"/>
      <c r="KY245" s="38"/>
      <c r="KZ245" s="38"/>
      <c r="LA245" s="38"/>
      <c r="LB245" s="38"/>
      <c r="LC245" s="38"/>
      <c r="LD245" s="38"/>
      <c r="LE245" s="38"/>
      <c r="LF245" s="38"/>
      <c r="LG245" s="38"/>
      <c r="LH245" s="38"/>
      <c r="LI245" s="38"/>
      <c r="LJ245" s="38"/>
      <c r="LK245" s="38"/>
      <c r="LL245" s="38"/>
      <c r="LM245" s="38"/>
      <c r="LN245" s="38"/>
      <c r="LO245" s="38"/>
      <c r="LP245" s="38"/>
      <c r="LQ245" s="38"/>
      <c r="LR245" s="38"/>
      <c r="LS245" s="38"/>
      <c r="LT245" s="38"/>
      <c r="LU245" s="38"/>
      <c r="LV245" s="38"/>
      <c r="LW245" s="38"/>
      <c r="LX245" s="38"/>
      <c r="LY245" s="38"/>
      <c r="LZ245" s="38"/>
      <c r="MA245" s="38"/>
      <c r="MB245" s="38"/>
      <c r="MC245" s="38"/>
      <c r="MD245" s="38"/>
      <c r="ME245" s="38"/>
      <c r="MF245" s="38"/>
      <c r="MG245" s="38"/>
      <c r="MH245" s="43">
        <f t="shared" si="885"/>
        <v>0</v>
      </c>
      <c r="MI245" s="43" t="str">
        <f t="shared" si="929"/>
        <v/>
      </c>
      <c r="MJ245" s="43" t="str">
        <f t="shared" si="887"/>
        <v/>
      </c>
      <c r="MK245" s="43">
        <f t="shared" si="888"/>
        <v>0</v>
      </c>
      <c r="ML24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45" s="43">
        <f t="shared" si="930"/>
        <v>12.428571428571429</v>
      </c>
      <c r="MN245" s="43">
        <f t="shared" si="931"/>
        <v>8</v>
      </c>
      <c r="MO245" s="43">
        <f t="shared" si="932"/>
        <v>2023</v>
      </c>
      <c r="MP245" s="43" t="str">
        <f t="shared" si="892"/>
        <v>III TRIMESTRE AÑO</v>
      </c>
      <c r="MQ245" s="43">
        <f t="shared" si="933"/>
        <v>37.341217696014013</v>
      </c>
      <c r="MR245" s="43">
        <f t="shared" si="894"/>
        <v>2</v>
      </c>
      <c r="MS245" s="43" t="str">
        <f t="shared" si="895"/>
        <v xml:space="preserve"> DE 35 A 39 AÑOS</v>
      </c>
      <c r="MT245" s="43">
        <f t="shared" si="896"/>
        <v>1</v>
      </c>
      <c r="MU245" s="43">
        <f t="shared" si="897"/>
        <v>0</v>
      </c>
      <c r="MV245" s="43">
        <f t="shared" si="898"/>
        <v>0</v>
      </c>
      <c r="MW245" s="43">
        <f t="shared" si="899"/>
        <v>0</v>
      </c>
      <c r="MX245" s="43" t="str">
        <f t="shared" si="900"/>
        <v/>
      </c>
      <c r="MY245" s="43" t="str">
        <f t="shared" ca="1" si="901"/>
        <v/>
      </c>
      <c r="MZ245" s="43" t="str">
        <f t="shared" si="902"/>
        <v/>
      </c>
      <c r="NA245" s="43" t="str">
        <f t="shared" si="903"/>
        <v/>
      </c>
      <c r="NB245" s="43" t="str">
        <f t="shared" si="904"/>
        <v/>
      </c>
      <c r="NC245" s="43" t="str">
        <f t="shared" si="905"/>
        <v/>
      </c>
      <c r="ND245" s="43">
        <f t="shared" ca="1" si="934"/>
        <v>3</v>
      </c>
      <c r="NE245" s="43">
        <f>IF(OR(O245&gt;0,R245&gt;0),SUM(COUNTIF(Tabla1[[#This Row],[AÑOS AL INICIO5 CPN]],"&gt;=40"),COUNTIF(AS245,"0"),COUNTIF(AR245,"SI"),COUNTIF(CC245,"SI"),COUNTIF(BQ245,"&gt;119"),COUNTIF(CI245,"&gt;=35")),"")</f>
        <v>0</v>
      </c>
      <c r="NF245" s="43" t="str">
        <f t="shared" si="935"/>
        <v/>
      </c>
      <c r="NG245" s="43">
        <f t="shared" si="908"/>
        <v>0</v>
      </c>
      <c r="NH245" s="43" t="str">
        <f t="shared" si="909"/>
        <v/>
      </c>
      <c r="NI24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CPN",P245="NO"),"Z",IF(AND(Tabla1[[#This Row],[CITA PROXIMO CONTROL]]="CITA MANUAL",Tabla1[[#This Row],[GESTANTES ACTUALES]]="ACTIVA INGRESO A CPN"),"W",IF(AND(Tabla1[[#This Row],[GESTANTES ACTUALES]]="SALIO PROGRAMA",IN245=""),"S",IF(AND(Tabla1[[#This Row],[CITA PROXIMO CONTROL]]&gt;0,IN245=""),(Tabla1[[#This Row],[CITA PROXIMO CONTROL]]-TODAY()),"SD"))))))))</f>
        <v>#REF!</v>
      </c>
      <c r="NJ245" s="43">
        <f>MONTH(Tabla1[[#This Row],[FECHA DE SALIDA  DEL PROGRAMA]])</f>
        <v>1</v>
      </c>
      <c r="NK245" s="43">
        <f>YEAR(Tabla1[[#This Row],[FECHA DE SALIDA  DEL PROGRAMA]])</f>
        <v>1900</v>
      </c>
      <c r="NL245" s="43" t="str">
        <f t="shared" si="936"/>
        <v>X</v>
      </c>
      <c r="NM245" s="43" t="str">
        <f t="shared" si="941"/>
        <v>NO</v>
      </c>
      <c r="NN245" s="43" t="str">
        <f ca="1">IF(AND(O245&gt;0,R245=""),"NO CPN",IF(AND(O245="",R245=""),"",IF(AND(R245&gt;0,Tabla1[[#This Row],[SEMANAS DE GESTACION ACTUALIZADAS]]&lt;=12),"NO APLICA",IF(AND(FH245&lt;&gt;"",FN245&lt;&gt;""),"SI","NO"))))</f>
        <v>NO</v>
      </c>
      <c r="NO245" s="43" t="str">
        <f ca="1">IF(AND(O245&gt;0,R245=""),"NO CPN",IF(AND(O245="",R245=""),"",IF(AND(R245&gt;0,Tabla1[[#This Row],[SEMANAS DE GESTACION ACTUALIZADAS]]&lt;=27),"NO APLICA",IF(AND(ES245&lt;&gt;"",FQ245&lt;&gt;"",GF245&lt;&gt;""),"SI","NO"))))</f>
        <v>NO APLICA</v>
      </c>
      <c r="NP245" s="204" t="str">
        <f t="shared" si="912"/>
        <v>II TRIM</v>
      </c>
      <c r="NQ245" s="21" t="str">
        <f t="shared" si="1046"/>
        <v/>
      </c>
      <c r="NR245" s="21">
        <f t="shared" ca="1" si="937"/>
        <v>1</v>
      </c>
      <c r="NS245" s="205">
        <f t="shared" ca="1" si="914"/>
        <v>0</v>
      </c>
      <c r="NT245" s="21">
        <f t="shared" ca="1" si="915"/>
        <v>0</v>
      </c>
      <c r="NU245" s="21" t="str">
        <f t="shared" ca="1" si="916"/>
        <v>INCOMPLETO</v>
      </c>
      <c r="NV245" s="21" t="str">
        <f t="shared" ca="1" si="917"/>
        <v>INCOMPLETO</v>
      </c>
      <c r="NW245" s="206" t="str">
        <f>IF(AND(O245="",R245=""),"",IF(OR(AND(Tabla1[[#This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45" s="207" t="str">
        <f t="shared" ca="1" si="938"/>
        <v>SIN VACUNAR</v>
      </c>
      <c r="NY245" s="43">
        <f>ROW(Tabla1[[#This Row],['# DE TAMIZAJES SIFILIS TOMADOS ]])</f>
        <v>245</v>
      </c>
      <c r="NZ245" s="43">
        <f t="shared" si="942"/>
        <v>12</v>
      </c>
      <c r="OA245" s="43" t="str">
        <f t="shared" si="943"/>
        <v/>
      </c>
      <c r="OB245" s="43" t="str">
        <f t="shared" si="944"/>
        <v/>
      </c>
      <c r="OC245" s="43" t="str">
        <f t="shared" si="945"/>
        <v/>
      </c>
      <c r="OD245" s="43" t="str">
        <f t="shared" si="946"/>
        <v>NORMAL</v>
      </c>
      <c r="OE245" s="43" t="str">
        <f t="shared" si="947"/>
        <v/>
      </c>
      <c r="OF245" s="43" t="str">
        <f t="shared" si="948"/>
        <v/>
      </c>
      <c r="OG245" s="43" t="str">
        <f t="shared" si="949"/>
        <v/>
      </c>
      <c r="OH245" s="43" t="str">
        <f t="shared" si="950"/>
        <v/>
      </c>
      <c r="OI245" s="43" t="str">
        <f t="shared" si="951"/>
        <v/>
      </c>
      <c r="OJ245" s="43" t="str">
        <f t="shared" si="952"/>
        <v/>
      </c>
      <c r="OK245" s="43" t="str">
        <f t="shared" si="953"/>
        <v/>
      </c>
      <c r="OL245" s="43" t="str">
        <f t="shared" si="954"/>
        <v/>
      </c>
      <c r="OM245" s="43" t="str">
        <f t="shared" si="955"/>
        <v/>
      </c>
      <c r="ON245" s="43" t="str">
        <f t="shared" si="956"/>
        <v/>
      </c>
      <c r="OO245" s="43" t="str">
        <f t="shared" si="957"/>
        <v/>
      </c>
      <c r="OP245" s="43" t="str">
        <f t="shared" si="958"/>
        <v/>
      </c>
      <c r="OQ245" s="43" t="str">
        <f t="shared" si="959"/>
        <v/>
      </c>
      <c r="OR245" s="43" t="str">
        <f t="shared" si="960"/>
        <v/>
      </c>
      <c r="OS245" s="43" t="str">
        <f t="shared" si="961"/>
        <v/>
      </c>
      <c r="OT245" s="43" t="str">
        <f t="shared" si="962"/>
        <v/>
      </c>
      <c r="OU245" s="43" t="str">
        <f t="shared" si="963"/>
        <v/>
      </c>
      <c r="OV245" s="110" t="str">
        <f t="shared" si="964"/>
        <v/>
      </c>
      <c r="OW245" s="43" t="str">
        <f t="shared" si="965"/>
        <v/>
      </c>
      <c r="OX245" s="43" t="str">
        <f t="shared" si="966"/>
        <v/>
      </c>
      <c r="OY245" s="43" t="str">
        <f t="shared" si="967"/>
        <v/>
      </c>
      <c r="OZ245" s="43" t="str">
        <f t="shared" si="968"/>
        <v/>
      </c>
      <c r="PA245" s="43" t="str">
        <f t="shared" si="969"/>
        <v/>
      </c>
      <c r="PB245" s="43" t="str">
        <f t="shared" si="970"/>
        <v/>
      </c>
      <c r="PC245" s="43" t="str">
        <f t="shared" si="971"/>
        <v/>
      </c>
      <c r="PD245" s="43" t="str">
        <f t="shared" si="972"/>
        <v/>
      </c>
      <c r="PE245" s="43" t="str">
        <f t="shared" si="973"/>
        <v/>
      </c>
      <c r="PF245" s="43" t="str">
        <f t="shared" si="974"/>
        <v/>
      </c>
      <c r="PG245" s="43" t="str">
        <f t="shared" si="975"/>
        <v/>
      </c>
      <c r="PH245" s="43" t="str">
        <f t="shared" si="976"/>
        <v/>
      </c>
      <c r="PI245" s="43">
        <f t="shared" si="977"/>
        <v>12</v>
      </c>
      <c r="PJ245" s="43" t="str">
        <f t="shared" si="978"/>
        <v/>
      </c>
      <c r="PK245" s="43" t="str">
        <f t="shared" si="979"/>
        <v/>
      </c>
      <c r="PL245" s="43" t="str">
        <f t="shared" si="980"/>
        <v/>
      </c>
      <c r="PM245" s="43" t="str">
        <f t="shared" si="981"/>
        <v>NORMAL</v>
      </c>
      <c r="PN245" s="43" t="str">
        <f t="shared" si="982"/>
        <v/>
      </c>
      <c r="PO245" s="43" t="str">
        <f t="shared" si="983"/>
        <v/>
      </c>
      <c r="PP245" s="43" t="str">
        <f t="shared" si="984"/>
        <v/>
      </c>
      <c r="PQ245" s="43" t="str">
        <f t="shared" si="985"/>
        <v/>
      </c>
      <c r="PR245" s="43" t="str">
        <f t="shared" si="986"/>
        <v/>
      </c>
      <c r="PS245" s="43" t="str">
        <f t="shared" si="987"/>
        <v/>
      </c>
      <c r="PT245" s="43" t="str">
        <f t="shared" si="988"/>
        <v/>
      </c>
      <c r="PU245" s="43" t="str">
        <f t="shared" si="989"/>
        <v/>
      </c>
      <c r="PV245" s="43" t="str">
        <f t="shared" si="990"/>
        <v/>
      </c>
      <c r="PW245" s="43" t="str">
        <f t="shared" si="991"/>
        <v/>
      </c>
      <c r="PX245" s="43" t="str">
        <f t="shared" si="992"/>
        <v/>
      </c>
      <c r="PY245" s="43" t="str">
        <f t="shared" si="993"/>
        <v/>
      </c>
      <c r="PZ245" s="43" t="str">
        <f t="shared" si="994"/>
        <v/>
      </c>
      <c r="QA245" s="43" t="str">
        <f t="shared" si="995"/>
        <v/>
      </c>
      <c r="QB245" s="43" t="str">
        <f t="shared" si="996"/>
        <v/>
      </c>
      <c r="QC245" s="43" t="str">
        <f t="shared" si="997"/>
        <v/>
      </c>
      <c r="QD245" s="43" t="str">
        <f t="shared" si="998"/>
        <v/>
      </c>
      <c r="QE245" s="43" t="str">
        <f t="shared" si="999"/>
        <v/>
      </c>
      <c r="QF245" s="43" t="str">
        <f t="shared" si="1000"/>
        <v/>
      </c>
      <c r="QG245" s="43" t="str">
        <f t="shared" si="1001"/>
        <v/>
      </c>
      <c r="QH245" s="43" t="str">
        <f t="shared" si="1002"/>
        <v/>
      </c>
      <c r="QI245" s="43" t="str">
        <f t="shared" si="1003"/>
        <v/>
      </c>
      <c r="QJ245" s="43" t="str">
        <f t="shared" si="1004"/>
        <v/>
      </c>
      <c r="QK245" s="43" t="str">
        <f t="shared" si="1005"/>
        <v/>
      </c>
      <c r="QL245" s="43" t="str">
        <f t="shared" si="1006"/>
        <v/>
      </c>
      <c r="QM245" s="43" t="str">
        <f t="shared" si="1007"/>
        <v/>
      </c>
      <c r="QN245" s="43" t="str">
        <f t="shared" si="1008"/>
        <v/>
      </c>
      <c r="QO245" s="43" t="str">
        <f t="shared" si="1009"/>
        <v/>
      </c>
      <c r="QP245" s="43" t="str">
        <f t="shared" si="1010"/>
        <v/>
      </c>
      <c r="QQ245" s="43" t="str">
        <f t="shared" si="1011"/>
        <v/>
      </c>
      <c r="QR245" s="43" t="str">
        <f t="shared" si="1012"/>
        <v>Menor</v>
      </c>
      <c r="QS245" s="43"/>
      <c r="QT245" s="21" t="str">
        <f t="shared" si="1013"/>
        <v/>
      </c>
      <c r="QU245" s="21" t="str">
        <f t="shared" si="1014"/>
        <v/>
      </c>
      <c r="QV245" s="21" t="str">
        <f t="shared" si="1015"/>
        <v/>
      </c>
      <c r="QW245" s="21" t="str">
        <f t="shared" si="1016"/>
        <v/>
      </c>
      <c r="QX245" s="21" t="str">
        <f t="shared" si="1017"/>
        <v/>
      </c>
      <c r="QY245" s="21" t="str">
        <f t="shared" si="1018"/>
        <v/>
      </c>
      <c r="QZ245" s="21" t="str">
        <f t="shared" si="1019"/>
        <v/>
      </c>
      <c r="RA245" s="21" t="str">
        <f t="shared" si="1020"/>
        <v/>
      </c>
      <c r="RB245" s="21" t="str">
        <f t="shared" si="1021"/>
        <v/>
      </c>
      <c r="RC245" s="21" t="str">
        <f t="shared" si="1022"/>
        <v/>
      </c>
      <c r="RD245" s="21" t="str">
        <f t="shared" si="1023"/>
        <v/>
      </c>
      <c r="RE245" s="21" t="str">
        <f t="shared" si="1024"/>
        <v/>
      </c>
      <c r="RF245" s="21" t="str">
        <f t="shared" si="1025"/>
        <v/>
      </c>
      <c r="RG245" s="21" t="str">
        <f t="shared" si="1026"/>
        <v/>
      </c>
      <c r="RH245" s="21" t="str">
        <f t="shared" si="1027"/>
        <v/>
      </c>
      <c r="RI245" s="21" t="str">
        <f t="shared" si="1028"/>
        <v/>
      </c>
      <c r="RJ245" s="21" t="str">
        <f t="shared" si="1029"/>
        <v/>
      </c>
      <c r="RK245" s="21" t="str">
        <f t="shared" si="1030"/>
        <v/>
      </c>
      <c r="RL245" s="21" t="str">
        <f t="shared" si="1031"/>
        <v/>
      </c>
      <c r="RM245" s="21" t="str">
        <f t="shared" si="1032"/>
        <v/>
      </c>
      <c r="RN245" s="21" t="str">
        <f t="shared" si="1033"/>
        <v/>
      </c>
      <c r="RO245" s="21" t="str">
        <f t="shared" si="1034"/>
        <v/>
      </c>
      <c r="RP245" s="21" t="str">
        <f t="shared" si="1035"/>
        <v/>
      </c>
      <c r="RQ245" s="21" t="str">
        <f t="shared" si="1036"/>
        <v/>
      </c>
      <c r="RR245" s="21" t="str">
        <f t="shared" si="1037"/>
        <v/>
      </c>
      <c r="RS245" s="21" t="str">
        <f t="shared" si="1038"/>
        <v/>
      </c>
      <c r="RT245" s="21" t="str">
        <f t="shared" si="1039"/>
        <v/>
      </c>
      <c r="RU245" s="21" t="str">
        <f t="shared" si="1040"/>
        <v/>
      </c>
      <c r="RV245" s="21">
        <f t="shared" si="1041"/>
        <v>-1</v>
      </c>
      <c r="RW245" s="284">
        <f>IF(OR(Tabla1[[#This Row],[FUM FORMULA CONFIABLE]]="",Tabla1[[#This Row],[FUM FORMULA CONFIABLE]]="SD"),"",IF(Tabla1[[#This Row],[FUM FORMULA CONFIABLE]]="CORREGIDA",Tabla1[[#This Row],[FUM X ECO 1]],Tabla1[[#This Row],[FUM x AMENORREA]]))</f>
        <v>45070</v>
      </c>
      <c r="RX245" s="21" t="str">
        <f>IF(AND(Tabla1[[#This Row],[FUM X ECO 1]]="",Tabla1[[#This Row],[FUM x AMENORREA]]=""),"",IF(AND(Tabla1[[#This Row],[FUM X ECO 1]]="",Tabla1[[#This Row],[FUM x AMENORREA]]&lt;&gt;""),"X",SUM(Tabla1[[#This Row],[FUM X ECO 1]]-Tabla1[[#This Row],[FUM x AMENORREA]])))</f>
        <v>X</v>
      </c>
      <c r="RY245" s="21" t="str">
        <f t="shared" si="1042"/>
        <v>x</v>
      </c>
    </row>
    <row r="246" spans="1:493" ht="45" customHeight="1" x14ac:dyDescent="0.25">
      <c r="A246" s="109"/>
      <c r="B246" s="43"/>
      <c r="C246" s="43" t="s">
        <v>845</v>
      </c>
      <c r="D246" s="124"/>
      <c r="E246" s="43" t="s">
        <v>1677</v>
      </c>
      <c r="F246" s="43" t="s">
        <v>962</v>
      </c>
      <c r="G246" s="43" t="s">
        <v>1678</v>
      </c>
      <c r="H246" s="43" t="s">
        <v>1679</v>
      </c>
      <c r="I246" s="109" t="s">
        <v>1094</v>
      </c>
      <c r="J246" s="343" t="s">
        <v>1676</v>
      </c>
      <c r="K246" s="43" t="s">
        <v>904</v>
      </c>
      <c r="L246" s="175" t="s">
        <v>1509</v>
      </c>
      <c r="M246" s="22">
        <v>40479</v>
      </c>
      <c r="N246" s="213">
        <f t="shared" ca="1" si="841"/>
        <v>13.021917808219179</v>
      </c>
      <c r="O246" s="22">
        <v>45164</v>
      </c>
      <c r="P246" s="214" t="str">
        <f t="shared" si="919"/>
        <v>SI</v>
      </c>
      <c r="Q246" s="26" t="s">
        <v>855</v>
      </c>
      <c r="R246" s="22">
        <v>45164</v>
      </c>
      <c r="S246" s="21" t="s">
        <v>856</v>
      </c>
      <c r="T246" s="24" t="s">
        <v>690</v>
      </c>
      <c r="U246" s="21" t="s">
        <v>857</v>
      </c>
      <c r="V246" s="21" t="s">
        <v>858</v>
      </c>
      <c r="W246" s="21" t="s">
        <v>970</v>
      </c>
      <c r="X246" s="21" t="s">
        <v>970</v>
      </c>
      <c r="Y246" s="21"/>
      <c r="Z246" s="21">
        <v>3204109734</v>
      </c>
      <c r="AA246" s="21" t="s">
        <v>860</v>
      </c>
      <c r="AB246" s="27" t="s">
        <v>861</v>
      </c>
      <c r="AC246" s="26" t="s">
        <v>846</v>
      </c>
      <c r="AD246" s="21" t="s">
        <v>1546</v>
      </c>
      <c r="AE246" s="26" t="s">
        <v>854</v>
      </c>
      <c r="AF246" s="26" t="s">
        <v>854</v>
      </c>
      <c r="AG246" s="23" t="s">
        <v>864</v>
      </c>
      <c r="AH246" s="23" t="s">
        <v>864</v>
      </c>
      <c r="AI246" s="24" t="s">
        <v>863</v>
      </c>
      <c r="AJ246" s="23" t="s">
        <v>864</v>
      </c>
      <c r="AK246" s="220" t="str">
        <f>IF(AND(AD246="",AE246="",AF246="",AG246="",AH246="",AI246="",AJ246=""),"",IF(OR(Tabla1[[#This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EVALUACIÓN",IF(AND(O246="",R246=""),"",IF(AND(OR(O246&gt;0,R246&gt;0),NG246&gt;=0,NG246&lt;2),"SIN RIESGO",IF(AND(OR(O246&gt;0,R246&gt;0),NG246&gt;=2),"CON RIESGO","ASD")))))</f>
        <v>SIN RIESGO</v>
      </c>
      <c r="AL246" s="26" t="s">
        <v>864</v>
      </c>
      <c r="AM246" s="26" t="s">
        <v>864</v>
      </c>
      <c r="AN246" s="26" t="s">
        <v>864</v>
      </c>
      <c r="AO246" s="26" t="s">
        <v>864</v>
      </c>
      <c r="AP246" s="26" t="s">
        <v>864</v>
      </c>
      <c r="AQ246" s="26" t="s">
        <v>864</v>
      </c>
      <c r="AR246" s="26" t="s">
        <v>864</v>
      </c>
      <c r="AS246" s="21">
        <v>0</v>
      </c>
      <c r="AT246" s="21">
        <v>0</v>
      </c>
      <c r="AU246" s="21">
        <v>0</v>
      </c>
      <c r="AV246" s="26" t="s">
        <v>864</v>
      </c>
      <c r="AW246" s="21">
        <v>0</v>
      </c>
      <c r="AX246" s="26" t="s">
        <v>864</v>
      </c>
      <c r="AY246" s="26" t="s">
        <v>864</v>
      </c>
      <c r="AZ246" s="26" t="s">
        <v>864</v>
      </c>
      <c r="BA246" s="26" t="s">
        <v>864</v>
      </c>
      <c r="BB246" s="26" t="s">
        <v>864</v>
      </c>
      <c r="BC246" s="26" t="s">
        <v>864</v>
      </c>
      <c r="BD246" s="26" t="s">
        <v>864</v>
      </c>
      <c r="BE246" s="26" t="s">
        <v>864</v>
      </c>
      <c r="BF246" s="26" t="s">
        <v>864</v>
      </c>
      <c r="BG246" s="26" t="s">
        <v>864</v>
      </c>
      <c r="BH246" s="26" t="s">
        <v>864</v>
      </c>
      <c r="BI246" s="26" t="s">
        <v>864</v>
      </c>
      <c r="BJ246" s="26" t="s">
        <v>864</v>
      </c>
      <c r="BK246" s="26" t="s">
        <v>864</v>
      </c>
      <c r="BL246" s="26" t="s">
        <v>864</v>
      </c>
      <c r="BM246" s="26" t="s">
        <v>864</v>
      </c>
      <c r="BN246" s="22"/>
      <c r="BO246" s="22">
        <v>44965</v>
      </c>
      <c r="BP246" s="21" t="s">
        <v>864</v>
      </c>
      <c r="BQ246" s="222">
        <f t="shared" si="842"/>
        <v>0</v>
      </c>
      <c r="BR246" s="223" t="str">
        <f t="shared" si="843"/>
        <v/>
      </c>
      <c r="BS246" s="224">
        <f t="shared" si="844"/>
        <v>28.428571428571427</v>
      </c>
      <c r="BT246" s="216" t="str">
        <f t="shared" si="845"/>
        <v>DEFINIR CON ECO</v>
      </c>
      <c r="BU246" s="214">
        <f t="shared" ca="1" si="928"/>
        <v>38.142857142857146</v>
      </c>
      <c r="BV246" s="25"/>
      <c r="BW246" s="22"/>
      <c r="BX246" s="28"/>
      <c r="BY246" s="28"/>
      <c r="BZ246" s="22"/>
      <c r="CA246" s="21"/>
      <c r="CB246" s="26"/>
      <c r="CC246" s="26"/>
      <c r="CD246" s="26"/>
      <c r="CE246" s="26"/>
      <c r="CF246" s="22" t="s">
        <v>1517</v>
      </c>
      <c r="CG246" s="21">
        <v>1.41</v>
      </c>
      <c r="CH246" s="21">
        <v>22.1</v>
      </c>
      <c r="CI246" s="214">
        <f t="shared" si="847"/>
        <v>11.116141039183141</v>
      </c>
      <c r="CJ246" s="225" t="e">
        <f>IF(AND(CI246&lt;10,CH246="SD"),"SIN DATO PESO PREGESTACION O I TRIM",IF(AND(OR(R246&gt;0,O246&gt;0),CI246="X"),"INGRESAR DATO DE PESO",IF(CI246="SD","INGRESAR DATO DE TALLA Y PESO",IF(AND(OR(Tabla1[[#This Row],[MOMENTO EN QUE SE REALIZA EL PESO AL INGRESO A CPN]]="PREGESTACIÓN",NZ246="Menor"),CI246&lt;18.5),"BAJO PESO",IF(AND(OR(Tabla1[[#This Row],[MOMENTO EN QUE SE REALIZA EL PESO AL INGRESO A CPN]]="PREGESTACIÓN",NZ246="Menor"),CI246&lt;25),"NORMAL",IF(AND(OR(Tabla1[[#This Row],[MOMENTO EN QUE SE REALIZA EL PESO AL INGRESO A CPN]]="PREGESTACIÓN",NZ246="Menor"),CI246&lt;30),"SOBREPESO",IF(AND(OR(Tabla1[[#This Row],[MOMENTO EN QUE SE REALIZA EL PESO AL INGRESO A CPN]]="PREGESTACIÓN",NZ246="Menor"),CI246&gt;=30,CI246&lt;50),"OBESIDAD",IF(AND(BS246&gt;0,Tabla1[[#This Row],[MOMENTO EN QUE SE REALIZA EL PESO AL INGRESO A CPN]]="GESTACIÓN"),HLOOKUP(NZ246,$OA$2:PH246,NY246),""))))))))</f>
        <v>#REF!</v>
      </c>
      <c r="CK246" s="212">
        <f t="shared" si="848"/>
        <v>45164</v>
      </c>
      <c r="CL246" s="21">
        <v>22.1</v>
      </c>
      <c r="CM246" s="214">
        <f t="shared" si="849"/>
        <v>11.116141039183141</v>
      </c>
      <c r="CN246" s="216">
        <f t="shared" si="850"/>
        <v>28</v>
      </c>
      <c r="CO246" s="216" t="e">
        <f>IF(PI246="","",IF(PI246&gt;0,HLOOKUP(PI246,$PJ$2:QQ246,NY246),""))</f>
        <v>#REF!</v>
      </c>
      <c r="CP246" s="21">
        <v>26</v>
      </c>
      <c r="CQ246" s="216" t="e">
        <f>IF(QR246="Menor","NO APLICA-MENOR 13 SEM",IF(AND(CC246="SI",CN246&gt;23),"NO APLICA- GEMELAR",IF(QR246="","",IF(QR246&gt;0,HLOOKUP(QR246,$QS$2:RU246,NY246),""))))</f>
        <v>#REF!</v>
      </c>
      <c r="CR246" s="21"/>
      <c r="CS246" s="21"/>
      <c r="CT246" s="217" t="str">
        <f>IF(R246="","",IF(AND(BS246&gt;1,BS246&lt;12,Tabla1[[#This Row],[T.A. SISTOLICA - ANTES DE SEMANA 12]]="",Tabla1[[#This Row],[T.A. DIASTOLICA - ANTES DE SEMANA 12]]=""),"REGISTRE DATO TA ANTES SEMANA 12",IF(AND(BS246&gt;11,BS246&lt;43,Tabla1[[#This Row],[T.A. SISTOLICA - ANTES DE SEMANA 12]]="",Tabla1[[#This Row],[T.A. DIASTOLICA - ANTES DE SEMANA 12]]=""),"NO APLICA REGISTRO TA-INGRESO TARDIO",IF(AND(OR(O246&gt;0,R246&gt;0),OR(CR246&gt;=140,CS246&gt;=90)),"DEFINIR ESTADIO HTA",IF(AND(OR(O246&gt;0,R246&gt;0),AND(CR246&gt;120,CR246&lt;=139)),"PRE HTA SEGUIMIENTO",IF(AND(OR(O246&gt;0,R246&gt;0),AND(CS246&gt;80,CS246&lt;=89)),"PRE HTA SEGUIMIENTO",IF(AND(OR(O246&gt;0,R246&gt;0),AND(CR246&gt;=80,CR246&lt;=120)),"APARENTEMENTE NORMAL",IF(AND(OR(O246&gt;0,R246&gt;0),AND(CS246&gt;=50,CS246&lt;=80)),"APARENTEMENTE NORMAL",IF(AND(OR(O246&gt;0,R246&gt;0),AND(CR246&gt;1,CR246&lt;=70),AND(CS246&gt;1,CS246&lt;=40)),"HIPOTENSIÓN","")))))))))</f>
        <v>NO APLICA REGISTRO TA-INGRESO TARDIO</v>
      </c>
      <c r="CU246" s="21"/>
      <c r="CV246" s="21"/>
      <c r="CW246" s="217" t="str">
        <f ca="1">IF(R246="","",IF(AND(CN246&gt;19,CN246&lt;27,Tabla1[[#This Row],[T.A. SISTOLICA (Entre semana 20 y 26)]]="",Tabla1[[#This Row],[T.A. DIATOLICA (Entre semana 20 y 26)]]=""),"ACUDE A CONTROL SEM 20 A 26 REGISTRE TA AHORA",IF(AND(BS246&gt;1,BS246&lt;27,BU246&gt;19,Tabla1[[#This Row],[T.A. SISTOLICA (Entre semana 20 y 26)]]="",Tabla1[[#This Row],[T.A. DIATOLICA (Entre semana 20 y 26)]]=""),"COMPLETE REGISTRO TA CONTROL SEM 20 A26 ",IF(AND(BS246&gt;26,BS246&lt;43,Tabla1[[#This Row],[T.A. SISTOLICA (Entre semana 20 y 26)]]="",Tabla1[[#This Row],[T.A. DIATOLICA (Entre semana 20 y 26)]]=""),"NO APLICA REGISTRO TA-INGRESO TARDIO",IF(AND(OR(O246&gt;0,R246&gt;0),OR(CU246&gt;=140,CV246&gt;=90)),"ALTO RIESGO PREECLAMPSIA,DEFINIR ESTADIO HTA",IF(AND(OR(O246&gt;0,R246&gt;0),AND(CU246&gt;120,CU246&lt;=139)),"PRE HTA SEGUIMIENTO,RIESGO HIPERTENSION INDUCIDA POR EL EMBARAZO",IF(AND(OR(O246&gt;0,R246&gt;0),AND(CV246&gt;80,CV246&lt;=89)),"PRE HTA SEGUIMIENTO, RIESGO HIPERTENSION INDUCIDA POR EL EMBARAZO",IF(AND(OR(O246&lt;&gt;"",R246&lt;&gt;""),CS246&lt;&gt;"",CV246&lt;&gt;"",CS246&lt;=CV246),"VIGILAR CIFRAS PRESION ARTERIAL",IF(AND(OR(O246&gt;0,R246&gt;0),AND(CU246&gt;120,CU246&lt;=139)),"PRE HTA SEGUIMIENTO",IF(AND(OR(O246&gt;0,R246&gt;0),AND(CU246&gt;1,CU246&lt;=70),AND(CV246&gt;1,CV246&lt;=40)),"HIPOTENSIÓN",IF(AND(OR(O246&lt;&gt;"",R246&lt;&gt;""),CS246&lt;&gt;"",CV246&lt;&gt;"",CS246&gt;CV246),"APARENTEMENTE NORMAL",IF(AND(OR(O246&gt;0,R246&gt;0),AND(CU246&gt;=80,CU246&lt;=120)),"APARENTEMENTE NORMAL",IF(AND(OR(O246&gt;0,R246&gt;0),AND(CV246&gt;=50,CV246&lt;=80)),"APARENTEMENTE NORMAL","")))))))))))))</f>
        <v>NO APLICA REGISTRO TA-INGRESO TARDIO</v>
      </c>
      <c r="CX246" s="21"/>
      <c r="CY246" s="21"/>
      <c r="CZ246" s="216" t="str">
        <f t="shared" si="1045"/>
        <v/>
      </c>
      <c r="DA246" s="21">
        <v>90</v>
      </c>
      <c r="DB246" s="21">
        <v>60</v>
      </c>
      <c r="DC246" s="217" t="str">
        <f t="shared" si="851"/>
        <v>APARENTEMENTE NORMAL</v>
      </c>
      <c r="DD246" s="22">
        <v>45164</v>
      </c>
      <c r="DE246" s="22">
        <v>45164</v>
      </c>
      <c r="DF246" s="22"/>
      <c r="DG246" s="22"/>
      <c r="DH246" s="22"/>
      <c r="DI246" s="22"/>
      <c r="DJ246" s="22"/>
      <c r="DK246" s="22"/>
      <c r="DL246" s="22"/>
      <c r="DM246" s="22"/>
      <c r="DN246" s="22"/>
      <c r="DO246" s="22"/>
      <c r="DP246" s="22"/>
      <c r="DQ246" s="22"/>
      <c r="DR246" s="28"/>
      <c r="DS246" s="22"/>
      <c r="DT246" s="22"/>
      <c r="DU246" s="216" t="str">
        <f t="shared" ca="1" si="920"/>
        <v>CONCERTAR PLAN DE PARTO INMEDIATO</v>
      </c>
      <c r="DV246" s="226" t="str">
        <f t="shared" si="921"/>
        <v>ACTIVA INGRESO A CPN</v>
      </c>
      <c r="DW24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46" s="216" t="e">
        <f t="shared" ca="1" si="852"/>
        <v>#REF!</v>
      </c>
      <c r="DY246" s="212">
        <f>IF(R246="","",IF(R246&gt;0,MAX(Tabla1[[#This Row],[FECHA C2]:[FECHA C13]],Tabla1[[#This Row],[FECHA CONSULTA PRIMERA VEZ PROGRAMA CPN ]])))</f>
        <v>45164</v>
      </c>
      <c r="DZ246" s="216">
        <f t="shared" si="853"/>
        <v>28</v>
      </c>
      <c r="EA246" s="222">
        <f>IF(R246&gt;0,SUM(COUNTA(DF246:DQ246)+COUNTA(Tabla1[[#This Row],[FECHA CONSULTA PRIMERA VEZ PROGRAMA CPN ]])),"")</f>
        <v>1</v>
      </c>
      <c r="EB246" s="222" t="str">
        <f t="shared" si="854"/>
        <v>NO</v>
      </c>
      <c r="EC246" s="214">
        <f t="shared" si="855"/>
        <v>4</v>
      </c>
      <c r="ED246" s="227">
        <f t="shared" si="856"/>
        <v>0.25</v>
      </c>
      <c r="EE246" s="22">
        <v>45164</v>
      </c>
      <c r="EF246" s="22">
        <v>45164</v>
      </c>
      <c r="EG246" s="22">
        <v>45164</v>
      </c>
      <c r="EH246" s="22"/>
      <c r="EI246" s="22">
        <v>45164</v>
      </c>
      <c r="EJ246" s="22"/>
      <c r="EK246" s="22"/>
      <c r="EL246" s="21"/>
      <c r="EM246" s="21"/>
      <c r="EN246" s="22"/>
      <c r="EO246" s="222" t="str">
        <f t="shared" si="857"/>
        <v>TOMAR EXAMEN</v>
      </c>
      <c r="EP246" s="214" t="str">
        <f t="shared" si="858"/>
        <v/>
      </c>
      <c r="EQ246" s="216" t="str">
        <f t="shared" si="859"/>
        <v>POR DEFINIR</v>
      </c>
      <c r="ER246" s="24"/>
      <c r="ES246" s="22"/>
      <c r="ET246" s="29" t="str">
        <f t="shared" ca="1" si="922"/>
        <v>TOMA DE HEMOGLOBINA TARDÍA</v>
      </c>
      <c r="EU246" s="25" t="str">
        <f t="shared" si="860"/>
        <v/>
      </c>
      <c r="EV246" s="24"/>
      <c r="EW246" s="24"/>
      <c r="EX246" s="22"/>
      <c r="EY246" s="29" t="str">
        <f t="shared" si="1043"/>
        <v>TOMAR EXAMEN</v>
      </c>
      <c r="EZ246" s="25" t="str">
        <f t="shared" ca="1" si="1044"/>
        <v/>
      </c>
      <c r="FA246" s="21"/>
      <c r="FB246" s="22"/>
      <c r="FC246" s="29" t="str">
        <f t="shared" si="861"/>
        <v>PIERDE TOMA TAMIZAJE- INGRESO TARDIO</v>
      </c>
      <c r="FD246" s="29"/>
      <c r="FE246" s="29"/>
      <c r="FF246" s="29"/>
      <c r="FG246" s="21" t="str">
        <f t="shared" ca="1" si="862"/>
        <v>TOMAR PTOG</v>
      </c>
      <c r="FH246" s="31"/>
      <c r="FI246" s="29" t="str">
        <f t="shared" si="863"/>
        <v>TOMAR EXAMEN</v>
      </c>
      <c r="FJ246" s="22"/>
      <c r="FK246" s="22"/>
      <c r="FL246" s="29" t="str">
        <f t="shared" ca="1" si="864"/>
        <v>NO APLICA-INGRESO TARDIO</v>
      </c>
      <c r="FM246" s="22"/>
      <c r="FN246" s="32"/>
      <c r="FO246" s="29" t="str">
        <f t="shared" ca="1" si="923"/>
        <v>NO APLICA-INGRESO TARDIO</v>
      </c>
      <c r="FP246" s="22"/>
      <c r="FQ246" s="32"/>
      <c r="FR246" s="29" t="str">
        <f t="shared" ca="1" si="924"/>
        <v>TOMA INMEDIATA DE TAMIZAJE</v>
      </c>
      <c r="FS246" s="22"/>
      <c r="FT246" s="32"/>
      <c r="FU246" s="29" t="str">
        <f>IF(AND(FJ246="",FM246="",FP246="",FS246=""),"",IF(OR(OR(Tabla1[[#This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46" s="28"/>
      <c r="FW246" s="22"/>
      <c r="FX246" s="29" t="str">
        <f t="shared" si="865"/>
        <v>TOMAR EXAMEN</v>
      </c>
      <c r="FY246" s="22"/>
      <c r="FZ246" s="22"/>
      <c r="GA246" s="29" t="str">
        <f t="shared" ca="1" si="939"/>
        <v>NO APLICA-INGRESO TARDIO</v>
      </c>
      <c r="GB246" s="22"/>
      <c r="GC246" s="22"/>
      <c r="GD246" s="29" t="str">
        <f t="shared" ca="1" si="1048"/>
        <v>NO APLICA-INGRESO TARDIO</v>
      </c>
      <c r="GE246" s="22"/>
      <c r="GF246" s="22"/>
      <c r="GG246" s="29" t="str">
        <f t="shared" ca="1" si="926"/>
        <v>TOMA INMEDIATA DE TAMIZAJE</v>
      </c>
      <c r="GH246" s="22"/>
      <c r="GI246" s="29"/>
      <c r="GJ246" s="22"/>
      <c r="GK246" s="22"/>
      <c r="GL246" s="22"/>
      <c r="GM246" s="22"/>
      <c r="GN246" s="28"/>
      <c r="GO246" s="22"/>
      <c r="GP246" s="29" t="str">
        <f t="shared" si="866"/>
        <v>TOMAR EXAMEN</v>
      </c>
      <c r="GQ246" s="28"/>
      <c r="GR246" s="28"/>
      <c r="GS246" s="22" t="str">
        <f t="shared" si="1047"/>
        <v/>
      </c>
      <c r="GT246" s="22"/>
      <c r="GU246" s="29" t="str">
        <f t="shared" si="867"/>
        <v>TOMAR EXAMEN</v>
      </c>
      <c r="GV246" s="21" t="str">
        <f t="shared" si="868"/>
        <v>POR DEFINIR</v>
      </c>
      <c r="GW246" s="28"/>
      <c r="GX246" s="30"/>
      <c r="GY246" s="21"/>
      <c r="GZ246" s="21"/>
      <c r="HA246" s="21"/>
      <c r="HB246" s="21"/>
      <c r="HC246" s="21"/>
      <c r="HD246" s="21"/>
      <c r="HE246" s="21"/>
      <c r="HF246" s="22"/>
      <c r="HG246" s="22" t="str">
        <f>IF(OR(O246&gt;0,R246&gt;0),CONCATENATE(IF(Tabla1[[#This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46" s="22" t="e">
        <f t="shared" si="869"/>
        <v>#REF!</v>
      </c>
      <c r="HI246" s="22" t="e">
        <f t="shared" ca="1" si="870"/>
        <v>#REF!</v>
      </c>
      <c r="HJ246" s="21" t="str">
        <f t="shared" ca="1" si="871"/>
        <v>**********************MULTIPARIDAD**RIESGO POR EDAD***************</v>
      </c>
      <c r="HK246" s="21" t="str">
        <f t="shared" si="872"/>
        <v>SIN ANTECEDENTES DE RIESGO</v>
      </c>
      <c r="HL246" s="24" t="str">
        <f t="shared" si="873"/>
        <v>APARENTEMENTE NORMAL</v>
      </c>
      <c r="HM246" s="21" t="e">
        <f t="shared" ca="1" si="874"/>
        <v>#REF!</v>
      </c>
      <c r="HN246" s="30" t="str">
        <f t="shared" si="927"/>
        <v>ACTIVA INGRESO A CPN</v>
      </c>
      <c r="HO246" s="21"/>
      <c r="HP246" s="21"/>
      <c r="HQ246" s="349"/>
      <c r="HR246" s="21" t="str">
        <f>IF(R246="","",IF(Tabla1[[#This Row],[ALARMA FACTORES DE RIESGO COMPLICACIONES HIPERTENSIVAS3]]="SIN ANTECEDENTES DE RIESGO","No Aplica para suministro de ASA",IF(AND(Tabla1[[#This Row],[FECHA INICIO DE SUMINISTRO DE ASA]]&gt;0,RV246&lt;12),"Inicia ASA ANTES de Sem 12",IF(AND(RV246&gt;11,RV246&lt;17,OR(HK246="RIESGO ALTO DE COMPLICACIONES HIPERTENSIVAS VER MANEJO GUIA SUMINISTRO ASA Y CALCIO",HK246="RIESGO MODERADO (2 O MAS CRITERIOS) VER MANEJO GUIA SUMINISTRO ASA Y CALCIO")),"Inicio oportuno de ASA",IF(AND(RV246&gt;12,OR(HK246="RIESGO ALTO DE COMPLICACIONES HIPERTENSIVAS VER MANEJO GUIA SUMINISTRO ASA Y CALCIO",HK246="RIESGO MODERADO (2 O MAS CRITERIOS) VER MANEJO GUIA SUMINISTRO ASA Y CALCIO")),"Inicio no oportuno mayor a 16 semanas",IF(AND(BU246&lt;12,OR(HK246="RIESGO ALTO DE COMPLICACIONES HIPERTENSIVAS VER MANEJO GUIA SUMINISTRO ASA Y CALCIO",HK246="RIESGO MODERADO (2 O MAS CRITERIOS) VER MANEJO GUIA SUMINISTRO ASA Y CALCIO")),"Pendiente Inicio de ASA a la semana 12",IF(AND(BU246&gt;11,BU246&lt;17,OR(HK246="RIESGO ALTO DE COMPLICACIONES HIPERTENSIVAS VER MANEJO GUIA SUMINISTRO ASA Y CALCIO",HK246="RIESGO MODERADO (2 O MAS CRITERIOS) VER MANEJO GUIA SUMINISTRO ASA Y CALCIO")),"Iniciar de inmediato ASA",IF(AND(BU246&gt;16,OR(HK246="RIESGO ALTO DE COMPLICACIONES HIPERTENSIVAS VER MANEJO GUIA SUMINISTRO ASA Y CALCIO",HK246="RIESGO MODERADO (2 O MAS CRITERIOS) VER MANEJO GUIA SUMINISTRO ASA Y CALCIO")),"Pierde Oportunidad, Inicio tardío de ASA","XXXXX"))))))))</f>
        <v>No Aplica para suministro de ASA</v>
      </c>
      <c r="HS246" s="22"/>
      <c r="HT246" s="22"/>
      <c r="HU246" s="22"/>
      <c r="HV246" s="22"/>
      <c r="HW246" s="22"/>
      <c r="HX246" s="22"/>
      <c r="HY246" s="22"/>
      <c r="HZ246" s="28" t="str">
        <f t="shared" si="875"/>
        <v>PENDIENTE CONSULTA</v>
      </c>
      <c r="IA246" s="26"/>
      <c r="IB246" s="26"/>
      <c r="IC246" s="111"/>
      <c r="ID246" s="22"/>
      <c r="IE246" s="22" t="str">
        <f t="shared" ca="1" si="876"/>
        <v>INASISTENTE</v>
      </c>
      <c r="IF246" s="22"/>
      <c r="IG246" s="22">
        <f t="shared" si="877"/>
        <v>45245</v>
      </c>
      <c r="IH246" s="29">
        <f t="shared" ca="1" si="878"/>
        <v>13</v>
      </c>
      <c r="II246" s="22" t="str">
        <f t="shared" ca="1" si="879"/>
        <v>MENOS DE 4 SEMANAS</v>
      </c>
      <c r="IJ246" s="22"/>
      <c r="IK246" s="21"/>
      <c r="IL246" s="21"/>
      <c r="IM246" s="34"/>
      <c r="IN246" s="22"/>
      <c r="IO246" s="21"/>
      <c r="IP246" s="29" t="str">
        <f t="shared" si="880"/>
        <v/>
      </c>
      <c r="IQ246" s="35"/>
      <c r="IR246" s="21"/>
      <c r="IS246" s="21"/>
      <c r="IT246" s="21"/>
      <c r="IU246" s="21"/>
      <c r="IV246" s="21"/>
      <c r="IW246" s="21"/>
      <c r="IX246" s="21"/>
      <c r="IY246" s="21"/>
      <c r="IZ246" s="21"/>
      <c r="JA246" s="21"/>
      <c r="JB246" s="30"/>
      <c r="JC246" s="21"/>
      <c r="JD246" s="36"/>
      <c r="JE246" s="21" t="str">
        <f t="shared" si="881"/>
        <v/>
      </c>
      <c r="JF246" s="30"/>
      <c r="JG246" s="21"/>
      <c r="JH246" s="21"/>
      <c r="JI246" s="21"/>
      <c r="JJ246" s="30"/>
      <c r="JK246" s="22"/>
      <c r="JL246" s="22"/>
      <c r="JM246" s="21"/>
      <c r="JN246" s="36"/>
      <c r="JO246" s="21" t="str">
        <f t="shared" si="882"/>
        <v/>
      </c>
      <c r="JP246" s="22"/>
      <c r="JQ246" s="21"/>
      <c r="JR246" s="21"/>
      <c r="JS246" s="21"/>
      <c r="JT246" s="30"/>
      <c r="JU246" s="22"/>
      <c r="JV246" s="22"/>
      <c r="JW246" s="33"/>
      <c r="JX246" s="28" t="str">
        <f t="shared" si="883"/>
        <v/>
      </c>
      <c r="JY246" s="33"/>
      <c r="JZ246" s="28" t="str">
        <f t="shared" si="884"/>
        <v/>
      </c>
      <c r="KA246" s="21"/>
      <c r="KB246" s="21"/>
      <c r="KC246" s="21"/>
      <c r="KD246" s="37"/>
      <c r="KE246" s="28"/>
      <c r="KF246" s="28"/>
      <c r="KG246" s="28"/>
      <c r="KH246" s="39"/>
      <c r="KI246" s="39"/>
      <c r="KJ246" s="66"/>
      <c r="KK246" s="39"/>
      <c r="KL246" s="39"/>
      <c r="KM246" s="66"/>
      <c r="KN246" s="39"/>
      <c r="KO246" s="39"/>
      <c r="KP246" s="39"/>
      <c r="KQ246" s="39"/>
      <c r="KR246" s="39"/>
      <c r="KS246" s="39"/>
      <c r="KT246" s="39"/>
      <c r="KU246" s="38"/>
      <c r="KV246" s="38"/>
      <c r="KW246" s="38"/>
      <c r="KX246" s="38"/>
      <c r="KY246" s="38"/>
      <c r="KZ246" s="38"/>
      <c r="LA246" s="38"/>
      <c r="LB246" s="38"/>
      <c r="LC246" s="38"/>
      <c r="LD246" s="38"/>
      <c r="LE246" s="38"/>
      <c r="LF246" s="38"/>
      <c r="LG246" s="38"/>
      <c r="LH246" s="38"/>
      <c r="LI246" s="38"/>
      <c r="LJ246" s="38"/>
      <c r="LK246" s="38"/>
      <c r="LL246" s="38"/>
      <c r="LM246" s="38"/>
      <c r="LN246" s="38"/>
      <c r="LO246" s="38"/>
      <c r="LP246" s="38"/>
      <c r="LQ246" s="38"/>
      <c r="LR246" s="38"/>
      <c r="LS246" s="38"/>
      <c r="LT246" s="38"/>
      <c r="LU246" s="38"/>
      <c r="LV246" s="38"/>
      <c r="LW246" s="38"/>
      <c r="LX246" s="38"/>
      <c r="LY246" s="38"/>
      <c r="LZ246" s="38"/>
      <c r="MA246" s="38"/>
      <c r="MB246" s="38"/>
      <c r="MC246" s="38"/>
      <c r="MD246" s="38"/>
      <c r="ME246" s="38"/>
      <c r="MF246" s="38"/>
      <c r="MG246" s="38"/>
      <c r="MH246" s="43">
        <f t="shared" si="885"/>
        <v>0</v>
      </c>
      <c r="MI246" s="43" t="str">
        <f t="shared" si="929"/>
        <v/>
      </c>
      <c r="MJ246" s="43" t="str">
        <f t="shared" si="887"/>
        <v/>
      </c>
      <c r="MK246" s="43">
        <f t="shared" si="888"/>
        <v>0</v>
      </c>
      <c r="ML24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46" s="43">
        <f t="shared" si="930"/>
        <v>28.428571428571427</v>
      </c>
      <c r="MN246" s="43">
        <f t="shared" si="931"/>
        <v>8</v>
      </c>
      <c r="MO246" s="43">
        <f t="shared" si="932"/>
        <v>2023</v>
      </c>
      <c r="MP246" s="43" t="str">
        <f t="shared" si="892"/>
        <v>III TRIMESTRE AÑO</v>
      </c>
      <c r="MQ246" s="43">
        <f t="shared" si="933"/>
        <v>12.642356548401226</v>
      </c>
      <c r="MR246" s="43">
        <f t="shared" si="894"/>
        <v>2</v>
      </c>
      <c r="MS246" s="43" t="str">
        <f t="shared" si="895"/>
        <v>MENOR 14 AÑOS</v>
      </c>
      <c r="MT246" s="43">
        <f t="shared" si="896"/>
        <v>0</v>
      </c>
      <c r="MU246" s="43">
        <f t="shared" si="897"/>
        <v>1</v>
      </c>
      <c r="MV246" s="43">
        <f t="shared" si="898"/>
        <v>0</v>
      </c>
      <c r="MW246" s="43">
        <f t="shared" si="899"/>
        <v>0</v>
      </c>
      <c r="MX246" s="43" t="str">
        <f t="shared" si="900"/>
        <v/>
      </c>
      <c r="MY246" s="43" t="str">
        <f t="shared" ca="1" si="901"/>
        <v/>
      </c>
      <c r="MZ246" s="43" t="str">
        <f t="shared" si="902"/>
        <v/>
      </c>
      <c r="NA246" s="43" t="str">
        <f t="shared" si="903"/>
        <v/>
      </c>
      <c r="NB246" s="43" t="str">
        <f t="shared" si="904"/>
        <v/>
      </c>
      <c r="NC246" s="43" t="str">
        <f t="shared" si="905"/>
        <v/>
      </c>
      <c r="ND246" s="43">
        <f t="shared" ca="1" si="934"/>
        <v>3</v>
      </c>
      <c r="NE246" s="43">
        <f>IF(OR(O246&gt;0,R246&gt;0),SUM(COUNTIF(Tabla1[[#This Row],[AÑOS AL INICIO5 CPN]],"&gt;=40"),COUNTIF(AS246,"0"),COUNTIF(AR246,"SI"),COUNTIF(CC246,"SI"),COUNTIF(BQ246,"&gt;119"),COUNTIF(CI246,"&gt;=35")),"")</f>
        <v>1</v>
      </c>
      <c r="NF246" s="43" t="str">
        <f t="shared" si="935"/>
        <v/>
      </c>
      <c r="NG246" s="43">
        <f t="shared" si="908"/>
        <v>0</v>
      </c>
      <c r="NH246" s="43" t="str">
        <f t="shared" si="909"/>
        <v/>
      </c>
      <c r="NI24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CPN",P246="NO"),"Z",IF(AND(Tabla1[[#This Row],[CITA PROXIMO CONTROL]]="CITA MANUAL",Tabla1[[#This Row],[GESTANTES ACTUALES]]="ACTIVA INGRESO A CPN"),"W",IF(AND(Tabla1[[#This Row],[GESTANTES ACTUALES]]="SALIO PROGRAMA",IN246=""),"S",IF(AND(Tabla1[[#This Row],[CITA PROXIMO CONTROL]]&gt;0,IN246=""),(Tabla1[[#This Row],[CITA PROXIMO CONTROL]]-TODAY()),"SD"))))))))</f>
        <v>#REF!</v>
      </c>
      <c r="NJ246" s="43">
        <f>MONTH(Tabla1[[#This Row],[FECHA DE SALIDA  DEL PROGRAMA]])</f>
        <v>1</v>
      </c>
      <c r="NK246" s="43">
        <f>YEAR(Tabla1[[#This Row],[FECHA DE SALIDA  DEL PROGRAMA]])</f>
        <v>1900</v>
      </c>
      <c r="NL246" s="43" t="str">
        <f t="shared" si="936"/>
        <v>X</v>
      </c>
      <c r="NM246" s="43" t="str">
        <f t="shared" si="941"/>
        <v>NO</v>
      </c>
      <c r="NN246" s="43" t="str">
        <f ca="1">IF(AND(O246&gt;0,R246=""),"NO CPN",IF(AND(O246="",R246=""),"",IF(AND(R246&gt;0,Tabla1[[#This Row],[SEMANAS DE GESTACION ACTUALIZADAS]]&lt;=12),"NO APLICA",IF(AND(FH246&lt;&gt;"",FN246&lt;&gt;""),"SI","NO"))))</f>
        <v>NO</v>
      </c>
      <c r="NO246" s="43" t="str">
        <f ca="1">IF(AND(O246&gt;0,R246=""),"NO CPN",IF(AND(O246="",R246=""),"",IF(AND(R246&gt;0,Tabla1[[#This Row],[SEMANAS DE GESTACION ACTUALIZADAS]]&lt;=27),"NO APLICA",IF(AND(ES246&lt;&gt;"",FQ246&lt;&gt;"",GF246&lt;&gt;""),"SI","NO"))))</f>
        <v>NO</v>
      </c>
      <c r="NP246" s="204" t="str">
        <f t="shared" si="912"/>
        <v>DEFINIR CON ECO</v>
      </c>
      <c r="NQ246" s="21" t="str">
        <f t="shared" si="1046"/>
        <v/>
      </c>
      <c r="NR246" s="21">
        <f t="shared" si="937"/>
        <v>1</v>
      </c>
      <c r="NS246" s="205">
        <f t="shared" ca="1" si="914"/>
        <v>0</v>
      </c>
      <c r="NT246" s="21">
        <f t="shared" ca="1" si="915"/>
        <v>0</v>
      </c>
      <c r="NU246" s="21" t="str">
        <f t="shared" ca="1" si="916"/>
        <v>INCOMPLETO</v>
      </c>
      <c r="NV246" s="21" t="str">
        <f t="shared" ca="1" si="917"/>
        <v>INCOMPLETO</v>
      </c>
      <c r="NW246" s="206" t="str">
        <f>IF(AND(O246="",R246=""),"",IF(OR(AND(Tabla1[[#This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46" s="207" t="str">
        <f t="shared" ca="1" si="938"/>
        <v>SIN VACUNAR</v>
      </c>
      <c r="NY246" s="43">
        <f>ROW(Tabla1[[#This Row],['# DE TAMIZAJES SIFILIS TOMADOS ]])</f>
        <v>246</v>
      </c>
      <c r="NZ246" s="43">
        <f t="shared" si="942"/>
        <v>28</v>
      </c>
      <c r="OA246" s="43" t="str">
        <f t="shared" si="943"/>
        <v/>
      </c>
      <c r="OB246" s="43" t="str">
        <f t="shared" si="944"/>
        <v/>
      </c>
      <c r="OC246" s="43" t="str">
        <f t="shared" si="945"/>
        <v/>
      </c>
      <c r="OD246" s="43" t="str">
        <f t="shared" si="946"/>
        <v/>
      </c>
      <c r="OE246" s="43" t="str">
        <f t="shared" si="947"/>
        <v/>
      </c>
      <c r="OF246" s="43" t="str">
        <f t="shared" si="948"/>
        <v/>
      </c>
      <c r="OG246" s="43" t="str">
        <f t="shared" si="949"/>
        <v/>
      </c>
      <c r="OH246" s="43" t="str">
        <f t="shared" si="950"/>
        <v/>
      </c>
      <c r="OI246" s="43" t="str">
        <f t="shared" si="951"/>
        <v/>
      </c>
      <c r="OJ246" s="43" t="str">
        <f t="shared" si="952"/>
        <v/>
      </c>
      <c r="OK246" s="43" t="str">
        <f t="shared" si="953"/>
        <v/>
      </c>
      <c r="OL246" s="43" t="str">
        <f t="shared" si="954"/>
        <v/>
      </c>
      <c r="OM246" s="43" t="str">
        <f t="shared" si="955"/>
        <v/>
      </c>
      <c r="ON246" s="43" t="str">
        <f t="shared" si="956"/>
        <v/>
      </c>
      <c r="OO246" s="43" t="str">
        <f t="shared" si="957"/>
        <v/>
      </c>
      <c r="OP246" s="43" t="str">
        <f t="shared" si="958"/>
        <v/>
      </c>
      <c r="OQ246" s="43" t="str">
        <f t="shared" si="959"/>
        <v/>
      </c>
      <c r="OR246" s="43" t="str">
        <f t="shared" si="960"/>
        <v/>
      </c>
      <c r="OS246" s="43" t="str">
        <f t="shared" si="961"/>
        <v/>
      </c>
      <c r="OT246" s="43" t="str">
        <f t="shared" si="962"/>
        <v>BAJO PESO</v>
      </c>
      <c r="OU246" s="43" t="str">
        <f t="shared" si="963"/>
        <v/>
      </c>
      <c r="OV246" s="110" t="str">
        <f t="shared" si="964"/>
        <v/>
      </c>
      <c r="OW246" s="43" t="str">
        <f t="shared" si="965"/>
        <v/>
      </c>
      <c r="OX246" s="43" t="str">
        <f t="shared" si="966"/>
        <v/>
      </c>
      <c r="OY246" s="43" t="str">
        <f t="shared" si="967"/>
        <v/>
      </c>
      <c r="OZ246" s="43" t="str">
        <f t="shared" si="968"/>
        <v/>
      </c>
      <c r="PA246" s="43" t="str">
        <f t="shared" si="969"/>
        <v/>
      </c>
      <c r="PB246" s="43" t="str">
        <f t="shared" si="970"/>
        <v/>
      </c>
      <c r="PC246" s="43" t="str">
        <f t="shared" si="971"/>
        <v/>
      </c>
      <c r="PD246" s="43" t="str">
        <f t="shared" si="972"/>
        <v/>
      </c>
      <c r="PE246" s="43" t="str">
        <f t="shared" si="973"/>
        <v/>
      </c>
      <c r="PF246" s="43" t="str">
        <f t="shared" si="974"/>
        <v/>
      </c>
      <c r="PG246" s="43" t="str">
        <f t="shared" si="975"/>
        <v/>
      </c>
      <c r="PH246" s="43" t="str">
        <f t="shared" si="976"/>
        <v/>
      </c>
      <c r="PI246" s="43">
        <f t="shared" si="977"/>
        <v>28</v>
      </c>
      <c r="PJ246" s="43" t="str">
        <f t="shared" si="978"/>
        <v/>
      </c>
      <c r="PK246" s="43" t="str">
        <f t="shared" si="979"/>
        <v/>
      </c>
      <c r="PL246" s="43" t="str">
        <f t="shared" si="980"/>
        <v/>
      </c>
      <c r="PM246" s="43" t="str">
        <f t="shared" si="981"/>
        <v/>
      </c>
      <c r="PN246" s="43" t="str">
        <f t="shared" si="982"/>
        <v/>
      </c>
      <c r="PO246" s="43" t="str">
        <f t="shared" si="983"/>
        <v/>
      </c>
      <c r="PP246" s="43" t="str">
        <f t="shared" si="984"/>
        <v/>
      </c>
      <c r="PQ246" s="43" t="str">
        <f t="shared" si="985"/>
        <v/>
      </c>
      <c r="PR246" s="43" t="str">
        <f t="shared" si="986"/>
        <v/>
      </c>
      <c r="PS246" s="43" t="str">
        <f t="shared" si="987"/>
        <v/>
      </c>
      <c r="PT246" s="43" t="str">
        <f t="shared" si="988"/>
        <v/>
      </c>
      <c r="PU246" s="43" t="str">
        <f t="shared" si="989"/>
        <v/>
      </c>
      <c r="PV246" s="43" t="str">
        <f t="shared" si="990"/>
        <v/>
      </c>
      <c r="PW246" s="43" t="str">
        <f t="shared" si="991"/>
        <v/>
      </c>
      <c r="PX246" s="43" t="str">
        <f t="shared" si="992"/>
        <v/>
      </c>
      <c r="PY246" s="43" t="str">
        <f t="shared" si="993"/>
        <v/>
      </c>
      <c r="PZ246" s="43" t="str">
        <f t="shared" si="994"/>
        <v/>
      </c>
      <c r="QA246" s="43" t="str">
        <f t="shared" si="995"/>
        <v/>
      </c>
      <c r="QB246" s="43" t="str">
        <f t="shared" si="996"/>
        <v/>
      </c>
      <c r="QC246" s="43" t="str">
        <f t="shared" si="997"/>
        <v>BAJO PESO</v>
      </c>
      <c r="QD246" s="43" t="str">
        <f t="shared" si="998"/>
        <v/>
      </c>
      <c r="QE246" s="43" t="str">
        <f t="shared" si="999"/>
        <v/>
      </c>
      <c r="QF246" s="43" t="str">
        <f t="shared" si="1000"/>
        <v/>
      </c>
      <c r="QG246" s="43" t="str">
        <f t="shared" si="1001"/>
        <v/>
      </c>
      <c r="QH246" s="43" t="str">
        <f t="shared" si="1002"/>
        <v/>
      </c>
      <c r="QI246" s="43" t="str">
        <f t="shared" si="1003"/>
        <v/>
      </c>
      <c r="QJ246" s="43" t="str">
        <f t="shared" si="1004"/>
        <v/>
      </c>
      <c r="QK246" s="43" t="str">
        <f t="shared" si="1005"/>
        <v/>
      </c>
      <c r="QL246" s="43" t="str">
        <f t="shared" si="1006"/>
        <v/>
      </c>
      <c r="QM246" s="43" t="str">
        <f t="shared" si="1007"/>
        <v/>
      </c>
      <c r="QN246" s="43" t="str">
        <f t="shared" si="1008"/>
        <v/>
      </c>
      <c r="QO246" s="43" t="str">
        <f t="shared" si="1009"/>
        <v/>
      </c>
      <c r="QP246" s="43" t="str">
        <f t="shared" si="1010"/>
        <v/>
      </c>
      <c r="QQ246" s="43" t="str">
        <f t="shared" si="1011"/>
        <v/>
      </c>
      <c r="QR246" s="43">
        <f t="shared" si="1012"/>
        <v>28</v>
      </c>
      <c r="QS246" s="43"/>
      <c r="QT246" s="21" t="str">
        <f t="shared" si="1013"/>
        <v/>
      </c>
      <c r="QU246" s="21" t="str">
        <f t="shared" si="1014"/>
        <v/>
      </c>
      <c r="QV246" s="21" t="str">
        <f t="shared" si="1015"/>
        <v/>
      </c>
      <c r="QW246" s="21" t="str">
        <f t="shared" si="1016"/>
        <v/>
      </c>
      <c r="QX246" s="21" t="str">
        <f t="shared" si="1017"/>
        <v/>
      </c>
      <c r="QY246" s="21" t="str">
        <f t="shared" si="1018"/>
        <v/>
      </c>
      <c r="QZ246" s="21" t="str">
        <f t="shared" si="1019"/>
        <v/>
      </c>
      <c r="RA246" s="21" t="str">
        <f t="shared" si="1020"/>
        <v/>
      </c>
      <c r="RB246" s="21" t="str">
        <f t="shared" si="1021"/>
        <v/>
      </c>
      <c r="RC246" s="21" t="str">
        <f t="shared" si="1022"/>
        <v/>
      </c>
      <c r="RD246" s="21" t="str">
        <f t="shared" si="1023"/>
        <v/>
      </c>
      <c r="RE246" s="21" t="str">
        <f t="shared" si="1024"/>
        <v/>
      </c>
      <c r="RF246" s="21" t="str">
        <f t="shared" si="1025"/>
        <v/>
      </c>
      <c r="RG246" s="21" t="str">
        <f t="shared" si="1026"/>
        <v/>
      </c>
      <c r="RH246" s="21" t="str">
        <f t="shared" si="1027"/>
        <v/>
      </c>
      <c r="RI246" s="21" t="str">
        <f t="shared" si="1028"/>
        <v>ADECUADO PARA EDAD GESTACIONAL</v>
      </c>
      <c r="RJ246" s="21" t="str">
        <f t="shared" si="1029"/>
        <v/>
      </c>
      <c r="RK246" s="21" t="str">
        <f t="shared" si="1030"/>
        <v/>
      </c>
      <c r="RL246" s="21" t="str">
        <f t="shared" si="1031"/>
        <v/>
      </c>
      <c r="RM246" s="21" t="str">
        <f t="shared" si="1032"/>
        <v/>
      </c>
      <c r="RN246" s="21" t="str">
        <f t="shared" si="1033"/>
        <v/>
      </c>
      <c r="RO246" s="21" t="str">
        <f t="shared" si="1034"/>
        <v/>
      </c>
      <c r="RP246" s="21" t="str">
        <f t="shared" si="1035"/>
        <v/>
      </c>
      <c r="RQ246" s="21" t="str">
        <f t="shared" si="1036"/>
        <v/>
      </c>
      <c r="RR246" s="21" t="str">
        <f t="shared" si="1037"/>
        <v/>
      </c>
      <c r="RS246" s="21" t="str">
        <f t="shared" si="1038"/>
        <v/>
      </c>
      <c r="RT246" s="21" t="str">
        <f t="shared" si="1039"/>
        <v/>
      </c>
      <c r="RU246" s="21" t="str">
        <f t="shared" si="1040"/>
        <v/>
      </c>
      <c r="RV246" s="21">
        <f t="shared" si="1041"/>
        <v>-1</v>
      </c>
      <c r="RW246" s="284">
        <f>IF(OR(Tabla1[[#This Row],[FUM FORMULA CONFIABLE]]="",Tabla1[[#This Row],[FUM FORMULA CONFIABLE]]="SD"),"",IF(Tabla1[[#This Row],[FUM FORMULA CONFIABLE]]="CORREGIDA",Tabla1[[#This Row],[FUM X ECO 1]],Tabla1[[#This Row],[FUM x AMENORREA]]))</f>
        <v>44965</v>
      </c>
      <c r="RX246" s="21" t="str">
        <f>IF(AND(Tabla1[[#This Row],[FUM X ECO 1]]="",Tabla1[[#This Row],[FUM x AMENORREA]]=""),"",IF(AND(Tabla1[[#This Row],[FUM X ECO 1]]="",Tabla1[[#This Row],[FUM x AMENORREA]]&lt;&gt;""),"X",SUM(Tabla1[[#This Row],[FUM X ECO 1]]-Tabla1[[#This Row],[FUM x AMENORREA]])))</f>
        <v>X</v>
      </c>
      <c r="RY246" s="21" t="str">
        <f t="shared" si="1042"/>
        <v>x</v>
      </c>
    </row>
    <row r="247" spans="1:493" ht="45" customHeight="1" x14ac:dyDescent="0.25">
      <c r="A247" s="109"/>
      <c r="B247" s="43"/>
      <c r="C247" s="43" t="s">
        <v>845</v>
      </c>
      <c r="D247" s="124"/>
      <c r="E247" s="43" t="s">
        <v>1286</v>
      </c>
      <c r="F247" s="43" t="s">
        <v>943</v>
      </c>
      <c r="G247" s="43" t="s">
        <v>1681</v>
      </c>
      <c r="H247" s="43"/>
      <c r="I247" s="109" t="s">
        <v>851</v>
      </c>
      <c r="J247" s="343" t="s">
        <v>1680</v>
      </c>
      <c r="K247" s="43" t="s">
        <v>852</v>
      </c>
      <c r="L247" s="175" t="s">
        <v>1509</v>
      </c>
      <c r="M247" s="22">
        <v>30236</v>
      </c>
      <c r="N247" s="213">
        <f t="shared" ca="1" si="841"/>
        <v>41.084931506849315</v>
      </c>
      <c r="O247" s="22">
        <v>45164</v>
      </c>
      <c r="P247" s="214" t="str">
        <f t="shared" si="919"/>
        <v>SI</v>
      </c>
      <c r="Q247" s="26" t="s">
        <v>855</v>
      </c>
      <c r="R247" s="22">
        <v>45164</v>
      </c>
      <c r="S247" s="21" t="s">
        <v>856</v>
      </c>
      <c r="T247" s="24" t="s">
        <v>690</v>
      </c>
      <c r="U247" s="21" t="s">
        <v>857</v>
      </c>
      <c r="V247" s="21" t="s">
        <v>858</v>
      </c>
      <c r="W247" s="21" t="s">
        <v>1288</v>
      </c>
      <c r="X247" s="21" t="s">
        <v>1288</v>
      </c>
      <c r="Y247" s="21"/>
      <c r="Z247" s="21">
        <v>3128701522</v>
      </c>
      <c r="AA247" s="21" t="s">
        <v>860</v>
      </c>
      <c r="AB247" s="27" t="s">
        <v>861</v>
      </c>
      <c r="AC247" s="26" t="s">
        <v>846</v>
      </c>
      <c r="AD247" s="21" t="s">
        <v>1546</v>
      </c>
      <c r="AE247" s="26" t="s">
        <v>854</v>
      </c>
      <c r="AF247" s="26" t="s">
        <v>854</v>
      </c>
      <c r="AG247" s="23" t="s">
        <v>864</v>
      </c>
      <c r="AH247" s="23" t="s">
        <v>864</v>
      </c>
      <c r="AI247" s="24" t="s">
        <v>863</v>
      </c>
      <c r="AJ247" s="23" t="s">
        <v>864</v>
      </c>
      <c r="AK247" s="220" t="str">
        <f>IF(AND(AD247="",AE247="",AF247="",AG247="",AH247="",AI247="",AJ247=""),"",IF(OR(Tabla1[[#This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EVALUACIÓN",IF(AND(O247="",R247=""),"",IF(AND(OR(O247&gt;0,R247&gt;0),NG247&gt;=0,NG247&lt;2),"SIN RIESGO",IF(AND(OR(O247&gt;0,R247&gt;0),NG247&gt;=2),"CON RIESGO","ASD")))))</f>
        <v>SIN RIESGO</v>
      </c>
      <c r="AL247" s="26" t="s">
        <v>864</v>
      </c>
      <c r="AM247" s="26" t="s">
        <v>864</v>
      </c>
      <c r="AN247" s="26" t="s">
        <v>864</v>
      </c>
      <c r="AO247" s="26" t="s">
        <v>864</v>
      </c>
      <c r="AP247" s="26" t="s">
        <v>864</v>
      </c>
      <c r="AQ247" s="26" t="s">
        <v>864</v>
      </c>
      <c r="AR247" s="26" t="s">
        <v>864</v>
      </c>
      <c r="AS247" s="21">
        <v>2</v>
      </c>
      <c r="AT247" s="21">
        <v>2</v>
      </c>
      <c r="AU247" s="21">
        <v>0</v>
      </c>
      <c r="AV247" s="26" t="s">
        <v>864</v>
      </c>
      <c r="AW247" s="21">
        <v>0</v>
      </c>
      <c r="AX247" s="26" t="s">
        <v>864</v>
      </c>
      <c r="AY247" s="26" t="s">
        <v>864</v>
      </c>
      <c r="AZ247" s="26" t="s">
        <v>864</v>
      </c>
      <c r="BA247" s="26" t="s">
        <v>864</v>
      </c>
      <c r="BB247" s="26" t="s">
        <v>864</v>
      </c>
      <c r="BC247" s="26" t="s">
        <v>864</v>
      </c>
      <c r="BD247" s="26" t="s">
        <v>864</v>
      </c>
      <c r="BE247" s="26" t="s">
        <v>864</v>
      </c>
      <c r="BF247" s="26" t="s">
        <v>864</v>
      </c>
      <c r="BG247" s="26" t="s">
        <v>864</v>
      </c>
      <c r="BH247" s="26" t="s">
        <v>864</v>
      </c>
      <c r="BI247" s="26" t="s">
        <v>864</v>
      </c>
      <c r="BJ247" s="26" t="s">
        <v>864</v>
      </c>
      <c r="BK247" s="26" t="s">
        <v>864</v>
      </c>
      <c r="BL247" s="26" t="s">
        <v>864</v>
      </c>
      <c r="BM247" s="26" t="s">
        <v>864</v>
      </c>
      <c r="BN247" s="22"/>
      <c r="BO247" s="22">
        <v>45128</v>
      </c>
      <c r="BP247" s="21" t="s">
        <v>864</v>
      </c>
      <c r="BQ247" s="222">
        <f t="shared" si="842"/>
        <v>0</v>
      </c>
      <c r="BR247" s="223" t="str">
        <f t="shared" si="843"/>
        <v/>
      </c>
      <c r="BS247" s="224">
        <f t="shared" si="844"/>
        <v>5.1428571428571432</v>
      </c>
      <c r="BT247" s="216" t="str">
        <f t="shared" si="845"/>
        <v>DEFINIR CON ECO</v>
      </c>
      <c r="BU247" s="214">
        <f t="shared" ca="1" si="928"/>
        <v>14.857142857142858</v>
      </c>
      <c r="BV247" s="25"/>
      <c r="BW247" s="22"/>
      <c r="BX247" s="28"/>
      <c r="BY247" s="28"/>
      <c r="BZ247" s="22"/>
      <c r="CA247" s="21"/>
      <c r="CB247" s="26"/>
      <c r="CC247" s="26"/>
      <c r="CD247" s="26"/>
      <c r="CE247" s="26"/>
      <c r="CF247" s="22" t="s">
        <v>1517</v>
      </c>
      <c r="CG247" s="21">
        <v>1.44</v>
      </c>
      <c r="CH247" s="21">
        <v>57</v>
      </c>
      <c r="CI247" s="214">
        <f t="shared" si="847"/>
        <v>27.488425925925927</v>
      </c>
      <c r="CJ247" s="225" t="str">
        <f>IF(AND(CI247&lt;10,CH247="SD"),"SIN DATO PESO PREGESTACION O I TRIM",IF(AND(OR(R247&gt;0,O247&gt;0),CI247="X"),"INGRESAR DATO DE PESO",IF(CI247="SD","INGRESAR DATO DE TALLA Y PESO",IF(AND(OR(Tabla1[[#This Row],[MOMENTO EN QUE SE REALIZA EL PESO AL INGRESO A CPN]]="PREGESTACIÓN",NZ247="Menor"),CI247&lt;18.5),"BAJO PESO",IF(AND(OR(Tabla1[[#This Row],[MOMENTO EN QUE SE REALIZA EL PESO AL INGRESO A CPN]]="PREGESTACIÓN",NZ247="Menor"),CI247&lt;25),"NORMAL",IF(AND(OR(Tabla1[[#This Row],[MOMENTO EN QUE SE REALIZA EL PESO AL INGRESO A CPN]]="PREGESTACIÓN",NZ247="Menor"),CI247&lt;30),"SOBREPESO",IF(AND(OR(Tabla1[[#This Row],[MOMENTO EN QUE SE REALIZA EL PESO AL INGRESO A CPN]]="PREGESTACIÓN",NZ247="Menor"),CI247&gt;=30,CI247&lt;50),"OBESIDAD",IF(AND(BS247&gt;0,Tabla1[[#This Row],[MOMENTO EN QUE SE REALIZA EL PESO AL INGRESO A CPN]]="GESTACIÓN"),HLOOKUP(NZ247,$OA$2:PH247,NY247),""))))))))</f>
        <v>SOBREPESO</v>
      </c>
      <c r="CK247" s="212">
        <f t="shared" si="848"/>
        <v>45164</v>
      </c>
      <c r="CL247" s="21">
        <v>57</v>
      </c>
      <c r="CM247" s="214">
        <f t="shared" si="849"/>
        <v>27.488425925925927</v>
      </c>
      <c r="CN247" s="216">
        <f t="shared" si="850"/>
        <v>5</v>
      </c>
      <c r="CO247" s="216" t="e">
        <f>IF(PI247="","",IF(PI247&gt;0,HLOOKUP(PI247,$PJ$2:QQ247,NY247),""))</f>
        <v>#REF!</v>
      </c>
      <c r="CP247" s="21"/>
      <c r="CQ247" s="216" t="str">
        <f>IF(QR247="Menor","NO APLICA-MENOR 13 SEM",IF(AND(CC247="SI",CN247&gt;23),"NO APLICA- GEMELAR",IF(QR247="","",IF(QR247&gt;0,HLOOKUP(QR247,$QS$2:RU247,NY247),""))))</f>
        <v>NO APLICA-MENOR 13 SEM</v>
      </c>
      <c r="CR247" s="21"/>
      <c r="CS247" s="21"/>
      <c r="CT247" s="217" t="str">
        <f>IF(R247="","",IF(AND(BS247&gt;1,BS247&lt;12,Tabla1[[#This Row],[T.A. SISTOLICA - ANTES DE SEMANA 12]]="",Tabla1[[#This Row],[T.A. DIASTOLICA - ANTES DE SEMANA 12]]=""),"REGISTRE DATO TA ANTES SEMANA 12",IF(AND(BS247&gt;11,BS247&lt;43,Tabla1[[#This Row],[T.A. SISTOLICA - ANTES DE SEMANA 12]]="",Tabla1[[#This Row],[T.A. DIASTOLICA - ANTES DE SEMANA 12]]=""),"NO APLICA REGISTRO TA-INGRESO TARDIO",IF(AND(OR(O247&gt;0,R247&gt;0),OR(CR247&gt;=140,CS247&gt;=90)),"DEFINIR ESTADIO HTA",IF(AND(OR(O247&gt;0,R247&gt;0),AND(CR247&gt;120,CR247&lt;=139)),"PRE HTA SEGUIMIENTO",IF(AND(OR(O247&gt;0,R247&gt;0),AND(CS247&gt;80,CS247&lt;=89)),"PRE HTA SEGUIMIENTO",IF(AND(OR(O247&gt;0,R247&gt;0),AND(CR247&gt;=80,CR247&lt;=120)),"APARENTEMENTE NORMAL",IF(AND(OR(O247&gt;0,R247&gt;0),AND(CS247&gt;=50,CS247&lt;=80)),"APARENTEMENTE NORMAL",IF(AND(OR(O247&gt;0,R247&gt;0),AND(CR247&gt;1,CR247&lt;=70),AND(CS247&gt;1,CS247&lt;=40)),"HIPOTENSIÓN","")))))))))</f>
        <v>REGISTRE DATO TA ANTES SEMANA 12</v>
      </c>
      <c r="CU247" s="21"/>
      <c r="CV247" s="21"/>
      <c r="CW247" s="217" t="str">
        <f ca="1">IF(R247="","",IF(AND(CN247&gt;19,CN247&lt;27,Tabla1[[#This Row],[T.A. SISTOLICA (Entre semana 20 y 26)]]="",Tabla1[[#This Row],[T.A. DIATOLICA (Entre semana 20 y 26)]]=""),"ACUDE A CONTROL SEM 20 A 26 REGISTRE TA AHORA",IF(AND(BS247&gt;1,BS247&lt;27,BU247&gt;19,Tabla1[[#This Row],[T.A. SISTOLICA (Entre semana 20 y 26)]]="",Tabla1[[#This Row],[T.A. DIATOLICA (Entre semana 20 y 26)]]=""),"COMPLETE REGISTRO TA CONTROL SEM 20 A26 ",IF(AND(BS247&gt;26,BS247&lt;43,Tabla1[[#This Row],[T.A. SISTOLICA (Entre semana 20 y 26)]]="",Tabla1[[#This Row],[T.A. DIATOLICA (Entre semana 20 y 26)]]=""),"NO APLICA REGISTRO TA-INGRESO TARDIO",IF(AND(OR(O247&gt;0,R247&gt;0),OR(CU247&gt;=140,CV247&gt;=90)),"ALTO RIESGO PREECLAMPSIA,DEFINIR ESTADIO HTA",IF(AND(OR(O247&gt;0,R247&gt;0),AND(CU247&gt;120,CU247&lt;=139)),"PRE HTA SEGUIMIENTO,RIESGO HIPERTENSION INDUCIDA POR EL EMBARAZO",IF(AND(OR(O247&gt;0,R247&gt;0),AND(CV247&gt;80,CV247&lt;=89)),"PRE HTA SEGUIMIENTO, RIESGO HIPERTENSION INDUCIDA POR EL EMBARAZO",IF(AND(OR(O247&lt;&gt;"",R247&lt;&gt;""),CS247&lt;&gt;"",CV247&lt;&gt;"",CS247&lt;=CV247),"VIGILAR CIFRAS PRESION ARTERIAL",IF(AND(OR(O247&gt;0,R247&gt;0),AND(CU247&gt;120,CU247&lt;=139)),"PRE HTA SEGUIMIENTO",IF(AND(OR(O247&gt;0,R247&gt;0),AND(CU247&gt;1,CU247&lt;=70),AND(CV247&gt;1,CV247&lt;=40)),"HIPOTENSIÓN",IF(AND(OR(O247&lt;&gt;"",R247&lt;&gt;""),CS247&lt;&gt;"",CV247&lt;&gt;"",CS247&gt;CV247),"APARENTEMENTE NORMAL",IF(AND(OR(O247&gt;0,R247&gt;0),AND(CU247&gt;=80,CU247&lt;=120)),"APARENTEMENTE NORMAL",IF(AND(OR(O247&gt;0,R247&gt;0),AND(CV247&gt;=50,CV247&lt;=80)),"APARENTEMENTE NORMAL","")))))))))))))</f>
        <v/>
      </c>
      <c r="CX247" s="21"/>
      <c r="CY247" s="21"/>
      <c r="CZ247" s="216" t="str">
        <f t="shared" si="1045"/>
        <v/>
      </c>
      <c r="DA247" s="21">
        <v>98</v>
      </c>
      <c r="DB247" s="21">
        <v>60</v>
      </c>
      <c r="DC247" s="217" t="str">
        <f t="shared" si="851"/>
        <v>APARENTEMENTE NORMAL</v>
      </c>
      <c r="DD247" s="22">
        <v>45164</v>
      </c>
      <c r="DE247" s="22">
        <v>45164</v>
      </c>
      <c r="DF247" s="22"/>
      <c r="DG247" s="22"/>
      <c r="DH247" s="22"/>
      <c r="DI247" s="22"/>
      <c r="DJ247" s="22"/>
      <c r="DK247" s="22"/>
      <c r="DL247" s="22"/>
      <c r="DM247" s="22"/>
      <c r="DN247" s="22"/>
      <c r="DO247" s="22"/>
      <c r="DP247" s="22"/>
      <c r="DQ247" s="22"/>
      <c r="DR247" s="28"/>
      <c r="DS247" s="22"/>
      <c r="DT247" s="22"/>
      <c r="DU247" s="216" t="str">
        <f t="shared" ca="1" si="920"/>
        <v>EN ESPERA</v>
      </c>
      <c r="DV247" s="226" t="str">
        <f t="shared" si="921"/>
        <v>ACTIVA INGRESO A CPN</v>
      </c>
      <c r="DW24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47" s="216" t="e">
        <f t="shared" ca="1" si="852"/>
        <v>#REF!</v>
      </c>
      <c r="DY247" s="212">
        <f>IF(R247="","",IF(R247&gt;0,MAX(Tabla1[[#This Row],[FECHA C2]:[FECHA C13]],Tabla1[[#This Row],[FECHA CONSULTA PRIMERA VEZ PROGRAMA CPN ]])))</f>
        <v>45164</v>
      </c>
      <c r="DZ247" s="216">
        <f t="shared" si="853"/>
        <v>5</v>
      </c>
      <c r="EA247" s="222">
        <f>IF(R247&gt;0,SUM(COUNTA(DF247:DQ247)+COUNTA(Tabla1[[#This Row],[FECHA CONSULTA PRIMERA VEZ PROGRAMA CPN ]])),"")</f>
        <v>1</v>
      </c>
      <c r="EB247" s="222" t="str">
        <f t="shared" si="854"/>
        <v>NO</v>
      </c>
      <c r="EC247" s="214">
        <f t="shared" si="855"/>
        <v>10</v>
      </c>
      <c r="ED247" s="227">
        <f t="shared" si="856"/>
        <v>0.1</v>
      </c>
      <c r="EE247" s="22">
        <v>45164</v>
      </c>
      <c r="EF247" s="22"/>
      <c r="EG247" s="22">
        <v>45164</v>
      </c>
      <c r="EH247" s="22"/>
      <c r="EI247" s="22">
        <v>45164</v>
      </c>
      <c r="EJ247" s="22"/>
      <c r="EK247" s="22"/>
      <c r="EL247" s="21"/>
      <c r="EM247" s="21"/>
      <c r="EN247" s="22"/>
      <c r="EO247" s="222" t="str">
        <f t="shared" si="857"/>
        <v>TOMAR EXAMEN</v>
      </c>
      <c r="EP247" s="214" t="str">
        <f t="shared" si="858"/>
        <v/>
      </c>
      <c r="EQ247" s="216" t="str">
        <f t="shared" si="859"/>
        <v>POR DEFINIR</v>
      </c>
      <c r="ER247" s="24"/>
      <c r="ES247" s="22"/>
      <c r="ET247" s="29" t="str">
        <f t="shared" ca="1" si="922"/>
        <v>EN ESPERA PARA TOMA EXAMEN</v>
      </c>
      <c r="EU247" s="25" t="str">
        <f t="shared" si="860"/>
        <v/>
      </c>
      <c r="EV247" s="24"/>
      <c r="EW247" s="24"/>
      <c r="EX247" s="22"/>
      <c r="EY247" s="29" t="str">
        <f t="shared" si="1043"/>
        <v>TOMAR EXAMEN</v>
      </c>
      <c r="EZ247" s="25" t="str">
        <f t="shared" ca="1" si="1044"/>
        <v/>
      </c>
      <c r="FA247" s="21"/>
      <c r="FB247" s="22"/>
      <c r="FC247" s="29" t="str">
        <f t="shared" si="861"/>
        <v>TOMAR EXAMEN</v>
      </c>
      <c r="FD247" s="29"/>
      <c r="FE247" s="29"/>
      <c r="FF247" s="29"/>
      <c r="FG247" s="21" t="str">
        <f t="shared" ca="1" si="862"/>
        <v/>
      </c>
      <c r="FH247" s="31"/>
      <c r="FI247" s="29" t="str">
        <f t="shared" si="863"/>
        <v>TOMAR EXAMEN</v>
      </c>
      <c r="FJ247" s="22"/>
      <c r="FK247" s="22"/>
      <c r="FL247" s="29" t="str">
        <f t="shared" ca="1" si="864"/>
        <v>PIERDE TOMA DE TAMIZAJE</v>
      </c>
      <c r="FM247" s="22"/>
      <c r="FN247" s="32"/>
      <c r="FO247" s="29" t="str">
        <f t="shared" ca="1" si="923"/>
        <v>EN RANGO PARA TOMAR EXAMEN</v>
      </c>
      <c r="FP247" s="22"/>
      <c r="FQ247" s="32"/>
      <c r="FR247" s="29" t="str">
        <f t="shared" ca="1" si="924"/>
        <v>EN ESPERA-ESTÁ I TRIM O II TRIM</v>
      </c>
      <c r="FS247" s="22"/>
      <c r="FT247" s="32"/>
      <c r="FU247" s="29" t="str">
        <f>IF(AND(FJ247="",FM247="",FP247="",FS247=""),"",IF(OR(OR(Tabla1[[#This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47" s="28"/>
      <c r="FW247" s="22"/>
      <c r="FX247" s="29" t="str">
        <f t="shared" si="865"/>
        <v>TOMAR EXAMEN</v>
      </c>
      <c r="FY247" s="22"/>
      <c r="FZ247" s="22"/>
      <c r="GA247" s="29" t="str">
        <f t="shared" ref="GA247" ca="1" si="1052">IF(AND(BT247="ERROR FUM O INGRESO",FZ247&gt;0),"ERROR FUM O INGRESO",IF(AND(FZ247="",R247="",O247=""),"",IF(OR(AND(FZ247&lt;&gt;"",FZ247&lt;RW247),AND(FZ247&lt;&gt;"",AND(SUM((FZ247-RW247)/7)&gt;=13,SUM((FZ247-RW247)/7)&lt;27))),"REGISTRAR EN II TRIMESTRE",IF(OR(AND(FZ247&lt;&gt;"",FZ247&lt;RW247),AND(FZ247&lt;&gt;"",AND(SUM((FZ247-RW247)/7)&gt;=27,SUM((FZ247-RW247)/7)&lt;44))),"REGISTRAR EN III TRIMESTRE",IF(AND(FZ247="",OR(O247&gt;0,R247&gt;0),AND(BU247&gt;1,BU247&lt;10)),"EN RANGO PARA TOMAR EXAMEN",IF(AND(FZ247="",OR(O247&gt;0,R247&gt;0),AND(BU247&gt;=10,BU247&lt;12)),"TOMA INMEDIATA DE TAMIZAJE",IF(AND(FZ247="",BS247&lt;12,OR(O247&gt;0,R247&gt;0)),"PIERDE TOMA DE TAMIZAJE",IF(AND(FZ247="",OR(O247&gt;0,R247&gt;0),AND(BS247&gt;=13,BS247&lt;44)),"NO APLICA-INGRESO TARDIO",IF(FZ247&gt;0,SUM(FZ247-RW247)/7,"")))))))))</f>
        <v>PIERDE TOMA DE TAMIZAJE</v>
      </c>
      <c r="GB247" s="22"/>
      <c r="GC247" s="22"/>
      <c r="GD247" s="29" t="str">
        <f t="shared" ca="1" si="1048"/>
        <v>EN RANGO PARA TOMAR EXAMEN</v>
      </c>
      <c r="GE247" s="22"/>
      <c r="GF247" s="22"/>
      <c r="GG247" s="29" t="str">
        <f t="shared" ca="1" si="926"/>
        <v>EN ESPERA-ESTÁ I TRIM O II TRIM</v>
      </c>
      <c r="GH247" s="22"/>
      <c r="GI247" s="29"/>
      <c r="GJ247" s="22"/>
      <c r="GK247" s="22"/>
      <c r="GL247" s="22"/>
      <c r="GM247" s="22"/>
      <c r="GN247" s="28"/>
      <c r="GO247" s="22"/>
      <c r="GP247" s="29" t="str">
        <f t="shared" si="866"/>
        <v>TOMAR EXAMEN</v>
      </c>
      <c r="GQ247" s="28"/>
      <c r="GR247" s="28"/>
      <c r="GS247" s="22" t="str">
        <f t="shared" si="1047"/>
        <v/>
      </c>
      <c r="GT247" s="22"/>
      <c r="GU247" s="29" t="str">
        <f t="shared" si="867"/>
        <v>TOMAR EXAMEN</v>
      </c>
      <c r="GV247" s="21" t="str">
        <f t="shared" si="868"/>
        <v>POR DEFINIR</v>
      </c>
      <c r="GW247" s="28"/>
      <c r="GX247" s="30"/>
      <c r="GY247" s="21"/>
      <c r="GZ247" s="21"/>
      <c r="HA247" s="21"/>
      <c r="HB247" s="21"/>
      <c r="HC247" s="21"/>
      <c r="HD247" s="21"/>
      <c r="HE247" s="21"/>
      <c r="HF247" s="22"/>
      <c r="HG247" s="22" t="str">
        <f>IF(OR(O247&gt;0,R247&gt;0),CONCATENATE(IF(Tabla1[[#This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47" s="22" t="e">
        <f t="shared" si="869"/>
        <v>#REF!</v>
      </c>
      <c r="HI247" s="22" t="e">
        <f t="shared" ca="1" si="870"/>
        <v>#REF!</v>
      </c>
      <c r="HJ247" s="21" t="str">
        <f t="shared" ca="1" si="871"/>
        <v>************************RIESGO POR EDAD***************</v>
      </c>
      <c r="HK247" s="21" t="str">
        <f t="shared" si="872"/>
        <v>SIN ANTECEDENTES DE RIESGO</v>
      </c>
      <c r="HL247" s="24" t="str">
        <f t="shared" si="873"/>
        <v>APARENTEMENTE NORMAL</v>
      </c>
      <c r="HM247" s="21" t="e">
        <f t="shared" ca="1" si="874"/>
        <v>#REF!</v>
      </c>
      <c r="HN247" s="30" t="str">
        <f t="shared" si="927"/>
        <v>ACTIVA INGRESO A CPN</v>
      </c>
      <c r="HO247" s="21"/>
      <c r="HP247" s="21"/>
      <c r="HQ247" s="349"/>
      <c r="HR247" s="21" t="str">
        <f>IF(R247="","",IF(Tabla1[[#This Row],[ALARMA FACTORES DE RIESGO COMPLICACIONES HIPERTENSIVAS3]]="SIN ANTECEDENTES DE RIESGO","No Aplica para suministro de ASA",IF(AND(Tabla1[[#This Row],[FECHA INICIO DE SUMINISTRO DE ASA]]&gt;0,RV247&lt;12),"Inicia ASA ANTES de Sem 12",IF(AND(RV247&gt;11,RV247&lt;17,OR(HK247="RIESGO ALTO DE COMPLICACIONES HIPERTENSIVAS VER MANEJO GUIA SUMINISTRO ASA Y CALCIO",HK247="RIESGO MODERADO (2 O MAS CRITERIOS) VER MANEJO GUIA SUMINISTRO ASA Y CALCIO")),"Inicio oportuno de ASA",IF(AND(RV247&gt;12,OR(HK247="RIESGO ALTO DE COMPLICACIONES HIPERTENSIVAS VER MANEJO GUIA SUMINISTRO ASA Y CALCIO",HK247="RIESGO MODERADO (2 O MAS CRITERIOS) VER MANEJO GUIA SUMINISTRO ASA Y CALCIO")),"Inicio no oportuno mayor a 16 semanas",IF(AND(BU247&lt;12,OR(HK247="RIESGO ALTO DE COMPLICACIONES HIPERTENSIVAS VER MANEJO GUIA SUMINISTRO ASA Y CALCIO",HK247="RIESGO MODERADO (2 O MAS CRITERIOS) VER MANEJO GUIA SUMINISTRO ASA Y CALCIO")),"Pendiente Inicio de ASA a la semana 12",IF(AND(BU247&gt;11,BU247&lt;17,OR(HK247="RIESGO ALTO DE COMPLICACIONES HIPERTENSIVAS VER MANEJO GUIA SUMINISTRO ASA Y CALCIO",HK247="RIESGO MODERADO (2 O MAS CRITERIOS) VER MANEJO GUIA SUMINISTRO ASA Y CALCIO")),"Iniciar de inmediato ASA",IF(AND(BU247&gt;16,OR(HK247="RIESGO ALTO DE COMPLICACIONES HIPERTENSIVAS VER MANEJO GUIA SUMINISTRO ASA Y CALCIO",HK247="RIESGO MODERADO (2 O MAS CRITERIOS) VER MANEJO GUIA SUMINISTRO ASA Y CALCIO")),"Pierde Oportunidad, Inicio tardío de ASA","XXXXX"))))))))</f>
        <v>No Aplica para suministro de ASA</v>
      </c>
      <c r="HS247" s="22"/>
      <c r="HT247" s="22"/>
      <c r="HU247" s="22">
        <v>45164</v>
      </c>
      <c r="HV247" s="22" t="s">
        <v>1544</v>
      </c>
      <c r="HW247" s="22">
        <v>45164</v>
      </c>
      <c r="HX247" s="22" t="s">
        <v>1511</v>
      </c>
      <c r="HY247" s="22"/>
      <c r="HZ247" s="28" t="str">
        <f t="shared" si="875"/>
        <v>PENDIENTE CONSULTA</v>
      </c>
      <c r="IA247" s="26"/>
      <c r="IB247" s="26"/>
      <c r="IC247" s="111"/>
      <c r="ID247" s="22"/>
      <c r="IE247" s="22" t="str">
        <f t="shared" ca="1" si="876"/>
        <v>EN ESPERA PARA VACUNAR</v>
      </c>
      <c r="IF247" s="22"/>
      <c r="IG247" s="22">
        <f t="shared" si="877"/>
        <v>45408</v>
      </c>
      <c r="IH247" s="29">
        <f t="shared" ca="1" si="878"/>
        <v>176</v>
      </c>
      <c r="II247" s="22" t="str">
        <f t="shared" ca="1" si="879"/>
        <v>PENDIENTE</v>
      </c>
      <c r="IJ247" s="22"/>
      <c r="IK247" s="21"/>
      <c r="IL247" s="21"/>
      <c r="IM247" s="34"/>
      <c r="IN247" s="22"/>
      <c r="IO247" s="21"/>
      <c r="IP247" s="29" t="str">
        <f t="shared" si="880"/>
        <v/>
      </c>
      <c r="IQ247" s="35"/>
      <c r="IR247" s="21"/>
      <c r="IS247" s="21"/>
      <c r="IT247" s="21"/>
      <c r="IU247" s="21"/>
      <c r="IV247" s="21"/>
      <c r="IW247" s="21"/>
      <c r="IX247" s="21"/>
      <c r="IY247" s="21"/>
      <c r="IZ247" s="21"/>
      <c r="JA247" s="21"/>
      <c r="JB247" s="30"/>
      <c r="JC247" s="21"/>
      <c r="JD247" s="36"/>
      <c r="JE247" s="21" t="str">
        <f t="shared" si="881"/>
        <v/>
      </c>
      <c r="JF247" s="30"/>
      <c r="JG247" s="21"/>
      <c r="JH247" s="21"/>
      <c r="JI247" s="21"/>
      <c r="JJ247" s="30"/>
      <c r="JK247" s="22"/>
      <c r="JL247" s="22"/>
      <c r="JM247" s="21"/>
      <c r="JN247" s="36"/>
      <c r="JO247" s="21" t="str">
        <f t="shared" si="882"/>
        <v/>
      </c>
      <c r="JP247" s="22"/>
      <c r="JQ247" s="21"/>
      <c r="JR247" s="21"/>
      <c r="JS247" s="21"/>
      <c r="JT247" s="30"/>
      <c r="JU247" s="22"/>
      <c r="JV247" s="22"/>
      <c r="JW247" s="33"/>
      <c r="JX247" s="28" t="str">
        <f t="shared" si="883"/>
        <v/>
      </c>
      <c r="JY247" s="159"/>
      <c r="JZ247" s="28" t="str">
        <f t="shared" si="884"/>
        <v/>
      </c>
      <c r="KA247" s="21"/>
      <c r="KB247" s="21"/>
      <c r="KC247" s="21"/>
      <c r="KD247" s="37"/>
      <c r="KE247" s="28"/>
      <c r="KF247" s="28"/>
      <c r="KG247" s="28"/>
      <c r="KH247" s="39"/>
      <c r="KI247" s="39"/>
      <c r="KJ247" s="66"/>
      <c r="KK247" s="39"/>
      <c r="KL247" s="39"/>
      <c r="KM247" s="66"/>
      <c r="KN247" s="39"/>
      <c r="KO247" s="39"/>
      <c r="KP247" s="39"/>
      <c r="KQ247" s="39"/>
      <c r="KR247" s="39"/>
      <c r="KS247" s="39"/>
      <c r="KT247" s="39"/>
      <c r="KU247" s="38"/>
      <c r="KV247" s="38"/>
      <c r="KW247" s="38"/>
      <c r="KX247" s="38"/>
      <c r="KY247" s="38"/>
      <c r="KZ247" s="38"/>
      <c r="LA247" s="38"/>
      <c r="LB247" s="38"/>
      <c r="LC247" s="38"/>
      <c r="LD247" s="38"/>
      <c r="LE247" s="38"/>
      <c r="LF247" s="38"/>
      <c r="LG247" s="38"/>
      <c r="LH247" s="38"/>
      <c r="LI247" s="38"/>
      <c r="LJ247" s="38"/>
      <c r="LK247" s="38"/>
      <c r="LL247" s="38"/>
      <c r="LM247" s="38"/>
      <c r="LN247" s="38"/>
      <c r="LO247" s="38"/>
      <c r="LP247" s="38"/>
      <c r="LQ247" s="38"/>
      <c r="LR247" s="38"/>
      <c r="LS247" s="38"/>
      <c r="LT247" s="38"/>
      <c r="LU247" s="38"/>
      <c r="LV247" s="38"/>
      <c r="LW247" s="38"/>
      <c r="LX247" s="38"/>
      <c r="LY247" s="38"/>
      <c r="LZ247" s="38"/>
      <c r="MA247" s="38"/>
      <c r="MB247" s="38"/>
      <c r="MC247" s="38"/>
      <c r="MD247" s="38"/>
      <c r="ME247" s="38"/>
      <c r="MF247" s="38"/>
      <c r="MG247" s="38"/>
      <c r="MH247" s="43">
        <f t="shared" si="885"/>
        <v>0</v>
      </c>
      <c r="MI247" s="43" t="str">
        <f t="shared" si="929"/>
        <v/>
      </c>
      <c r="MJ247" s="43" t="str">
        <f t="shared" si="887"/>
        <v/>
      </c>
      <c r="MK247" s="43">
        <f t="shared" si="888"/>
        <v>0</v>
      </c>
      <c r="ML24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47" s="43">
        <f t="shared" si="930"/>
        <v>5.1428571428571432</v>
      </c>
      <c r="MN247" s="43">
        <f t="shared" si="931"/>
        <v>8</v>
      </c>
      <c r="MO247" s="43">
        <f t="shared" si="932"/>
        <v>2023</v>
      </c>
      <c r="MP247" s="43" t="str">
        <f t="shared" si="892"/>
        <v>III TRIMESTRE AÑO</v>
      </c>
      <c r="MQ247" s="43">
        <f t="shared" si="933"/>
        <v>40.2814279456855</v>
      </c>
      <c r="MR247" s="43">
        <f t="shared" si="894"/>
        <v>2</v>
      </c>
      <c r="MS247" s="43" t="str">
        <f t="shared" si="895"/>
        <v xml:space="preserve"> DE 40 Y MAS</v>
      </c>
      <c r="MT247" s="43">
        <f t="shared" si="896"/>
        <v>0</v>
      </c>
      <c r="MU247" s="43">
        <f t="shared" si="897"/>
        <v>0</v>
      </c>
      <c r="MV247" s="43">
        <f t="shared" si="898"/>
        <v>0</v>
      </c>
      <c r="MW247" s="43">
        <f t="shared" si="899"/>
        <v>0</v>
      </c>
      <c r="MX247" s="43" t="str">
        <f t="shared" si="900"/>
        <v/>
      </c>
      <c r="MY247" s="43" t="str">
        <f t="shared" ca="1" si="901"/>
        <v/>
      </c>
      <c r="MZ247" s="43" t="str">
        <f t="shared" si="902"/>
        <v/>
      </c>
      <c r="NA247" s="43" t="str">
        <f t="shared" si="903"/>
        <v/>
      </c>
      <c r="NB247" s="43" t="str">
        <f t="shared" si="904"/>
        <v/>
      </c>
      <c r="NC247" s="43" t="str">
        <f t="shared" si="905"/>
        <v/>
      </c>
      <c r="ND247" s="43">
        <f t="shared" ca="1" si="934"/>
        <v>2</v>
      </c>
      <c r="NE247" s="43">
        <f>IF(OR(O247&gt;0,R247&gt;0),SUM(COUNTIF(Tabla1[[#This Row],[AÑOS AL INICIO5 CPN]],"&gt;=40"),COUNTIF(AS247,"0"),COUNTIF(AR247,"SI"),COUNTIF(CC247,"SI"),COUNTIF(BQ247,"&gt;119"),COUNTIF(CI247,"&gt;=35")),"")</f>
        <v>1</v>
      </c>
      <c r="NF247" s="43" t="str">
        <f t="shared" si="935"/>
        <v/>
      </c>
      <c r="NG247" s="43">
        <f t="shared" si="908"/>
        <v>0</v>
      </c>
      <c r="NH247" s="43" t="str">
        <f t="shared" si="909"/>
        <v/>
      </c>
      <c r="NI24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CPN",P247="NO"),"Z",IF(AND(Tabla1[[#This Row],[CITA PROXIMO CONTROL]]="CITA MANUAL",Tabla1[[#This Row],[GESTANTES ACTUALES]]="ACTIVA INGRESO A CPN"),"W",IF(AND(Tabla1[[#This Row],[GESTANTES ACTUALES]]="SALIO PROGRAMA",IN247=""),"S",IF(AND(Tabla1[[#This Row],[CITA PROXIMO CONTROL]]&gt;0,IN247=""),(Tabla1[[#This Row],[CITA PROXIMO CONTROL]]-TODAY()),"SD"))))))))</f>
        <v>#REF!</v>
      </c>
      <c r="NJ247" s="43">
        <f>MONTH(Tabla1[[#This Row],[FECHA DE SALIDA  DEL PROGRAMA]])</f>
        <v>1</v>
      </c>
      <c r="NK247" s="43">
        <f>YEAR(Tabla1[[#This Row],[FECHA DE SALIDA  DEL PROGRAMA]])</f>
        <v>1900</v>
      </c>
      <c r="NL247" s="43" t="str">
        <f t="shared" si="936"/>
        <v>X</v>
      </c>
      <c r="NM247" s="43" t="str">
        <f t="shared" si="941"/>
        <v>NO</v>
      </c>
      <c r="NN247" s="43" t="str">
        <f ca="1">IF(AND(O247&gt;0,R247=""),"NO CPN",IF(AND(O247="",R247=""),"",IF(AND(R247&gt;0,Tabla1[[#This Row],[SEMANAS DE GESTACION ACTUALIZADAS]]&lt;=12),"NO APLICA",IF(AND(FH247&lt;&gt;"",FN247&lt;&gt;""),"SI","NO"))))</f>
        <v>NO</v>
      </c>
      <c r="NO247" s="43" t="str">
        <f ca="1">IF(AND(O247&gt;0,R247=""),"NO CPN",IF(AND(O247="",R247=""),"",IF(AND(R247&gt;0,Tabla1[[#This Row],[SEMANAS DE GESTACION ACTUALIZADAS]]&lt;=27),"NO APLICA",IF(AND(ES247&lt;&gt;"",FQ247&lt;&gt;"",GF247&lt;&gt;""),"SI","NO"))))</f>
        <v>NO APLICA</v>
      </c>
      <c r="NP247" s="204" t="str">
        <f t="shared" si="912"/>
        <v>DEFINIR CON ECO</v>
      </c>
      <c r="NQ247" s="21" t="str">
        <f t="shared" si="1046"/>
        <v/>
      </c>
      <c r="NR247" s="21">
        <f t="shared" ca="1" si="937"/>
        <v>2</v>
      </c>
      <c r="NS247" s="205">
        <f t="shared" ca="1" si="914"/>
        <v>0</v>
      </c>
      <c r="NT247" s="21">
        <f t="shared" ca="1" si="915"/>
        <v>0</v>
      </c>
      <c r="NU247" s="21" t="str">
        <f t="shared" ca="1" si="916"/>
        <v>INCOMPLETO</v>
      </c>
      <c r="NV247" s="21" t="str">
        <f t="shared" ca="1" si="917"/>
        <v>INCOMPLETO</v>
      </c>
      <c r="NW247" s="206" t="str">
        <f>IF(AND(O247="",R247=""),"",IF(OR(AND(Tabla1[[#This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47" s="207" t="str">
        <f t="shared" ca="1" si="938"/>
        <v>SIN VACUNAR</v>
      </c>
      <c r="NY247" s="43">
        <f>ROW(Tabla1[[#This Row],['# DE TAMIZAJES SIFILIS TOMADOS ]])</f>
        <v>247</v>
      </c>
      <c r="NZ247" s="43" t="str">
        <f t="shared" si="942"/>
        <v>Menor</v>
      </c>
      <c r="OA247" s="43" t="str">
        <f t="shared" si="943"/>
        <v>SOBREPESO</v>
      </c>
      <c r="OB247" s="43" t="str">
        <f t="shared" si="944"/>
        <v/>
      </c>
      <c r="OC247" s="43" t="str">
        <f t="shared" si="945"/>
        <v/>
      </c>
      <c r="OD247" s="43" t="str">
        <f t="shared" si="946"/>
        <v/>
      </c>
      <c r="OE247" s="43" t="str">
        <f t="shared" si="947"/>
        <v/>
      </c>
      <c r="OF247" s="43" t="str">
        <f t="shared" si="948"/>
        <v/>
      </c>
      <c r="OG247" s="43" t="str">
        <f t="shared" si="949"/>
        <v/>
      </c>
      <c r="OH247" s="43" t="str">
        <f t="shared" si="950"/>
        <v/>
      </c>
      <c r="OI247" s="43" t="str">
        <f t="shared" si="951"/>
        <v/>
      </c>
      <c r="OJ247" s="43" t="str">
        <f t="shared" si="952"/>
        <v/>
      </c>
      <c r="OK247" s="43" t="str">
        <f t="shared" si="953"/>
        <v/>
      </c>
      <c r="OL247" s="43" t="str">
        <f t="shared" si="954"/>
        <v/>
      </c>
      <c r="OM247" s="43" t="str">
        <f t="shared" si="955"/>
        <v/>
      </c>
      <c r="ON247" s="43" t="str">
        <f t="shared" si="956"/>
        <v/>
      </c>
      <c r="OO247" s="43" t="str">
        <f t="shared" si="957"/>
        <v/>
      </c>
      <c r="OP247" s="43" t="str">
        <f t="shared" si="958"/>
        <v/>
      </c>
      <c r="OQ247" s="43" t="str">
        <f t="shared" si="959"/>
        <v/>
      </c>
      <c r="OR247" s="43" t="str">
        <f t="shared" si="960"/>
        <v/>
      </c>
      <c r="OS247" s="43" t="str">
        <f t="shared" si="961"/>
        <v/>
      </c>
      <c r="OT247" s="43" t="str">
        <f t="shared" si="962"/>
        <v/>
      </c>
      <c r="OU247" s="43" t="str">
        <f t="shared" si="963"/>
        <v/>
      </c>
      <c r="OV247" s="110" t="str">
        <f t="shared" si="964"/>
        <v/>
      </c>
      <c r="OW247" s="43" t="str">
        <f t="shared" si="965"/>
        <v/>
      </c>
      <c r="OX247" s="43" t="str">
        <f t="shared" si="966"/>
        <v/>
      </c>
      <c r="OY247" s="43" t="str">
        <f t="shared" si="967"/>
        <v/>
      </c>
      <c r="OZ247" s="43" t="str">
        <f t="shared" si="968"/>
        <v/>
      </c>
      <c r="PA247" s="43" t="str">
        <f t="shared" si="969"/>
        <v/>
      </c>
      <c r="PB247" s="43" t="str">
        <f t="shared" si="970"/>
        <v/>
      </c>
      <c r="PC247" s="43" t="str">
        <f t="shared" si="971"/>
        <v/>
      </c>
      <c r="PD247" s="43" t="str">
        <f t="shared" si="972"/>
        <v/>
      </c>
      <c r="PE247" s="43" t="str">
        <f t="shared" si="973"/>
        <v/>
      </c>
      <c r="PF247" s="43" t="str">
        <f t="shared" si="974"/>
        <v/>
      </c>
      <c r="PG247" s="43" t="str">
        <f t="shared" si="975"/>
        <v/>
      </c>
      <c r="PH247" s="43" t="str">
        <f t="shared" si="976"/>
        <v/>
      </c>
      <c r="PI247" s="43" t="str">
        <f t="shared" si="977"/>
        <v>Menor</v>
      </c>
      <c r="PJ247" s="43" t="str">
        <f t="shared" si="978"/>
        <v>SOBREPESO</v>
      </c>
      <c r="PK247" s="43" t="str">
        <f t="shared" si="979"/>
        <v/>
      </c>
      <c r="PL247" s="43" t="str">
        <f t="shared" si="980"/>
        <v/>
      </c>
      <c r="PM247" s="43" t="str">
        <f t="shared" si="981"/>
        <v/>
      </c>
      <c r="PN247" s="43" t="str">
        <f t="shared" si="982"/>
        <v/>
      </c>
      <c r="PO247" s="43" t="str">
        <f t="shared" si="983"/>
        <v/>
      </c>
      <c r="PP247" s="43" t="str">
        <f t="shared" si="984"/>
        <v/>
      </c>
      <c r="PQ247" s="43" t="str">
        <f t="shared" si="985"/>
        <v/>
      </c>
      <c r="PR247" s="43" t="str">
        <f t="shared" si="986"/>
        <v/>
      </c>
      <c r="PS247" s="43" t="str">
        <f t="shared" si="987"/>
        <v/>
      </c>
      <c r="PT247" s="43" t="str">
        <f t="shared" si="988"/>
        <v/>
      </c>
      <c r="PU247" s="43" t="str">
        <f t="shared" si="989"/>
        <v/>
      </c>
      <c r="PV247" s="43" t="str">
        <f t="shared" si="990"/>
        <v/>
      </c>
      <c r="PW247" s="43" t="str">
        <f t="shared" si="991"/>
        <v/>
      </c>
      <c r="PX247" s="43" t="str">
        <f t="shared" si="992"/>
        <v/>
      </c>
      <c r="PY247" s="43" t="str">
        <f t="shared" si="993"/>
        <v/>
      </c>
      <c r="PZ247" s="43" t="str">
        <f t="shared" si="994"/>
        <v/>
      </c>
      <c r="QA247" s="43" t="str">
        <f t="shared" si="995"/>
        <v/>
      </c>
      <c r="QB247" s="43" t="str">
        <f t="shared" si="996"/>
        <v/>
      </c>
      <c r="QC247" s="43" t="str">
        <f t="shared" si="997"/>
        <v/>
      </c>
      <c r="QD247" s="43" t="str">
        <f t="shared" si="998"/>
        <v/>
      </c>
      <c r="QE247" s="43" t="str">
        <f t="shared" si="999"/>
        <v/>
      </c>
      <c r="QF247" s="43" t="str">
        <f t="shared" si="1000"/>
        <v/>
      </c>
      <c r="QG247" s="43" t="str">
        <f t="shared" si="1001"/>
        <v/>
      </c>
      <c r="QH247" s="43" t="str">
        <f t="shared" si="1002"/>
        <v/>
      </c>
      <c r="QI247" s="43" t="str">
        <f t="shared" si="1003"/>
        <v/>
      </c>
      <c r="QJ247" s="43" t="str">
        <f t="shared" si="1004"/>
        <v/>
      </c>
      <c r="QK247" s="43" t="str">
        <f t="shared" si="1005"/>
        <v/>
      </c>
      <c r="QL247" s="43" t="str">
        <f t="shared" si="1006"/>
        <v/>
      </c>
      <c r="QM247" s="43" t="str">
        <f t="shared" si="1007"/>
        <v/>
      </c>
      <c r="QN247" s="43" t="str">
        <f t="shared" si="1008"/>
        <v/>
      </c>
      <c r="QO247" s="43" t="str">
        <f t="shared" si="1009"/>
        <v/>
      </c>
      <c r="QP247" s="43" t="str">
        <f t="shared" si="1010"/>
        <v/>
      </c>
      <c r="QQ247" s="43" t="str">
        <f t="shared" si="1011"/>
        <v/>
      </c>
      <c r="QR247" s="43" t="str">
        <f t="shared" si="1012"/>
        <v>Menor</v>
      </c>
      <c r="QS247" s="43"/>
      <c r="QT247" s="21" t="str">
        <f t="shared" si="1013"/>
        <v/>
      </c>
      <c r="QU247" s="21" t="str">
        <f t="shared" si="1014"/>
        <v/>
      </c>
      <c r="QV247" s="21" t="str">
        <f t="shared" si="1015"/>
        <v/>
      </c>
      <c r="QW247" s="21" t="str">
        <f t="shared" si="1016"/>
        <v/>
      </c>
      <c r="QX247" s="21" t="str">
        <f t="shared" si="1017"/>
        <v/>
      </c>
      <c r="QY247" s="21" t="str">
        <f t="shared" si="1018"/>
        <v/>
      </c>
      <c r="QZ247" s="21" t="str">
        <f t="shared" si="1019"/>
        <v/>
      </c>
      <c r="RA247" s="21" t="str">
        <f t="shared" si="1020"/>
        <v/>
      </c>
      <c r="RB247" s="21" t="str">
        <f t="shared" si="1021"/>
        <v/>
      </c>
      <c r="RC247" s="21" t="str">
        <f t="shared" si="1022"/>
        <v/>
      </c>
      <c r="RD247" s="21" t="str">
        <f t="shared" si="1023"/>
        <v/>
      </c>
      <c r="RE247" s="21" t="str">
        <f t="shared" si="1024"/>
        <v/>
      </c>
      <c r="RF247" s="21" t="str">
        <f t="shared" si="1025"/>
        <v/>
      </c>
      <c r="RG247" s="21" t="str">
        <f t="shared" si="1026"/>
        <v/>
      </c>
      <c r="RH247" s="21" t="str">
        <f t="shared" si="1027"/>
        <v/>
      </c>
      <c r="RI247" s="21" t="str">
        <f t="shared" si="1028"/>
        <v/>
      </c>
      <c r="RJ247" s="21" t="str">
        <f t="shared" si="1029"/>
        <v/>
      </c>
      <c r="RK247" s="21" t="str">
        <f t="shared" si="1030"/>
        <v/>
      </c>
      <c r="RL247" s="21" t="str">
        <f t="shared" si="1031"/>
        <v/>
      </c>
      <c r="RM247" s="21" t="str">
        <f t="shared" si="1032"/>
        <v/>
      </c>
      <c r="RN247" s="21" t="str">
        <f t="shared" si="1033"/>
        <v/>
      </c>
      <c r="RO247" s="21" t="str">
        <f t="shared" si="1034"/>
        <v/>
      </c>
      <c r="RP247" s="21" t="str">
        <f t="shared" si="1035"/>
        <v/>
      </c>
      <c r="RQ247" s="21" t="str">
        <f t="shared" si="1036"/>
        <v/>
      </c>
      <c r="RR247" s="21" t="str">
        <f t="shared" si="1037"/>
        <v/>
      </c>
      <c r="RS247" s="21" t="str">
        <f t="shared" si="1038"/>
        <v/>
      </c>
      <c r="RT247" s="21" t="str">
        <f t="shared" si="1039"/>
        <v/>
      </c>
      <c r="RU247" s="21" t="str">
        <f t="shared" si="1040"/>
        <v/>
      </c>
      <c r="RV247" s="21">
        <f t="shared" si="1041"/>
        <v>-1</v>
      </c>
      <c r="RW247" s="284">
        <f>IF(OR(Tabla1[[#This Row],[FUM FORMULA CONFIABLE]]="",Tabla1[[#This Row],[FUM FORMULA CONFIABLE]]="SD"),"",IF(Tabla1[[#This Row],[FUM FORMULA CONFIABLE]]="CORREGIDA",Tabla1[[#This Row],[FUM X ECO 1]],Tabla1[[#This Row],[FUM x AMENORREA]]))</f>
        <v>45128</v>
      </c>
      <c r="RX247" s="21" t="str">
        <f>IF(AND(Tabla1[[#This Row],[FUM X ECO 1]]="",Tabla1[[#This Row],[FUM x AMENORREA]]=""),"",IF(AND(Tabla1[[#This Row],[FUM X ECO 1]]="",Tabla1[[#This Row],[FUM x AMENORREA]]&lt;&gt;""),"X",SUM(Tabla1[[#This Row],[FUM X ECO 1]]-Tabla1[[#This Row],[FUM x AMENORREA]])))</f>
        <v>X</v>
      </c>
      <c r="RY247" s="21" t="str">
        <f t="shared" si="1042"/>
        <v>x</v>
      </c>
    </row>
    <row r="248" spans="1:493" ht="45" customHeight="1" x14ac:dyDescent="0.25">
      <c r="A248" s="109"/>
      <c r="B248" s="43"/>
      <c r="C248" s="43" t="s">
        <v>845</v>
      </c>
      <c r="D248" s="124"/>
      <c r="E248" s="43" t="s">
        <v>848</v>
      </c>
      <c r="F248" s="43" t="s">
        <v>914</v>
      </c>
      <c r="G248" s="43" t="s">
        <v>1683</v>
      </c>
      <c r="H248" s="43"/>
      <c r="I248" s="109" t="s">
        <v>851</v>
      </c>
      <c r="J248" s="343" t="s">
        <v>1682</v>
      </c>
      <c r="K248" s="43" t="s">
        <v>852</v>
      </c>
      <c r="L248" s="175" t="s">
        <v>1509</v>
      </c>
      <c r="M248" s="22">
        <v>39320</v>
      </c>
      <c r="N248" s="213">
        <f t="shared" ca="1" si="841"/>
        <v>16.197260273972603</v>
      </c>
      <c r="O248" s="22">
        <v>45164</v>
      </c>
      <c r="P248" s="214" t="str">
        <f t="shared" si="919"/>
        <v>SI</v>
      </c>
      <c r="Q248" s="26" t="s">
        <v>855</v>
      </c>
      <c r="R248" s="22">
        <v>45164</v>
      </c>
      <c r="S248" s="21" t="s">
        <v>856</v>
      </c>
      <c r="T248" s="24" t="s">
        <v>690</v>
      </c>
      <c r="U248" s="21" t="s">
        <v>857</v>
      </c>
      <c r="V248" s="21" t="s">
        <v>858</v>
      </c>
      <c r="W248" s="21" t="s">
        <v>999</v>
      </c>
      <c r="X248" s="21" t="s">
        <v>999</v>
      </c>
      <c r="Y248" s="21"/>
      <c r="Z248" s="21">
        <v>3136215587</v>
      </c>
      <c r="AA248" s="21" t="s">
        <v>860</v>
      </c>
      <c r="AB248" s="27" t="s">
        <v>861</v>
      </c>
      <c r="AC248" s="26" t="s">
        <v>846</v>
      </c>
      <c r="AD248" s="21" t="s">
        <v>1546</v>
      </c>
      <c r="AE248" s="26" t="s">
        <v>854</v>
      </c>
      <c r="AF248" s="26" t="s">
        <v>854</v>
      </c>
      <c r="AG248" s="23" t="s">
        <v>864</v>
      </c>
      <c r="AH248" s="23" t="s">
        <v>864</v>
      </c>
      <c r="AI248" s="24" t="s">
        <v>863</v>
      </c>
      <c r="AJ248" s="23" t="s">
        <v>864</v>
      </c>
      <c r="AK248" s="220" t="str">
        <f>IF(AND(AD248="",AE248="",AF248="",AG248="",AH248="",AI248="",AJ248=""),"",IF(OR(Tabla1[[#This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EVALUACIÓN",IF(AND(O248="",R248=""),"",IF(AND(OR(O248&gt;0,R248&gt;0),NG248&gt;=0,NG248&lt;2),"SIN RIESGO",IF(AND(OR(O248&gt;0,R248&gt;0),NG248&gt;=2),"CON RIESGO","ASD")))))</f>
        <v>SIN RIESGO</v>
      </c>
      <c r="AL248" s="26" t="s">
        <v>864</v>
      </c>
      <c r="AM248" s="26" t="s">
        <v>864</v>
      </c>
      <c r="AN248" s="26" t="s">
        <v>864</v>
      </c>
      <c r="AO248" s="26" t="s">
        <v>864</v>
      </c>
      <c r="AP248" s="26" t="s">
        <v>864</v>
      </c>
      <c r="AQ248" s="26" t="s">
        <v>864</v>
      </c>
      <c r="AR248" s="26" t="s">
        <v>864</v>
      </c>
      <c r="AS248" s="21">
        <v>0</v>
      </c>
      <c r="AT248" s="21">
        <v>0</v>
      </c>
      <c r="AU248" s="21">
        <v>0</v>
      </c>
      <c r="AV248" s="26" t="s">
        <v>864</v>
      </c>
      <c r="AW248" s="21">
        <v>0</v>
      </c>
      <c r="AX248" s="26" t="s">
        <v>864</v>
      </c>
      <c r="AY248" s="26" t="s">
        <v>864</v>
      </c>
      <c r="AZ248" s="26" t="s">
        <v>864</v>
      </c>
      <c r="BA248" s="26" t="s">
        <v>864</v>
      </c>
      <c r="BB248" s="26" t="s">
        <v>864</v>
      </c>
      <c r="BC248" s="26" t="s">
        <v>864</v>
      </c>
      <c r="BD248" s="26" t="s">
        <v>864</v>
      </c>
      <c r="BE248" s="26" t="s">
        <v>864</v>
      </c>
      <c r="BF248" s="26" t="s">
        <v>864</v>
      </c>
      <c r="BG248" s="26" t="s">
        <v>864</v>
      </c>
      <c r="BH248" s="26" t="s">
        <v>864</v>
      </c>
      <c r="BI248" s="26" t="s">
        <v>864</v>
      </c>
      <c r="BJ248" s="26" t="s">
        <v>864</v>
      </c>
      <c r="BK248" s="26" t="s">
        <v>864</v>
      </c>
      <c r="BL248" s="26" t="s">
        <v>864</v>
      </c>
      <c r="BM248" s="26" t="s">
        <v>864</v>
      </c>
      <c r="BN248" s="22"/>
      <c r="BO248" s="22">
        <v>45092</v>
      </c>
      <c r="BP248" s="21" t="s">
        <v>864</v>
      </c>
      <c r="BQ248" s="222">
        <f t="shared" si="842"/>
        <v>0</v>
      </c>
      <c r="BR248" s="223" t="str">
        <f t="shared" si="843"/>
        <v/>
      </c>
      <c r="BS248" s="224">
        <f t="shared" si="844"/>
        <v>10.285714285714286</v>
      </c>
      <c r="BT248" s="216" t="str">
        <f t="shared" si="845"/>
        <v>DEFINIR CON ECO</v>
      </c>
      <c r="BU248" s="214">
        <f t="shared" ca="1" si="928"/>
        <v>20</v>
      </c>
      <c r="BV248" s="25"/>
      <c r="BW248" s="22"/>
      <c r="BX248" s="28"/>
      <c r="BY248" s="28"/>
      <c r="BZ248" s="22"/>
      <c r="CA248" s="21"/>
      <c r="CB248" s="26"/>
      <c r="CC248" s="26"/>
      <c r="CD248" s="26"/>
      <c r="CE248" s="26"/>
      <c r="CF248" s="22" t="s">
        <v>1517</v>
      </c>
      <c r="CG248" s="21">
        <v>1.5</v>
      </c>
      <c r="CH248" s="21">
        <v>49</v>
      </c>
      <c r="CI248" s="214">
        <f t="shared" si="847"/>
        <v>21.777777777777779</v>
      </c>
      <c r="CJ248" s="225" t="e">
        <f>IF(AND(CI248&lt;10,CH248="SD"),"SIN DATO PESO PREGESTACION O I TRIM",IF(AND(OR(R248&gt;0,O248&gt;0),CI248="X"),"INGRESAR DATO DE PESO",IF(CI248="SD","INGRESAR DATO DE TALLA Y PESO",IF(AND(OR(Tabla1[[#This Row],[MOMENTO EN QUE SE REALIZA EL PESO AL INGRESO A CPN]]="PREGESTACIÓN",NZ248="Menor"),CI248&lt;18.5),"BAJO PESO",IF(AND(OR(Tabla1[[#This Row],[MOMENTO EN QUE SE REALIZA EL PESO AL INGRESO A CPN]]="PREGESTACIÓN",NZ248="Menor"),CI248&lt;25),"NORMAL",IF(AND(OR(Tabla1[[#This Row],[MOMENTO EN QUE SE REALIZA EL PESO AL INGRESO A CPN]]="PREGESTACIÓN",NZ248="Menor"),CI248&lt;30),"SOBREPESO",IF(AND(OR(Tabla1[[#This Row],[MOMENTO EN QUE SE REALIZA EL PESO AL INGRESO A CPN]]="PREGESTACIÓN",NZ248="Menor"),CI248&gt;=30,CI248&lt;50),"OBESIDAD",IF(AND(BS248&gt;0,Tabla1[[#This Row],[MOMENTO EN QUE SE REALIZA EL PESO AL INGRESO A CPN]]="GESTACIÓN"),HLOOKUP(NZ248,$OA$2:PH248,NY248),""))))))))</f>
        <v>#REF!</v>
      </c>
      <c r="CK248" s="212">
        <f t="shared" si="848"/>
        <v>45164</v>
      </c>
      <c r="CL248" s="21">
        <v>49</v>
      </c>
      <c r="CM248" s="214">
        <f t="shared" si="849"/>
        <v>21.777777777777779</v>
      </c>
      <c r="CN248" s="216">
        <f t="shared" si="850"/>
        <v>10</v>
      </c>
      <c r="CO248" s="216" t="e">
        <f>IF(PI248="","",IF(PI248&gt;0,HLOOKUP(PI248,$PJ$2:QQ248,NY248),""))</f>
        <v>#REF!</v>
      </c>
      <c r="CP248" s="21"/>
      <c r="CQ248" s="216" t="str">
        <f>IF(QR248="Menor","NO APLICA-MENOR 13 SEM",IF(AND(CC248="SI",CN248&gt;23),"NO APLICA- GEMELAR",IF(QR248="","",IF(QR248&gt;0,HLOOKUP(QR248,$QS$2:RU248,NY248),""))))</f>
        <v>NO APLICA-MENOR 13 SEM</v>
      </c>
      <c r="CR248" s="21"/>
      <c r="CS248" s="21"/>
      <c r="CT248" s="217" t="str">
        <f>IF(R248="","",IF(AND(BS248&gt;1,BS248&lt;12,Tabla1[[#This Row],[T.A. SISTOLICA - ANTES DE SEMANA 12]]="",Tabla1[[#This Row],[T.A. DIASTOLICA - ANTES DE SEMANA 12]]=""),"REGISTRE DATO TA ANTES SEMANA 12",IF(AND(BS248&gt;11,BS248&lt;43,Tabla1[[#This Row],[T.A. SISTOLICA - ANTES DE SEMANA 12]]="",Tabla1[[#This Row],[T.A. DIASTOLICA - ANTES DE SEMANA 12]]=""),"NO APLICA REGISTRO TA-INGRESO TARDIO",IF(AND(OR(O248&gt;0,R248&gt;0),OR(CR248&gt;=140,CS248&gt;=90)),"DEFINIR ESTADIO HTA",IF(AND(OR(O248&gt;0,R248&gt;0),AND(CR248&gt;120,CR248&lt;=139)),"PRE HTA SEGUIMIENTO",IF(AND(OR(O248&gt;0,R248&gt;0),AND(CS248&gt;80,CS248&lt;=89)),"PRE HTA SEGUIMIENTO",IF(AND(OR(O248&gt;0,R248&gt;0),AND(CR248&gt;=80,CR248&lt;=120)),"APARENTEMENTE NORMAL",IF(AND(OR(O248&gt;0,R248&gt;0),AND(CS248&gt;=50,CS248&lt;=80)),"APARENTEMENTE NORMAL",IF(AND(OR(O248&gt;0,R248&gt;0),AND(CR248&gt;1,CR248&lt;=70),AND(CS248&gt;1,CS248&lt;=40)),"HIPOTENSIÓN","")))))))))</f>
        <v>REGISTRE DATO TA ANTES SEMANA 12</v>
      </c>
      <c r="CU248" s="21"/>
      <c r="CV248" s="21"/>
      <c r="CW248" s="217" t="str">
        <f ca="1">IF(R248="","",IF(AND(CN248&gt;19,CN248&lt;27,Tabla1[[#This Row],[T.A. SISTOLICA (Entre semana 20 y 26)]]="",Tabla1[[#This Row],[T.A. DIATOLICA (Entre semana 20 y 26)]]=""),"ACUDE A CONTROL SEM 20 A 26 REGISTRE TA AHORA",IF(AND(BS248&gt;1,BS248&lt;27,BU248&gt;19,Tabla1[[#This Row],[T.A. SISTOLICA (Entre semana 20 y 26)]]="",Tabla1[[#This Row],[T.A. DIATOLICA (Entre semana 20 y 26)]]=""),"COMPLETE REGISTRO TA CONTROL SEM 20 A26 ",IF(AND(BS248&gt;26,BS248&lt;43,Tabla1[[#This Row],[T.A. SISTOLICA (Entre semana 20 y 26)]]="",Tabla1[[#This Row],[T.A. DIATOLICA (Entre semana 20 y 26)]]=""),"NO APLICA REGISTRO TA-INGRESO TARDIO",IF(AND(OR(O248&gt;0,R248&gt;0),OR(CU248&gt;=140,CV248&gt;=90)),"ALTO RIESGO PREECLAMPSIA,DEFINIR ESTADIO HTA",IF(AND(OR(O248&gt;0,R248&gt;0),AND(CU248&gt;120,CU248&lt;=139)),"PRE HTA SEGUIMIENTO,RIESGO HIPERTENSION INDUCIDA POR EL EMBARAZO",IF(AND(OR(O248&gt;0,R248&gt;0),AND(CV248&gt;80,CV248&lt;=89)),"PRE HTA SEGUIMIENTO, RIESGO HIPERTENSION INDUCIDA POR EL EMBARAZO",IF(AND(OR(O248&lt;&gt;"",R248&lt;&gt;""),CS248&lt;&gt;"",CV248&lt;&gt;"",CS248&lt;=CV248),"VIGILAR CIFRAS PRESION ARTERIAL",IF(AND(OR(O248&gt;0,R248&gt;0),AND(CU248&gt;120,CU248&lt;=139)),"PRE HTA SEGUIMIENTO",IF(AND(OR(O248&gt;0,R248&gt;0),AND(CU248&gt;1,CU248&lt;=70),AND(CV248&gt;1,CV248&lt;=40)),"HIPOTENSIÓN",IF(AND(OR(O248&lt;&gt;"",R248&lt;&gt;""),CS248&lt;&gt;"",CV248&lt;&gt;"",CS248&gt;CV248),"APARENTEMENTE NORMAL",IF(AND(OR(O248&gt;0,R248&gt;0),AND(CU248&gt;=80,CU248&lt;=120)),"APARENTEMENTE NORMAL",IF(AND(OR(O248&gt;0,R248&gt;0),AND(CV248&gt;=50,CV248&lt;=80)),"APARENTEMENTE NORMAL","")))))))))))))</f>
        <v xml:space="preserve">COMPLETE REGISTRO TA CONTROL SEM 20 A26 </v>
      </c>
      <c r="CX248" s="21"/>
      <c r="CY248" s="21"/>
      <c r="CZ248" s="216" t="e">
        <f>IF(R248="","",IF(AND(CN248&gt;31,CN248&lt;35,CX248="",CY248=""),"ACUDE A CONTROL SEM 30 A 34- REGISTRE AHORA",IF(AND(BS248&gt;34,BS248&lt;43,#REF!="",#REF!=""),"NO APLICA-INGRESO TARDIO",IF(AND(OR(O248&gt;0,R248&gt;0),OR(CX248&gt;=140,CY248&gt;=90)),"ESTUDIO INMEDIATO HTA PARA DESCARTAR PREECLAMSIA",IF(AND(OR(O248&gt;0,R248&gt;0),AND(CX248&gt;=130,CX248&lt;=139)),"PRE HTA,RIESGO ALTO PREECLAMPSIA",IF(AND(OR(O248&gt;0,R248&gt;0),AND(CY248&gt;80,CY248&lt;=89)),"PRE HTA,RIESGO ALTO PREECLAMPSIA",IF(AND(OR(O248&gt;0,R248&gt;0),AND(CX248&gt;120,CX248&lt;=129)),"RANGO PREHIPERTENSIVO SEGUIMIENTO HTA",IF(AND(OR(O248&lt;&gt;"",R248&lt;&gt;""),CS248&lt;&gt;"",CY248&lt;&gt;"",CS248&lt;CY248),"VIGILAR CIFRAS PRESION ARTERIAL",IF(AND(OR(O248&lt;&gt;"",R248&lt;&gt;""),CS248&lt;&gt;"",CY248&lt;&gt;"",CS248=CY248),"APARENTEMENTE NORMAL",IF(AND(OR(O248&gt;0,R248&gt;0),CX248&gt;=80,CX248&lt;=120),"APARENTEMENTE NORMAL",IF(AND(OR(O248&gt;0,R248&gt;0),CY248&gt;=50,CY248&lt;=80),"APARENTEMENTE NORMAL","")))))))))))</f>
        <v>#REF!</v>
      </c>
      <c r="DA248" s="21">
        <v>90</v>
      </c>
      <c r="DB248" s="21">
        <v>60</v>
      </c>
      <c r="DC248" s="217" t="str">
        <f t="shared" si="851"/>
        <v>APARENTEMENTE NORMAL</v>
      </c>
      <c r="DD248" s="22">
        <v>45164</v>
      </c>
      <c r="DE248" s="22">
        <v>45164</v>
      </c>
      <c r="DF248" s="22"/>
      <c r="DG248" s="22"/>
      <c r="DH248" s="22"/>
      <c r="DI248" s="22"/>
      <c r="DJ248" s="22"/>
      <c r="DK248" s="22"/>
      <c r="DL248" s="22"/>
      <c r="DM248" s="22"/>
      <c r="DN248" s="22"/>
      <c r="DO248" s="22"/>
      <c r="DP248" s="22"/>
      <c r="DQ248" s="22"/>
      <c r="DR248" s="28"/>
      <c r="DS248" s="22"/>
      <c r="DT248" s="22"/>
      <c r="DU248" s="216" t="str">
        <f t="shared" ca="1" si="920"/>
        <v>EN ESPERA</v>
      </c>
      <c r="DV248" s="226" t="str">
        <f t="shared" si="921"/>
        <v>ACTIVA INGRESO A CPN</v>
      </c>
      <c r="DW24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48" s="216" t="e">
        <f t="shared" ca="1" si="852"/>
        <v>#REF!</v>
      </c>
      <c r="DY248" s="212">
        <f>IF(R248="","",IF(R248&gt;0,MAX(Tabla1[[#This Row],[FECHA C2]:[FECHA C13]],Tabla1[[#This Row],[FECHA CONSULTA PRIMERA VEZ PROGRAMA CPN ]])))</f>
        <v>45164</v>
      </c>
      <c r="DZ248" s="216">
        <f t="shared" si="853"/>
        <v>10</v>
      </c>
      <c r="EA248" s="222">
        <f>IF(R248&gt;0,SUM(COUNTA(DF248:DQ248)+COUNTA(Tabla1[[#This Row],[FECHA CONSULTA PRIMERA VEZ PROGRAMA CPN ]])),"")</f>
        <v>1</v>
      </c>
      <c r="EB248" s="222" t="str">
        <f t="shared" si="854"/>
        <v>NO</v>
      </c>
      <c r="EC248" s="214">
        <f t="shared" si="855"/>
        <v>9</v>
      </c>
      <c r="ED248" s="227">
        <f t="shared" si="856"/>
        <v>0.1111111111111111</v>
      </c>
      <c r="EE248" s="22">
        <v>45164</v>
      </c>
      <c r="EF248" s="22">
        <v>45164</v>
      </c>
      <c r="EG248" s="22">
        <v>45164</v>
      </c>
      <c r="EH248" s="22"/>
      <c r="EI248" s="22">
        <v>45164</v>
      </c>
      <c r="EJ248" s="22"/>
      <c r="EK248" s="22"/>
      <c r="EL248" s="21"/>
      <c r="EM248" s="21"/>
      <c r="EN248" s="22"/>
      <c r="EO248" s="222" t="str">
        <f t="shared" si="857"/>
        <v>TOMAR EXAMEN</v>
      </c>
      <c r="EP248" s="214" t="str">
        <f t="shared" si="858"/>
        <v/>
      </c>
      <c r="EQ248" s="216" t="str">
        <f t="shared" si="859"/>
        <v>POR DEFINIR</v>
      </c>
      <c r="ER248" s="24"/>
      <c r="ES248" s="22"/>
      <c r="ET248" s="29" t="str">
        <f t="shared" ca="1" si="922"/>
        <v>EN ESPERA PARA TOMA EXAMEN</v>
      </c>
      <c r="EU248" s="25" t="str">
        <f t="shared" si="860"/>
        <v/>
      </c>
      <c r="EV248" s="24"/>
      <c r="EW248" s="24"/>
      <c r="EX248" s="22"/>
      <c r="EY248" s="29" t="str">
        <f t="shared" si="1043"/>
        <v>TOMAR EXAMEN</v>
      </c>
      <c r="EZ248" s="25" t="str">
        <f t="shared" ca="1" si="1044"/>
        <v/>
      </c>
      <c r="FA248" s="21"/>
      <c r="FB248" s="22"/>
      <c r="FC248" s="29" t="str">
        <f t="shared" si="861"/>
        <v>TOMAR EXAMEN</v>
      </c>
      <c r="FD248" s="29"/>
      <c r="FE248" s="29"/>
      <c r="FF248" s="29"/>
      <c r="FG248" s="21" t="str">
        <f t="shared" ca="1" si="862"/>
        <v>PROGRAMAR TOMA PTOG SIGUIENTE CONTROL</v>
      </c>
      <c r="FH248" s="31"/>
      <c r="FI248" s="29" t="str">
        <f t="shared" si="863"/>
        <v>TOMAR EXAMEN</v>
      </c>
      <c r="FJ248" s="22"/>
      <c r="FK248" s="22"/>
      <c r="FL248" s="29" t="str">
        <f t="shared" ca="1" si="864"/>
        <v>PIERDE TOMA DE TAMIZAJE</v>
      </c>
      <c r="FM248" s="22"/>
      <c r="FN248" s="32"/>
      <c r="FO248" s="29" t="str">
        <f t="shared" ca="1" si="923"/>
        <v>EN RANGO PARA TOMAR EXAMEN</v>
      </c>
      <c r="FP248" s="22"/>
      <c r="FQ248" s="32"/>
      <c r="FR248" s="29" t="str">
        <f t="shared" ca="1" si="924"/>
        <v>EN ESPERA-ESTÁ I TRIM O II TRIM</v>
      </c>
      <c r="FS248" s="22"/>
      <c r="FT248" s="32"/>
      <c r="FU248" s="29" t="str">
        <f>IF(AND(FJ248="",FM248="",FP248="",FS248=""),"",IF(OR(OR(Tabla1[[#This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48" s="28"/>
      <c r="FW248" s="22"/>
      <c r="FX248" s="29" t="str">
        <f t="shared" si="865"/>
        <v>TOMAR EXAMEN</v>
      </c>
      <c r="FY248" s="22"/>
      <c r="FZ248" s="22"/>
      <c r="GA248" s="29" t="str">
        <f t="shared" ca="1" si="939"/>
        <v>PIERDE TOMA DE TAMIZAJE</v>
      </c>
      <c r="GB248" s="22"/>
      <c r="GC248" s="22"/>
      <c r="GD248" s="29" t="str">
        <f t="shared" ca="1" si="1048"/>
        <v>EN RANGO PARA TOMAR EXAMEN</v>
      </c>
      <c r="GE248" s="22"/>
      <c r="GF248" s="22"/>
      <c r="GG248" s="29" t="str">
        <f t="shared" ca="1" si="926"/>
        <v>EN ESPERA-ESTÁ I TRIM O II TRIM</v>
      </c>
      <c r="GH248" s="22"/>
      <c r="GI248" s="29"/>
      <c r="GJ248" s="22"/>
      <c r="GK248" s="22"/>
      <c r="GL248" s="22"/>
      <c r="GM248" s="22"/>
      <c r="GN248" s="28"/>
      <c r="GO248" s="22"/>
      <c r="GP248" s="29" t="str">
        <f t="shared" si="866"/>
        <v>TOMAR EXAMEN</v>
      </c>
      <c r="GQ248" s="28"/>
      <c r="GR248" s="28"/>
      <c r="GS248" s="22" t="str">
        <f t="shared" si="1047"/>
        <v/>
      </c>
      <c r="GT248" s="22"/>
      <c r="GU248" s="29" t="str">
        <f t="shared" si="867"/>
        <v>TOMAR EXAMEN</v>
      </c>
      <c r="GV248" s="21" t="str">
        <f t="shared" si="868"/>
        <v>POR DEFINIR</v>
      </c>
      <c r="GW248" s="28"/>
      <c r="GX248" s="30"/>
      <c r="GY248" s="21"/>
      <c r="GZ248" s="21"/>
      <c r="HA248" s="21"/>
      <c r="HB248" s="21"/>
      <c r="HC248" s="21"/>
      <c r="HD248" s="21"/>
      <c r="HE248" s="21"/>
      <c r="HF248" s="22"/>
      <c r="HG248" s="22" t="str">
        <f>IF(OR(O248&gt;0,R248&gt;0),CONCATENATE(IF(Tabla1[[#This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48" s="22" t="e">
        <f t="shared" si="869"/>
        <v>#REF!</v>
      </c>
      <c r="HI248" s="22" t="e">
        <f t="shared" ca="1" si="870"/>
        <v>#REF!</v>
      </c>
      <c r="HJ248" s="21" t="str">
        <f t="shared" ca="1" si="871"/>
        <v>**********************MULTIPARIDAD**RIESGO POR EDAD***************</v>
      </c>
      <c r="HK248" s="21" t="str">
        <f t="shared" si="872"/>
        <v>SIN ANTECEDENTES DE RIESGO</v>
      </c>
      <c r="HL248" s="24" t="str">
        <f t="shared" si="873"/>
        <v>APARENTEMENTE NORMAL</v>
      </c>
      <c r="HM248" s="21" t="e">
        <f t="shared" ca="1" si="874"/>
        <v>#REF!</v>
      </c>
      <c r="HN248" s="30" t="str">
        <f t="shared" si="927"/>
        <v>ACTIVA INGRESO A CPN</v>
      </c>
      <c r="HO248" s="21"/>
      <c r="HP248" s="21"/>
      <c r="HQ248" s="349"/>
      <c r="HR248" s="21" t="str">
        <f>IF(R248="","",IF(Tabla1[[#This Row],[ALARMA FACTORES DE RIESGO COMPLICACIONES HIPERTENSIVAS3]]="SIN ANTECEDENTES DE RIESGO","No Aplica para suministro de ASA",IF(AND(Tabla1[[#This Row],[FECHA INICIO DE SUMINISTRO DE ASA]]&gt;0,RV248&lt;12),"Inicia ASA ANTES de Sem 12",IF(AND(RV248&gt;11,RV248&lt;17,OR(HK248="RIESGO ALTO DE COMPLICACIONES HIPERTENSIVAS VER MANEJO GUIA SUMINISTRO ASA Y CALCIO",HK248="RIESGO MODERADO (2 O MAS CRITERIOS) VER MANEJO GUIA SUMINISTRO ASA Y CALCIO")),"Inicio oportuno de ASA",IF(AND(RV248&gt;12,OR(HK248="RIESGO ALTO DE COMPLICACIONES HIPERTENSIVAS VER MANEJO GUIA SUMINISTRO ASA Y CALCIO",HK248="RIESGO MODERADO (2 O MAS CRITERIOS) VER MANEJO GUIA SUMINISTRO ASA Y CALCIO")),"Inicio no oportuno mayor a 16 semanas",IF(AND(BU248&lt;12,OR(HK248="RIESGO ALTO DE COMPLICACIONES HIPERTENSIVAS VER MANEJO GUIA SUMINISTRO ASA Y CALCIO",HK248="RIESGO MODERADO (2 O MAS CRITERIOS) VER MANEJO GUIA SUMINISTRO ASA Y CALCIO")),"Pendiente Inicio de ASA a la semana 12",IF(AND(BU248&gt;11,BU248&lt;17,OR(HK248="RIESGO ALTO DE COMPLICACIONES HIPERTENSIVAS VER MANEJO GUIA SUMINISTRO ASA Y CALCIO",HK248="RIESGO MODERADO (2 O MAS CRITERIOS) VER MANEJO GUIA SUMINISTRO ASA Y CALCIO")),"Iniciar de inmediato ASA",IF(AND(BU248&gt;16,OR(HK248="RIESGO ALTO DE COMPLICACIONES HIPERTENSIVAS VER MANEJO GUIA SUMINISTRO ASA Y CALCIO",HK248="RIESGO MODERADO (2 O MAS CRITERIOS) VER MANEJO GUIA SUMINISTRO ASA Y CALCIO")),"Pierde Oportunidad, Inicio tardío de ASA","XXXXX"))))))))</f>
        <v>No Aplica para suministro de ASA</v>
      </c>
      <c r="HS248" s="22"/>
      <c r="HT248" s="22"/>
      <c r="HU248" s="22"/>
      <c r="HV248" s="22"/>
      <c r="HW248" s="22">
        <v>45164</v>
      </c>
      <c r="HX248" s="22" t="s">
        <v>1511</v>
      </c>
      <c r="HY248" s="22">
        <v>45164</v>
      </c>
      <c r="HZ248" s="28">
        <f t="shared" si="875"/>
        <v>10.285714285714286</v>
      </c>
      <c r="IA248" s="26"/>
      <c r="IB248" s="26"/>
      <c r="IC248" s="111"/>
      <c r="ID248" s="22"/>
      <c r="IE248" s="22" t="str">
        <f t="shared" ca="1" si="876"/>
        <v>PROGRAMAR APLICACION DE VACUNA</v>
      </c>
      <c r="IF248" s="22"/>
      <c r="IG248" s="22">
        <f t="shared" si="877"/>
        <v>45372</v>
      </c>
      <c r="IH248" s="29">
        <f t="shared" ca="1" si="878"/>
        <v>140</v>
      </c>
      <c r="II248" s="22" t="str">
        <f t="shared" ca="1" si="879"/>
        <v>PENDIENTE</v>
      </c>
      <c r="IJ248" s="22"/>
      <c r="IK248" s="21"/>
      <c r="IL248" s="21"/>
      <c r="IM248" s="34"/>
      <c r="IN248" s="22"/>
      <c r="IO248" s="21"/>
      <c r="IP248" s="29" t="str">
        <f t="shared" si="880"/>
        <v/>
      </c>
      <c r="IQ248" s="35"/>
      <c r="IR248" s="21"/>
      <c r="IS248" s="21"/>
      <c r="IT248" s="21"/>
      <c r="IU248" s="21"/>
      <c r="IV248" s="21"/>
      <c r="IW248" s="21"/>
      <c r="IX248" s="21"/>
      <c r="IY248" s="21"/>
      <c r="IZ248" s="21"/>
      <c r="JA248" s="21"/>
      <c r="JB248" s="30"/>
      <c r="JC248" s="21"/>
      <c r="JD248" s="36"/>
      <c r="JE248" s="21" t="str">
        <f t="shared" si="881"/>
        <v/>
      </c>
      <c r="JF248" s="30"/>
      <c r="JG248" s="21"/>
      <c r="JH248" s="21"/>
      <c r="JI248" s="21"/>
      <c r="JJ248" s="30"/>
      <c r="JK248" s="22"/>
      <c r="JL248" s="22"/>
      <c r="JM248" s="21"/>
      <c r="JN248" s="36"/>
      <c r="JO248" s="21" t="str">
        <f t="shared" si="882"/>
        <v/>
      </c>
      <c r="JP248" s="22"/>
      <c r="JQ248" s="21"/>
      <c r="JR248" s="21"/>
      <c r="JS248" s="21"/>
      <c r="JT248" s="30"/>
      <c r="JU248" s="22"/>
      <c r="JV248" s="22"/>
      <c r="JW248" s="33"/>
      <c r="JX248" s="28" t="str">
        <f t="shared" si="883"/>
        <v/>
      </c>
      <c r="JY248" s="33"/>
      <c r="JZ248" s="28" t="str">
        <f t="shared" si="884"/>
        <v/>
      </c>
      <c r="KA248" s="21"/>
      <c r="KB248" s="21"/>
      <c r="KC248" s="21"/>
      <c r="KD248" s="37"/>
      <c r="KE248" s="28"/>
      <c r="KF248" s="28"/>
      <c r="KG248" s="28"/>
      <c r="KH248" s="39"/>
      <c r="KI248" s="39"/>
      <c r="KJ248" s="66"/>
      <c r="KK248" s="39"/>
      <c r="KL248" s="39"/>
      <c r="KM248" s="66"/>
      <c r="KN248" s="39"/>
      <c r="KO248" s="39"/>
      <c r="KP248" s="39"/>
      <c r="KQ248" s="39"/>
      <c r="KR248" s="39"/>
      <c r="KS248" s="39"/>
      <c r="KT248" s="39"/>
      <c r="KU248" s="38"/>
      <c r="KV248" s="38"/>
      <c r="KW248" s="38"/>
      <c r="KX248" s="38"/>
      <c r="KY248" s="38"/>
      <c r="KZ248" s="38"/>
      <c r="LA248" s="38"/>
      <c r="LB248" s="38"/>
      <c r="LC248" s="38"/>
      <c r="LD248" s="38"/>
      <c r="LE248" s="38"/>
      <c r="LF248" s="38"/>
      <c r="LG248" s="38"/>
      <c r="LH248" s="38"/>
      <c r="LI248" s="38"/>
      <c r="LJ248" s="38"/>
      <c r="LK248" s="38"/>
      <c r="LL248" s="38"/>
      <c r="LM248" s="38"/>
      <c r="LN248" s="38"/>
      <c r="LO248" s="38"/>
      <c r="LP248" s="38"/>
      <c r="LQ248" s="38"/>
      <c r="LR248" s="38"/>
      <c r="LS248" s="38"/>
      <c r="LT248" s="38"/>
      <c r="LU248" s="38"/>
      <c r="LV248" s="38"/>
      <c r="LW248" s="38"/>
      <c r="LX248" s="38"/>
      <c r="LY248" s="38"/>
      <c r="LZ248" s="38"/>
      <c r="MA248" s="38"/>
      <c r="MB248" s="38"/>
      <c r="MC248" s="38"/>
      <c r="MD248" s="38"/>
      <c r="ME248" s="38"/>
      <c r="MF248" s="38"/>
      <c r="MG248" s="38"/>
      <c r="MH248" s="43">
        <f t="shared" si="885"/>
        <v>0</v>
      </c>
      <c r="MI248" s="43" t="str">
        <f t="shared" si="929"/>
        <v/>
      </c>
      <c r="MJ248" s="43" t="str">
        <f t="shared" si="887"/>
        <v/>
      </c>
      <c r="MK248" s="43">
        <f t="shared" si="888"/>
        <v>0</v>
      </c>
      <c r="ML24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48" s="43">
        <f t="shared" si="930"/>
        <v>10.285714285714286</v>
      </c>
      <c r="MN248" s="43">
        <f t="shared" si="931"/>
        <v>8</v>
      </c>
      <c r="MO248" s="43">
        <f t="shared" si="932"/>
        <v>2023</v>
      </c>
      <c r="MP248" s="43" t="str">
        <f t="shared" si="892"/>
        <v>III TRIMESTRE AÑO</v>
      </c>
      <c r="MQ248" s="43">
        <f t="shared" si="933"/>
        <v>15.768725361366622</v>
      </c>
      <c r="MR248" s="43">
        <f t="shared" si="894"/>
        <v>1</v>
      </c>
      <c r="MS248" s="43" t="str">
        <f t="shared" si="895"/>
        <v>DE 14 A 19AÑOS</v>
      </c>
      <c r="MT248" s="43">
        <f t="shared" si="896"/>
        <v>0</v>
      </c>
      <c r="MU248" s="43">
        <f t="shared" si="897"/>
        <v>1</v>
      </c>
      <c r="MV248" s="43">
        <f t="shared" si="898"/>
        <v>0</v>
      </c>
      <c r="MW248" s="43">
        <f t="shared" si="899"/>
        <v>0</v>
      </c>
      <c r="MX248" s="43" t="str">
        <f t="shared" si="900"/>
        <v/>
      </c>
      <c r="MY248" s="43" t="str">
        <f t="shared" ca="1" si="901"/>
        <v/>
      </c>
      <c r="MZ248" s="43" t="str">
        <f t="shared" si="902"/>
        <v/>
      </c>
      <c r="NA248" s="43" t="str">
        <f t="shared" si="903"/>
        <v/>
      </c>
      <c r="NB248" s="43" t="str">
        <f t="shared" si="904"/>
        <v/>
      </c>
      <c r="NC248" s="43" t="str">
        <f t="shared" si="905"/>
        <v/>
      </c>
      <c r="ND248" s="43">
        <f t="shared" ca="1" si="934"/>
        <v>2</v>
      </c>
      <c r="NE248" s="43">
        <f>IF(OR(O248&gt;0,R248&gt;0),SUM(COUNTIF(Tabla1[[#This Row],[AÑOS AL INICIO5 CPN]],"&gt;=40"),COUNTIF(AS248,"0"),COUNTIF(AR248,"SI"),COUNTIF(CC248,"SI"),COUNTIF(BQ248,"&gt;119"),COUNTIF(CI248,"&gt;=35")),"")</f>
        <v>1</v>
      </c>
      <c r="NF248" s="43" t="str">
        <f t="shared" si="935"/>
        <v/>
      </c>
      <c r="NG248" s="43">
        <f t="shared" si="908"/>
        <v>0</v>
      </c>
      <c r="NH248" s="43" t="str">
        <f t="shared" si="909"/>
        <v/>
      </c>
      <c r="NI24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CPN",P248="NO"),"Z",IF(AND(Tabla1[[#This Row],[CITA PROXIMO CONTROL]]="CITA MANUAL",Tabla1[[#This Row],[GESTANTES ACTUALES]]="ACTIVA INGRESO A CPN"),"W",IF(AND(Tabla1[[#This Row],[GESTANTES ACTUALES]]="SALIO PROGRAMA",IN248=""),"S",IF(AND(Tabla1[[#This Row],[CITA PROXIMO CONTROL]]&gt;0,IN248=""),(Tabla1[[#This Row],[CITA PROXIMO CONTROL]]-TODAY()),"SD"))))))))</f>
        <v>#REF!</v>
      </c>
      <c r="NJ248" s="43">
        <f>MONTH(Tabla1[[#This Row],[FECHA DE SALIDA  DEL PROGRAMA]])</f>
        <v>1</v>
      </c>
      <c r="NK248" s="43">
        <f>YEAR(Tabla1[[#This Row],[FECHA DE SALIDA  DEL PROGRAMA]])</f>
        <v>1900</v>
      </c>
      <c r="NL248" s="43" t="str">
        <f t="shared" si="936"/>
        <v>X</v>
      </c>
      <c r="NM248" s="43" t="str">
        <f t="shared" si="941"/>
        <v>NO</v>
      </c>
      <c r="NN248" s="43" t="str">
        <f ca="1">IF(AND(O248&gt;0,R248=""),"NO CPN",IF(AND(O248="",R248=""),"",IF(AND(R248&gt;0,Tabla1[[#This Row],[SEMANAS DE GESTACION ACTUALIZADAS]]&lt;=12),"NO APLICA",IF(AND(FH248&lt;&gt;"",FN248&lt;&gt;""),"SI","NO"))))</f>
        <v>NO</v>
      </c>
      <c r="NO248" s="43" t="str">
        <f ca="1">IF(AND(O248&gt;0,R248=""),"NO CPN",IF(AND(O248="",R248=""),"",IF(AND(R248&gt;0,Tabla1[[#This Row],[SEMANAS DE GESTACION ACTUALIZADAS]]&lt;=27),"NO APLICA",IF(AND(ES248&lt;&gt;"",FQ248&lt;&gt;"",GF248&lt;&gt;""),"SI","NO"))))</f>
        <v>NO APLICA</v>
      </c>
      <c r="NP248" s="204" t="str">
        <f t="shared" si="912"/>
        <v>DEFINIR CON ECO</v>
      </c>
      <c r="NQ248"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248" s="21">
        <f t="shared" ca="1" si="937"/>
        <v>2</v>
      </c>
      <c r="NS248" s="205">
        <f t="shared" ca="1" si="914"/>
        <v>0</v>
      </c>
      <c r="NT248" s="21">
        <f t="shared" ca="1" si="915"/>
        <v>0</v>
      </c>
      <c r="NU248" s="21" t="str">
        <f t="shared" ca="1" si="916"/>
        <v>INCOMPLETO</v>
      </c>
      <c r="NV248" s="21" t="str">
        <f t="shared" ca="1" si="917"/>
        <v>INCOMPLETO</v>
      </c>
      <c r="NW248" s="206" t="str">
        <f>IF(AND(O248="",R248=""),"",IF(OR(AND(Tabla1[[#This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48" s="207" t="str">
        <f t="shared" ca="1" si="938"/>
        <v>SIN VACUNAR</v>
      </c>
      <c r="NY248" s="43">
        <f>ROW(Tabla1[[#This Row],['# DE TAMIZAJES SIFILIS TOMADOS ]])</f>
        <v>248</v>
      </c>
      <c r="NZ248" s="43">
        <f t="shared" si="942"/>
        <v>10</v>
      </c>
      <c r="OA248" s="43" t="str">
        <f t="shared" si="943"/>
        <v/>
      </c>
      <c r="OB248" s="43" t="str">
        <f t="shared" si="944"/>
        <v>NORMAL</v>
      </c>
      <c r="OC248" s="43" t="str">
        <f t="shared" si="945"/>
        <v/>
      </c>
      <c r="OD248" s="43" t="str">
        <f t="shared" si="946"/>
        <v/>
      </c>
      <c r="OE248" s="43" t="str">
        <f t="shared" si="947"/>
        <v/>
      </c>
      <c r="OF248" s="43" t="str">
        <f t="shared" si="948"/>
        <v/>
      </c>
      <c r="OG248" s="43" t="str">
        <f t="shared" si="949"/>
        <v/>
      </c>
      <c r="OH248" s="43" t="str">
        <f t="shared" si="950"/>
        <v/>
      </c>
      <c r="OI248" s="43" t="str">
        <f t="shared" si="951"/>
        <v/>
      </c>
      <c r="OJ248" s="43" t="str">
        <f t="shared" si="952"/>
        <v/>
      </c>
      <c r="OK248" s="43" t="str">
        <f t="shared" si="953"/>
        <v/>
      </c>
      <c r="OL248" s="43" t="str">
        <f t="shared" si="954"/>
        <v/>
      </c>
      <c r="OM248" s="43" t="str">
        <f t="shared" si="955"/>
        <v/>
      </c>
      <c r="ON248" s="43" t="str">
        <f t="shared" si="956"/>
        <v/>
      </c>
      <c r="OO248" s="43" t="str">
        <f t="shared" si="957"/>
        <v/>
      </c>
      <c r="OP248" s="43" t="str">
        <f t="shared" si="958"/>
        <v/>
      </c>
      <c r="OQ248" s="43" t="str">
        <f t="shared" si="959"/>
        <v/>
      </c>
      <c r="OR248" s="43" t="str">
        <f t="shared" si="960"/>
        <v/>
      </c>
      <c r="OS248" s="43" t="str">
        <f t="shared" si="961"/>
        <v/>
      </c>
      <c r="OT248" s="43" t="str">
        <f t="shared" si="962"/>
        <v/>
      </c>
      <c r="OU248" s="43" t="str">
        <f t="shared" si="963"/>
        <v/>
      </c>
      <c r="OV248" s="110" t="str">
        <f t="shared" si="964"/>
        <v/>
      </c>
      <c r="OW248" s="43" t="str">
        <f t="shared" si="965"/>
        <v/>
      </c>
      <c r="OX248" s="43" t="str">
        <f t="shared" si="966"/>
        <v/>
      </c>
      <c r="OY248" s="43" t="str">
        <f t="shared" si="967"/>
        <v/>
      </c>
      <c r="OZ248" s="43" t="str">
        <f t="shared" si="968"/>
        <v/>
      </c>
      <c r="PA248" s="43" t="str">
        <f t="shared" si="969"/>
        <v/>
      </c>
      <c r="PB248" s="43" t="str">
        <f t="shared" si="970"/>
        <v/>
      </c>
      <c r="PC248" s="43" t="str">
        <f t="shared" si="971"/>
        <v/>
      </c>
      <c r="PD248" s="43" t="str">
        <f t="shared" si="972"/>
        <v/>
      </c>
      <c r="PE248" s="43" t="str">
        <f t="shared" si="973"/>
        <v/>
      </c>
      <c r="PF248" s="43" t="str">
        <f t="shared" si="974"/>
        <v/>
      </c>
      <c r="PG248" s="43" t="str">
        <f t="shared" si="975"/>
        <v/>
      </c>
      <c r="PH248" s="43" t="str">
        <f t="shared" si="976"/>
        <v/>
      </c>
      <c r="PI248" s="43">
        <f t="shared" si="977"/>
        <v>10</v>
      </c>
      <c r="PJ248" s="43" t="str">
        <f t="shared" si="978"/>
        <v/>
      </c>
      <c r="PK248" s="43" t="str">
        <f t="shared" si="979"/>
        <v>NORMAL</v>
      </c>
      <c r="PL248" s="43" t="str">
        <f t="shared" si="980"/>
        <v/>
      </c>
      <c r="PM248" s="43" t="str">
        <f t="shared" si="981"/>
        <v/>
      </c>
      <c r="PN248" s="43" t="str">
        <f t="shared" si="982"/>
        <v/>
      </c>
      <c r="PO248" s="43" t="str">
        <f t="shared" si="983"/>
        <v/>
      </c>
      <c r="PP248" s="43" t="str">
        <f t="shared" si="984"/>
        <v/>
      </c>
      <c r="PQ248" s="43" t="str">
        <f t="shared" si="985"/>
        <v/>
      </c>
      <c r="PR248" s="43" t="str">
        <f t="shared" si="986"/>
        <v/>
      </c>
      <c r="PS248" s="43" t="str">
        <f t="shared" si="987"/>
        <v/>
      </c>
      <c r="PT248" s="43" t="str">
        <f t="shared" si="988"/>
        <v/>
      </c>
      <c r="PU248" s="43" t="str">
        <f t="shared" si="989"/>
        <v/>
      </c>
      <c r="PV248" s="43" t="str">
        <f t="shared" si="990"/>
        <v/>
      </c>
      <c r="PW248" s="43" t="str">
        <f t="shared" si="991"/>
        <v/>
      </c>
      <c r="PX248" s="43" t="str">
        <f t="shared" si="992"/>
        <v/>
      </c>
      <c r="PY248" s="43" t="str">
        <f t="shared" si="993"/>
        <v/>
      </c>
      <c r="PZ248" s="43" t="str">
        <f t="shared" si="994"/>
        <v/>
      </c>
      <c r="QA248" s="43" t="str">
        <f t="shared" si="995"/>
        <v/>
      </c>
      <c r="QB248" s="43" t="str">
        <f t="shared" si="996"/>
        <v/>
      </c>
      <c r="QC248" s="43" t="str">
        <f t="shared" si="997"/>
        <v/>
      </c>
      <c r="QD248" s="43" t="str">
        <f t="shared" si="998"/>
        <v/>
      </c>
      <c r="QE248" s="43" t="str">
        <f t="shared" si="999"/>
        <v/>
      </c>
      <c r="QF248" s="43" t="str">
        <f t="shared" si="1000"/>
        <v/>
      </c>
      <c r="QG248" s="43" t="str">
        <f t="shared" si="1001"/>
        <v/>
      </c>
      <c r="QH248" s="43" t="str">
        <f t="shared" si="1002"/>
        <v/>
      </c>
      <c r="QI248" s="43" t="str">
        <f t="shared" si="1003"/>
        <v/>
      </c>
      <c r="QJ248" s="43" t="str">
        <f t="shared" si="1004"/>
        <v/>
      </c>
      <c r="QK248" s="43" t="str">
        <f t="shared" si="1005"/>
        <v/>
      </c>
      <c r="QL248" s="43" t="str">
        <f t="shared" si="1006"/>
        <v/>
      </c>
      <c r="QM248" s="43" t="str">
        <f t="shared" si="1007"/>
        <v/>
      </c>
      <c r="QN248" s="43" t="str">
        <f t="shared" si="1008"/>
        <v/>
      </c>
      <c r="QO248" s="43" t="str">
        <f t="shared" si="1009"/>
        <v/>
      </c>
      <c r="QP248" s="43" t="str">
        <f t="shared" si="1010"/>
        <v/>
      </c>
      <c r="QQ248" s="43" t="str">
        <f t="shared" si="1011"/>
        <v/>
      </c>
      <c r="QR248" s="43" t="str">
        <f t="shared" si="1012"/>
        <v>Menor</v>
      </c>
      <c r="QS248" s="43"/>
      <c r="QT248" s="21" t="str">
        <f t="shared" si="1013"/>
        <v/>
      </c>
      <c r="QU248" s="21" t="str">
        <f t="shared" si="1014"/>
        <v/>
      </c>
      <c r="QV248" s="21" t="str">
        <f t="shared" si="1015"/>
        <v/>
      </c>
      <c r="QW248" s="21" t="str">
        <f t="shared" si="1016"/>
        <v/>
      </c>
      <c r="QX248" s="21" t="str">
        <f t="shared" si="1017"/>
        <v/>
      </c>
      <c r="QY248" s="21" t="str">
        <f t="shared" si="1018"/>
        <v/>
      </c>
      <c r="QZ248" s="21" t="str">
        <f t="shared" si="1019"/>
        <v/>
      </c>
      <c r="RA248" s="21" t="str">
        <f t="shared" si="1020"/>
        <v/>
      </c>
      <c r="RB248" s="21" t="str">
        <f t="shared" si="1021"/>
        <v/>
      </c>
      <c r="RC248" s="21" t="str">
        <f t="shared" si="1022"/>
        <v/>
      </c>
      <c r="RD248" s="21" t="str">
        <f t="shared" si="1023"/>
        <v/>
      </c>
      <c r="RE248" s="21" t="str">
        <f t="shared" si="1024"/>
        <v/>
      </c>
      <c r="RF248" s="21" t="str">
        <f t="shared" si="1025"/>
        <v/>
      </c>
      <c r="RG248" s="21" t="str">
        <f t="shared" si="1026"/>
        <v/>
      </c>
      <c r="RH248" s="21" t="str">
        <f t="shared" si="1027"/>
        <v/>
      </c>
      <c r="RI248" s="21" t="str">
        <f t="shared" si="1028"/>
        <v/>
      </c>
      <c r="RJ248" s="21" t="str">
        <f t="shared" si="1029"/>
        <v/>
      </c>
      <c r="RK248" s="21" t="str">
        <f t="shared" si="1030"/>
        <v/>
      </c>
      <c r="RL248" s="21" t="str">
        <f t="shared" si="1031"/>
        <v/>
      </c>
      <c r="RM248" s="21" t="str">
        <f t="shared" si="1032"/>
        <v/>
      </c>
      <c r="RN248" s="21" t="str">
        <f t="shared" si="1033"/>
        <v/>
      </c>
      <c r="RO248" s="21" t="str">
        <f t="shared" si="1034"/>
        <v/>
      </c>
      <c r="RP248" s="21" t="str">
        <f t="shared" si="1035"/>
        <v/>
      </c>
      <c r="RQ248" s="21" t="str">
        <f t="shared" si="1036"/>
        <v/>
      </c>
      <c r="RR248" s="21" t="str">
        <f t="shared" si="1037"/>
        <v/>
      </c>
      <c r="RS248" s="21" t="str">
        <f t="shared" si="1038"/>
        <v/>
      </c>
      <c r="RT248" s="21" t="str">
        <f t="shared" si="1039"/>
        <v/>
      </c>
      <c r="RU248" s="21" t="str">
        <f t="shared" si="1040"/>
        <v/>
      </c>
      <c r="RV248" s="21">
        <f t="shared" si="1041"/>
        <v>-1</v>
      </c>
      <c r="RW248" s="284">
        <f>IF(OR(Tabla1[[#This Row],[FUM FORMULA CONFIABLE]]="",Tabla1[[#This Row],[FUM FORMULA CONFIABLE]]="SD"),"",IF(Tabla1[[#This Row],[FUM FORMULA CONFIABLE]]="CORREGIDA",Tabla1[[#This Row],[FUM X ECO 1]],Tabla1[[#This Row],[FUM x AMENORREA]]))</f>
        <v>45092</v>
      </c>
      <c r="RX248" s="21" t="str">
        <f>IF(AND(Tabla1[[#This Row],[FUM X ECO 1]]="",Tabla1[[#This Row],[FUM x AMENORREA]]=""),"",IF(AND(Tabla1[[#This Row],[FUM X ECO 1]]="",Tabla1[[#This Row],[FUM x AMENORREA]]&lt;&gt;""),"X",SUM(Tabla1[[#This Row],[FUM X ECO 1]]-Tabla1[[#This Row],[FUM x AMENORREA]])))</f>
        <v>X</v>
      </c>
      <c r="RY248" s="21" t="str">
        <f t="shared" si="1042"/>
        <v>x</v>
      </c>
    </row>
  </sheetData>
  <protectedRanges>
    <protectedRange algorithmName="SHA-512" hashValue="+u8ETP7RnmTFzwP1xRwajJa0k8e4nLv8tEoGW4GVn+3uAiDu7IjPSpc8eJAORlZW6vPJAWwmGRugW8VCG8sO4g==" saltValue="npbfSwlEiEyOodcwZD1w4Q==" spinCount="100000" sqref="DS2:DT2" name="Rango2_78_1"/>
    <protectedRange algorithmName="SHA-512" hashValue="9+DNppQbWrLYYUMoJ+lyQctV2bX3Vq9kZnegLbpjTLP49It2ovUbcartuoQTeXgP+TGpY//7mDH/UQlFCKDGiA==" saltValue="KUnni6YEm00anzSSvyLqQA==" spinCount="100000" sqref="NQ2:NT2 NW2:NX2" name="Rango2_23"/>
    <protectedRange algorithmName="SHA-512" hashValue="9+DNppQbWrLYYUMoJ+lyQctV2bX3Vq9kZnegLbpjTLP49It2ovUbcartuoQTeXgP+TGpY//7mDH/UQlFCKDGiA==" saltValue="KUnni6YEm00anzSSvyLqQA==" spinCount="100000" sqref="IT2" name="Rango2_21"/>
    <protectedRange algorithmName="SHA-512" hashValue="9+DNppQbWrLYYUMoJ+lyQctV2bX3Vq9kZnegLbpjTLP49It2ovUbcartuoQTeXgP+TGpY//7mDH/UQlFCKDGiA==" saltValue="KUnni6YEm00anzSSvyLqQA==" spinCount="100000" sqref="FM295 FM535 FM557" name="Rango2_18"/>
    <protectedRange algorithmName="SHA-512" hashValue="9+DNppQbWrLYYUMoJ+lyQctV2bX3Vq9kZnegLbpjTLP49It2ovUbcartuoQTeXgP+TGpY//7mDH/UQlFCKDGiA==" saltValue="KUnni6YEm00anzSSvyLqQA==" spinCount="100000" sqref="GZ2:HE2" name="Rango2_14"/>
    <protectedRange algorithmName="SHA-512" hashValue="9+DNppQbWrLYYUMoJ+lyQctV2bX3Vq9kZnegLbpjTLP49It2ovUbcartuoQTeXgP+TGpY//7mDH/UQlFCKDGiA==" saltValue="KUnni6YEm00anzSSvyLqQA==" spinCount="100000" sqref="GG2" name="Rango2_13"/>
    <protectedRange algorithmName="SHA-512" hashValue="9+DNppQbWrLYYUMoJ+lyQctV2bX3Vq9kZnegLbpjTLP49It2ovUbcartuoQTeXgP+TGpY//7mDH/UQlFCKDGiA==" saltValue="KUnni6YEm00anzSSvyLqQA==" spinCount="100000" sqref="GD2" name="Rango2_12"/>
    <protectedRange algorithmName="SHA-512" hashValue="9+DNppQbWrLYYUMoJ+lyQctV2bX3Vq9kZnegLbpjTLP49It2ovUbcartuoQTeXgP+TGpY//7mDH/UQlFCKDGiA==" saltValue="KUnni6YEm00anzSSvyLqQA==" spinCount="100000" sqref="GA2" name="Rango2_11"/>
    <protectedRange algorithmName="SHA-512" hashValue="9+DNppQbWrLYYUMoJ+lyQctV2bX3Vq9kZnegLbpjTLP49It2ovUbcartuoQTeXgP+TGpY//7mDH/UQlFCKDGiA==" saltValue="KUnni6YEm00anzSSvyLqQA==" spinCount="100000" sqref="FU2" name="Rango2_8"/>
    <protectedRange algorithmName="SHA-512" hashValue="9+DNppQbWrLYYUMoJ+lyQctV2bX3Vq9kZnegLbpjTLP49It2ovUbcartuoQTeXgP+TGpY//7mDH/UQlFCKDGiA==" saltValue="KUnni6YEm00anzSSvyLqQA==" spinCount="100000" sqref="FR2" name="Rango2_3"/>
    <protectedRange algorithmName="SHA-512" hashValue="9+DNppQbWrLYYUMoJ+lyQctV2bX3Vq9kZnegLbpjTLP49It2ovUbcartuoQTeXgP+TGpY//7mDH/UQlFCKDGiA==" saltValue="KUnni6YEm00anzSSvyLqQA==" spinCount="100000" sqref="FO2" name="Rango2_2"/>
    <protectedRange algorithmName="SHA-512" hashValue="9+DNppQbWrLYYUMoJ+lyQctV2bX3Vq9kZnegLbpjTLP49It2ovUbcartuoQTeXgP+TGpY//7mDH/UQlFCKDGiA==" saltValue="KUnni6YEm00anzSSvyLqQA==" spinCount="100000" sqref="FL2" name="Rango2_1"/>
    <protectedRange algorithmName="SHA-512" hashValue="pQ6vInBI7jDXfrmgGnBjneiSUgubKo9e3UhSr5pntFxC4lQ1L2R7W9mWn9K/xCr9KtD58PriWM0QPl5YbrSUiw==" saltValue="L8IhfO9AhXeu6nkwX8uk8g==" spinCount="100000" sqref="ML2:MM2 NG2 NL2:NP2 ML3:NX1942" name="Rango2_28"/>
    <protectedRange algorithmName="SHA-512" hashValue="2gOcTv8KhhbatWH2J4ld+83e9uojIkSnFb/vPHIX4VEVy4wxI/E7XMqIA+G/US6qZvoaS/ShHA0kq75uL35u7Q==" saltValue="lGxNNsLHiq6QaaaiDiz4eg==" spinCount="100000" sqref="FA2:FB2" name="Rango2_97"/>
    <protectedRange algorithmName="SHA-512" hashValue="cjB0/89+phf70Vhq9PW8mqFIBSi0NBIwb6Nu68c2KHw5qNJONhOzx/CkyH9AcA1QkhnV2r8TzORgeQ70DsWEuQ==" saltValue="HzeP5EzY+7kwoprfNZQSZw==" spinCount="100000" sqref="EV2:EX2" name="Rango2_96"/>
    <protectedRange algorithmName="SHA-512" hashValue="JwKj3a/zHcB6OOxORC1rYfgpKP/CMRF35vaDwtzTtmBZNFABo9rl+UzICIiMUvVtXhbFZVhylar0BVBIrqUYYA==" saltValue="pPGeTouPdUhW9uae14eM0w==" spinCount="100000" sqref="ER2:ES2" name="Rango2_89"/>
    <protectedRange algorithmName="SHA-512" hashValue="aFc1WXUOJlOo+G2n8ZMY7F5piiLTFVnl4myPipBDWxoC1s3J8AWOGcIhveE/wNCm1zt7bC0JDSax037/ZOICnA==" saltValue="Q4P5E34bqyzrOFTtjh+sIg==" spinCount="100000" sqref="EE2:EN2" name="Rango2_79"/>
    <protectedRange algorithmName="SHA-512" hashValue="+u8ETP7RnmTFzwP1xRwajJa0k8e4nLv8tEoGW4GVn+3uAiDu7IjPSpc8eJAORlZW6vPJAWwmGRugW8VCG8sO4g==" saltValue="npbfSwlEiEyOodcwZD1w4Q==" spinCount="100000" sqref="DF2:DR2 DY2:DZ2 DU2" name="Rango2_78"/>
    <protectedRange algorithmName="SHA-512" hashValue="AmShRyS+16Qs2BAZ2jEJmR8q4zwuR3AjsYFWdb6c6aytHxbFJLulrvObDr2kyHHRhPg6fzAQPYzu7q9IrbOxkA==" saltValue="0EK3h3EL96Rl36tD7x/AxA==" spinCount="100000" sqref="DW2" name="Rango2_77"/>
    <protectedRange algorithmName="SHA-512" hashValue="8gRCTdt0CNtAO2dLV7Ct38/1JJKSzBiwhK4l2Em6CDpHvIllFdFzx1YNg/kImKvJJhopgl5OzaGCDGoQ3Seiug==" saltValue="p/Nnn3bmS6wapzp//VS6xw==" spinCount="100000" sqref="DD2:DE2" name="Rango2_75"/>
    <protectedRange algorithmName="SHA-512" hashValue="SWHd6qxoLe+bNriEbglZF1YJHrgjbzfRYXYEkAC/lNyLPenLVZ5nZzJ4kqugo93eLe7TsjNhpscveFFzvhDeXg==" saltValue="0midFXnAtyNshnWzg7j43A==" spinCount="100000" sqref="CX2:CY2 DA2:DB2" name="Rango2_63"/>
    <protectedRange algorithmName="SHA-512" hashValue="vkhPwR+4/byQ/qzcvxgTSwv0zZqkaSroRDhGyI+YhTtMvE0/DSbTvjZN9ZhHZktdTC4DmOgN5qa0D1ikp49lEg==" saltValue="d3jpjbPieahmRekiMD/SSw==" spinCount="100000" sqref="CU2:CV2" name="Rango2_60"/>
    <protectedRange algorithmName="SHA-512" hashValue="t1p36nz9q9KMBzmJFqdunMEiSg1ifvyleFLlXiI3n35hD4pvmEvEyQ0aLv/sFsnuoJI5iTPhALzxlnAUOqMorA==" saltValue="/ans6lUxqRcCPhXNR86ZmQ==" spinCount="100000" sqref="CR2:CS2" name="Rango2_59"/>
    <protectedRange algorithmName="SHA-512" hashValue="a12pJC7sywDpBhhBFqNclpXnG0kDSF+2teaYUx/IkA50kIDDwWTi3ROx6eSgo00jHouMrSxeYC6zq2M3cVX1rA==" saltValue="JxWAHhMbnJFgFI/3ZoTuwA==" spinCount="100000" sqref="CN2" name="Rango2_58"/>
    <protectedRange algorithmName="SHA-512" hashValue="zChlKA2QHLoNazmxQG0BPQVppql2992TAH/DfI7y2lj+Ho95p5JOqiNXfpbO0YhlW/TCDpaEIEyVrS/kQbnQlA==" saltValue="in8Bma4955Tm/LjJCuSDog==" spinCount="100000" sqref="CL2" name="Rango2_57"/>
    <protectedRange algorithmName="SHA-512" hashValue="kWgY2hoF4KcIxdFPxQipujL/Tey4N4aNp7Z1M/Kh7vAUiOnfu8rofah+OZuthxnoikdOBEOB2ozj6nZk5hNzAg==" saltValue="irDz92D4scIQlSA43H+0Hg==" spinCount="100000" sqref="CK2" name="Rango2_56"/>
    <protectedRange algorithmName="SHA-512" hashValue="5InfS2vnDalKnufFiqFUvr4P4JViu8X2tHBM9Y1eg5Bzc96fjwSxrumO4AJMDdb6F+n7/iptghai6C6flopOnw==" saltValue="43IKR18eirSZT50xvmea9Q==" spinCount="100000" sqref="BZ2:CA2 CF2:CH2 CP2" name="Rango2_51"/>
    <protectedRange algorithmName="SHA-512" hashValue="vFJvjG+iQrj8vDWVDifD5qDOHBOSB9V8wt0/5OJVoxWwruwuccUmaqzIh5JUODzpDmxUROk2xJzyAFtKXgcHQg==" saltValue="lgDVsS9IWXRoh0tXSdkS+g==" spinCount="100000" sqref="BV2:BY2" name="Rango2_31"/>
    <protectedRange algorithmName="SHA-512" hashValue="RZ02o6S0Mo4cSN0uwEzcJ/558fbGU6fLMxQojIuecIts7rJg6uw6+43q9f9okZ7VyKkFm2ilAAYEIZzdX+QIyg==" saltValue="XuWkTez3QIGAk7pe3zpNmw==" spinCount="100000" sqref="BO2:BP2" name="Rango2_29"/>
    <protectedRange algorithmName="SHA-512" hashValue="WNZU3jjEATib8ybpiFObhOTRkdEQuE8Jup1V/OYC6qXzSYkXKP/HDDhIGNlcclthkWG9WF2246GAKTIu+PwOyQ==" saltValue="D9mkQ7CIj7KAkiw7OWU/8g==" spinCount="100000" sqref="BN2" name="Rango2_27"/>
    <protectedRange algorithmName="SHA-512" hashValue="YRHPUqMmepU5uJeUadNBpjTbnssMrleyPZ1FIcyRUHikknEWIOuqFlUpFYanUAt+RrR6WdIxfmY53S47/UJA2g==" saltValue="H2y28rMTiCh6/OyAqBW4cA==" spinCount="100000" sqref="CB2:CE2 BD2:BM2" name="Rango2_9"/>
    <protectedRange algorithmName="SHA-512" hashValue="cAqnPN+UCIZzte8I1PR0A+E1NnkaKA1uIlTKaL2Ooq+bsEVoZy+3rFiHfZ83amseg3KrfSyT3g0I28v4fEOZZA==" saltValue="8U9Hp6LW9UleuWFcK7+zGw==" spinCount="100000" sqref="C2 AL2:BC2" name="Rango2_6"/>
    <protectedRange algorithmName="SHA-512" hashValue="sMY+pHLlO5KJvSN2d2UyDF9UqaYlI9+bYSZVe6vzz5hc8EF5TJqLns5LNTZaakwfC7zWg4d61TtgmLrIuw1rJQ==" saltValue="kY3lBDcBh4szOfiRKeVn3w==" spinCount="100000" sqref="S2:AC2 AE2:AJ2" name="Rango2_5"/>
    <protectedRange algorithmName="SHA-512" hashValue="leWdZjnXA1ZUAjY4P4D99in2DAqSbdhZWN2583ktIGRcveG4iPy27xRGLZrv61dceCUHijEcH27zWZkj599aPA==" saltValue="u3ztF6NvYJB1BmfbV7Xk8g==" spinCount="100000" sqref="Q2:R2" name="Rango2_4"/>
    <protectedRange algorithmName="SHA-512" hashValue="6a5oYwZw9WJcgjqXpleUXH8uaqNEuymPPpeOb7lKBc1WoM6IG/DNyDLWmj2lYwxnZO2yhl+B61kwrxD9m9AdhQ==" saltValue="tdNQPzLQd+n9Ww064QJIaQ==" spinCount="100000" sqref="J234 I3:I1942" name="Rango2_61"/>
    <protectedRange algorithmName="SHA-512" hashValue="Gqwr8n5jYbCESAqCFk8dpOzViQICBV+k0xoqBoQaZ5lHaRlvT9TZDB4yXtm+qC6OhD064ZDBOFWkwo+LHXu1sg==" saltValue="gEL9PCN2ekF2IxW9yqAGYA==" spinCount="100000" sqref="IJ4:IJ1942" name="Rango2_40_2"/>
    <protectedRange algorithmName="SHA-512" hashValue="EEHzbvEYwO1eufllBljOz0uf9BJ2ENtvOScQ7IsS321QhYbwKn7qhHKKP8cKj02rTDvVRMWvwQ1ZP0mZWsBprQ==" saltValue="CjXqBRFbKezlWOFV37MnDQ==" spinCount="100000" sqref="GQ202 GQ4:GR98 GQ99 GQ200:GR201 GQ199 GT201 GQ100:GR198 GN4:GN1942 GW4:GW1942 GQ203:GR1942" name="Rango2_30_2"/>
    <protectedRange algorithmName="SHA-512" hashValue="Rgskw+AQdeJ5qbJdarzTa3SCkJfDGziy0Uan5N0F3IWn/H3Z/e+VcB56R7Nes7MPxNHewNP1sSSucVjz3iTLeA==" saltValue="qKZH3DnwaZHBzy3cBZo1qQ==" spinCount="100000" sqref="GF4:GF53 GF55:GF103 GF149:GF159 GF161:GF169 GF105:GF137 GF139:GF147 GF171:GF1942" name="Rango2_31_28"/>
    <protectedRange algorithmName="SHA-512" hashValue="Umj9+5Ys20VQPxBFtc6qE5LtKKSgPKwit+B8dd4XnEUaLfBM2ozpkEC4YxwK0SbBiAHDDex+pY+LomQ0lyuamQ==" saltValue="N2/MCRws+mmA+NXw0axolg==" spinCount="100000" sqref="FY4:FY89 GJ4:GJ1942 GH4:GH1942 GE4:GE1942 GL4:GL1942 GB4:GB1942 FY91:FY1942" name="Rango2_31_2"/>
    <protectedRange algorithmName="SHA-512" hashValue="GQxmOzaTuMFsDZHCl1ODFaXPPghrRZcRpa/1VH3algTqDX4GRiaFFj6Q2wDsqOuE7x55/FLHiiv9LV1tbOzWGQ==" saltValue="cUsFM4zNMtXa1it2k0Up7Q==" spinCount="100000" sqref="CN3:CN1942" name="Rango2_20_3"/>
    <protectedRange algorithmName="SHA-512" hashValue="RQ91b7oAw60DVtcgB2vRpial2kSdzJx5guGCTYUwXYkKrtrUHfiYnLf9R+SNpYXlJDYpyEJLhcWwP0EqNN86dQ==" saltValue="W3RbH3zrcY9sy39xNwXNxg==" spinCount="100000" sqref="AY219:BI219 BA223:BM233 BD249:BM1942 BD3:BM66 BD168:BI168 BL168:BM168 BD67:BI67 BL67:BM67 BD90:BI90 BL90:BM90 BD166:BM167 BL122:BM122 BL137:BM137 BD94:BI94 BL94:BM94 BL155:BM156 BL185:BM185 BL108:BM108 BL164:BM165 BL148:BM148 BL145:BM145 BL101:BM101 BL171:BM171 BD184:BM184 BL180:BM180 BL133:BM133 AX211:BI212 BD173:BM173 BD136:BM136 BD146:BM146 BD158:BM158 BD140:BM142 BD68:BM89 BD95:BM99 BD100:BJ101 BK100:BM100 BD102:BM105 BD106:BJ108 BK106:BM107 BD121:BJ126 BK134:BM135 BD132:BJ135 BD137:BJ139 BK138:BM139 BD143:BJ145 BD147:BJ154 BK147:BM147 BK149:BM154 BD155:BI157 BK157:BM157 BJ156:BJ157 BD159:BJ165 BK159:BM163 BK169:BM170 BD169:BJ172 BK172:BM172 BK181:BM183 BD174:BJ183 BK174:BM179 BD185:BJ185 BK211:BM212 BD202:BI209 BK202:BM209 BJ202:BJ213 BA222:BI222 BK219:BM222 BD91:BM93 BD109:BM120 BK121:BM121 BK123:BM126 BD127:BM131 BK132:BM132 BK143:BM144 BB234:BM248 BJ216:BJ222 AX220:BI221 BD186:BM201 CB3:CE1942" name="Rango2_88_99"/>
    <protectedRange algorithmName="SHA-512" hashValue="fMbmUM1DQ7FuAPRNvFL5mPdHUYjQnlLFhkuaxvHguaqR7aWyDxcmJs0jLYQfQKY+oyhsMb4Lew4VL6i7um3/ew==" saltValue="ydaTm0CeH8+/cYqoL/AMaQ==" spinCount="100000" sqref="AX219 AX222:AZ233 AX249:BC1942 AX210:BI210 BJ168:BK168 BJ67:BK67 BJ90:BK90 BK122 BK137 BJ94:BK94 BJ155:BK155 BK185 BK108 BK164:BK165 BK148 BK145 BK101 BK171 BK180 BK133 BK156 BK210:BN210 AX213:BI213 BK213:BM213 BK216:BM218 AX216:BI218 AX234:BA248 AX3:BC209 AV3:AV1942 AX214:BM215" name="Rango2_88_91"/>
    <protectedRange algorithmName="SHA-512" hashValue="CHipOQaT63FWw628cQcXXJRZlrbNZ7OgmnEbDx38UmmH7z19GRYEzXFiVOzHAy1OAaAbST7g2bHZHDKQp2qm3w==" saltValue="iRVuL+373yLHv0ZHzS9qog==" spinCount="100000" sqref="AM220:AR220 AL220:AL221 AL249:AL1942 AL207:AR210 AN90 AN94 AQ94:AR94 AM218:AR218 AL3:AL206 AJ3:AJ1942 AG3:AH1942 AL212:AL218 AM213:AR216" name="Rango2_88_7_5"/>
    <protectedRange algorithmName="SHA-512" hashValue="NkG6oHuDGvGBEiLAAq8MEJHEfLQUMyjihfH+DBXhT+eQW0r1yri7tOJEFRM9nbOejjjXiviq9RFo7KB7wF+xJA==" saltValue="bpjB0AAANu2X/PeR3eiFkA==" spinCount="100000" sqref="AM202:AR202 AM203:AT206 AM90 AM217:AT217 AO90:AT90 AM91:AT93 AS218:AT218 AM221:AT221 AM212:AT212 AL219:AT219 AS220:AT220 AL222:AT248 AM3:AT89 AM249:AT1942 AS94:AT94 AS207:AT210 AL211:AT211 AM94 AO94:AP94 AM95:AT201 AS213:AT216" name="Rango2_88_65"/>
    <protectedRange algorithmName="SHA-512" hashValue="fPHvtIAf3pQeZUoAI9C2/vdXMHBpqqEq+67P5Ypyu4+9IWqs3yc9TZcMWQ0THLxUwqseQPyVvakuYFtCwJHsxA==" saltValue="QHIogSs2PrwAfdqa9PAOFQ==" spinCount="100000" sqref="AC3:AC1942" name="Rango2_88_5_5"/>
    <protectedRange algorithmName="SHA-512" hashValue="LEEeiU6pKqm7TAP46VGlz0q+evvFwpT/0iLpRuWuQ7MacbP0OGL1/FSmrIEOg2rb6M+Jla2bPbVWiGag27j87w==" saltValue="HEVt+pS5OloNDlqSnzGLLw==" spinCount="100000" sqref="AI3:AI1942" name="Rango2_8_7"/>
    <protectedRange algorithmName="SHA-512" hashValue="q2z5hEFmXS0v2chiPTC/VCoDWNlnhp+Xe6Ybfxe48vIsnB/KTJQxJv+pFUnCXfZ9T6vyJopuqFFNROfQTW/JUw==" saltValue="IctfdGJb5tOTpq+KPi9vww==" spinCount="100000" sqref="IB197 IA4:IB196 AE3:AF1942 IA198:IB1942" name="Rango2_88_39"/>
    <protectedRange algorithmName="SHA-512" hashValue="AYYX88LSDB6RDNMvSqt0KPGWPjBqTk56tMxTOlv5QD61MGTKAAQnSnudvNDWPN0Bbllh2qRQC+P5uq7goxjdrw==" saltValue="i/iPMewnks1FoXYOjKMEVg==" spinCount="100000" sqref="AB3:AB1942" name="Rango2_87_6"/>
    <protectedRange algorithmName="SHA-512" hashValue="NUll9P9xh7KbSfMYpMxsRZLfDw/y/AzW2LSWlpXVscBDqiAxmzo71xjs+a2lh+jRa7pceOC849slke4+ZKx8LA==" saltValue="8qbkKpQ+CiQuLnqgShNvXA==" spinCount="100000" sqref="T3:T1942" name="Rango2_88_6"/>
    <protectedRange algorithmName="SHA-512" hashValue="KHhv3JU/LRdRrRTxxkgFceEHPZ5UzadmpZRZR3zmQRnPvkUJZuanRafIJ+qde0IWwLZSvFIQDyUAHq6v6k7XIg==" saltValue="2GKG1kCzVNNcn+vbOPuhJA==" spinCount="100000" sqref="Q3:Q1942" name="Rango2_2_5"/>
    <protectedRange algorithmName="SHA-512" hashValue="XZw03RosI/l0z9FxmTtF29EdZ7P+4+ybhqoaAAUmURojSR5XbGfjC4f2i8gMqfY+RI9JvfdCA6PSh9TduXfUxA==" saltValue="5TPtLq2WoiRSae/yaDPnTw==" spinCount="100000" sqref="DD3:DZ3 DJ4:DT4 DD4:DE4 FB3 IE3 IG3:II3 FN4:FN58 FY90 HS4:HY63 FZ4:FZ89 HS87:HV87 HX87:HY87 GC195 IA197 GC197 FQ67 FN60:FN66 S202 HV202 HX202:HY202 GC115 EX60 BW203:BX203 BZ203:CA203 HS65:HY86 HS64:HT64 HV64 HX64:HY64 BO210:BR210 EW4:EX59 EX95 EW61:EX94 FN68:FN121 GC94 GC203 GC216 FQ108 GC192 FQ100:FQ101 GR202 GT202:GT211 FN123:FN134 FK4:FK141 FN136:FN153 HT243 HV243 HX243:HY243 DK101 GR99 GR199 DJ5:DK100 HS244:HY1942 FC201 GC201 GU201 GO4:GO211 EW96:EX201 DJ102:DK201 DL5:DT201 DD5:DI201 GT4:GT200 FZ91:FZ176 EV4:EV201 BN3:BR209 AU3:AU201 HG3:HH201 DU4:DZ201 HF4:HF201 BW3:CA202 AW3:AW201 HS88:HY201 O3:O201 R3:S201 ES3:ES1942 IC4:II1942 FW4:FW1942 GM4:GM1942 GK4:GK1942 CU3:CV1942 GY4:GY1942 CR3:CS1942 CK3:CL1942 FA4:FB1942 FN155:FN1942 CX3:DB1942 GT213:GT1942 GO213:GO1942 FZ211:FZ1942 FK202:FK1942 EV202:EX1942 BN211:BR1942 BW204:CA1942 HF202:HH1942 O203:O1942 R203:S1942 AU203:AU1942 AW203:AW1942 DD202:DZ1942 HS203:HY242 CF3:CH1942 U3:AA1942 EE3:EN19 EE21:EN49 EE20:EJ20 EL20:EN20 EE51:EN81 EE50:EJ50 EL50:EN50 EE83:EN89 EE82:EJ82 EL82:EN82 EE93:EN95 EE90:EJ92 EL90:EN92 EE97:EN100 EE96:EJ96 EL96:EN96 EE102:EN103 EE101:EJ101 EL101:EN101 EE105:EN105 EE104:EJ104 EL104:EN104 EE107:EN119 EE106:EJ106 EL106:EN106 EE121:EN123 EE120:EJ120 EL120:EN120 EE138:EN1942 EE137:EJ137 EL137:EN137 EE125:EN136 EE124:EF124 EH124:EN124 FK143:FK200 FQ170 GC209:GC211 FZ178:FZ209" name="Rango2_99"/>
    <protectedRange algorithmName="SHA-512" hashValue="XM8+0Jh5zLWw02PI0Lt8dLqjTcW5ulySion19FAnruDN6QRp4UwcVqdfQxnOQAItgpWG7rNsELzjwy0iXOonxw==" saltValue="Sd4WFUedDfLKoMQTDrxJuQ==" spinCount="100000" sqref="K3:K1942" name="Rango2_88_4_4"/>
    <protectedRange algorithmName="SHA-512" hashValue="EMMPgE8t/az1rHHzaZAQIhz+GQV0k2O/tQGA96sJqEEMzz1efIRa4CcLzC7iY9CCscto3g7dwz41haOE28iXYg==" saltValue="CVzFsG4X4LXUMo7796PiDQ==" spinCount="100000" sqref="J197:J199 J3:J195 J222:J233 J237:J244 J201:J212 IQ33:IQ34 IQ36 IQ38:IQ43 IQ45:IQ47 IQ49:IQ53 IQ56:IQ57 IQ59:IQ64 IQ66:IQ78 IQ80:IQ81 IQ84:IQ85 IQ87:IQ108 IQ110:IQ115 IQ120 IQ131 IQ155 J249:J1942 L3:M1942 C3:H1942 B3:B243 B245:B1942" name="Rango2_10"/>
    <protectedRange algorithmName="SHA-512" hashValue="YXHanhqXL0e4jPrzkCF8r/22WmlCviFUW909WKuG1JOcU0mp0/Huh0aP3EaGYxV2ep0WGu48HsShAy4Ka2uOiw==" saltValue="h/7U5iwJm7DLR4tRVfwZYw==" spinCount="100000" sqref="GC4:GC89 GC196 GF54 GC198:GC200 GC202 GC91:GC93 GF138 GC95:GC114 GD216 GF148 GC193:GC194 GO212 GT212 GF170 GF160 GC204:GC208 GC116:GC153 GC217:GD1942 GU3:GU200 GD3:GD211 FC3:FC200 GC155:GC191 GI4:GI1942 EY3:EY1942 FC202:FC1942 EO3:EO1942 GP3:GP1942 GU202:GU1942 FR3:FR1942 FX3:FX1942 GC212:GD215 FO3:FO1942 GA3:GA1942 FZ177 GG3:GG1942" name="Rango2_33"/>
    <protectedRange algorithmName="SHA-512" hashValue="D8TacORwT7iz0mF9GEucchnMHfB5er2FFjQsxyeWWyeJkM6Bt3gYQ3LbcHPxZXFpVAYtFOuTrzYOCJrlZDx16g==" saltValue="QtCzIBktdS4NZkOEGcLTRQ==" spinCount="100000" sqref="IN4:IN71 IN73:IN1942" name="Rango2_41"/>
    <protectedRange algorithmName="SHA-512" hashValue="pL4tgTKqwEsWSIEGFTBd+4pvEhE7d5Q99Eijs+L/Y1rhA0saQGGRJw5Pv2HLOP0quglztFwB6WVnQ1YGxd4AiQ==" saltValue="IF5mhk2RcoEjrcYppes1VA==" spinCount="100000" sqref="FV4:FV1942" name="Rango2_30"/>
    <protectedRange algorithmName="SHA-512" hashValue="62ha4X/QVW9175kB83jpH9hzZy6uWEX3g6Szv+9mbhChlN3r4yygsbXLVarY0QFL+r7x2V9KtdkRVxMDuiXMGw==" saltValue="X2NRImaa8nLHcduAG1+DVw==" spinCount="100000" sqref="AK3:AK1942" name="Rango2_88"/>
    <protectedRange algorithmName="SHA-512" hashValue="9+DNppQbWrLYYUMoJ+lyQctV2bX3Vq9kZnegLbpjTLP49It2ovUbcartuoQTeXgP+TGpY//7mDH/UQlFCKDGiA==" saltValue="KUnni6YEm00anzSSvyLqQA==" spinCount="100000" sqref="AK2 EO2:EQ2 EY2:EZ2 NH2:NK2 MI2:MJ2 B2 DX2 DV2 E2:P2 HM2:HN2 HT2 MN2:MZ2 FC2:FK2 KP2:KS2 HV2 C1944:C1961 FM2:FN2 FP2:FQ2 FS2:FT2 GB2:GC2 GE2:GF2 HF2:HJ2 FV2:FZ2 IU2:KN2 ND2 NU2:NV2 FM296:FM534 FM536:FM556 FM558:FM1942 GH2:GY2 HX2:IS2 BQ2:BU2 CO2 CQ2 OA2:RV2 FP4:FP201 JN3:KT3 IP3 JE3 FK142 FN59 GF104 FQ4:FQ66 NY1944:OE1944 BS202:BS205 BU202:BV205 FN135 BY203 HU64 HW64 FQ68:FQ99 FN122 FQ102:FQ107 FN154 GC154 IO4:KT29 IO117:KT119 IQ30:KT32 IR33:KT34 IQ35:KT35 IR36:KT36 IQ37:KT37 IR38:KT43 IQ44:KT44 IR45:KT47 IQ48:KT48 IR49:KT53 IQ54:KT55 IR56:KT57 IQ58:KT58 IR59:KT64 IQ65:KT65 IR66:KT78 IQ79:KT79 IR80:KT81 IQ82:KT83 IO30:IP116 IR84:KT85 IQ86:KT86 IQ109:KT109 IR87:KT108 IR110:KT116 IO120:IP120 IR120:KT120 IO121:KT130 IO131:IP131 IR131:KT131 IO155:IP155 IR155:KT155 IO132:KT154 BS3:BV137 HW243 HS243 HU243 BS138:BU138 BS139:BV201 FQ109:FQ169 HI3:HN201 FU3:FU201 HR3:HR201 HO4:HQ201 KU3:MK201 FS4:FT201 IO156:KT201 AD2:AD1942 GS3:GS1942 FD4:FF1942 FH4:FH1942 FM4:FM294 GZ4:HE1942 NY2:NZ1942 OB3:QS1942 GX4:GX1942 N3:N1942 CI2:CJ1942 CM2:CM1942 CT2:CT1942 CW2:CW1942 DC2:DC1942 EA2:ED1942 EP3:ER1942 ET2:EU1942 EZ3:EZ1942 GV3:GV1942 HZ3:HZ1942 IK4:IM1942 CO3:CQ1942 P3:P1942 IO202:MK1942 FS202:FU1942 FP202:FQ1942 BS206:BV1942 HI202:HR1942 FJ4:FJ1942 FQ171:FQ201 RZ2:XFC2" name="Rango2"/>
    <protectedRange algorithmName="SHA-512" hashValue="9+DNppQbWrLYYUMoJ+lyQctV2bX3Vq9kZnegLbpjTLP49It2ovUbcartuoQTeXgP+TGpY//7mDH/UQlFCKDGiA==" saltValue="KUnni6YEm00anzSSvyLqQA==" spinCount="100000" sqref="B1944:B1962" name="Rango2_16"/>
    <protectedRange algorithmName="SHA-512" hashValue="XZw03RosI/l0z9FxmTtF29EdZ7P+4+ybhqoaAAUmURojSR5XbGfjC4f2i8gMqfY+RI9JvfdCA6PSh9TduXfUxA==" saltValue="5TPtLq2WoiRSae/yaDPnTw==" spinCount="100000" sqref="DF4:DI4" name="Rango2_99_4"/>
    <protectedRange algorithmName="SHA-512" hashValue="9+DNppQbWrLYYUMoJ+lyQctV2bX3Vq9kZnegLbpjTLP49It2ovUbcartuoQTeXgP+TGpY//7mDH/UQlFCKDGiA==" saltValue="KUnni6YEm00anzSSvyLqQA==" spinCount="100000" sqref="CZ2" name="Rango2_7"/>
    <protectedRange algorithmName="SHA-512" hashValue="9+DNppQbWrLYYUMoJ+lyQctV2bX3Vq9kZnegLbpjTLP49It2ovUbcartuoQTeXgP+TGpY//7mDH/UQlFCKDGiA==" saltValue="KUnni6YEm00anzSSvyLqQA==" spinCount="100000" sqref="RW2" name="Rango2_22"/>
    <protectedRange algorithmName="SHA-512" hashValue="9+DNppQbWrLYYUMoJ+lyQctV2bX3Vq9kZnegLbpjTLP49It2ovUbcartuoQTeXgP+TGpY//7mDH/UQlFCKDGiA==" saltValue="KUnni6YEm00anzSSvyLqQA==" spinCount="100000" sqref="RX2:RY2" name="Rango2_15"/>
  </protectedRanges>
  <autoFilter ref="NY2:RY248" xr:uid="{00000000-0001-0000-0200-000000000000}"/>
  <sortState xmlns:xlrd2="http://schemas.microsoft.com/office/spreadsheetml/2017/richdata2" ref="D87:FS248">
    <sortCondition ref="R91:R248"/>
  </sortState>
  <customSheetViews>
    <customSheetView guid="{87C82D0B-BF3B-4D48-8D40-9A69123EBFA4}" scale="115" showAutoFilter="1" hiddenRows="1" hiddenColumns="1">
      <selection activeCell="B7" sqref="B7:H9"/>
      <pageMargins left="0.7" right="0.7" top="0.75" bottom="0.75" header="0.3" footer="0.3"/>
      <pageSetup orientation="portrait" verticalDpi="300" r:id="rId1"/>
      <autoFilter ref="B13:MJ526" xr:uid="{E04E80E7-30A3-4E5B-836E-730A15E3D941}"/>
    </customSheetView>
  </customSheetViews>
  <phoneticPr fontId="33" type="noConversion"/>
  <conditionalFormatting sqref="AL194:AX195 AL196:AW196 AS197:AW201 AS203:AU203 AW203 CE209 CB209:CC209 AG204:AH204 AJ204 AL217:AX217 AL218:AY218 BF222:BI222 BJ223:BM223 CE225 BL224:BM224 CB224 CB225:CC226 CE234:CE248 AL227:AX227 CB234:CC248 AL228:AW233 AG206 AS204:AW206 AL207:AX207 BD209:BI209 AL234:AX234 BA234 AL210:BI210 AL209:BB209 AL208:AW208 BD90:BI90 BL90:BM90 AL213:BB215 BD214:BM215 AL216:AW216 BL108:BM108 BD166:BM168 BL165:BM165 BD146:BM146 BL145:BM145 BL101:BM101 BL171:BM171 BL180:BM180 BL133:BM133 BK192:BM194 BD173:BM173 BD219:BI221 AL219:BB221 BL147:BM148 BL154:BM154 BL151:BM151 BL163:BM163 AJ207 AG207:AH207 AG209:AH210 AJ209:AJ210 AJ3:AJ189 AL3:BB189 AG3:AH189 BD3:BM89 BK100:BM100 BD100:BJ101 BD102:BM105 BK106:BM107 BD106:BJ108 BK134:BM135 BD132:BJ135 BD136:BM142 BD143:BJ145 BK152:BM153 BK149:BM150 BD147:BJ154 BD155:BM158 BK159:BM162 BK164:BM164 BD159:BJ165 BK172:BM172 BK169:BM170 BD169:BJ172 BK174:BM179 BK181:BM183 BD174:BJ183 BD184:BM186 BD187:BI189 BJ187:BM191 BD213:BI213 BK213:BM213 BK210:BN210 BK209:BM209 BJ192:BJ213 BD91:BM99 BD109:BM131 BK132:BM132 BK143:BM144 AS235:AW238 AS241 AS243:AU243 AW243 AS245:AU245 AW245:AX245 AS247:AU247 AW247 AL222:AW226 BK219:BM222 BJ216:BJ222 AL190:AW193 CE3:CE203 CB3:CC203 AJ213:AJ221 AG213:AH221 CB212:CC223 CE212:CE222">
    <cfRule type="cellIs" dxfId="5239" priority="7494" operator="equal">
      <formula>"SD"</formula>
    </cfRule>
    <cfRule type="cellIs" dxfId="5238" priority="7504" operator="equal">
      <formula>"NO"</formula>
    </cfRule>
    <cfRule type="cellIs" dxfId="5237" priority="7505" operator="equal">
      <formula>"SI"</formula>
    </cfRule>
  </conditionalFormatting>
  <conditionalFormatting sqref="IU4:IZ248 KA4:KC248">
    <cfRule type="cellIs" dxfId="5236" priority="7467" operator="equal">
      <formula>"SD"</formula>
    </cfRule>
    <cfRule type="cellIs" dxfId="5235" priority="7468" operator="equal">
      <formula>"NO APLICA"</formula>
    </cfRule>
    <cfRule type="cellIs" dxfId="5234" priority="7469" operator="equal">
      <formula>"NO"</formula>
    </cfRule>
    <cfRule type="cellIs" dxfId="5233" priority="7470" operator="equal">
      <formula>"SI"</formula>
    </cfRule>
  </conditionalFormatting>
  <conditionalFormatting sqref="P3:P198 P200:P211 P213:P248">
    <cfRule type="containsText" dxfId="5232" priority="7438" operator="containsText" text="SI">
      <formula>NOT(ISERROR(SEARCH("SI",P3)))</formula>
    </cfRule>
    <cfRule type="containsText" dxfId="5231" priority="7439" operator="containsText" text="NO">
      <formula>NOT(ISERROR(SEARCH("NO",P3)))</formula>
    </cfRule>
    <cfRule type="containsText" dxfId="5230" priority="7440" operator="containsText" text="NA">
      <formula>NOT(ISERROR(SEARCH("NA",P3)))</formula>
    </cfRule>
  </conditionalFormatting>
  <conditionalFormatting sqref="Q3:Q198 Q202:Q211 Q213:Q248">
    <cfRule type="containsText" dxfId="5229" priority="7144" operator="containsText" text="SE TRASLADO DE EPS">
      <formula>NOT(ISERROR(SEARCH("SE TRASLADO DE EPS",Q3)))</formula>
    </cfRule>
    <cfRule type="containsText" dxfId="5228" priority="7433" operator="containsText" text="NOVEDAD">
      <formula>NOT(ISERROR(SEARCH("NOVEDAD",Q3)))</formula>
    </cfRule>
    <cfRule type="containsText" dxfId="5227" priority="7434" operator="containsText" text="IDENTIDAD">
      <formula>NOT(ISERROR(SEARCH("IDENTIDAD",Q3)))</formula>
    </cfRule>
    <cfRule type="containsText" dxfId="5226" priority="7435" operator="containsText" text="CPN">
      <formula>NOT(ISERROR(SEARCH("CPN",Q3)))</formula>
    </cfRule>
    <cfRule type="containsText" dxfId="5225" priority="7436" operator="containsText" text="VIENE">
      <formula>NOT(ISERROR(SEARCH("VIENE",Q3)))</formula>
    </cfRule>
    <cfRule type="cellIs" dxfId="5224" priority="7437" operator="equal">
      <formula>"TRAMITE DE PORTABILIDAD"</formula>
    </cfRule>
  </conditionalFormatting>
  <conditionalFormatting sqref="AC198 AC156:AC159 AC237:AC239 AC154 AC161:AC189 AC203:AC210 AC3:AC152 AC191:AC195 AC213:AC235">
    <cfRule type="containsText" dxfId="5223" priority="7429" operator="containsText" text="SABE">
      <formula>NOT(ISERROR(SEARCH("SABE",AC3)))</formula>
    </cfRule>
    <cfRule type="containsText" dxfId="5222" priority="7430" operator="containsText" text="SECUNDARIA">
      <formula>NOT(ISERROR(SEARCH("SECUNDARIA",AC3)))</formula>
    </cfRule>
    <cfRule type="containsText" dxfId="5221" priority="7431" operator="containsText" text="PRIMARIA INCOMPLETA">
      <formula>NOT(ISERROR(SEARCH("PRIMARIA INCOMPLETA",AC3)))</formula>
    </cfRule>
    <cfRule type="cellIs" dxfId="5220" priority="7432" operator="equal">
      <formula>"ANALFABETA"</formula>
    </cfRule>
  </conditionalFormatting>
  <conditionalFormatting sqref="AW203:AW210 AW243 AW245 AW247 AW3:AW201 AW213:AW238">
    <cfRule type="cellIs" dxfId="5219" priority="7424" operator="equal">
      <formula>1</formula>
    </cfRule>
    <cfRule type="cellIs" dxfId="5218" priority="7425" operator="equal">
      <formula>"3 O MAS"</formula>
    </cfRule>
    <cfRule type="cellIs" dxfId="5217" priority="7426" operator="equal">
      <formula>2</formula>
    </cfRule>
  </conditionalFormatting>
  <conditionalFormatting sqref="BP3:BP211 BP213:BP248">
    <cfRule type="cellIs" dxfId="5216" priority="6372" operator="equal">
      <formula>"NO"</formula>
    </cfRule>
    <cfRule type="cellIs" dxfId="5215" priority="7421" operator="equal">
      <formula>"SI"</formula>
    </cfRule>
    <cfRule type="cellIs" dxfId="5214" priority="7422" operator="equal">
      <formula>"CORREGIDA"</formula>
    </cfRule>
    <cfRule type="expression" dxfId="5213" priority="7423">
      <formula>IF(AND($BX3&gt;=1,$BX3&lt;21,RY3=1),1,0)</formula>
    </cfRule>
  </conditionalFormatting>
  <conditionalFormatting sqref="BT3:BT206 BT208:BT248">
    <cfRule type="cellIs" dxfId="5212" priority="7416" operator="equal">
      <formula>"DEFINIR CON ECO"</formula>
    </cfRule>
    <cfRule type="cellIs" dxfId="5211" priority="7417" operator="equal">
      <formula>"ERROR FUM O INGRESO O ECO"</formula>
    </cfRule>
    <cfRule type="cellIs" dxfId="5210" priority="7418" operator="equal">
      <formula>"III TRIM"</formula>
    </cfRule>
    <cfRule type="cellIs" dxfId="5209" priority="7419" operator="equal">
      <formula>"II TRIM"</formula>
    </cfRule>
    <cfRule type="cellIs" dxfId="5208" priority="7420" operator="equal">
      <formula>"I TRIM"</formula>
    </cfRule>
  </conditionalFormatting>
  <conditionalFormatting sqref="CJ3:CJ248">
    <cfRule type="containsText" dxfId="5207" priority="7410" operator="containsText" text="SOBREPESO">
      <formula>NOT(ISERROR(SEARCH("SOBREPESO",CJ3)))</formula>
    </cfRule>
    <cfRule type="containsText" dxfId="5206" priority="7411" operator="containsText" text="NORMAL">
      <formula>NOT(ISERROR(SEARCH("NORMAL",CJ3)))</formula>
    </cfRule>
    <cfRule type="containsText" dxfId="5205" priority="7412" operator="containsText" text="OBESIDAD">
      <formula>NOT(ISERROR(SEARCH("OBESIDAD",CJ3)))</formula>
    </cfRule>
    <cfRule type="containsText" dxfId="5204" priority="7413" operator="containsText" text="BAJO PESO">
      <formula>NOT(ISERROR(SEARCH("BAJO PESO",CJ3)))</formula>
    </cfRule>
    <cfRule type="containsText" dxfId="5203" priority="7414" operator="containsText" text="PREGESTACION">
      <formula>NOT(ISERROR(SEARCH("PREGESTACION",CJ3)))</formula>
    </cfRule>
    <cfRule type="containsText" dxfId="5202" priority="7415" operator="containsText" text="INGRESAR">
      <formula>NOT(ISERROR(SEARCH("INGRESAR",CJ3)))</formula>
    </cfRule>
  </conditionalFormatting>
  <conditionalFormatting sqref="CT3:CT248">
    <cfRule type="containsText" dxfId="5201" priority="6383" operator="containsText" text="NO APLICA">
      <formula>NOT(ISERROR(SEARCH("NO APLICA",CT3)))</formula>
    </cfRule>
    <cfRule type="containsText" dxfId="5200" priority="6741" operator="containsText" text="REGISTRE DATO TA ANTES SEMANA 12">
      <formula>NOT(ISERROR(SEARCH("REGISTRE DATO TA ANTES SEMANA 12",CT3)))</formula>
    </cfRule>
    <cfRule type="containsText" dxfId="5199" priority="7395" operator="containsText" text="HIPOTENSION">
      <formula>NOT(ISERROR(SEARCH("HIPOTENSION",CT3)))</formula>
    </cfRule>
    <cfRule type="containsText" dxfId="5198" priority="7396" operator="containsText" text="NORMAL">
      <formula>NOT(ISERROR(SEARCH("NORMAL",CT3)))</formula>
    </cfRule>
    <cfRule type="containsText" dxfId="5197" priority="7397" operator="containsText" text="HTA">
      <formula>NOT(ISERROR(SEARCH("HTA",CT3)))</formula>
    </cfRule>
  </conditionalFormatting>
  <conditionalFormatting sqref="CW3:CW248">
    <cfRule type="containsText" dxfId="5196" priority="6382" operator="containsText" text="NO APLICA">
      <formula>NOT(ISERROR(SEARCH("NO APLICA",CW3)))</formula>
    </cfRule>
    <cfRule type="containsText" dxfId="5195" priority="6739" operator="containsText" text="COMPLETE REGISTRO TA CONTROL SEM 20 A26">
      <formula>NOT(ISERROR(SEARCH("COMPLETE REGISTRO TA CONTROL SEM 20 A26",CW3)))</formula>
    </cfRule>
    <cfRule type="containsText" dxfId="5194" priority="6740" operator="containsText" text="ACUDE A CONTROL SEM 20 A 26 REGISTRE TA AHORA">
      <formula>NOT(ISERROR(SEARCH("ACUDE A CONTROL SEM 20 A 26 REGISTRE TA AHORA",CW3)))</formula>
    </cfRule>
    <cfRule type="containsText" dxfId="5193" priority="7391" operator="containsText" text="HIPOTENSION">
      <formula>NOT(ISERROR(SEARCH("HIPOTENSION",CW3)))</formula>
    </cfRule>
    <cfRule type="containsText" dxfId="5192" priority="7392" operator="containsText" text="VIGILAR">
      <formula>NOT(ISERROR(SEARCH("VIGILAR",CW3)))</formula>
    </cfRule>
    <cfRule type="containsText" dxfId="5191" priority="7393" operator="containsText" text="NORMAL">
      <formula>NOT(ISERROR(SEARCH("NORMAL",CW3)))</formula>
    </cfRule>
    <cfRule type="containsText" dxfId="5190" priority="7394" operator="containsText" text="HTA">
      <formula>NOT(ISERROR(SEARCH("HTA",CW3)))</formula>
    </cfRule>
  </conditionalFormatting>
  <conditionalFormatting sqref="DC3:DC248 HL3:HL248">
    <cfRule type="containsText" dxfId="5189" priority="7388" operator="containsText" text="NORMAL">
      <formula>NOT(ISERROR(SEARCH("NORMAL",DC3)))</formula>
    </cfRule>
    <cfRule type="containsText" dxfId="5188" priority="7389" operator="containsText" text="VIGILAR">
      <formula>NOT(ISERROR(SEARCH("VIGILAR",DC3)))</formula>
    </cfRule>
    <cfRule type="containsText" dxfId="5187" priority="7390" operator="containsText" text="HTA">
      <formula>NOT(ISERROR(SEARCH("HTA",DC3)))</formula>
    </cfRule>
  </conditionalFormatting>
  <conditionalFormatting sqref="EU3:EU248 EP3:EP248">
    <cfRule type="containsText" dxfId="5186" priority="7385" operator="containsText" text="DAR">
      <formula>NOT(ISERROR(SEARCH("DAR",EP3)))</formula>
    </cfRule>
    <cfRule type="containsText" dxfId="5185" priority="7386" operator="containsText" text="NORMAL">
      <formula>NOT(ISERROR(SEARCH("NORMAL",EP3)))</formula>
    </cfRule>
    <cfRule type="containsText" dxfId="5184" priority="7387" operator="containsText" text="ANEMIA">
      <formula>NOT(ISERROR(SEARCH("ANEMIA",EP3)))</formula>
    </cfRule>
  </conditionalFormatting>
  <conditionalFormatting sqref="DV3:DV248 HN3:HN248">
    <cfRule type="containsText" dxfId="5183" priority="7375" operator="containsText" text="activa sin">
      <formula>NOT(ISERROR(SEARCH("activa sin",DV3)))</formula>
    </cfRule>
    <cfRule type="containsText" dxfId="5182" priority="7376" operator="containsText" text="Activa ingreso">
      <formula>NOT(ISERROR(SEARCH("Activa ingreso",DV3)))</formula>
    </cfRule>
    <cfRule type="containsText" dxfId="5181" priority="7377" operator="containsText" text="seguimiento">
      <formula>NOT(ISERROR(SEARCH("seguimiento",DV3)))</formula>
    </cfRule>
    <cfRule type="containsText" dxfId="5180" priority="7378" operator="containsText" text="salio">
      <formula>NOT(ISERROR(SEARCH("salio",DV3)))</formula>
    </cfRule>
    <cfRule type="containsText" dxfId="5179" priority="7379" operator="containsText" text="sale">
      <formula>NOT(ISERROR(SEARCH("sale",DV3)))</formula>
    </cfRule>
  </conditionalFormatting>
  <conditionalFormatting sqref="HM3:HM248 DX3:DX248">
    <cfRule type="containsText" dxfId="5178" priority="7172" operator="containsText" text="DEFINIR">
      <formula>NOT(ISERROR(SEARCH("DEFINIR",DX3)))</formula>
    </cfRule>
    <cfRule type="containsText" dxfId="5177" priority="7369" operator="containsText" text="MES">
      <formula>NOT(ISERROR(SEARCH("MES",DX3)))</formula>
    </cfRule>
    <cfRule type="containsText" dxfId="5176" priority="7370" operator="containsText" text="SEMANA">
      <formula>NOT(ISERROR(SEARCH("SEMANA",DX3)))</formula>
    </cfRule>
    <cfRule type="containsText" dxfId="5175" priority="7371" operator="containsText" text="DIA">
      <formula>NOT(ISERROR(SEARCH("DIA",DX3)))</formula>
    </cfRule>
    <cfRule type="containsText" dxfId="5174" priority="7372" operator="containsText" text="FUERA">
      <formula>NOT(ISERROR(SEARCH("FUERA",DX3)))</formula>
    </cfRule>
    <cfRule type="containsText" dxfId="5173" priority="7373" operator="containsText" text="BUSCAR">
      <formula>NOT(ISERROR(SEARCH("BUSCAR",DX3)))</formula>
    </cfRule>
    <cfRule type="containsText" dxfId="5172" priority="7374" operator="containsText" text="INASISTENTE">
      <formula>NOT(ISERROR(SEARCH("INASISTENTE",DX3)))</formula>
    </cfRule>
  </conditionalFormatting>
  <conditionalFormatting sqref="GQ202 GN4:GN137 GQ4:GR98 GQ100:GR137 GQ99 GQ200:GR201 GQ199 GQ139:GR198 GQ203:GR248 FV4:FV248 GW4:GW248 GN139:GN248">
    <cfRule type="containsText" dxfId="5171" priority="7338" operator="containsText" text="POSITIVO">
      <formula>NOT(ISERROR(SEARCH("POSITIVO",FV4)))</formula>
    </cfRule>
    <cfRule type="containsText" dxfId="5170" priority="7339" operator="containsText" text="NEGATIVO">
      <formula>NOT(ISERROR(SEARCH("NEGATIVO",FV4)))</formula>
    </cfRule>
  </conditionalFormatting>
  <conditionalFormatting sqref="FY214:FY248 GE4:GE248 GH4:GH248 GJ4:GJ248 GB4:GB248 FY4:FY212">
    <cfRule type="containsText" dxfId="5169" priority="7335" operator="containsText" text="P.R REACTIVA">
      <formula>NOT(ISERROR(SEARCH("P.R REACTIVA",FY4)))</formula>
    </cfRule>
    <cfRule type="containsText" dxfId="5168" priority="7336" operator="containsText" text="NO REACTIVA">
      <formula>NOT(ISERROR(SEARCH("NO REACTIVA",FY4)))</formula>
    </cfRule>
    <cfRule type="containsText" dxfId="5167" priority="7337" operator="containsText" text="ELISA REACTIVA">
      <formula>NOT(ISERROR(SEARCH("ELISA REACTIVA",FY4)))</formula>
    </cfRule>
  </conditionalFormatting>
  <conditionalFormatting sqref="GL4:GL248">
    <cfRule type="containsText" dxfId="5166" priority="7319" operator="containsText" text="NO APLICA">
      <formula>NOT(ISERROR(SEARCH("NO APLICA",GL4)))</formula>
    </cfRule>
    <cfRule type="containsText" dxfId="5165" priority="7320" operator="containsText" text="NO CONLUYENTE">
      <formula>NOT(ISERROR(SEARCH("NO CONLUYENTE",GL4)))</formula>
    </cfRule>
    <cfRule type="containsText" dxfId="5164" priority="7321" operator="containsText" text="NEGATIVA">
      <formula>NOT(ISERROR(SEARCH("NEGATIVA",GL4)))</formula>
    </cfRule>
    <cfRule type="containsText" dxfId="5163" priority="7322" operator="containsText" text="POSITIVA">
      <formula>NOT(ISERROR(SEARCH("POSITIVA",GL4)))</formula>
    </cfRule>
  </conditionalFormatting>
  <conditionalFormatting sqref="HX200 HV201 HT203:HT206 HV203:HV206 HV236:HV237 HT208 HT210:HT212 HV208:HV212 HX208:HX212 HV4:HV134 HT4:HT134 HT236:HT242 HT245:HT248 HV239:HV248 HX236:HX248 HT136:HT200 HV136:HV198 HX4:HX198 HX202:HX206 HV214:HV234 HT214:HT234 HX214:HX234">
    <cfRule type="containsText" dxfId="5162" priority="7173" operator="containsText" text="NO SE FORMULA">
      <formula>NOT(ISERROR(SEARCH("NO SE FORMULA",HT4)))</formula>
    </cfRule>
    <cfRule type="containsText" dxfId="5161" priority="7280" operator="containsText" text="OTRO">
      <formula>NOT(ISERROR(SEARCH("OTRO",HT4)))</formula>
    </cfRule>
    <cfRule type="containsText" dxfId="5160" priority="7281" operator="containsText" text="IRREGULAR">
      <formula>NOT(ISERROR(SEARCH("IRREGULAR",HT4)))</formula>
    </cfRule>
    <cfRule type="containsText" dxfId="5159" priority="7282" operator="containsText" text="ADECUADO">
      <formula>NOT(ISERROR(SEARCH("ADECUADO",HT4)))</formula>
    </cfRule>
  </conditionalFormatting>
  <conditionalFormatting sqref="IK4:IK248">
    <cfRule type="containsText" dxfId="5158" priority="7266" operator="containsText" text="CAMBIO">
      <formula>NOT(ISERROR(SEARCH("CAMBIO",IK4)))</formula>
    </cfRule>
    <cfRule type="containsText" dxfId="5157" priority="7267" operator="containsText" text="NEGACION">
      <formula>NOT(ISERROR(SEARCH("NEGACION",IK4)))</formula>
    </cfRule>
    <cfRule type="containsText" dxfId="5156" priority="7268" operator="containsText" text="IVE">
      <formula>NOT(ISERROR(SEARCH("IVE",IK4)))</formula>
    </cfRule>
    <cfRule type="containsText" dxfId="5155" priority="7269" operator="containsText" text="ABORTO">
      <formula>NOT(ISERROR(SEARCH("ABORTO",IK4)))</formula>
    </cfRule>
    <cfRule type="containsText" dxfId="5154" priority="7270" operator="containsText" text="CESAREA">
      <formula>NOT(ISERROR(SEARCH("CESAREA",IK4)))</formula>
    </cfRule>
    <cfRule type="containsText" dxfId="5153" priority="7271" operator="containsText" text="PARTO">
      <formula>NOT(ISERROR(SEARCH("PARTO",IK4)))</formula>
    </cfRule>
  </conditionalFormatting>
  <conditionalFormatting sqref="IL4:IL248">
    <cfRule type="cellIs" dxfId="5152" priority="6779" operator="equal">
      <formula>"MORBILIDAD MATERNA EXTREMA"</formula>
    </cfRule>
    <cfRule type="containsText" dxfId="5151" priority="7262" operator="containsText" text="MME">
      <formula>NOT(ISERROR(SEARCH("MME",IL4)))</formula>
    </cfRule>
    <cfRule type="cellIs" dxfId="5150" priority="7263" operator="equal">
      <formula>"MUERTE Y MORBILIDAD MATERNA EXTREMA"</formula>
    </cfRule>
    <cfRule type="containsText" dxfId="5149" priority="7264" operator="containsText" text="MUERTE">
      <formula>NOT(ISERROR(SEARCH("MUERTE",IL4)))</formula>
    </cfRule>
    <cfRule type="containsText" dxfId="5148" priority="7265" operator="containsText" text="SANA">
      <formula>NOT(ISERROR(SEARCH("SANA",IL4)))</formula>
    </cfRule>
  </conditionalFormatting>
  <conditionalFormatting sqref="IM4:IM248">
    <cfRule type="cellIs" dxfId="5147" priority="6778" operator="equal">
      <formula>"MUERTE PERINATAL Y MALFORMACIÓN CONGÉNITA"</formula>
    </cfRule>
    <cfRule type="containsText" dxfId="5146" priority="7256" operator="containsText" text="SIFILIS">
      <formula>NOT(ISERROR(SEARCH("SIFILIS",IM4)))</formula>
    </cfRule>
    <cfRule type="containsText" dxfId="5145" priority="7257" operator="containsText" text="MALFORMACIÓN">
      <formula>NOT(ISERROR(SEARCH("MALFORMACIÓN",IM4)))</formula>
    </cfRule>
    <cfRule type="containsText" dxfId="5144" priority="7258" operator="containsText" text="MUERTE">
      <formula>NOT(ISERROR(SEARCH("MUERTE",IM4)))</formula>
    </cfRule>
    <cfRule type="containsText" dxfId="5143" priority="7259" operator="containsText" text="UCI">
      <formula>NOT(ISERROR(SEARCH("UCI",IM4)))</formula>
    </cfRule>
    <cfRule type="containsText" dxfId="5142" priority="7260" operator="containsText" text="HOSPITALIZACION">
      <formula>NOT(ISERROR(SEARCH("HOSPITALIZACION",IM4)))</formula>
    </cfRule>
    <cfRule type="containsText" dxfId="5141" priority="7261" operator="containsText" text="SANO">
      <formula>NOT(ISERROR(SEARCH("SANO",IM4)))</formula>
    </cfRule>
  </conditionalFormatting>
  <conditionalFormatting sqref="IO4:IO71 IO73:IO248">
    <cfRule type="containsText" dxfId="5140" priority="7252" operator="containsText" text="NO APLICA">
      <formula>NOT(ISERROR(SEARCH("NO APLICA",IO4)))</formula>
    </cfRule>
    <cfRule type="containsText" dxfId="5139" priority="7253" operator="containsText" text="OTRO">
      <formula>NOT(ISERROR(SEARCH("OTRO",IO4)))</formula>
    </cfRule>
    <cfRule type="containsText" dxfId="5138" priority="7254" operator="containsText" text="DOMICILIO">
      <formula>NOT(ISERROR(SEARCH("DOMICILIO",IO4)))</formula>
    </cfRule>
    <cfRule type="containsText" dxfId="5137" priority="7255" operator="containsText" text="INSTITUCIONAL">
      <formula>NOT(ISERROR(SEARCH("INSTITUCIONAL",IO4)))</formula>
    </cfRule>
  </conditionalFormatting>
  <conditionalFormatting sqref="IR4:IR6 IR9 IR14 IR16:IR18 IR21 IR23:IR24 IR28 IR38 IR41 IR46:IR47 IR57 IR61:IR62 IR64 IR71 IR78 IR85 IR88 IR90:IR92 IR94:IR104 IR110:IR119 IR106:IR108 IR121:IR126 IR128:IR130 IR147:IR154 IR156:IR157 IR159:IR165 IR132:IR145 IR168:IR248">
    <cfRule type="containsText" dxfId="5136" priority="7248" operator="containsText" text="NO APLICA">
      <formula>NOT(ISERROR(SEARCH("NO APLICA",IR4)))</formula>
    </cfRule>
    <cfRule type="containsText" dxfId="5135" priority="7249" operator="containsText" text="ALTA">
      <formula>NOT(ISERROR(SEARCH("ALTA",IR4)))</formula>
    </cfRule>
    <cfRule type="containsText" dxfId="5134" priority="7250" operator="containsText" text="MEDIANA">
      <formula>NOT(ISERROR(SEARCH("MEDIANA",IR4)))</formula>
    </cfRule>
    <cfRule type="containsText" dxfId="5133" priority="7251" operator="containsText" text="BAJA">
      <formula>NOT(ISERROR(SEARCH("BAJA",IR4)))</formula>
    </cfRule>
  </conditionalFormatting>
  <conditionalFormatting sqref="IS4:IT6 IS14:IT14 IS9 IS16:IT18 IS21:IT21 IS28:IT28 IS41:IT41 IS46:IT47 IS57:IT57 IS61:IT62 IS64:IT64 IS71:IT71 IS78:IT78 IS85:IT85 IS88:IT88 IS90:IT92 IS94:IT96 IS99:IT104 IS97:IS98 IS110:IT119 IS106:IT108 IS121:IT126 IS128:IT130 IS147:IT154 IS156:IT157 IS159:IT165 IS132:IT145 IS168:IT248">
    <cfRule type="containsText" dxfId="5132" priority="7241" operator="containsText" text="NO APLICA">
      <formula>NOT(ISERROR(SEARCH("NO APLICA",IS4)))</formula>
    </cfRule>
    <cfRule type="containsText" dxfId="5131" priority="7242" operator="containsText" text="SIN">
      <formula>NOT(ISERROR(SEARCH("SIN",IS4)))</formula>
    </cfRule>
    <cfRule type="containsText" dxfId="5130" priority="7243" operator="containsText" text="EQUIPO">
      <formula>NOT(ISERROR(SEARCH("EQUIPO",IS4)))</formula>
    </cfRule>
    <cfRule type="containsText" dxfId="5129" priority="7244" operator="containsText" text="MEDICO TRADICIONAL">
      <formula>NOT(ISERROR(SEARCH("MEDICO TRADICIONAL",IS4)))</formula>
    </cfRule>
    <cfRule type="containsText" dxfId="5128" priority="7245" operator="containsText" text="PARTERA">
      <formula>NOT(ISERROR(SEARCH("PARTERA",IS4)))</formula>
    </cfRule>
    <cfRule type="containsText" dxfId="5127" priority="7246" operator="containsText" text="TÉCNICO">
      <formula>NOT(ISERROR(SEARCH("TÉCNICO",IS4)))</formula>
    </cfRule>
    <cfRule type="containsText" dxfId="5126" priority="7247" operator="containsText" text="PROFESIONAL">
      <formula>NOT(ISERROR(SEARCH("PROFESIONAL",IS4)))</formula>
    </cfRule>
  </conditionalFormatting>
  <conditionalFormatting sqref="JA4:JA248">
    <cfRule type="containsText" dxfId="5125" priority="7238" operator="containsText" text="SIN DATO">
      <formula>NOT(ISERROR(SEARCH("SIN DATO",JA4)))</formula>
    </cfRule>
    <cfRule type="containsText" dxfId="5124" priority="7239" operator="containsText" text="SIN COMPLICACION">
      <formula>NOT(ISERROR(SEARCH("SIN COMPLICACION",JA4)))</formula>
    </cfRule>
    <cfRule type="notContainsBlanks" dxfId="5123" priority="7515">
      <formula>LEN(TRIM(JA4))&gt;0</formula>
    </cfRule>
  </conditionalFormatting>
  <conditionalFormatting sqref="JO3:JO248 JE3:JE248">
    <cfRule type="containsText" dxfId="5122" priority="7234" operator="containsText" text="PREMATURO">
      <formula>NOT(ISERROR(SEARCH("PREMATURO",JE3)))</formula>
    </cfRule>
    <cfRule type="containsText" dxfId="5121" priority="7235" operator="containsText" text="GRANDE">
      <formula>NOT(ISERROR(SEARCH("GRANDE",JE3)))</formula>
    </cfRule>
    <cfRule type="containsText" dxfId="5120" priority="7236" operator="containsText" text="ADECUADO">
      <formula>NOT(ISERROR(SEARCH("ADECUADO",JE3)))</formula>
    </cfRule>
    <cfRule type="containsText" dxfId="5119" priority="7237" operator="containsText" text="BAJO">
      <formula>NOT(ISERROR(SEARCH("BAJO",JE3)))</formula>
    </cfRule>
  </conditionalFormatting>
  <conditionalFormatting sqref="JQ4:JQ248 JG4:JG248">
    <cfRule type="containsText" dxfId="5118" priority="7227" operator="containsText" text="SIN DATO">
      <formula>NOT(ISERROR(SEARCH("SIN DATO",JG4)))</formula>
    </cfRule>
    <cfRule type="containsText" dxfId="5117" priority="7228" operator="containsText" text="ANORMAL">
      <formula>NOT(ISERROR(SEARCH("ANORMAL",JG4)))</formula>
    </cfRule>
    <cfRule type="containsText" dxfId="5116" priority="7229" operator="containsText" text="NORMAL">
      <formula>NOT(ISERROR(SEARCH("NORMAL",JG4)))</formula>
    </cfRule>
  </conditionalFormatting>
  <conditionalFormatting sqref="JI4:JI9 JI12:JI19 JI21:JI23 JI25:JI30 JI32 JI36 JI41 JI43 JI46:JI47 JI49 JI53 JI57 JI59 JI61:JI64 JI70:JI71 JI77:JI78 JI81 JI84:JI85 JI88 JI91:JI92 JI94:JI112 JI114:JI119 JI121:JI135 JI147:JI154 JI156:JI157 JI159:JI165 JI137:JI145 JI168:JI248 JS4:JS248">
    <cfRule type="containsText" dxfId="5115" priority="7223" operator="containsText" text="NO APLICA">
      <formula>NOT(ISERROR(SEARCH("NO APLICA",JI4)))</formula>
    </cfRule>
    <cfRule type="containsText" dxfId="5114" priority="7224" operator="containsText" text="SIN DATO">
      <formula>NOT(ISERROR(SEARCH("SIN DATO",JI4)))</formula>
    </cfRule>
    <cfRule type="containsText" dxfId="5113" priority="7225" operator="containsText" text="NO">
      <formula>NOT(ISERROR(SEARCH("NO",JI4)))</formula>
    </cfRule>
    <cfRule type="containsText" dxfId="5112" priority="7226" operator="containsText" text="SI">
      <formula>NOT(ISERROR(SEARCH("SI",JI4)))</formula>
    </cfRule>
  </conditionalFormatting>
  <conditionalFormatting sqref="AK206:AK210 AK3:AK196 AK202:AK204 AK213:AK234">
    <cfRule type="containsText" dxfId="5111" priority="6763" operator="containsText" text="COMPLETAR EVALUACIÓN">
      <formula>NOT(ISERROR(SEARCH("COMPLETAR EVALUACIÓN",AK3)))</formula>
    </cfRule>
    <cfRule type="containsText" dxfId="5110" priority="7208" operator="containsText" text="CON RIESGO">
      <formula>NOT(ISERROR(SEARCH("CON RIESGO",AK3)))</formula>
    </cfRule>
    <cfRule type="containsText" dxfId="5109" priority="7209" operator="containsText" text="SIN RIESGO">
      <formula>NOT(ISERROR(SEARCH("SIN RIESGO",AK3)))</formula>
    </cfRule>
  </conditionalFormatting>
  <conditionalFormatting sqref="AI207 AI209:AI210 AI3:AI189 AI213:AI221">
    <cfRule type="containsText" dxfId="5108" priority="6734" operator="containsText" text="HABITANTE DE CALLE">
      <formula>NOT(ISERROR(SEARCH("HABITANTE DE CALLE",AI3)))</formula>
    </cfRule>
    <cfRule type="containsText" dxfId="5107" priority="7204" operator="containsText" text="NINGUNO">
      <formula>NOT(ISERROR(SEARCH("NINGUNO",AI3)))</formula>
    </cfRule>
    <cfRule type="containsText" dxfId="5106" priority="7205" operator="containsText" text="MIGRATORIA">
      <formula>NOT(ISERROR(SEARCH("MIGRATORIA",AI3)))</formula>
    </cfRule>
    <cfRule type="containsText" dxfId="5105" priority="7206" operator="containsText" text="DISCAPACIDAD">
      <formula>NOT(ISERROR(SEARCH("DISCAPACIDAD",AI3)))</formula>
    </cfRule>
    <cfRule type="containsText" dxfId="5104" priority="7207" operator="containsText" text="DESPLAZADA">
      <formula>NOT(ISERROR(SEARCH("DESPLAZADA",AI3)))</formula>
    </cfRule>
  </conditionalFormatting>
  <conditionalFormatting sqref="Q3:Q198 Q202:Q211 Q213:Q248">
    <cfRule type="containsText" dxfId="5103" priority="7149" operator="containsText" text="INMIGRANTE VENEZOLANA">
      <formula>NOT(ISERROR(SEARCH("INMIGRANTE VENEZOLANA",Q3)))</formula>
    </cfRule>
    <cfRule type="containsText" dxfId="5102" priority="7150" operator="containsText" text="SIN AFILIACIÓN A EPS">
      <formula>NOT(ISERROR(SEARCH("SIN AFILIACIÓN A EPS",Q3)))</formula>
    </cfRule>
  </conditionalFormatting>
  <conditionalFormatting sqref="HF4:HF248">
    <cfRule type="containsText" dxfId="5101" priority="6969" operator="containsText" text="COVID19 PUERPERIO">
      <formula>NOT(ISERROR(SEARCH("COVID19 PUERPERIO",HF4)))</formula>
    </cfRule>
    <cfRule type="containsText" dxfId="5100" priority="6970" operator="containsText" text="COVID19 TERCER TRIMESTRE">
      <formula>NOT(ISERROR(SEARCH("COVID19 TERCER TRIMESTRE",HF4)))</formula>
    </cfRule>
    <cfRule type="containsText" dxfId="5099" priority="6971" operator="containsText" text="COVID19 SEGUNDO TRIMESTRE">
      <formula>NOT(ISERROR(SEARCH("COVID19 SEGUNDO TRIMESTRE",HF4)))</formula>
    </cfRule>
    <cfRule type="containsText" dxfId="5098" priority="6972" operator="containsText" text="COVID19 PRIMER TRIMESTRE">
      <formula>NOT(ISERROR(SEARCH("COVID19 PRIMER TRIMESTRE",HF4)))</formula>
    </cfRule>
    <cfRule type="containsText" dxfId="5097" priority="6973" operator="containsText" text="FACTOR DE RIESGO">
      <formula>NOT(ISERROR(SEARCH("FACTOR DE RIESGO",HF4)))</formula>
    </cfRule>
    <cfRule type="containsText" dxfId="5096" priority="6974" operator="containsText" text="SIN INFECCIÓN">
      <formula>NOT(ISERROR(SEARCH("SIN INFECCIÓN",HF4)))</formula>
    </cfRule>
    <cfRule type="containsText" dxfId="5095" priority="6975" operator="containsText" text="NO SE EVALUA RIESGO INFECCIÓN COVID19">
      <formula>NOT(ISERROR(SEARCH("NO SE EVALUA RIESGO INFECCIÓN COVID19",HF4)))</formula>
    </cfRule>
  </conditionalFormatting>
  <conditionalFormatting sqref="BS2:BS248">
    <cfRule type="cellIs" dxfId="5094" priority="6968" operator="equal">
      <formula>"SIN SEMANAS X ECO"</formula>
    </cfRule>
  </conditionalFormatting>
  <conditionalFormatting sqref="D3:D248">
    <cfRule type="cellIs" dxfId="5093" priority="6960" operator="equal">
      <formula>"SIN DATO"</formula>
    </cfRule>
    <cfRule type="cellIs" dxfId="5092" priority="6961" operator="equal">
      <formula>"SIN ATENCIÓN"</formula>
    </cfRule>
    <cfRule type="cellIs" dxfId="5091" priority="6962" operator="equal">
      <formula>"PROCESO PARCIAL DE ATENCIÓN"</formula>
    </cfRule>
    <cfRule type="cellIs" dxfId="5090" priority="6963" operator="equal">
      <formula>"PROCESO COMPLETO DE ATENCIÓN"</formula>
    </cfRule>
  </conditionalFormatting>
  <conditionalFormatting sqref="CD206 CD209 CD225 CD230 CD233:CD248 CD3:CD161 CD163:CD203 CD212:CD222">
    <cfRule type="cellIs" dxfId="5089" priority="6955" operator="equal">
      <formula>"SD"</formula>
    </cfRule>
    <cfRule type="cellIs" dxfId="5088" priority="6956" operator="equal">
      <formula>"OBLICUA"</formula>
    </cfRule>
    <cfRule type="cellIs" dxfId="5087" priority="6958" operator="equal">
      <formula>"PODÁLICA"</formula>
    </cfRule>
    <cfRule type="cellIs" dxfId="5086" priority="6959" operator="equal">
      <formula>"CEFÁLICA"</formula>
    </cfRule>
  </conditionalFormatting>
  <conditionalFormatting sqref="FJ4:FJ169 FJ192:FJ212 FJ214:FJ248 FJ172:FJ176 FJ178:FJ189">
    <cfRule type="containsText" dxfId="5085" priority="6906" operator="containsText" text="POSITIVA CICATRIZ">
      <formula>NOT(ISERROR(SEARCH("POSITIVA CICATRIZ",FJ4)))</formula>
    </cfRule>
    <cfRule type="containsText" dxfId="5084" priority="6907" operator="containsText" text="POSITIVA CASO SIFILIS">
      <formula>NOT(ISERROR(SEARCH("POSITIVA CASO SIFILIS",FJ4)))</formula>
    </cfRule>
    <cfRule type="containsText" dxfId="5083" priority="6908" operator="containsText" text="NEGATIVA">
      <formula>NOT(ISERROR(SEARCH("NEGATIVA",FJ4)))</formula>
    </cfRule>
  </conditionalFormatting>
  <conditionalFormatting sqref="FM4:FM186 FM188:FM248 FS4:FS248 FP4:FP169 FP171:FP248">
    <cfRule type="containsText" dxfId="5082" priority="6865" operator="containsText" text="REINFECCIÓN">
      <formula>NOT(ISERROR(SEARCH("REINFECCIÓN",FM4)))</formula>
    </cfRule>
    <cfRule type="containsText" dxfId="5081" priority="6866" operator="containsText" text="DILUCIONES DISMINUYEN">
      <formula>NOT(ISERROR(SEARCH("DILUCIONES DISMINUYEN",FM4)))</formula>
    </cfRule>
    <cfRule type="containsText" dxfId="5080" priority="6867" operator="containsText" text="DILUCIONES ESTABLES">
      <formula>NOT(ISERROR(SEARCH("DILUCIONES ESTABLES",FM4)))</formula>
    </cfRule>
    <cfRule type="containsText" dxfId="5079" priority="6868" operator="containsText" text="POSITIVA CICATRIZ">
      <formula>NOT(ISERROR(SEARCH("POSITIVA CICATRIZ",FM4)))</formula>
    </cfRule>
    <cfRule type="containsText" dxfId="5078" priority="6869" operator="containsText" text="POSITIVA CASO SIFILIS">
      <formula>NOT(ISERROR(SEARCH("POSITIVA CASO SIFILIS",FM4)))</formula>
    </cfRule>
    <cfRule type="containsText" dxfId="5077" priority="6870" operator="containsText" text="NEGATIVA">
      <formula>NOT(ISERROR(SEARCH("NEGATIVA",FM4)))</formula>
    </cfRule>
  </conditionalFormatting>
  <conditionalFormatting sqref="GZ4:GZ248 HB4:HB248 HD4:HD248">
    <cfRule type="containsText" dxfId="5076" priority="6832" operator="containsText" text="INDETERMINADO">
      <formula>NOT(ISERROR(SEARCH("INDETERMINADO",GZ4)))</formula>
    </cfRule>
    <cfRule type="containsText" dxfId="5075" priority="6833" operator="containsText" text="NO TOMADO">
      <formula>NOT(ISERROR(SEARCH("NO TOMADO",GZ4)))</formula>
    </cfRule>
    <cfRule type="cellIs" dxfId="5074" priority="6835" operator="equal">
      <formula>"NEGATIVO"</formula>
    </cfRule>
    <cfRule type="cellIs" dxfId="5073" priority="6836" operator="equal">
      <formula>"POSITIVO"</formula>
    </cfRule>
  </conditionalFormatting>
  <conditionalFormatting sqref="DR3:DR248">
    <cfRule type="containsBlanks" priority="6803" stopIfTrue="1">
      <formula>LEN(TRIM(DR3))=0</formula>
    </cfRule>
    <cfRule type="cellIs" dxfId="5072" priority="6804" operator="greaterThanOrEqual">
      <formula>6</formula>
    </cfRule>
    <cfRule type="cellIs" dxfId="5071" priority="6805" operator="between">
      <formula>4</formula>
      <formula>5</formula>
    </cfRule>
    <cfRule type="cellIs" dxfId="5070" priority="6806" operator="between">
      <formula>0</formula>
      <formula>3</formula>
    </cfRule>
  </conditionalFormatting>
  <conditionalFormatting sqref="DU3:DU248">
    <cfRule type="cellIs" dxfId="5069" priority="6795" operator="between">
      <formula>28</formula>
      <formula>44</formula>
    </cfRule>
    <cfRule type="cellIs" dxfId="5068" priority="6797" operator="equal">
      <formula>"SALE SIN PLAN DE PARTO"</formula>
    </cfRule>
    <cfRule type="cellIs" dxfId="5067" priority="6798" operator="equal">
      <formula>"SALE PROGRAMA ANTES SEMANA 35"</formula>
    </cfRule>
    <cfRule type="cellIs" dxfId="5066" priority="6799" operator="equal">
      <formula>"EN ESPERA"</formula>
    </cfRule>
    <cfRule type="cellIs" dxfId="5065" priority="6800" operator="equal">
      <formula>"CONCERTAR PLAN DE PARTO INMEDIATO"</formula>
    </cfRule>
    <cfRule type="cellIs" dxfId="5064" priority="6801" operator="equal">
      <formula>"PLANEAR PLAN DE PARTO"</formula>
    </cfRule>
    <cfRule type="cellIs" dxfId="5063" priority="6802" operator="equal">
      <formula>"PLAN REALIZADO ANTES III TRIM"</formula>
    </cfRule>
  </conditionalFormatting>
  <conditionalFormatting sqref="HM3:HM248 DX3:DX248">
    <cfRule type="containsText" dxfId="5062" priority="6794" operator="containsText" text="DILIGENCIAR">
      <formula>NOT(ISERROR(SEARCH("DILIGENCIAR",DX3)))</formula>
    </cfRule>
  </conditionalFormatting>
  <conditionalFormatting sqref="IT4:IT6 IT14 IT16:IT18 IT21 IT28 IT41 IT46:IT47 IT57 IT61:IT62 IT64 IT71 IT78 IT85 IT88 IT90:IT92 IT94:IT96 IT99:IT104 IT110:IT119 IT106:IT108 IT121:IT126 IT128:IT130 IT147:IT154 IT156:IT157 IT159:IT165 IT132:IT145 IT168:IT248">
    <cfRule type="containsText" dxfId="5061" priority="6781" operator="containsText" text="LE HACEN CESÁREA SIN INICIO TRABAJO DE PARTO">
      <formula>NOT(ISERROR(SEARCH("LE HACEN CESÁREA SIN INICIO TRABAJO DE PARTO",IT4)))</formula>
    </cfRule>
    <cfRule type="containsText" dxfId="5060" priority="6782" operator="containsText" text="LE HACEN INDUCCIÓN">
      <formula>NOT(ISERROR(SEARCH("LE HACEN INDUCCIÓN",IT4)))</formula>
    </cfRule>
    <cfRule type="containsText" dxfId="5059" priority="6783" operator="containsText" text="ESPONTÁNEO">
      <formula>NOT(ISERROR(SEARCH("ESPONTÁNEO",IT4)))</formula>
    </cfRule>
  </conditionalFormatting>
  <conditionalFormatting sqref="FM187">
    <cfRule type="containsText" dxfId="5058" priority="6769" operator="containsText" text="DILUCIONES DISMINUYEN">
      <formula>NOT(ISERROR(SEARCH("DILUCIONES DISMINUYEN",FM187)))</formula>
    </cfRule>
    <cfRule type="containsText" dxfId="5057" priority="6770" operator="containsText" text="DILUCIONES ESTABLES">
      <formula>NOT(ISERROR(SEARCH("DILUCIONES ESTABLES",FM187)))</formula>
    </cfRule>
    <cfRule type="containsText" dxfId="5056" priority="6771" operator="containsText" text="POSITIVA CICATRIZ">
      <formula>NOT(ISERROR(SEARCH("POSITIVA CICATRIZ",FM187)))</formula>
    </cfRule>
    <cfRule type="containsText" dxfId="5055" priority="6772" operator="containsText" text="POSITIVA CASO SIFILIS">
      <formula>NOT(ISERROR(SEARCH("POSITIVA CASO SIFILIS",FM187)))</formula>
    </cfRule>
    <cfRule type="containsText" dxfId="5054" priority="6773" operator="containsText" text="NEGATIVA">
      <formula>NOT(ISERROR(SEARCH("NEGATIVA",FM187)))</formula>
    </cfRule>
  </conditionalFormatting>
  <conditionalFormatting sqref="AE204:AF204 AE237:AF237 AE208 AE206:AF207 AE209:AF210 AE3:AF189 AE213:AF221">
    <cfRule type="containsText" dxfId="5053" priority="6764" operator="containsText" text="NO">
      <formula>NOT(ISERROR(SEARCH("NO",AE3)))</formula>
    </cfRule>
    <cfRule type="containsText" dxfId="5052" priority="6765" operator="containsText" text="SI">
      <formula>NOT(ISERROR(SEARCH("SI",AE3)))</formula>
    </cfRule>
  </conditionalFormatting>
  <conditionalFormatting sqref="AD3:AD154 AD156:AD183 AD185 AD187:AD239">
    <cfRule type="containsText" dxfId="5051" priority="6760" operator="containsText" text="No Consume">
      <formula>NOT(ISERROR(SEARCH("No Consume",AD3)))</formula>
    </cfRule>
    <cfRule type="containsText" dxfId="5050" priority="6761" operator="containsText" text="Hasta Antes de la Gestación">
      <formula>NOT(ISERROR(SEARCH("Hasta Antes de la Gestación",AD3)))</formula>
    </cfRule>
    <cfRule type="containsText" dxfId="5049" priority="6762" operator="containsText" text="Consumo Actual">
      <formula>NOT(ISERROR(SEARCH("Consumo Actual",AD3)))</formula>
    </cfRule>
  </conditionalFormatting>
  <conditionalFormatting sqref="EV142 EV150:EW162 EV149 EV96:EW98 EV95 EV91:EW94 EV90 EV163 EV194:EV195 EV136:EW141 EV135 EV115 EV131:EW134 EV164:EW191 EV232:EW232 EV210 EV196:EW198 EV4:EW59 EV61:EW89 EV60 EX60 EV205 EV211:EW211 EV217:EW217 EV216 EV218 EV193:EW193 EV192 EV213:EW215 EV212 EV227:EW228 EV203:EW204 EV206:EW209 EV116:EW129 EV143:EW148 EV225:EV226 EV229:EV231 EV233 EV130 EV234:EW241 EV243:EW248 EV242 EV100:EW114 EV99 EV200:EW200 EV199 EV201:EV202 EV219:EW224">
    <cfRule type="containsText" dxfId="5048" priority="6689" operator="containsText" text="RH NEGATIVO SIN COOMB">
      <formula>NOT(ISERROR(SEARCH("RH NEGATIVO SIN COOMB",EV4)))</formula>
    </cfRule>
    <cfRule type="containsText" dxfId="5047" priority="6757" operator="containsText" text="RH NEGATIVO CON COOMBS POSITIVO">
      <formula>NOT(ISERROR(SEARCH("RH NEGATIVO CON COOMBS POSITIVO",EV4)))</formula>
    </cfRule>
    <cfRule type="containsText" dxfId="5046" priority="6758" operator="containsText" text="RH NEGATIVO CON COOMBS NEGATIVO">
      <formula>NOT(ISERROR(SEARCH("RH NEGATIVO CON COOMBS NEGATIVO",EV4)))</formula>
    </cfRule>
    <cfRule type="containsText" dxfId="5045" priority="6759" operator="containsText" text="RH POSITIVO">
      <formula>NOT(ISERROR(SEARCH("RH POSITIVO",EV4)))</formula>
    </cfRule>
  </conditionalFormatting>
  <conditionalFormatting sqref="BC209 BC3:BC189">
    <cfRule type="containsText" dxfId="5044" priority="6749" operator="containsText" text="SD">
      <formula>NOT(ISERROR(SEARCH("SD",BC3)))</formula>
    </cfRule>
    <cfRule type="containsText" dxfId="5043" priority="6750" operator="containsText" text="SI, NO CONTROLADA">
      <formula>NOT(ISERROR(SEARCH("SI, NO CONTROLADA",BC3)))</formula>
    </cfRule>
    <cfRule type="containsText" dxfId="5042" priority="6751" operator="containsText" text="SI, SIN MANEJO">
      <formula>NOT(ISERROR(SEARCH("SI, SIN MANEJO",BC3)))</formula>
    </cfRule>
    <cfRule type="containsText" dxfId="5041" priority="6752" operator="containsText" text="SI, CONTROLADA">
      <formula>NOT(ISERROR(SEARCH("SI, CONTROLADA",BC3)))</formula>
    </cfRule>
    <cfRule type="containsText" dxfId="5040" priority="6753" operator="containsText" text="NO">
      <formula>NOT(ISERROR(SEARCH("NO",BC3)))</formula>
    </cfRule>
  </conditionalFormatting>
  <conditionalFormatting sqref="CR4:CR155 CR157:CR212 CU4:CU204 CR214:CR248 CU206:CU248">
    <cfRule type="expression" dxfId="5039" priority="6745">
      <formula>IF(CT4="NO APLICA REGISTRO TA-INGRESO TARDIO",1,"")</formula>
    </cfRule>
  </conditionalFormatting>
  <conditionalFormatting sqref="CS4:CS155 CS157:CS212 CV4:CV204 CS214:CS248 CV206:CV248">
    <cfRule type="expression" dxfId="5038" priority="6744">
      <formula>IF(CT4="NO APLICA REGISTRO TA-INGRESO TARDIO",1,"")</formula>
    </cfRule>
  </conditionalFormatting>
  <conditionalFormatting sqref="FA4:FA212 FA214:FA248">
    <cfRule type="expression" dxfId="5037" priority="6737">
      <formula>IF(AND(FA4&gt;=126,FC4&lt;24),1,0)</formula>
    </cfRule>
  </conditionalFormatting>
  <conditionalFormatting sqref="BE219:BE221 BE209 BE3:BE189 BE213:BE215">
    <cfRule type="expression" dxfId="5036" priority="6735">
      <formula>IF(AND(FA3&gt;=126,FC3&lt;24),1,0)</formula>
    </cfRule>
  </conditionalFormatting>
  <conditionalFormatting sqref="L230 L232:L235 L207:L210 L3:L125 L164:L175 L157:L162 L152:L155 L127:L150 L177:L199 L213:L227">
    <cfRule type="containsText" dxfId="5035" priority="6711" operator="containsText" text="Empleo informal">
      <formula>NOT(ISERROR(SEARCH("Empleo informal",L3)))</formula>
    </cfRule>
    <cfRule type="containsText" dxfId="5034" priority="6712" operator="containsText" text="Empleada formalmente con riesgo a tóxicos">
      <formula>NOT(ISERROR(SEARCH("Empleada formalmente con riesgo a tóxicos",L3)))</formula>
    </cfRule>
    <cfRule type="containsText" dxfId="5033" priority="6713" operator="containsText" text="Empleada formalmente con riesgo de accidente laboral">
      <formula>NOT(ISERROR(SEARCH("Empleada formalmente con riesgo de accidente laboral",L3)))</formula>
    </cfRule>
    <cfRule type="containsText" dxfId="5032" priority="6714" operator="containsText" text="Empleada formalmente por jornada laboral extensa">
      <formula>NOT(ISERROR(SEARCH("Empleada formalmente por jornada laboral extensa",L3)))</formula>
    </cfRule>
    <cfRule type="containsText" dxfId="5031" priority="6715" operator="containsText" text="Empleada formalmente sin riesgo">
      <formula>NOT(ISERROR(SEARCH("Empleada formalmente sin riesgo",L3)))</formula>
    </cfRule>
    <cfRule type="containsText" dxfId="5030" priority="6716" operator="containsText" text="Actualmente desempleada">
      <formula>NOT(ISERROR(SEARCH("Actualmente desempleada",L3)))</formula>
    </cfRule>
    <cfRule type="containsText" dxfId="5029" priority="6717" operator="containsText" text="Hogar sin apoyo">
      <formula>NOT(ISERROR(SEARCH("Hogar sin apoyo",L3)))</formula>
    </cfRule>
    <cfRule type="containsText" dxfId="5028" priority="6718" operator="containsText" text="Empleada formalmente sin riesgo">
      <formula>NOT(ISERROR(SEARCH("Empleada formalmente sin riesgo",L3)))</formula>
    </cfRule>
    <cfRule type="containsText" dxfId="5027" priority="6719" operator="containsText" text="Hogar Con apoyo">
      <formula>NOT(ISERROR(SEARCH("Hogar Con apoyo",L3)))</formula>
    </cfRule>
  </conditionalFormatting>
  <conditionalFormatting sqref="DT3:DT248">
    <cfRule type="containsText" dxfId="5026" priority="6706" operator="containsText" text="Sin Acuerdo">
      <formula>NOT(ISERROR(SEARCH("Sin Acuerdo",DT3)))</formula>
    </cfRule>
    <cfRule type="containsText" dxfId="5025" priority="6707" operator="containsText" text="Sin Dato">
      <formula>NOT(ISERROR(SEARCH("Sin Dato",DT3)))</formula>
    </cfRule>
    <cfRule type="containsText" dxfId="5024" priority="6708" operator="containsText" text="IPS Remisión fuera Mpio">
      <formula>NOT(ISERROR(SEARCH("IPS Remisión fuera Mpio",DT3)))</formula>
    </cfRule>
    <cfRule type="containsText" dxfId="5023" priority="6709" operator="containsText" text="Domiciliario">
      <formula>NOT(ISERROR(SEARCH("Domiciliario",DT3)))</formula>
    </cfRule>
    <cfRule type="containsText" dxfId="5022" priority="6710" operator="containsText" text="IPS dentro Mpio">
      <formula>NOT(ISERROR(SEARCH("IPS dentro Mpio",DT3)))</formula>
    </cfRule>
  </conditionalFormatting>
  <conditionalFormatting sqref="IB4:IB248">
    <cfRule type="containsText" dxfId="5021" priority="6703" operator="containsText" text="NO Firma Disentimiento">
      <formula>NOT(ISERROR(SEARCH("NO Firma Disentimiento",IB4)))</formula>
    </cfRule>
    <cfRule type="containsText" dxfId="5020" priority="6704" operator="containsText" text="Firma Disentimiento">
      <formula>NOT(ISERROR(SEARCH("Firma Disentimiento",IB4)))</formula>
    </cfRule>
    <cfRule type="containsText" dxfId="5019" priority="6705" operator="containsText" text="No Vacunada">
      <formula>NOT(ISERROR(SEARCH("No Vacunada",IB4)))</formula>
    </cfRule>
  </conditionalFormatting>
  <conditionalFormatting sqref="GY4:GY248">
    <cfRule type="containsText" dxfId="5018" priority="6700" operator="containsText" text="Nunca se ha tomado / No vigente">
      <formula>NOT(ISERROR(SEARCH("Nunca se ha tomado / No vigente",GY4)))</formula>
    </cfRule>
    <cfRule type="containsText" dxfId="5017" priority="6701" operator="containsText" text="Esquema vigente – Alterado">
      <formula>NOT(ISERROR(SEARCH("Esquema vigente – Alterado",GY4)))</formula>
    </cfRule>
    <cfRule type="containsText" dxfId="5016" priority="6702" operator="containsText" text="Esquema vigente – Normal">
      <formula>NOT(ISERROR(SEARCH("Esquema vigente – Normal",GY4)))</formula>
    </cfRule>
  </conditionalFormatting>
  <conditionalFormatting sqref="ET3:ET248">
    <cfRule type="containsText" dxfId="5015" priority="6693" operator="containsText" text="NO APLICA-SALE ANTES SEM 28">
      <formula>NOT(ISERROR(SEARCH("NO APLICA-SALE ANTES SEM 28",ET3)))</formula>
    </cfRule>
    <cfRule type="containsText" dxfId="5014" priority="6694" operator="containsText" text="SALE SIN TAMIZAJE HEMOGLOBINA SEM 28">
      <formula>NOT(ISERROR(SEARCH("SALE SIN TAMIZAJE HEMOGLOBINA SEM 28",ET3)))</formula>
    </cfRule>
    <cfRule type="containsText" dxfId="5013" priority="6695" operator="containsText" text="EN ESPERA PARA TOMA EXAMEN">
      <formula>NOT(ISERROR(SEARCH("EN ESPERA PARA TOMA EXAMEN",ET3)))</formula>
    </cfRule>
    <cfRule type="containsText" dxfId="5012" priority="6696" operator="containsText" text="TOMA DE HEMOGLOBINA TARDÍA">
      <formula>NOT(ISERROR(SEARCH("TOMA DE HEMOGLOBINA TARDÍA",ET3)))</formula>
    </cfRule>
    <cfRule type="containsText" dxfId="5011" priority="6697" operator="containsText" text="EN SEMANA 28 TOMA INMEDIATA DE EXAMEN">
      <formula>NOT(ISERROR(SEARCH("EN SEMANA 28 TOMA INMEDIATA DE EXAMEN",ET3)))</formula>
    </cfRule>
    <cfRule type="containsText" dxfId="5010" priority="6698" operator="containsText" text="TOMA HEMOGLOBINA A SEM 28 EN 1 SEMANA">
      <formula>NOT(ISERROR(SEARCH("TOMA HEMOGLOBINA A SEM 28 EN 1 SEMANA",ET3)))</formula>
    </cfRule>
    <cfRule type="containsText" dxfId="5009" priority="6699" operator="containsText" text="PROGRAMAR TOMA HEMOGLOBINA A SEM 28">
      <formula>NOT(ISERROR(SEARCH("PROGRAMAR TOMA HEMOGLOBINA A SEM 28",ET3)))</formula>
    </cfRule>
  </conditionalFormatting>
  <conditionalFormatting sqref="EV3">
    <cfRule type="containsText" dxfId="5008" priority="6682" operator="containsText" text="RH NEGATIVO SIN COOMB">
      <formula>NOT(ISERROR(SEARCH("RH NEGATIVO SIN COOMB",EV3)))</formula>
    </cfRule>
    <cfRule type="containsText" dxfId="5007" priority="6683" operator="containsText" text="RH NEGATIVO CON COOMBS POSITIVO">
      <formula>NOT(ISERROR(SEARCH("RH NEGATIVO CON COOMBS POSITIVO",EV3)))</formula>
    </cfRule>
    <cfRule type="containsText" dxfId="5006" priority="6684" operator="containsText" text="RH NEGATIVO CON COOMBS NEGATIVO">
      <formula>NOT(ISERROR(SEARCH("RH NEGATIVO CON COOMBS NEGATIVO",EV3)))</formula>
    </cfRule>
    <cfRule type="containsText" dxfId="5005" priority="6685" operator="containsText" text="RH POSITIVO">
      <formula>NOT(ISERROR(SEARCH("RH POSITIVO",EV3)))</formula>
    </cfRule>
  </conditionalFormatting>
  <conditionalFormatting sqref="EZ3:EZ248">
    <cfRule type="cellIs" dxfId="5004" priority="6666" operator="between">
      <formula>1</formula>
      <formula>27.99</formula>
    </cfRule>
    <cfRule type="cellIs" dxfId="5003" priority="6667" operator="between">
      <formula>28</formula>
      <formula>28.99</formula>
    </cfRule>
    <cfRule type="cellIs" dxfId="5002" priority="6668" operator="between">
      <formula>29</formula>
      <formula>42</formula>
    </cfRule>
    <cfRule type="containsText" dxfId="5001" priority="6669" operator="containsText" text="DEBE APLICAR RHESUMAN, ES NO OPORTUNO &gt; 28 SEMANAS">
      <formula>NOT(ISERROR(SEARCH("DEBE APLICAR RHESUMAN, ES NO OPORTUNO &gt; 28 SEMANAS",EZ3)))</formula>
    </cfRule>
    <cfRule type="containsText" dxfId="5000" priority="6670" operator="containsText" text="SEMANA 28 APLICAR DE INMEDIATO RHESUMAN">
      <formula>NOT(ISERROR(SEARCH("SEMANA 28 APLICAR DE INMEDIATO RHESUMAN",EZ3)))</formula>
    </cfRule>
    <cfRule type="containsText" dxfId="4999" priority="6671" operator="containsText" text="FALTAN 1 SEMANAS PARA APLICAR RHESUMAN A SEM 28">
      <formula>NOT(ISERROR(SEARCH("FALTAN 1 SEMANAS PARA APLICAR RHESUMAN A SEM 28",EZ3)))</formula>
    </cfRule>
    <cfRule type="containsText" dxfId="4998" priority="6672" operator="containsText" text="FALTAN DE 4 A 2 SEMANAS PARA APLICAR RHESUMAN A SEM 28">
      <formula>NOT(ISERROR(SEARCH("FALTAN DE 4 A 2 SEMANAS PARA APLICAR RHESUMAN A SEM 28",EZ3)))</formula>
    </cfRule>
    <cfRule type="containsText" dxfId="4997" priority="6681" operator="containsText" text="TOMAR COOMBS INMEDIATO">
      <formula>NOT(ISERROR(SEARCH("TOMAR COOMBS INMEDIATO",EZ3)))</formula>
    </cfRule>
    <cfRule type="containsText" dxfId="4996" priority="6754" operator="containsText" text="TOMAR COOMBS CUANTITATIVO Y REMISIÓN">
      <formula>NOT(ISERROR(SEARCH("TOMAR COOMBS CUANTITATIVO Y REMISIÓN",EZ3)))</formula>
    </cfRule>
    <cfRule type="containsText" dxfId="4995" priority="6755" operator="containsText" text="COOMBS C/MES Y RHESUMAN SEM 28">
      <formula>NOT(ISERROR(SEARCH("COOMBS C/MES Y RHESUMAN SEM 28",EZ3)))</formula>
    </cfRule>
    <cfRule type="containsText" dxfId="4994" priority="6756" operator="containsText" text="SIN RIESGO DE ISOINMUNIZACIÓN">
      <formula>NOT(ISERROR(SEARCH("SIN RIESGO DE ISOINMUNIZACIÓN",EZ3)))</formula>
    </cfRule>
  </conditionalFormatting>
  <conditionalFormatting sqref="EW3">
    <cfRule type="containsText" dxfId="4993" priority="6673" operator="containsText" text="RH NEGATIVO SIN COOMB">
      <formula>NOT(ISERROR(SEARCH("RH NEGATIVO SIN COOMB",EW3)))</formula>
    </cfRule>
    <cfRule type="containsText" dxfId="4992" priority="6674" operator="containsText" text="RH NEGATIVO CON COOMBS POSITIVO">
      <formula>NOT(ISERROR(SEARCH("RH NEGATIVO CON COOMBS POSITIVO",EW3)))</formula>
    </cfRule>
    <cfRule type="containsText" dxfId="4991" priority="6675" operator="containsText" text="RH NEGATIVO CON COOMBS NEGATIVO">
      <formula>NOT(ISERROR(SEARCH("RH NEGATIVO CON COOMBS NEGATIVO",EW3)))</formula>
    </cfRule>
    <cfRule type="containsText" dxfId="4990" priority="6676" operator="containsText" text="RH POSITIVO">
      <formula>NOT(ISERROR(SEARCH("RH POSITIVO",EW3)))</formula>
    </cfRule>
  </conditionalFormatting>
  <conditionalFormatting sqref="FA3">
    <cfRule type="expression" dxfId="4989" priority="6665">
      <formula>IF(AND(FA3&gt;=126,FC3&lt;24),1,0)</formula>
    </cfRule>
  </conditionalFormatting>
  <conditionalFormatting sqref="FR3:FR248 FO3:FO248">
    <cfRule type="containsText" dxfId="4988" priority="6659" operator="containsText" text="NO APLICA">
      <formula>NOT(ISERROR(SEARCH("NO APLICA",FO3)))</formula>
    </cfRule>
    <cfRule type="containsText" dxfId="4987" priority="6660" operator="containsText" text="PIERDE">
      <formula>NOT(ISERROR(SEARCH("PIERDE",FO3)))</formula>
    </cfRule>
    <cfRule type="containsText" dxfId="4986" priority="6661" operator="containsText" text="REGISTRAR">
      <formula>NOT(ISERROR(SEARCH("REGISTRAR",FO3)))</formula>
    </cfRule>
    <cfRule type="containsText" dxfId="4985" priority="6662" operator="containsText" text="EN ESPERA">
      <formula>NOT(ISERROR(SEARCH("EN ESPERA",FO3)))</formula>
    </cfRule>
    <cfRule type="containsText" dxfId="4984" priority="6663" operator="containsText" text="RANGO">
      <formula>NOT(ISERROR(SEARCH("RANGO",FO3)))</formula>
    </cfRule>
    <cfRule type="containsText" dxfId="4983" priority="6664" operator="containsText" text="INMEDIATA">
      <formula>NOT(ISERROR(SEARCH("INMEDIATA",FO3)))</formula>
    </cfRule>
  </conditionalFormatting>
  <conditionalFormatting sqref="FO3:FO248">
    <cfRule type="cellIs" dxfId="4982" priority="6658" operator="between">
      <formula>12</formula>
      <formula>28</formula>
    </cfRule>
  </conditionalFormatting>
  <conditionalFormatting sqref="FR3:FR248">
    <cfRule type="cellIs" dxfId="4981" priority="6654" operator="between">
      <formula>28</formula>
      <formula>44</formula>
    </cfRule>
  </conditionalFormatting>
  <conditionalFormatting sqref="GA3:GA248">
    <cfRule type="containsText" dxfId="4980" priority="6643" operator="containsText" text="NO APLICA">
      <formula>NOT(ISERROR(SEARCH("NO APLICA",GA3)))</formula>
    </cfRule>
    <cfRule type="containsText" dxfId="4979" priority="6644" operator="containsText" text="PIERDE">
      <formula>NOT(ISERROR(SEARCH("PIERDE",GA3)))</formula>
    </cfRule>
    <cfRule type="containsText" dxfId="4978" priority="6645" operator="containsText" text="REGISTRAR">
      <formula>NOT(ISERROR(SEARCH("REGISTRAR",GA3)))</formula>
    </cfRule>
    <cfRule type="cellIs" dxfId="4977" priority="6646" operator="between">
      <formula>0</formula>
      <formula>13</formula>
    </cfRule>
    <cfRule type="containsText" dxfId="4976" priority="6647" operator="containsText" text="EN ESPERA">
      <formula>NOT(ISERROR(SEARCH("EN ESPERA",GA3)))</formula>
    </cfRule>
    <cfRule type="containsText" dxfId="4975" priority="6648" operator="containsText" text="RANGO">
      <formula>NOT(ISERROR(SEARCH("RANGO",GA3)))</formula>
    </cfRule>
    <cfRule type="containsText" dxfId="4974" priority="6649" operator="containsText" text="INMEDIATA">
      <formula>NOT(ISERROR(SEARCH("INMEDIATA",GA3)))</formula>
    </cfRule>
  </conditionalFormatting>
  <conditionalFormatting sqref="GD3:GD248">
    <cfRule type="containsText" dxfId="4973" priority="6636" operator="containsText" text="NO APLICA">
      <formula>NOT(ISERROR(SEARCH("NO APLICA",GD3)))</formula>
    </cfRule>
    <cfRule type="containsText" dxfId="4972" priority="6637" operator="containsText" text="PIERDE">
      <formula>NOT(ISERROR(SEARCH("PIERDE",GD3)))</formula>
    </cfRule>
    <cfRule type="containsText" dxfId="4971" priority="6638" operator="containsText" text="REGISTRAR">
      <formula>NOT(ISERROR(SEARCH("REGISTRAR",GD3)))</formula>
    </cfRule>
    <cfRule type="cellIs" dxfId="4970" priority="6639" operator="between">
      <formula>12</formula>
      <formula>28</formula>
    </cfRule>
    <cfRule type="containsText" dxfId="4969" priority="6640" operator="containsText" text="EN ESPERA">
      <formula>NOT(ISERROR(SEARCH("EN ESPERA",GD3)))</formula>
    </cfRule>
    <cfRule type="containsText" dxfId="4968" priority="6641" operator="containsText" text="RANGO">
      <formula>NOT(ISERROR(SEARCH("RANGO",GD3)))</formula>
    </cfRule>
    <cfRule type="containsText" dxfId="4967" priority="6642" operator="containsText" text="INMEDIATA">
      <formula>NOT(ISERROR(SEARCH("INMEDIATA",GD3)))</formula>
    </cfRule>
  </conditionalFormatting>
  <conditionalFormatting sqref="GG3:GG248">
    <cfRule type="containsText" dxfId="4966" priority="6629" operator="containsText" text="NO APLICA">
      <formula>NOT(ISERROR(SEARCH("NO APLICA",GG3)))</formula>
    </cfRule>
    <cfRule type="containsText" dxfId="4965" priority="6630" operator="containsText" text="PIERDE">
      <formula>NOT(ISERROR(SEARCH("PIERDE",GG3)))</formula>
    </cfRule>
    <cfRule type="containsText" dxfId="4964" priority="6631" operator="containsText" text="REGISTRAR">
      <formula>NOT(ISERROR(SEARCH("REGISTRAR",GG3)))</formula>
    </cfRule>
    <cfRule type="cellIs" dxfId="4963" priority="6632" operator="between">
      <formula>28</formula>
      <formula>44</formula>
    </cfRule>
    <cfRule type="containsText" dxfId="4962" priority="6633" operator="containsText" text="EN ESPERA">
      <formula>NOT(ISERROR(SEARCH("EN ESPERA",GG3)))</formula>
    </cfRule>
    <cfRule type="containsText" dxfId="4961" priority="6634" operator="containsText" text="RANGO">
      <formula>NOT(ISERROR(SEARCH("RANGO",GG3)))</formula>
    </cfRule>
    <cfRule type="containsText" dxfId="4960" priority="6635" operator="containsText" text="INMEDIATA">
      <formula>NOT(ISERROR(SEARCH("INMEDIATA",GG3)))</formula>
    </cfRule>
  </conditionalFormatting>
  <conditionalFormatting sqref="HK3:HK248">
    <cfRule type="cellIs" dxfId="4959" priority="6603" operator="equal">
      <formula>"SIN ANTECEDENTES DE RIESGO"</formula>
    </cfRule>
    <cfRule type="containsText" dxfId="4958" priority="6609" operator="containsText" text="ASA">
      <formula>NOT(ISERROR(SEARCH("ASA",HK3)))</formula>
    </cfRule>
  </conditionalFormatting>
  <conditionalFormatting sqref="HI3:HI248">
    <cfRule type="cellIs" dxfId="4957" priority="6606" operator="equal">
      <formula>"CON RIESGO"</formula>
    </cfRule>
    <cfRule type="containsText" dxfId="4956" priority="6607" operator="containsText" text="BAJO">
      <formula>NOT(ISERROR(SEARCH("BAJO",HI3)))</formula>
    </cfRule>
    <cfRule type="containsText" dxfId="4955" priority="6608" operator="containsText" text="ALTO">
      <formula>NOT(ISERROR(SEARCH("ALTO",HI3)))</formula>
    </cfRule>
  </conditionalFormatting>
  <conditionalFormatting sqref="HG3:HH248">
    <cfRule type="notContainsBlanks" dxfId="4954" priority="6610">
      <formula>LEN(TRIM(HG3))&gt;0</formula>
    </cfRule>
  </conditionalFormatting>
  <conditionalFormatting sqref="HG3:HG248">
    <cfRule type="cellIs" dxfId="4953" priority="6605" operator="equal">
      <formula>"******"</formula>
    </cfRule>
  </conditionalFormatting>
  <conditionalFormatting sqref="HH3:HH248">
    <cfRule type="cellIs" dxfId="4952" priority="6604" operator="equal">
      <formula>"************"</formula>
    </cfRule>
  </conditionalFormatting>
  <conditionalFormatting sqref="HJ3:HJ248">
    <cfRule type="cellIs" dxfId="4951" priority="6601" operator="equal">
      <formula>"***************************************"</formula>
    </cfRule>
    <cfRule type="notContainsBlanks" dxfId="4950" priority="6602">
      <formula>LEN(TRIM(HJ3))&gt;0</formula>
    </cfRule>
  </conditionalFormatting>
  <conditionalFormatting sqref="HR3:HR248">
    <cfRule type="containsText" dxfId="4949" priority="6593" operator="containsText" text="Iniciar de inmediato ASA">
      <formula>NOT(ISERROR(SEARCH("Iniciar de inmediato ASA",HR3)))</formula>
    </cfRule>
    <cfRule type="containsText" dxfId="4948" priority="6594" operator="containsText" text="Inicio no oportuno mayor a 16 semanas">
      <formula>NOT(ISERROR(SEARCH("Inicio no oportuno mayor a 16 semanas",HR3)))</formula>
    </cfRule>
    <cfRule type="containsText" dxfId="4947" priority="6595" operator="containsText" text="Pierde Oportunidad, Inicio tardío de ASA">
      <formula>NOT(ISERROR(SEARCH("Pierde Oportunidad, Inicio tardío de ASA",HR3)))</formula>
    </cfRule>
    <cfRule type="containsText" dxfId="4946" priority="6596" operator="containsText" text="Pendiente Inicio de ASA a la semana 12">
      <formula>NOT(ISERROR(SEARCH("Pendiente Inicio de ASA a la semana 12",HR3)))</formula>
    </cfRule>
    <cfRule type="containsText" dxfId="4945" priority="6597" operator="containsText" text="Inicia ASA ANTES de Sem 12">
      <formula>NOT(ISERROR(SEARCH("Inicia ASA ANTES de Sem 12",HR3)))</formula>
    </cfRule>
    <cfRule type="containsText" dxfId="4944" priority="6598" operator="containsText" text="Inicio oportuno de ASA">
      <formula>NOT(ISERROR(SEARCH("Inicio oportuno de ASA",HR3)))</formula>
    </cfRule>
    <cfRule type="containsText" dxfId="4943" priority="6599" operator="containsText" text="No Aplica para suministro de ASA">
      <formula>NOT(ISERROR(SEARCH("No Aplica para suministro de ASA",HR3)))</formula>
    </cfRule>
  </conditionalFormatting>
  <conditionalFormatting sqref="FG3:FG248">
    <cfRule type="containsText" dxfId="4942" priority="6566" operator="containsText" text="COMPLETA">
      <formula>NOT(ISERROR(SEARCH("COMPLETA",FG3)))</formula>
    </cfRule>
  </conditionalFormatting>
  <conditionalFormatting sqref="FG3:FG248">
    <cfRule type="containsText" dxfId="4941" priority="6561" operator="containsText" text="NORMAL,">
      <formula>NOT(ISERROR(SEARCH("NORMAL,",FG3)))</formula>
    </cfRule>
    <cfRule type="containsText" dxfId="4940" priority="6562" operator="containsText" text="PROGRAMAR">
      <formula>NOT(ISERROR(SEARCH("PROGRAMAR",FG3)))</formula>
    </cfRule>
    <cfRule type="containsText" dxfId="4939" priority="6563" operator="containsText" text="NORMAL">
      <formula>NOT(ISERROR(SEARCH("NORMAL",FG3)))</formula>
    </cfRule>
    <cfRule type="containsText" dxfId="4938" priority="6564" operator="containsText" text="DIABETES">
      <formula>NOT(ISERROR(SEARCH("DIABETES",FG3)))</formula>
    </cfRule>
    <cfRule type="containsText" dxfId="4937" priority="6565" operator="containsText" text="TOMAR">
      <formula>NOT(ISERROR(SEARCH("TOMAR",FG3)))</formula>
    </cfRule>
  </conditionalFormatting>
  <conditionalFormatting sqref="FJ3">
    <cfRule type="containsText" dxfId="4936" priority="6558" operator="containsText" text="POSITIVA CICATRIZ">
      <formula>NOT(ISERROR(SEARCH("POSITIVA CICATRIZ",FJ3)))</formula>
    </cfRule>
    <cfRule type="containsText" dxfId="4935" priority="6559" operator="containsText" text="POSITIVA CASO SIFILIS">
      <formula>NOT(ISERROR(SEARCH("POSITIVA CASO SIFILIS",FJ3)))</formula>
    </cfRule>
    <cfRule type="containsText" dxfId="4934" priority="6560" operator="containsText" text="NEGATIVA">
      <formula>NOT(ISERROR(SEARCH("NEGATIVA",FJ3)))</formula>
    </cfRule>
  </conditionalFormatting>
  <conditionalFormatting sqref="FL3:FL248">
    <cfRule type="containsText" dxfId="4933" priority="6551" operator="containsText" text="NO APLICA">
      <formula>NOT(ISERROR(SEARCH("NO APLICA",FL3)))</formula>
    </cfRule>
    <cfRule type="containsText" dxfId="4932" priority="6552" operator="containsText" text="PIERDE">
      <formula>NOT(ISERROR(SEARCH("PIERDE",FL3)))</formula>
    </cfRule>
    <cfRule type="containsText" dxfId="4931" priority="6553" operator="containsText" text="REGISTRAR">
      <formula>NOT(ISERROR(SEARCH("REGISTRAR",FL3)))</formula>
    </cfRule>
    <cfRule type="cellIs" dxfId="4930" priority="6554" operator="between">
      <formula>0</formula>
      <formula>13</formula>
    </cfRule>
    <cfRule type="containsText" dxfId="4929" priority="6555" operator="containsText" text="EN ESPERA">
      <formula>NOT(ISERROR(SEARCH("EN ESPERA",FL3)))</formula>
    </cfRule>
    <cfRule type="containsText" dxfId="4928" priority="6556" operator="containsText" text="RANGO">
      <formula>NOT(ISERROR(SEARCH("RANGO",FL3)))</formula>
    </cfRule>
    <cfRule type="containsText" dxfId="4927" priority="6557" operator="containsText" text="INMEDIATA">
      <formula>NOT(ISERROR(SEARCH("INMEDIATA",FL3)))</formula>
    </cfRule>
  </conditionalFormatting>
  <conditionalFormatting sqref="FM3">
    <cfRule type="containsText" dxfId="4926" priority="6545" operator="containsText" text="REINFECCIÓN">
      <formula>NOT(ISERROR(SEARCH("REINFECCIÓN",FM3)))</formula>
    </cfRule>
    <cfRule type="containsText" dxfId="4925" priority="6546" operator="containsText" text="DILUCIONES DISMINUYEN">
      <formula>NOT(ISERROR(SEARCH("DILUCIONES DISMINUYEN",FM3)))</formula>
    </cfRule>
    <cfRule type="containsText" dxfId="4924" priority="6547" operator="containsText" text="DILUCIONES ESTABLES">
      <formula>NOT(ISERROR(SEARCH("DILUCIONES ESTABLES",FM3)))</formula>
    </cfRule>
    <cfRule type="containsText" dxfId="4923" priority="6548" operator="containsText" text="POSITIVA CICATRIZ">
      <formula>NOT(ISERROR(SEARCH("POSITIVA CICATRIZ",FM3)))</formula>
    </cfRule>
    <cfRule type="containsText" dxfId="4922" priority="6549" operator="containsText" text="POSITIVA CASO SIFILIS">
      <formula>NOT(ISERROR(SEARCH("POSITIVA CASO SIFILIS",FM3)))</formula>
    </cfRule>
    <cfRule type="containsText" dxfId="4921" priority="6550" operator="containsText" text="NEGATIVA">
      <formula>NOT(ISERROR(SEARCH("NEGATIVA",FM3)))</formula>
    </cfRule>
  </conditionalFormatting>
  <conditionalFormatting sqref="FP3">
    <cfRule type="containsText" dxfId="4920" priority="6539" operator="containsText" text="REINFECCIÓN">
      <formula>NOT(ISERROR(SEARCH("REINFECCIÓN",FP3)))</formula>
    </cfRule>
    <cfRule type="containsText" dxfId="4919" priority="6540" operator="containsText" text="DILUCIONES DISMINUYEN">
      <formula>NOT(ISERROR(SEARCH("DILUCIONES DISMINUYEN",FP3)))</formula>
    </cfRule>
    <cfRule type="containsText" dxfId="4918" priority="6541" operator="containsText" text="DILUCIONES ESTABLES">
      <formula>NOT(ISERROR(SEARCH("DILUCIONES ESTABLES",FP3)))</formula>
    </cfRule>
    <cfRule type="containsText" dxfId="4917" priority="6542" operator="containsText" text="POSITIVA CICATRIZ">
      <formula>NOT(ISERROR(SEARCH("POSITIVA CICATRIZ",FP3)))</formula>
    </cfRule>
    <cfRule type="containsText" dxfId="4916" priority="6543" operator="containsText" text="POSITIVA CASO SIFILIS">
      <formula>NOT(ISERROR(SEARCH("POSITIVA CASO SIFILIS",FP3)))</formula>
    </cfRule>
    <cfRule type="containsText" dxfId="4915" priority="6544" operator="containsText" text="NEGATIVA">
      <formula>NOT(ISERROR(SEARCH("NEGATIVA",FP3)))</formula>
    </cfRule>
  </conditionalFormatting>
  <conditionalFormatting sqref="FU3:FU248">
    <cfRule type="containsText" dxfId="4914" priority="6538" operator="containsText" text="GESTACIONAL">
      <formula>NOT(ISERROR(SEARCH("GESTACIONAL",FU3)))</formula>
    </cfRule>
  </conditionalFormatting>
  <conditionalFormatting sqref="FV3">
    <cfRule type="containsText" dxfId="4913" priority="6536" operator="containsText" text="POSITIVO">
      <formula>NOT(ISERROR(SEARCH("POSITIVO",FV3)))</formula>
    </cfRule>
    <cfRule type="containsText" dxfId="4912" priority="6537" operator="containsText" text="NEGATIVO">
      <formula>NOT(ISERROR(SEARCH("NEGATIVO",FV3)))</formula>
    </cfRule>
  </conditionalFormatting>
  <conditionalFormatting sqref="FS3">
    <cfRule type="containsText" dxfId="4911" priority="6530" operator="containsText" text="REINFECCIÓN">
      <formula>NOT(ISERROR(SEARCH("REINFECCIÓN",FS3)))</formula>
    </cfRule>
    <cfRule type="containsText" dxfId="4910" priority="6531" operator="containsText" text="DILUCIONES DISMINUYEN">
      <formula>NOT(ISERROR(SEARCH("DILUCIONES DISMINUYEN",FS3)))</formula>
    </cfRule>
    <cfRule type="containsText" dxfId="4909" priority="6532" operator="containsText" text="DILUCIONES ESTABLES">
      <formula>NOT(ISERROR(SEARCH("DILUCIONES ESTABLES",FS3)))</formula>
    </cfRule>
    <cfRule type="containsText" dxfId="4908" priority="6533" operator="containsText" text="POSITIVA CICATRIZ">
      <formula>NOT(ISERROR(SEARCH("POSITIVA CICATRIZ",FS3)))</formula>
    </cfRule>
    <cfRule type="containsText" dxfId="4907" priority="6534" operator="containsText" text="POSITIVA CASO SIFILIS">
      <formula>NOT(ISERROR(SEARCH("POSITIVA CASO SIFILIS",FS3)))</formula>
    </cfRule>
    <cfRule type="containsText" dxfId="4906" priority="6535" operator="containsText" text="NEGATIVA">
      <formula>NOT(ISERROR(SEARCH("NEGATIVA",FS3)))</formula>
    </cfRule>
  </conditionalFormatting>
  <conditionalFormatting sqref="FY3">
    <cfRule type="containsText" dxfId="4905" priority="6527" operator="containsText" text="P.R REACTIVA">
      <formula>NOT(ISERROR(SEARCH("P.R REACTIVA",FY3)))</formula>
    </cfRule>
    <cfRule type="containsText" dxfId="4904" priority="6528" operator="containsText" text="NO REACTIVA">
      <formula>NOT(ISERROR(SEARCH("NO REACTIVA",FY3)))</formula>
    </cfRule>
    <cfRule type="containsText" dxfId="4903" priority="6529" operator="containsText" text="ELISA REACTIVA">
      <formula>NOT(ISERROR(SEARCH("ELISA REACTIVA",FY3)))</formula>
    </cfRule>
  </conditionalFormatting>
  <conditionalFormatting sqref="GB3">
    <cfRule type="containsText" dxfId="4902" priority="6524" operator="containsText" text="P.R REACTIVA">
      <formula>NOT(ISERROR(SEARCH("P.R REACTIVA",GB3)))</formula>
    </cfRule>
    <cfRule type="containsText" dxfId="4901" priority="6525" operator="containsText" text="NO REACTIVA">
      <formula>NOT(ISERROR(SEARCH("NO REACTIVA",GB3)))</formula>
    </cfRule>
    <cfRule type="containsText" dxfId="4900" priority="6526" operator="containsText" text="ELISA REACTIVA">
      <formula>NOT(ISERROR(SEARCH("ELISA REACTIVA",GB3)))</formula>
    </cfRule>
  </conditionalFormatting>
  <conditionalFormatting sqref="GE3">
    <cfRule type="containsText" dxfId="4899" priority="6521" operator="containsText" text="P.R REACTIVA">
      <formula>NOT(ISERROR(SEARCH("P.R REACTIVA",GE3)))</formula>
    </cfRule>
    <cfRule type="containsText" dxfId="4898" priority="6522" operator="containsText" text="NO REACTIVA">
      <formula>NOT(ISERROR(SEARCH("NO REACTIVA",GE3)))</formula>
    </cfRule>
    <cfRule type="containsText" dxfId="4897" priority="6523" operator="containsText" text="ELISA REACTIVA">
      <formula>NOT(ISERROR(SEARCH("ELISA REACTIVA",GE3)))</formula>
    </cfRule>
  </conditionalFormatting>
  <conditionalFormatting sqref="GN3">
    <cfRule type="containsText" dxfId="4896" priority="6519" operator="containsText" text="POSITIVO">
      <formula>NOT(ISERROR(SEARCH("POSITIVO",GN3)))</formula>
    </cfRule>
    <cfRule type="containsText" dxfId="4895" priority="6520" operator="containsText" text="NEGATIVO">
      <formula>NOT(ISERROR(SEARCH("NEGATIVO",GN3)))</formula>
    </cfRule>
  </conditionalFormatting>
  <conditionalFormatting sqref="GH3 GJ3">
    <cfRule type="containsText" dxfId="4894" priority="6516" operator="containsText" text="P.R REACTIVA">
      <formula>NOT(ISERROR(SEARCH("P.R REACTIVA",GH3)))</formula>
    </cfRule>
    <cfRule type="containsText" dxfId="4893" priority="6517" operator="containsText" text="NO REACTIVA">
      <formula>NOT(ISERROR(SEARCH("NO REACTIVA",GH3)))</formula>
    </cfRule>
    <cfRule type="containsText" dxfId="4892" priority="6518" operator="containsText" text="ELISA REACTIVA">
      <formula>NOT(ISERROR(SEARCH("ELISA REACTIVA",GH3)))</formula>
    </cfRule>
  </conditionalFormatting>
  <conditionalFormatting sqref="GL3">
    <cfRule type="containsText" dxfId="4891" priority="6512" operator="containsText" text="NO APLICA">
      <formula>NOT(ISERROR(SEARCH("NO APLICA",GL3)))</formula>
    </cfRule>
    <cfRule type="containsText" dxfId="4890" priority="6513" operator="containsText" text="NO CONLUYENTE">
      <formula>NOT(ISERROR(SEARCH("NO CONLUYENTE",GL3)))</formula>
    </cfRule>
    <cfRule type="containsText" dxfId="4889" priority="6514" operator="containsText" text="NEGATIVA">
      <formula>NOT(ISERROR(SEARCH("NEGATIVA",GL3)))</formula>
    </cfRule>
    <cfRule type="containsText" dxfId="4888" priority="6515" operator="containsText" text="POSITIVA">
      <formula>NOT(ISERROR(SEARCH("POSITIVA",GL3)))</formula>
    </cfRule>
  </conditionalFormatting>
  <conditionalFormatting sqref="GQ3:GR3">
    <cfRule type="containsText" dxfId="4887" priority="6510" operator="containsText" text="POSITIVO">
      <formula>NOT(ISERROR(SEARCH("POSITIVO",GQ3)))</formula>
    </cfRule>
    <cfRule type="containsText" dxfId="4886" priority="6511" operator="containsText" text="NEGATIVO">
      <formula>NOT(ISERROR(SEARCH("NEGATIVO",GQ3)))</formula>
    </cfRule>
  </conditionalFormatting>
  <conditionalFormatting sqref="GS3:GS137 GS139:GS248">
    <cfRule type="containsText" dxfId="4885" priority="6507" operator="containsText" text="Igm">
      <formula>NOT(ISERROR(SEARCH("Igm",GS3)))</formula>
    </cfRule>
    <cfRule type="containsText" dxfId="4884" priority="6508" operator="containsText" text="REMITIR">
      <formula>NOT(ISERROR(SEARCH("REMITIR",GS3)))</formula>
    </cfRule>
    <cfRule type="containsText" dxfId="4883" priority="6509" operator="containsText" text="EXCLUYE">
      <formula>NOT(ISERROR(SEARCH("EXCLUYE",GS3)))</formula>
    </cfRule>
  </conditionalFormatting>
  <conditionalFormatting sqref="GW3">
    <cfRule type="containsText" dxfId="4882" priority="6505" operator="containsText" text="POSITIVO">
      <formula>NOT(ISERROR(SEARCH("POSITIVO",GW3)))</formula>
    </cfRule>
    <cfRule type="containsText" dxfId="4881" priority="6506" operator="containsText" text="NEGATIVO">
      <formula>NOT(ISERROR(SEARCH("NEGATIVO",GW3)))</formula>
    </cfRule>
  </conditionalFormatting>
  <conditionalFormatting sqref="HF3">
    <cfRule type="containsText" dxfId="4880" priority="6498" operator="containsText" text="COVID19 PUERPERIO">
      <formula>NOT(ISERROR(SEARCH("COVID19 PUERPERIO",HF3)))</formula>
    </cfRule>
    <cfRule type="containsText" dxfId="4879" priority="6499" operator="containsText" text="COVID19 TERCER TRIMESTRE">
      <formula>NOT(ISERROR(SEARCH("COVID19 TERCER TRIMESTRE",HF3)))</formula>
    </cfRule>
    <cfRule type="containsText" dxfId="4878" priority="6500" operator="containsText" text="COVID19 SEGUNDO TRIMESTRE">
      <formula>NOT(ISERROR(SEARCH("COVID19 SEGUNDO TRIMESTRE",HF3)))</formula>
    </cfRule>
    <cfRule type="containsText" dxfId="4877" priority="6501" operator="containsText" text="COVID19 PRIMER TRIMESTRE">
      <formula>NOT(ISERROR(SEARCH("COVID19 PRIMER TRIMESTRE",HF3)))</formula>
    </cfRule>
    <cfRule type="containsText" dxfId="4876" priority="6502" operator="containsText" text="FACTOR DE RIESGO">
      <formula>NOT(ISERROR(SEARCH("FACTOR DE RIESGO",HF3)))</formula>
    </cfRule>
    <cfRule type="containsText" dxfId="4875" priority="6503" operator="containsText" text="SIN INFECCIÓN">
      <formula>NOT(ISERROR(SEARCH("SIN INFECCIÓN",HF3)))</formula>
    </cfRule>
    <cfRule type="containsText" dxfId="4874" priority="6504" operator="containsText" text="NO SE EVALUA RIESGO INFECCIÓN COVID19">
      <formula>NOT(ISERROR(SEARCH("NO SE EVALUA RIESGO INFECCIÓN COVID19",HF3)))</formula>
    </cfRule>
  </conditionalFormatting>
  <conditionalFormatting sqref="GZ3">
    <cfRule type="containsText" dxfId="4873" priority="6493" operator="containsText" text="INDETERMINADO">
      <formula>NOT(ISERROR(SEARCH("INDETERMINADO",GZ3)))</formula>
    </cfRule>
    <cfRule type="containsText" dxfId="4872" priority="6494" operator="containsText" text="NO TOMADO">
      <formula>NOT(ISERROR(SEARCH("NO TOMADO",GZ3)))</formula>
    </cfRule>
    <cfRule type="cellIs" dxfId="4871" priority="6496" operator="equal">
      <formula>"NEGATIVO"</formula>
    </cfRule>
    <cfRule type="cellIs" dxfId="4870" priority="6497" operator="equal">
      <formula>"POSITIVO"</formula>
    </cfRule>
  </conditionalFormatting>
  <conditionalFormatting sqref="HB3">
    <cfRule type="containsText" dxfId="4869" priority="6488" operator="containsText" text="INDETERMINADO">
      <formula>NOT(ISERROR(SEARCH("INDETERMINADO",HB3)))</formula>
    </cfRule>
    <cfRule type="containsText" dxfId="4868" priority="6489" operator="containsText" text="NO TOMADO">
      <formula>NOT(ISERROR(SEARCH("NO TOMADO",HB3)))</formula>
    </cfRule>
    <cfRule type="cellIs" dxfId="4867" priority="6491" operator="equal">
      <formula>"NEGATIVO"</formula>
    </cfRule>
    <cfRule type="cellIs" dxfId="4866" priority="6492" operator="equal">
      <formula>"POSITIVO"</formula>
    </cfRule>
  </conditionalFormatting>
  <conditionalFormatting sqref="HD3">
    <cfRule type="containsText" dxfId="4865" priority="6483" operator="containsText" text="INDETERMINADO">
      <formula>NOT(ISERROR(SEARCH("INDETERMINADO",HD3)))</formula>
    </cfRule>
    <cfRule type="containsText" dxfId="4864" priority="6484" operator="containsText" text="NO TOMADO">
      <formula>NOT(ISERROR(SEARCH("NO TOMADO",HD3)))</formula>
    </cfRule>
    <cfRule type="cellIs" dxfId="4863" priority="6486" operator="equal">
      <formula>"NEGATIVO"</formula>
    </cfRule>
    <cfRule type="cellIs" dxfId="4862" priority="6487" operator="equal">
      <formula>"POSITIVO"</formula>
    </cfRule>
  </conditionalFormatting>
  <conditionalFormatting sqref="GY3">
    <cfRule type="containsText" dxfId="4861" priority="6480" operator="containsText" text="Nunca se ha tomado / No vigente">
      <formula>NOT(ISERROR(SEARCH("Nunca se ha tomado / No vigente",GY3)))</formula>
    </cfRule>
    <cfRule type="containsText" dxfId="4860" priority="6481" operator="containsText" text="Esquema vigente – Alterado">
      <formula>NOT(ISERROR(SEARCH("Esquema vigente – Alterado",GY3)))</formula>
    </cfRule>
    <cfRule type="containsText" dxfId="4859" priority="6482" operator="containsText" text="Esquema vigente – Normal">
      <formula>NOT(ISERROR(SEARCH("Esquema vigente – Normal",GY3)))</formula>
    </cfRule>
  </conditionalFormatting>
  <conditionalFormatting sqref="HV3 HT3 HX3">
    <cfRule type="containsText" dxfId="4858" priority="6476" operator="containsText" text="NO SE FORMULA">
      <formula>NOT(ISERROR(SEARCH("NO SE FORMULA",HT3)))</formula>
    </cfRule>
    <cfRule type="containsText" dxfId="4857" priority="6477" operator="containsText" text="OTRO">
      <formula>NOT(ISERROR(SEARCH("OTRO",HT3)))</formula>
    </cfRule>
    <cfRule type="containsText" dxfId="4856" priority="6478" operator="containsText" text="IRREGULAR">
      <formula>NOT(ISERROR(SEARCH("IRREGULAR",HT3)))</formula>
    </cfRule>
    <cfRule type="containsText" dxfId="4855" priority="6479" operator="containsText" text="ADECUADO">
      <formula>NOT(ISERROR(SEARCH("ADECUADO",HT3)))</formula>
    </cfRule>
  </conditionalFormatting>
  <conditionalFormatting sqref="IE3:IE248">
    <cfRule type="containsText" dxfId="4854" priority="6468" operator="containsText" text="APLICADA ANTES">
      <formula>NOT(ISERROR(SEARCH("APLICADA ANTES",IE3)))</formula>
    </cfRule>
    <cfRule type="containsText" dxfId="4853" priority="6469" operator="containsText" text="EDAD">
      <formula>NOT(ISERROR(SEARCH("EDAD",IE3)))</formula>
    </cfRule>
    <cfRule type="containsText" dxfId="4852" priority="6470" operator="containsText" text="SALE">
      <formula>NOT(ISERROR(SEARCH("SALE",IE3)))</formula>
    </cfRule>
    <cfRule type="containsText" dxfId="4851" priority="6471" operator="containsText" text="SEMANA 26">
      <formula>NOT(ISERROR(SEARCH("SEMANA 26",IE3)))</formula>
    </cfRule>
    <cfRule type="containsText" dxfId="4850" priority="6472" operator="containsText" text="SEMANA 27">
      <formula>NOT(ISERROR(SEARCH("SEMANA 27",IE3)))</formula>
    </cfRule>
    <cfRule type="containsText" dxfId="4849" priority="6473" operator="containsText" text="INASISTENTE">
      <formula>NOT(ISERROR(SEARCH("INASISTENTE",IE3)))</formula>
    </cfRule>
    <cfRule type="containsText" dxfId="4848" priority="6474" operator="containsText" text="COLOCACIÓN">
      <formula>NOT(ISERROR(SEARCH("COLOCACIÓN",IE3)))</formula>
    </cfRule>
    <cfRule type="containsText" dxfId="4847" priority="6475" operator="containsText" text="ESPERA">
      <formula>NOT(ISERROR(SEARCH("ESPERA",IE3)))</formula>
    </cfRule>
  </conditionalFormatting>
  <conditionalFormatting sqref="IB3">
    <cfRule type="containsText" dxfId="4846" priority="6465" operator="containsText" text="NO Firma Disentimiento">
      <formula>NOT(ISERROR(SEARCH("NO Firma Disentimiento",IB3)))</formula>
    </cfRule>
    <cfRule type="containsText" dxfId="4845" priority="6466" operator="containsText" text="Firma Disentimiento">
      <formula>NOT(ISERROR(SEARCH("Firma Disentimiento",IB3)))</formula>
    </cfRule>
    <cfRule type="containsText" dxfId="4844" priority="6467" operator="containsText" text="No Vacunada">
      <formula>NOT(ISERROR(SEARCH("No Vacunada",IB3)))</formula>
    </cfRule>
  </conditionalFormatting>
  <conditionalFormatting sqref="II3:II248">
    <cfRule type="containsText" dxfId="4843" priority="6461" operator="containsText" text="PENDIENTE">
      <formula>NOT(ISERROR(SEARCH("PENDIENTE",II3)))</formula>
    </cfRule>
    <cfRule type="containsText" dxfId="4842" priority="6462" operator="containsText" text="SEMANA">
      <formula>NOT(ISERROR(SEARCH("SEMANA",II3)))</formula>
    </cfRule>
    <cfRule type="containsText" dxfId="4841" priority="6463" operator="containsText" text="MENOS">
      <formula>NOT(ISERROR(SEARCH("MENOS",II3)))</formula>
    </cfRule>
    <cfRule type="containsText" dxfId="4840" priority="6464" operator="containsText" text="POSIBLEMENTE">
      <formula>NOT(ISERROR(SEARCH("POSIBLEMENTE",II3)))</formula>
    </cfRule>
  </conditionalFormatting>
  <conditionalFormatting sqref="IU3:IZ3 KA3:KC3">
    <cfRule type="cellIs" dxfId="4839" priority="6456" operator="equal">
      <formula>"SD"</formula>
    </cfRule>
    <cfRule type="cellIs" dxfId="4838" priority="6457" operator="equal">
      <formula>"NO APLICA"</formula>
    </cfRule>
    <cfRule type="cellIs" dxfId="4837" priority="6458" operator="equal">
      <formula>"NO"</formula>
    </cfRule>
    <cfRule type="cellIs" dxfId="4836" priority="6459" operator="equal">
      <formula>"SI"</formula>
    </cfRule>
  </conditionalFormatting>
  <conditionalFormatting sqref="IK3">
    <cfRule type="containsText" dxfId="4835" priority="6450" operator="containsText" text="CAMBIO">
      <formula>NOT(ISERROR(SEARCH("CAMBIO",IK3)))</formula>
    </cfRule>
    <cfRule type="containsText" dxfId="4834" priority="6451" operator="containsText" text="NEGACION">
      <formula>NOT(ISERROR(SEARCH("NEGACION",IK3)))</formula>
    </cfRule>
    <cfRule type="containsText" dxfId="4833" priority="6452" operator="containsText" text="IVE">
      <formula>NOT(ISERROR(SEARCH("IVE",IK3)))</formula>
    </cfRule>
    <cfRule type="containsText" dxfId="4832" priority="6453" operator="containsText" text="ABORTO">
      <formula>NOT(ISERROR(SEARCH("ABORTO",IK3)))</formula>
    </cfRule>
    <cfRule type="containsText" dxfId="4831" priority="6454" operator="containsText" text="CESAREA">
      <formula>NOT(ISERROR(SEARCH("CESAREA",IK3)))</formula>
    </cfRule>
    <cfRule type="containsText" dxfId="4830" priority="6455" operator="containsText" text="PARTO">
      <formula>NOT(ISERROR(SEARCH("PARTO",IK3)))</formula>
    </cfRule>
  </conditionalFormatting>
  <conditionalFormatting sqref="IL3">
    <cfRule type="cellIs" dxfId="4829" priority="6401" operator="equal">
      <formula>"MORBILIDAD MATERNA EXTREMA"</formula>
    </cfRule>
    <cfRule type="containsText" dxfId="4828" priority="6446" operator="containsText" text="MME">
      <formula>NOT(ISERROR(SEARCH("MME",IL3)))</formula>
    </cfRule>
    <cfRule type="cellIs" dxfId="4827" priority="6447" operator="equal">
      <formula>"MUERTE Y MORBILIDAD MATERNA EXTREMA"</formula>
    </cfRule>
    <cfRule type="containsText" dxfId="4826" priority="6448" operator="containsText" text="MUERTE">
      <formula>NOT(ISERROR(SEARCH("MUERTE",IL3)))</formula>
    </cfRule>
    <cfRule type="containsText" dxfId="4825" priority="6449" operator="containsText" text="SANA">
      <formula>NOT(ISERROR(SEARCH("SANA",IL3)))</formula>
    </cfRule>
  </conditionalFormatting>
  <conditionalFormatting sqref="IM3">
    <cfRule type="cellIs" dxfId="4824" priority="6400" operator="equal">
      <formula>"MUERTE PERINATAL Y MALFORMACIÓN CONGÉNITA"</formula>
    </cfRule>
    <cfRule type="containsText" dxfId="4823" priority="6440" operator="containsText" text="SIFILIS">
      <formula>NOT(ISERROR(SEARCH("SIFILIS",IM3)))</formula>
    </cfRule>
    <cfRule type="containsText" dxfId="4822" priority="6441" operator="containsText" text="MALFORMACIÓN">
      <formula>NOT(ISERROR(SEARCH("MALFORMACIÓN",IM3)))</formula>
    </cfRule>
    <cfRule type="containsText" dxfId="4821" priority="6442" operator="containsText" text="MUERTE">
      <formula>NOT(ISERROR(SEARCH("MUERTE",IM3)))</formula>
    </cfRule>
    <cfRule type="containsText" dxfId="4820" priority="6443" operator="containsText" text="UCI">
      <formula>NOT(ISERROR(SEARCH("UCI",IM3)))</formula>
    </cfRule>
    <cfRule type="containsText" dxfId="4819" priority="6444" operator="containsText" text="HOSPITALIZACION">
      <formula>NOT(ISERROR(SEARCH("HOSPITALIZACION",IM3)))</formula>
    </cfRule>
    <cfRule type="containsText" dxfId="4818" priority="6445" operator="containsText" text="SANO">
      <formula>NOT(ISERROR(SEARCH("SANO",IM3)))</formula>
    </cfRule>
  </conditionalFormatting>
  <conditionalFormatting sqref="IO3">
    <cfRule type="containsText" dxfId="4817" priority="6436" operator="containsText" text="NO APLICA">
      <formula>NOT(ISERROR(SEARCH("NO APLICA",IO3)))</formula>
    </cfRule>
    <cfRule type="containsText" dxfId="4816" priority="6437" operator="containsText" text="OTRO">
      <formula>NOT(ISERROR(SEARCH("OTRO",IO3)))</formula>
    </cfRule>
    <cfRule type="containsText" dxfId="4815" priority="6438" operator="containsText" text="DOMICILIO">
      <formula>NOT(ISERROR(SEARCH("DOMICILIO",IO3)))</formula>
    </cfRule>
    <cfRule type="containsText" dxfId="4814" priority="6439" operator="containsText" text="INSTITUCIONAL">
      <formula>NOT(ISERROR(SEARCH("INSTITUCIONAL",IO3)))</formula>
    </cfRule>
  </conditionalFormatting>
  <conditionalFormatting sqref="IR3">
    <cfRule type="containsText" dxfId="4813" priority="6432" operator="containsText" text="NO APLICA">
      <formula>NOT(ISERROR(SEARCH("NO APLICA",IR3)))</formula>
    </cfRule>
    <cfRule type="containsText" dxfId="4812" priority="6433" operator="containsText" text="ALTA">
      <formula>NOT(ISERROR(SEARCH("ALTA",IR3)))</formula>
    </cfRule>
    <cfRule type="containsText" dxfId="4811" priority="6434" operator="containsText" text="MEDIANA">
      <formula>NOT(ISERROR(SEARCH("MEDIANA",IR3)))</formula>
    </cfRule>
    <cfRule type="containsText" dxfId="4810" priority="6435" operator="containsText" text="BAJA">
      <formula>NOT(ISERROR(SEARCH("BAJA",IR3)))</formula>
    </cfRule>
  </conditionalFormatting>
  <conditionalFormatting sqref="IS3:IT3">
    <cfRule type="containsText" dxfId="4809" priority="6425" operator="containsText" text="NO APLICA">
      <formula>NOT(ISERROR(SEARCH("NO APLICA",IS3)))</formula>
    </cfRule>
    <cfRule type="containsText" dxfId="4808" priority="6426" operator="containsText" text="SIN">
      <formula>NOT(ISERROR(SEARCH("SIN",IS3)))</formula>
    </cfRule>
    <cfRule type="containsText" dxfId="4807" priority="6427" operator="containsText" text="EQUIPO">
      <formula>NOT(ISERROR(SEARCH("EQUIPO",IS3)))</formula>
    </cfRule>
    <cfRule type="containsText" dxfId="4806" priority="6428" operator="containsText" text="MEDICO TRADICIONAL">
      <formula>NOT(ISERROR(SEARCH("MEDICO TRADICIONAL",IS3)))</formula>
    </cfRule>
    <cfRule type="containsText" dxfId="4805" priority="6429" operator="containsText" text="PARTERA">
      <formula>NOT(ISERROR(SEARCH("PARTERA",IS3)))</formula>
    </cfRule>
    <cfRule type="containsText" dxfId="4804" priority="6430" operator="containsText" text="TÉCNICO">
      <formula>NOT(ISERROR(SEARCH("TÉCNICO",IS3)))</formula>
    </cfRule>
    <cfRule type="containsText" dxfId="4803" priority="6431" operator="containsText" text="PROFESIONAL">
      <formula>NOT(ISERROR(SEARCH("PROFESIONAL",IS3)))</formula>
    </cfRule>
  </conditionalFormatting>
  <conditionalFormatting sqref="JA3">
    <cfRule type="containsText" dxfId="4802" priority="6423" operator="containsText" text="SIN DATO">
      <formula>NOT(ISERROR(SEARCH("SIN DATO",JA3)))</formula>
    </cfRule>
    <cfRule type="containsText" dxfId="4801" priority="6424" operator="containsText" text="SIN COMPLICACION">
      <formula>NOT(ISERROR(SEARCH("SIN COMPLICACION",JA3)))</formula>
    </cfRule>
    <cfRule type="notContainsBlanks" dxfId="4800" priority="6460">
      <formula>LEN(TRIM(JA3))&gt;0</formula>
    </cfRule>
  </conditionalFormatting>
  <conditionalFormatting sqref="JG3 JQ3">
    <cfRule type="containsText" dxfId="4799" priority="6416" operator="containsText" text="SIN DATO">
      <formula>NOT(ISERROR(SEARCH("SIN DATO",JG3)))</formula>
    </cfRule>
    <cfRule type="containsText" dxfId="4798" priority="6417" operator="containsText" text="ANORMAL">
      <formula>NOT(ISERROR(SEARCH("ANORMAL",JG3)))</formula>
    </cfRule>
    <cfRule type="containsText" dxfId="4797" priority="6418" operator="containsText" text="NORMAL">
      <formula>NOT(ISERROR(SEARCH("NORMAL",JG3)))</formula>
    </cfRule>
  </conditionalFormatting>
  <conditionalFormatting sqref="JI3 JS3">
    <cfRule type="containsText" dxfId="4796" priority="6412" operator="containsText" text="NO APLICA">
      <formula>NOT(ISERROR(SEARCH("NO APLICA",JI3)))</formula>
    </cfRule>
    <cfRule type="containsText" dxfId="4795" priority="6413" operator="containsText" text="SIN DATO">
      <formula>NOT(ISERROR(SEARCH("SIN DATO",JI3)))</formula>
    </cfRule>
    <cfRule type="containsText" dxfId="4794" priority="6414" operator="containsText" text="NO">
      <formula>NOT(ISERROR(SEARCH("NO",JI3)))</formula>
    </cfRule>
    <cfRule type="containsText" dxfId="4793" priority="6415" operator="containsText" text="SI">
      <formula>NOT(ISERROR(SEARCH("SI",JI3)))</formula>
    </cfRule>
  </conditionalFormatting>
  <conditionalFormatting sqref="JX3:JX248 JZ3:JZ248">
    <cfRule type="containsText" dxfId="4792" priority="6411" operator="containsText" text="INASISTENTE">
      <formula>NOT(ISERROR(SEARCH("INASISTENTE",JX3)))</formula>
    </cfRule>
  </conditionalFormatting>
  <conditionalFormatting sqref="IP3:IP248">
    <cfRule type="containsBlanks" priority="6399" stopIfTrue="1">
      <formula>LEN(TRIM(IP3))=0</formula>
    </cfRule>
    <cfRule type="cellIs" dxfId="4791" priority="6405" operator="greaterThanOrEqual">
      <formula>43</formula>
    </cfRule>
    <cfRule type="cellIs" dxfId="4790" priority="6406" operator="between">
      <formula>37</formula>
      <formula>40.5</formula>
    </cfRule>
    <cfRule type="cellIs" dxfId="4789" priority="6407" operator="between">
      <formula>"&gt;40,5"</formula>
      <formula>42</formula>
    </cfRule>
    <cfRule type="cellIs" dxfId="4788" priority="6408" operator="between">
      <formula>33</formula>
      <formula>"&lt;37"</formula>
    </cfRule>
    <cfRule type="cellIs" dxfId="4787" priority="6409" operator="between">
      <formula>22</formula>
      <formula>"&lt;33"</formula>
    </cfRule>
    <cfRule type="cellIs" dxfId="4786" priority="6410" operator="between">
      <formula>1</formula>
      <formula>21</formula>
    </cfRule>
  </conditionalFormatting>
  <conditionalFormatting sqref="IT3">
    <cfRule type="containsText" dxfId="4785" priority="6402" operator="containsText" text="LE HACEN CESÁREA SIN INICIO TRABAJO DE PARTO">
      <formula>NOT(ISERROR(SEARCH("LE HACEN CESÁREA SIN INICIO TRABAJO DE PARTO",IT3)))</formula>
    </cfRule>
    <cfRule type="containsText" dxfId="4784" priority="6403" operator="containsText" text="LE HACEN INDUCCIÓN">
      <formula>NOT(ISERROR(SEARCH("LE HACEN INDUCCIÓN",IT3)))</formula>
    </cfRule>
    <cfRule type="containsText" dxfId="4783" priority="6404" operator="containsText" text="ESPONTÁNEO">
      <formula>NOT(ISERROR(SEARCH("ESPONTÁNEO",IT3)))</formula>
    </cfRule>
  </conditionalFormatting>
  <conditionalFormatting sqref="JX3:JX248 JZ3:JZ248">
    <cfRule type="containsText" dxfId="4782" priority="6398" operator="containsText" text="INCONSISTENCIA">
      <formula>NOT(ISERROR(SEARCH("INCONSISTENCIA",JX3)))</formula>
    </cfRule>
  </conditionalFormatting>
  <conditionalFormatting sqref="HP3:HP248">
    <cfRule type="containsText" dxfId="4781" priority="6392" operator="containsText" text="Si Desp. SEM 16">
      <formula>NOT(ISERROR(SEARCH("Si Desp. SEM 16",HP3)))</formula>
    </cfRule>
    <cfRule type="containsText" dxfId="4780" priority="6393" operator="containsText" text="Suministro Irregular">
      <formula>NOT(ISERROR(SEARCH("Suministro Irregular",HP3)))</formula>
    </cfRule>
    <cfRule type="endsWith" dxfId="4779" priority="6394" operator="endsWith" text="Aplica">
      <formula>RIGHT(HP3,LEN("Aplica"))="Aplica"</formula>
    </cfRule>
    <cfRule type="containsText" dxfId="4778" priority="6395" operator="containsText" text="NO">
      <formula>NOT(ISERROR(SEARCH("NO",HP3)))</formula>
    </cfRule>
    <cfRule type="containsText" dxfId="4777" priority="6396" operator="containsText" text="Si entre SEM 12 y 16">
      <formula>NOT(ISERROR(SEARCH("Si entre SEM 12 y 16",HP3)))</formula>
    </cfRule>
  </conditionalFormatting>
  <conditionalFormatting sqref="CO3:CO248">
    <cfRule type="containsText" dxfId="4776" priority="7398" operator="containsText" text="BAJO PESO">
      <formula>NOT(ISERROR(SEARCH("BAJO PESO",CO3)))</formula>
    </cfRule>
    <cfRule type="containsText" dxfId="4775" priority="7399" operator="containsText" text="NORMAL">
      <formula>NOT(ISERROR(SEARCH("NORMAL",CO3)))</formula>
    </cfRule>
    <cfRule type="containsText" dxfId="4774" priority="7400" operator="containsText" text="OBESIDAD">
      <formula>NOT(ISERROR(SEARCH("OBESIDAD",CO3)))</formula>
    </cfRule>
    <cfRule type="containsText" dxfId="4773" priority="7401" operator="containsText" text="SOBREPESO">
      <formula>NOT(ISERROR(SEARCH("SOBREPESO",CO3)))</formula>
    </cfRule>
    <cfRule type="containsText" dxfId="4772" priority="7402" operator="containsText" text="REVISAR">
      <formula>NOT(ISERROR(SEARCH("REVISAR",CO3)))</formula>
    </cfRule>
    <cfRule type="containsText" dxfId="4771" priority="7403" operator="containsText" text="REGISTRAR">
      <formula>NOT(ISERROR(SEARCH("REGISTRAR",CO3)))</formula>
    </cfRule>
  </conditionalFormatting>
  <conditionalFormatting sqref="CQ3:CQ248">
    <cfRule type="containsText" dxfId="4770" priority="6389" operator="containsText" text="ALTO">
      <formula>NOT(ISERROR(SEARCH("ALTO",CQ3)))</formula>
    </cfRule>
    <cfRule type="containsText" dxfId="4769" priority="6390" operator="containsText" text="BAJO">
      <formula>NOT(ISERROR(SEARCH("BAJO",CQ3)))</formula>
    </cfRule>
    <cfRule type="containsText" dxfId="4768" priority="6391" operator="containsText" text="ADECUADO ">
      <formula>NOT(ISERROR(SEARCH("ADECUADO ",CQ3)))</formula>
    </cfRule>
  </conditionalFormatting>
  <conditionalFormatting sqref="CS3">
    <cfRule type="expression" dxfId="4767" priority="6388">
      <formula>IF(CT3="NO APLICA REGISTRO TA-INGRESO TARDIO",1,"")</formula>
    </cfRule>
  </conditionalFormatting>
  <conditionalFormatting sqref="CR3">
    <cfRule type="expression" dxfId="4766" priority="6387">
      <formula>IF(CT3="NO APLICA REGISTRO TA-INGRESO TARDIO",1,"")</formula>
    </cfRule>
  </conditionalFormatting>
  <conditionalFormatting sqref="CU3">
    <cfRule type="expression" dxfId="4765" priority="6386">
      <formula>IF(CW3="NO APLICA REGISTRO TA-INGRESO TARDIO",1,"")</formula>
    </cfRule>
  </conditionalFormatting>
  <conditionalFormatting sqref="CV3">
    <cfRule type="expression" dxfId="4764" priority="6385">
      <formula>IF(CW3="NO APLICA REGISTRO TA-INGRESO TARDIO",1,"")</formula>
    </cfRule>
  </conditionalFormatting>
  <conditionalFormatting sqref="CX3:CY113 CX115:CY248">
    <cfRule type="expression" dxfId="4763" priority="6384">
      <formula>IF(CZ3="NO APLICA-INGRESO TARDIO",1,"")</formula>
    </cfRule>
  </conditionalFormatting>
  <conditionalFormatting sqref="CZ3:CZ248">
    <cfRule type="containsText" dxfId="4762" priority="6377" operator="containsText" text="NORMAL">
      <formula>NOT(ISERROR(SEARCH("NORMAL",CZ3)))</formula>
    </cfRule>
    <cfRule type="containsText" dxfId="4761" priority="6378" operator="containsText" text="VIGILAR">
      <formula>NOT(ISERROR(SEARCH("VIGILAR",CZ3)))</formula>
    </cfRule>
    <cfRule type="containsText" dxfId="4760" priority="6379" operator="containsText" text="HTA">
      <formula>NOT(ISERROR(SEARCH("HTA",CZ3)))</formula>
    </cfRule>
    <cfRule type="containsText" dxfId="4759" priority="6380" operator="containsText" text="ACUDE A CONTROL SEM 30 A 34- REGISTRE AHORA">
      <formula>NOT(ISERROR(SEARCH("ACUDE A CONTROL SEM 30 A 34- REGISTRE AHORA",CZ3)))</formula>
    </cfRule>
    <cfRule type="containsText" dxfId="4758" priority="6381" operator="containsText" text="NO APLICA">
      <formula>NOT(ISERROR(SEARCH("NO APLICA",CZ3)))</formula>
    </cfRule>
  </conditionalFormatting>
  <conditionalFormatting sqref="DC3:DC248">
    <cfRule type="containsText" dxfId="4757" priority="6376" operator="containsText" text="REGISTRE">
      <formula>NOT(ISERROR(SEARCH("REGISTRE",DC3)))</formula>
    </cfRule>
  </conditionalFormatting>
  <conditionalFormatting sqref="HQ3:HQ248">
    <cfRule type="expression" dxfId="4756" priority="6375">
      <formula>IF(HR3="No Aplica para suministro de ASA",1,"")</formula>
    </cfRule>
  </conditionalFormatting>
  <conditionalFormatting sqref="JE3:JE248">
    <cfRule type="containsText" dxfId="4755" priority="6374" operator="containsText" text="VERIFICAR">
      <formula>NOT(ISERROR(SEARCH("VERIFICAR",JE3)))</formula>
    </cfRule>
  </conditionalFormatting>
  <conditionalFormatting sqref="AC190">
    <cfRule type="containsText" dxfId="4754" priority="6368" operator="containsText" text="SABE">
      <formula>NOT(ISERROR(SEARCH("SABE",AC190)))</formula>
    </cfRule>
    <cfRule type="containsText" dxfId="4753" priority="6369" operator="containsText" text="SECUNDARIA">
      <formula>NOT(ISERROR(SEARCH("SECUNDARIA",AC190)))</formula>
    </cfRule>
    <cfRule type="containsText" dxfId="4752" priority="6370" operator="containsText" text="PRIMARIA INCOMPLETA">
      <formula>NOT(ISERROR(SEARCH("PRIMARIA INCOMPLETA",AC190)))</formula>
    </cfRule>
    <cfRule type="cellIs" dxfId="4751" priority="6371" operator="equal">
      <formula>"ANALFABETA"</formula>
    </cfRule>
  </conditionalFormatting>
  <conditionalFormatting sqref="AD184 AD186">
    <cfRule type="containsText" dxfId="4750" priority="6365" operator="containsText" text="No Consume">
      <formula>NOT(ISERROR(SEARCH("No Consume",AD184)))</formula>
    </cfRule>
    <cfRule type="containsText" dxfId="4749" priority="6366" operator="containsText" text="Hasta Antes de la Gestación">
      <formula>NOT(ISERROR(SEARCH("Hasta Antes de la Gestación",AD184)))</formula>
    </cfRule>
    <cfRule type="containsText" dxfId="4748" priority="6367" operator="containsText" text="Consumo Actual">
      <formula>NOT(ISERROR(SEARCH("Consumo Actual",AD184)))</formula>
    </cfRule>
  </conditionalFormatting>
  <conditionalFormatting sqref="AG190:AH190 AJ190">
    <cfRule type="cellIs" dxfId="4747" priority="6362" operator="equal">
      <formula>"SD"</formula>
    </cfRule>
    <cfRule type="cellIs" dxfId="4746" priority="6363" operator="equal">
      <formula>"NO"</formula>
    </cfRule>
    <cfRule type="cellIs" dxfId="4745" priority="6364" operator="equal">
      <formula>"SI"</formula>
    </cfRule>
  </conditionalFormatting>
  <conditionalFormatting sqref="AI190">
    <cfRule type="containsText" dxfId="4744" priority="6355" operator="containsText" text="HABITANTE DE CALLE">
      <formula>NOT(ISERROR(SEARCH("HABITANTE DE CALLE",AI190)))</formula>
    </cfRule>
    <cfRule type="containsText" dxfId="4743" priority="6358" operator="containsText" text="NINGUNO">
      <formula>NOT(ISERROR(SEARCH("NINGUNO",AI190)))</formula>
    </cfRule>
    <cfRule type="containsText" dxfId="4742" priority="6359" operator="containsText" text="MIGRATORIA">
      <formula>NOT(ISERROR(SEARCH("MIGRATORIA",AI190)))</formula>
    </cfRule>
    <cfRule type="containsText" dxfId="4741" priority="6360" operator="containsText" text="DISCAPACIDAD">
      <formula>NOT(ISERROR(SEARCH("DISCAPACIDAD",AI190)))</formula>
    </cfRule>
    <cfRule type="containsText" dxfId="4740" priority="6361" operator="containsText" text="DESPLAZADA">
      <formula>NOT(ISERROR(SEARCH("DESPLAZADA",AI190)))</formula>
    </cfRule>
  </conditionalFormatting>
  <conditionalFormatting sqref="AE190:AF190">
    <cfRule type="containsText" dxfId="4739" priority="6356" operator="containsText" text="NO">
      <formula>NOT(ISERROR(SEARCH("NO",AE190)))</formula>
    </cfRule>
    <cfRule type="containsText" dxfId="4738" priority="6357" operator="containsText" text="SI">
      <formula>NOT(ISERROR(SEARCH("SI",AE190)))</formula>
    </cfRule>
  </conditionalFormatting>
  <conditionalFormatting sqref="BD190:BI190 AX190:BB190">
    <cfRule type="cellIs" dxfId="4737" priority="6352" operator="equal">
      <formula>"SD"</formula>
    </cfRule>
    <cfRule type="cellIs" dxfId="4736" priority="6353" operator="equal">
      <formula>"NO"</formula>
    </cfRule>
    <cfRule type="cellIs" dxfId="4735" priority="6354" operator="equal">
      <formula>"SI"</formula>
    </cfRule>
  </conditionalFormatting>
  <conditionalFormatting sqref="BC190">
    <cfRule type="containsText" dxfId="4734" priority="6347" operator="containsText" text="SD">
      <formula>NOT(ISERROR(SEARCH("SD",BC190)))</formula>
    </cfRule>
    <cfRule type="containsText" dxfId="4733" priority="6348" operator="containsText" text="SI, NO CONTROLADA">
      <formula>NOT(ISERROR(SEARCH("SI, NO CONTROLADA",BC190)))</formula>
    </cfRule>
    <cfRule type="containsText" dxfId="4732" priority="6349" operator="containsText" text="SI, SIN MANEJO">
      <formula>NOT(ISERROR(SEARCH("SI, SIN MANEJO",BC190)))</formula>
    </cfRule>
    <cfRule type="containsText" dxfId="4731" priority="6350" operator="containsText" text="SI, CONTROLADA">
      <formula>NOT(ISERROR(SEARCH("SI, CONTROLADA",BC190)))</formula>
    </cfRule>
    <cfRule type="containsText" dxfId="4730" priority="6351" operator="containsText" text="NO">
      <formula>NOT(ISERROR(SEARCH("NO",BC190)))</formula>
    </cfRule>
  </conditionalFormatting>
  <conditionalFormatting sqref="BE190">
    <cfRule type="expression" dxfId="4729" priority="6346">
      <formula>IF(AND(FA190&gt;=126,FC190&lt;24),1,0)</formula>
    </cfRule>
  </conditionalFormatting>
  <conditionalFormatting sqref="FJ190">
    <cfRule type="containsText" dxfId="4728" priority="6343" operator="containsText" text="POSITIVA CICATRIZ">
      <formula>NOT(ISERROR(SEARCH("POSITIVA CICATRIZ",FJ190)))</formula>
    </cfRule>
    <cfRule type="containsText" dxfId="4727" priority="6344" operator="containsText" text="POSITIVA CASO SIFILIS">
      <formula>NOT(ISERROR(SEARCH("POSITIVA CASO SIFILIS",FJ190)))</formula>
    </cfRule>
    <cfRule type="containsText" dxfId="4726" priority="6345" operator="containsText" text="NEGATIVA">
      <formula>NOT(ISERROR(SEARCH("NEGATIVA",FJ190)))</formula>
    </cfRule>
  </conditionalFormatting>
  <conditionalFormatting sqref="AG191:AH191 AJ191">
    <cfRule type="cellIs" dxfId="4725" priority="6340" operator="equal">
      <formula>"SD"</formula>
    </cfRule>
    <cfRule type="cellIs" dxfId="4724" priority="6341" operator="equal">
      <formula>"NO"</formula>
    </cfRule>
    <cfRule type="cellIs" dxfId="4723" priority="6342" operator="equal">
      <formula>"SI"</formula>
    </cfRule>
  </conditionalFormatting>
  <conditionalFormatting sqref="AI191">
    <cfRule type="containsText" dxfId="4722" priority="6333" operator="containsText" text="HABITANTE DE CALLE">
      <formula>NOT(ISERROR(SEARCH("HABITANTE DE CALLE",AI191)))</formula>
    </cfRule>
    <cfRule type="containsText" dxfId="4721" priority="6336" operator="containsText" text="NINGUNO">
      <formula>NOT(ISERROR(SEARCH("NINGUNO",AI191)))</formula>
    </cfRule>
    <cfRule type="containsText" dxfId="4720" priority="6337" operator="containsText" text="MIGRATORIA">
      <formula>NOT(ISERROR(SEARCH("MIGRATORIA",AI191)))</formula>
    </cfRule>
    <cfRule type="containsText" dxfId="4719" priority="6338" operator="containsText" text="DISCAPACIDAD">
      <formula>NOT(ISERROR(SEARCH("DISCAPACIDAD",AI191)))</formula>
    </cfRule>
    <cfRule type="containsText" dxfId="4718" priority="6339" operator="containsText" text="DESPLAZADA">
      <formula>NOT(ISERROR(SEARCH("DESPLAZADA",AI191)))</formula>
    </cfRule>
  </conditionalFormatting>
  <conditionalFormatting sqref="AE191:AF191">
    <cfRule type="containsText" dxfId="4717" priority="6334" operator="containsText" text="NO">
      <formula>NOT(ISERROR(SEARCH("NO",AE191)))</formula>
    </cfRule>
    <cfRule type="containsText" dxfId="4716" priority="6335" operator="containsText" text="SI">
      <formula>NOT(ISERROR(SEARCH("SI",AE191)))</formula>
    </cfRule>
  </conditionalFormatting>
  <conditionalFormatting sqref="BD191:BI191 AX191:BB191">
    <cfRule type="cellIs" dxfId="4715" priority="6330" operator="equal">
      <formula>"SD"</formula>
    </cfRule>
    <cfRule type="cellIs" dxfId="4714" priority="6331" operator="equal">
      <formula>"NO"</formula>
    </cfRule>
    <cfRule type="cellIs" dxfId="4713" priority="6332" operator="equal">
      <formula>"SI"</formula>
    </cfRule>
  </conditionalFormatting>
  <conditionalFormatting sqref="BC191">
    <cfRule type="containsText" dxfId="4712" priority="6325" operator="containsText" text="SD">
      <formula>NOT(ISERROR(SEARCH("SD",BC191)))</formula>
    </cfRule>
    <cfRule type="containsText" dxfId="4711" priority="6326" operator="containsText" text="SI, NO CONTROLADA">
      <formula>NOT(ISERROR(SEARCH("SI, NO CONTROLADA",BC191)))</formula>
    </cfRule>
    <cfRule type="containsText" dxfId="4710" priority="6327" operator="containsText" text="SI, SIN MANEJO">
      <formula>NOT(ISERROR(SEARCH("SI, SIN MANEJO",BC191)))</formula>
    </cfRule>
    <cfRule type="containsText" dxfId="4709" priority="6328" operator="containsText" text="SI, CONTROLADA">
      <formula>NOT(ISERROR(SEARCH("SI, CONTROLADA",BC191)))</formula>
    </cfRule>
    <cfRule type="containsText" dxfId="4708" priority="6329" operator="containsText" text="NO">
      <formula>NOT(ISERROR(SEARCH("NO",BC191)))</formula>
    </cfRule>
  </conditionalFormatting>
  <conditionalFormatting sqref="BE191">
    <cfRule type="expression" dxfId="4707" priority="6324">
      <formula>IF(AND(FA191&gt;=126,FC191&lt;24),1,0)</formula>
    </cfRule>
  </conditionalFormatting>
  <conditionalFormatting sqref="FJ191">
    <cfRule type="containsText" dxfId="4706" priority="6321" operator="containsText" text="POSITIVA CICATRIZ">
      <formula>NOT(ISERROR(SEARCH("POSITIVA CICATRIZ",FJ191)))</formula>
    </cfRule>
    <cfRule type="containsText" dxfId="4705" priority="6322" operator="containsText" text="POSITIVA CASO SIFILIS">
      <formula>NOT(ISERROR(SEARCH("POSITIVA CASO SIFILIS",FJ191)))</formula>
    </cfRule>
    <cfRule type="containsText" dxfId="4704" priority="6323" operator="containsText" text="NEGATIVA">
      <formula>NOT(ISERROR(SEARCH("NEGATIVA",FJ191)))</formula>
    </cfRule>
  </conditionalFormatting>
  <conditionalFormatting sqref="AG192:AH192 AJ192">
    <cfRule type="cellIs" dxfId="4703" priority="6299" operator="equal">
      <formula>"SD"</formula>
    </cfRule>
    <cfRule type="cellIs" dxfId="4702" priority="6300" operator="equal">
      <formula>"NO"</formula>
    </cfRule>
    <cfRule type="cellIs" dxfId="4701" priority="6301" operator="equal">
      <formula>"SI"</formula>
    </cfRule>
  </conditionalFormatting>
  <conditionalFormatting sqref="AI192">
    <cfRule type="containsText" dxfId="4700" priority="6292" operator="containsText" text="HABITANTE DE CALLE">
      <formula>NOT(ISERROR(SEARCH("HABITANTE DE CALLE",AI192)))</formula>
    </cfRule>
    <cfRule type="containsText" dxfId="4699" priority="6295" operator="containsText" text="NINGUNO">
      <formula>NOT(ISERROR(SEARCH("NINGUNO",AI192)))</formula>
    </cfRule>
    <cfRule type="containsText" dxfId="4698" priority="6296" operator="containsText" text="MIGRATORIA">
      <formula>NOT(ISERROR(SEARCH("MIGRATORIA",AI192)))</formula>
    </cfRule>
    <cfRule type="containsText" dxfId="4697" priority="6297" operator="containsText" text="DISCAPACIDAD">
      <formula>NOT(ISERROR(SEARCH("DISCAPACIDAD",AI192)))</formula>
    </cfRule>
    <cfRule type="containsText" dxfId="4696" priority="6298" operator="containsText" text="DESPLAZADA">
      <formula>NOT(ISERROR(SEARCH("DESPLAZADA",AI192)))</formula>
    </cfRule>
  </conditionalFormatting>
  <conditionalFormatting sqref="AE192:AF192">
    <cfRule type="containsText" dxfId="4695" priority="6293" operator="containsText" text="NO">
      <formula>NOT(ISERROR(SEARCH("NO",AE192)))</formula>
    </cfRule>
    <cfRule type="containsText" dxfId="4694" priority="6294" operator="containsText" text="SI">
      <formula>NOT(ISERROR(SEARCH("SI",AE192)))</formula>
    </cfRule>
  </conditionalFormatting>
  <conditionalFormatting sqref="BD192:BI192 AX192:BB192">
    <cfRule type="cellIs" dxfId="4693" priority="6289" operator="equal">
      <formula>"SD"</formula>
    </cfRule>
    <cfRule type="cellIs" dxfId="4692" priority="6290" operator="equal">
      <formula>"NO"</formula>
    </cfRule>
    <cfRule type="cellIs" dxfId="4691" priority="6291" operator="equal">
      <formula>"SI"</formula>
    </cfRule>
  </conditionalFormatting>
  <conditionalFormatting sqref="BC192">
    <cfRule type="containsText" dxfId="4690" priority="6284" operator="containsText" text="SD">
      <formula>NOT(ISERROR(SEARCH("SD",BC192)))</formula>
    </cfRule>
    <cfRule type="containsText" dxfId="4689" priority="6285" operator="containsText" text="SI, NO CONTROLADA">
      <formula>NOT(ISERROR(SEARCH("SI, NO CONTROLADA",BC192)))</formula>
    </cfRule>
    <cfRule type="containsText" dxfId="4688" priority="6286" operator="containsText" text="SI, SIN MANEJO">
      <formula>NOT(ISERROR(SEARCH("SI, SIN MANEJO",BC192)))</formula>
    </cfRule>
    <cfRule type="containsText" dxfId="4687" priority="6287" operator="containsText" text="SI, CONTROLADA">
      <formula>NOT(ISERROR(SEARCH("SI, CONTROLADA",BC192)))</formula>
    </cfRule>
    <cfRule type="containsText" dxfId="4686" priority="6288" operator="containsText" text="NO">
      <formula>NOT(ISERROR(SEARCH("NO",BC192)))</formula>
    </cfRule>
  </conditionalFormatting>
  <conditionalFormatting sqref="BE192">
    <cfRule type="expression" dxfId="4685" priority="6283">
      <formula>IF(AND(FA192&gt;=126,FC192&lt;24),1,0)</formula>
    </cfRule>
  </conditionalFormatting>
  <conditionalFormatting sqref="AG193:AH193 AJ193">
    <cfRule type="cellIs" dxfId="4684" priority="6280" operator="equal">
      <formula>"SD"</formula>
    </cfRule>
    <cfRule type="cellIs" dxfId="4683" priority="6281" operator="equal">
      <formula>"NO"</formula>
    </cfRule>
    <cfRule type="cellIs" dxfId="4682" priority="6282" operator="equal">
      <formula>"SI"</formula>
    </cfRule>
  </conditionalFormatting>
  <conditionalFormatting sqref="AI193">
    <cfRule type="containsText" dxfId="4681" priority="6273" operator="containsText" text="HABITANTE DE CALLE">
      <formula>NOT(ISERROR(SEARCH("HABITANTE DE CALLE",AI193)))</formula>
    </cfRule>
    <cfRule type="containsText" dxfId="4680" priority="6276" operator="containsText" text="NINGUNO">
      <formula>NOT(ISERROR(SEARCH("NINGUNO",AI193)))</formula>
    </cfRule>
    <cfRule type="containsText" dxfId="4679" priority="6277" operator="containsText" text="MIGRATORIA">
      <formula>NOT(ISERROR(SEARCH("MIGRATORIA",AI193)))</formula>
    </cfRule>
    <cfRule type="containsText" dxfId="4678" priority="6278" operator="containsText" text="DISCAPACIDAD">
      <formula>NOT(ISERROR(SEARCH("DISCAPACIDAD",AI193)))</formula>
    </cfRule>
    <cfRule type="containsText" dxfId="4677" priority="6279" operator="containsText" text="DESPLAZADA">
      <formula>NOT(ISERROR(SEARCH("DESPLAZADA",AI193)))</formula>
    </cfRule>
  </conditionalFormatting>
  <conditionalFormatting sqref="AE193:AF193">
    <cfRule type="containsText" dxfId="4676" priority="6274" operator="containsText" text="NO">
      <formula>NOT(ISERROR(SEARCH("NO",AE193)))</formula>
    </cfRule>
    <cfRule type="containsText" dxfId="4675" priority="6275" operator="containsText" text="SI">
      <formula>NOT(ISERROR(SEARCH("SI",AE193)))</formula>
    </cfRule>
  </conditionalFormatting>
  <conditionalFormatting sqref="BD193:BI193 AX193:BB193">
    <cfRule type="cellIs" dxfId="4674" priority="6270" operator="equal">
      <formula>"SD"</formula>
    </cfRule>
    <cfRule type="cellIs" dxfId="4673" priority="6271" operator="equal">
      <formula>"NO"</formula>
    </cfRule>
    <cfRule type="cellIs" dxfId="4672" priority="6272" operator="equal">
      <formula>"SI"</formula>
    </cfRule>
  </conditionalFormatting>
  <conditionalFormatting sqref="BC193">
    <cfRule type="containsText" dxfId="4671" priority="6265" operator="containsText" text="SD">
      <formula>NOT(ISERROR(SEARCH("SD",BC193)))</formula>
    </cfRule>
    <cfRule type="containsText" dxfId="4670" priority="6266" operator="containsText" text="SI, NO CONTROLADA">
      <formula>NOT(ISERROR(SEARCH("SI, NO CONTROLADA",BC193)))</formula>
    </cfRule>
    <cfRule type="containsText" dxfId="4669" priority="6267" operator="containsText" text="SI, SIN MANEJO">
      <formula>NOT(ISERROR(SEARCH("SI, SIN MANEJO",BC193)))</formula>
    </cfRule>
    <cfRule type="containsText" dxfId="4668" priority="6268" operator="containsText" text="SI, CONTROLADA">
      <formula>NOT(ISERROR(SEARCH("SI, CONTROLADA",BC193)))</formula>
    </cfRule>
    <cfRule type="containsText" dxfId="4667" priority="6269" operator="containsText" text="NO">
      <formula>NOT(ISERROR(SEARCH("NO",BC193)))</formula>
    </cfRule>
  </conditionalFormatting>
  <conditionalFormatting sqref="BE193">
    <cfRule type="expression" dxfId="4666" priority="6264">
      <formula>IF(AND(FA193&gt;=126,FC193&lt;24),1,0)</formula>
    </cfRule>
  </conditionalFormatting>
  <conditionalFormatting sqref="AG194:AH194 AJ194">
    <cfRule type="cellIs" dxfId="4665" priority="6261" operator="equal">
      <formula>"SD"</formula>
    </cfRule>
    <cfRule type="cellIs" dxfId="4664" priority="6262" operator="equal">
      <formula>"NO"</formula>
    </cfRule>
    <cfRule type="cellIs" dxfId="4663" priority="6263" operator="equal">
      <formula>"SI"</formula>
    </cfRule>
  </conditionalFormatting>
  <conditionalFormatting sqref="AI194">
    <cfRule type="containsText" dxfId="4662" priority="6254" operator="containsText" text="HABITANTE DE CALLE">
      <formula>NOT(ISERROR(SEARCH("HABITANTE DE CALLE",AI194)))</formula>
    </cfRule>
    <cfRule type="containsText" dxfId="4661" priority="6257" operator="containsText" text="NINGUNO">
      <formula>NOT(ISERROR(SEARCH("NINGUNO",AI194)))</formula>
    </cfRule>
    <cfRule type="containsText" dxfId="4660" priority="6258" operator="containsText" text="MIGRATORIA">
      <formula>NOT(ISERROR(SEARCH("MIGRATORIA",AI194)))</formula>
    </cfRule>
    <cfRule type="containsText" dxfId="4659" priority="6259" operator="containsText" text="DISCAPACIDAD">
      <formula>NOT(ISERROR(SEARCH("DISCAPACIDAD",AI194)))</formula>
    </cfRule>
    <cfRule type="containsText" dxfId="4658" priority="6260" operator="containsText" text="DESPLAZADA">
      <formula>NOT(ISERROR(SEARCH("DESPLAZADA",AI194)))</formula>
    </cfRule>
  </conditionalFormatting>
  <conditionalFormatting sqref="AE194:AF194">
    <cfRule type="containsText" dxfId="4657" priority="6255" operator="containsText" text="NO">
      <formula>NOT(ISERROR(SEARCH("NO",AE194)))</formula>
    </cfRule>
    <cfRule type="containsText" dxfId="4656" priority="6256" operator="containsText" text="SI">
      <formula>NOT(ISERROR(SEARCH("SI",AE194)))</formula>
    </cfRule>
  </conditionalFormatting>
  <conditionalFormatting sqref="AY194:BA194">
    <cfRule type="cellIs" dxfId="4655" priority="6251" operator="equal">
      <formula>"SD"</formula>
    </cfRule>
    <cfRule type="cellIs" dxfId="4654" priority="6252" operator="equal">
      <formula>"NO"</formula>
    </cfRule>
    <cfRule type="cellIs" dxfId="4653" priority="6253" operator="equal">
      <formula>"SI"</formula>
    </cfRule>
  </conditionalFormatting>
  <conditionalFormatting sqref="BD194:BI194 BB194">
    <cfRule type="cellIs" dxfId="4652" priority="6248" operator="equal">
      <formula>"SD"</formula>
    </cfRule>
    <cfRule type="cellIs" dxfId="4651" priority="6249" operator="equal">
      <formula>"NO"</formula>
    </cfRule>
    <cfRule type="cellIs" dxfId="4650" priority="6250" operator="equal">
      <formula>"SI"</formula>
    </cfRule>
  </conditionalFormatting>
  <conditionalFormatting sqref="BC194">
    <cfRule type="containsText" dxfId="4649" priority="6243" operator="containsText" text="SD">
      <formula>NOT(ISERROR(SEARCH("SD",BC194)))</formula>
    </cfRule>
    <cfRule type="containsText" dxfId="4648" priority="6244" operator="containsText" text="SI, NO CONTROLADA">
      <formula>NOT(ISERROR(SEARCH("SI, NO CONTROLADA",BC194)))</formula>
    </cfRule>
    <cfRule type="containsText" dxfId="4647" priority="6245" operator="containsText" text="SI, SIN MANEJO">
      <formula>NOT(ISERROR(SEARCH("SI, SIN MANEJO",BC194)))</formula>
    </cfRule>
    <cfRule type="containsText" dxfId="4646" priority="6246" operator="containsText" text="SI, CONTROLADA">
      <formula>NOT(ISERROR(SEARCH("SI, CONTROLADA",BC194)))</formula>
    </cfRule>
    <cfRule type="containsText" dxfId="4645" priority="6247" operator="containsText" text="NO">
      <formula>NOT(ISERROR(SEARCH("NO",BC194)))</formula>
    </cfRule>
  </conditionalFormatting>
  <conditionalFormatting sqref="BE194">
    <cfRule type="expression" dxfId="4644" priority="6242">
      <formula>IF(AND(FA194&gt;=126,FC194&lt;24),1,0)</formula>
    </cfRule>
  </conditionalFormatting>
  <conditionalFormatting sqref="AG195:AH195 AJ195">
    <cfRule type="cellIs" dxfId="4643" priority="6239" operator="equal">
      <formula>"SD"</formula>
    </cfRule>
    <cfRule type="cellIs" dxfId="4642" priority="6240" operator="equal">
      <formula>"NO"</formula>
    </cfRule>
    <cfRule type="cellIs" dxfId="4641" priority="6241" operator="equal">
      <formula>"SI"</formula>
    </cfRule>
  </conditionalFormatting>
  <conditionalFormatting sqref="AI195">
    <cfRule type="containsText" dxfId="4640" priority="6232" operator="containsText" text="HABITANTE DE CALLE">
      <formula>NOT(ISERROR(SEARCH("HABITANTE DE CALLE",AI195)))</formula>
    </cfRule>
    <cfRule type="containsText" dxfId="4639" priority="6235" operator="containsText" text="NINGUNO">
      <formula>NOT(ISERROR(SEARCH("NINGUNO",AI195)))</formula>
    </cfRule>
    <cfRule type="containsText" dxfId="4638" priority="6236" operator="containsText" text="MIGRATORIA">
      <formula>NOT(ISERROR(SEARCH("MIGRATORIA",AI195)))</formula>
    </cfRule>
    <cfRule type="containsText" dxfId="4637" priority="6237" operator="containsText" text="DISCAPACIDAD">
      <formula>NOT(ISERROR(SEARCH("DISCAPACIDAD",AI195)))</formula>
    </cfRule>
    <cfRule type="containsText" dxfId="4636" priority="6238" operator="containsText" text="DESPLAZADA">
      <formula>NOT(ISERROR(SEARCH("DESPLAZADA",AI195)))</formula>
    </cfRule>
  </conditionalFormatting>
  <conditionalFormatting sqref="AE195:AF195">
    <cfRule type="containsText" dxfId="4635" priority="6233" operator="containsText" text="NO">
      <formula>NOT(ISERROR(SEARCH("NO",AE195)))</formula>
    </cfRule>
    <cfRule type="containsText" dxfId="4634" priority="6234" operator="containsText" text="SI">
      <formula>NOT(ISERROR(SEARCH("SI",AE195)))</formula>
    </cfRule>
  </conditionalFormatting>
  <conditionalFormatting sqref="BK195:BM195">
    <cfRule type="cellIs" dxfId="4633" priority="6229" operator="equal">
      <formula>"SD"</formula>
    </cfRule>
    <cfRule type="cellIs" dxfId="4632" priority="6230" operator="equal">
      <formula>"NO"</formula>
    </cfRule>
    <cfRule type="cellIs" dxfId="4631" priority="6231" operator="equal">
      <formula>"SI"</formula>
    </cfRule>
  </conditionalFormatting>
  <conditionalFormatting sqref="AY195:BA195">
    <cfRule type="cellIs" dxfId="4630" priority="6226" operator="equal">
      <formula>"SD"</formula>
    </cfRule>
    <cfRule type="cellIs" dxfId="4629" priority="6227" operator="equal">
      <formula>"NO"</formula>
    </cfRule>
    <cfRule type="cellIs" dxfId="4628" priority="6228" operator="equal">
      <formula>"SI"</formula>
    </cfRule>
  </conditionalFormatting>
  <conditionalFormatting sqref="BD195:BI195 BB195">
    <cfRule type="cellIs" dxfId="4627" priority="6223" operator="equal">
      <formula>"SD"</formula>
    </cfRule>
    <cfRule type="cellIs" dxfId="4626" priority="6224" operator="equal">
      <formula>"NO"</formula>
    </cfRule>
    <cfRule type="cellIs" dxfId="4625" priority="6225" operator="equal">
      <formula>"SI"</formula>
    </cfRule>
  </conditionalFormatting>
  <conditionalFormatting sqref="BC195">
    <cfRule type="containsText" dxfId="4624" priority="6218" operator="containsText" text="SD">
      <formula>NOT(ISERROR(SEARCH("SD",BC195)))</formula>
    </cfRule>
    <cfRule type="containsText" dxfId="4623" priority="6219" operator="containsText" text="SI, NO CONTROLADA">
      <formula>NOT(ISERROR(SEARCH("SI, NO CONTROLADA",BC195)))</formula>
    </cfRule>
    <cfRule type="containsText" dxfId="4622" priority="6220" operator="containsText" text="SI, SIN MANEJO">
      <formula>NOT(ISERROR(SEARCH("SI, SIN MANEJO",BC195)))</formula>
    </cfRule>
    <cfRule type="containsText" dxfId="4621" priority="6221" operator="containsText" text="SI, CONTROLADA">
      <formula>NOT(ISERROR(SEARCH("SI, CONTROLADA",BC195)))</formula>
    </cfRule>
    <cfRule type="containsText" dxfId="4620" priority="6222" operator="containsText" text="NO">
      <formula>NOT(ISERROR(SEARCH("NO",BC195)))</formula>
    </cfRule>
  </conditionalFormatting>
  <conditionalFormatting sqref="BE195">
    <cfRule type="expression" dxfId="4619" priority="6217">
      <formula>IF(AND(FA195&gt;=126,FC195&lt;24),1,0)</formula>
    </cfRule>
  </conditionalFormatting>
  <conditionalFormatting sqref="AG196:AH196 AJ196">
    <cfRule type="cellIs" dxfId="4618" priority="6207" operator="equal">
      <formula>"SD"</formula>
    </cfRule>
    <cfRule type="cellIs" dxfId="4617" priority="6208" operator="equal">
      <formula>"NO"</formula>
    </cfRule>
    <cfRule type="cellIs" dxfId="4616" priority="6209" operator="equal">
      <formula>"SI"</formula>
    </cfRule>
  </conditionalFormatting>
  <conditionalFormatting sqref="AI196">
    <cfRule type="containsText" dxfId="4615" priority="6200" operator="containsText" text="HABITANTE DE CALLE">
      <formula>NOT(ISERROR(SEARCH("HABITANTE DE CALLE",AI196)))</formula>
    </cfRule>
    <cfRule type="containsText" dxfId="4614" priority="6203" operator="containsText" text="NINGUNO">
      <formula>NOT(ISERROR(SEARCH("NINGUNO",AI196)))</formula>
    </cfRule>
    <cfRule type="containsText" dxfId="4613" priority="6204" operator="containsText" text="MIGRATORIA">
      <formula>NOT(ISERROR(SEARCH("MIGRATORIA",AI196)))</formula>
    </cfRule>
    <cfRule type="containsText" dxfId="4612" priority="6205" operator="containsText" text="DISCAPACIDAD">
      <formula>NOT(ISERROR(SEARCH("DISCAPACIDAD",AI196)))</formula>
    </cfRule>
    <cfRule type="containsText" dxfId="4611" priority="6206" operator="containsText" text="DESPLAZADA">
      <formula>NOT(ISERROR(SEARCH("DESPLAZADA",AI196)))</formula>
    </cfRule>
  </conditionalFormatting>
  <conditionalFormatting sqref="AE196:AF196">
    <cfRule type="containsText" dxfId="4610" priority="6201" operator="containsText" text="NO">
      <formula>NOT(ISERROR(SEARCH("NO",AE196)))</formula>
    </cfRule>
    <cfRule type="containsText" dxfId="4609" priority="6202" operator="containsText" text="SI">
      <formula>NOT(ISERROR(SEARCH("SI",AE196)))</formula>
    </cfRule>
  </conditionalFormatting>
  <conditionalFormatting sqref="AX196">
    <cfRule type="cellIs" dxfId="4608" priority="6197" operator="equal">
      <formula>"SD"</formula>
    </cfRule>
    <cfRule type="cellIs" dxfId="4607" priority="6198" operator="equal">
      <formula>"NO"</formula>
    </cfRule>
    <cfRule type="cellIs" dxfId="4606" priority="6199" operator="equal">
      <formula>"SI"</formula>
    </cfRule>
  </conditionalFormatting>
  <conditionalFormatting sqref="BK196:BM196">
    <cfRule type="cellIs" dxfId="4605" priority="6194" operator="equal">
      <formula>"SD"</formula>
    </cfRule>
    <cfRule type="cellIs" dxfId="4604" priority="6195" operator="equal">
      <formula>"NO"</formula>
    </cfRule>
    <cfRule type="cellIs" dxfId="4603" priority="6196" operator="equal">
      <formula>"SI"</formula>
    </cfRule>
  </conditionalFormatting>
  <conditionalFormatting sqref="AY196:BA196">
    <cfRule type="cellIs" dxfId="4602" priority="6191" operator="equal">
      <formula>"SD"</formula>
    </cfRule>
    <cfRule type="cellIs" dxfId="4601" priority="6192" operator="equal">
      <formula>"NO"</formula>
    </cfRule>
    <cfRule type="cellIs" dxfId="4600" priority="6193" operator="equal">
      <formula>"SI"</formula>
    </cfRule>
  </conditionalFormatting>
  <conditionalFormatting sqref="BD196:BI196 BB196">
    <cfRule type="cellIs" dxfId="4599" priority="6188" operator="equal">
      <formula>"SD"</formula>
    </cfRule>
    <cfRule type="cellIs" dxfId="4598" priority="6189" operator="equal">
      <formula>"NO"</formula>
    </cfRule>
    <cfRule type="cellIs" dxfId="4597" priority="6190" operator="equal">
      <formula>"SI"</formula>
    </cfRule>
  </conditionalFormatting>
  <conditionalFormatting sqref="BC196">
    <cfRule type="containsText" dxfId="4596" priority="6183" operator="containsText" text="SD">
      <formula>NOT(ISERROR(SEARCH("SD",BC196)))</formula>
    </cfRule>
    <cfRule type="containsText" dxfId="4595" priority="6184" operator="containsText" text="SI, NO CONTROLADA">
      <formula>NOT(ISERROR(SEARCH("SI, NO CONTROLADA",BC196)))</formula>
    </cfRule>
    <cfRule type="containsText" dxfId="4594" priority="6185" operator="containsText" text="SI, SIN MANEJO">
      <formula>NOT(ISERROR(SEARCH("SI, SIN MANEJO",BC196)))</formula>
    </cfRule>
    <cfRule type="containsText" dxfId="4593" priority="6186" operator="containsText" text="SI, CONTROLADA">
      <formula>NOT(ISERROR(SEARCH("SI, CONTROLADA",BC196)))</formula>
    </cfRule>
    <cfRule type="containsText" dxfId="4592" priority="6187" operator="containsText" text="NO">
      <formula>NOT(ISERROR(SEARCH("NO",BC196)))</formula>
    </cfRule>
  </conditionalFormatting>
  <conditionalFormatting sqref="BE196">
    <cfRule type="expression" dxfId="4591" priority="6182">
      <formula>IF(AND(FA196&gt;=126,FC196&lt;24),1,0)</formula>
    </cfRule>
  </conditionalFormatting>
  <conditionalFormatting sqref="AC197">
    <cfRule type="containsText" dxfId="4590" priority="6178" operator="containsText" text="SABE">
      <formula>NOT(ISERROR(SEARCH("SABE",AC197)))</formula>
    </cfRule>
    <cfRule type="containsText" dxfId="4589" priority="6179" operator="containsText" text="SECUNDARIA">
      <formula>NOT(ISERROR(SEARCH("SECUNDARIA",AC197)))</formula>
    </cfRule>
    <cfRule type="containsText" dxfId="4588" priority="6180" operator="containsText" text="PRIMARIA INCOMPLETA">
      <formula>NOT(ISERROR(SEARCH("PRIMARIA INCOMPLETA",AC197)))</formula>
    </cfRule>
    <cfRule type="cellIs" dxfId="4587" priority="6181" operator="equal">
      <formula>"ANALFABETA"</formula>
    </cfRule>
  </conditionalFormatting>
  <conditionalFormatting sqref="AL197:AR197">
    <cfRule type="cellIs" dxfId="4586" priority="6172" operator="equal">
      <formula>"SD"</formula>
    </cfRule>
    <cfRule type="cellIs" dxfId="4585" priority="6173" operator="equal">
      <formula>"NO"</formula>
    </cfRule>
    <cfRule type="cellIs" dxfId="4584" priority="6174" operator="equal">
      <formula>"SI"</formula>
    </cfRule>
  </conditionalFormatting>
  <conditionalFormatting sqref="AK197">
    <cfRule type="containsText" dxfId="4583" priority="6169" operator="containsText" text="COMPLETAR EVALUACIÓN">
      <formula>NOT(ISERROR(SEARCH("COMPLETAR EVALUACIÓN",AK197)))</formula>
    </cfRule>
    <cfRule type="containsText" dxfId="4582" priority="6170" operator="containsText" text="CON RIESGO">
      <formula>NOT(ISERROR(SEARCH("CON RIESGO",AK197)))</formula>
    </cfRule>
    <cfRule type="containsText" dxfId="4581" priority="6171" operator="containsText" text="SIN RIESGO">
      <formula>NOT(ISERROR(SEARCH("SIN RIESGO",AK197)))</formula>
    </cfRule>
  </conditionalFormatting>
  <conditionalFormatting sqref="AG197:AH197 AJ197">
    <cfRule type="cellIs" dxfId="4580" priority="6166" operator="equal">
      <formula>"SD"</formula>
    </cfRule>
    <cfRule type="cellIs" dxfId="4579" priority="6167" operator="equal">
      <formula>"NO"</formula>
    </cfRule>
    <cfRule type="cellIs" dxfId="4578" priority="6168" operator="equal">
      <formula>"SI"</formula>
    </cfRule>
  </conditionalFormatting>
  <conditionalFormatting sqref="AI197">
    <cfRule type="containsText" dxfId="4577" priority="6159" operator="containsText" text="HABITANTE DE CALLE">
      <formula>NOT(ISERROR(SEARCH("HABITANTE DE CALLE",AI197)))</formula>
    </cfRule>
    <cfRule type="containsText" dxfId="4576" priority="6162" operator="containsText" text="NINGUNO">
      <formula>NOT(ISERROR(SEARCH("NINGUNO",AI197)))</formula>
    </cfRule>
    <cfRule type="containsText" dxfId="4575" priority="6163" operator="containsText" text="MIGRATORIA">
      <formula>NOT(ISERROR(SEARCH("MIGRATORIA",AI197)))</formula>
    </cfRule>
    <cfRule type="containsText" dxfId="4574" priority="6164" operator="containsText" text="DISCAPACIDAD">
      <formula>NOT(ISERROR(SEARCH("DISCAPACIDAD",AI197)))</formula>
    </cfRule>
    <cfRule type="containsText" dxfId="4573" priority="6165" operator="containsText" text="DESPLAZADA">
      <formula>NOT(ISERROR(SEARCH("DESPLAZADA",AI197)))</formula>
    </cfRule>
  </conditionalFormatting>
  <conditionalFormatting sqref="AE197:AF197">
    <cfRule type="containsText" dxfId="4572" priority="6160" operator="containsText" text="NO">
      <formula>NOT(ISERROR(SEARCH("NO",AE197)))</formula>
    </cfRule>
    <cfRule type="containsText" dxfId="4571" priority="6161" operator="containsText" text="SI">
      <formula>NOT(ISERROR(SEARCH("SI",AE197)))</formula>
    </cfRule>
  </conditionalFormatting>
  <conditionalFormatting sqref="AX197">
    <cfRule type="cellIs" dxfId="4570" priority="6156" operator="equal">
      <formula>"SD"</formula>
    </cfRule>
    <cfRule type="cellIs" dxfId="4569" priority="6157" operator="equal">
      <formula>"NO"</formula>
    </cfRule>
    <cfRule type="cellIs" dxfId="4568" priority="6158" operator="equal">
      <formula>"SI"</formula>
    </cfRule>
  </conditionalFormatting>
  <conditionalFormatting sqref="BK197:BM197">
    <cfRule type="cellIs" dxfId="4567" priority="6153" operator="equal">
      <formula>"SD"</formula>
    </cfRule>
    <cfRule type="cellIs" dxfId="4566" priority="6154" operator="equal">
      <formula>"NO"</formula>
    </cfRule>
    <cfRule type="cellIs" dxfId="4565" priority="6155" operator="equal">
      <formula>"SI"</formula>
    </cfRule>
  </conditionalFormatting>
  <conditionalFormatting sqref="AY197:BA197">
    <cfRule type="cellIs" dxfId="4564" priority="6150" operator="equal">
      <formula>"SD"</formula>
    </cfRule>
    <cfRule type="cellIs" dxfId="4563" priority="6151" operator="equal">
      <formula>"NO"</formula>
    </cfRule>
    <cfRule type="cellIs" dxfId="4562" priority="6152" operator="equal">
      <formula>"SI"</formula>
    </cfRule>
  </conditionalFormatting>
  <conditionalFormatting sqref="BD197:BI197 BB197">
    <cfRule type="cellIs" dxfId="4561" priority="6147" operator="equal">
      <formula>"SD"</formula>
    </cfRule>
    <cfRule type="cellIs" dxfId="4560" priority="6148" operator="equal">
      <formula>"NO"</formula>
    </cfRule>
    <cfRule type="cellIs" dxfId="4559" priority="6149" operator="equal">
      <formula>"SI"</formula>
    </cfRule>
  </conditionalFormatting>
  <conditionalFormatting sqref="BC197">
    <cfRule type="containsText" dxfId="4558" priority="6142" operator="containsText" text="SD">
      <formula>NOT(ISERROR(SEARCH("SD",BC197)))</formula>
    </cfRule>
    <cfRule type="containsText" dxfId="4557" priority="6143" operator="containsText" text="SI, NO CONTROLADA">
      <formula>NOT(ISERROR(SEARCH("SI, NO CONTROLADA",BC197)))</formula>
    </cfRule>
    <cfRule type="containsText" dxfId="4556" priority="6144" operator="containsText" text="SI, SIN MANEJO">
      <formula>NOT(ISERROR(SEARCH("SI, SIN MANEJO",BC197)))</formula>
    </cfRule>
    <cfRule type="containsText" dxfId="4555" priority="6145" operator="containsText" text="SI, CONTROLADA">
      <formula>NOT(ISERROR(SEARCH("SI, CONTROLADA",BC197)))</formula>
    </cfRule>
    <cfRule type="containsText" dxfId="4554" priority="6146" operator="containsText" text="NO">
      <formula>NOT(ISERROR(SEARCH("NO",BC197)))</formula>
    </cfRule>
  </conditionalFormatting>
  <conditionalFormatting sqref="BE197">
    <cfRule type="expression" dxfId="4553" priority="6141">
      <formula>IF(AND(FA197&gt;=126,FC197&lt;24),1,0)</formula>
    </cfRule>
  </conditionalFormatting>
  <conditionalFormatting sqref="FB197">
    <cfRule type="containsText" dxfId="4552" priority="6137" operator="containsText" text="RH NEGATIVO SIN COOMB">
      <formula>NOT(ISERROR(SEARCH("RH NEGATIVO SIN COOMB",FB197)))</formula>
    </cfRule>
    <cfRule type="containsText" dxfId="4551" priority="6138" operator="containsText" text="RH NEGATIVO CON COOMBS POSITIVO">
      <formula>NOT(ISERROR(SEARCH("RH NEGATIVO CON COOMBS POSITIVO",FB197)))</formula>
    </cfRule>
    <cfRule type="containsText" dxfId="4550" priority="6139" operator="containsText" text="RH NEGATIVO CON COOMBS NEGATIVO">
      <formula>NOT(ISERROR(SEARCH("RH NEGATIVO CON COOMBS NEGATIVO",FB197)))</formula>
    </cfRule>
    <cfRule type="containsText" dxfId="4549" priority="6140" operator="containsText" text="RH POSITIVO">
      <formula>NOT(ISERROR(SEARCH("RH POSITIVO",FB197)))</formula>
    </cfRule>
  </conditionalFormatting>
  <conditionalFormatting sqref="FK197">
    <cfRule type="containsText" dxfId="4548" priority="6133" operator="containsText" text="RH NEGATIVO SIN COOMB">
      <formula>NOT(ISERROR(SEARCH("RH NEGATIVO SIN COOMB",FK197)))</formula>
    </cfRule>
    <cfRule type="containsText" dxfId="4547" priority="6134" operator="containsText" text="RH NEGATIVO CON COOMBS POSITIVO">
      <formula>NOT(ISERROR(SEARCH("RH NEGATIVO CON COOMBS POSITIVO",FK197)))</formula>
    </cfRule>
    <cfRule type="containsText" dxfId="4546" priority="6135" operator="containsText" text="RH NEGATIVO CON COOMBS NEGATIVO">
      <formula>NOT(ISERROR(SEARCH("RH NEGATIVO CON COOMBS NEGATIVO",FK197)))</formula>
    </cfRule>
    <cfRule type="containsText" dxfId="4545" priority="6136" operator="containsText" text="RH POSITIVO">
      <formula>NOT(ISERROR(SEARCH("RH POSITIVO",FK197)))</formula>
    </cfRule>
  </conditionalFormatting>
  <conditionalFormatting sqref="AL198:AR198">
    <cfRule type="cellIs" dxfId="4544" priority="6130" operator="equal">
      <formula>"SD"</formula>
    </cfRule>
    <cfRule type="cellIs" dxfId="4543" priority="6131" operator="equal">
      <formula>"NO"</formula>
    </cfRule>
    <cfRule type="cellIs" dxfId="4542" priority="6132" operator="equal">
      <formula>"SI"</formula>
    </cfRule>
  </conditionalFormatting>
  <conditionalFormatting sqref="AK198">
    <cfRule type="containsText" dxfId="4541" priority="6127" operator="containsText" text="COMPLETAR EVALUACIÓN">
      <formula>NOT(ISERROR(SEARCH("COMPLETAR EVALUACIÓN",AK198)))</formula>
    </cfRule>
    <cfRule type="containsText" dxfId="4540" priority="6128" operator="containsText" text="CON RIESGO">
      <formula>NOT(ISERROR(SEARCH("CON RIESGO",AK198)))</formula>
    </cfRule>
    <cfRule type="containsText" dxfId="4539" priority="6129" operator="containsText" text="SIN RIESGO">
      <formula>NOT(ISERROR(SEARCH("SIN RIESGO",AK198)))</formula>
    </cfRule>
  </conditionalFormatting>
  <conditionalFormatting sqref="AG198:AH198 AJ198">
    <cfRule type="cellIs" dxfId="4538" priority="6124" operator="equal">
      <formula>"SD"</formula>
    </cfRule>
    <cfRule type="cellIs" dxfId="4537" priority="6125" operator="equal">
      <formula>"NO"</formula>
    </cfRule>
    <cfRule type="cellIs" dxfId="4536" priority="6126" operator="equal">
      <formula>"SI"</formula>
    </cfRule>
  </conditionalFormatting>
  <conditionalFormatting sqref="AI198">
    <cfRule type="containsText" dxfId="4535" priority="6117" operator="containsText" text="HABITANTE DE CALLE">
      <formula>NOT(ISERROR(SEARCH("HABITANTE DE CALLE",AI198)))</formula>
    </cfRule>
    <cfRule type="containsText" dxfId="4534" priority="6120" operator="containsText" text="NINGUNO">
      <formula>NOT(ISERROR(SEARCH("NINGUNO",AI198)))</formula>
    </cfRule>
    <cfRule type="containsText" dxfId="4533" priority="6121" operator="containsText" text="MIGRATORIA">
      <formula>NOT(ISERROR(SEARCH("MIGRATORIA",AI198)))</formula>
    </cfRule>
    <cfRule type="containsText" dxfId="4532" priority="6122" operator="containsText" text="DISCAPACIDAD">
      <formula>NOT(ISERROR(SEARCH("DISCAPACIDAD",AI198)))</formula>
    </cfRule>
    <cfRule type="containsText" dxfId="4531" priority="6123" operator="containsText" text="DESPLAZADA">
      <formula>NOT(ISERROR(SEARCH("DESPLAZADA",AI198)))</formula>
    </cfRule>
  </conditionalFormatting>
  <conditionalFormatting sqref="AE198:AF198">
    <cfRule type="containsText" dxfId="4530" priority="6118" operator="containsText" text="NO">
      <formula>NOT(ISERROR(SEARCH("NO",AE198)))</formula>
    </cfRule>
    <cfRule type="containsText" dxfId="4529" priority="6119" operator="containsText" text="SI">
      <formula>NOT(ISERROR(SEARCH("SI",AE198)))</formula>
    </cfRule>
  </conditionalFormatting>
  <conditionalFormatting sqref="AX198">
    <cfRule type="cellIs" dxfId="4528" priority="6114" operator="equal">
      <formula>"SD"</formula>
    </cfRule>
    <cfRule type="cellIs" dxfId="4527" priority="6115" operator="equal">
      <formula>"NO"</formula>
    </cfRule>
    <cfRule type="cellIs" dxfId="4526" priority="6116" operator="equal">
      <formula>"SI"</formula>
    </cfRule>
  </conditionalFormatting>
  <conditionalFormatting sqref="BK198:BM198">
    <cfRule type="cellIs" dxfId="4525" priority="6111" operator="equal">
      <formula>"SD"</formula>
    </cfRule>
    <cfRule type="cellIs" dxfId="4524" priority="6112" operator="equal">
      <formula>"NO"</formula>
    </cfRule>
    <cfRule type="cellIs" dxfId="4523" priority="6113" operator="equal">
      <formula>"SI"</formula>
    </cfRule>
  </conditionalFormatting>
  <conditionalFormatting sqref="AY198:BA198">
    <cfRule type="cellIs" dxfId="4522" priority="6108" operator="equal">
      <formula>"SD"</formula>
    </cfRule>
    <cfRule type="cellIs" dxfId="4521" priority="6109" operator="equal">
      <formula>"NO"</formula>
    </cfRule>
    <cfRule type="cellIs" dxfId="4520" priority="6110" operator="equal">
      <formula>"SI"</formula>
    </cfRule>
  </conditionalFormatting>
  <conditionalFormatting sqref="BD198:BI198 BB198">
    <cfRule type="cellIs" dxfId="4519" priority="6105" operator="equal">
      <formula>"SD"</formula>
    </cfRule>
    <cfRule type="cellIs" dxfId="4518" priority="6106" operator="equal">
      <formula>"NO"</formula>
    </cfRule>
    <cfRule type="cellIs" dxfId="4517" priority="6107" operator="equal">
      <formula>"SI"</formula>
    </cfRule>
  </conditionalFormatting>
  <conditionalFormatting sqref="BC198">
    <cfRule type="containsText" dxfId="4516" priority="6100" operator="containsText" text="SD">
      <formula>NOT(ISERROR(SEARCH("SD",BC198)))</formula>
    </cfRule>
    <cfRule type="containsText" dxfId="4515" priority="6101" operator="containsText" text="SI, NO CONTROLADA">
      <formula>NOT(ISERROR(SEARCH("SI, NO CONTROLADA",BC198)))</formula>
    </cfRule>
    <cfRule type="containsText" dxfId="4514" priority="6102" operator="containsText" text="SI, SIN MANEJO">
      <formula>NOT(ISERROR(SEARCH("SI, SIN MANEJO",BC198)))</formula>
    </cfRule>
    <cfRule type="containsText" dxfId="4513" priority="6103" operator="containsText" text="SI, CONTROLADA">
      <formula>NOT(ISERROR(SEARCH("SI, CONTROLADA",BC198)))</formula>
    </cfRule>
    <cfRule type="containsText" dxfId="4512" priority="6104" operator="containsText" text="NO">
      <formula>NOT(ISERROR(SEARCH("NO",BC198)))</formula>
    </cfRule>
  </conditionalFormatting>
  <conditionalFormatting sqref="BE198">
    <cfRule type="expression" dxfId="4511" priority="6099">
      <formula>IF(AND(FA198&gt;=126,FC198&lt;24),1,0)</formula>
    </cfRule>
  </conditionalFormatting>
  <conditionalFormatting sqref="P199">
    <cfRule type="containsText" dxfId="4510" priority="6095" operator="containsText" text="SI">
      <formula>NOT(ISERROR(SEARCH("SI",P199)))</formula>
    </cfRule>
    <cfRule type="containsText" dxfId="4509" priority="6096" operator="containsText" text="NO">
      <formula>NOT(ISERROR(SEARCH("NO",P199)))</formula>
    </cfRule>
    <cfRule type="containsText" dxfId="4508" priority="6097" operator="containsText" text="NA">
      <formula>NOT(ISERROR(SEARCH("NA",P199)))</formula>
    </cfRule>
  </conditionalFormatting>
  <conditionalFormatting sqref="Q199">
    <cfRule type="containsText" dxfId="4507" priority="6087" operator="containsText" text="SE TRASLADO DE EPS">
      <formula>NOT(ISERROR(SEARCH("SE TRASLADO DE EPS",Q199)))</formula>
    </cfRule>
    <cfRule type="containsText" dxfId="4506" priority="6090" operator="containsText" text="NOVEDAD">
      <formula>NOT(ISERROR(SEARCH("NOVEDAD",Q199)))</formula>
    </cfRule>
    <cfRule type="containsText" dxfId="4505" priority="6091" operator="containsText" text="IDENTIDAD">
      <formula>NOT(ISERROR(SEARCH("IDENTIDAD",Q199)))</formula>
    </cfRule>
    <cfRule type="containsText" dxfId="4504" priority="6092" operator="containsText" text="CPN">
      <formula>NOT(ISERROR(SEARCH("CPN",Q199)))</formula>
    </cfRule>
    <cfRule type="containsText" dxfId="4503" priority="6093" operator="containsText" text="VIENE">
      <formula>NOT(ISERROR(SEARCH("VIENE",Q199)))</formula>
    </cfRule>
    <cfRule type="cellIs" dxfId="4502" priority="6094" operator="equal">
      <formula>"TRAMITE DE PORTABILIDAD"</formula>
    </cfRule>
  </conditionalFormatting>
  <conditionalFormatting sqref="Q199">
    <cfRule type="containsText" dxfId="4501" priority="6088" operator="containsText" text="INMIGRANTE VENEZOLANA">
      <formula>NOT(ISERROR(SEARCH("INMIGRANTE VENEZOLANA",Q199)))</formula>
    </cfRule>
    <cfRule type="containsText" dxfId="4500" priority="6089" operator="containsText" text="SIN AFILIACIÓN A EPS">
      <formula>NOT(ISERROR(SEARCH("SIN AFILIACIÓN A EPS",Q199)))</formula>
    </cfRule>
  </conditionalFormatting>
  <conditionalFormatting sqref="AC199">
    <cfRule type="containsText" dxfId="4499" priority="6083" operator="containsText" text="SABE">
      <formula>NOT(ISERROR(SEARCH("SABE",AC199)))</formula>
    </cfRule>
    <cfRule type="containsText" dxfId="4498" priority="6084" operator="containsText" text="SECUNDARIA">
      <formula>NOT(ISERROR(SEARCH("SECUNDARIA",AC199)))</formula>
    </cfRule>
    <cfRule type="containsText" dxfId="4497" priority="6085" operator="containsText" text="PRIMARIA INCOMPLETA">
      <formula>NOT(ISERROR(SEARCH("PRIMARIA INCOMPLETA",AC199)))</formula>
    </cfRule>
    <cfRule type="cellIs" dxfId="4496" priority="6086" operator="equal">
      <formula>"ANALFABETA"</formula>
    </cfRule>
  </conditionalFormatting>
  <conditionalFormatting sqref="AL199:AR199">
    <cfRule type="cellIs" dxfId="4495" priority="6077" operator="equal">
      <formula>"SD"</formula>
    </cfRule>
    <cfRule type="cellIs" dxfId="4494" priority="6078" operator="equal">
      <formula>"NO"</formula>
    </cfRule>
    <cfRule type="cellIs" dxfId="4493" priority="6079" operator="equal">
      <formula>"SI"</formula>
    </cfRule>
  </conditionalFormatting>
  <conditionalFormatting sqref="AK199">
    <cfRule type="containsText" dxfId="4492" priority="6074" operator="containsText" text="COMPLETAR EVALUACIÓN">
      <formula>NOT(ISERROR(SEARCH("COMPLETAR EVALUACIÓN",AK199)))</formula>
    </cfRule>
    <cfRule type="containsText" dxfId="4491" priority="6075" operator="containsText" text="CON RIESGO">
      <formula>NOT(ISERROR(SEARCH("CON RIESGO",AK199)))</formula>
    </cfRule>
    <cfRule type="containsText" dxfId="4490" priority="6076" operator="containsText" text="SIN RIESGO">
      <formula>NOT(ISERROR(SEARCH("SIN RIESGO",AK199)))</formula>
    </cfRule>
  </conditionalFormatting>
  <conditionalFormatting sqref="AG199:AH199 AJ199">
    <cfRule type="cellIs" dxfId="4489" priority="6071" operator="equal">
      <formula>"SD"</formula>
    </cfRule>
    <cfRule type="cellIs" dxfId="4488" priority="6072" operator="equal">
      <formula>"NO"</formula>
    </cfRule>
    <cfRule type="cellIs" dxfId="4487" priority="6073" operator="equal">
      <formula>"SI"</formula>
    </cfRule>
  </conditionalFormatting>
  <conditionalFormatting sqref="AI199">
    <cfRule type="containsText" dxfId="4486" priority="6064" operator="containsText" text="HABITANTE DE CALLE">
      <formula>NOT(ISERROR(SEARCH("HABITANTE DE CALLE",AI199)))</formula>
    </cfRule>
    <cfRule type="containsText" dxfId="4485" priority="6067" operator="containsText" text="NINGUNO">
      <formula>NOT(ISERROR(SEARCH("NINGUNO",AI199)))</formula>
    </cfRule>
    <cfRule type="containsText" dxfId="4484" priority="6068" operator="containsText" text="MIGRATORIA">
      <formula>NOT(ISERROR(SEARCH("MIGRATORIA",AI199)))</formula>
    </cfRule>
    <cfRule type="containsText" dxfId="4483" priority="6069" operator="containsText" text="DISCAPACIDAD">
      <formula>NOT(ISERROR(SEARCH("DISCAPACIDAD",AI199)))</formula>
    </cfRule>
    <cfRule type="containsText" dxfId="4482" priority="6070" operator="containsText" text="DESPLAZADA">
      <formula>NOT(ISERROR(SEARCH("DESPLAZADA",AI199)))</formula>
    </cfRule>
  </conditionalFormatting>
  <conditionalFormatting sqref="AE199:AF199">
    <cfRule type="containsText" dxfId="4481" priority="6065" operator="containsText" text="NO">
      <formula>NOT(ISERROR(SEARCH("NO",AE199)))</formula>
    </cfRule>
    <cfRule type="containsText" dxfId="4480" priority="6066" operator="containsText" text="SI">
      <formula>NOT(ISERROR(SEARCH("SI",AE199)))</formula>
    </cfRule>
  </conditionalFormatting>
  <conditionalFormatting sqref="AX199">
    <cfRule type="cellIs" dxfId="4479" priority="6061" operator="equal">
      <formula>"SD"</formula>
    </cfRule>
    <cfRule type="cellIs" dxfId="4478" priority="6062" operator="equal">
      <formula>"NO"</formula>
    </cfRule>
    <cfRule type="cellIs" dxfId="4477" priority="6063" operator="equal">
      <formula>"SI"</formula>
    </cfRule>
  </conditionalFormatting>
  <conditionalFormatting sqref="BK199:BM199">
    <cfRule type="cellIs" dxfId="4476" priority="6058" operator="equal">
      <formula>"SD"</formula>
    </cfRule>
    <cfRule type="cellIs" dxfId="4475" priority="6059" operator="equal">
      <formula>"NO"</formula>
    </cfRule>
    <cfRule type="cellIs" dxfId="4474" priority="6060" operator="equal">
      <formula>"SI"</formula>
    </cfRule>
  </conditionalFormatting>
  <conditionalFormatting sqref="AY199:BA199">
    <cfRule type="cellIs" dxfId="4473" priority="6055" operator="equal">
      <formula>"SD"</formula>
    </cfRule>
    <cfRule type="cellIs" dxfId="4472" priority="6056" operator="equal">
      <formula>"NO"</formula>
    </cfRule>
    <cfRule type="cellIs" dxfId="4471" priority="6057" operator="equal">
      <formula>"SI"</formula>
    </cfRule>
  </conditionalFormatting>
  <conditionalFormatting sqref="BD199:BI199 BB199">
    <cfRule type="cellIs" dxfId="4470" priority="6052" operator="equal">
      <formula>"SD"</formula>
    </cfRule>
    <cfRule type="cellIs" dxfId="4469" priority="6053" operator="equal">
      <formula>"NO"</formula>
    </cfRule>
    <cfRule type="cellIs" dxfId="4468" priority="6054" operator="equal">
      <formula>"SI"</formula>
    </cfRule>
  </conditionalFormatting>
  <conditionalFormatting sqref="BC199">
    <cfRule type="containsText" dxfId="4467" priority="6047" operator="containsText" text="SD">
      <formula>NOT(ISERROR(SEARCH("SD",BC199)))</formula>
    </cfRule>
    <cfRule type="containsText" dxfId="4466" priority="6048" operator="containsText" text="SI, NO CONTROLADA">
      <formula>NOT(ISERROR(SEARCH("SI, NO CONTROLADA",BC199)))</formula>
    </cfRule>
    <cfRule type="containsText" dxfId="4465" priority="6049" operator="containsText" text="SI, SIN MANEJO">
      <formula>NOT(ISERROR(SEARCH("SI, SIN MANEJO",BC199)))</formula>
    </cfRule>
    <cfRule type="containsText" dxfId="4464" priority="6050" operator="containsText" text="SI, CONTROLADA">
      <formula>NOT(ISERROR(SEARCH("SI, CONTROLADA",BC199)))</formula>
    </cfRule>
    <cfRule type="containsText" dxfId="4463" priority="6051" operator="containsText" text="NO">
      <formula>NOT(ISERROR(SEARCH("NO",BC199)))</formula>
    </cfRule>
  </conditionalFormatting>
  <conditionalFormatting sqref="BE199">
    <cfRule type="expression" dxfId="4462" priority="6046">
      <formula>IF(AND(FA199&gt;=126,FC199&lt;24),1,0)</formula>
    </cfRule>
  </conditionalFormatting>
  <conditionalFormatting sqref="HV199 HX199">
    <cfRule type="containsText" dxfId="4461" priority="6042" operator="containsText" text="NO SE FORMULA">
      <formula>NOT(ISERROR(SEARCH("NO SE FORMULA",HV199)))</formula>
    </cfRule>
    <cfRule type="containsText" dxfId="4460" priority="6043" operator="containsText" text="OTRO">
      <formula>NOT(ISERROR(SEARCH("OTRO",HV199)))</formula>
    </cfRule>
    <cfRule type="containsText" dxfId="4459" priority="6044" operator="containsText" text="IRREGULAR">
      <formula>NOT(ISERROR(SEARCH("IRREGULAR",HV199)))</formula>
    </cfRule>
    <cfRule type="containsText" dxfId="4458" priority="6045" operator="containsText" text="ADECUADO">
      <formula>NOT(ISERROR(SEARCH("ADECUADO",HV199)))</formula>
    </cfRule>
  </conditionalFormatting>
  <conditionalFormatting sqref="L200">
    <cfRule type="containsText" dxfId="4457" priority="6024" operator="containsText" text="Empleo informal">
      <formula>NOT(ISERROR(SEARCH("Empleo informal",L200)))</formula>
    </cfRule>
    <cfRule type="containsText" dxfId="4456" priority="6025" operator="containsText" text="Empleada formalmente con riesgo a tóxicos">
      <formula>NOT(ISERROR(SEARCH("Empleada formalmente con riesgo a tóxicos",L200)))</formula>
    </cfRule>
    <cfRule type="containsText" dxfId="4455" priority="6026" operator="containsText" text="Empleada formalmente con riesgo de accidente laboral">
      <formula>NOT(ISERROR(SEARCH("Empleada formalmente con riesgo de accidente laboral",L200)))</formula>
    </cfRule>
    <cfRule type="containsText" dxfId="4454" priority="6027" operator="containsText" text="Empleada formalmente por jornada laboral extensa">
      <formula>NOT(ISERROR(SEARCH("Empleada formalmente por jornada laboral extensa",L200)))</formula>
    </cfRule>
    <cfRule type="containsText" dxfId="4453" priority="6028" operator="containsText" text="Empleada formalmente sin riesgo">
      <formula>NOT(ISERROR(SEARCH("Empleada formalmente sin riesgo",L200)))</formula>
    </cfRule>
    <cfRule type="containsText" dxfId="4452" priority="6029" operator="containsText" text="Actualmente desempleada">
      <formula>NOT(ISERROR(SEARCH("Actualmente desempleada",L200)))</formula>
    </cfRule>
    <cfRule type="containsText" dxfId="4451" priority="6030" operator="containsText" text="Hogar sin apoyo">
      <formula>NOT(ISERROR(SEARCH("Hogar sin apoyo",L200)))</formula>
    </cfRule>
    <cfRule type="containsText" dxfId="4450" priority="6031" operator="containsText" text="Empleada formalmente sin riesgo">
      <formula>NOT(ISERROR(SEARCH("Empleada formalmente sin riesgo",L200)))</formula>
    </cfRule>
    <cfRule type="containsText" dxfId="4449" priority="6032" operator="containsText" text="Hogar Con apoyo">
      <formula>NOT(ISERROR(SEARCH("Hogar Con apoyo",L200)))</formula>
    </cfRule>
  </conditionalFormatting>
  <conditionalFormatting sqref="Q200">
    <cfRule type="containsText" dxfId="4448" priority="6016" operator="containsText" text="SE TRASLADO DE EPS">
      <formula>NOT(ISERROR(SEARCH("SE TRASLADO DE EPS",Q200)))</formula>
    </cfRule>
    <cfRule type="containsText" dxfId="4447" priority="6019" operator="containsText" text="NOVEDAD">
      <formula>NOT(ISERROR(SEARCH("NOVEDAD",Q200)))</formula>
    </cfRule>
    <cfRule type="containsText" dxfId="4446" priority="6020" operator="containsText" text="IDENTIDAD">
      <formula>NOT(ISERROR(SEARCH("IDENTIDAD",Q200)))</formula>
    </cfRule>
    <cfRule type="containsText" dxfId="4445" priority="6021" operator="containsText" text="CPN">
      <formula>NOT(ISERROR(SEARCH("CPN",Q200)))</formula>
    </cfRule>
    <cfRule type="containsText" dxfId="4444" priority="6022" operator="containsText" text="VIENE">
      <formula>NOT(ISERROR(SEARCH("VIENE",Q200)))</formula>
    </cfRule>
    <cfRule type="cellIs" dxfId="4443" priority="6023" operator="equal">
      <formula>"TRAMITE DE PORTABILIDAD"</formula>
    </cfRule>
  </conditionalFormatting>
  <conditionalFormatting sqref="Q200">
    <cfRule type="containsText" dxfId="4442" priority="6017" operator="containsText" text="INMIGRANTE VENEZOLANA">
      <formula>NOT(ISERROR(SEARCH("INMIGRANTE VENEZOLANA",Q200)))</formula>
    </cfRule>
    <cfRule type="containsText" dxfId="4441" priority="6018" operator="containsText" text="SIN AFILIACIÓN A EPS">
      <formula>NOT(ISERROR(SEARCH("SIN AFILIACIÓN A EPS",Q200)))</formula>
    </cfRule>
  </conditionalFormatting>
  <conditionalFormatting sqref="AC200">
    <cfRule type="containsText" dxfId="4440" priority="6012" operator="containsText" text="SABE">
      <formula>NOT(ISERROR(SEARCH("SABE",AC200)))</formula>
    </cfRule>
    <cfRule type="containsText" dxfId="4439" priority="6013" operator="containsText" text="SECUNDARIA">
      <formula>NOT(ISERROR(SEARCH("SECUNDARIA",AC200)))</formula>
    </cfRule>
    <cfRule type="containsText" dxfId="4438" priority="6014" operator="containsText" text="PRIMARIA INCOMPLETA">
      <formula>NOT(ISERROR(SEARCH("PRIMARIA INCOMPLETA",AC200)))</formula>
    </cfRule>
    <cfRule type="cellIs" dxfId="4437" priority="6015" operator="equal">
      <formula>"ANALFABETA"</formula>
    </cfRule>
  </conditionalFormatting>
  <conditionalFormatting sqref="AL200:AR200">
    <cfRule type="cellIs" dxfId="4436" priority="6006" operator="equal">
      <formula>"SD"</formula>
    </cfRule>
    <cfRule type="cellIs" dxfId="4435" priority="6007" operator="equal">
      <formula>"NO"</formula>
    </cfRule>
    <cfRule type="cellIs" dxfId="4434" priority="6008" operator="equal">
      <formula>"SI"</formula>
    </cfRule>
  </conditionalFormatting>
  <conditionalFormatting sqref="AK200">
    <cfRule type="containsText" dxfId="4433" priority="6003" operator="containsText" text="COMPLETAR EVALUACIÓN">
      <formula>NOT(ISERROR(SEARCH("COMPLETAR EVALUACIÓN",AK200)))</formula>
    </cfRule>
    <cfRule type="containsText" dxfId="4432" priority="6004" operator="containsText" text="CON RIESGO">
      <formula>NOT(ISERROR(SEARCH("CON RIESGO",AK200)))</formula>
    </cfRule>
    <cfRule type="containsText" dxfId="4431" priority="6005" operator="containsText" text="SIN RIESGO">
      <formula>NOT(ISERROR(SEARCH("SIN RIESGO",AK200)))</formula>
    </cfRule>
  </conditionalFormatting>
  <conditionalFormatting sqref="AG200:AH200 AJ200">
    <cfRule type="cellIs" dxfId="4430" priority="6000" operator="equal">
      <formula>"SD"</formula>
    </cfRule>
    <cfRule type="cellIs" dxfId="4429" priority="6001" operator="equal">
      <formula>"NO"</formula>
    </cfRule>
    <cfRule type="cellIs" dxfId="4428" priority="6002" operator="equal">
      <formula>"SI"</formula>
    </cfRule>
  </conditionalFormatting>
  <conditionalFormatting sqref="AI200">
    <cfRule type="containsText" dxfId="4427" priority="5993" operator="containsText" text="HABITANTE DE CALLE">
      <formula>NOT(ISERROR(SEARCH("HABITANTE DE CALLE",AI200)))</formula>
    </cfRule>
    <cfRule type="containsText" dxfId="4426" priority="5996" operator="containsText" text="NINGUNO">
      <formula>NOT(ISERROR(SEARCH("NINGUNO",AI200)))</formula>
    </cfRule>
    <cfRule type="containsText" dxfId="4425" priority="5997" operator="containsText" text="MIGRATORIA">
      <formula>NOT(ISERROR(SEARCH("MIGRATORIA",AI200)))</formula>
    </cfRule>
    <cfRule type="containsText" dxfId="4424" priority="5998" operator="containsText" text="DISCAPACIDAD">
      <formula>NOT(ISERROR(SEARCH("DISCAPACIDAD",AI200)))</formula>
    </cfRule>
    <cfRule type="containsText" dxfId="4423" priority="5999" operator="containsText" text="DESPLAZADA">
      <formula>NOT(ISERROR(SEARCH("DESPLAZADA",AI200)))</formula>
    </cfRule>
  </conditionalFormatting>
  <conditionalFormatting sqref="AE200:AF200">
    <cfRule type="containsText" dxfId="4422" priority="5994" operator="containsText" text="NO">
      <formula>NOT(ISERROR(SEARCH("NO",AE200)))</formula>
    </cfRule>
    <cfRule type="containsText" dxfId="4421" priority="5995" operator="containsText" text="SI">
      <formula>NOT(ISERROR(SEARCH("SI",AE200)))</formula>
    </cfRule>
  </conditionalFormatting>
  <conditionalFormatting sqref="AX200">
    <cfRule type="cellIs" dxfId="4420" priority="5990" operator="equal">
      <formula>"SD"</formula>
    </cfRule>
    <cfRule type="cellIs" dxfId="4419" priority="5991" operator="equal">
      <formula>"NO"</formula>
    </cfRule>
    <cfRule type="cellIs" dxfId="4418" priority="5992" operator="equal">
      <formula>"SI"</formula>
    </cfRule>
  </conditionalFormatting>
  <conditionalFormatting sqref="BK200:BM200">
    <cfRule type="cellIs" dxfId="4417" priority="5987" operator="equal">
      <formula>"SD"</formula>
    </cfRule>
    <cfRule type="cellIs" dxfId="4416" priority="5988" operator="equal">
      <formula>"NO"</formula>
    </cfRule>
    <cfRule type="cellIs" dxfId="4415" priority="5989" operator="equal">
      <formula>"SI"</formula>
    </cfRule>
  </conditionalFormatting>
  <conditionalFormatting sqref="AY200:BA200">
    <cfRule type="cellIs" dxfId="4414" priority="5984" operator="equal">
      <formula>"SD"</formula>
    </cfRule>
    <cfRule type="cellIs" dxfId="4413" priority="5985" operator="equal">
      <formula>"NO"</formula>
    </cfRule>
    <cfRule type="cellIs" dxfId="4412" priority="5986" operator="equal">
      <formula>"SI"</formula>
    </cfRule>
  </conditionalFormatting>
  <conditionalFormatting sqref="BD200:BI200 BB200">
    <cfRule type="cellIs" dxfId="4411" priority="5981" operator="equal">
      <formula>"SD"</formula>
    </cfRule>
    <cfRule type="cellIs" dxfId="4410" priority="5982" operator="equal">
      <formula>"NO"</formula>
    </cfRule>
    <cfRule type="cellIs" dxfId="4409" priority="5983" operator="equal">
      <formula>"SI"</formula>
    </cfRule>
  </conditionalFormatting>
  <conditionalFormatting sqref="BC200">
    <cfRule type="containsText" dxfId="4408" priority="5976" operator="containsText" text="SD">
      <formula>NOT(ISERROR(SEARCH("SD",BC200)))</formula>
    </cfRule>
    <cfRule type="containsText" dxfId="4407" priority="5977" operator="containsText" text="SI, NO CONTROLADA">
      <formula>NOT(ISERROR(SEARCH("SI, NO CONTROLADA",BC200)))</formula>
    </cfRule>
    <cfRule type="containsText" dxfId="4406" priority="5978" operator="containsText" text="SI, SIN MANEJO">
      <formula>NOT(ISERROR(SEARCH("SI, SIN MANEJO",BC200)))</formula>
    </cfRule>
    <cfRule type="containsText" dxfId="4405" priority="5979" operator="containsText" text="SI, CONTROLADA">
      <formula>NOT(ISERROR(SEARCH("SI, CONTROLADA",BC200)))</formula>
    </cfRule>
    <cfRule type="containsText" dxfId="4404" priority="5980" operator="containsText" text="NO">
      <formula>NOT(ISERROR(SEARCH("NO",BC200)))</formula>
    </cfRule>
  </conditionalFormatting>
  <conditionalFormatting sqref="BE200">
    <cfRule type="expression" dxfId="4403" priority="5975">
      <formula>IF(AND(FA200&gt;=126,FC200&lt;24),1,0)</formula>
    </cfRule>
  </conditionalFormatting>
  <conditionalFormatting sqref="HV200">
    <cfRule type="containsText" dxfId="4402" priority="5971" operator="containsText" text="NO SE FORMULA">
      <formula>NOT(ISERROR(SEARCH("NO SE FORMULA",HV200)))</formula>
    </cfRule>
    <cfRule type="containsText" dxfId="4401" priority="5972" operator="containsText" text="OTRO">
      <formula>NOT(ISERROR(SEARCH("OTRO",HV200)))</formula>
    </cfRule>
    <cfRule type="containsText" dxfId="4400" priority="5973" operator="containsText" text="IRREGULAR">
      <formula>NOT(ISERROR(SEARCH("IRREGULAR",HV200)))</formula>
    </cfRule>
    <cfRule type="containsText" dxfId="4399" priority="5974" operator="containsText" text="ADECUADO">
      <formula>NOT(ISERROR(SEARCH("ADECUADO",HV200)))</formula>
    </cfRule>
  </conditionalFormatting>
  <conditionalFormatting sqref="L201">
    <cfRule type="containsText" dxfId="4398" priority="5962" operator="containsText" text="Empleo informal">
      <formula>NOT(ISERROR(SEARCH("Empleo informal",L201)))</formula>
    </cfRule>
    <cfRule type="containsText" dxfId="4397" priority="5963" operator="containsText" text="Empleada formalmente con riesgo a tóxicos">
      <formula>NOT(ISERROR(SEARCH("Empleada formalmente con riesgo a tóxicos",L201)))</formula>
    </cfRule>
    <cfRule type="containsText" dxfId="4396" priority="5964" operator="containsText" text="Empleada formalmente con riesgo de accidente laboral">
      <formula>NOT(ISERROR(SEARCH("Empleada formalmente con riesgo de accidente laboral",L201)))</formula>
    </cfRule>
    <cfRule type="containsText" dxfId="4395" priority="5965" operator="containsText" text="Empleada formalmente por jornada laboral extensa">
      <formula>NOT(ISERROR(SEARCH("Empleada formalmente por jornada laboral extensa",L201)))</formula>
    </cfRule>
    <cfRule type="containsText" dxfId="4394" priority="5966" operator="containsText" text="Empleada formalmente sin riesgo">
      <formula>NOT(ISERROR(SEARCH("Empleada formalmente sin riesgo",L201)))</formula>
    </cfRule>
    <cfRule type="containsText" dxfId="4393" priority="5967" operator="containsText" text="Actualmente desempleada">
      <formula>NOT(ISERROR(SEARCH("Actualmente desempleada",L201)))</formula>
    </cfRule>
    <cfRule type="containsText" dxfId="4392" priority="5968" operator="containsText" text="Hogar sin apoyo">
      <formula>NOT(ISERROR(SEARCH("Hogar sin apoyo",L201)))</formula>
    </cfRule>
    <cfRule type="containsText" dxfId="4391" priority="5969" operator="containsText" text="Empleada formalmente sin riesgo">
      <formula>NOT(ISERROR(SEARCH("Empleada formalmente sin riesgo",L201)))</formula>
    </cfRule>
    <cfRule type="containsText" dxfId="4390" priority="5970" operator="containsText" text="Hogar Con apoyo">
      <formula>NOT(ISERROR(SEARCH("Hogar Con apoyo",L201)))</formula>
    </cfRule>
  </conditionalFormatting>
  <conditionalFormatting sqref="Q201">
    <cfRule type="containsText" dxfId="4389" priority="5954" operator="containsText" text="SE TRASLADO DE EPS">
      <formula>NOT(ISERROR(SEARCH("SE TRASLADO DE EPS",Q201)))</formula>
    </cfRule>
    <cfRule type="containsText" dxfId="4388" priority="5957" operator="containsText" text="NOVEDAD">
      <formula>NOT(ISERROR(SEARCH("NOVEDAD",Q201)))</formula>
    </cfRule>
    <cfRule type="containsText" dxfId="4387" priority="5958" operator="containsText" text="IDENTIDAD">
      <formula>NOT(ISERROR(SEARCH("IDENTIDAD",Q201)))</formula>
    </cfRule>
    <cfRule type="containsText" dxfId="4386" priority="5959" operator="containsText" text="CPN">
      <formula>NOT(ISERROR(SEARCH("CPN",Q201)))</formula>
    </cfRule>
    <cfRule type="containsText" dxfId="4385" priority="5960" operator="containsText" text="VIENE">
      <formula>NOT(ISERROR(SEARCH("VIENE",Q201)))</formula>
    </cfRule>
    <cfRule type="cellIs" dxfId="4384" priority="5961" operator="equal">
      <formula>"TRAMITE DE PORTABILIDAD"</formula>
    </cfRule>
  </conditionalFormatting>
  <conditionalFormatting sqref="Q201">
    <cfRule type="containsText" dxfId="4383" priority="5955" operator="containsText" text="INMIGRANTE VENEZOLANA">
      <formula>NOT(ISERROR(SEARCH("INMIGRANTE VENEZOLANA",Q201)))</formula>
    </cfRule>
    <cfRule type="containsText" dxfId="4382" priority="5956" operator="containsText" text="SIN AFILIACIÓN A EPS">
      <formula>NOT(ISERROR(SEARCH("SIN AFILIACIÓN A EPS",Q201)))</formula>
    </cfRule>
  </conditionalFormatting>
  <conditionalFormatting sqref="AC201">
    <cfRule type="containsText" dxfId="4381" priority="5950" operator="containsText" text="SABE">
      <formula>NOT(ISERROR(SEARCH("SABE",AC201)))</formula>
    </cfRule>
    <cfRule type="containsText" dxfId="4380" priority="5951" operator="containsText" text="SECUNDARIA">
      <formula>NOT(ISERROR(SEARCH("SECUNDARIA",AC201)))</formula>
    </cfRule>
    <cfRule type="containsText" dxfId="4379" priority="5952" operator="containsText" text="PRIMARIA INCOMPLETA">
      <formula>NOT(ISERROR(SEARCH("PRIMARIA INCOMPLETA",AC201)))</formula>
    </cfRule>
    <cfRule type="cellIs" dxfId="4378" priority="5953" operator="equal">
      <formula>"ANALFABETA"</formula>
    </cfRule>
  </conditionalFormatting>
  <conditionalFormatting sqref="AL201:AR201">
    <cfRule type="cellIs" dxfId="4377" priority="5944" operator="equal">
      <formula>"SD"</formula>
    </cfRule>
    <cfRule type="cellIs" dxfId="4376" priority="5945" operator="equal">
      <formula>"NO"</formula>
    </cfRule>
    <cfRule type="cellIs" dxfId="4375" priority="5946" operator="equal">
      <formula>"SI"</formula>
    </cfRule>
  </conditionalFormatting>
  <conditionalFormatting sqref="AK201">
    <cfRule type="containsText" dxfId="4374" priority="5941" operator="containsText" text="COMPLETAR EVALUACIÓN">
      <formula>NOT(ISERROR(SEARCH("COMPLETAR EVALUACIÓN",AK201)))</formula>
    </cfRule>
    <cfRule type="containsText" dxfId="4373" priority="5942" operator="containsText" text="CON RIESGO">
      <formula>NOT(ISERROR(SEARCH("CON RIESGO",AK201)))</formula>
    </cfRule>
    <cfRule type="containsText" dxfId="4372" priority="5943" operator="containsText" text="SIN RIESGO">
      <formula>NOT(ISERROR(SEARCH("SIN RIESGO",AK201)))</formula>
    </cfRule>
  </conditionalFormatting>
  <conditionalFormatting sqref="AG201:AH201 AJ201">
    <cfRule type="cellIs" dxfId="4371" priority="5938" operator="equal">
      <formula>"SD"</formula>
    </cfRule>
    <cfRule type="cellIs" dxfId="4370" priority="5939" operator="equal">
      <formula>"NO"</formula>
    </cfRule>
    <cfRule type="cellIs" dxfId="4369" priority="5940" operator="equal">
      <formula>"SI"</formula>
    </cfRule>
  </conditionalFormatting>
  <conditionalFormatting sqref="AI201">
    <cfRule type="containsText" dxfId="4368" priority="5931" operator="containsText" text="HABITANTE DE CALLE">
      <formula>NOT(ISERROR(SEARCH("HABITANTE DE CALLE",AI201)))</formula>
    </cfRule>
    <cfRule type="containsText" dxfId="4367" priority="5934" operator="containsText" text="NINGUNO">
      <formula>NOT(ISERROR(SEARCH("NINGUNO",AI201)))</formula>
    </cfRule>
    <cfRule type="containsText" dxfId="4366" priority="5935" operator="containsText" text="MIGRATORIA">
      <formula>NOT(ISERROR(SEARCH("MIGRATORIA",AI201)))</formula>
    </cfRule>
    <cfRule type="containsText" dxfId="4365" priority="5936" operator="containsText" text="DISCAPACIDAD">
      <formula>NOT(ISERROR(SEARCH("DISCAPACIDAD",AI201)))</formula>
    </cfRule>
    <cfRule type="containsText" dxfId="4364" priority="5937" operator="containsText" text="DESPLAZADA">
      <formula>NOT(ISERROR(SEARCH("DESPLAZADA",AI201)))</formula>
    </cfRule>
  </conditionalFormatting>
  <conditionalFormatting sqref="AE201:AF201">
    <cfRule type="containsText" dxfId="4363" priority="5932" operator="containsText" text="NO">
      <formula>NOT(ISERROR(SEARCH("NO",AE201)))</formula>
    </cfRule>
    <cfRule type="containsText" dxfId="4362" priority="5933" operator="containsText" text="SI">
      <formula>NOT(ISERROR(SEARCH("SI",AE201)))</formula>
    </cfRule>
  </conditionalFormatting>
  <conditionalFormatting sqref="AX201">
    <cfRule type="cellIs" dxfId="4361" priority="5928" operator="equal">
      <formula>"SD"</formula>
    </cfRule>
    <cfRule type="cellIs" dxfId="4360" priority="5929" operator="equal">
      <formula>"NO"</formula>
    </cfRule>
    <cfRule type="cellIs" dxfId="4359" priority="5930" operator="equal">
      <formula>"SI"</formula>
    </cfRule>
  </conditionalFormatting>
  <conditionalFormatting sqref="BK201:BM201">
    <cfRule type="cellIs" dxfId="4358" priority="5925" operator="equal">
      <formula>"SD"</formula>
    </cfRule>
    <cfRule type="cellIs" dxfId="4357" priority="5926" operator="equal">
      <formula>"NO"</formula>
    </cfRule>
    <cfRule type="cellIs" dxfId="4356" priority="5927" operator="equal">
      <formula>"SI"</formula>
    </cfRule>
  </conditionalFormatting>
  <conditionalFormatting sqref="AY201:BA201">
    <cfRule type="cellIs" dxfId="4355" priority="5922" operator="equal">
      <formula>"SD"</formula>
    </cfRule>
    <cfRule type="cellIs" dxfId="4354" priority="5923" operator="equal">
      <formula>"NO"</formula>
    </cfRule>
    <cfRule type="cellIs" dxfId="4353" priority="5924" operator="equal">
      <formula>"SI"</formula>
    </cfRule>
  </conditionalFormatting>
  <conditionalFormatting sqref="BD201:BI201 BB201">
    <cfRule type="cellIs" dxfId="4352" priority="5919" operator="equal">
      <formula>"SD"</formula>
    </cfRule>
    <cfRule type="cellIs" dxfId="4351" priority="5920" operator="equal">
      <formula>"NO"</formula>
    </cfRule>
    <cfRule type="cellIs" dxfId="4350" priority="5921" operator="equal">
      <formula>"SI"</formula>
    </cfRule>
  </conditionalFormatting>
  <conditionalFormatting sqref="BC201">
    <cfRule type="containsText" dxfId="4349" priority="5914" operator="containsText" text="SD">
      <formula>NOT(ISERROR(SEARCH("SD",BC201)))</formula>
    </cfRule>
    <cfRule type="containsText" dxfId="4348" priority="5915" operator="containsText" text="SI, NO CONTROLADA">
      <formula>NOT(ISERROR(SEARCH("SI, NO CONTROLADA",BC201)))</formula>
    </cfRule>
    <cfRule type="containsText" dxfId="4347" priority="5916" operator="containsText" text="SI, SIN MANEJO">
      <formula>NOT(ISERROR(SEARCH("SI, SIN MANEJO",BC201)))</formula>
    </cfRule>
    <cfRule type="containsText" dxfId="4346" priority="5917" operator="containsText" text="SI, CONTROLADA">
      <formula>NOT(ISERROR(SEARCH("SI, CONTROLADA",BC201)))</formula>
    </cfRule>
    <cfRule type="containsText" dxfId="4345" priority="5918" operator="containsText" text="NO">
      <formula>NOT(ISERROR(SEARCH("NO",BC201)))</formula>
    </cfRule>
  </conditionalFormatting>
  <conditionalFormatting sqref="BE201">
    <cfRule type="expression" dxfId="4344" priority="5913">
      <formula>IF(AND(FA201&gt;=126,FC201&lt;24),1,0)</formula>
    </cfRule>
  </conditionalFormatting>
  <conditionalFormatting sqref="HT201">
    <cfRule type="containsText" dxfId="4343" priority="5909" operator="containsText" text="NO SE FORMULA">
      <formula>NOT(ISERROR(SEARCH("NO SE FORMULA",HT201)))</formula>
    </cfRule>
    <cfRule type="containsText" dxfId="4342" priority="5910" operator="containsText" text="OTRO">
      <formula>NOT(ISERROR(SEARCH("OTRO",HT201)))</formula>
    </cfRule>
    <cfRule type="containsText" dxfId="4341" priority="5911" operator="containsText" text="IRREGULAR">
      <formula>NOT(ISERROR(SEARCH("IRREGULAR",HT201)))</formula>
    </cfRule>
    <cfRule type="containsText" dxfId="4340" priority="5912" operator="containsText" text="ADECUADO">
      <formula>NOT(ISERROR(SEARCH("ADECUADO",HT201)))</formula>
    </cfRule>
  </conditionalFormatting>
  <conditionalFormatting sqref="HX201">
    <cfRule type="containsText" dxfId="4339" priority="5905" operator="containsText" text="NO SE FORMULA">
      <formula>NOT(ISERROR(SEARCH("NO SE FORMULA",HX201)))</formula>
    </cfRule>
    <cfRule type="containsText" dxfId="4338" priority="5906" operator="containsText" text="OTRO">
      <formula>NOT(ISERROR(SEARCH("OTRO",HX201)))</formula>
    </cfRule>
    <cfRule type="containsText" dxfId="4337" priority="5907" operator="containsText" text="IRREGULAR">
      <formula>NOT(ISERROR(SEARCH("IRREGULAR",HX201)))</formula>
    </cfRule>
    <cfRule type="containsText" dxfId="4336" priority="5908" operator="containsText" text="ADECUADO">
      <formula>NOT(ISERROR(SEARCH("ADECUADO",HX201)))</formula>
    </cfRule>
  </conditionalFormatting>
  <conditionalFormatting sqref="L166:L167 L158 L155 L146 L142 L140 L136 L131">
    <cfRule type="containsText" dxfId="4335" priority="5896" operator="containsText" text="Empleo informal">
      <formula>NOT(ISERROR(SEARCH("Empleo informal",L131)))</formula>
    </cfRule>
    <cfRule type="containsText" dxfId="4334" priority="5897" operator="containsText" text="Empleada formalmente con riesgo a tóxicos">
      <formula>NOT(ISERROR(SEARCH("Empleada formalmente con riesgo a tóxicos",L131)))</formula>
    </cfRule>
    <cfRule type="containsText" dxfId="4333" priority="5898" operator="containsText" text="Empleada formalmente con riesgo de accidente laboral">
      <formula>NOT(ISERROR(SEARCH("Empleada formalmente con riesgo de accidente laboral",L131)))</formula>
    </cfRule>
    <cfRule type="containsText" dxfId="4332" priority="5899" operator="containsText" text="Empleada formalmente por jornada laboral extensa">
      <formula>NOT(ISERROR(SEARCH("Empleada formalmente por jornada laboral extensa",L131)))</formula>
    </cfRule>
    <cfRule type="containsText" dxfId="4331" priority="5900" operator="containsText" text="Empleada formalmente sin riesgo">
      <formula>NOT(ISERROR(SEARCH("Empleada formalmente sin riesgo",L131)))</formula>
    </cfRule>
    <cfRule type="containsText" dxfId="4330" priority="5901" operator="containsText" text="Actualmente desempleada">
      <formula>NOT(ISERROR(SEARCH("Actualmente desempleada",L131)))</formula>
    </cfRule>
    <cfRule type="containsText" dxfId="4329" priority="5902" operator="containsText" text="Hogar sin apoyo">
      <formula>NOT(ISERROR(SEARCH("Hogar sin apoyo",L131)))</formula>
    </cfRule>
    <cfRule type="containsText" dxfId="4328" priority="5903" operator="containsText" text="Empleada formalmente sin riesgo">
      <formula>NOT(ISERROR(SEARCH("Empleada formalmente sin riesgo",L131)))</formula>
    </cfRule>
    <cfRule type="containsText" dxfId="4327" priority="5904" operator="containsText" text="Hogar Con apoyo">
      <formula>NOT(ISERROR(SEARCH("Hogar Con apoyo",L131)))</formula>
    </cfRule>
  </conditionalFormatting>
  <conditionalFormatting sqref="L202">
    <cfRule type="containsText" dxfId="4326" priority="5827" operator="containsText" text="Empleo informal">
      <formula>NOT(ISERROR(SEARCH("Empleo informal",L202)))</formula>
    </cfRule>
    <cfRule type="containsText" dxfId="4325" priority="5828" operator="containsText" text="Empleada formalmente con riesgo a tóxicos">
      <formula>NOT(ISERROR(SEARCH("Empleada formalmente con riesgo a tóxicos",L202)))</formula>
    </cfRule>
    <cfRule type="containsText" dxfId="4324" priority="5829" operator="containsText" text="Empleada formalmente con riesgo de accidente laboral">
      <formula>NOT(ISERROR(SEARCH("Empleada formalmente con riesgo de accidente laboral",L202)))</formula>
    </cfRule>
    <cfRule type="containsText" dxfId="4323" priority="5830" operator="containsText" text="Empleada formalmente por jornada laboral extensa">
      <formula>NOT(ISERROR(SEARCH("Empleada formalmente por jornada laboral extensa",L202)))</formula>
    </cfRule>
    <cfRule type="containsText" dxfId="4322" priority="5831" operator="containsText" text="Empleada formalmente sin riesgo">
      <formula>NOT(ISERROR(SEARCH("Empleada formalmente sin riesgo",L202)))</formula>
    </cfRule>
    <cfRule type="containsText" dxfId="4321" priority="5832" operator="containsText" text="Actualmente desempleada">
      <formula>NOT(ISERROR(SEARCH("Actualmente desempleada",L202)))</formula>
    </cfRule>
    <cfRule type="containsText" dxfId="4320" priority="5833" operator="containsText" text="Hogar sin apoyo">
      <formula>NOT(ISERROR(SEARCH("Hogar sin apoyo",L202)))</formula>
    </cfRule>
    <cfRule type="containsText" dxfId="4319" priority="5834" operator="containsText" text="Empleada formalmente sin riesgo">
      <formula>NOT(ISERROR(SEARCH("Empleada formalmente sin riesgo",L202)))</formula>
    </cfRule>
    <cfRule type="containsText" dxfId="4318" priority="5835" operator="containsText" text="Hogar Con apoyo">
      <formula>NOT(ISERROR(SEARCH("Hogar Con apoyo",L202)))</formula>
    </cfRule>
  </conditionalFormatting>
  <conditionalFormatting sqref="L202">
    <cfRule type="containsText" dxfId="4317" priority="5818" operator="containsText" text="Empleo informal">
      <formula>NOT(ISERROR(SEARCH("Empleo informal",L202)))</formula>
    </cfRule>
    <cfRule type="containsText" dxfId="4316" priority="5819" operator="containsText" text="Empleada formalmente con riesgo a tóxicos">
      <formula>NOT(ISERROR(SEARCH("Empleada formalmente con riesgo a tóxicos",L202)))</formula>
    </cfRule>
    <cfRule type="containsText" dxfId="4315" priority="5820" operator="containsText" text="Empleada formalmente con riesgo de accidente laboral">
      <formula>NOT(ISERROR(SEARCH("Empleada formalmente con riesgo de accidente laboral",L202)))</formula>
    </cfRule>
    <cfRule type="containsText" dxfId="4314" priority="5821" operator="containsText" text="Empleada formalmente por jornada laboral extensa">
      <formula>NOT(ISERROR(SEARCH("Empleada formalmente por jornada laboral extensa",L202)))</formula>
    </cfRule>
    <cfRule type="containsText" dxfId="4313" priority="5822" operator="containsText" text="Empleada formalmente sin riesgo">
      <formula>NOT(ISERROR(SEARCH("Empleada formalmente sin riesgo",L202)))</formula>
    </cfRule>
    <cfRule type="containsText" dxfId="4312" priority="5823" operator="containsText" text="Actualmente desempleada">
      <formula>NOT(ISERROR(SEARCH("Actualmente desempleada",L202)))</formula>
    </cfRule>
    <cfRule type="containsText" dxfId="4311" priority="5824" operator="containsText" text="Hogar sin apoyo">
      <formula>NOT(ISERROR(SEARCH("Hogar sin apoyo",L202)))</formula>
    </cfRule>
    <cfRule type="containsText" dxfId="4310" priority="5825" operator="containsText" text="Empleada formalmente sin riesgo">
      <formula>NOT(ISERROR(SEARCH("Empleada formalmente sin riesgo",L202)))</formula>
    </cfRule>
    <cfRule type="containsText" dxfId="4309" priority="5826" operator="containsText" text="Hogar Con apoyo">
      <formula>NOT(ISERROR(SEARCH("Hogar Con apoyo",L202)))</formula>
    </cfRule>
  </conditionalFormatting>
  <conditionalFormatting sqref="Q202">
    <cfRule type="containsText" dxfId="4308" priority="5810" operator="containsText" text="SE TRASLADO DE EPS">
      <formula>NOT(ISERROR(SEARCH("SE TRASLADO DE EPS",Q202)))</formula>
    </cfRule>
    <cfRule type="containsText" dxfId="4307" priority="5813" operator="containsText" text="NOVEDAD">
      <formula>NOT(ISERROR(SEARCH("NOVEDAD",Q202)))</formula>
    </cfRule>
    <cfRule type="containsText" dxfId="4306" priority="5814" operator="containsText" text="IDENTIDAD">
      <formula>NOT(ISERROR(SEARCH("IDENTIDAD",Q202)))</formula>
    </cfRule>
    <cfRule type="containsText" dxfId="4305" priority="5815" operator="containsText" text="CPN">
      <formula>NOT(ISERROR(SEARCH("CPN",Q202)))</formula>
    </cfRule>
    <cfRule type="containsText" dxfId="4304" priority="5816" operator="containsText" text="VIENE">
      <formula>NOT(ISERROR(SEARCH("VIENE",Q202)))</formula>
    </cfRule>
    <cfRule type="cellIs" dxfId="4303" priority="5817" operator="equal">
      <formula>"TRAMITE DE PORTABILIDAD"</formula>
    </cfRule>
  </conditionalFormatting>
  <conditionalFormatting sqref="Q202">
    <cfRule type="containsText" dxfId="4302" priority="5811" operator="containsText" text="INMIGRANTE VENEZOLANA">
      <formula>NOT(ISERROR(SEARCH("INMIGRANTE VENEZOLANA",Q202)))</formula>
    </cfRule>
    <cfRule type="containsText" dxfId="4301" priority="5812" operator="containsText" text="SIN AFILIACIÓN A EPS">
      <formula>NOT(ISERROR(SEARCH("SIN AFILIACIÓN A EPS",Q202)))</formula>
    </cfRule>
  </conditionalFormatting>
  <conditionalFormatting sqref="AJ202 AG202:AH202 BD202:BI202 AL202:BB202 BK202:BM202">
    <cfRule type="cellIs" dxfId="4300" priority="5807" operator="equal">
      <formula>"SD"</formula>
    </cfRule>
    <cfRule type="cellIs" dxfId="4299" priority="5808" operator="equal">
      <formula>"NO"</formula>
    </cfRule>
    <cfRule type="cellIs" dxfId="4298" priority="5809" operator="equal">
      <formula>"SI"</formula>
    </cfRule>
  </conditionalFormatting>
  <conditionalFormatting sqref="AC202">
    <cfRule type="containsText" dxfId="4297" priority="5803" operator="containsText" text="SABE">
      <formula>NOT(ISERROR(SEARCH("SABE",AC202)))</formula>
    </cfRule>
    <cfRule type="containsText" dxfId="4296" priority="5804" operator="containsText" text="SECUNDARIA">
      <formula>NOT(ISERROR(SEARCH("SECUNDARIA",AC202)))</formula>
    </cfRule>
    <cfRule type="containsText" dxfId="4295" priority="5805" operator="containsText" text="PRIMARIA INCOMPLETA">
      <formula>NOT(ISERROR(SEARCH("PRIMARIA INCOMPLETA",AC202)))</formula>
    </cfRule>
    <cfRule type="cellIs" dxfId="4294" priority="5806" operator="equal">
      <formula>"ANALFABETA"</formula>
    </cfRule>
  </conditionalFormatting>
  <conditionalFormatting sqref="AW202">
    <cfRule type="cellIs" dxfId="4293" priority="5800" operator="equal">
      <formula>1</formula>
    </cfRule>
    <cfRule type="cellIs" dxfId="4292" priority="5801" operator="equal">
      <formula>"3 O MAS"</formula>
    </cfRule>
    <cfRule type="cellIs" dxfId="4291" priority="5802" operator="equal">
      <formula>2</formula>
    </cfRule>
  </conditionalFormatting>
  <conditionalFormatting sqref="AI202">
    <cfRule type="containsText" dxfId="4290" priority="5782" operator="containsText" text="HABITANTE DE CALLE">
      <formula>NOT(ISERROR(SEARCH("HABITANTE DE CALLE",AI202)))</formula>
    </cfRule>
    <cfRule type="containsText" dxfId="4289" priority="5794" operator="containsText" text="NINGUNO">
      <formula>NOT(ISERROR(SEARCH("NINGUNO",AI202)))</formula>
    </cfRule>
    <cfRule type="containsText" dxfId="4288" priority="5795" operator="containsText" text="MIGRATORIA">
      <formula>NOT(ISERROR(SEARCH("MIGRATORIA",AI202)))</formula>
    </cfRule>
    <cfRule type="containsText" dxfId="4287" priority="5796" operator="containsText" text="DISCAPACIDAD">
      <formula>NOT(ISERROR(SEARCH("DISCAPACIDAD",AI202)))</formula>
    </cfRule>
    <cfRule type="containsText" dxfId="4286" priority="5797" operator="containsText" text="DESPLAZADA">
      <formula>NOT(ISERROR(SEARCH("DESPLAZADA",AI202)))</formula>
    </cfRule>
  </conditionalFormatting>
  <conditionalFormatting sqref="AE202:AF202">
    <cfRule type="containsText" dxfId="4285" priority="5792" operator="containsText" text="NO">
      <formula>NOT(ISERROR(SEARCH("NO",AE202)))</formula>
    </cfRule>
    <cfRule type="containsText" dxfId="4284" priority="5793" operator="containsText" text="SI">
      <formula>NOT(ISERROR(SEARCH("SI",AE202)))</formula>
    </cfRule>
  </conditionalFormatting>
  <conditionalFormatting sqref="BC202">
    <cfRule type="containsText" dxfId="4283" priority="5783" operator="containsText" text="SD">
      <formula>NOT(ISERROR(SEARCH("SD",BC202)))</formula>
    </cfRule>
    <cfRule type="containsText" dxfId="4282" priority="5784" operator="containsText" text="SI, NO CONTROLADA">
      <formula>NOT(ISERROR(SEARCH("SI, NO CONTROLADA",BC202)))</formula>
    </cfRule>
    <cfRule type="containsText" dxfId="4281" priority="5785" operator="containsText" text="SI, SIN MANEJO">
      <formula>NOT(ISERROR(SEARCH("SI, SIN MANEJO",BC202)))</formula>
    </cfRule>
    <cfRule type="containsText" dxfId="4280" priority="5786" operator="containsText" text="SI, CONTROLADA">
      <formula>NOT(ISERROR(SEARCH("SI, CONTROLADA",BC202)))</formula>
    </cfRule>
    <cfRule type="containsText" dxfId="4279" priority="5787" operator="containsText" text="NO">
      <formula>NOT(ISERROR(SEARCH("NO",BC202)))</formula>
    </cfRule>
  </conditionalFormatting>
  <conditionalFormatting sqref="AC202">
    <cfRule type="containsText" dxfId="4278" priority="5778" operator="containsText" text="SABE">
      <formula>NOT(ISERROR(SEARCH("SABE",AC202)))</formula>
    </cfRule>
    <cfRule type="containsText" dxfId="4277" priority="5779" operator="containsText" text="SECUNDARIA">
      <formula>NOT(ISERROR(SEARCH("SECUNDARIA",AC202)))</formula>
    </cfRule>
    <cfRule type="containsText" dxfId="4276" priority="5780" operator="containsText" text="PRIMARIA INCOMPLETA">
      <formula>NOT(ISERROR(SEARCH("PRIMARIA INCOMPLETA",AC202)))</formula>
    </cfRule>
    <cfRule type="cellIs" dxfId="4275" priority="5781" operator="equal">
      <formula>"ANALFABETA"</formula>
    </cfRule>
  </conditionalFormatting>
  <conditionalFormatting sqref="AL202:AR202">
    <cfRule type="cellIs" dxfId="4274" priority="5772" operator="equal">
      <formula>"SD"</formula>
    </cfRule>
    <cfRule type="cellIs" dxfId="4273" priority="5773" operator="equal">
      <formula>"NO"</formula>
    </cfRule>
    <cfRule type="cellIs" dxfId="4272" priority="5774" operator="equal">
      <formula>"SI"</formula>
    </cfRule>
  </conditionalFormatting>
  <conditionalFormatting sqref="AG202:AH202 AJ202">
    <cfRule type="cellIs" dxfId="4271" priority="5766" operator="equal">
      <formula>"SD"</formula>
    </cfRule>
    <cfRule type="cellIs" dxfId="4270" priority="5767" operator="equal">
      <formula>"NO"</formula>
    </cfRule>
    <cfRule type="cellIs" dxfId="4269" priority="5768" operator="equal">
      <formula>"SI"</formula>
    </cfRule>
  </conditionalFormatting>
  <conditionalFormatting sqref="AI202">
    <cfRule type="containsText" dxfId="4268" priority="5759" operator="containsText" text="HABITANTE DE CALLE">
      <formula>NOT(ISERROR(SEARCH("HABITANTE DE CALLE",AI202)))</formula>
    </cfRule>
    <cfRule type="containsText" dxfId="4267" priority="5762" operator="containsText" text="NINGUNO">
      <formula>NOT(ISERROR(SEARCH("NINGUNO",AI202)))</formula>
    </cfRule>
    <cfRule type="containsText" dxfId="4266" priority="5763" operator="containsText" text="MIGRATORIA">
      <formula>NOT(ISERROR(SEARCH("MIGRATORIA",AI202)))</formula>
    </cfRule>
    <cfRule type="containsText" dxfId="4265" priority="5764" operator="containsText" text="DISCAPACIDAD">
      <formula>NOT(ISERROR(SEARCH("DISCAPACIDAD",AI202)))</formula>
    </cfRule>
    <cfRule type="containsText" dxfId="4264" priority="5765" operator="containsText" text="DESPLAZADA">
      <formula>NOT(ISERROR(SEARCH("DESPLAZADA",AI202)))</formula>
    </cfRule>
  </conditionalFormatting>
  <conditionalFormatting sqref="AE202:AF202">
    <cfRule type="containsText" dxfId="4263" priority="5760" operator="containsText" text="NO">
      <formula>NOT(ISERROR(SEARCH("NO",AE202)))</formula>
    </cfRule>
    <cfRule type="containsText" dxfId="4262" priority="5761" operator="containsText" text="SI">
      <formula>NOT(ISERROR(SEARCH("SI",AE202)))</formula>
    </cfRule>
  </conditionalFormatting>
  <conditionalFormatting sqref="AV202">
    <cfRule type="cellIs" dxfId="4261" priority="5756" operator="equal">
      <formula>"SD"</formula>
    </cfRule>
    <cfRule type="cellIs" dxfId="4260" priority="5757" operator="equal">
      <formula>"NO"</formula>
    </cfRule>
    <cfRule type="cellIs" dxfId="4259" priority="5758" operator="equal">
      <formula>"SI"</formula>
    </cfRule>
  </conditionalFormatting>
  <conditionalFormatting sqref="AX202">
    <cfRule type="cellIs" dxfId="4258" priority="5753" operator="equal">
      <formula>"SD"</formula>
    </cfRule>
    <cfRule type="cellIs" dxfId="4257" priority="5754" operator="equal">
      <formula>"NO"</formula>
    </cfRule>
    <cfRule type="cellIs" dxfId="4256" priority="5755" operator="equal">
      <formula>"SI"</formula>
    </cfRule>
  </conditionalFormatting>
  <conditionalFormatting sqref="BK202:BM202">
    <cfRule type="cellIs" dxfId="4255" priority="5750" operator="equal">
      <formula>"SD"</formula>
    </cfRule>
    <cfRule type="cellIs" dxfId="4254" priority="5751" operator="equal">
      <formula>"NO"</formula>
    </cfRule>
    <cfRule type="cellIs" dxfId="4253" priority="5752" operator="equal">
      <formula>"SI"</formula>
    </cfRule>
  </conditionalFormatting>
  <conditionalFormatting sqref="AY202:BA202">
    <cfRule type="cellIs" dxfId="4252" priority="5747" operator="equal">
      <formula>"SD"</formula>
    </cfRule>
    <cfRule type="cellIs" dxfId="4251" priority="5748" operator="equal">
      <formula>"NO"</formula>
    </cfRule>
    <cfRule type="cellIs" dxfId="4250" priority="5749" operator="equal">
      <formula>"SI"</formula>
    </cfRule>
  </conditionalFormatting>
  <conditionalFormatting sqref="BD202:BI202 BB202">
    <cfRule type="cellIs" dxfId="4249" priority="5744" operator="equal">
      <formula>"SD"</formula>
    </cfRule>
    <cfRule type="cellIs" dxfId="4248" priority="5745" operator="equal">
      <formula>"NO"</formula>
    </cfRule>
    <cfRule type="cellIs" dxfId="4247" priority="5746" operator="equal">
      <formula>"SI"</formula>
    </cfRule>
  </conditionalFormatting>
  <conditionalFormatting sqref="BC202">
    <cfRule type="containsText" dxfId="4246" priority="5739" operator="containsText" text="SD">
      <formula>NOT(ISERROR(SEARCH("SD",BC202)))</formula>
    </cfRule>
    <cfRule type="containsText" dxfId="4245" priority="5740" operator="containsText" text="SI, NO CONTROLADA">
      <formula>NOT(ISERROR(SEARCH("SI, NO CONTROLADA",BC202)))</formula>
    </cfRule>
    <cfRule type="containsText" dxfId="4244" priority="5741" operator="containsText" text="SI, SIN MANEJO">
      <formula>NOT(ISERROR(SEARCH("SI, SIN MANEJO",BC202)))</formula>
    </cfRule>
    <cfRule type="containsText" dxfId="4243" priority="5742" operator="containsText" text="SI, CONTROLADA">
      <formula>NOT(ISERROR(SEARCH("SI, CONTROLADA",BC202)))</formula>
    </cfRule>
    <cfRule type="containsText" dxfId="4242" priority="5743" operator="containsText" text="NO">
      <formula>NOT(ISERROR(SEARCH("NO",BC202)))</formula>
    </cfRule>
  </conditionalFormatting>
  <conditionalFormatting sqref="BE202">
    <cfRule type="expression" dxfId="4241" priority="5738">
      <formula>IF(AND(FA202&gt;=126,FC202&lt;24),1,0)</formula>
    </cfRule>
  </conditionalFormatting>
  <conditionalFormatting sqref="HV202 HT202">
    <cfRule type="containsText" dxfId="4240" priority="5734" operator="containsText" text="NO SE FORMULA">
      <formula>NOT(ISERROR(SEARCH("NO SE FORMULA",HT202)))</formula>
    </cfRule>
    <cfRule type="containsText" dxfId="4239" priority="5735" operator="containsText" text="OTRO">
      <formula>NOT(ISERROR(SEARCH("OTRO",HT202)))</formula>
    </cfRule>
    <cfRule type="containsText" dxfId="4238" priority="5736" operator="containsText" text="IRREGULAR">
      <formula>NOT(ISERROR(SEARCH("IRREGULAR",HT202)))</formula>
    </cfRule>
    <cfRule type="containsText" dxfId="4237" priority="5737" operator="containsText" text="ADECUADO">
      <formula>NOT(ISERROR(SEARCH("ADECUADO",HT202)))</formula>
    </cfRule>
  </conditionalFormatting>
  <conditionalFormatting sqref="HV202">
    <cfRule type="containsText" dxfId="4236" priority="5730" operator="containsText" text="NO SE FORMULA">
      <formula>NOT(ISERROR(SEARCH("NO SE FORMULA",HV202)))</formula>
    </cfRule>
    <cfRule type="containsText" dxfId="4235" priority="5731" operator="containsText" text="OTRO">
      <formula>NOT(ISERROR(SEARCH("OTRO",HV202)))</formula>
    </cfRule>
    <cfRule type="containsText" dxfId="4234" priority="5732" operator="containsText" text="IRREGULAR">
      <formula>NOT(ISERROR(SEARCH("IRREGULAR",HV202)))</formula>
    </cfRule>
    <cfRule type="containsText" dxfId="4233" priority="5733" operator="containsText" text="ADECUADO">
      <formula>NOT(ISERROR(SEARCH("ADECUADO",HV202)))</formula>
    </cfRule>
  </conditionalFormatting>
  <conditionalFormatting sqref="L203">
    <cfRule type="containsText" dxfId="4232" priority="5721" operator="containsText" text="Empleo informal">
      <formula>NOT(ISERROR(SEARCH("Empleo informal",L203)))</formula>
    </cfRule>
    <cfRule type="containsText" dxfId="4231" priority="5722" operator="containsText" text="Empleada formalmente con riesgo a tóxicos">
      <formula>NOT(ISERROR(SEARCH("Empleada formalmente con riesgo a tóxicos",L203)))</formula>
    </cfRule>
    <cfRule type="containsText" dxfId="4230" priority="5723" operator="containsText" text="Empleada formalmente con riesgo de accidente laboral">
      <formula>NOT(ISERROR(SEARCH("Empleada formalmente con riesgo de accidente laboral",L203)))</formula>
    </cfRule>
    <cfRule type="containsText" dxfId="4229" priority="5724" operator="containsText" text="Empleada formalmente por jornada laboral extensa">
      <formula>NOT(ISERROR(SEARCH("Empleada formalmente por jornada laboral extensa",L203)))</formula>
    </cfRule>
    <cfRule type="containsText" dxfId="4228" priority="5725" operator="containsText" text="Empleada formalmente sin riesgo">
      <formula>NOT(ISERROR(SEARCH("Empleada formalmente sin riesgo",L203)))</formula>
    </cfRule>
    <cfRule type="containsText" dxfId="4227" priority="5726" operator="containsText" text="Actualmente desempleada">
      <formula>NOT(ISERROR(SEARCH("Actualmente desempleada",L203)))</formula>
    </cfRule>
    <cfRule type="containsText" dxfId="4226" priority="5727" operator="containsText" text="Hogar sin apoyo">
      <formula>NOT(ISERROR(SEARCH("Hogar sin apoyo",L203)))</formula>
    </cfRule>
    <cfRule type="containsText" dxfId="4225" priority="5728" operator="containsText" text="Empleada formalmente sin riesgo">
      <formula>NOT(ISERROR(SEARCH("Empleada formalmente sin riesgo",L203)))</formula>
    </cfRule>
    <cfRule type="containsText" dxfId="4224" priority="5729" operator="containsText" text="Hogar Con apoyo">
      <formula>NOT(ISERROR(SEARCH("Hogar Con apoyo",L203)))</formula>
    </cfRule>
  </conditionalFormatting>
  <conditionalFormatting sqref="L203">
    <cfRule type="containsText" dxfId="4223" priority="5712" operator="containsText" text="Empleo informal">
      <formula>NOT(ISERROR(SEARCH("Empleo informal",L203)))</formula>
    </cfRule>
    <cfRule type="containsText" dxfId="4222" priority="5713" operator="containsText" text="Empleada formalmente con riesgo a tóxicos">
      <formula>NOT(ISERROR(SEARCH("Empleada formalmente con riesgo a tóxicos",L203)))</formula>
    </cfRule>
    <cfRule type="containsText" dxfId="4221" priority="5714" operator="containsText" text="Empleada formalmente con riesgo de accidente laboral">
      <formula>NOT(ISERROR(SEARCH("Empleada formalmente con riesgo de accidente laboral",L203)))</formula>
    </cfRule>
    <cfRule type="containsText" dxfId="4220" priority="5715" operator="containsText" text="Empleada formalmente por jornada laboral extensa">
      <formula>NOT(ISERROR(SEARCH("Empleada formalmente por jornada laboral extensa",L203)))</formula>
    </cfRule>
    <cfRule type="containsText" dxfId="4219" priority="5716" operator="containsText" text="Empleada formalmente sin riesgo">
      <formula>NOT(ISERROR(SEARCH("Empleada formalmente sin riesgo",L203)))</formula>
    </cfRule>
    <cfRule type="containsText" dxfId="4218" priority="5717" operator="containsText" text="Actualmente desempleada">
      <formula>NOT(ISERROR(SEARCH("Actualmente desempleada",L203)))</formula>
    </cfRule>
    <cfRule type="containsText" dxfId="4217" priority="5718" operator="containsText" text="Hogar sin apoyo">
      <formula>NOT(ISERROR(SEARCH("Hogar sin apoyo",L203)))</formula>
    </cfRule>
    <cfRule type="containsText" dxfId="4216" priority="5719" operator="containsText" text="Empleada formalmente sin riesgo">
      <formula>NOT(ISERROR(SEARCH("Empleada formalmente sin riesgo",L203)))</formula>
    </cfRule>
    <cfRule type="containsText" dxfId="4215" priority="5720" operator="containsText" text="Hogar Con apoyo">
      <formula>NOT(ISERROR(SEARCH("Hogar Con apoyo",L203)))</formula>
    </cfRule>
  </conditionalFormatting>
  <conditionalFormatting sqref="Q203">
    <cfRule type="containsText" dxfId="4214" priority="5704" operator="containsText" text="SE TRASLADO DE EPS">
      <formula>NOT(ISERROR(SEARCH("SE TRASLADO DE EPS",Q203)))</formula>
    </cfRule>
    <cfRule type="containsText" dxfId="4213" priority="5707" operator="containsText" text="NOVEDAD">
      <formula>NOT(ISERROR(SEARCH("NOVEDAD",Q203)))</formula>
    </cfRule>
    <cfRule type="containsText" dxfId="4212" priority="5708" operator="containsText" text="IDENTIDAD">
      <formula>NOT(ISERROR(SEARCH("IDENTIDAD",Q203)))</formula>
    </cfRule>
    <cfRule type="containsText" dxfId="4211" priority="5709" operator="containsText" text="CPN">
      <formula>NOT(ISERROR(SEARCH("CPN",Q203)))</formula>
    </cfRule>
    <cfRule type="containsText" dxfId="4210" priority="5710" operator="containsText" text="VIENE">
      <formula>NOT(ISERROR(SEARCH("VIENE",Q203)))</formula>
    </cfRule>
    <cfRule type="cellIs" dxfId="4209" priority="5711" operator="equal">
      <formula>"TRAMITE DE PORTABILIDAD"</formula>
    </cfRule>
  </conditionalFormatting>
  <conditionalFormatting sqref="Q203">
    <cfRule type="containsText" dxfId="4208" priority="5705" operator="containsText" text="INMIGRANTE VENEZOLANA">
      <formula>NOT(ISERROR(SEARCH("INMIGRANTE VENEZOLANA",Q203)))</formula>
    </cfRule>
    <cfRule type="containsText" dxfId="4207" priority="5706" operator="containsText" text="SIN AFILIACIÓN A EPS">
      <formula>NOT(ISERROR(SEARCH("SIN AFILIACIÓN A EPS",Q203)))</formula>
    </cfRule>
  </conditionalFormatting>
  <conditionalFormatting sqref="AJ203 AG203:AH203 AL203:AR203">
    <cfRule type="cellIs" dxfId="4206" priority="5701" operator="equal">
      <formula>"SD"</formula>
    </cfRule>
    <cfRule type="cellIs" dxfId="4205" priority="5702" operator="equal">
      <formula>"NO"</formula>
    </cfRule>
    <cfRule type="cellIs" dxfId="4204" priority="5703" operator="equal">
      <formula>"SI"</formula>
    </cfRule>
  </conditionalFormatting>
  <conditionalFormatting sqref="AI203">
    <cfRule type="containsText" dxfId="4203" priority="5688" operator="containsText" text="HABITANTE DE CALLE">
      <formula>NOT(ISERROR(SEARCH("HABITANTE DE CALLE",AI203)))</formula>
    </cfRule>
    <cfRule type="containsText" dxfId="4202" priority="5695" operator="containsText" text="NINGUNO">
      <formula>NOT(ISERROR(SEARCH("NINGUNO",AI203)))</formula>
    </cfRule>
    <cfRule type="containsText" dxfId="4201" priority="5696" operator="containsText" text="MIGRATORIA">
      <formula>NOT(ISERROR(SEARCH("MIGRATORIA",AI203)))</formula>
    </cfRule>
    <cfRule type="containsText" dxfId="4200" priority="5697" operator="containsText" text="DISCAPACIDAD">
      <formula>NOT(ISERROR(SEARCH("DISCAPACIDAD",AI203)))</formula>
    </cfRule>
    <cfRule type="containsText" dxfId="4199" priority="5698" operator="containsText" text="DESPLAZADA">
      <formula>NOT(ISERROR(SEARCH("DESPLAZADA",AI203)))</formula>
    </cfRule>
  </conditionalFormatting>
  <conditionalFormatting sqref="AE203:AF203">
    <cfRule type="containsText" dxfId="4198" priority="5693" operator="containsText" text="NO">
      <formula>NOT(ISERROR(SEARCH("NO",AE203)))</formula>
    </cfRule>
    <cfRule type="containsText" dxfId="4197" priority="5694" operator="containsText" text="SI">
      <formula>NOT(ISERROR(SEARCH("SI",AE203)))</formula>
    </cfRule>
  </conditionalFormatting>
  <conditionalFormatting sqref="AL203:AR203">
    <cfRule type="cellIs" dxfId="4196" priority="5682" operator="equal">
      <formula>"SD"</formula>
    </cfRule>
    <cfRule type="cellIs" dxfId="4195" priority="5683" operator="equal">
      <formula>"NO"</formula>
    </cfRule>
    <cfRule type="cellIs" dxfId="4194" priority="5684" operator="equal">
      <formula>"SI"</formula>
    </cfRule>
  </conditionalFormatting>
  <conditionalFormatting sqref="AG203:AH203 AJ203">
    <cfRule type="cellIs" dxfId="4193" priority="5676" operator="equal">
      <formula>"SD"</formula>
    </cfRule>
    <cfRule type="cellIs" dxfId="4192" priority="5677" operator="equal">
      <formula>"NO"</formula>
    </cfRule>
    <cfRule type="cellIs" dxfId="4191" priority="5678" operator="equal">
      <formula>"SI"</formula>
    </cfRule>
  </conditionalFormatting>
  <conditionalFormatting sqref="AI203">
    <cfRule type="containsText" dxfId="4190" priority="5669" operator="containsText" text="HABITANTE DE CALLE">
      <formula>NOT(ISERROR(SEARCH("HABITANTE DE CALLE",AI203)))</formula>
    </cfRule>
    <cfRule type="containsText" dxfId="4189" priority="5672" operator="containsText" text="NINGUNO">
      <formula>NOT(ISERROR(SEARCH("NINGUNO",AI203)))</formula>
    </cfRule>
    <cfRule type="containsText" dxfId="4188" priority="5673" operator="containsText" text="MIGRATORIA">
      <formula>NOT(ISERROR(SEARCH("MIGRATORIA",AI203)))</formula>
    </cfRule>
    <cfRule type="containsText" dxfId="4187" priority="5674" operator="containsText" text="DISCAPACIDAD">
      <formula>NOT(ISERROR(SEARCH("DISCAPACIDAD",AI203)))</formula>
    </cfRule>
    <cfRule type="containsText" dxfId="4186" priority="5675" operator="containsText" text="DESPLAZADA">
      <formula>NOT(ISERROR(SEARCH("DESPLAZADA",AI203)))</formula>
    </cfRule>
  </conditionalFormatting>
  <conditionalFormatting sqref="AE203:AF203">
    <cfRule type="containsText" dxfId="4185" priority="5670" operator="containsText" text="NO">
      <formula>NOT(ISERROR(SEARCH("NO",AE203)))</formula>
    </cfRule>
    <cfRule type="containsText" dxfId="4184" priority="5671" operator="containsText" text="SI">
      <formula>NOT(ISERROR(SEARCH("SI",AE203)))</formula>
    </cfRule>
  </conditionalFormatting>
  <conditionalFormatting sqref="AV203">
    <cfRule type="cellIs" dxfId="4183" priority="5666" operator="equal">
      <formula>"SD"</formula>
    </cfRule>
    <cfRule type="cellIs" dxfId="4182" priority="5667" operator="equal">
      <formula>"NO"</formula>
    </cfRule>
    <cfRule type="cellIs" dxfId="4181" priority="5668" operator="equal">
      <formula>"SI"</formula>
    </cfRule>
  </conditionalFormatting>
  <conditionalFormatting sqref="AV203">
    <cfRule type="cellIs" dxfId="4180" priority="5663" operator="equal">
      <formula>"SD"</formula>
    </cfRule>
    <cfRule type="cellIs" dxfId="4179" priority="5664" operator="equal">
      <formula>"NO"</formula>
    </cfRule>
    <cfRule type="cellIs" dxfId="4178" priority="5665" operator="equal">
      <formula>"SI"</formula>
    </cfRule>
  </conditionalFormatting>
  <conditionalFormatting sqref="BD203:BI203 AX203:BB203 BK203:BM203">
    <cfRule type="cellIs" dxfId="4177" priority="5660" operator="equal">
      <formula>"SD"</formula>
    </cfRule>
    <cfRule type="cellIs" dxfId="4176" priority="5661" operator="equal">
      <formula>"NO"</formula>
    </cfRule>
    <cfRule type="cellIs" dxfId="4175" priority="5662" operator="equal">
      <formula>"SI"</formula>
    </cfRule>
  </conditionalFormatting>
  <conditionalFormatting sqref="BC203">
    <cfRule type="containsText" dxfId="4174" priority="5655" operator="containsText" text="SD">
      <formula>NOT(ISERROR(SEARCH("SD",BC203)))</formula>
    </cfRule>
    <cfRule type="containsText" dxfId="4173" priority="5656" operator="containsText" text="SI, NO CONTROLADA">
      <formula>NOT(ISERROR(SEARCH("SI, NO CONTROLADA",BC203)))</formula>
    </cfRule>
    <cfRule type="containsText" dxfId="4172" priority="5657" operator="containsText" text="SI, SIN MANEJO">
      <formula>NOT(ISERROR(SEARCH("SI, SIN MANEJO",BC203)))</formula>
    </cfRule>
    <cfRule type="containsText" dxfId="4171" priority="5658" operator="containsText" text="SI, CONTROLADA">
      <formula>NOT(ISERROR(SEARCH("SI, CONTROLADA",BC203)))</formula>
    </cfRule>
    <cfRule type="containsText" dxfId="4170" priority="5659" operator="containsText" text="NO">
      <formula>NOT(ISERROR(SEARCH("NO",BC203)))</formula>
    </cfRule>
  </conditionalFormatting>
  <conditionalFormatting sqref="AX203">
    <cfRule type="cellIs" dxfId="4169" priority="5652" operator="equal">
      <formula>"SD"</formula>
    </cfRule>
    <cfRule type="cellIs" dxfId="4168" priority="5653" operator="equal">
      <formula>"NO"</formula>
    </cfRule>
    <cfRule type="cellIs" dxfId="4167" priority="5654" operator="equal">
      <formula>"SI"</formula>
    </cfRule>
  </conditionalFormatting>
  <conditionalFormatting sqref="BK203:BM203">
    <cfRule type="cellIs" dxfId="4166" priority="5649" operator="equal">
      <formula>"SD"</formula>
    </cfRule>
    <cfRule type="cellIs" dxfId="4165" priority="5650" operator="equal">
      <formula>"NO"</formula>
    </cfRule>
    <cfRule type="cellIs" dxfId="4164" priority="5651" operator="equal">
      <formula>"SI"</formula>
    </cfRule>
  </conditionalFormatting>
  <conditionalFormatting sqref="AY203:BA203">
    <cfRule type="cellIs" dxfId="4163" priority="5646" operator="equal">
      <formula>"SD"</formula>
    </cfRule>
    <cfRule type="cellIs" dxfId="4162" priority="5647" operator="equal">
      <formula>"NO"</formula>
    </cfRule>
    <cfRule type="cellIs" dxfId="4161" priority="5648" operator="equal">
      <formula>"SI"</formula>
    </cfRule>
  </conditionalFormatting>
  <conditionalFormatting sqref="BD203:BI203 BB203">
    <cfRule type="cellIs" dxfId="4160" priority="5643" operator="equal">
      <formula>"SD"</formula>
    </cfRule>
    <cfRule type="cellIs" dxfId="4159" priority="5644" operator="equal">
      <formula>"NO"</formula>
    </cfRule>
    <cfRule type="cellIs" dxfId="4158" priority="5645" operator="equal">
      <formula>"SI"</formula>
    </cfRule>
  </conditionalFormatting>
  <conditionalFormatting sqref="BC203">
    <cfRule type="containsText" dxfId="4157" priority="5638" operator="containsText" text="SD">
      <formula>NOT(ISERROR(SEARCH("SD",BC203)))</formula>
    </cfRule>
    <cfRule type="containsText" dxfId="4156" priority="5639" operator="containsText" text="SI, NO CONTROLADA">
      <formula>NOT(ISERROR(SEARCH("SI, NO CONTROLADA",BC203)))</formula>
    </cfRule>
    <cfRule type="containsText" dxfId="4155" priority="5640" operator="containsText" text="SI, SIN MANEJO">
      <formula>NOT(ISERROR(SEARCH("SI, SIN MANEJO",BC203)))</formula>
    </cfRule>
    <cfRule type="containsText" dxfId="4154" priority="5641" operator="containsText" text="SI, CONTROLADA">
      <formula>NOT(ISERROR(SEARCH("SI, CONTROLADA",BC203)))</formula>
    </cfRule>
    <cfRule type="containsText" dxfId="4153" priority="5642" operator="containsText" text="NO">
      <formula>NOT(ISERROR(SEARCH("NO",BC203)))</formula>
    </cfRule>
  </conditionalFormatting>
  <conditionalFormatting sqref="BE203">
    <cfRule type="expression" dxfId="4152" priority="5637">
      <formula>IF(AND(FA203&gt;=126,FC203&lt;24),1,0)</formula>
    </cfRule>
  </conditionalFormatting>
  <conditionalFormatting sqref="L204">
    <cfRule type="containsText" dxfId="4151" priority="5628" operator="containsText" text="Empleo informal">
      <formula>NOT(ISERROR(SEARCH("Empleo informal",L204)))</formula>
    </cfRule>
    <cfRule type="containsText" dxfId="4150" priority="5629" operator="containsText" text="Empleada formalmente con riesgo a tóxicos">
      <formula>NOT(ISERROR(SEARCH("Empleada formalmente con riesgo a tóxicos",L204)))</formula>
    </cfRule>
    <cfRule type="containsText" dxfId="4149" priority="5630" operator="containsText" text="Empleada formalmente con riesgo de accidente laboral">
      <formula>NOT(ISERROR(SEARCH("Empleada formalmente con riesgo de accidente laboral",L204)))</formula>
    </cfRule>
    <cfRule type="containsText" dxfId="4148" priority="5631" operator="containsText" text="Empleada formalmente por jornada laboral extensa">
      <formula>NOT(ISERROR(SEARCH("Empleada formalmente por jornada laboral extensa",L204)))</formula>
    </cfRule>
    <cfRule type="containsText" dxfId="4147" priority="5632" operator="containsText" text="Empleada formalmente sin riesgo">
      <formula>NOT(ISERROR(SEARCH("Empleada formalmente sin riesgo",L204)))</formula>
    </cfRule>
    <cfRule type="containsText" dxfId="4146" priority="5633" operator="containsText" text="Actualmente desempleada">
      <formula>NOT(ISERROR(SEARCH("Actualmente desempleada",L204)))</formula>
    </cfRule>
    <cfRule type="containsText" dxfId="4145" priority="5634" operator="containsText" text="Hogar sin apoyo">
      <formula>NOT(ISERROR(SEARCH("Hogar sin apoyo",L204)))</formula>
    </cfRule>
    <cfRule type="containsText" dxfId="4144" priority="5635" operator="containsText" text="Empleada formalmente sin riesgo">
      <formula>NOT(ISERROR(SEARCH("Empleada formalmente sin riesgo",L204)))</formula>
    </cfRule>
    <cfRule type="containsText" dxfId="4143" priority="5636" operator="containsText" text="Hogar Con apoyo">
      <formula>NOT(ISERROR(SEARCH("Hogar Con apoyo",L204)))</formula>
    </cfRule>
  </conditionalFormatting>
  <conditionalFormatting sqref="L204">
    <cfRule type="containsText" dxfId="4142" priority="5619" operator="containsText" text="Empleo informal">
      <formula>NOT(ISERROR(SEARCH("Empleo informal",L204)))</formula>
    </cfRule>
    <cfRule type="containsText" dxfId="4141" priority="5620" operator="containsText" text="Empleada formalmente con riesgo a tóxicos">
      <formula>NOT(ISERROR(SEARCH("Empleada formalmente con riesgo a tóxicos",L204)))</formula>
    </cfRule>
    <cfRule type="containsText" dxfId="4140" priority="5621" operator="containsText" text="Empleada formalmente con riesgo de accidente laboral">
      <formula>NOT(ISERROR(SEARCH("Empleada formalmente con riesgo de accidente laboral",L204)))</formula>
    </cfRule>
    <cfRule type="containsText" dxfId="4139" priority="5622" operator="containsText" text="Empleada formalmente por jornada laboral extensa">
      <formula>NOT(ISERROR(SEARCH("Empleada formalmente por jornada laboral extensa",L204)))</formula>
    </cfRule>
    <cfRule type="containsText" dxfId="4138" priority="5623" operator="containsText" text="Empleada formalmente sin riesgo">
      <formula>NOT(ISERROR(SEARCH("Empleada formalmente sin riesgo",L204)))</formula>
    </cfRule>
    <cfRule type="containsText" dxfId="4137" priority="5624" operator="containsText" text="Actualmente desempleada">
      <formula>NOT(ISERROR(SEARCH("Actualmente desempleada",L204)))</formula>
    </cfRule>
    <cfRule type="containsText" dxfId="4136" priority="5625" operator="containsText" text="Hogar sin apoyo">
      <formula>NOT(ISERROR(SEARCH("Hogar sin apoyo",L204)))</formula>
    </cfRule>
    <cfRule type="containsText" dxfId="4135" priority="5626" operator="containsText" text="Empleada formalmente sin riesgo">
      <formula>NOT(ISERROR(SEARCH("Empleada formalmente sin riesgo",L204)))</formula>
    </cfRule>
    <cfRule type="containsText" dxfId="4134" priority="5627" operator="containsText" text="Hogar Con apoyo">
      <formula>NOT(ISERROR(SEARCH("Hogar Con apoyo",L204)))</formula>
    </cfRule>
  </conditionalFormatting>
  <conditionalFormatting sqref="CB204:CC204 CE204">
    <cfRule type="cellIs" dxfId="4133" priority="5616" operator="equal">
      <formula>"SD"</formula>
    </cfRule>
    <cfRule type="cellIs" dxfId="4132" priority="5617" operator="equal">
      <formula>"NO"</formula>
    </cfRule>
    <cfRule type="cellIs" dxfId="4131" priority="5618" operator="equal">
      <formula>"SI"</formula>
    </cfRule>
  </conditionalFormatting>
  <conditionalFormatting sqref="CD204">
    <cfRule type="cellIs" dxfId="4130" priority="5611" operator="equal">
      <formula>"SD"</formula>
    </cfRule>
    <cfRule type="cellIs" dxfId="4129" priority="5612" operator="equal">
      <formula>"OBLICUA"</formula>
    </cfRule>
    <cfRule type="cellIs" dxfId="4128" priority="5614" operator="equal">
      <formula>"PODÁLICA"</formula>
    </cfRule>
    <cfRule type="cellIs" dxfId="4127" priority="5615" operator="equal">
      <formula>"CEFÁLICA"</formula>
    </cfRule>
  </conditionalFormatting>
  <conditionalFormatting sqref="CD205">
    <cfRule type="cellIs" dxfId="4126" priority="5603" operator="equal">
      <formula>"SD"</formula>
    </cfRule>
    <cfRule type="cellIs" dxfId="4125" priority="5604" operator="equal">
      <formula>"OBLICUA"</formula>
    </cfRule>
    <cfRule type="cellIs" dxfId="4124" priority="5606" operator="equal">
      <formula>"PODÁLICA"</formula>
    </cfRule>
    <cfRule type="cellIs" dxfId="4123" priority="5607" operator="equal">
      <formula>"CEFÁLICA"</formula>
    </cfRule>
  </conditionalFormatting>
  <conditionalFormatting sqref="CB205:CC205">
    <cfRule type="cellIs" dxfId="4122" priority="5600" operator="equal">
      <formula>"SD"</formula>
    </cfRule>
    <cfRule type="cellIs" dxfId="4121" priority="5601" operator="equal">
      <formula>"NO"</formula>
    </cfRule>
    <cfRule type="cellIs" dxfId="4120" priority="5602" operator="equal">
      <formula>"SI"</formula>
    </cfRule>
  </conditionalFormatting>
  <conditionalFormatting sqref="CE205">
    <cfRule type="cellIs" dxfId="4119" priority="5597" operator="equal">
      <formula>"SD"</formula>
    </cfRule>
    <cfRule type="cellIs" dxfId="4118" priority="5598" operator="equal">
      <formula>"NO"</formula>
    </cfRule>
    <cfRule type="cellIs" dxfId="4117" priority="5599" operator="equal">
      <formula>"SI"</formula>
    </cfRule>
  </conditionalFormatting>
  <conditionalFormatting sqref="L205">
    <cfRule type="containsText" dxfId="4116" priority="5588" operator="containsText" text="Empleo informal">
      <formula>NOT(ISERROR(SEARCH("Empleo informal",L205)))</formula>
    </cfRule>
    <cfRule type="containsText" dxfId="4115" priority="5589" operator="containsText" text="Empleada formalmente con riesgo a tóxicos">
      <formula>NOT(ISERROR(SEARCH("Empleada formalmente con riesgo a tóxicos",L205)))</formula>
    </cfRule>
    <cfRule type="containsText" dxfId="4114" priority="5590" operator="containsText" text="Empleada formalmente con riesgo de accidente laboral">
      <formula>NOT(ISERROR(SEARCH("Empleada formalmente con riesgo de accidente laboral",L205)))</formula>
    </cfRule>
    <cfRule type="containsText" dxfId="4113" priority="5591" operator="containsText" text="Empleada formalmente por jornada laboral extensa">
      <formula>NOT(ISERROR(SEARCH("Empleada formalmente por jornada laboral extensa",L205)))</formula>
    </cfRule>
    <cfRule type="containsText" dxfId="4112" priority="5592" operator="containsText" text="Empleada formalmente sin riesgo">
      <formula>NOT(ISERROR(SEARCH("Empleada formalmente sin riesgo",L205)))</formula>
    </cfRule>
    <cfRule type="containsText" dxfId="4111" priority="5593" operator="containsText" text="Actualmente desempleada">
      <formula>NOT(ISERROR(SEARCH("Actualmente desempleada",L205)))</formula>
    </cfRule>
    <cfRule type="containsText" dxfId="4110" priority="5594" operator="containsText" text="Hogar sin apoyo">
      <formula>NOT(ISERROR(SEARCH("Hogar sin apoyo",L205)))</formula>
    </cfRule>
    <cfRule type="containsText" dxfId="4109" priority="5595" operator="containsText" text="Empleada formalmente sin riesgo">
      <formula>NOT(ISERROR(SEARCH("Empleada formalmente sin riesgo",L205)))</formula>
    </cfRule>
    <cfRule type="containsText" dxfId="4108" priority="5596" operator="containsText" text="Hogar Con apoyo">
      <formula>NOT(ISERROR(SEARCH("Hogar Con apoyo",L205)))</formula>
    </cfRule>
  </conditionalFormatting>
  <conditionalFormatting sqref="L205">
    <cfRule type="containsText" dxfId="4107" priority="5579" operator="containsText" text="Empleo informal">
      <formula>NOT(ISERROR(SEARCH("Empleo informal",L205)))</formula>
    </cfRule>
    <cfRule type="containsText" dxfId="4106" priority="5580" operator="containsText" text="Empleada formalmente con riesgo a tóxicos">
      <formula>NOT(ISERROR(SEARCH("Empleada formalmente con riesgo a tóxicos",L205)))</formula>
    </cfRule>
    <cfRule type="containsText" dxfId="4105" priority="5581" operator="containsText" text="Empleada formalmente con riesgo de accidente laboral">
      <formula>NOT(ISERROR(SEARCH("Empleada formalmente con riesgo de accidente laboral",L205)))</formula>
    </cfRule>
    <cfRule type="containsText" dxfId="4104" priority="5582" operator="containsText" text="Empleada formalmente por jornada laboral extensa">
      <formula>NOT(ISERROR(SEARCH("Empleada formalmente por jornada laboral extensa",L205)))</formula>
    </cfRule>
    <cfRule type="containsText" dxfId="4103" priority="5583" operator="containsText" text="Empleada formalmente sin riesgo">
      <formula>NOT(ISERROR(SEARCH("Empleada formalmente sin riesgo",L205)))</formula>
    </cfRule>
    <cfRule type="containsText" dxfId="4102" priority="5584" operator="containsText" text="Actualmente desempleada">
      <formula>NOT(ISERROR(SEARCH("Actualmente desempleada",L205)))</formula>
    </cfRule>
    <cfRule type="containsText" dxfId="4101" priority="5585" operator="containsText" text="Hogar sin apoyo">
      <formula>NOT(ISERROR(SEARCH("Hogar sin apoyo",L205)))</formula>
    </cfRule>
    <cfRule type="containsText" dxfId="4100" priority="5586" operator="containsText" text="Empleada formalmente sin riesgo">
      <formula>NOT(ISERROR(SEARCH("Empleada formalmente sin riesgo",L205)))</formula>
    </cfRule>
    <cfRule type="containsText" dxfId="4099" priority="5587" operator="containsText" text="Hogar Con apoyo">
      <formula>NOT(ISERROR(SEARCH("Hogar Con apoyo",L205)))</formula>
    </cfRule>
  </conditionalFormatting>
  <conditionalFormatting sqref="CB206:CC206">
    <cfRule type="cellIs" dxfId="4098" priority="5576" operator="equal">
      <formula>"SD"</formula>
    </cfRule>
    <cfRule type="cellIs" dxfId="4097" priority="5577" operator="equal">
      <formula>"NO"</formula>
    </cfRule>
    <cfRule type="cellIs" dxfId="4096" priority="5578" operator="equal">
      <formula>"SI"</formula>
    </cfRule>
  </conditionalFormatting>
  <conditionalFormatting sqref="CE206">
    <cfRule type="cellIs" dxfId="4095" priority="5573" operator="equal">
      <formula>"SD"</formula>
    </cfRule>
    <cfRule type="cellIs" dxfId="4094" priority="5574" operator="equal">
      <formula>"NO"</formula>
    </cfRule>
    <cfRule type="cellIs" dxfId="4093" priority="5575" operator="equal">
      <formula>"SI"</formula>
    </cfRule>
  </conditionalFormatting>
  <conditionalFormatting sqref="Q205">
    <cfRule type="containsText" dxfId="4092" priority="5565" operator="containsText" text="SE TRASLADO DE EPS">
      <formula>NOT(ISERROR(SEARCH("SE TRASLADO DE EPS",Q205)))</formula>
    </cfRule>
    <cfRule type="containsText" dxfId="4091" priority="5568" operator="containsText" text="NOVEDAD">
      <formula>NOT(ISERROR(SEARCH("NOVEDAD",Q205)))</formula>
    </cfRule>
    <cfRule type="containsText" dxfId="4090" priority="5569" operator="containsText" text="IDENTIDAD">
      <formula>NOT(ISERROR(SEARCH("IDENTIDAD",Q205)))</formula>
    </cfRule>
    <cfRule type="containsText" dxfId="4089" priority="5570" operator="containsText" text="CPN">
      <formula>NOT(ISERROR(SEARCH("CPN",Q205)))</formula>
    </cfRule>
    <cfRule type="containsText" dxfId="4088" priority="5571" operator="containsText" text="VIENE">
      <formula>NOT(ISERROR(SEARCH("VIENE",Q205)))</formula>
    </cfRule>
    <cfRule type="cellIs" dxfId="4087" priority="5572" operator="equal">
      <formula>"TRAMITE DE PORTABILIDAD"</formula>
    </cfRule>
  </conditionalFormatting>
  <conditionalFormatting sqref="Q205">
    <cfRule type="containsText" dxfId="4086" priority="5566" operator="containsText" text="INMIGRANTE VENEZOLANA">
      <formula>NOT(ISERROR(SEARCH("INMIGRANTE VENEZOLANA",Q205)))</formula>
    </cfRule>
    <cfRule type="containsText" dxfId="4085" priority="5567" operator="containsText" text="SIN AFILIACIÓN A EPS">
      <formula>NOT(ISERROR(SEARCH("SIN AFILIACIÓN A EPS",Q205)))</formula>
    </cfRule>
  </conditionalFormatting>
  <conditionalFormatting sqref="Q206">
    <cfRule type="containsText" dxfId="4084" priority="5557" operator="containsText" text="SE TRASLADO DE EPS">
      <formula>NOT(ISERROR(SEARCH("SE TRASLADO DE EPS",Q206)))</formula>
    </cfRule>
    <cfRule type="containsText" dxfId="4083" priority="5560" operator="containsText" text="NOVEDAD">
      <formula>NOT(ISERROR(SEARCH("NOVEDAD",Q206)))</formula>
    </cfRule>
    <cfRule type="containsText" dxfId="4082" priority="5561" operator="containsText" text="IDENTIDAD">
      <formula>NOT(ISERROR(SEARCH("IDENTIDAD",Q206)))</formula>
    </cfRule>
    <cfRule type="containsText" dxfId="4081" priority="5562" operator="containsText" text="CPN">
      <formula>NOT(ISERROR(SEARCH("CPN",Q206)))</formula>
    </cfRule>
    <cfRule type="containsText" dxfId="4080" priority="5563" operator="containsText" text="VIENE">
      <formula>NOT(ISERROR(SEARCH("VIENE",Q206)))</formula>
    </cfRule>
    <cfRule type="cellIs" dxfId="4079" priority="5564" operator="equal">
      <formula>"TRAMITE DE PORTABILIDAD"</formula>
    </cfRule>
  </conditionalFormatting>
  <conditionalFormatting sqref="Q206">
    <cfRule type="containsText" dxfId="4078" priority="5558" operator="containsText" text="INMIGRANTE VENEZOLANA">
      <formula>NOT(ISERROR(SEARCH("INMIGRANTE VENEZOLANA",Q206)))</formula>
    </cfRule>
    <cfRule type="containsText" dxfId="4077" priority="5559" operator="containsText" text="SIN AFILIACIÓN A EPS">
      <formula>NOT(ISERROR(SEARCH("SIN AFILIACIÓN A EPS",Q206)))</formula>
    </cfRule>
  </conditionalFormatting>
  <conditionalFormatting sqref="Q207">
    <cfRule type="containsText" dxfId="4076" priority="5538" operator="containsText" text="SE TRASLADO DE EPS">
      <formula>NOT(ISERROR(SEARCH("SE TRASLADO DE EPS",Q207)))</formula>
    </cfRule>
    <cfRule type="containsText" dxfId="4075" priority="5541" operator="containsText" text="NOVEDAD">
      <formula>NOT(ISERROR(SEARCH("NOVEDAD",Q207)))</formula>
    </cfRule>
    <cfRule type="containsText" dxfId="4074" priority="5542" operator="containsText" text="IDENTIDAD">
      <formula>NOT(ISERROR(SEARCH("IDENTIDAD",Q207)))</formula>
    </cfRule>
    <cfRule type="containsText" dxfId="4073" priority="5543" operator="containsText" text="CPN">
      <formula>NOT(ISERROR(SEARCH("CPN",Q207)))</formula>
    </cfRule>
    <cfRule type="containsText" dxfId="4072" priority="5544" operator="containsText" text="VIENE">
      <formula>NOT(ISERROR(SEARCH("VIENE",Q207)))</formula>
    </cfRule>
    <cfRule type="cellIs" dxfId="4071" priority="5545" operator="equal">
      <formula>"TRAMITE DE PORTABILIDAD"</formula>
    </cfRule>
  </conditionalFormatting>
  <conditionalFormatting sqref="Q207">
    <cfRule type="containsText" dxfId="4070" priority="5539" operator="containsText" text="INMIGRANTE VENEZOLANA">
      <formula>NOT(ISERROR(SEARCH("INMIGRANTE VENEZOLANA",Q207)))</formula>
    </cfRule>
    <cfRule type="containsText" dxfId="4069" priority="5540" operator="containsText" text="SIN AFILIACIÓN A EPS">
      <formula>NOT(ISERROR(SEARCH("SIN AFILIACIÓN A EPS",Q207)))</formula>
    </cfRule>
  </conditionalFormatting>
  <conditionalFormatting sqref="CD207">
    <cfRule type="cellIs" dxfId="4068" priority="5533" operator="equal">
      <formula>"SD"</formula>
    </cfRule>
    <cfRule type="cellIs" dxfId="4067" priority="5534" operator="equal">
      <formula>"OBLICUA"</formula>
    </cfRule>
    <cfRule type="cellIs" dxfId="4066" priority="5536" operator="equal">
      <formula>"PODÁLICA"</formula>
    </cfRule>
    <cfRule type="cellIs" dxfId="4065" priority="5537" operator="equal">
      <formula>"CEFÁLICA"</formula>
    </cfRule>
  </conditionalFormatting>
  <conditionalFormatting sqref="CB207:CC207">
    <cfRule type="cellIs" dxfId="4064" priority="5530" operator="equal">
      <formula>"SD"</formula>
    </cfRule>
    <cfRule type="cellIs" dxfId="4063" priority="5531" operator="equal">
      <formula>"NO"</formula>
    </cfRule>
    <cfRule type="cellIs" dxfId="4062" priority="5532" operator="equal">
      <formula>"SI"</formula>
    </cfRule>
  </conditionalFormatting>
  <conditionalFormatting sqref="CE207">
    <cfRule type="cellIs" dxfId="4061" priority="5527" operator="equal">
      <formula>"SD"</formula>
    </cfRule>
    <cfRule type="cellIs" dxfId="4060" priority="5528" operator="equal">
      <formula>"NO"</formula>
    </cfRule>
    <cfRule type="cellIs" dxfId="4059" priority="5529" operator="equal">
      <formula>"SI"</formula>
    </cfRule>
  </conditionalFormatting>
  <conditionalFormatting sqref="BT207">
    <cfRule type="cellIs" dxfId="4058" priority="5522" operator="equal">
      <formula>"DEFINIR CON ECO"</formula>
    </cfRule>
    <cfRule type="cellIs" dxfId="4057" priority="5523" operator="equal">
      <formula>"ERROR FUM O INGRESO O ECO"</formula>
    </cfRule>
    <cfRule type="cellIs" dxfId="4056" priority="5524" operator="equal">
      <formula>"III TRIM"</formula>
    </cfRule>
    <cfRule type="cellIs" dxfId="4055" priority="5525" operator="equal">
      <formula>"II TRIM"</formula>
    </cfRule>
    <cfRule type="cellIs" dxfId="4054" priority="5526" operator="equal">
      <formula>"I TRIM"</formula>
    </cfRule>
  </conditionalFormatting>
  <conditionalFormatting sqref="CD208">
    <cfRule type="cellIs" dxfId="4053" priority="5517" operator="equal">
      <formula>"SD"</formula>
    </cfRule>
    <cfRule type="cellIs" dxfId="4052" priority="5518" operator="equal">
      <formula>"OBLICUA"</formula>
    </cfRule>
    <cfRule type="cellIs" dxfId="4051" priority="5520" operator="equal">
      <formula>"PODÁLICA"</formula>
    </cfRule>
    <cfRule type="cellIs" dxfId="4050" priority="5521" operator="equal">
      <formula>"CEFÁLICA"</formula>
    </cfRule>
  </conditionalFormatting>
  <conditionalFormatting sqref="CB208:CC208">
    <cfRule type="cellIs" dxfId="4049" priority="5514" operator="equal">
      <formula>"SD"</formula>
    </cfRule>
    <cfRule type="cellIs" dxfId="4048" priority="5515" operator="equal">
      <formula>"NO"</formula>
    </cfRule>
    <cfRule type="cellIs" dxfId="4047" priority="5516" operator="equal">
      <formula>"SI"</formula>
    </cfRule>
  </conditionalFormatting>
  <conditionalFormatting sqref="CE208">
    <cfRule type="cellIs" dxfId="4046" priority="5511" operator="equal">
      <formula>"SD"</formula>
    </cfRule>
    <cfRule type="cellIs" dxfId="4045" priority="5512" operator="equal">
      <formula>"NO"</formula>
    </cfRule>
    <cfRule type="cellIs" dxfId="4044" priority="5513" operator="equal">
      <formula>"SI"</formula>
    </cfRule>
  </conditionalFormatting>
  <conditionalFormatting sqref="CE210 CB210:CC210">
    <cfRule type="cellIs" dxfId="4043" priority="5500" operator="equal">
      <formula>"SD"</formula>
    </cfRule>
    <cfRule type="cellIs" dxfId="4042" priority="5501" operator="equal">
      <formula>"NO"</formula>
    </cfRule>
    <cfRule type="cellIs" dxfId="4041" priority="5502" operator="equal">
      <formula>"SI"</formula>
    </cfRule>
  </conditionalFormatting>
  <conditionalFormatting sqref="CD210">
    <cfRule type="cellIs" dxfId="4040" priority="5495" operator="equal">
      <formula>"SD"</formula>
    </cfRule>
    <cfRule type="cellIs" dxfId="4039" priority="5496" operator="equal">
      <formula>"OBLICUA"</formula>
    </cfRule>
    <cfRule type="cellIs" dxfId="4038" priority="5498" operator="equal">
      <formula>"PODÁLICA"</formula>
    </cfRule>
    <cfRule type="cellIs" dxfId="4037" priority="5499" operator="equal">
      <formula>"CEFÁLICA"</formula>
    </cfRule>
  </conditionalFormatting>
  <conditionalFormatting sqref="CE211 CB211:CC211">
    <cfRule type="cellIs" dxfId="4036" priority="5492" operator="equal">
      <formula>"SD"</formula>
    </cfRule>
    <cfRule type="cellIs" dxfId="4035" priority="5493" operator="equal">
      <formula>"NO"</formula>
    </cfRule>
    <cfRule type="cellIs" dxfId="4034" priority="5494" operator="equal">
      <formula>"SI"</formula>
    </cfRule>
  </conditionalFormatting>
  <conditionalFormatting sqref="CD211">
    <cfRule type="cellIs" dxfId="4033" priority="5487" operator="equal">
      <formula>"SD"</formula>
    </cfRule>
    <cfRule type="cellIs" dxfId="4032" priority="5488" operator="equal">
      <formula>"OBLICUA"</formula>
    </cfRule>
    <cfRule type="cellIs" dxfId="4031" priority="5490" operator="equal">
      <formula>"PODÁLICA"</formula>
    </cfRule>
    <cfRule type="cellIs" dxfId="4030" priority="5491" operator="equal">
      <formula>"CEFÁLICA"</formula>
    </cfRule>
  </conditionalFormatting>
  <conditionalFormatting sqref="FB211">
    <cfRule type="containsText" dxfId="4029" priority="5483" operator="containsText" text="RH NEGATIVO SIN COOMB">
      <formula>NOT(ISERROR(SEARCH("RH NEGATIVO SIN COOMB",FB211)))</formula>
    </cfRule>
    <cfRule type="containsText" dxfId="4028" priority="5484" operator="containsText" text="RH NEGATIVO CON COOMBS POSITIVO">
      <formula>NOT(ISERROR(SEARCH("RH NEGATIVO CON COOMBS POSITIVO",FB211)))</formula>
    </cfRule>
    <cfRule type="containsText" dxfId="4027" priority="5485" operator="containsText" text="RH NEGATIVO CON COOMBS NEGATIVO">
      <formula>NOT(ISERROR(SEARCH("RH NEGATIVO CON COOMBS NEGATIVO",FB211)))</formula>
    </cfRule>
    <cfRule type="containsText" dxfId="4026" priority="5486" operator="containsText" text="RH POSITIVO">
      <formula>NOT(ISERROR(SEARCH("RH POSITIVO",FB211)))</formula>
    </cfRule>
  </conditionalFormatting>
  <conditionalFormatting sqref="FZ211">
    <cfRule type="containsText" dxfId="4025" priority="5479" operator="containsText" text="RH NEGATIVO SIN COOMB">
      <formula>NOT(ISERROR(SEARCH("RH NEGATIVO SIN COOMB",FZ211)))</formula>
    </cfRule>
    <cfRule type="containsText" dxfId="4024" priority="5480" operator="containsText" text="RH NEGATIVO CON COOMBS POSITIVO">
      <formula>NOT(ISERROR(SEARCH("RH NEGATIVO CON COOMBS POSITIVO",FZ211)))</formula>
    </cfRule>
    <cfRule type="containsText" dxfId="4023" priority="5481" operator="containsText" text="RH NEGATIVO CON COOMBS NEGATIVO">
      <formula>NOT(ISERROR(SEARCH("RH NEGATIVO CON COOMBS NEGATIVO",FZ211)))</formula>
    </cfRule>
    <cfRule type="containsText" dxfId="4022" priority="5482" operator="containsText" text="RH POSITIVO">
      <formula>NOT(ISERROR(SEARCH("RH POSITIVO",FZ211)))</formula>
    </cfRule>
  </conditionalFormatting>
  <conditionalFormatting sqref="GC211">
    <cfRule type="containsText" dxfId="4021" priority="5475" operator="containsText" text="RH NEGATIVO SIN COOMB">
      <formula>NOT(ISERROR(SEARCH("RH NEGATIVO SIN COOMB",GC211)))</formula>
    </cfRule>
    <cfRule type="containsText" dxfId="4020" priority="5476" operator="containsText" text="RH NEGATIVO CON COOMBS POSITIVO">
      <formula>NOT(ISERROR(SEARCH("RH NEGATIVO CON COOMBS POSITIVO",GC211)))</formula>
    </cfRule>
    <cfRule type="containsText" dxfId="4019" priority="5477" operator="containsText" text="RH NEGATIVO CON COOMBS NEGATIVO">
      <formula>NOT(ISERROR(SEARCH("RH NEGATIVO CON COOMBS NEGATIVO",GC211)))</formula>
    </cfRule>
    <cfRule type="containsText" dxfId="4018" priority="5478" operator="containsText" text="RH POSITIVO">
      <formula>NOT(ISERROR(SEARCH("RH POSITIVO",GC211)))</formula>
    </cfRule>
  </conditionalFormatting>
  <conditionalFormatting sqref="L206">
    <cfRule type="containsText" dxfId="4017" priority="5466" operator="containsText" text="Empleo informal">
      <formula>NOT(ISERROR(SEARCH("Empleo informal",L206)))</formula>
    </cfRule>
    <cfRule type="containsText" dxfId="4016" priority="5467" operator="containsText" text="Empleada formalmente con riesgo a tóxicos">
      <formula>NOT(ISERROR(SEARCH("Empleada formalmente con riesgo a tóxicos",L206)))</formula>
    </cfRule>
    <cfRule type="containsText" dxfId="4015" priority="5468" operator="containsText" text="Empleada formalmente con riesgo de accidente laboral">
      <formula>NOT(ISERROR(SEARCH("Empleada formalmente con riesgo de accidente laboral",L206)))</formula>
    </cfRule>
    <cfRule type="containsText" dxfId="4014" priority="5469" operator="containsText" text="Empleada formalmente por jornada laboral extensa">
      <formula>NOT(ISERROR(SEARCH("Empleada formalmente por jornada laboral extensa",L206)))</formula>
    </cfRule>
    <cfRule type="containsText" dxfId="4013" priority="5470" operator="containsText" text="Empleada formalmente sin riesgo">
      <formula>NOT(ISERROR(SEARCH("Empleada formalmente sin riesgo",L206)))</formula>
    </cfRule>
    <cfRule type="containsText" dxfId="4012" priority="5471" operator="containsText" text="Actualmente desempleada">
      <formula>NOT(ISERROR(SEARCH("Actualmente desempleada",L206)))</formula>
    </cfRule>
    <cfRule type="containsText" dxfId="4011" priority="5472" operator="containsText" text="Hogar sin apoyo">
      <formula>NOT(ISERROR(SEARCH("Hogar sin apoyo",L206)))</formula>
    </cfRule>
    <cfRule type="containsText" dxfId="4010" priority="5473" operator="containsText" text="Empleada formalmente sin riesgo">
      <formula>NOT(ISERROR(SEARCH("Empleada formalmente sin riesgo",L206)))</formula>
    </cfRule>
    <cfRule type="containsText" dxfId="4009" priority="5474" operator="containsText" text="Hogar Con apoyo">
      <formula>NOT(ISERROR(SEARCH("Hogar Con apoyo",L206)))</formula>
    </cfRule>
  </conditionalFormatting>
  <conditionalFormatting sqref="L206">
    <cfRule type="containsText" dxfId="4008" priority="5457" operator="containsText" text="Empleo informal">
      <formula>NOT(ISERROR(SEARCH("Empleo informal",L206)))</formula>
    </cfRule>
    <cfRule type="containsText" dxfId="4007" priority="5458" operator="containsText" text="Empleada formalmente con riesgo a tóxicos">
      <formula>NOT(ISERROR(SEARCH("Empleada formalmente con riesgo a tóxicos",L206)))</formula>
    </cfRule>
    <cfRule type="containsText" dxfId="4006" priority="5459" operator="containsText" text="Empleada formalmente con riesgo de accidente laboral">
      <formula>NOT(ISERROR(SEARCH("Empleada formalmente con riesgo de accidente laboral",L206)))</formula>
    </cfRule>
    <cfRule type="containsText" dxfId="4005" priority="5460" operator="containsText" text="Empleada formalmente por jornada laboral extensa">
      <formula>NOT(ISERROR(SEARCH("Empleada formalmente por jornada laboral extensa",L206)))</formula>
    </cfRule>
    <cfRule type="containsText" dxfId="4004" priority="5461" operator="containsText" text="Empleada formalmente sin riesgo">
      <formula>NOT(ISERROR(SEARCH("Empleada formalmente sin riesgo",L206)))</formula>
    </cfRule>
    <cfRule type="containsText" dxfId="4003" priority="5462" operator="containsText" text="Actualmente desempleada">
      <formula>NOT(ISERROR(SEARCH("Actualmente desempleada",L206)))</formula>
    </cfRule>
    <cfRule type="containsText" dxfId="4002" priority="5463" operator="containsText" text="Hogar sin apoyo">
      <formula>NOT(ISERROR(SEARCH("Hogar sin apoyo",L206)))</formula>
    </cfRule>
    <cfRule type="containsText" dxfId="4001" priority="5464" operator="containsText" text="Empleada formalmente sin riesgo">
      <formula>NOT(ISERROR(SEARCH("Empleada formalmente sin riesgo",L206)))</formula>
    </cfRule>
    <cfRule type="containsText" dxfId="4000" priority="5465" operator="containsText" text="Hogar Con apoyo">
      <formula>NOT(ISERROR(SEARCH("Hogar Con apoyo",L206)))</formula>
    </cfRule>
  </conditionalFormatting>
  <conditionalFormatting sqref="BC213">
    <cfRule type="cellIs" dxfId="3999" priority="5248" operator="equal">
      <formula>"SD"</formula>
    </cfRule>
    <cfRule type="cellIs" dxfId="3998" priority="5249" operator="equal">
      <formula>"NO"</formula>
    </cfRule>
    <cfRule type="cellIs" dxfId="3997" priority="5250" operator="equal">
      <formula>"SI"</formula>
    </cfRule>
  </conditionalFormatting>
  <conditionalFormatting sqref="BC214">
    <cfRule type="cellIs" dxfId="3996" priority="5239" operator="equal">
      <formula>"SD"</formula>
    </cfRule>
    <cfRule type="cellIs" dxfId="3995" priority="5240" operator="equal">
      <formula>"NO"</formula>
    </cfRule>
    <cfRule type="cellIs" dxfId="3994" priority="5241" operator="equal">
      <formula>"SI"</formula>
    </cfRule>
  </conditionalFormatting>
  <conditionalFormatting sqref="BC215">
    <cfRule type="cellIs" dxfId="3993" priority="5233" operator="equal">
      <formula>"SD"</formula>
    </cfRule>
    <cfRule type="cellIs" dxfId="3992" priority="5234" operator="equal">
      <formula>"NO"</formula>
    </cfRule>
    <cfRule type="cellIs" dxfId="3991" priority="5235" operator="equal">
      <formula>"SI"</formula>
    </cfRule>
  </conditionalFormatting>
  <conditionalFormatting sqref="AY216">
    <cfRule type="cellIs" dxfId="3990" priority="5225" operator="equal">
      <formula>"SD"</formula>
    </cfRule>
    <cfRule type="cellIs" dxfId="3989" priority="5226" operator="equal">
      <formula>"NO"</formula>
    </cfRule>
    <cfRule type="cellIs" dxfId="3988" priority="5227" operator="equal">
      <formula>"SI"</formula>
    </cfRule>
  </conditionalFormatting>
  <conditionalFormatting sqref="AZ216">
    <cfRule type="cellIs" dxfId="3987" priority="5222" operator="equal">
      <formula>"SD"</formula>
    </cfRule>
    <cfRule type="cellIs" dxfId="3986" priority="5223" operator="equal">
      <formula>"NO"</formula>
    </cfRule>
    <cfRule type="cellIs" dxfId="3985" priority="5224" operator="equal">
      <formula>"SI"</formula>
    </cfRule>
  </conditionalFormatting>
  <conditionalFormatting sqref="BA216">
    <cfRule type="cellIs" dxfId="3984" priority="5219" operator="equal">
      <formula>"SD"</formula>
    </cfRule>
    <cfRule type="cellIs" dxfId="3983" priority="5220" operator="equal">
      <formula>"NO"</formula>
    </cfRule>
    <cfRule type="cellIs" dxfId="3982" priority="5221" operator="equal">
      <formula>"SI"</formula>
    </cfRule>
  </conditionalFormatting>
  <conditionalFormatting sqref="BB216">
    <cfRule type="cellIs" dxfId="3981" priority="5216" operator="equal">
      <formula>"SD"</formula>
    </cfRule>
    <cfRule type="cellIs" dxfId="3980" priority="5217" operator="equal">
      <formula>"NO"</formula>
    </cfRule>
    <cfRule type="cellIs" dxfId="3979" priority="5218" operator="equal">
      <formula>"SI"</formula>
    </cfRule>
  </conditionalFormatting>
  <conditionalFormatting sqref="BC216">
    <cfRule type="cellIs" dxfId="3978" priority="5213" operator="equal">
      <formula>"SD"</formula>
    </cfRule>
    <cfRule type="cellIs" dxfId="3977" priority="5214" operator="equal">
      <formula>"NO"</formula>
    </cfRule>
    <cfRule type="cellIs" dxfId="3976" priority="5215" operator="equal">
      <formula>"SI"</formula>
    </cfRule>
  </conditionalFormatting>
  <conditionalFormatting sqref="BD216">
    <cfRule type="cellIs" dxfId="3975" priority="5210" operator="equal">
      <formula>"SD"</formula>
    </cfRule>
    <cfRule type="cellIs" dxfId="3974" priority="5211" operator="equal">
      <formula>"NO"</formula>
    </cfRule>
    <cfRule type="cellIs" dxfId="3973" priority="5212" operator="equal">
      <formula>"SI"</formula>
    </cfRule>
  </conditionalFormatting>
  <conditionalFormatting sqref="BE216">
    <cfRule type="cellIs" dxfId="3972" priority="5207" operator="equal">
      <formula>"SD"</formula>
    </cfRule>
    <cfRule type="cellIs" dxfId="3971" priority="5208" operator="equal">
      <formula>"NO"</formula>
    </cfRule>
    <cfRule type="cellIs" dxfId="3970" priority="5209" operator="equal">
      <formula>"SI"</formula>
    </cfRule>
  </conditionalFormatting>
  <conditionalFormatting sqref="BF216">
    <cfRule type="cellIs" dxfId="3969" priority="5204" operator="equal">
      <formula>"SD"</formula>
    </cfRule>
    <cfRule type="cellIs" dxfId="3968" priority="5205" operator="equal">
      <formula>"NO"</formula>
    </cfRule>
    <cfRule type="cellIs" dxfId="3967" priority="5206" operator="equal">
      <formula>"SI"</formula>
    </cfRule>
  </conditionalFormatting>
  <conditionalFormatting sqref="BG216">
    <cfRule type="cellIs" dxfId="3966" priority="5201" operator="equal">
      <formula>"SD"</formula>
    </cfRule>
    <cfRule type="cellIs" dxfId="3965" priority="5202" operator="equal">
      <formula>"NO"</formula>
    </cfRule>
    <cfRule type="cellIs" dxfId="3964" priority="5203" operator="equal">
      <formula>"SI"</formula>
    </cfRule>
  </conditionalFormatting>
  <conditionalFormatting sqref="BH216">
    <cfRule type="cellIs" dxfId="3963" priority="5198" operator="equal">
      <formula>"SD"</formula>
    </cfRule>
    <cfRule type="cellIs" dxfId="3962" priority="5199" operator="equal">
      <formula>"NO"</formula>
    </cfRule>
    <cfRule type="cellIs" dxfId="3961" priority="5200" operator="equal">
      <formula>"SI"</formula>
    </cfRule>
  </conditionalFormatting>
  <conditionalFormatting sqref="BI216">
    <cfRule type="cellIs" dxfId="3960" priority="5195" operator="equal">
      <formula>"SD"</formula>
    </cfRule>
    <cfRule type="cellIs" dxfId="3959" priority="5196" operator="equal">
      <formula>"NO"</formula>
    </cfRule>
    <cfRule type="cellIs" dxfId="3958" priority="5197" operator="equal">
      <formula>"SI"</formula>
    </cfRule>
  </conditionalFormatting>
  <conditionalFormatting sqref="BK216">
    <cfRule type="cellIs" dxfId="3957" priority="5189" operator="equal">
      <formula>"SD"</formula>
    </cfRule>
    <cfRule type="cellIs" dxfId="3956" priority="5190" operator="equal">
      <formula>"NO"</formula>
    </cfRule>
    <cfRule type="cellIs" dxfId="3955" priority="5191" operator="equal">
      <formula>"SI"</formula>
    </cfRule>
  </conditionalFormatting>
  <conditionalFormatting sqref="BL216">
    <cfRule type="cellIs" dxfId="3954" priority="5186" operator="equal">
      <formula>"SD"</formula>
    </cfRule>
    <cfRule type="cellIs" dxfId="3953" priority="5187" operator="equal">
      <formula>"NO"</formula>
    </cfRule>
    <cfRule type="cellIs" dxfId="3952" priority="5188" operator="equal">
      <formula>"SI"</formula>
    </cfRule>
  </conditionalFormatting>
  <conditionalFormatting sqref="BM216">
    <cfRule type="cellIs" dxfId="3951" priority="5183" operator="equal">
      <formula>"SD"</formula>
    </cfRule>
    <cfRule type="cellIs" dxfId="3950" priority="5184" operator="equal">
      <formula>"NO"</formula>
    </cfRule>
    <cfRule type="cellIs" dxfId="3949" priority="5185" operator="equal">
      <formula>"SI"</formula>
    </cfRule>
  </conditionalFormatting>
  <conditionalFormatting sqref="AY217">
    <cfRule type="cellIs" dxfId="3948" priority="5180" operator="equal">
      <formula>"SD"</formula>
    </cfRule>
    <cfRule type="cellIs" dxfId="3947" priority="5181" operator="equal">
      <formula>"NO"</formula>
    </cfRule>
    <cfRule type="cellIs" dxfId="3946" priority="5182" operator="equal">
      <formula>"SI"</formula>
    </cfRule>
  </conditionalFormatting>
  <conditionalFormatting sqref="AZ217">
    <cfRule type="cellIs" dxfId="3945" priority="5177" operator="equal">
      <formula>"SD"</formula>
    </cfRule>
    <cfRule type="cellIs" dxfId="3944" priority="5178" operator="equal">
      <formula>"NO"</formula>
    </cfRule>
    <cfRule type="cellIs" dxfId="3943" priority="5179" operator="equal">
      <formula>"SI"</formula>
    </cfRule>
  </conditionalFormatting>
  <conditionalFormatting sqref="BA217">
    <cfRule type="cellIs" dxfId="3942" priority="5174" operator="equal">
      <formula>"SD"</formula>
    </cfRule>
    <cfRule type="cellIs" dxfId="3941" priority="5175" operator="equal">
      <formula>"NO"</formula>
    </cfRule>
    <cfRule type="cellIs" dxfId="3940" priority="5176" operator="equal">
      <formula>"SI"</formula>
    </cfRule>
  </conditionalFormatting>
  <conditionalFormatting sqref="BB217">
    <cfRule type="cellIs" dxfId="3939" priority="5171" operator="equal">
      <formula>"SD"</formula>
    </cfRule>
    <cfRule type="cellIs" dxfId="3938" priority="5172" operator="equal">
      <formula>"NO"</formula>
    </cfRule>
    <cfRule type="cellIs" dxfId="3937" priority="5173" operator="equal">
      <formula>"SI"</formula>
    </cfRule>
  </conditionalFormatting>
  <conditionalFormatting sqref="BC217">
    <cfRule type="cellIs" dxfId="3936" priority="5168" operator="equal">
      <formula>"SD"</formula>
    </cfRule>
    <cfRule type="cellIs" dxfId="3935" priority="5169" operator="equal">
      <formula>"NO"</formula>
    </cfRule>
    <cfRule type="cellIs" dxfId="3934" priority="5170" operator="equal">
      <formula>"SI"</formula>
    </cfRule>
  </conditionalFormatting>
  <conditionalFormatting sqref="BD217">
    <cfRule type="cellIs" dxfId="3933" priority="5165" operator="equal">
      <formula>"SD"</formula>
    </cfRule>
    <cfRule type="cellIs" dxfId="3932" priority="5166" operator="equal">
      <formula>"NO"</formula>
    </cfRule>
    <cfRule type="cellIs" dxfId="3931" priority="5167" operator="equal">
      <formula>"SI"</formula>
    </cfRule>
  </conditionalFormatting>
  <conditionalFormatting sqref="BE217">
    <cfRule type="cellIs" dxfId="3930" priority="5162" operator="equal">
      <formula>"SD"</formula>
    </cfRule>
    <cfRule type="cellIs" dxfId="3929" priority="5163" operator="equal">
      <formula>"NO"</formula>
    </cfRule>
    <cfRule type="cellIs" dxfId="3928" priority="5164" operator="equal">
      <formula>"SI"</formula>
    </cfRule>
  </conditionalFormatting>
  <conditionalFormatting sqref="BF217">
    <cfRule type="cellIs" dxfId="3927" priority="5159" operator="equal">
      <formula>"SD"</formula>
    </cfRule>
    <cfRule type="cellIs" dxfId="3926" priority="5160" operator="equal">
      <formula>"NO"</formula>
    </cfRule>
    <cfRule type="cellIs" dxfId="3925" priority="5161" operator="equal">
      <formula>"SI"</formula>
    </cfRule>
  </conditionalFormatting>
  <conditionalFormatting sqref="BG217">
    <cfRule type="cellIs" dxfId="3924" priority="5156" operator="equal">
      <formula>"SD"</formula>
    </cfRule>
    <cfRule type="cellIs" dxfId="3923" priority="5157" operator="equal">
      <formula>"NO"</formula>
    </cfRule>
    <cfRule type="cellIs" dxfId="3922" priority="5158" operator="equal">
      <formula>"SI"</formula>
    </cfRule>
  </conditionalFormatting>
  <conditionalFormatting sqref="BH217">
    <cfRule type="cellIs" dxfId="3921" priority="5153" operator="equal">
      <formula>"SD"</formula>
    </cfRule>
    <cfRule type="cellIs" dxfId="3920" priority="5154" operator="equal">
      <formula>"NO"</formula>
    </cfRule>
    <cfRule type="cellIs" dxfId="3919" priority="5155" operator="equal">
      <formula>"SI"</formula>
    </cfRule>
  </conditionalFormatting>
  <conditionalFormatting sqref="BI217">
    <cfRule type="cellIs" dxfId="3918" priority="5150" operator="equal">
      <formula>"SD"</formula>
    </cfRule>
    <cfRule type="cellIs" dxfId="3917" priority="5151" operator="equal">
      <formula>"NO"</formula>
    </cfRule>
    <cfRule type="cellIs" dxfId="3916" priority="5152" operator="equal">
      <formula>"SI"</formula>
    </cfRule>
  </conditionalFormatting>
  <conditionalFormatting sqref="BK217">
    <cfRule type="cellIs" dxfId="3915" priority="5144" operator="equal">
      <formula>"SD"</formula>
    </cfRule>
    <cfRule type="cellIs" dxfId="3914" priority="5145" operator="equal">
      <formula>"NO"</formula>
    </cfRule>
    <cfRule type="cellIs" dxfId="3913" priority="5146" operator="equal">
      <formula>"SI"</formula>
    </cfRule>
  </conditionalFormatting>
  <conditionalFormatting sqref="BL217">
    <cfRule type="cellIs" dxfId="3912" priority="5141" operator="equal">
      <formula>"SD"</formula>
    </cfRule>
    <cfRule type="cellIs" dxfId="3911" priority="5142" operator="equal">
      <formula>"NO"</formula>
    </cfRule>
    <cfRule type="cellIs" dxfId="3910" priority="5143" operator="equal">
      <formula>"SI"</formula>
    </cfRule>
  </conditionalFormatting>
  <conditionalFormatting sqref="BM217">
    <cfRule type="cellIs" dxfId="3909" priority="5138" operator="equal">
      <formula>"SD"</formula>
    </cfRule>
    <cfRule type="cellIs" dxfId="3908" priority="5139" operator="equal">
      <formula>"NO"</formula>
    </cfRule>
    <cfRule type="cellIs" dxfId="3907" priority="5140" operator="equal">
      <formula>"SI"</formula>
    </cfRule>
  </conditionalFormatting>
  <conditionalFormatting sqref="AZ218">
    <cfRule type="cellIs" dxfId="3906" priority="5135" operator="equal">
      <formula>"SD"</formula>
    </cfRule>
    <cfRule type="cellIs" dxfId="3905" priority="5136" operator="equal">
      <formula>"NO"</formula>
    </cfRule>
    <cfRule type="cellIs" dxfId="3904" priority="5137" operator="equal">
      <formula>"SI"</formula>
    </cfRule>
  </conditionalFormatting>
  <conditionalFormatting sqref="BA218">
    <cfRule type="cellIs" dxfId="3903" priority="5132" operator="equal">
      <formula>"SD"</formula>
    </cfRule>
    <cfRule type="cellIs" dxfId="3902" priority="5133" operator="equal">
      <formula>"NO"</formula>
    </cfRule>
    <cfRule type="cellIs" dxfId="3901" priority="5134" operator="equal">
      <formula>"SI"</formula>
    </cfRule>
  </conditionalFormatting>
  <conditionalFormatting sqref="BB218">
    <cfRule type="cellIs" dxfId="3900" priority="5129" operator="equal">
      <formula>"SD"</formula>
    </cfRule>
    <cfRule type="cellIs" dxfId="3899" priority="5130" operator="equal">
      <formula>"NO"</formula>
    </cfRule>
    <cfRule type="cellIs" dxfId="3898" priority="5131" operator="equal">
      <formula>"SI"</formula>
    </cfRule>
  </conditionalFormatting>
  <conditionalFormatting sqref="BC218">
    <cfRule type="cellIs" dxfId="3897" priority="5126" operator="equal">
      <formula>"SD"</formula>
    </cfRule>
    <cfRule type="cellIs" dxfId="3896" priority="5127" operator="equal">
      <formula>"NO"</formula>
    </cfRule>
    <cfRule type="cellIs" dxfId="3895" priority="5128" operator="equal">
      <formula>"SI"</formula>
    </cfRule>
  </conditionalFormatting>
  <conditionalFormatting sqref="BD218">
    <cfRule type="cellIs" dxfId="3894" priority="5123" operator="equal">
      <formula>"SD"</formula>
    </cfRule>
    <cfRule type="cellIs" dxfId="3893" priority="5124" operator="equal">
      <formula>"NO"</formula>
    </cfRule>
    <cfRule type="cellIs" dxfId="3892" priority="5125" operator="equal">
      <formula>"SI"</formula>
    </cfRule>
  </conditionalFormatting>
  <conditionalFormatting sqref="BE218">
    <cfRule type="cellIs" dxfId="3891" priority="5120" operator="equal">
      <formula>"SD"</formula>
    </cfRule>
    <cfRule type="cellIs" dxfId="3890" priority="5121" operator="equal">
      <formula>"NO"</formula>
    </cfRule>
    <cfRule type="cellIs" dxfId="3889" priority="5122" operator="equal">
      <formula>"SI"</formula>
    </cfRule>
  </conditionalFormatting>
  <conditionalFormatting sqref="BF218">
    <cfRule type="cellIs" dxfId="3888" priority="5117" operator="equal">
      <formula>"SD"</formula>
    </cfRule>
    <cfRule type="cellIs" dxfId="3887" priority="5118" operator="equal">
      <formula>"NO"</formula>
    </cfRule>
    <cfRule type="cellIs" dxfId="3886" priority="5119" operator="equal">
      <formula>"SI"</formula>
    </cfRule>
  </conditionalFormatting>
  <conditionalFormatting sqref="BG218">
    <cfRule type="cellIs" dxfId="3885" priority="5114" operator="equal">
      <formula>"SD"</formula>
    </cfRule>
    <cfRule type="cellIs" dxfId="3884" priority="5115" operator="equal">
      <formula>"NO"</formula>
    </cfRule>
    <cfRule type="cellIs" dxfId="3883" priority="5116" operator="equal">
      <formula>"SI"</formula>
    </cfRule>
  </conditionalFormatting>
  <conditionalFormatting sqref="BH218">
    <cfRule type="cellIs" dxfId="3882" priority="5111" operator="equal">
      <formula>"SD"</formula>
    </cfRule>
    <cfRule type="cellIs" dxfId="3881" priority="5112" operator="equal">
      <formula>"NO"</formula>
    </cfRule>
    <cfRule type="cellIs" dxfId="3880" priority="5113" operator="equal">
      <formula>"SI"</formula>
    </cfRule>
  </conditionalFormatting>
  <conditionalFormatting sqref="BI218">
    <cfRule type="cellIs" dxfId="3879" priority="5108" operator="equal">
      <formula>"SD"</formula>
    </cfRule>
    <cfRule type="cellIs" dxfId="3878" priority="5109" operator="equal">
      <formula>"NO"</formula>
    </cfRule>
    <cfRule type="cellIs" dxfId="3877" priority="5110" operator="equal">
      <formula>"SI"</formula>
    </cfRule>
  </conditionalFormatting>
  <conditionalFormatting sqref="BK218">
    <cfRule type="cellIs" dxfId="3876" priority="5102" operator="equal">
      <formula>"SD"</formula>
    </cfRule>
    <cfRule type="cellIs" dxfId="3875" priority="5103" operator="equal">
      <formula>"NO"</formula>
    </cfRule>
    <cfRule type="cellIs" dxfId="3874" priority="5104" operator="equal">
      <formula>"SI"</formula>
    </cfRule>
  </conditionalFormatting>
  <conditionalFormatting sqref="BL218">
    <cfRule type="cellIs" dxfId="3873" priority="5099" operator="equal">
      <formula>"SD"</formula>
    </cfRule>
    <cfRule type="cellIs" dxfId="3872" priority="5100" operator="equal">
      <formula>"NO"</formula>
    </cfRule>
    <cfRule type="cellIs" dxfId="3871" priority="5101" operator="equal">
      <formula>"SI"</formula>
    </cfRule>
  </conditionalFormatting>
  <conditionalFormatting sqref="BM218">
    <cfRule type="cellIs" dxfId="3870" priority="5096" operator="equal">
      <formula>"SD"</formula>
    </cfRule>
    <cfRule type="cellIs" dxfId="3869" priority="5097" operator="equal">
      <formula>"NO"</formula>
    </cfRule>
    <cfRule type="cellIs" dxfId="3868" priority="5098" operator="equal">
      <formula>"SI"</formula>
    </cfRule>
  </conditionalFormatting>
  <conditionalFormatting sqref="BC219">
    <cfRule type="cellIs" dxfId="3867" priority="4513" operator="equal">
      <formula>"SD"</formula>
    </cfRule>
    <cfRule type="cellIs" dxfId="3866" priority="4514" operator="equal">
      <formula>"NO"</formula>
    </cfRule>
    <cfRule type="cellIs" dxfId="3865" priority="4515" operator="equal">
      <formula>"SI"</formula>
    </cfRule>
  </conditionalFormatting>
  <conditionalFormatting sqref="BC220">
    <cfRule type="cellIs" dxfId="3864" priority="4510" operator="equal">
      <formula>"SD"</formula>
    </cfRule>
    <cfRule type="cellIs" dxfId="3863" priority="4511" operator="equal">
      <formula>"NO"</formula>
    </cfRule>
    <cfRule type="cellIs" dxfId="3862" priority="4512" operator="equal">
      <formula>"SI"</formula>
    </cfRule>
  </conditionalFormatting>
  <conditionalFormatting sqref="BC221">
    <cfRule type="cellIs" dxfId="3861" priority="4507" operator="equal">
      <formula>"SD"</formula>
    </cfRule>
    <cfRule type="cellIs" dxfId="3860" priority="4508" operator="equal">
      <formula>"NO"</formula>
    </cfRule>
    <cfRule type="cellIs" dxfId="3859" priority="4509" operator="equal">
      <formula>"SI"</formula>
    </cfRule>
  </conditionalFormatting>
  <conditionalFormatting sqref="CR213">
    <cfRule type="expression" dxfId="3858" priority="4224">
      <formula>IF(CT213="NO APLICA REGISTRO TA-INGRESO TARDIO",1,"")</formula>
    </cfRule>
  </conditionalFormatting>
  <conditionalFormatting sqref="CS213">
    <cfRule type="expression" dxfId="3857" priority="4223">
      <formula>IF(CT213="NO APLICA REGISTRO TA-INGRESO TARDIO",1,"")</formula>
    </cfRule>
  </conditionalFormatting>
  <conditionalFormatting sqref="FA213">
    <cfRule type="expression" dxfId="3856" priority="4222">
      <formula>IF(AND(FA213&gt;=126,FC213&lt;24),1,0)</formula>
    </cfRule>
  </conditionalFormatting>
  <conditionalFormatting sqref="FJ213">
    <cfRule type="containsText" dxfId="3855" priority="4219" operator="containsText" text="POSITIVA CICATRIZ">
      <formula>NOT(ISERROR(SEARCH("POSITIVA CICATRIZ",FJ213)))</formula>
    </cfRule>
    <cfRule type="containsText" dxfId="3854" priority="4220" operator="containsText" text="POSITIVA CASO SIFILIS">
      <formula>NOT(ISERROR(SEARCH("POSITIVA CASO SIFILIS",FJ213)))</formula>
    </cfRule>
    <cfRule type="containsText" dxfId="3853" priority="4221" operator="containsText" text="NEGATIVA">
      <formula>NOT(ISERROR(SEARCH("NEGATIVA",FJ213)))</formula>
    </cfRule>
  </conditionalFormatting>
  <conditionalFormatting sqref="FY213">
    <cfRule type="containsText" dxfId="3852" priority="4216" operator="containsText" text="P.R REACTIVA">
      <formula>NOT(ISERROR(SEARCH("P.R REACTIVA",FY213)))</formula>
    </cfRule>
    <cfRule type="containsText" dxfId="3851" priority="4217" operator="containsText" text="NO REACTIVA">
      <formula>NOT(ISERROR(SEARCH("NO REACTIVA",FY213)))</formula>
    </cfRule>
    <cfRule type="containsText" dxfId="3850" priority="4218" operator="containsText" text="ELISA REACTIVA">
      <formula>NOT(ISERROR(SEARCH("ELISA REACTIVA",FY213)))</formula>
    </cfRule>
  </conditionalFormatting>
  <conditionalFormatting sqref="HT213 HV213">
    <cfRule type="containsText" dxfId="3849" priority="4212" operator="containsText" text="NO SE FORMULA">
      <formula>NOT(ISERROR(SEARCH("NO SE FORMULA",HT213)))</formula>
    </cfRule>
    <cfRule type="containsText" dxfId="3848" priority="4213" operator="containsText" text="OTRO">
      <formula>NOT(ISERROR(SEARCH("OTRO",HT213)))</formula>
    </cfRule>
    <cfRule type="containsText" dxfId="3847" priority="4214" operator="containsText" text="IRREGULAR">
      <formula>NOT(ISERROR(SEARCH("IRREGULAR",HT213)))</formula>
    </cfRule>
    <cfRule type="containsText" dxfId="3846" priority="4215" operator="containsText" text="ADECUADO">
      <formula>NOT(ISERROR(SEARCH("ADECUADO",HT213)))</formula>
    </cfRule>
  </conditionalFormatting>
  <conditionalFormatting sqref="HX213">
    <cfRule type="containsText" dxfId="3845" priority="4208" operator="containsText" text="NO SE FORMULA">
      <formula>NOT(ISERROR(SEARCH("NO SE FORMULA",HX213)))</formula>
    </cfRule>
    <cfRule type="containsText" dxfId="3844" priority="4209" operator="containsText" text="OTRO">
      <formula>NOT(ISERROR(SEARCH("OTRO",HX213)))</formula>
    </cfRule>
    <cfRule type="containsText" dxfId="3843" priority="4210" operator="containsText" text="IRREGULAR">
      <formula>NOT(ISERROR(SEARCH("IRREGULAR",HX213)))</formula>
    </cfRule>
    <cfRule type="containsText" dxfId="3842" priority="4211" operator="containsText" text="ADECUADO">
      <formula>NOT(ISERROR(SEARCH("ADECUADO",HX213)))</formula>
    </cfRule>
  </conditionalFormatting>
  <conditionalFormatting sqref="FB219">
    <cfRule type="containsText" dxfId="3841" priority="4204" operator="containsText" text="RH NEGATIVO SIN COOMB">
      <formula>NOT(ISERROR(SEARCH("RH NEGATIVO SIN COOMB",FB219)))</formula>
    </cfRule>
    <cfRule type="containsText" dxfId="3840" priority="4205" operator="containsText" text="RH NEGATIVO CON COOMBS POSITIVO">
      <formula>NOT(ISERROR(SEARCH("RH NEGATIVO CON COOMBS POSITIVO",FB219)))</formula>
    </cfRule>
    <cfRule type="containsText" dxfId="3839" priority="4206" operator="containsText" text="RH NEGATIVO CON COOMBS NEGATIVO">
      <formula>NOT(ISERROR(SEARCH("RH NEGATIVO CON COOMBS NEGATIVO",FB219)))</formula>
    </cfRule>
    <cfRule type="containsText" dxfId="3838" priority="4207" operator="containsText" text="RH POSITIVO">
      <formula>NOT(ISERROR(SEARCH("RH POSITIVO",FB219)))</formula>
    </cfRule>
  </conditionalFormatting>
  <conditionalFormatting sqref="AG222:AH222 AJ222">
    <cfRule type="cellIs" dxfId="3837" priority="4201" operator="equal">
      <formula>"SD"</formula>
    </cfRule>
    <cfRule type="cellIs" dxfId="3836" priority="4202" operator="equal">
      <formula>"NO"</formula>
    </cfRule>
    <cfRule type="cellIs" dxfId="3835" priority="4203" operator="equal">
      <formula>"SI"</formula>
    </cfRule>
  </conditionalFormatting>
  <conditionalFormatting sqref="AI222">
    <cfRule type="containsText" dxfId="3834" priority="4191" operator="containsText" text="HABITANTE DE CALLE">
      <formula>NOT(ISERROR(SEARCH("HABITANTE DE CALLE",AI222)))</formula>
    </cfRule>
    <cfRule type="containsText" dxfId="3833" priority="4197" operator="containsText" text="NINGUNO">
      <formula>NOT(ISERROR(SEARCH("NINGUNO",AI222)))</formula>
    </cfRule>
    <cfRule type="containsText" dxfId="3832" priority="4198" operator="containsText" text="MIGRATORIA">
      <formula>NOT(ISERROR(SEARCH("MIGRATORIA",AI222)))</formula>
    </cfRule>
    <cfRule type="containsText" dxfId="3831" priority="4199" operator="containsText" text="DISCAPACIDAD">
      <formula>NOT(ISERROR(SEARCH("DISCAPACIDAD",AI222)))</formula>
    </cfRule>
    <cfRule type="containsText" dxfId="3830" priority="4200" operator="containsText" text="DESPLAZADA">
      <formula>NOT(ISERROR(SEARCH("DESPLAZADA",AI222)))</formula>
    </cfRule>
  </conditionalFormatting>
  <conditionalFormatting sqref="AE222:AF222">
    <cfRule type="containsText" dxfId="3829" priority="4195" operator="containsText" text="NO">
      <formula>NOT(ISERROR(SEARCH("NO",AE222)))</formula>
    </cfRule>
    <cfRule type="containsText" dxfId="3828" priority="4196" operator="containsText" text="SI">
      <formula>NOT(ISERROR(SEARCH("SI",AE222)))</formula>
    </cfRule>
  </conditionalFormatting>
  <conditionalFormatting sqref="AX222 BA222:BB222 BD222:BE222">
    <cfRule type="cellIs" dxfId="3827" priority="4188" operator="equal">
      <formula>"SD"</formula>
    </cfRule>
    <cfRule type="cellIs" dxfId="3826" priority="4189" operator="equal">
      <formula>"NO"</formula>
    </cfRule>
    <cfRule type="cellIs" dxfId="3825" priority="4190" operator="equal">
      <formula>"SI"</formula>
    </cfRule>
  </conditionalFormatting>
  <conditionalFormatting sqref="BE222">
    <cfRule type="expression" dxfId="3824" priority="4187">
      <formula>IF(AND(FA222&gt;=126,FC222&lt;24),1,0)</formula>
    </cfRule>
  </conditionalFormatting>
  <conditionalFormatting sqref="AY222">
    <cfRule type="containsText" dxfId="3823" priority="4182" operator="containsText" text="SD">
      <formula>NOT(ISERROR(SEARCH("SD",AY222)))</formula>
    </cfRule>
    <cfRule type="containsText" dxfId="3822" priority="4183" operator="containsText" text="SI, NO CONTROLADA">
      <formula>NOT(ISERROR(SEARCH("SI, NO CONTROLADA",AY222)))</formula>
    </cfRule>
    <cfRule type="containsText" dxfId="3821" priority="4184" operator="containsText" text="SI, SIN MANEJO">
      <formula>NOT(ISERROR(SEARCH("SI, SIN MANEJO",AY222)))</formula>
    </cfRule>
    <cfRule type="containsText" dxfId="3820" priority="4185" operator="containsText" text="SI, CONTROLADA">
      <formula>NOT(ISERROR(SEARCH("SI, CONTROLADA",AY222)))</formula>
    </cfRule>
    <cfRule type="containsText" dxfId="3819" priority="4186" operator="containsText" text="NO">
      <formula>NOT(ISERROR(SEARCH("NO",AY222)))</formula>
    </cfRule>
  </conditionalFormatting>
  <conditionalFormatting sqref="AZ222">
    <cfRule type="containsText" dxfId="3818" priority="4177" operator="containsText" text="SD">
      <formula>NOT(ISERROR(SEARCH("SD",AZ222)))</formula>
    </cfRule>
    <cfRule type="containsText" dxfId="3817" priority="4178" operator="containsText" text="SI, NO CONTROLADA">
      <formula>NOT(ISERROR(SEARCH("SI, NO CONTROLADA",AZ222)))</formula>
    </cfRule>
    <cfRule type="containsText" dxfId="3816" priority="4179" operator="containsText" text="SI, SIN MANEJO">
      <formula>NOT(ISERROR(SEARCH("SI, SIN MANEJO",AZ222)))</formula>
    </cfRule>
    <cfRule type="containsText" dxfId="3815" priority="4180" operator="containsText" text="SI, CONTROLADA">
      <formula>NOT(ISERROR(SEARCH("SI, CONTROLADA",AZ222)))</formula>
    </cfRule>
    <cfRule type="containsText" dxfId="3814" priority="4181" operator="containsText" text="NO">
      <formula>NOT(ISERROR(SEARCH("NO",AZ222)))</formula>
    </cfRule>
  </conditionalFormatting>
  <conditionalFormatting sqref="BC222">
    <cfRule type="cellIs" dxfId="3813" priority="4174" operator="equal">
      <formula>"SD"</formula>
    </cfRule>
    <cfRule type="cellIs" dxfId="3812" priority="4175" operator="equal">
      <formula>"NO"</formula>
    </cfRule>
    <cfRule type="cellIs" dxfId="3811" priority="4176" operator="equal">
      <formula>"SI"</formula>
    </cfRule>
  </conditionalFormatting>
  <conditionalFormatting sqref="AG223:AH223 AJ223">
    <cfRule type="cellIs" dxfId="3810" priority="4171" operator="equal">
      <formula>"SD"</formula>
    </cfRule>
    <cfRule type="cellIs" dxfId="3809" priority="4172" operator="equal">
      <formula>"NO"</formula>
    </cfRule>
    <cfRule type="cellIs" dxfId="3808" priority="4173" operator="equal">
      <formula>"SI"</formula>
    </cfRule>
  </conditionalFormatting>
  <conditionalFormatting sqref="AI223">
    <cfRule type="containsText" dxfId="3807" priority="4161" operator="containsText" text="HABITANTE DE CALLE">
      <formula>NOT(ISERROR(SEARCH("HABITANTE DE CALLE",AI223)))</formula>
    </cfRule>
    <cfRule type="containsText" dxfId="3806" priority="4167" operator="containsText" text="NINGUNO">
      <formula>NOT(ISERROR(SEARCH("NINGUNO",AI223)))</formula>
    </cfRule>
    <cfRule type="containsText" dxfId="3805" priority="4168" operator="containsText" text="MIGRATORIA">
      <formula>NOT(ISERROR(SEARCH("MIGRATORIA",AI223)))</formula>
    </cfRule>
    <cfRule type="containsText" dxfId="3804" priority="4169" operator="containsText" text="DISCAPACIDAD">
      <formula>NOT(ISERROR(SEARCH("DISCAPACIDAD",AI223)))</formula>
    </cfRule>
    <cfRule type="containsText" dxfId="3803" priority="4170" operator="containsText" text="DESPLAZADA">
      <formula>NOT(ISERROR(SEARCH("DESPLAZADA",AI223)))</formula>
    </cfRule>
  </conditionalFormatting>
  <conditionalFormatting sqref="AE223:AF223">
    <cfRule type="containsText" dxfId="3802" priority="4165" operator="containsText" text="NO">
      <formula>NOT(ISERROR(SEARCH("NO",AE223)))</formula>
    </cfRule>
    <cfRule type="containsText" dxfId="3801" priority="4166" operator="containsText" text="SI">
      <formula>NOT(ISERROR(SEARCH("SI",AE223)))</formula>
    </cfRule>
  </conditionalFormatting>
  <conditionalFormatting sqref="BF223:BI223">
    <cfRule type="cellIs" dxfId="3800" priority="4158" operator="equal">
      <formula>"SD"</formula>
    </cfRule>
    <cfRule type="cellIs" dxfId="3799" priority="4159" operator="equal">
      <formula>"NO"</formula>
    </cfRule>
    <cfRule type="cellIs" dxfId="3798" priority="4160" operator="equal">
      <formula>"SI"</formula>
    </cfRule>
  </conditionalFormatting>
  <conditionalFormatting sqref="AX223 BA223:BB223 BD223:BE223">
    <cfRule type="cellIs" dxfId="3797" priority="4155" operator="equal">
      <formula>"SD"</formula>
    </cfRule>
    <cfRule type="cellIs" dxfId="3796" priority="4156" operator="equal">
      <formula>"NO"</formula>
    </cfRule>
    <cfRule type="cellIs" dxfId="3795" priority="4157" operator="equal">
      <formula>"SI"</formula>
    </cfRule>
  </conditionalFormatting>
  <conditionalFormatting sqref="BE223">
    <cfRule type="expression" dxfId="3794" priority="4154">
      <formula>IF(AND(FA223&gt;=126,FC223&lt;24),1,0)</formula>
    </cfRule>
  </conditionalFormatting>
  <conditionalFormatting sqref="AY223">
    <cfRule type="containsText" dxfId="3793" priority="4149" operator="containsText" text="SD">
      <formula>NOT(ISERROR(SEARCH("SD",AY223)))</formula>
    </cfRule>
    <cfRule type="containsText" dxfId="3792" priority="4150" operator="containsText" text="SI, NO CONTROLADA">
      <formula>NOT(ISERROR(SEARCH("SI, NO CONTROLADA",AY223)))</formula>
    </cfRule>
    <cfRule type="containsText" dxfId="3791" priority="4151" operator="containsText" text="SI, SIN MANEJO">
      <formula>NOT(ISERROR(SEARCH("SI, SIN MANEJO",AY223)))</formula>
    </cfRule>
    <cfRule type="containsText" dxfId="3790" priority="4152" operator="containsText" text="SI, CONTROLADA">
      <formula>NOT(ISERROR(SEARCH("SI, CONTROLADA",AY223)))</formula>
    </cfRule>
    <cfRule type="containsText" dxfId="3789" priority="4153" operator="containsText" text="NO">
      <formula>NOT(ISERROR(SEARCH("NO",AY223)))</formula>
    </cfRule>
  </conditionalFormatting>
  <conditionalFormatting sqref="AZ223">
    <cfRule type="containsText" dxfId="3788" priority="4144" operator="containsText" text="SD">
      <formula>NOT(ISERROR(SEARCH("SD",AZ223)))</formula>
    </cfRule>
    <cfRule type="containsText" dxfId="3787" priority="4145" operator="containsText" text="SI, NO CONTROLADA">
      <formula>NOT(ISERROR(SEARCH("SI, NO CONTROLADA",AZ223)))</formula>
    </cfRule>
    <cfRule type="containsText" dxfId="3786" priority="4146" operator="containsText" text="SI, SIN MANEJO">
      <formula>NOT(ISERROR(SEARCH("SI, SIN MANEJO",AZ223)))</formula>
    </cfRule>
    <cfRule type="containsText" dxfId="3785" priority="4147" operator="containsText" text="SI, CONTROLADA">
      <formula>NOT(ISERROR(SEARCH("SI, CONTROLADA",AZ223)))</formula>
    </cfRule>
    <cfRule type="containsText" dxfId="3784" priority="4148" operator="containsText" text="NO">
      <formula>NOT(ISERROR(SEARCH("NO",AZ223)))</formula>
    </cfRule>
  </conditionalFormatting>
  <conditionalFormatting sqref="BC223">
    <cfRule type="cellIs" dxfId="3783" priority="4141" operator="equal">
      <formula>"SD"</formula>
    </cfRule>
    <cfRule type="cellIs" dxfId="3782" priority="4142" operator="equal">
      <formula>"NO"</formula>
    </cfRule>
    <cfRule type="cellIs" dxfId="3781" priority="4143" operator="equal">
      <formula>"SI"</formula>
    </cfRule>
  </conditionalFormatting>
  <conditionalFormatting sqref="CE223">
    <cfRule type="cellIs" dxfId="3780" priority="4138" operator="equal">
      <formula>"SD"</formula>
    </cfRule>
    <cfRule type="cellIs" dxfId="3779" priority="4139" operator="equal">
      <formula>"NO"</formula>
    </cfRule>
    <cfRule type="cellIs" dxfId="3778" priority="4140" operator="equal">
      <formula>"SI"</formula>
    </cfRule>
  </conditionalFormatting>
  <conditionalFormatting sqref="CD223">
    <cfRule type="cellIs" dxfId="3777" priority="4133" operator="equal">
      <formula>"SD"</formula>
    </cfRule>
    <cfRule type="cellIs" dxfId="3776" priority="4134" operator="equal">
      <formula>"OBLICUA"</formula>
    </cfRule>
    <cfRule type="cellIs" dxfId="3775" priority="4136" operator="equal">
      <formula>"PODÁLICA"</formula>
    </cfRule>
    <cfRule type="cellIs" dxfId="3774" priority="4137" operator="equal">
      <formula>"CEFÁLICA"</formula>
    </cfRule>
  </conditionalFormatting>
  <conditionalFormatting sqref="AG224:AH224 AJ224">
    <cfRule type="cellIs" dxfId="3773" priority="4130" operator="equal">
      <formula>"SD"</formula>
    </cfRule>
    <cfRule type="cellIs" dxfId="3772" priority="4131" operator="equal">
      <formula>"NO"</formula>
    </cfRule>
    <cfRule type="cellIs" dxfId="3771" priority="4132" operator="equal">
      <formula>"SI"</formula>
    </cfRule>
  </conditionalFormatting>
  <conditionalFormatting sqref="AI224">
    <cfRule type="containsText" dxfId="3770" priority="4120" operator="containsText" text="HABITANTE DE CALLE">
      <formula>NOT(ISERROR(SEARCH("HABITANTE DE CALLE",AI224)))</formula>
    </cfRule>
    <cfRule type="containsText" dxfId="3769" priority="4126" operator="containsText" text="NINGUNO">
      <formula>NOT(ISERROR(SEARCH("NINGUNO",AI224)))</formula>
    </cfRule>
    <cfRule type="containsText" dxfId="3768" priority="4127" operator="containsText" text="MIGRATORIA">
      <formula>NOT(ISERROR(SEARCH("MIGRATORIA",AI224)))</formula>
    </cfRule>
    <cfRule type="containsText" dxfId="3767" priority="4128" operator="containsText" text="DISCAPACIDAD">
      <formula>NOT(ISERROR(SEARCH("DISCAPACIDAD",AI224)))</formula>
    </cfRule>
    <cfRule type="containsText" dxfId="3766" priority="4129" operator="containsText" text="DESPLAZADA">
      <formula>NOT(ISERROR(SEARCH("DESPLAZADA",AI224)))</formula>
    </cfRule>
  </conditionalFormatting>
  <conditionalFormatting sqref="AE224:AF224">
    <cfRule type="containsText" dxfId="3765" priority="4124" operator="containsText" text="NO">
      <formula>NOT(ISERROR(SEARCH("NO",AE224)))</formula>
    </cfRule>
    <cfRule type="containsText" dxfId="3764" priority="4125" operator="containsText" text="SI">
      <formula>NOT(ISERROR(SEARCH("SI",AE224)))</formula>
    </cfRule>
  </conditionalFormatting>
  <conditionalFormatting sqref="BJ224:BK224">
    <cfRule type="cellIs" dxfId="3763" priority="4117" operator="equal">
      <formula>"SD"</formula>
    </cfRule>
    <cfRule type="cellIs" dxfId="3762" priority="4118" operator="equal">
      <formula>"NO"</formula>
    </cfRule>
    <cfRule type="cellIs" dxfId="3761" priority="4119" operator="equal">
      <formula>"SI"</formula>
    </cfRule>
  </conditionalFormatting>
  <conditionalFormatting sqref="BF224:BI224">
    <cfRule type="cellIs" dxfId="3760" priority="4114" operator="equal">
      <formula>"SD"</formula>
    </cfRule>
    <cfRule type="cellIs" dxfId="3759" priority="4115" operator="equal">
      <formula>"NO"</formula>
    </cfRule>
    <cfRule type="cellIs" dxfId="3758" priority="4116" operator="equal">
      <formula>"SI"</formula>
    </cfRule>
  </conditionalFormatting>
  <conditionalFormatting sqref="AX224 BA224:BB224 BD224:BE224">
    <cfRule type="cellIs" dxfId="3757" priority="4111" operator="equal">
      <formula>"SD"</formula>
    </cfRule>
    <cfRule type="cellIs" dxfId="3756" priority="4112" operator="equal">
      <formula>"NO"</formula>
    </cfRule>
    <cfRule type="cellIs" dxfId="3755" priority="4113" operator="equal">
      <formula>"SI"</formula>
    </cfRule>
  </conditionalFormatting>
  <conditionalFormatting sqref="BE224">
    <cfRule type="expression" dxfId="3754" priority="4110">
      <formula>IF(AND(FA224&gt;=126,FC224&lt;24),1,0)</formula>
    </cfRule>
  </conditionalFormatting>
  <conditionalFormatting sqref="AY224">
    <cfRule type="containsText" dxfId="3753" priority="4105" operator="containsText" text="SD">
      <formula>NOT(ISERROR(SEARCH("SD",AY224)))</formula>
    </cfRule>
    <cfRule type="containsText" dxfId="3752" priority="4106" operator="containsText" text="SI, NO CONTROLADA">
      <formula>NOT(ISERROR(SEARCH("SI, NO CONTROLADA",AY224)))</formula>
    </cfRule>
    <cfRule type="containsText" dxfId="3751" priority="4107" operator="containsText" text="SI, SIN MANEJO">
      <formula>NOT(ISERROR(SEARCH("SI, SIN MANEJO",AY224)))</formula>
    </cfRule>
    <cfRule type="containsText" dxfId="3750" priority="4108" operator="containsText" text="SI, CONTROLADA">
      <formula>NOT(ISERROR(SEARCH("SI, CONTROLADA",AY224)))</formula>
    </cfRule>
    <cfRule type="containsText" dxfId="3749" priority="4109" operator="containsText" text="NO">
      <formula>NOT(ISERROR(SEARCH("NO",AY224)))</formula>
    </cfRule>
  </conditionalFormatting>
  <conditionalFormatting sqref="AZ224">
    <cfRule type="containsText" dxfId="3748" priority="4100" operator="containsText" text="SD">
      <formula>NOT(ISERROR(SEARCH("SD",AZ224)))</formula>
    </cfRule>
    <cfRule type="containsText" dxfId="3747" priority="4101" operator="containsText" text="SI, NO CONTROLADA">
      <formula>NOT(ISERROR(SEARCH("SI, NO CONTROLADA",AZ224)))</formula>
    </cfRule>
    <cfRule type="containsText" dxfId="3746" priority="4102" operator="containsText" text="SI, SIN MANEJO">
      <formula>NOT(ISERROR(SEARCH("SI, SIN MANEJO",AZ224)))</formula>
    </cfRule>
    <cfRule type="containsText" dxfId="3745" priority="4103" operator="containsText" text="SI, CONTROLADA">
      <formula>NOT(ISERROR(SEARCH("SI, CONTROLADA",AZ224)))</formula>
    </cfRule>
    <cfRule type="containsText" dxfId="3744" priority="4104" operator="containsText" text="NO">
      <formula>NOT(ISERROR(SEARCH("NO",AZ224)))</formula>
    </cfRule>
  </conditionalFormatting>
  <conditionalFormatting sqref="BC224">
    <cfRule type="cellIs" dxfId="3743" priority="4097" operator="equal">
      <formula>"SD"</formula>
    </cfRule>
    <cfRule type="cellIs" dxfId="3742" priority="4098" operator="equal">
      <formula>"NO"</formula>
    </cfRule>
    <cfRule type="cellIs" dxfId="3741" priority="4099" operator="equal">
      <formula>"SI"</formula>
    </cfRule>
  </conditionalFormatting>
  <conditionalFormatting sqref="CC224">
    <cfRule type="cellIs" dxfId="3740" priority="4094" operator="equal">
      <formula>"SD"</formula>
    </cfRule>
    <cfRule type="cellIs" dxfId="3739" priority="4095" operator="equal">
      <formula>"NO"</formula>
    </cfRule>
    <cfRule type="cellIs" dxfId="3738" priority="4096" operator="equal">
      <formula>"SI"</formula>
    </cfRule>
  </conditionalFormatting>
  <conditionalFormatting sqref="CE224">
    <cfRule type="cellIs" dxfId="3737" priority="4091" operator="equal">
      <formula>"SD"</formula>
    </cfRule>
    <cfRule type="cellIs" dxfId="3736" priority="4092" operator="equal">
      <formula>"NO"</formula>
    </cfRule>
    <cfRule type="cellIs" dxfId="3735" priority="4093" operator="equal">
      <formula>"SI"</formula>
    </cfRule>
  </conditionalFormatting>
  <conditionalFormatting sqref="CD224">
    <cfRule type="cellIs" dxfId="3734" priority="4086" operator="equal">
      <formula>"SD"</formula>
    </cfRule>
    <cfRule type="cellIs" dxfId="3733" priority="4087" operator="equal">
      <formula>"OBLICUA"</formula>
    </cfRule>
    <cfRule type="cellIs" dxfId="3732" priority="4089" operator="equal">
      <formula>"PODÁLICA"</formula>
    </cfRule>
    <cfRule type="cellIs" dxfId="3731" priority="4090" operator="equal">
      <formula>"CEFÁLICA"</formula>
    </cfRule>
  </conditionalFormatting>
  <conditionalFormatting sqref="AE225">
    <cfRule type="containsText" dxfId="3730" priority="4084" operator="containsText" text="NO">
      <formula>NOT(ISERROR(SEARCH("NO",AE225)))</formula>
    </cfRule>
    <cfRule type="containsText" dxfId="3729" priority="4085" operator="containsText" text="SI">
      <formula>NOT(ISERROR(SEARCH("SI",AE225)))</formula>
    </cfRule>
  </conditionalFormatting>
  <conditionalFormatting sqref="AG225:AH225 AJ225">
    <cfRule type="cellIs" dxfId="3728" priority="4078" operator="equal">
      <formula>"SD"</formula>
    </cfRule>
    <cfRule type="cellIs" dxfId="3727" priority="4079" operator="equal">
      <formula>"NO"</formula>
    </cfRule>
    <cfRule type="cellIs" dxfId="3726" priority="4080" operator="equal">
      <formula>"SI"</formula>
    </cfRule>
  </conditionalFormatting>
  <conditionalFormatting sqref="AI225">
    <cfRule type="containsText" dxfId="3725" priority="4071" operator="containsText" text="HABITANTE DE CALLE">
      <formula>NOT(ISERROR(SEARCH("HABITANTE DE CALLE",AI225)))</formula>
    </cfRule>
    <cfRule type="containsText" dxfId="3724" priority="4074" operator="containsText" text="NINGUNO">
      <formula>NOT(ISERROR(SEARCH("NINGUNO",AI225)))</formula>
    </cfRule>
    <cfRule type="containsText" dxfId="3723" priority="4075" operator="containsText" text="MIGRATORIA">
      <formula>NOT(ISERROR(SEARCH("MIGRATORIA",AI225)))</formula>
    </cfRule>
    <cfRule type="containsText" dxfId="3722" priority="4076" operator="containsText" text="DISCAPACIDAD">
      <formula>NOT(ISERROR(SEARCH("DISCAPACIDAD",AI225)))</formula>
    </cfRule>
    <cfRule type="containsText" dxfId="3721" priority="4077" operator="containsText" text="DESPLAZADA">
      <formula>NOT(ISERROR(SEARCH("DESPLAZADA",AI225)))</formula>
    </cfRule>
  </conditionalFormatting>
  <conditionalFormatting sqref="AF225">
    <cfRule type="containsText" dxfId="3720" priority="4072" operator="containsText" text="NO">
      <formula>NOT(ISERROR(SEARCH("NO",AF225)))</formula>
    </cfRule>
    <cfRule type="containsText" dxfId="3719" priority="4073" operator="containsText" text="SI">
      <formula>NOT(ISERROR(SEARCH("SI",AF225)))</formula>
    </cfRule>
  </conditionalFormatting>
  <conditionalFormatting sqref="BJ225">
    <cfRule type="cellIs" dxfId="3718" priority="4068" operator="equal">
      <formula>"SD"</formula>
    </cfRule>
    <cfRule type="cellIs" dxfId="3717" priority="4069" operator="equal">
      <formula>"NO"</formula>
    </cfRule>
    <cfRule type="cellIs" dxfId="3716" priority="4070" operator="equal">
      <formula>"SI"</formula>
    </cfRule>
  </conditionalFormatting>
  <conditionalFormatting sqref="BF225:BI225">
    <cfRule type="cellIs" dxfId="3715" priority="4065" operator="equal">
      <formula>"SD"</formula>
    </cfRule>
    <cfRule type="cellIs" dxfId="3714" priority="4066" operator="equal">
      <formula>"NO"</formula>
    </cfRule>
    <cfRule type="cellIs" dxfId="3713" priority="4067" operator="equal">
      <formula>"SI"</formula>
    </cfRule>
  </conditionalFormatting>
  <conditionalFormatting sqref="AX225 BA225:BB225 BD225:BE225">
    <cfRule type="cellIs" dxfId="3712" priority="4062" operator="equal">
      <formula>"SD"</formula>
    </cfRule>
    <cfRule type="cellIs" dxfId="3711" priority="4063" operator="equal">
      <formula>"NO"</formula>
    </cfRule>
    <cfRule type="cellIs" dxfId="3710" priority="4064" operator="equal">
      <formula>"SI"</formula>
    </cfRule>
  </conditionalFormatting>
  <conditionalFormatting sqref="BE225">
    <cfRule type="expression" dxfId="3709" priority="4061">
      <formula>IF(AND(FA225&gt;=126,FC225&lt;24),1,0)</formula>
    </cfRule>
  </conditionalFormatting>
  <conditionalFormatting sqref="AY225">
    <cfRule type="containsText" dxfId="3708" priority="4056" operator="containsText" text="SD">
      <formula>NOT(ISERROR(SEARCH("SD",AY225)))</formula>
    </cfRule>
    <cfRule type="containsText" dxfId="3707" priority="4057" operator="containsText" text="SI, NO CONTROLADA">
      <formula>NOT(ISERROR(SEARCH("SI, NO CONTROLADA",AY225)))</formula>
    </cfRule>
    <cfRule type="containsText" dxfId="3706" priority="4058" operator="containsText" text="SI, SIN MANEJO">
      <formula>NOT(ISERROR(SEARCH("SI, SIN MANEJO",AY225)))</formula>
    </cfRule>
    <cfRule type="containsText" dxfId="3705" priority="4059" operator="containsText" text="SI, CONTROLADA">
      <formula>NOT(ISERROR(SEARCH("SI, CONTROLADA",AY225)))</formula>
    </cfRule>
    <cfRule type="containsText" dxfId="3704" priority="4060" operator="containsText" text="NO">
      <formula>NOT(ISERROR(SEARCH("NO",AY225)))</formula>
    </cfRule>
  </conditionalFormatting>
  <conditionalFormatting sqref="AZ225">
    <cfRule type="containsText" dxfId="3703" priority="4051" operator="containsText" text="SD">
      <formula>NOT(ISERROR(SEARCH("SD",AZ225)))</formula>
    </cfRule>
    <cfRule type="containsText" dxfId="3702" priority="4052" operator="containsText" text="SI, NO CONTROLADA">
      <formula>NOT(ISERROR(SEARCH("SI, NO CONTROLADA",AZ225)))</formula>
    </cfRule>
    <cfRule type="containsText" dxfId="3701" priority="4053" operator="containsText" text="SI, SIN MANEJO">
      <formula>NOT(ISERROR(SEARCH("SI, SIN MANEJO",AZ225)))</formula>
    </cfRule>
    <cfRule type="containsText" dxfId="3700" priority="4054" operator="containsText" text="SI, CONTROLADA">
      <formula>NOT(ISERROR(SEARCH("SI, CONTROLADA",AZ225)))</formula>
    </cfRule>
    <cfRule type="containsText" dxfId="3699" priority="4055" operator="containsText" text="NO">
      <formula>NOT(ISERROR(SEARCH("NO",AZ225)))</formula>
    </cfRule>
  </conditionalFormatting>
  <conditionalFormatting sqref="BC225">
    <cfRule type="cellIs" dxfId="3698" priority="4048" operator="equal">
      <formula>"SD"</formula>
    </cfRule>
    <cfRule type="cellIs" dxfId="3697" priority="4049" operator="equal">
      <formula>"NO"</formula>
    </cfRule>
    <cfRule type="cellIs" dxfId="3696" priority="4050" operator="equal">
      <formula>"SI"</formula>
    </cfRule>
  </conditionalFormatting>
  <conditionalFormatting sqref="BL225:BM225">
    <cfRule type="cellIs" dxfId="3695" priority="4045" operator="equal">
      <formula>"SD"</formula>
    </cfRule>
    <cfRule type="cellIs" dxfId="3694" priority="4046" operator="equal">
      <formula>"NO"</formula>
    </cfRule>
    <cfRule type="cellIs" dxfId="3693" priority="4047" operator="equal">
      <formula>"SI"</formula>
    </cfRule>
  </conditionalFormatting>
  <conditionalFormatting sqref="BK225">
    <cfRule type="cellIs" dxfId="3692" priority="4042" operator="equal">
      <formula>"SD"</formula>
    </cfRule>
    <cfRule type="cellIs" dxfId="3691" priority="4043" operator="equal">
      <formula>"NO"</formula>
    </cfRule>
    <cfRule type="cellIs" dxfId="3690" priority="4044" operator="equal">
      <formula>"SI"</formula>
    </cfRule>
  </conditionalFormatting>
  <conditionalFormatting sqref="AE226">
    <cfRule type="containsText" dxfId="3689" priority="4040" operator="containsText" text="NO">
      <formula>NOT(ISERROR(SEARCH("NO",AE226)))</formula>
    </cfRule>
    <cfRule type="containsText" dxfId="3688" priority="4041" operator="containsText" text="SI">
      <formula>NOT(ISERROR(SEARCH("SI",AE226)))</formula>
    </cfRule>
  </conditionalFormatting>
  <conditionalFormatting sqref="AG226:AH226 AJ226">
    <cfRule type="cellIs" dxfId="3687" priority="4034" operator="equal">
      <formula>"SD"</formula>
    </cfRule>
    <cfRule type="cellIs" dxfId="3686" priority="4035" operator="equal">
      <formula>"NO"</formula>
    </cfRule>
    <cfRule type="cellIs" dxfId="3685" priority="4036" operator="equal">
      <formula>"SI"</formula>
    </cfRule>
  </conditionalFormatting>
  <conditionalFormatting sqref="AI226">
    <cfRule type="containsText" dxfId="3684" priority="4027" operator="containsText" text="HABITANTE DE CALLE">
      <formula>NOT(ISERROR(SEARCH("HABITANTE DE CALLE",AI226)))</formula>
    </cfRule>
    <cfRule type="containsText" dxfId="3683" priority="4030" operator="containsText" text="NINGUNO">
      <formula>NOT(ISERROR(SEARCH("NINGUNO",AI226)))</formula>
    </cfRule>
    <cfRule type="containsText" dxfId="3682" priority="4031" operator="containsText" text="MIGRATORIA">
      <formula>NOT(ISERROR(SEARCH("MIGRATORIA",AI226)))</formula>
    </cfRule>
    <cfRule type="containsText" dxfId="3681" priority="4032" operator="containsText" text="DISCAPACIDAD">
      <formula>NOT(ISERROR(SEARCH("DISCAPACIDAD",AI226)))</formula>
    </cfRule>
    <cfRule type="containsText" dxfId="3680" priority="4033" operator="containsText" text="DESPLAZADA">
      <formula>NOT(ISERROR(SEARCH("DESPLAZADA",AI226)))</formula>
    </cfRule>
  </conditionalFormatting>
  <conditionalFormatting sqref="AF226">
    <cfRule type="containsText" dxfId="3679" priority="4028" operator="containsText" text="NO">
      <formula>NOT(ISERROR(SEARCH("NO",AF226)))</formula>
    </cfRule>
    <cfRule type="containsText" dxfId="3678" priority="4029" operator="containsText" text="SI">
      <formula>NOT(ISERROR(SEARCH("SI",AF226)))</formula>
    </cfRule>
  </conditionalFormatting>
  <conditionalFormatting sqref="BF226:BH226">
    <cfRule type="cellIs" dxfId="3677" priority="4024" operator="equal">
      <formula>"SD"</formula>
    </cfRule>
    <cfRule type="cellIs" dxfId="3676" priority="4025" operator="equal">
      <formula>"NO"</formula>
    </cfRule>
    <cfRule type="cellIs" dxfId="3675" priority="4026" operator="equal">
      <formula>"SI"</formula>
    </cfRule>
  </conditionalFormatting>
  <conditionalFormatting sqref="AX226 BA226:BB226 BD226:BE226">
    <cfRule type="cellIs" dxfId="3674" priority="4021" operator="equal">
      <formula>"SD"</formula>
    </cfRule>
    <cfRule type="cellIs" dxfId="3673" priority="4022" operator="equal">
      <formula>"NO"</formula>
    </cfRule>
    <cfRule type="cellIs" dxfId="3672" priority="4023" operator="equal">
      <formula>"SI"</formula>
    </cfRule>
  </conditionalFormatting>
  <conditionalFormatting sqref="BE226">
    <cfRule type="expression" dxfId="3671" priority="4020">
      <formula>IF(AND(FA226&gt;=126,FC226&lt;24),1,0)</formula>
    </cfRule>
  </conditionalFormatting>
  <conditionalFormatting sqref="AY226">
    <cfRule type="containsText" dxfId="3670" priority="4015" operator="containsText" text="SD">
      <formula>NOT(ISERROR(SEARCH("SD",AY226)))</formula>
    </cfRule>
    <cfRule type="containsText" dxfId="3669" priority="4016" operator="containsText" text="SI, NO CONTROLADA">
      <formula>NOT(ISERROR(SEARCH("SI, NO CONTROLADA",AY226)))</formula>
    </cfRule>
    <cfRule type="containsText" dxfId="3668" priority="4017" operator="containsText" text="SI, SIN MANEJO">
      <formula>NOT(ISERROR(SEARCH("SI, SIN MANEJO",AY226)))</formula>
    </cfRule>
    <cfRule type="containsText" dxfId="3667" priority="4018" operator="containsText" text="SI, CONTROLADA">
      <formula>NOT(ISERROR(SEARCH("SI, CONTROLADA",AY226)))</formula>
    </cfRule>
    <cfRule type="containsText" dxfId="3666" priority="4019" operator="containsText" text="NO">
      <formula>NOT(ISERROR(SEARCH("NO",AY226)))</formula>
    </cfRule>
  </conditionalFormatting>
  <conditionalFormatting sqref="AZ226">
    <cfRule type="containsText" dxfId="3665" priority="4010" operator="containsText" text="SD">
      <formula>NOT(ISERROR(SEARCH("SD",AZ226)))</formula>
    </cfRule>
    <cfRule type="containsText" dxfId="3664" priority="4011" operator="containsText" text="SI, NO CONTROLADA">
      <formula>NOT(ISERROR(SEARCH("SI, NO CONTROLADA",AZ226)))</formula>
    </cfRule>
    <cfRule type="containsText" dxfId="3663" priority="4012" operator="containsText" text="SI, SIN MANEJO">
      <formula>NOT(ISERROR(SEARCH("SI, SIN MANEJO",AZ226)))</formula>
    </cfRule>
    <cfRule type="containsText" dxfId="3662" priority="4013" operator="containsText" text="SI, CONTROLADA">
      <formula>NOT(ISERROR(SEARCH("SI, CONTROLADA",AZ226)))</formula>
    </cfRule>
    <cfRule type="containsText" dxfId="3661" priority="4014" operator="containsText" text="NO">
      <formula>NOT(ISERROR(SEARCH("NO",AZ226)))</formula>
    </cfRule>
  </conditionalFormatting>
  <conditionalFormatting sqref="BC226">
    <cfRule type="cellIs" dxfId="3660" priority="4007" operator="equal">
      <formula>"SD"</formula>
    </cfRule>
    <cfRule type="cellIs" dxfId="3659" priority="4008" operator="equal">
      <formula>"NO"</formula>
    </cfRule>
    <cfRule type="cellIs" dxfId="3658" priority="4009" operator="equal">
      <formula>"SI"</formula>
    </cfRule>
  </conditionalFormatting>
  <conditionalFormatting sqref="BJ226">
    <cfRule type="cellIs" dxfId="3657" priority="4004" operator="equal">
      <formula>"SD"</formula>
    </cfRule>
    <cfRule type="cellIs" dxfId="3656" priority="4005" operator="equal">
      <formula>"NO"</formula>
    </cfRule>
    <cfRule type="cellIs" dxfId="3655" priority="4006" operator="equal">
      <formula>"SI"</formula>
    </cfRule>
  </conditionalFormatting>
  <conditionalFormatting sqref="BI226">
    <cfRule type="cellIs" dxfId="3654" priority="4001" operator="equal">
      <formula>"SD"</formula>
    </cfRule>
    <cfRule type="cellIs" dxfId="3653" priority="4002" operator="equal">
      <formula>"NO"</formula>
    </cfRule>
    <cfRule type="cellIs" dxfId="3652" priority="4003" operator="equal">
      <formula>"SI"</formula>
    </cfRule>
  </conditionalFormatting>
  <conditionalFormatting sqref="BL226:BM226">
    <cfRule type="cellIs" dxfId="3651" priority="3998" operator="equal">
      <formula>"SD"</formula>
    </cfRule>
    <cfRule type="cellIs" dxfId="3650" priority="3999" operator="equal">
      <formula>"NO"</formula>
    </cfRule>
    <cfRule type="cellIs" dxfId="3649" priority="4000" operator="equal">
      <formula>"SI"</formula>
    </cfRule>
  </conditionalFormatting>
  <conditionalFormatting sqref="BK226">
    <cfRule type="cellIs" dxfId="3648" priority="3995" operator="equal">
      <formula>"SD"</formula>
    </cfRule>
    <cfRule type="cellIs" dxfId="3647" priority="3996" operator="equal">
      <formula>"NO"</formula>
    </cfRule>
    <cfRule type="cellIs" dxfId="3646" priority="3997" operator="equal">
      <formula>"SI"</formula>
    </cfRule>
  </conditionalFormatting>
  <conditionalFormatting sqref="CD226">
    <cfRule type="cellIs" dxfId="3645" priority="3990" operator="equal">
      <formula>"SD"</formula>
    </cfRule>
    <cfRule type="cellIs" dxfId="3644" priority="3991" operator="equal">
      <formula>"OBLICUA"</formula>
    </cfRule>
    <cfRule type="cellIs" dxfId="3643" priority="3993" operator="equal">
      <formula>"PODÁLICA"</formula>
    </cfRule>
    <cfRule type="cellIs" dxfId="3642" priority="3994" operator="equal">
      <formula>"CEFÁLICA"</formula>
    </cfRule>
  </conditionalFormatting>
  <conditionalFormatting sqref="CE226">
    <cfRule type="cellIs" dxfId="3641" priority="3987" operator="equal">
      <formula>"SD"</formula>
    </cfRule>
    <cfRule type="cellIs" dxfId="3640" priority="3988" operator="equal">
      <formula>"NO"</formula>
    </cfRule>
    <cfRule type="cellIs" dxfId="3639" priority="3989" operator="equal">
      <formula>"SI"</formula>
    </cfRule>
  </conditionalFormatting>
  <conditionalFormatting sqref="AE227">
    <cfRule type="containsText" dxfId="3638" priority="3985" operator="containsText" text="NO">
      <formula>NOT(ISERROR(SEARCH("NO",AE227)))</formula>
    </cfRule>
    <cfRule type="containsText" dxfId="3637" priority="3986" operator="containsText" text="SI">
      <formula>NOT(ISERROR(SEARCH("SI",AE227)))</formula>
    </cfRule>
  </conditionalFormatting>
  <conditionalFormatting sqref="AG227:AH227 AJ227">
    <cfRule type="cellIs" dxfId="3636" priority="3979" operator="equal">
      <formula>"SD"</formula>
    </cfRule>
    <cfRule type="cellIs" dxfId="3635" priority="3980" operator="equal">
      <formula>"NO"</formula>
    </cfRule>
    <cfRule type="cellIs" dxfId="3634" priority="3981" operator="equal">
      <formula>"SI"</formula>
    </cfRule>
  </conditionalFormatting>
  <conditionalFormatting sqref="AI227">
    <cfRule type="containsText" dxfId="3633" priority="3972" operator="containsText" text="HABITANTE DE CALLE">
      <formula>NOT(ISERROR(SEARCH("HABITANTE DE CALLE",AI227)))</formula>
    </cfRule>
    <cfRule type="containsText" dxfId="3632" priority="3975" operator="containsText" text="NINGUNO">
      <formula>NOT(ISERROR(SEARCH("NINGUNO",AI227)))</formula>
    </cfRule>
    <cfRule type="containsText" dxfId="3631" priority="3976" operator="containsText" text="MIGRATORIA">
      <formula>NOT(ISERROR(SEARCH("MIGRATORIA",AI227)))</formula>
    </cfRule>
    <cfRule type="containsText" dxfId="3630" priority="3977" operator="containsText" text="DISCAPACIDAD">
      <formula>NOT(ISERROR(SEARCH("DISCAPACIDAD",AI227)))</formula>
    </cfRule>
    <cfRule type="containsText" dxfId="3629" priority="3978" operator="containsText" text="DESPLAZADA">
      <formula>NOT(ISERROR(SEARCH("DESPLAZADA",AI227)))</formula>
    </cfRule>
  </conditionalFormatting>
  <conditionalFormatting sqref="AF227">
    <cfRule type="containsText" dxfId="3628" priority="3973" operator="containsText" text="NO">
      <formula>NOT(ISERROR(SEARCH("NO",AF227)))</formula>
    </cfRule>
    <cfRule type="containsText" dxfId="3627" priority="3974" operator="containsText" text="SI">
      <formula>NOT(ISERROR(SEARCH("SI",AF227)))</formula>
    </cfRule>
  </conditionalFormatting>
  <conditionalFormatting sqref="BF227:BG227">
    <cfRule type="cellIs" dxfId="3626" priority="3969" operator="equal">
      <formula>"SD"</formula>
    </cfRule>
    <cfRule type="cellIs" dxfId="3625" priority="3970" operator="equal">
      <formula>"NO"</formula>
    </cfRule>
    <cfRule type="cellIs" dxfId="3624" priority="3971" operator="equal">
      <formula>"SI"</formula>
    </cfRule>
  </conditionalFormatting>
  <conditionalFormatting sqref="BA227:BB227 BD227:BE227">
    <cfRule type="cellIs" dxfId="3623" priority="3966" operator="equal">
      <formula>"SD"</formula>
    </cfRule>
    <cfRule type="cellIs" dxfId="3622" priority="3967" operator="equal">
      <formula>"NO"</formula>
    </cfRule>
    <cfRule type="cellIs" dxfId="3621" priority="3968" operator="equal">
      <formula>"SI"</formula>
    </cfRule>
  </conditionalFormatting>
  <conditionalFormatting sqref="BE227">
    <cfRule type="expression" dxfId="3620" priority="3965">
      <formula>IF(AND(FA227&gt;=126,FC227&lt;24),1,0)</formula>
    </cfRule>
  </conditionalFormatting>
  <conditionalFormatting sqref="AY227">
    <cfRule type="containsText" dxfId="3619" priority="3960" operator="containsText" text="SD">
      <formula>NOT(ISERROR(SEARCH("SD",AY227)))</formula>
    </cfRule>
    <cfRule type="containsText" dxfId="3618" priority="3961" operator="containsText" text="SI, NO CONTROLADA">
      <formula>NOT(ISERROR(SEARCH("SI, NO CONTROLADA",AY227)))</formula>
    </cfRule>
    <cfRule type="containsText" dxfId="3617" priority="3962" operator="containsText" text="SI, SIN MANEJO">
      <formula>NOT(ISERROR(SEARCH("SI, SIN MANEJO",AY227)))</formula>
    </cfRule>
    <cfRule type="containsText" dxfId="3616" priority="3963" operator="containsText" text="SI, CONTROLADA">
      <formula>NOT(ISERROR(SEARCH("SI, CONTROLADA",AY227)))</formula>
    </cfRule>
    <cfRule type="containsText" dxfId="3615" priority="3964" operator="containsText" text="NO">
      <formula>NOT(ISERROR(SEARCH("NO",AY227)))</formula>
    </cfRule>
  </conditionalFormatting>
  <conditionalFormatting sqref="AZ227">
    <cfRule type="containsText" dxfId="3614" priority="3955" operator="containsText" text="SD">
      <formula>NOT(ISERROR(SEARCH("SD",AZ227)))</formula>
    </cfRule>
    <cfRule type="containsText" dxfId="3613" priority="3956" operator="containsText" text="SI, NO CONTROLADA">
      <formula>NOT(ISERROR(SEARCH("SI, NO CONTROLADA",AZ227)))</formula>
    </cfRule>
    <cfRule type="containsText" dxfId="3612" priority="3957" operator="containsText" text="SI, SIN MANEJO">
      <formula>NOT(ISERROR(SEARCH("SI, SIN MANEJO",AZ227)))</formula>
    </cfRule>
    <cfRule type="containsText" dxfId="3611" priority="3958" operator="containsText" text="SI, CONTROLADA">
      <formula>NOT(ISERROR(SEARCH("SI, CONTROLADA",AZ227)))</formula>
    </cfRule>
    <cfRule type="containsText" dxfId="3610" priority="3959" operator="containsText" text="NO">
      <formula>NOT(ISERROR(SEARCH("NO",AZ227)))</formula>
    </cfRule>
  </conditionalFormatting>
  <conditionalFormatting sqref="BC227">
    <cfRule type="cellIs" dxfId="3609" priority="3952" operator="equal">
      <formula>"SD"</formula>
    </cfRule>
    <cfRule type="cellIs" dxfId="3608" priority="3953" operator="equal">
      <formula>"NO"</formula>
    </cfRule>
    <cfRule type="cellIs" dxfId="3607" priority="3954" operator="equal">
      <formula>"SI"</formula>
    </cfRule>
  </conditionalFormatting>
  <conditionalFormatting sqref="BH227">
    <cfRule type="cellIs" dxfId="3606" priority="3949" operator="equal">
      <formula>"SD"</formula>
    </cfRule>
    <cfRule type="cellIs" dxfId="3605" priority="3950" operator="equal">
      <formula>"NO"</formula>
    </cfRule>
    <cfRule type="cellIs" dxfId="3604" priority="3951" operator="equal">
      <formula>"SI"</formula>
    </cfRule>
  </conditionalFormatting>
  <conditionalFormatting sqref="BJ227">
    <cfRule type="cellIs" dxfId="3603" priority="3946" operator="equal">
      <formula>"SD"</formula>
    </cfRule>
    <cfRule type="cellIs" dxfId="3602" priority="3947" operator="equal">
      <formula>"NO"</formula>
    </cfRule>
    <cfRule type="cellIs" dxfId="3601" priority="3948" operator="equal">
      <formula>"SI"</formula>
    </cfRule>
  </conditionalFormatting>
  <conditionalFormatting sqref="BI227">
    <cfRule type="cellIs" dxfId="3600" priority="3943" operator="equal">
      <formula>"SD"</formula>
    </cfRule>
    <cfRule type="cellIs" dxfId="3599" priority="3944" operator="equal">
      <formula>"NO"</formula>
    </cfRule>
    <cfRule type="cellIs" dxfId="3598" priority="3945" operator="equal">
      <formula>"SI"</formula>
    </cfRule>
  </conditionalFormatting>
  <conditionalFormatting sqref="BL227:BM227">
    <cfRule type="cellIs" dxfId="3597" priority="3940" operator="equal">
      <formula>"SD"</formula>
    </cfRule>
    <cfRule type="cellIs" dxfId="3596" priority="3941" operator="equal">
      <formula>"NO"</formula>
    </cfRule>
    <cfRule type="cellIs" dxfId="3595" priority="3942" operator="equal">
      <formula>"SI"</formula>
    </cfRule>
  </conditionalFormatting>
  <conditionalFormatting sqref="BK227">
    <cfRule type="cellIs" dxfId="3594" priority="3937" operator="equal">
      <formula>"SD"</formula>
    </cfRule>
    <cfRule type="cellIs" dxfId="3593" priority="3938" operator="equal">
      <formula>"NO"</formula>
    </cfRule>
    <cfRule type="cellIs" dxfId="3592" priority="3939" operator="equal">
      <formula>"SI"</formula>
    </cfRule>
  </conditionalFormatting>
  <conditionalFormatting sqref="CB227:CC227">
    <cfRule type="cellIs" dxfId="3591" priority="3934" operator="equal">
      <formula>"SD"</formula>
    </cfRule>
    <cfRule type="cellIs" dxfId="3590" priority="3935" operator="equal">
      <formula>"NO"</formula>
    </cfRule>
    <cfRule type="cellIs" dxfId="3589" priority="3936" operator="equal">
      <formula>"SI"</formula>
    </cfRule>
  </conditionalFormatting>
  <conditionalFormatting sqref="CD227">
    <cfRule type="cellIs" dxfId="3588" priority="3929" operator="equal">
      <formula>"SD"</formula>
    </cfRule>
    <cfRule type="cellIs" dxfId="3587" priority="3930" operator="equal">
      <formula>"OBLICUA"</formula>
    </cfRule>
    <cfRule type="cellIs" dxfId="3586" priority="3932" operator="equal">
      <formula>"PODÁLICA"</formula>
    </cfRule>
    <cfRule type="cellIs" dxfId="3585" priority="3933" operator="equal">
      <formula>"CEFÁLICA"</formula>
    </cfRule>
  </conditionalFormatting>
  <conditionalFormatting sqref="CE227">
    <cfRule type="cellIs" dxfId="3584" priority="3926" operator="equal">
      <formula>"SD"</formula>
    </cfRule>
    <cfRule type="cellIs" dxfId="3583" priority="3927" operator="equal">
      <formula>"NO"</formula>
    </cfRule>
    <cfRule type="cellIs" dxfId="3582" priority="3928" operator="equal">
      <formula>"SI"</formula>
    </cfRule>
  </conditionalFormatting>
  <conditionalFormatting sqref="L228">
    <cfRule type="containsText" dxfId="3581" priority="3917" operator="containsText" text="Empleo informal">
      <formula>NOT(ISERROR(SEARCH("Empleo informal",L228)))</formula>
    </cfRule>
    <cfRule type="containsText" dxfId="3580" priority="3918" operator="containsText" text="Empleada formalmente con riesgo a tóxicos">
      <formula>NOT(ISERROR(SEARCH("Empleada formalmente con riesgo a tóxicos",L228)))</formula>
    </cfRule>
    <cfRule type="containsText" dxfId="3579" priority="3919" operator="containsText" text="Empleada formalmente con riesgo de accidente laboral">
      <formula>NOT(ISERROR(SEARCH("Empleada formalmente con riesgo de accidente laboral",L228)))</formula>
    </cfRule>
    <cfRule type="containsText" dxfId="3578" priority="3920" operator="containsText" text="Empleada formalmente por jornada laboral extensa">
      <formula>NOT(ISERROR(SEARCH("Empleada formalmente por jornada laboral extensa",L228)))</formula>
    </cfRule>
    <cfRule type="containsText" dxfId="3577" priority="3921" operator="containsText" text="Empleada formalmente sin riesgo">
      <formula>NOT(ISERROR(SEARCH("Empleada formalmente sin riesgo",L228)))</formula>
    </cfRule>
    <cfRule type="containsText" dxfId="3576" priority="3922" operator="containsText" text="Actualmente desempleada">
      <formula>NOT(ISERROR(SEARCH("Actualmente desempleada",L228)))</formula>
    </cfRule>
    <cfRule type="containsText" dxfId="3575" priority="3923" operator="containsText" text="Hogar sin apoyo">
      <formula>NOT(ISERROR(SEARCH("Hogar sin apoyo",L228)))</formula>
    </cfRule>
    <cfRule type="containsText" dxfId="3574" priority="3924" operator="containsText" text="Empleada formalmente sin riesgo">
      <formula>NOT(ISERROR(SEARCH("Empleada formalmente sin riesgo",L228)))</formula>
    </cfRule>
    <cfRule type="containsText" dxfId="3573" priority="3925" operator="containsText" text="Hogar Con apoyo">
      <formula>NOT(ISERROR(SEARCH("Hogar Con apoyo",L228)))</formula>
    </cfRule>
  </conditionalFormatting>
  <conditionalFormatting sqref="AE228">
    <cfRule type="containsText" dxfId="3572" priority="3915" operator="containsText" text="NO">
      <formula>NOT(ISERROR(SEARCH("NO",AE228)))</formula>
    </cfRule>
    <cfRule type="containsText" dxfId="3571" priority="3916" operator="containsText" text="SI">
      <formula>NOT(ISERROR(SEARCH("SI",AE228)))</formula>
    </cfRule>
  </conditionalFormatting>
  <conditionalFormatting sqref="AG228:AH228">
    <cfRule type="cellIs" dxfId="3570" priority="3909" operator="equal">
      <formula>"SD"</formula>
    </cfRule>
    <cfRule type="cellIs" dxfId="3569" priority="3910" operator="equal">
      <formula>"NO"</formula>
    </cfRule>
    <cfRule type="cellIs" dxfId="3568" priority="3911" operator="equal">
      <formula>"SI"</formula>
    </cfRule>
  </conditionalFormatting>
  <conditionalFormatting sqref="AI228">
    <cfRule type="containsText" dxfId="3567" priority="3902" operator="containsText" text="HABITANTE DE CALLE">
      <formula>NOT(ISERROR(SEARCH("HABITANTE DE CALLE",AI228)))</formula>
    </cfRule>
    <cfRule type="containsText" dxfId="3566" priority="3905" operator="containsText" text="NINGUNO">
      <formula>NOT(ISERROR(SEARCH("NINGUNO",AI228)))</formula>
    </cfRule>
    <cfRule type="containsText" dxfId="3565" priority="3906" operator="containsText" text="MIGRATORIA">
      <formula>NOT(ISERROR(SEARCH("MIGRATORIA",AI228)))</formula>
    </cfRule>
    <cfRule type="containsText" dxfId="3564" priority="3907" operator="containsText" text="DISCAPACIDAD">
      <formula>NOT(ISERROR(SEARCH("DISCAPACIDAD",AI228)))</formula>
    </cfRule>
    <cfRule type="containsText" dxfId="3563" priority="3908" operator="containsText" text="DESPLAZADA">
      <formula>NOT(ISERROR(SEARCH("DESPLAZADA",AI228)))</formula>
    </cfRule>
  </conditionalFormatting>
  <conditionalFormatting sqref="AF228">
    <cfRule type="containsText" dxfId="3562" priority="3903" operator="containsText" text="NO">
      <formula>NOT(ISERROR(SEARCH("NO",AF228)))</formula>
    </cfRule>
    <cfRule type="containsText" dxfId="3561" priority="3904" operator="containsText" text="SI">
      <formula>NOT(ISERROR(SEARCH("SI",AF228)))</formula>
    </cfRule>
  </conditionalFormatting>
  <conditionalFormatting sqref="AJ228">
    <cfRule type="cellIs" dxfId="3560" priority="3899" operator="equal">
      <formula>"SD"</formula>
    </cfRule>
    <cfRule type="cellIs" dxfId="3559" priority="3900" operator="equal">
      <formula>"NO"</formula>
    </cfRule>
    <cfRule type="cellIs" dxfId="3558" priority="3901" operator="equal">
      <formula>"SI"</formula>
    </cfRule>
  </conditionalFormatting>
  <conditionalFormatting sqref="AX228">
    <cfRule type="cellIs" dxfId="3557" priority="3896" operator="equal">
      <formula>"SD"</formula>
    </cfRule>
    <cfRule type="cellIs" dxfId="3556" priority="3897" operator="equal">
      <formula>"NO"</formula>
    </cfRule>
    <cfRule type="cellIs" dxfId="3555" priority="3898" operator="equal">
      <formula>"SI"</formula>
    </cfRule>
  </conditionalFormatting>
  <conditionalFormatting sqref="BF228">
    <cfRule type="cellIs" dxfId="3554" priority="3893" operator="equal">
      <formula>"SD"</formula>
    </cfRule>
    <cfRule type="cellIs" dxfId="3553" priority="3894" operator="equal">
      <formula>"NO"</formula>
    </cfRule>
    <cfRule type="cellIs" dxfId="3552" priority="3895" operator="equal">
      <formula>"SI"</formula>
    </cfRule>
  </conditionalFormatting>
  <conditionalFormatting sqref="BA228:BB228 BD228:BE228">
    <cfRule type="cellIs" dxfId="3551" priority="3890" operator="equal">
      <formula>"SD"</formula>
    </cfRule>
    <cfRule type="cellIs" dxfId="3550" priority="3891" operator="equal">
      <formula>"NO"</formula>
    </cfRule>
    <cfRule type="cellIs" dxfId="3549" priority="3892" operator="equal">
      <formula>"SI"</formula>
    </cfRule>
  </conditionalFormatting>
  <conditionalFormatting sqref="BE228">
    <cfRule type="expression" dxfId="3548" priority="3889">
      <formula>IF(AND(FA228&gt;=126,FC228&lt;24),1,0)</formula>
    </cfRule>
  </conditionalFormatting>
  <conditionalFormatting sqref="AY228">
    <cfRule type="containsText" dxfId="3547" priority="3884" operator="containsText" text="SD">
      <formula>NOT(ISERROR(SEARCH("SD",AY228)))</formula>
    </cfRule>
    <cfRule type="containsText" dxfId="3546" priority="3885" operator="containsText" text="SI, NO CONTROLADA">
      <formula>NOT(ISERROR(SEARCH("SI, NO CONTROLADA",AY228)))</formula>
    </cfRule>
    <cfRule type="containsText" dxfId="3545" priority="3886" operator="containsText" text="SI, SIN MANEJO">
      <formula>NOT(ISERROR(SEARCH("SI, SIN MANEJO",AY228)))</formula>
    </cfRule>
    <cfRule type="containsText" dxfId="3544" priority="3887" operator="containsText" text="SI, CONTROLADA">
      <formula>NOT(ISERROR(SEARCH("SI, CONTROLADA",AY228)))</formula>
    </cfRule>
    <cfRule type="containsText" dxfId="3543" priority="3888" operator="containsText" text="NO">
      <formula>NOT(ISERROR(SEARCH("NO",AY228)))</formula>
    </cfRule>
  </conditionalFormatting>
  <conditionalFormatting sqref="AZ228">
    <cfRule type="containsText" dxfId="3542" priority="3879" operator="containsText" text="SD">
      <formula>NOT(ISERROR(SEARCH("SD",AZ228)))</formula>
    </cfRule>
    <cfRule type="containsText" dxfId="3541" priority="3880" operator="containsText" text="SI, NO CONTROLADA">
      <formula>NOT(ISERROR(SEARCH("SI, NO CONTROLADA",AZ228)))</formula>
    </cfRule>
    <cfRule type="containsText" dxfId="3540" priority="3881" operator="containsText" text="SI, SIN MANEJO">
      <formula>NOT(ISERROR(SEARCH("SI, SIN MANEJO",AZ228)))</formula>
    </cfRule>
    <cfRule type="containsText" dxfId="3539" priority="3882" operator="containsText" text="SI, CONTROLADA">
      <formula>NOT(ISERROR(SEARCH("SI, CONTROLADA",AZ228)))</formula>
    </cfRule>
    <cfRule type="containsText" dxfId="3538" priority="3883" operator="containsText" text="NO">
      <formula>NOT(ISERROR(SEARCH("NO",AZ228)))</formula>
    </cfRule>
  </conditionalFormatting>
  <conditionalFormatting sqref="BC228">
    <cfRule type="cellIs" dxfId="3537" priority="3876" operator="equal">
      <formula>"SD"</formula>
    </cfRule>
    <cfRule type="cellIs" dxfId="3536" priority="3877" operator="equal">
      <formula>"NO"</formula>
    </cfRule>
    <cfRule type="cellIs" dxfId="3535" priority="3878" operator="equal">
      <formula>"SI"</formula>
    </cfRule>
  </conditionalFormatting>
  <conditionalFormatting sqref="BG228">
    <cfRule type="cellIs" dxfId="3534" priority="3873" operator="equal">
      <formula>"SD"</formula>
    </cfRule>
    <cfRule type="cellIs" dxfId="3533" priority="3874" operator="equal">
      <formula>"NO"</formula>
    </cfRule>
    <cfRule type="cellIs" dxfId="3532" priority="3875" operator="equal">
      <formula>"SI"</formula>
    </cfRule>
  </conditionalFormatting>
  <conditionalFormatting sqref="BH228">
    <cfRule type="cellIs" dxfId="3531" priority="3870" operator="equal">
      <formula>"SD"</formula>
    </cfRule>
    <cfRule type="cellIs" dxfId="3530" priority="3871" operator="equal">
      <formula>"NO"</formula>
    </cfRule>
    <cfRule type="cellIs" dxfId="3529" priority="3872" operator="equal">
      <formula>"SI"</formula>
    </cfRule>
  </conditionalFormatting>
  <conditionalFormatting sqref="BJ228">
    <cfRule type="cellIs" dxfId="3528" priority="3867" operator="equal">
      <formula>"SD"</formula>
    </cfRule>
    <cfRule type="cellIs" dxfId="3527" priority="3868" operator="equal">
      <formula>"NO"</formula>
    </cfRule>
    <cfRule type="cellIs" dxfId="3526" priority="3869" operator="equal">
      <formula>"SI"</formula>
    </cfRule>
  </conditionalFormatting>
  <conditionalFormatting sqref="BI228">
    <cfRule type="cellIs" dxfId="3525" priority="3864" operator="equal">
      <formula>"SD"</formula>
    </cfRule>
    <cfRule type="cellIs" dxfId="3524" priority="3865" operator="equal">
      <formula>"NO"</formula>
    </cfRule>
    <cfRule type="cellIs" dxfId="3523" priority="3866" operator="equal">
      <formula>"SI"</formula>
    </cfRule>
  </conditionalFormatting>
  <conditionalFormatting sqref="BL228:BM228">
    <cfRule type="cellIs" dxfId="3522" priority="3861" operator="equal">
      <formula>"SD"</formula>
    </cfRule>
    <cfRule type="cellIs" dxfId="3521" priority="3862" operator="equal">
      <formula>"NO"</formula>
    </cfRule>
    <cfRule type="cellIs" dxfId="3520" priority="3863" operator="equal">
      <formula>"SI"</formula>
    </cfRule>
  </conditionalFormatting>
  <conditionalFormatting sqref="BK228">
    <cfRule type="cellIs" dxfId="3519" priority="3858" operator="equal">
      <formula>"SD"</formula>
    </cfRule>
    <cfRule type="cellIs" dxfId="3518" priority="3859" operator="equal">
      <formula>"NO"</formula>
    </cfRule>
    <cfRule type="cellIs" dxfId="3517" priority="3860" operator="equal">
      <formula>"SI"</formula>
    </cfRule>
  </conditionalFormatting>
  <conditionalFormatting sqref="CB228:CC228">
    <cfRule type="cellIs" dxfId="3516" priority="3855" operator="equal">
      <formula>"SD"</formula>
    </cfRule>
    <cfRule type="cellIs" dxfId="3515" priority="3856" operator="equal">
      <formula>"NO"</formula>
    </cfRule>
    <cfRule type="cellIs" dxfId="3514" priority="3857" operator="equal">
      <formula>"SI"</formula>
    </cfRule>
  </conditionalFormatting>
  <conditionalFormatting sqref="CD228">
    <cfRule type="cellIs" dxfId="3513" priority="3850" operator="equal">
      <formula>"SD"</formula>
    </cfRule>
    <cfRule type="cellIs" dxfId="3512" priority="3851" operator="equal">
      <formula>"OBLICUA"</formula>
    </cfRule>
    <cfRule type="cellIs" dxfId="3511" priority="3853" operator="equal">
      <formula>"PODÁLICA"</formula>
    </cfRule>
    <cfRule type="cellIs" dxfId="3510" priority="3854" operator="equal">
      <formula>"CEFÁLICA"</formula>
    </cfRule>
  </conditionalFormatting>
  <conditionalFormatting sqref="CE228">
    <cfRule type="cellIs" dxfId="3509" priority="3847" operator="equal">
      <formula>"SD"</formula>
    </cfRule>
    <cfRule type="cellIs" dxfId="3508" priority="3848" operator="equal">
      <formula>"NO"</formula>
    </cfRule>
    <cfRule type="cellIs" dxfId="3507" priority="3849" operator="equal">
      <formula>"SI"</formula>
    </cfRule>
  </conditionalFormatting>
  <conditionalFormatting sqref="L229">
    <cfRule type="containsText" dxfId="3506" priority="3838" operator="containsText" text="Empleo informal">
      <formula>NOT(ISERROR(SEARCH("Empleo informal",L229)))</formula>
    </cfRule>
    <cfRule type="containsText" dxfId="3505" priority="3839" operator="containsText" text="Empleada formalmente con riesgo a tóxicos">
      <formula>NOT(ISERROR(SEARCH("Empleada formalmente con riesgo a tóxicos",L229)))</formula>
    </cfRule>
    <cfRule type="containsText" dxfId="3504" priority="3840" operator="containsText" text="Empleada formalmente con riesgo de accidente laboral">
      <formula>NOT(ISERROR(SEARCH("Empleada formalmente con riesgo de accidente laboral",L229)))</formula>
    </cfRule>
    <cfRule type="containsText" dxfId="3503" priority="3841" operator="containsText" text="Empleada formalmente por jornada laboral extensa">
      <formula>NOT(ISERROR(SEARCH("Empleada formalmente por jornada laboral extensa",L229)))</formula>
    </cfRule>
    <cfRule type="containsText" dxfId="3502" priority="3842" operator="containsText" text="Empleada formalmente sin riesgo">
      <formula>NOT(ISERROR(SEARCH("Empleada formalmente sin riesgo",L229)))</formula>
    </cfRule>
    <cfRule type="containsText" dxfId="3501" priority="3843" operator="containsText" text="Actualmente desempleada">
      <formula>NOT(ISERROR(SEARCH("Actualmente desempleada",L229)))</formula>
    </cfRule>
    <cfRule type="containsText" dxfId="3500" priority="3844" operator="containsText" text="Hogar sin apoyo">
      <formula>NOT(ISERROR(SEARCH("Hogar sin apoyo",L229)))</formula>
    </cfRule>
    <cfRule type="containsText" dxfId="3499" priority="3845" operator="containsText" text="Empleada formalmente sin riesgo">
      <formula>NOT(ISERROR(SEARCH("Empleada formalmente sin riesgo",L229)))</formula>
    </cfRule>
    <cfRule type="containsText" dxfId="3498" priority="3846" operator="containsText" text="Hogar Con apoyo">
      <formula>NOT(ISERROR(SEARCH("Hogar Con apoyo",L229)))</formula>
    </cfRule>
  </conditionalFormatting>
  <conditionalFormatting sqref="AE229">
    <cfRule type="containsText" dxfId="3497" priority="3836" operator="containsText" text="NO">
      <formula>NOT(ISERROR(SEARCH("NO",AE229)))</formula>
    </cfRule>
    <cfRule type="containsText" dxfId="3496" priority="3837" operator="containsText" text="SI">
      <formula>NOT(ISERROR(SEARCH("SI",AE229)))</formula>
    </cfRule>
  </conditionalFormatting>
  <conditionalFormatting sqref="AG229:AH229">
    <cfRule type="cellIs" dxfId="3495" priority="3830" operator="equal">
      <formula>"SD"</formula>
    </cfRule>
    <cfRule type="cellIs" dxfId="3494" priority="3831" operator="equal">
      <formula>"NO"</formula>
    </cfRule>
    <cfRule type="cellIs" dxfId="3493" priority="3832" operator="equal">
      <formula>"SI"</formula>
    </cfRule>
  </conditionalFormatting>
  <conditionalFormatting sqref="AI229">
    <cfRule type="containsText" dxfId="3492" priority="3823" operator="containsText" text="HABITANTE DE CALLE">
      <formula>NOT(ISERROR(SEARCH("HABITANTE DE CALLE",AI229)))</formula>
    </cfRule>
    <cfRule type="containsText" dxfId="3491" priority="3826" operator="containsText" text="NINGUNO">
      <formula>NOT(ISERROR(SEARCH("NINGUNO",AI229)))</formula>
    </cfRule>
    <cfRule type="containsText" dxfId="3490" priority="3827" operator="containsText" text="MIGRATORIA">
      <formula>NOT(ISERROR(SEARCH("MIGRATORIA",AI229)))</formula>
    </cfRule>
    <cfRule type="containsText" dxfId="3489" priority="3828" operator="containsText" text="DISCAPACIDAD">
      <formula>NOT(ISERROR(SEARCH("DISCAPACIDAD",AI229)))</formula>
    </cfRule>
    <cfRule type="containsText" dxfId="3488" priority="3829" operator="containsText" text="DESPLAZADA">
      <formula>NOT(ISERROR(SEARCH("DESPLAZADA",AI229)))</formula>
    </cfRule>
  </conditionalFormatting>
  <conditionalFormatting sqref="AF229">
    <cfRule type="containsText" dxfId="3487" priority="3824" operator="containsText" text="NO">
      <formula>NOT(ISERROR(SEARCH("NO",AF229)))</formula>
    </cfRule>
    <cfRule type="containsText" dxfId="3486" priority="3825" operator="containsText" text="SI">
      <formula>NOT(ISERROR(SEARCH("SI",AF229)))</formula>
    </cfRule>
  </conditionalFormatting>
  <conditionalFormatting sqref="AJ229">
    <cfRule type="cellIs" dxfId="3485" priority="3820" operator="equal">
      <formula>"SD"</formula>
    </cfRule>
    <cfRule type="cellIs" dxfId="3484" priority="3821" operator="equal">
      <formula>"NO"</formula>
    </cfRule>
    <cfRule type="cellIs" dxfId="3483" priority="3822" operator="equal">
      <formula>"SI"</formula>
    </cfRule>
  </conditionalFormatting>
  <conditionalFormatting sqref="AX229">
    <cfRule type="cellIs" dxfId="3482" priority="3817" operator="equal">
      <formula>"SD"</formula>
    </cfRule>
    <cfRule type="cellIs" dxfId="3481" priority="3818" operator="equal">
      <formula>"NO"</formula>
    </cfRule>
    <cfRule type="cellIs" dxfId="3480" priority="3819" operator="equal">
      <formula>"SI"</formula>
    </cfRule>
  </conditionalFormatting>
  <conditionalFormatting sqref="BF229">
    <cfRule type="cellIs" dxfId="3479" priority="3814" operator="equal">
      <formula>"SD"</formula>
    </cfRule>
    <cfRule type="cellIs" dxfId="3478" priority="3815" operator="equal">
      <formula>"NO"</formula>
    </cfRule>
    <cfRule type="cellIs" dxfId="3477" priority="3816" operator="equal">
      <formula>"SI"</formula>
    </cfRule>
  </conditionalFormatting>
  <conditionalFormatting sqref="BA229:BB229 BD229:BE229">
    <cfRule type="cellIs" dxfId="3476" priority="3811" operator="equal">
      <formula>"SD"</formula>
    </cfRule>
    <cfRule type="cellIs" dxfId="3475" priority="3812" operator="equal">
      <formula>"NO"</formula>
    </cfRule>
    <cfRule type="cellIs" dxfId="3474" priority="3813" operator="equal">
      <formula>"SI"</formula>
    </cfRule>
  </conditionalFormatting>
  <conditionalFormatting sqref="BE229">
    <cfRule type="expression" dxfId="3473" priority="3810">
      <formula>IF(AND(FA229&gt;=126,FC229&lt;24),1,0)</formula>
    </cfRule>
  </conditionalFormatting>
  <conditionalFormatting sqref="AY229">
    <cfRule type="containsText" dxfId="3472" priority="3805" operator="containsText" text="SD">
      <formula>NOT(ISERROR(SEARCH("SD",AY229)))</formula>
    </cfRule>
    <cfRule type="containsText" dxfId="3471" priority="3806" operator="containsText" text="SI, NO CONTROLADA">
      <formula>NOT(ISERROR(SEARCH("SI, NO CONTROLADA",AY229)))</formula>
    </cfRule>
    <cfRule type="containsText" dxfId="3470" priority="3807" operator="containsText" text="SI, SIN MANEJO">
      <formula>NOT(ISERROR(SEARCH("SI, SIN MANEJO",AY229)))</formula>
    </cfRule>
    <cfRule type="containsText" dxfId="3469" priority="3808" operator="containsText" text="SI, CONTROLADA">
      <formula>NOT(ISERROR(SEARCH("SI, CONTROLADA",AY229)))</formula>
    </cfRule>
    <cfRule type="containsText" dxfId="3468" priority="3809" operator="containsText" text="NO">
      <formula>NOT(ISERROR(SEARCH("NO",AY229)))</formula>
    </cfRule>
  </conditionalFormatting>
  <conditionalFormatting sqref="AZ229">
    <cfRule type="containsText" dxfId="3467" priority="3800" operator="containsText" text="SD">
      <formula>NOT(ISERROR(SEARCH("SD",AZ229)))</formula>
    </cfRule>
    <cfRule type="containsText" dxfId="3466" priority="3801" operator="containsText" text="SI, NO CONTROLADA">
      <formula>NOT(ISERROR(SEARCH("SI, NO CONTROLADA",AZ229)))</formula>
    </cfRule>
    <cfRule type="containsText" dxfId="3465" priority="3802" operator="containsText" text="SI, SIN MANEJO">
      <formula>NOT(ISERROR(SEARCH("SI, SIN MANEJO",AZ229)))</formula>
    </cfRule>
    <cfRule type="containsText" dxfId="3464" priority="3803" operator="containsText" text="SI, CONTROLADA">
      <formula>NOT(ISERROR(SEARCH("SI, CONTROLADA",AZ229)))</formula>
    </cfRule>
    <cfRule type="containsText" dxfId="3463" priority="3804" operator="containsText" text="NO">
      <formula>NOT(ISERROR(SEARCH("NO",AZ229)))</formula>
    </cfRule>
  </conditionalFormatting>
  <conditionalFormatting sqref="BC229">
    <cfRule type="cellIs" dxfId="3462" priority="3797" operator="equal">
      <formula>"SD"</formula>
    </cfRule>
    <cfRule type="cellIs" dxfId="3461" priority="3798" operator="equal">
      <formula>"NO"</formula>
    </cfRule>
    <cfRule type="cellIs" dxfId="3460" priority="3799" operator="equal">
      <formula>"SI"</formula>
    </cfRule>
  </conditionalFormatting>
  <conditionalFormatting sqref="BG229">
    <cfRule type="cellIs" dxfId="3459" priority="3794" operator="equal">
      <formula>"SD"</formula>
    </cfRule>
    <cfRule type="cellIs" dxfId="3458" priority="3795" operator="equal">
      <formula>"NO"</formula>
    </cfRule>
    <cfRule type="cellIs" dxfId="3457" priority="3796" operator="equal">
      <formula>"SI"</formula>
    </cfRule>
  </conditionalFormatting>
  <conditionalFormatting sqref="BH229">
    <cfRule type="cellIs" dxfId="3456" priority="3791" operator="equal">
      <formula>"SD"</formula>
    </cfRule>
    <cfRule type="cellIs" dxfId="3455" priority="3792" operator="equal">
      <formula>"NO"</formula>
    </cfRule>
    <cfRule type="cellIs" dxfId="3454" priority="3793" operator="equal">
      <formula>"SI"</formula>
    </cfRule>
  </conditionalFormatting>
  <conditionalFormatting sqref="BI229">
    <cfRule type="cellIs" dxfId="3453" priority="3788" operator="equal">
      <formula>"SD"</formula>
    </cfRule>
    <cfRule type="cellIs" dxfId="3452" priority="3789" operator="equal">
      <formula>"NO"</formula>
    </cfRule>
    <cfRule type="cellIs" dxfId="3451" priority="3790" operator="equal">
      <formula>"SI"</formula>
    </cfRule>
  </conditionalFormatting>
  <conditionalFormatting sqref="BJ229">
    <cfRule type="cellIs" dxfId="3450" priority="3785" operator="equal">
      <formula>"SD"</formula>
    </cfRule>
    <cfRule type="cellIs" dxfId="3449" priority="3786" operator="equal">
      <formula>"NO"</formula>
    </cfRule>
    <cfRule type="cellIs" dxfId="3448" priority="3787" operator="equal">
      <formula>"SI"</formula>
    </cfRule>
  </conditionalFormatting>
  <conditionalFormatting sqref="BL229:BM229">
    <cfRule type="cellIs" dxfId="3447" priority="3782" operator="equal">
      <formula>"SD"</formula>
    </cfRule>
    <cfRule type="cellIs" dxfId="3446" priority="3783" operator="equal">
      <formula>"NO"</formula>
    </cfRule>
    <cfRule type="cellIs" dxfId="3445" priority="3784" operator="equal">
      <formula>"SI"</formula>
    </cfRule>
  </conditionalFormatting>
  <conditionalFormatting sqref="BK229">
    <cfRule type="cellIs" dxfId="3444" priority="3779" operator="equal">
      <formula>"SD"</formula>
    </cfRule>
    <cfRule type="cellIs" dxfId="3443" priority="3780" operator="equal">
      <formula>"NO"</formula>
    </cfRule>
    <cfRule type="cellIs" dxfId="3442" priority="3781" operator="equal">
      <formula>"SI"</formula>
    </cfRule>
  </conditionalFormatting>
  <conditionalFormatting sqref="CB229:CC229">
    <cfRule type="cellIs" dxfId="3441" priority="3776" operator="equal">
      <formula>"SD"</formula>
    </cfRule>
    <cfRule type="cellIs" dxfId="3440" priority="3777" operator="equal">
      <formula>"NO"</formula>
    </cfRule>
    <cfRule type="cellIs" dxfId="3439" priority="3778" operator="equal">
      <formula>"SI"</formula>
    </cfRule>
  </conditionalFormatting>
  <conditionalFormatting sqref="CD229">
    <cfRule type="cellIs" dxfId="3438" priority="3771" operator="equal">
      <formula>"SD"</formula>
    </cfRule>
    <cfRule type="cellIs" dxfId="3437" priority="3772" operator="equal">
      <formula>"OBLICUA"</formula>
    </cfRule>
    <cfRule type="cellIs" dxfId="3436" priority="3774" operator="equal">
      <formula>"PODÁLICA"</formula>
    </cfRule>
    <cfRule type="cellIs" dxfId="3435" priority="3775" operator="equal">
      <formula>"CEFÁLICA"</formula>
    </cfRule>
  </conditionalFormatting>
  <conditionalFormatting sqref="CE229">
    <cfRule type="cellIs" dxfId="3434" priority="3768" operator="equal">
      <formula>"SD"</formula>
    </cfRule>
    <cfRule type="cellIs" dxfId="3433" priority="3769" operator="equal">
      <formula>"NO"</formula>
    </cfRule>
    <cfRule type="cellIs" dxfId="3432" priority="3770" operator="equal">
      <formula>"SI"</formula>
    </cfRule>
  </conditionalFormatting>
  <conditionalFormatting sqref="AE230">
    <cfRule type="containsText" dxfId="3431" priority="3766" operator="containsText" text="NO">
      <formula>NOT(ISERROR(SEARCH("NO",AE230)))</formula>
    </cfRule>
    <cfRule type="containsText" dxfId="3430" priority="3767" operator="containsText" text="SI">
      <formula>NOT(ISERROR(SEARCH("SI",AE230)))</formula>
    </cfRule>
  </conditionalFormatting>
  <conditionalFormatting sqref="AG230:AH230">
    <cfRule type="cellIs" dxfId="3429" priority="3760" operator="equal">
      <formula>"SD"</formula>
    </cfRule>
    <cfRule type="cellIs" dxfId="3428" priority="3761" operator="equal">
      <formula>"NO"</formula>
    </cfRule>
    <cfRule type="cellIs" dxfId="3427" priority="3762" operator="equal">
      <formula>"SI"</formula>
    </cfRule>
  </conditionalFormatting>
  <conditionalFormatting sqref="AI230">
    <cfRule type="containsText" dxfId="3426" priority="3753" operator="containsText" text="HABITANTE DE CALLE">
      <formula>NOT(ISERROR(SEARCH("HABITANTE DE CALLE",AI230)))</formula>
    </cfRule>
    <cfRule type="containsText" dxfId="3425" priority="3756" operator="containsText" text="NINGUNO">
      <formula>NOT(ISERROR(SEARCH("NINGUNO",AI230)))</formula>
    </cfRule>
    <cfRule type="containsText" dxfId="3424" priority="3757" operator="containsText" text="MIGRATORIA">
      <formula>NOT(ISERROR(SEARCH("MIGRATORIA",AI230)))</formula>
    </cfRule>
    <cfRule type="containsText" dxfId="3423" priority="3758" operator="containsText" text="DISCAPACIDAD">
      <formula>NOT(ISERROR(SEARCH("DISCAPACIDAD",AI230)))</formula>
    </cfRule>
    <cfRule type="containsText" dxfId="3422" priority="3759" operator="containsText" text="DESPLAZADA">
      <formula>NOT(ISERROR(SEARCH("DESPLAZADA",AI230)))</formula>
    </cfRule>
  </conditionalFormatting>
  <conditionalFormatting sqref="AF230">
    <cfRule type="containsText" dxfId="3421" priority="3754" operator="containsText" text="NO">
      <formula>NOT(ISERROR(SEARCH("NO",AF230)))</formula>
    </cfRule>
    <cfRule type="containsText" dxfId="3420" priority="3755" operator="containsText" text="SI">
      <formula>NOT(ISERROR(SEARCH("SI",AF230)))</formula>
    </cfRule>
  </conditionalFormatting>
  <conditionalFormatting sqref="AJ230">
    <cfRule type="cellIs" dxfId="3419" priority="3750" operator="equal">
      <formula>"SD"</formula>
    </cfRule>
    <cfRule type="cellIs" dxfId="3418" priority="3751" operator="equal">
      <formula>"NO"</formula>
    </cfRule>
    <cfRule type="cellIs" dxfId="3417" priority="3752" operator="equal">
      <formula>"SI"</formula>
    </cfRule>
  </conditionalFormatting>
  <conditionalFormatting sqref="AX230">
    <cfRule type="cellIs" dxfId="3416" priority="3747" operator="equal">
      <formula>"SD"</formula>
    </cfRule>
    <cfRule type="cellIs" dxfId="3415" priority="3748" operator="equal">
      <formula>"NO"</formula>
    </cfRule>
    <cfRule type="cellIs" dxfId="3414" priority="3749" operator="equal">
      <formula>"SI"</formula>
    </cfRule>
  </conditionalFormatting>
  <conditionalFormatting sqref="BF230">
    <cfRule type="cellIs" dxfId="3413" priority="3744" operator="equal">
      <formula>"SD"</formula>
    </cfRule>
    <cfRule type="cellIs" dxfId="3412" priority="3745" operator="equal">
      <formula>"NO"</formula>
    </cfRule>
    <cfRule type="cellIs" dxfId="3411" priority="3746" operator="equal">
      <formula>"SI"</formula>
    </cfRule>
  </conditionalFormatting>
  <conditionalFormatting sqref="BA230:BB230 BD230:BE230">
    <cfRule type="cellIs" dxfId="3410" priority="3741" operator="equal">
      <formula>"SD"</formula>
    </cfRule>
    <cfRule type="cellIs" dxfId="3409" priority="3742" operator="equal">
      <formula>"NO"</formula>
    </cfRule>
    <cfRule type="cellIs" dxfId="3408" priority="3743" operator="equal">
      <formula>"SI"</formula>
    </cfRule>
  </conditionalFormatting>
  <conditionalFormatting sqref="BE230">
    <cfRule type="expression" dxfId="3407" priority="3740">
      <formula>IF(AND(FA230&gt;=126,FC230&lt;24),1,0)</formula>
    </cfRule>
  </conditionalFormatting>
  <conditionalFormatting sqref="AY230">
    <cfRule type="containsText" dxfId="3406" priority="3735" operator="containsText" text="SD">
      <formula>NOT(ISERROR(SEARCH("SD",AY230)))</formula>
    </cfRule>
    <cfRule type="containsText" dxfId="3405" priority="3736" operator="containsText" text="SI, NO CONTROLADA">
      <formula>NOT(ISERROR(SEARCH("SI, NO CONTROLADA",AY230)))</formula>
    </cfRule>
    <cfRule type="containsText" dxfId="3404" priority="3737" operator="containsText" text="SI, SIN MANEJO">
      <formula>NOT(ISERROR(SEARCH("SI, SIN MANEJO",AY230)))</formula>
    </cfRule>
    <cfRule type="containsText" dxfId="3403" priority="3738" operator="containsText" text="SI, CONTROLADA">
      <formula>NOT(ISERROR(SEARCH("SI, CONTROLADA",AY230)))</formula>
    </cfRule>
    <cfRule type="containsText" dxfId="3402" priority="3739" operator="containsText" text="NO">
      <formula>NOT(ISERROR(SEARCH("NO",AY230)))</formula>
    </cfRule>
  </conditionalFormatting>
  <conditionalFormatting sqref="AZ230">
    <cfRule type="containsText" dxfId="3401" priority="3730" operator="containsText" text="SD">
      <formula>NOT(ISERROR(SEARCH("SD",AZ230)))</formula>
    </cfRule>
    <cfRule type="containsText" dxfId="3400" priority="3731" operator="containsText" text="SI, NO CONTROLADA">
      <formula>NOT(ISERROR(SEARCH("SI, NO CONTROLADA",AZ230)))</formula>
    </cfRule>
    <cfRule type="containsText" dxfId="3399" priority="3732" operator="containsText" text="SI, SIN MANEJO">
      <formula>NOT(ISERROR(SEARCH("SI, SIN MANEJO",AZ230)))</formula>
    </cfRule>
    <cfRule type="containsText" dxfId="3398" priority="3733" operator="containsText" text="SI, CONTROLADA">
      <formula>NOT(ISERROR(SEARCH("SI, CONTROLADA",AZ230)))</formula>
    </cfRule>
    <cfRule type="containsText" dxfId="3397" priority="3734" operator="containsText" text="NO">
      <formula>NOT(ISERROR(SEARCH("NO",AZ230)))</formula>
    </cfRule>
  </conditionalFormatting>
  <conditionalFormatting sqref="BC230">
    <cfRule type="cellIs" dxfId="3396" priority="3727" operator="equal">
      <formula>"SD"</formula>
    </cfRule>
    <cfRule type="cellIs" dxfId="3395" priority="3728" operator="equal">
      <formula>"NO"</formula>
    </cfRule>
    <cfRule type="cellIs" dxfId="3394" priority="3729" operator="equal">
      <formula>"SI"</formula>
    </cfRule>
  </conditionalFormatting>
  <conditionalFormatting sqref="BG230">
    <cfRule type="cellIs" dxfId="3393" priority="3724" operator="equal">
      <formula>"SD"</formula>
    </cfRule>
    <cfRule type="cellIs" dxfId="3392" priority="3725" operator="equal">
      <formula>"NO"</formula>
    </cfRule>
    <cfRule type="cellIs" dxfId="3391" priority="3726" operator="equal">
      <formula>"SI"</formula>
    </cfRule>
  </conditionalFormatting>
  <conditionalFormatting sqref="BH230">
    <cfRule type="cellIs" dxfId="3390" priority="3721" operator="equal">
      <formula>"SD"</formula>
    </cfRule>
    <cfRule type="cellIs" dxfId="3389" priority="3722" operator="equal">
      <formula>"NO"</formula>
    </cfRule>
    <cfRule type="cellIs" dxfId="3388" priority="3723" operator="equal">
      <formula>"SI"</formula>
    </cfRule>
  </conditionalFormatting>
  <conditionalFormatting sqref="BI230">
    <cfRule type="cellIs" dxfId="3387" priority="3718" operator="equal">
      <formula>"SD"</formula>
    </cfRule>
    <cfRule type="cellIs" dxfId="3386" priority="3719" operator="equal">
      <formula>"NO"</formula>
    </cfRule>
    <cfRule type="cellIs" dxfId="3385" priority="3720" operator="equal">
      <formula>"SI"</formula>
    </cfRule>
  </conditionalFormatting>
  <conditionalFormatting sqref="BJ230">
    <cfRule type="cellIs" dxfId="3384" priority="3715" operator="equal">
      <formula>"SD"</formula>
    </cfRule>
    <cfRule type="cellIs" dxfId="3383" priority="3716" operator="equal">
      <formula>"NO"</formula>
    </cfRule>
    <cfRule type="cellIs" dxfId="3382" priority="3717" operator="equal">
      <formula>"SI"</formula>
    </cfRule>
  </conditionalFormatting>
  <conditionalFormatting sqref="BL230:BM230">
    <cfRule type="cellIs" dxfId="3381" priority="3712" operator="equal">
      <formula>"SD"</formula>
    </cfRule>
    <cfRule type="cellIs" dxfId="3380" priority="3713" operator="equal">
      <formula>"NO"</formula>
    </cfRule>
    <cfRule type="cellIs" dxfId="3379" priority="3714" operator="equal">
      <formula>"SI"</formula>
    </cfRule>
  </conditionalFormatting>
  <conditionalFormatting sqref="BK230">
    <cfRule type="cellIs" dxfId="3378" priority="3709" operator="equal">
      <formula>"SD"</formula>
    </cfRule>
    <cfRule type="cellIs" dxfId="3377" priority="3710" operator="equal">
      <formula>"NO"</formula>
    </cfRule>
    <cfRule type="cellIs" dxfId="3376" priority="3711" operator="equal">
      <formula>"SI"</formula>
    </cfRule>
  </conditionalFormatting>
  <conditionalFormatting sqref="CB230:CC230">
    <cfRule type="cellIs" dxfId="3375" priority="3706" operator="equal">
      <formula>"SD"</formula>
    </cfRule>
    <cfRule type="cellIs" dxfId="3374" priority="3707" operator="equal">
      <formula>"NO"</formula>
    </cfRule>
    <cfRule type="cellIs" dxfId="3373" priority="3708" operator="equal">
      <formula>"SI"</formula>
    </cfRule>
  </conditionalFormatting>
  <conditionalFormatting sqref="CE230">
    <cfRule type="cellIs" dxfId="3372" priority="3703" operator="equal">
      <formula>"SD"</formula>
    </cfRule>
    <cfRule type="cellIs" dxfId="3371" priority="3704" operator="equal">
      <formula>"NO"</formula>
    </cfRule>
    <cfRule type="cellIs" dxfId="3370" priority="3705" operator="equal">
      <formula>"SI"</formula>
    </cfRule>
  </conditionalFormatting>
  <conditionalFormatting sqref="L231">
    <cfRule type="containsText" dxfId="3369" priority="3694" operator="containsText" text="Empleo informal">
      <formula>NOT(ISERROR(SEARCH("Empleo informal",L231)))</formula>
    </cfRule>
    <cfRule type="containsText" dxfId="3368" priority="3695" operator="containsText" text="Empleada formalmente con riesgo a tóxicos">
      <formula>NOT(ISERROR(SEARCH("Empleada formalmente con riesgo a tóxicos",L231)))</formula>
    </cfRule>
    <cfRule type="containsText" dxfId="3367" priority="3696" operator="containsText" text="Empleada formalmente con riesgo de accidente laboral">
      <formula>NOT(ISERROR(SEARCH("Empleada formalmente con riesgo de accidente laboral",L231)))</formula>
    </cfRule>
    <cfRule type="containsText" dxfId="3366" priority="3697" operator="containsText" text="Empleada formalmente por jornada laboral extensa">
      <formula>NOT(ISERROR(SEARCH("Empleada formalmente por jornada laboral extensa",L231)))</formula>
    </cfRule>
    <cfRule type="containsText" dxfId="3365" priority="3698" operator="containsText" text="Empleada formalmente sin riesgo">
      <formula>NOT(ISERROR(SEARCH("Empleada formalmente sin riesgo",L231)))</formula>
    </cfRule>
    <cfRule type="containsText" dxfId="3364" priority="3699" operator="containsText" text="Actualmente desempleada">
      <formula>NOT(ISERROR(SEARCH("Actualmente desempleada",L231)))</formula>
    </cfRule>
    <cfRule type="containsText" dxfId="3363" priority="3700" operator="containsText" text="Hogar sin apoyo">
      <formula>NOT(ISERROR(SEARCH("Hogar sin apoyo",L231)))</formula>
    </cfRule>
    <cfRule type="containsText" dxfId="3362" priority="3701" operator="containsText" text="Empleada formalmente sin riesgo">
      <formula>NOT(ISERROR(SEARCH("Empleada formalmente sin riesgo",L231)))</formula>
    </cfRule>
    <cfRule type="containsText" dxfId="3361" priority="3702" operator="containsText" text="Hogar Con apoyo">
      <formula>NOT(ISERROR(SEARCH("Hogar Con apoyo",L231)))</formula>
    </cfRule>
  </conditionalFormatting>
  <conditionalFormatting sqref="AE231">
    <cfRule type="containsText" dxfId="3360" priority="3692" operator="containsText" text="NO">
      <formula>NOT(ISERROR(SEARCH("NO",AE231)))</formula>
    </cfRule>
    <cfRule type="containsText" dxfId="3359" priority="3693" operator="containsText" text="SI">
      <formula>NOT(ISERROR(SEARCH("SI",AE231)))</formula>
    </cfRule>
  </conditionalFormatting>
  <conditionalFormatting sqref="AG231:AH231">
    <cfRule type="cellIs" dxfId="3358" priority="3686" operator="equal">
      <formula>"SD"</formula>
    </cfRule>
    <cfRule type="cellIs" dxfId="3357" priority="3687" operator="equal">
      <formula>"NO"</formula>
    </cfRule>
    <cfRule type="cellIs" dxfId="3356" priority="3688" operator="equal">
      <formula>"SI"</formula>
    </cfRule>
  </conditionalFormatting>
  <conditionalFormatting sqref="AI231">
    <cfRule type="containsText" dxfId="3355" priority="3679" operator="containsText" text="HABITANTE DE CALLE">
      <formula>NOT(ISERROR(SEARCH("HABITANTE DE CALLE",AI231)))</formula>
    </cfRule>
    <cfRule type="containsText" dxfId="3354" priority="3682" operator="containsText" text="NINGUNO">
      <formula>NOT(ISERROR(SEARCH("NINGUNO",AI231)))</formula>
    </cfRule>
    <cfRule type="containsText" dxfId="3353" priority="3683" operator="containsText" text="MIGRATORIA">
      <formula>NOT(ISERROR(SEARCH("MIGRATORIA",AI231)))</formula>
    </cfRule>
    <cfRule type="containsText" dxfId="3352" priority="3684" operator="containsText" text="DISCAPACIDAD">
      <formula>NOT(ISERROR(SEARCH("DISCAPACIDAD",AI231)))</formula>
    </cfRule>
    <cfRule type="containsText" dxfId="3351" priority="3685" operator="containsText" text="DESPLAZADA">
      <formula>NOT(ISERROR(SEARCH("DESPLAZADA",AI231)))</formula>
    </cfRule>
  </conditionalFormatting>
  <conditionalFormatting sqref="AF231">
    <cfRule type="containsText" dxfId="3350" priority="3680" operator="containsText" text="NO">
      <formula>NOT(ISERROR(SEARCH("NO",AF231)))</formula>
    </cfRule>
    <cfRule type="containsText" dxfId="3349" priority="3681" operator="containsText" text="SI">
      <formula>NOT(ISERROR(SEARCH("SI",AF231)))</formula>
    </cfRule>
  </conditionalFormatting>
  <conditionalFormatting sqref="AJ231">
    <cfRule type="cellIs" dxfId="3348" priority="3676" operator="equal">
      <formula>"SD"</formula>
    </cfRule>
    <cfRule type="cellIs" dxfId="3347" priority="3677" operator="equal">
      <formula>"NO"</formula>
    </cfRule>
    <cfRule type="cellIs" dxfId="3346" priority="3678" operator="equal">
      <formula>"SI"</formula>
    </cfRule>
  </conditionalFormatting>
  <conditionalFormatting sqref="AX231">
    <cfRule type="cellIs" dxfId="3345" priority="3673" operator="equal">
      <formula>"SD"</formula>
    </cfRule>
    <cfRule type="cellIs" dxfId="3344" priority="3674" operator="equal">
      <formula>"NO"</formula>
    </cfRule>
    <cfRule type="cellIs" dxfId="3343" priority="3675" operator="equal">
      <formula>"SI"</formula>
    </cfRule>
  </conditionalFormatting>
  <conditionalFormatting sqref="BF231">
    <cfRule type="cellIs" dxfId="3342" priority="3670" operator="equal">
      <formula>"SD"</formula>
    </cfRule>
    <cfRule type="cellIs" dxfId="3341" priority="3671" operator="equal">
      <formula>"NO"</formula>
    </cfRule>
    <cfRule type="cellIs" dxfId="3340" priority="3672" operator="equal">
      <formula>"SI"</formula>
    </cfRule>
  </conditionalFormatting>
  <conditionalFormatting sqref="BA231:BB231 BD231:BE231">
    <cfRule type="cellIs" dxfId="3339" priority="3667" operator="equal">
      <formula>"SD"</formula>
    </cfRule>
    <cfRule type="cellIs" dxfId="3338" priority="3668" operator="equal">
      <formula>"NO"</formula>
    </cfRule>
    <cfRule type="cellIs" dxfId="3337" priority="3669" operator="equal">
      <formula>"SI"</formula>
    </cfRule>
  </conditionalFormatting>
  <conditionalFormatting sqref="BE231">
    <cfRule type="expression" dxfId="3336" priority="3666">
      <formula>IF(AND(FA231&gt;=126,FC231&lt;24),1,0)</formula>
    </cfRule>
  </conditionalFormatting>
  <conditionalFormatting sqref="AY231">
    <cfRule type="containsText" dxfId="3335" priority="3661" operator="containsText" text="SD">
      <formula>NOT(ISERROR(SEARCH("SD",AY231)))</formula>
    </cfRule>
    <cfRule type="containsText" dxfId="3334" priority="3662" operator="containsText" text="SI, NO CONTROLADA">
      <formula>NOT(ISERROR(SEARCH("SI, NO CONTROLADA",AY231)))</formula>
    </cfRule>
    <cfRule type="containsText" dxfId="3333" priority="3663" operator="containsText" text="SI, SIN MANEJO">
      <formula>NOT(ISERROR(SEARCH("SI, SIN MANEJO",AY231)))</formula>
    </cfRule>
    <cfRule type="containsText" dxfId="3332" priority="3664" operator="containsText" text="SI, CONTROLADA">
      <formula>NOT(ISERROR(SEARCH("SI, CONTROLADA",AY231)))</formula>
    </cfRule>
    <cfRule type="containsText" dxfId="3331" priority="3665" operator="containsText" text="NO">
      <formula>NOT(ISERROR(SEARCH("NO",AY231)))</formula>
    </cfRule>
  </conditionalFormatting>
  <conditionalFormatting sqref="AZ231">
    <cfRule type="containsText" dxfId="3330" priority="3656" operator="containsText" text="SD">
      <formula>NOT(ISERROR(SEARCH("SD",AZ231)))</formula>
    </cfRule>
    <cfRule type="containsText" dxfId="3329" priority="3657" operator="containsText" text="SI, NO CONTROLADA">
      <formula>NOT(ISERROR(SEARCH("SI, NO CONTROLADA",AZ231)))</formula>
    </cfRule>
    <cfRule type="containsText" dxfId="3328" priority="3658" operator="containsText" text="SI, SIN MANEJO">
      <formula>NOT(ISERROR(SEARCH("SI, SIN MANEJO",AZ231)))</formula>
    </cfRule>
    <cfRule type="containsText" dxfId="3327" priority="3659" operator="containsText" text="SI, CONTROLADA">
      <formula>NOT(ISERROR(SEARCH("SI, CONTROLADA",AZ231)))</formula>
    </cfRule>
    <cfRule type="containsText" dxfId="3326" priority="3660" operator="containsText" text="NO">
      <formula>NOT(ISERROR(SEARCH("NO",AZ231)))</formula>
    </cfRule>
  </conditionalFormatting>
  <conditionalFormatting sqref="BC231">
    <cfRule type="cellIs" dxfId="3325" priority="3653" operator="equal">
      <formula>"SD"</formula>
    </cfRule>
    <cfRule type="cellIs" dxfId="3324" priority="3654" operator="equal">
      <formula>"NO"</formula>
    </cfRule>
    <cfRule type="cellIs" dxfId="3323" priority="3655" operator="equal">
      <formula>"SI"</formula>
    </cfRule>
  </conditionalFormatting>
  <conditionalFormatting sqref="BG231">
    <cfRule type="cellIs" dxfId="3322" priority="3650" operator="equal">
      <formula>"SD"</formula>
    </cfRule>
    <cfRule type="cellIs" dxfId="3321" priority="3651" operator="equal">
      <formula>"NO"</formula>
    </cfRule>
    <cfRule type="cellIs" dxfId="3320" priority="3652" operator="equal">
      <formula>"SI"</formula>
    </cfRule>
  </conditionalFormatting>
  <conditionalFormatting sqref="CB231:CC231">
    <cfRule type="cellIs" dxfId="3319" priority="3647" operator="equal">
      <formula>"SD"</formula>
    </cfRule>
    <cfRule type="cellIs" dxfId="3318" priority="3648" operator="equal">
      <formula>"NO"</formula>
    </cfRule>
    <cfRule type="cellIs" dxfId="3317" priority="3649" operator="equal">
      <formula>"SI"</formula>
    </cfRule>
  </conditionalFormatting>
  <conditionalFormatting sqref="CD231">
    <cfRule type="cellIs" dxfId="3316" priority="3642" operator="equal">
      <formula>"SD"</formula>
    </cfRule>
    <cfRule type="cellIs" dxfId="3315" priority="3643" operator="equal">
      <formula>"OBLICUA"</formula>
    </cfRule>
    <cfRule type="cellIs" dxfId="3314" priority="3645" operator="equal">
      <formula>"PODÁLICA"</formula>
    </cfRule>
    <cfRule type="cellIs" dxfId="3313" priority="3646" operator="equal">
      <formula>"CEFÁLICA"</formula>
    </cfRule>
  </conditionalFormatting>
  <conditionalFormatting sqref="CE231">
    <cfRule type="cellIs" dxfId="3312" priority="3639" operator="equal">
      <formula>"SD"</formula>
    </cfRule>
    <cfRule type="cellIs" dxfId="3311" priority="3640" operator="equal">
      <formula>"NO"</formula>
    </cfRule>
    <cfRule type="cellIs" dxfId="3310" priority="3641" operator="equal">
      <formula>"SI"</formula>
    </cfRule>
  </conditionalFormatting>
  <conditionalFormatting sqref="AE232">
    <cfRule type="containsText" dxfId="3309" priority="3637" operator="containsText" text="NO">
      <formula>NOT(ISERROR(SEARCH("NO",AE232)))</formula>
    </cfRule>
    <cfRule type="containsText" dxfId="3308" priority="3638" operator="containsText" text="SI">
      <formula>NOT(ISERROR(SEARCH("SI",AE232)))</formula>
    </cfRule>
  </conditionalFormatting>
  <conditionalFormatting sqref="AG232:AH232">
    <cfRule type="cellIs" dxfId="3307" priority="3631" operator="equal">
      <formula>"SD"</formula>
    </cfRule>
    <cfRule type="cellIs" dxfId="3306" priority="3632" operator="equal">
      <formula>"NO"</formula>
    </cfRule>
    <cfRule type="cellIs" dxfId="3305" priority="3633" operator="equal">
      <formula>"SI"</formula>
    </cfRule>
  </conditionalFormatting>
  <conditionalFormatting sqref="AI232">
    <cfRule type="containsText" dxfId="3304" priority="3624" operator="containsText" text="HABITANTE DE CALLE">
      <formula>NOT(ISERROR(SEARCH("HABITANTE DE CALLE",AI232)))</formula>
    </cfRule>
    <cfRule type="containsText" dxfId="3303" priority="3627" operator="containsText" text="NINGUNO">
      <formula>NOT(ISERROR(SEARCH("NINGUNO",AI232)))</formula>
    </cfRule>
    <cfRule type="containsText" dxfId="3302" priority="3628" operator="containsText" text="MIGRATORIA">
      <formula>NOT(ISERROR(SEARCH("MIGRATORIA",AI232)))</formula>
    </cfRule>
    <cfRule type="containsText" dxfId="3301" priority="3629" operator="containsText" text="DISCAPACIDAD">
      <formula>NOT(ISERROR(SEARCH("DISCAPACIDAD",AI232)))</formula>
    </cfRule>
    <cfRule type="containsText" dxfId="3300" priority="3630" operator="containsText" text="DESPLAZADA">
      <formula>NOT(ISERROR(SEARCH("DESPLAZADA",AI232)))</formula>
    </cfRule>
  </conditionalFormatting>
  <conditionalFormatting sqref="AF232">
    <cfRule type="containsText" dxfId="3299" priority="3625" operator="containsText" text="NO">
      <formula>NOT(ISERROR(SEARCH("NO",AF232)))</formula>
    </cfRule>
    <cfRule type="containsText" dxfId="3298" priority="3626" operator="containsText" text="SI">
      <formula>NOT(ISERROR(SEARCH("SI",AF232)))</formula>
    </cfRule>
  </conditionalFormatting>
  <conditionalFormatting sqref="AJ232">
    <cfRule type="cellIs" dxfId="3297" priority="3621" operator="equal">
      <formula>"SD"</formula>
    </cfRule>
    <cfRule type="cellIs" dxfId="3296" priority="3622" operator="equal">
      <formula>"NO"</formula>
    </cfRule>
    <cfRule type="cellIs" dxfId="3295" priority="3623" operator="equal">
      <formula>"SI"</formula>
    </cfRule>
  </conditionalFormatting>
  <conditionalFormatting sqref="AX232">
    <cfRule type="cellIs" dxfId="3294" priority="3618" operator="equal">
      <formula>"SD"</formula>
    </cfRule>
    <cfRule type="cellIs" dxfId="3293" priority="3619" operator="equal">
      <formula>"NO"</formula>
    </cfRule>
    <cfRule type="cellIs" dxfId="3292" priority="3620" operator="equal">
      <formula>"SI"</formula>
    </cfRule>
  </conditionalFormatting>
  <conditionalFormatting sqref="BF232">
    <cfRule type="cellIs" dxfId="3291" priority="3615" operator="equal">
      <formula>"SD"</formula>
    </cfRule>
    <cfRule type="cellIs" dxfId="3290" priority="3616" operator="equal">
      <formula>"NO"</formula>
    </cfRule>
    <cfRule type="cellIs" dxfId="3289" priority="3617" operator="equal">
      <formula>"SI"</formula>
    </cfRule>
  </conditionalFormatting>
  <conditionalFormatting sqref="BA232:BB232 BD232:BE232">
    <cfRule type="cellIs" dxfId="3288" priority="3612" operator="equal">
      <formula>"SD"</formula>
    </cfRule>
    <cfRule type="cellIs" dxfId="3287" priority="3613" operator="equal">
      <formula>"NO"</formula>
    </cfRule>
    <cfRule type="cellIs" dxfId="3286" priority="3614" operator="equal">
      <formula>"SI"</formula>
    </cfRule>
  </conditionalFormatting>
  <conditionalFormatting sqref="BE232">
    <cfRule type="expression" dxfId="3285" priority="3611">
      <formula>IF(AND(FA232&gt;=126,FC232&lt;24),1,0)</formula>
    </cfRule>
  </conditionalFormatting>
  <conditionalFormatting sqref="AY232">
    <cfRule type="containsText" dxfId="3284" priority="3606" operator="containsText" text="SD">
      <formula>NOT(ISERROR(SEARCH("SD",AY232)))</formula>
    </cfRule>
    <cfRule type="containsText" dxfId="3283" priority="3607" operator="containsText" text="SI, NO CONTROLADA">
      <formula>NOT(ISERROR(SEARCH("SI, NO CONTROLADA",AY232)))</formula>
    </cfRule>
    <cfRule type="containsText" dxfId="3282" priority="3608" operator="containsText" text="SI, SIN MANEJO">
      <formula>NOT(ISERROR(SEARCH("SI, SIN MANEJO",AY232)))</formula>
    </cfRule>
    <cfRule type="containsText" dxfId="3281" priority="3609" operator="containsText" text="SI, CONTROLADA">
      <formula>NOT(ISERROR(SEARCH("SI, CONTROLADA",AY232)))</formula>
    </cfRule>
    <cfRule type="containsText" dxfId="3280" priority="3610" operator="containsText" text="NO">
      <formula>NOT(ISERROR(SEARCH("NO",AY232)))</formula>
    </cfRule>
  </conditionalFormatting>
  <conditionalFormatting sqref="AZ232">
    <cfRule type="containsText" dxfId="3279" priority="3601" operator="containsText" text="SD">
      <formula>NOT(ISERROR(SEARCH("SD",AZ232)))</formula>
    </cfRule>
    <cfRule type="containsText" dxfId="3278" priority="3602" operator="containsText" text="SI, NO CONTROLADA">
      <formula>NOT(ISERROR(SEARCH("SI, NO CONTROLADA",AZ232)))</formula>
    </cfRule>
    <cfRule type="containsText" dxfId="3277" priority="3603" operator="containsText" text="SI, SIN MANEJO">
      <formula>NOT(ISERROR(SEARCH("SI, SIN MANEJO",AZ232)))</formula>
    </cfRule>
    <cfRule type="containsText" dxfId="3276" priority="3604" operator="containsText" text="SI, CONTROLADA">
      <formula>NOT(ISERROR(SEARCH("SI, CONTROLADA",AZ232)))</formula>
    </cfRule>
    <cfRule type="containsText" dxfId="3275" priority="3605" operator="containsText" text="NO">
      <formula>NOT(ISERROR(SEARCH("NO",AZ232)))</formula>
    </cfRule>
  </conditionalFormatting>
  <conditionalFormatting sqref="BC232">
    <cfRule type="cellIs" dxfId="3274" priority="3598" operator="equal">
      <formula>"SD"</formula>
    </cfRule>
    <cfRule type="cellIs" dxfId="3273" priority="3599" operator="equal">
      <formula>"NO"</formula>
    </cfRule>
    <cfRule type="cellIs" dxfId="3272" priority="3600" operator="equal">
      <formula>"SI"</formula>
    </cfRule>
  </conditionalFormatting>
  <conditionalFormatting sqref="BG232">
    <cfRule type="cellIs" dxfId="3271" priority="3595" operator="equal">
      <formula>"SD"</formula>
    </cfRule>
    <cfRule type="cellIs" dxfId="3270" priority="3596" operator="equal">
      <formula>"NO"</formula>
    </cfRule>
    <cfRule type="cellIs" dxfId="3269" priority="3597" operator="equal">
      <formula>"SI"</formula>
    </cfRule>
  </conditionalFormatting>
  <conditionalFormatting sqref="BH231:BH232">
    <cfRule type="cellIs" dxfId="3268" priority="3577" operator="equal">
      <formula>"SD"</formula>
    </cfRule>
    <cfRule type="cellIs" dxfId="3267" priority="3578" operator="equal">
      <formula>"NO"</formula>
    </cfRule>
    <cfRule type="cellIs" dxfId="3266" priority="3579" operator="equal">
      <formula>"SI"</formula>
    </cfRule>
  </conditionalFormatting>
  <conditionalFormatting sqref="BI231:BI232">
    <cfRule type="cellIs" dxfId="3265" priority="3574" operator="equal">
      <formula>"SD"</formula>
    </cfRule>
    <cfRule type="cellIs" dxfId="3264" priority="3575" operator="equal">
      <formula>"NO"</formula>
    </cfRule>
    <cfRule type="cellIs" dxfId="3263" priority="3576" operator="equal">
      <formula>"SI"</formula>
    </cfRule>
  </conditionalFormatting>
  <conditionalFormatting sqref="BJ231:BJ232">
    <cfRule type="cellIs" dxfId="3262" priority="3571" operator="equal">
      <formula>"SD"</formula>
    </cfRule>
    <cfRule type="cellIs" dxfId="3261" priority="3572" operator="equal">
      <formula>"NO"</formula>
    </cfRule>
    <cfRule type="cellIs" dxfId="3260" priority="3573" operator="equal">
      <formula>"SI"</formula>
    </cfRule>
  </conditionalFormatting>
  <conditionalFormatting sqref="BL231:BM232">
    <cfRule type="cellIs" dxfId="3259" priority="3568" operator="equal">
      <formula>"SD"</formula>
    </cfRule>
    <cfRule type="cellIs" dxfId="3258" priority="3569" operator="equal">
      <formula>"NO"</formula>
    </cfRule>
    <cfRule type="cellIs" dxfId="3257" priority="3570" operator="equal">
      <formula>"SI"</formula>
    </cfRule>
  </conditionalFormatting>
  <conditionalFormatting sqref="BK231:BK232">
    <cfRule type="cellIs" dxfId="3256" priority="3565" operator="equal">
      <formula>"SD"</formula>
    </cfRule>
    <cfRule type="cellIs" dxfId="3255" priority="3566" operator="equal">
      <formula>"NO"</formula>
    </cfRule>
    <cfRule type="cellIs" dxfId="3254" priority="3567" operator="equal">
      <formula>"SI"</formula>
    </cfRule>
  </conditionalFormatting>
  <conditionalFormatting sqref="CB232:CC232">
    <cfRule type="cellIs" dxfId="3253" priority="3562" operator="equal">
      <formula>"SD"</formula>
    </cfRule>
    <cfRule type="cellIs" dxfId="3252" priority="3563" operator="equal">
      <formula>"NO"</formula>
    </cfRule>
    <cfRule type="cellIs" dxfId="3251" priority="3564" operator="equal">
      <formula>"SI"</formula>
    </cfRule>
  </conditionalFormatting>
  <conditionalFormatting sqref="CD232">
    <cfRule type="cellIs" dxfId="3250" priority="3557" operator="equal">
      <formula>"SD"</formula>
    </cfRule>
    <cfRule type="cellIs" dxfId="3249" priority="3558" operator="equal">
      <formula>"OBLICUA"</formula>
    </cfRule>
    <cfRule type="cellIs" dxfId="3248" priority="3560" operator="equal">
      <formula>"PODÁLICA"</formula>
    </cfRule>
    <cfRule type="cellIs" dxfId="3247" priority="3561" operator="equal">
      <formula>"CEFÁLICA"</formula>
    </cfRule>
  </conditionalFormatting>
  <conditionalFormatting sqref="CE232">
    <cfRule type="cellIs" dxfId="3246" priority="3554" operator="equal">
      <formula>"SD"</formula>
    </cfRule>
    <cfRule type="cellIs" dxfId="3245" priority="3555" operator="equal">
      <formula>"NO"</formula>
    </cfRule>
    <cfRule type="cellIs" dxfId="3244" priority="3556" operator="equal">
      <formula>"SI"</formula>
    </cfRule>
  </conditionalFormatting>
  <conditionalFormatting sqref="AE233">
    <cfRule type="containsText" dxfId="3243" priority="3552" operator="containsText" text="NO">
      <formula>NOT(ISERROR(SEARCH("NO",AE233)))</formula>
    </cfRule>
    <cfRule type="containsText" dxfId="3242" priority="3553" operator="containsText" text="SI">
      <formula>NOT(ISERROR(SEARCH("SI",AE233)))</formula>
    </cfRule>
  </conditionalFormatting>
  <conditionalFormatting sqref="AG233:AH233">
    <cfRule type="cellIs" dxfId="3241" priority="3546" operator="equal">
      <formula>"SD"</formula>
    </cfRule>
    <cfRule type="cellIs" dxfId="3240" priority="3547" operator="equal">
      <formula>"NO"</formula>
    </cfRule>
    <cfRule type="cellIs" dxfId="3239" priority="3548" operator="equal">
      <formula>"SI"</formula>
    </cfRule>
  </conditionalFormatting>
  <conditionalFormatting sqref="AI233">
    <cfRule type="containsText" dxfId="3238" priority="3539" operator="containsText" text="HABITANTE DE CALLE">
      <formula>NOT(ISERROR(SEARCH("HABITANTE DE CALLE",AI233)))</formula>
    </cfRule>
    <cfRule type="containsText" dxfId="3237" priority="3542" operator="containsText" text="NINGUNO">
      <formula>NOT(ISERROR(SEARCH("NINGUNO",AI233)))</formula>
    </cfRule>
    <cfRule type="containsText" dxfId="3236" priority="3543" operator="containsText" text="MIGRATORIA">
      <formula>NOT(ISERROR(SEARCH("MIGRATORIA",AI233)))</formula>
    </cfRule>
    <cfRule type="containsText" dxfId="3235" priority="3544" operator="containsText" text="DISCAPACIDAD">
      <formula>NOT(ISERROR(SEARCH("DISCAPACIDAD",AI233)))</formula>
    </cfRule>
    <cfRule type="containsText" dxfId="3234" priority="3545" operator="containsText" text="DESPLAZADA">
      <formula>NOT(ISERROR(SEARCH("DESPLAZADA",AI233)))</formula>
    </cfRule>
  </conditionalFormatting>
  <conditionalFormatting sqref="AF233">
    <cfRule type="containsText" dxfId="3233" priority="3540" operator="containsText" text="NO">
      <formula>NOT(ISERROR(SEARCH("NO",AF233)))</formula>
    </cfRule>
    <cfRule type="containsText" dxfId="3232" priority="3541" operator="containsText" text="SI">
      <formula>NOT(ISERROR(SEARCH("SI",AF233)))</formula>
    </cfRule>
  </conditionalFormatting>
  <conditionalFormatting sqref="AJ233">
    <cfRule type="cellIs" dxfId="3231" priority="3536" operator="equal">
      <formula>"SD"</formula>
    </cfRule>
    <cfRule type="cellIs" dxfId="3230" priority="3537" operator="equal">
      <formula>"NO"</formula>
    </cfRule>
    <cfRule type="cellIs" dxfId="3229" priority="3538" operator="equal">
      <formula>"SI"</formula>
    </cfRule>
  </conditionalFormatting>
  <conditionalFormatting sqref="AX233">
    <cfRule type="cellIs" dxfId="3228" priority="3533" operator="equal">
      <formula>"SD"</formula>
    </cfRule>
    <cfRule type="cellIs" dxfId="3227" priority="3534" operator="equal">
      <formula>"NO"</formula>
    </cfRule>
    <cfRule type="cellIs" dxfId="3226" priority="3535" operator="equal">
      <formula>"SI"</formula>
    </cfRule>
  </conditionalFormatting>
  <conditionalFormatting sqref="BA233:BB233">
    <cfRule type="cellIs" dxfId="3225" priority="3530" operator="equal">
      <formula>"SD"</formula>
    </cfRule>
    <cfRule type="cellIs" dxfId="3224" priority="3531" operator="equal">
      <formula>"NO"</formula>
    </cfRule>
    <cfRule type="cellIs" dxfId="3223" priority="3532" operator="equal">
      <formula>"SI"</formula>
    </cfRule>
  </conditionalFormatting>
  <conditionalFormatting sqref="AY233">
    <cfRule type="containsText" dxfId="3222" priority="3525" operator="containsText" text="SD">
      <formula>NOT(ISERROR(SEARCH("SD",AY233)))</formula>
    </cfRule>
    <cfRule type="containsText" dxfId="3221" priority="3526" operator="containsText" text="SI, NO CONTROLADA">
      <formula>NOT(ISERROR(SEARCH("SI, NO CONTROLADA",AY233)))</formula>
    </cfRule>
    <cfRule type="containsText" dxfId="3220" priority="3527" operator="containsText" text="SI, SIN MANEJO">
      <formula>NOT(ISERROR(SEARCH("SI, SIN MANEJO",AY233)))</formula>
    </cfRule>
    <cfRule type="containsText" dxfId="3219" priority="3528" operator="containsText" text="SI, CONTROLADA">
      <formula>NOT(ISERROR(SEARCH("SI, CONTROLADA",AY233)))</formula>
    </cfRule>
    <cfRule type="containsText" dxfId="3218" priority="3529" operator="containsText" text="NO">
      <formula>NOT(ISERROR(SEARCH("NO",AY233)))</formula>
    </cfRule>
  </conditionalFormatting>
  <conditionalFormatting sqref="AZ233">
    <cfRule type="containsText" dxfId="3217" priority="3520" operator="containsText" text="SD">
      <formula>NOT(ISERROR(SEARCH("SD",AZ233)))</formula>
    </cfRule>
    <cfRule type="containsText" dxfId="3216" priority="3521" operator="containsText" text="SI, NO CONTROLADA">
      <formula>NOT(ISERROR(SEARCH("SI, NO CONTROLADA",AZ233)))</formula>
    </cfRule>
    <cfRule type="containsText" dxfId="3215" priority="3522" operator="containsText" text="SI, SIN MANEJO">
      <formula>NOT(ISERROR(SEARCH("SI, SIN MANEJO",AZ233)))</formula>
    </cfRule>
    <cfRule type="containsText" dxfId="3214" priority="3523" operator="containsText" text="SI, CONTROLADA">
      <formula>NOT(ISERROR(SEARCH("SI, CONTROLADA",AZ233)))</formula>
    </cfRule>
    <cfRule type="containsText" dxfId="3213" priority="3524" operator="containsText" text="NO">
      <formula>NOT(ISERROR(SEARCH("NO",AZ233)))</formula>
    </cfRule>
  </conditionalFormatting>
  <conditionalFormatting sqref="BC233">
    <cfRule type="cellIs" dxfId="3212" priority="3517" operator="equal">
      <formula>"SD"</formula>
    </cfRule>
    <cfRule type="cellIs" dxfId="3211" priority="3518" operator="equal">
      <formula>"NO"</formula>
    </cfRule>
    <cfRule type="cellIs" dxfId="3210" priority="3519" operator="equal">
      <formula>"SI"</formula>
    </cfRule>
  </conditionalFormatting>
  <conditionalFormatting sqref="BF233">
    <cfRule type="cellIs" dxfId="3209" priority="3514" operator="equal">
      <formula>"SD"</formula>
    </cfRule>
    <cfRule type="cellIs" dxfId="3208" priority="3515" operator="equal">
      <formula>"NO"</formula>
    </cfRule>
    <cfRule type="cellIs" dxfId="3207" priority="3516" operator="equal">
      <formula>"SI"</formula>
    </cfRule>
  </conditionalFormatting>
  <conditionalFormatting sqref="BD233:BE233">
    <cfRule type="cellIs" dxfId="3206" priority="3511" operator="equal">
      <formula>"SD"</formula>
    </cfRule>
    <cfRule type="cellIs" dxfId="3205" priority="3512" operator="equal">
      <formula>"NO"</formula>
    </cfRule>
    <cfRule type="cellIs" dxfId="3204" priority="3513" operator="equal">
      <formula>"SI"</formula>
    </cfRule>
  </conditionalFormatting>
  <conditionalFormatting sqref="BE233">
    <cfRule type="expression" dxfId="3203" priority="3510">
      <formula>IF(AND(FA233&gt;=126,FC233&lt;24),1,0)</formula>
    </cfRule>
  </conditionalFormatting>
  <conditionalFormatting sqref="BG233">
    <cfRule type="cellIs" dxfId="3202" priority="3507" operator="equal">
      <formula>"SD"</formula>
    </cfRule>
    <cfRule type="cellIs" dxfId="3201" priority="3508" operator="equal">
      <formula>"NO"</formula>
    </cfRule>
    <cfRule type="cellIs" dxfId="3200" priority="3509" operator="equal">
      <formula>"SI"</formula>
    </cfRule>
  </conditionalFormatting>
  <conditionalFormatting sqref="BH233">
    <cfRule type="cellIs" dxfId="3199" priority="3504" operator="equal">
      <formula>"SD"</formula>
    </cfRule>
    <cfRule type="cellIs" dxfId="3198" priority="3505" operator="equal">
      <formula>"NO"</formula>
    </cfRule>
    <cfRule type="cellIs" dxfId="3197" priority="3506" operator="equal">
      <formula>"SI"</formula>
    </cfRule>
  </conditionalFormatting>
  <conditionalFormatting sqref="BI233">
    <cfRule type="cellIs" dxfId="3196" priority="3501" operator="equal">
      <formula>"SD"</formula>
    </cfRule>
    <cfRule type="cellIs" dxfId="3195" priority="3502" operator="equal">
      <formula>"NO"</formula>
    </cfRule>
    <cfRule type="cellIs" dxfId="3194" priority="3503" operator="equal">
      <formula>"SI"</formula>
    </cfRule>
  </conditionalFormatting>
  <conditionalFormatting sqref="BJ233">
    <cfRule type="cellIs" dxfId="3193" priority="3498" operator="equal">
      <formula>"SD"</formula>
    </cfRule>
    <cfRule type="cellIs" dxfId="3192" priority="3499" operator="equal">
      <formula>"NO"</formula>
    </cfRule>
    <cfRule type="cellIs" dxfId="3191" priority="3500" operator="equal">
      <formula>"SI"</formula>
    </cfRule>
  </conditionalFormatting>
  <conditionalFormatting sqref="BL233:BM233">
    <cfRule type="cellIs" dxfId="3190" priority="3495" operator="equal">
      <formula>"SD"</formula>
    </cfRule>
    <cfRule type="cellIs" dxfId="3189" priority="3496" operator="equal">
      <formula>"NO"</formula>
    </cfRule>
    <cfRule type="cellIs" dxfId="3188" priority="3497" operator="equal">
      <formula>"SI"</formula>
    </cfRule>
  </conditionalFormatting>
  <conditionalFormatting sqref="BK233">
    <cfRule type="cellIs" dxfId="3187" priority="3492" operator="equal">
      <formula>"SD"</formula>
    </cfRule>
    <cfRule type="cellIs" dxfId="3186" priority="3493" operator="equal">
      <formula>"NO"</formula>
    </cfRule>
    <cfRule type="cellIs" dxfId="3185" priority="3494" operator="equal">
      <formula>"SI"</formula>
    </cfRule>
  </conditionalFormatting>
  <conditionalFormatting sqref="CB233:CC233">
    <cfRule type="cellIs" dxfId="3184" priority="3489" operator="equal">
      <formula>"SD"</formula>
    </cfRule>
    <cfRule type="cellIs" dxfId="3183" priority="3490" operator="equal">
      <formula>"NO"</formula>
    </cfRule>
    <cfRule type="cellIs" dxfId="3182" priority="3491" operator="equal">
      <formula>"SI"</formula>
    </cfRule>
  </conditionalFormatting>
  <conditionalFormatting sqref="CE233">
    <cfRule type="cellIs" dxfId="3181" priority="3486" operator="equal">
      <formula>"SD"</formula>
    </cfRule>
    <cfRule type="cellIs" dxfId="3180" priority="3487" operator="equal">
      <formula>"NO"</formula>
    </cfRule>
    <cfRule type="cellIs" dxfId="3179" priority="3488" operator="equal">
      <formula>"SI"</formula>
    </cfRule>
  </conditionalFormatting>
  <conditionalFormatting sqref="AI204">
    <cfRule type="containsText" dxfId="3178" priority="3481" operator="containsText" text="HABITANTE DE CALLE">
      <formula>NOT(ISERROR(SEARCH("HABITANTE DE CALLE",AI204)))</formula>
    </cfRule>
    <cfRule type="containsText" dxfId="3177" priority="3482" operator="containsText" text="NINGUNO">
      <formula>NOT(ISERROR(SEARCH("NINGUNO",AI204)))</formula>
    </cfRule>
    <cfRule type="containsText" dxfId="3176" priority="3483" operator="containsText" text="MIGRATORIA">
      <formula>NOT(ISERROR(SEARCH("MIGRATORIA",AI204)))</formula>
    </cfRule>
    <cfRule type="containsText" dxfId="3175" priority="3484" operator="containsText" text="DISCAPACIDAD">
      <formula>NOT(ISERROR(SEARCH("DISCAPACIDAD",AI204)))</formula>
    </cfRule>
    <cfRule type="containsText" dxfId="3174" priority="3485" operator="containsText" text="DESPLAZADA">
      <formula>NOT(ISERROR(SEARCH("DESPLAZADA",AI204)))</formula>
    </cfRule>
  </conditionalFormatting>
  <conditionalFormatting sqref="AI204">
    <cfRule type="containsText" dxfId="3173" priority="3476" operator="containsText" text="HABITANTE DE CALLE">
      <formula>NOT(ISERROR(SEARCH("HABITANTE DE CALLE",AI204)))</formula>
    </cfRule>
    <cfRule type="containsText" dxfId="3172" priority="3477" operator="containsText" text="NINGUNO">
      <formula>NOT(ISERROR(SEARCH("NINGUNO",AI204)))</formula>
    </cfRule>
    <cfRule type="containsText" dxfId="3171" priority="3478" operator="containsText" text="MIGRATORIA">
      <formula>NOT(ISERROR(SEARCH("MIGRATORIA",AI204)))</formula>
    </cfRule>
    <cfRule type="containsText" dxfId="3170" priority="3479" operator="containsText" text="DISCAPACIDAD">
      <formula>NOT(ISERROR(SEARCH("DISCAPACIDAD",AI204)))</formula>
    </cfRule>
    <cfRule type="containsText" dxfId="3169" priority="3480" operator="containsText" text="DESPLAZADA">
      <formula>NOT(ISERROR(SEARCH("DESPLAZADA",AI204)))</formula>
    </cfRule>
  </conditionalFormatting>
  <conditionalFormatting sqref="AL204:AR204">
    <cfRule type="cellIs" dxfId="3168" priority="3473" operator="equal">
      <formula>"SD"</formula>
    </cfRule>
    <cfRule type="cellIs" dxfId="3167" priority="3474" operator="equal">
      <formula>"NO"</formula>
    </cfRule>
    <cfRule type="cellIs" dxfId="3166" priority="3475" operator="equal">
      <formula>"SI"</formula>
    </cfRule>
  </conditionalFormatting>
  <conditionalFormatting sqref="AL204:AR204">
    <cfRule type="cellIs" dxfId="3165" priority="3470" operator="equal">
      <formula>"SD"</formula>
    </cfRule>
    <cfRule type="cellIs" dxfId="3164" priority="3471" operator="equal">
      <formula>"NO"</formula>
    </cfRule>
    <cfRule type="cellIs" dxfId="3163" priority="3472" operator="equal">
      <formula>"SI"</formula>
    </cfRule>
  </conditionalFormatting>
  <conditionalFormatting sqref="BD204:BI204 AX204:BB204 BK204:BM204">
    <cfRule type="cellIs" dxfId="3162" priority="3467" operator="equal">
      <formula>"SD"</formula>
    </cfRule>
    <cfRule type="cellIs" dxfId="3161" priority="3468" operator="equal">
      <formula>"NO"</formula>
    </cfRule>
    <cfRule type="cellIs" dxfId="3160" priority="3469" operator="equal">
      <formula>"SI"</formula>
    </cfRule>
  </conditionalFormatting>
  <conditionalFormatting sqref="BC204">
    <cfRule type="containsText" dxfId="3159" priority="3462" operator="containsText" text="SD">
      <formula>NOT(ISERROR(SEARCH("SD",BC204)))</formula>
    </cfRule>
    <cfRule type="containsText" dxfId="3158" priority="3463" operator="containsText" text="SI, NO CONTROLADA">
      <formula>NOT(ISERROR(SEARCH("SI, NO CONTROLADA",BC204)))</formula>
    </cfRule>
    <cfRule type="containsText" dxfId="3157" priority="3464" operator="containsText" text="SI, SIN MANEJO">
      <formula>NOT(ISERROR(SEARCH("SI, SIN MANEJO",BC204)))</formula>
    </cfRule>
    <cfRule type="containsText" dxfId="3156" priority="3465" operator="containsText" text="SI, CONTROLADA">
      <formula>NOT(ISERROR(SEARCH("SI, CONTROLADA",BC204)))</formula>
    </cfRule>
    <cfRule type="containsText" dxfId="3155" priority="3466" operator="containsText" text="NO">
      <formula>NOT(ISERROR(SEARCH("NO",BC204)))</formula>
    </cfRule>
  </conditionalFormatting>
  <conditionalFormatting sqref="AX204">
    <cfRule type="cellIs" dxfId="3154" priority="3459" operator="equal">
      <formula>"SD"</formula>
    </cfRule>
    <cfRule type="cellIs" dxfId="3153" priority="3460" operator="equal">
      <formula>"NO"</formula>
    </cfRule>
    <cfRule type="cellIs" dxfId="3152" priority="3461" operator="equal">
      <formula>"SI"</formula>
    </cfRule>
  </conditionalFormatting>
  <conditionalFormatting sqref="BK204:BM204">
    <cfRule type="cellIs" dxfId="3151" priority="3456" operator="equal">
      <formula>"SD"</formula>
    </cfRule>
    <cfRule type="cellIs" dxfId="3150" priority="3457" operator="equal">
      <formula>"NO"</formula>
    </cfRule>
    <cfRule type="cellIs" dxfId="3149" priority="3458" operator="equal">
      <formula>"SI"</formula>
    </cfRule>
  </conditionalFormatting>
  <conditionalFormatting sqref="AY204:BA204">
    <cfRule type="cellIs" dxfId="3148" priority="3453" operator="equal">
      <formula>"SD"</formula>
    </cfRule>
    <cfRule type="cellIs" dxfId="3147" priority="3454" operator="equal">
      <formula>"NO"</formula>
    </cfRule>
    <cfRule type="cellIs" dxfId="3146" priority="3455" operator="equal">
      <formula>"SI"</formula>
    </cfRule>
  </conditionalFormatting>
  <conditionalFormatting sqref="BD204:BI204 BB204">
    <cfRule type="cellIs" dxfId="3145" priority="3450" operator="equal">
      <formula>"SD"</formula>
    </cfRule>
    <cfRule type="cellIs" dxfId="3144" priority="3451" operator="equal">
      <formula>"NO"</formula>
    </cfRule>
    <cfRule type="cellIs" dxfId="3143" priority="3452" operator="equal">
      <formula>"SI"</formula>
    </cfRule>
  </conditionalFormatting>
  <conditionalFormatting sqref="BC204">
    <cfRule type="containsText" dxfId="3142" priority="3445" operator="containsText" text="SD">
      <formula>NOT(ISERROR(SEARCH("SD",BC204)))</formula>
    </cfRule>
    <cfRule type="containsText" dxfId="3141" priority="3446" operator="containsText" text="SI, NO CONTROLADA">
      <formula>NOT(ISERROR(SEARCH("SI, NO CONTROLADA",BC204)))</formula>
    </cfRule>
    <cfRule type="containsText" dxfId="3140" priority="3447" operator="containsText" text="SI, SIN MANEJO">
      <formula>NOT(ISERROR(SEARCH("SI, SIN MANEJO",BC204)))</formula>
    </cfRule>
    <cfRule type="containsText" dxfId="3139" priority="3448" operator="containsText" text="SI, CONTROLADA">
      <formula>NOT(ISERROR(SEARCH("SI, CONTROLADA",BC204)))</formula>
    </cfRule>
    <cfRule type="containsText" dxfId="3138" priority="3449" operator="containsText" text="NO">
      <formula>NOT(ISERROR(SEARCH("NO",BC204)))</formula>
    </cfRule>
  </conditionalFormatting>
  <conditionalFormatting sqref="BE204">
    <cfRule type="expression" dxfId="3137" priority="3444">
      <formula>IF(AND(FA204&gt;=126,FC204&lt;24),1,0)</formula>
    </cfRule>
  </conditionalFormatting>
  <conditionalFormatting sqref="AG205:AH205 AJ205">
    <cfRule type="cellIs" dxfId="3136" priority="3441" operator="equal">
      <formula>"SD"</formula>
    </cfRule>
    <cfRule type="cellIs" dxfId="3135" priority="3442" operator="equal">
      <formula>"NO"</formula>
    </cfRule>
    <cfRule type="cellIs" dxfId="3134" priority="3443" operator="equal">
      <formula>"SI"</formula>
    </cfRule>
  </conditionalFormatting>
  <conditionalFormatting sqref="AK205">
    <cfRule type="containsText" dxfId="3133" priority="3436" operator="containsText" text="COMPLETAR EVALUACIÓN">
      <formula>NOT(ISERROR(SEARCH("COMPLETAR EVALUACIÓN",AK205)))</formula>
    </cfRule>
    <cfRule type="containsText" dxfId="3132" priority="3439" operator="containsText" text="CON RIESGO">
      <formula>NOT(ISERROR(SEARCH("CON RIESGO",AK205)))</formula>
    </cfRule>
    <cfRule type="containsText" dxfId="3131" priority="3440" operator="containsText" text="SIN RIESGO">
      <formula>NOT(ISERROR(SEARCH("SIN RIESGO",AK205)))</formula>
    </cfRule>
  </conditionalFormatting>
  <conditionalFormatting sqref="AE205:AF205">
    <cfRule type="containsText" dxfId="3130" priority="3437" operator="containsText" text="NO">
      <formula>NOT(ISERROR(SEARCH("NO",AE205)))</formula>
    </cfRule>
    <cfRule type="containsText" dxfId="3129" priority="3438" operator="containsText" text="SI">
      <formula>NOT(ISERROR(SEARCH("SI",AE205)))</formula>
    </cfRule>
  </conditionalFormatting>
  <conditionalFormatting sqref="AI205">
    <cfRule type="containsText" dxfId="3128" priority="3428" operator="containsText" text="HABITANTE DE CALLE">
      <formula>NOT(ISERROR(SEARCH("HABITANTE DE CALLE",AI205)))</formula>
    </cfRule>
    <cfRule type="containsText" dxfId="3127" priority="3429" operator="containsText" text="NINGUNO">
      <formula>NOT(ISERROR(SEARCH("NINGUNO",AI205)))</formula>
    </cfRule>
    <cfRule type="containsText" dxfId="3126" priority="3430" operator="containsText" text="MIGRATORIA">
      <formula>NOT(ISERROR(SEARCH("MIGRATORIA",AI205)))</formula>
    </cfRule>
    <cfRule type="containsText" dxfId="3125" priority="3431" operator="containsText" text="DISCAPACIDAD">
      <formula>NOT(ISERROR(SEARCH("DISCAPACIDAD",AI205)))</formula>
    </cfRule>
    <cfRule type="containsText" dxfId="3124" priority="3432" operator="containsText" text="DESPLAZADA">
      <formula>NOT(ISERROR(SEARCH("DESPLAZADA",AI205)))</formula>
    </cfRule>
  </conditionalFormatting>
  <conditionalFormatting sqref="AI205">
    <cfRule type="containsText" dxfId="3123" priority="3423" operator="containsText" text="HABITANTE DE CALLE">
      <formula>NOT(ISERROR(SEARCH("HABITANTE DE CALLE",AI205)))</formula>
    </cfRule>
    <cfRule type="containsText" dxfId="3122" priority="3424" operator="containsText" text="NINGUNO">
      <formula>NOT(ISERROR(SEARCH("NINGUNO",AI205)))</formula>
    </cfRule>
    <cfRule type="containsText" dxfId="3121" priority="3425" operator="containsText" text="MIGRATORIA">
      <formula>NOT(ISERROR(SEARCH("MIGRATORIA",AI205)))</formula>
    </cfRule>
    <cfRule type="containsText" dxfId="3120" priority="3426" operator="containsText" text="DISCAPACIDAD">
      <formula>NOT(ISERROR(SEARCH("DISCAPACIDAD",AI205)))</formula>
    </cfRule>
    <cfRule type="containsText" dxfId="3119" priority="3427" operator="containsText" text="DESPLAZADA">
      <formula>NOT(ISERROR(SEARCH("DESPLAZADA",AI205)))</formula>
    </cfRule>
  </conditionalFormatting>
  <conditionalFormatting sqref="AL205:AN205">
    <cfRule type="cellIs" dxfId="3118" priority="3420" operator="equal">
      <formula>"SD"</formula>
    </cfRule>
    <cfRule type="cellIs" dxfId="3117" priority="3421" operator="equal">
      <formula>"NO"</formula>
    </cfRule>
    <cfRule type="cellIs" dxfId="3116" priority="3422" operator="equal">
      <formula>"SI"</formula>
    </cfRule>
  </conditionalFormatting>
  <conditionalFormatting sqref="AL205:AN205">
    <cfRule type="cellIs" dxfId="3115" priority="3417" operator="equal">
      <formula>"SD"</formula>
    </cfRule>
    <cfRule type="cellIs" dxfId="3114" priority="3418" operator="equal">
      <formula>"NO"</formula>
    </cfRule>
    <cfRule type="cellIs" dxfId="3113" priority="3419" operator="equal">
      <formula>"SI"</formula>
    </cfRule>
  </conditionalFormatting>
  <conditionalFormatting sqref="AO205:AR205">
    <cfRule type="cellIs" dxfId="3112" priority="3414" operator="equal">
      <formula>"SD"</formula>
    </cfRule>
    <cfRule type="cellIs" dxfId="3111" priority="3415" operator="equal">
      <formula>"NO"</formula>
    </cfRule>
    <cfRule type="cellIs" dxfId="3110" priority="3416" operator="equal">
      <formula>"SI"</formula>
    </cfRule>
  </conditionalFormatting>
  <conditionalFormatting sqref="AO205:AR205">
    <cfRule type="cellIs" dxfId="3109" priority="3411" operator="equal">
      <formula>"SD"</formula>
    </cfRule>
    <cfRule type="cellIs" dxfId="3108" priority="3412" operator="equal">
      <formula>"NO"</formula>
    </cfRule>
    <cfRule type="cellIs" dxfId="3107" priority="3413" operator="equal">
      <formula>"SI"</formula>
    </cfRule>
  </conditionalFormatting>
  <conditionalFormatting sqref="BD205:BI205 AX205:BB205 BK205:BM205">
    <cfRule type="cellIs" dxfId="3106" priority="3408" operator="equal">
      <formula>"SD"</formula>
    </cfRule>
    <cfRule type="cellIs" dxfId="3105" priority="3409" operator="equal">
      <formula>"NO"</formula>
    </cfRule>
    <cfRule type="cellIs" dxfId="3104" priority="3410" operator="equal">
      <formula>"SI"</formula>
    </cfRule>
  </conditionalFormatting>
  <conditionalFormatting sqref="BC205">
    <cfRule type="containsText" dxfId="3103" priority="3403" operator="containsText" text="SD">
      <formula>NOT(ISERROR(SEARCH("SD",BC205)))</formula>
    </cfRule>
    <cfRule type="containsText" dxfId="3102" priority="3404" operator="containsText" text="SI, NO CONTROLADA">
      <formula>NOT(ISERROR(SEARCH("SI, NO CONTROLADA",BC205)))</formula>
    </cfRule>
    <cfRule type="containsText" dxfId="3101" priority="3405" operator="containsText" text="SI, SIN MANEJO">
      <formula>NOT(ISERROR(SEARCH("SI, SIN MANEJO",BC205)))</formula>
    </cfRule>
    <cfRule type="containsText" dxfId="3100" priority="3406" operator="containsText" text="SI, CONTROLADA">
      <formula>NOT(ISERROR(SEARCH("SI, CONTROLADA",BC205)))</formula>
    </cfRule>
    <cfRule type="containsText" dxfId="3099" priority="3407" operator="containsText" text="NO">
      <formula>NOT(ISERROR(SEARCH("NO",BC205)))</formula>
    </cfRule>
  </conditionalFormatting>
  <conditionalFormatting sqref="AX205">
    <cfRule type="cellIs" dxfId="3098" priority="3400" operator="equal">
      <formula>"SD"</formula>
    </cfRule>
    <cfRule type="cellIs" dxfId="3097" priority="3401" operator="equal">
      <formula>"NO"</formula>
    </cfRule>
    <cfRule type="cellIs" dxfId="3096" priority="3402" operator="equal">
      <formula>"SI"</formula>
    </cfRule>
  </conditionalFormatting>
  <conditionalFormatting sqref="BK205:BM205">
    <cfRule type="cellIs" dxfId="3095" priority="3397" operator="equal">
      <formula>"SD"</formula>
    </cfRule>
    <cfRule type="cellIs" dxfId="3094" priority="3398" operator="equal">
      <formula>"NO"</formula>
    </cfRule>
    <cfRule type="cellIs" dxfId="3093" priority="3399" operator="equal">
      <formula>"SI"</formula>
    </cfRule>
  </conditionalFormatting>
  <conditionalFormatting sqref="AY205:BA205">
    <cfRule type="cellIs" dxfId="3092" priority="3394" operator="equal">
      <formula>"SD"</formula>
    </cfRule>
    <cfRule type="cellIs" dxfId="3091" priority="3395" operator="equal">
      <formula>"NO"</formula>
    </cfRule>
    <cfRule type="cellIs" dxfId="3090" priority="3396" operator="equal">
      <formula>"SI"</formula>
    </cfRule>
  </conditionalFormatting>
  <conditionalFormatting sqref="BD205:BI205 BB205">
    <cfRule type="cellIs" dxfId="3089" priority="3391" operator="equal">
      <formula>"SD"</formula>
    </cfRule>
    <cfRule type="cellIs" dxfId="3088" priority="3392" operator="equal">
      <formula>"NO"</formula>
    </cfRule>
    <cfRule type="cellIs" dxfId="3087" priority="3393" operator="equal">
      <formula>"SI"</formula>
    </cfRule>
  </conditionalFormatting>
  <conditionalFormatting sqref="BC205">
    <cfRule type="containsText" dxfId="3086" priority="3386" operator="containsText" text="SD">
      <formula>NOT(ISERROR(SEARCH("SD",BC205)))</formula>
    </cfRule>
    <cfRule type="containsText" dxfId="3085" priority="3387" operator="containsText" text="SI, NO CONTROLADA">
      <formula>NOT(ISERROR(SEARCH("SI, NO CONTROLADA",BC205)))</formula>
    </cfRule>
    <cfRule type="containsText" dxfId="3084" priority="3388" operator="containsText" text="SI, SIN MANEJO">
      <formula>NOT(ISERROR(SEARCH("SI, SIN MANEJO",BC205)))</formula>
    </cfRule>
    <cfRule type="containsText" dxfId="3083" priority="3389" operator="containsText" text="SI, CONTROLADA">
      <formula>NOT(ISERROR(SEARCH("SI, CONTROLADA",BC205)))</formula>
    </cfRule>
    <cfRule type="containsText" dxfId="3082" priority="3390" operator="containsText" text="NO">
      <formula>NOT(ISERROR(SEARCH("NO",BC205)))</formula>
    </cfRule>
  </conditionalFormatting>
  <conditionalFormatting sqref="BE205">
    <cfRule type="expression" dxfId="3081" priority="3385">
      <formula>IF(AND(FA205&gt;=126,FC205&lt;24),1,0)</formula>
    </cfRule>
  </conditionalFormatting>
  <conditionalFormatting sqref="AH206 AJ206">
    <cfRule type="cellIs" dxfId="3080" priority="3382" operator="equal">
      <formula>"SD"</formula>
    </cfRule>
    <cfRule type="cellIs" dxfId="3079" priority="3383" operator="equal">
      <formula>"NO"</formula>
    </cfRule>
    <cfRule type="cellIs" dxfId="3078" priority="3384" operator="equal">
      <formula>"SI"</formula>
    </cfRule>
  </conditionalFormatting>
  <conditionalFormatting sqref="AI206">
    <cfRule type="containsText" dxfId="3077" priority="3377" operator="containsText" text="HABITANTE DE CALLE">
      <formula>NOT(ISERROR(SEARCH("HABITANTE DE CALLE",AI206)))</formula>
    </cfRule>
    <cfRule type="containsText" dxfId="3076" priority="3378" operator="containsText" text="NINGUNO">
      <formula>NOT(ISERROR(SEARCH("NINGUNO",AI206)))</formula>
    </cfRule>
    <cfRule type="containsText" dxfId="3075" priority="3379" operator="containsText" text="MIGRATORIA">
      <formula>NOT(ISERROR(SEARCH("MIGRATORIA",AI206)))</formula>
    </cfRule>
    <cfRule type="containsText" dxfId="3074" priority="3380" operator="containsText" text="DISCAPACIDAD">
      <formula>NOT(ISERROR(SEARCH("DISCAPACIDAD",AI206)))</formula>
    </cfRule>
    <cfRule type="containsText" dxfId="3073" priority="3381" operator="containsText" text="DESPLAZADA">
      <formula>NOT(ISERROR(SEARCH("DESPLAZADA",AI206)))</formula>
    </cfRule>
  </conditionalFormatting>
  <conditionalFormatting sqref="AI206">
    <cfRule type="containsText" dxfId="3072" priority="3372" operator="containsText" text="HABITANTE DE CALLE">
      <formula>NOT(ISERROR(SEARCH("HABITANTE DE CALLE",AI206)))</formula>
    </cfRule>
    <cfRule type="containsText" dxfId="3071" priority="3373" operator="containsText" text="NINGUNO">
      <formula>NOT(ISERROR(SEARCH("NINGUNO",AI206)))</formula>
    </cfRule>
    <cfRule type="containsText" dxfId="3070" priority="3374" operator="containsText" text="MIGRATORIA">
      <formula>NOT(ISERROR(SEARCH("MIGRATORIA",AI206)))</formula>
    </cfRule>
    <cfRule type="containsText" dxfId="3069" priority="3375" operator="containsText" text="DISCAPACIDAD">
      <formula>NOT(ISERROR(SEARCH("DISCAPACIDAD",AI206)))</formula>
    </cfRule>
    <cfRule type="containsText" dxfId="3068" priority="3376" operator="containsText" text="DESPLAZADA">
      <formula>NOT(ISERROR(SEARCH("DESPLAZADA",AI206)))</formula>
    </cfRule>
  </conditionalFormatting>
  <conditionalFormatting sqref="AL206:AN206">
    <cfRule type="cellIs" dxfId="3067" priority="3369" operator="equal">
      <formula>"SD"</formula>
    </cfRule>
    <cfRule type="cellIs" dxfId="3066" priority="3370" operator="equal">
      <formula>"NO"</formula>
    </cfRule>
    <cfRule type="cellIs" dxfId="3065" priority="3371" operator="equal">
      <formula>"SI"</formula>
    </cfRule>
  </conditionalFormatting>
  <conditionalFormatting sqref="AL206:AN206">
    <cfRule type="cellIs" dxfId="3064" priority="3366" operator="equal">
      <formula>"SD"</formula>
    </cfRule>
    <cfRule type="cellIs" dxfId="3063" priority="3367" operator="equal">
      <formula>"NO"</formula>
    </cfRule>
    <cfRule type="cellIs" dxfId="3062" priority="3368" operator="equal">
      <formula>"SI"</formula>
    </cfRule>
  </conditionalFormatting>
  <conditionalFormatting sqref="AO206:AR206">
    <cfRule type="cellIs" dxfId="3061" priority="3363" operator="equal">
      <formula>"SD"</formula>
    </cfRule>
    <cfRule type="cellIs" dxfId="3060" priority="3364" operator="equal">
      <formula>"NO"</formula>
    </cfRule>
    <cfRule type="cellIs" dxfId="3059" priority="3365" operator="equal">
      <formula>"SI"</formula>
    </cfRule>
  </conditionalFormatting>
  <conditionalFormatting sqref="AO206:AR206">
    <cfRule type="cellIs" dxfId="3058" priority="3360" operator="equal">
      <formula>"SD"</formula>
    </cfRule>
    <cfRule type="cellIs" dxfId="3057" priority="3361" operator="equal">
      <formula>"NO"</formula>
    </cfRule>
    <cfRule type="cellIs" dxfId="3056" priority="3362" operator="equal">
      <formula>"SI"</formula>
    </cfRule>
  </conditionalFormatting>
  <conditionalFormatting sqref="BD206:BI206 AX206:BB206 BK206:BM206">
    <cfRule type="cellIs" dxfId="3055" priority="3357" operator="equal">
      <formula>"SD"</formula>
    </cfRule>
    <cfRule type="cellIs" dxfId="3054" priority="3358" operator="equal">
      <formula>"NO"</formula>
    </cfRule>
    <cfRule type="cellIs" dxfId="3053" priority="3359" operator="equal">
      <formula>"SI"</formula>
    </cfRule>
  </conditionalFormatting>
  <conditionalFormatting sqref="BC206">
    <cfRule type="containsText" dxfId="3052" priority="3352" operator="containsText" text="SD">
      <formula>NOT(ISERROR(SEARCH("SD",BC206)))</formula>
    </cfRule>
    <cfRule type="containsText" dxfId="3051" priority="3353" operator="containsText" text="SI, NO CONTROLADA">
      <formula>NOT(ISERROR(SEARCH("SI, NO CONTROLADA",BC206)))</formula>
    </cfRule>
    <cfRule type="containsText" dxfId="3050" priority="3354" operator="containsText" text="SI, SIN MANEJO">
      <formula>NOT(ISERROR(SEARCH("SI, SIN MANEJO",BC206)))</formula>
    </cfRule>
    <cfRule type="containsText" dxfId="3049" priority="3355" operator="containsText" text="SI, CONTROLADA">
      <formula>NOT(ISERROR(SEARCH("SI, CONTROLADA",BC206)))</formula>
    </cfRule>
    <cfRule type="containsText" dxfId="3048" priority="3356" operator="containsText" text="NO">
      <formula>NOT(ISERROR(SEARCH("NO",BC206)))</formula>
    </cfRule>
  </conditionalFormatting>
  <conditionalFormatting sqref="AX206">
    <cfRule type="cellIs" dxfId="3047" priority="3349" operator="equal">
      <formula>"SD"</formula>
    </cfRule>
    <cfRule type="cellIs" dxfId="3046" priority="3350" operator="equal">
      <formula>"NO"</formula>
    </cfRule>
    <cfRule type="cellIs" dxfId="3045" priority="3351" operator="equal">
      <formula>"SI"</formula>
    </cfRule>
  </conditionalFormatting>
  <conditionalFormatting sqref="BK206:BM206">
    <cfRule type="cellIs" dxfId="3044" priority="3346" operator="equal">
      <formula>"SD"</formula>
    </cfRule>
    <cfRule type="cellIs" dxfId="3043" priority="3347" operator="equal">
      <formula>"NO"</formula>
    </cfRule>
    <cfRule type="cellIs" dxfId="3042" priority="3348" operator="equal">
      <formula>"SI"</formula>
    </cfRule>
  </conditionalFormatting>
  <conditionalFormatting sqref="AY206:BA206">
    <cfRule type="cellIs" dxfId="3041" priority="3343" operator="equal">
      <formula>"SD"</formula>
    </cfRule>
    <cfRule type="cellIs" dxfId="3040" priority="3344" operator="equal">
      <formula>"NO"</formula>
    </cfRule>
    <cfRule type="cellIs" dxfId="3039" priority="3345" operator="equal">
      <formula>"SI"</formula>
    </cfRule>
  </conditionalFormatting>
  <conditionalFormatting sqref="BD206:BI206 BB206">
    <cfRule type="cellIs" dxfId="3038" priority="3340" operator="equal">
      <formula>"SD"</formula>
    </cfRule>
    <cfRule type="cellIs" dxfId="3037" priority="3341" operator="equal">
      <formula>"NO"</formula>
    </cfRule>
    <cfRule type="cellIs" dxfId="3036" priority="3342" operator="equal">
      <formula>"SI"</formula>
    </cfRule>
  </conditionalFormatting>
  <conditionalFormatting sqref="BC206">
    <cfRule type="containsText" dxfId="3035" priority="3335" operator="containsText" text="SD">
      <formula>NOT(ISERROR(SEARCH("SD",BC206)))</formula>
    </cfRule>
    <cfRule type="containsText" dxfId="3034" priority="3336" operator="containsText" text="SI, NO CONTROLADA">
      <formula>NOT(ISERROR(SEARCH("SI, NO CONTROLADA",BC206)))</formula>
    </cfRule>
    <cfRule type="containsText" dxfId="3033" priority="3337" operator="containsText" text="SI, SIN MANEJO">
      <formula>NOT(ISERROR(SEARCH("SI, SIN MANEJO",BC206)))</formula>
    </cfRule>
    <cfRule type="containsText" dxfId="3032" priority="3338" operator="containsText" text="SI, CONTROLADA">
      <formula>NOT(ISERROR(SEARCH("SI, CONTROLADA",BC206)))</formula>
    </cfRule>
    <cfRule type="containsText" dxfId="3031" priority="3339" operator="containsText" text="NO">
      <formula>NOT(ISERROR(SEARCH("NO",BC206)))</formula>
    </cfRule>
  </conditionalFormatting>
  <conditionalFormatting sqref="BE206">
    <cfRule type="expression" dxfId="3030" priority="3334">
      <formula>IF(AND(FA206&gt;=126,FC206&lt;24),1,0)</formula>
    </cfRule>
  </conditionalFormatting>
  <conditionalFormatting sqref="BD207:BI207 AY207:BB207 BK207:BM207">
    <cfRule type="cellIs" dxfId="3029" priority="3331" operator="equal">
      <formula>"SD"</formula>
    </cfRule>
    <cfRule type="cellIs" dxfId="3028" priority="3332" operator="equal">
      <formula>"NO"</formula>
    </cfRule>
    <cfRule type="cellIs" dxfId="3027" priority="3333" operator="equal">
      <formula>"SI"</formula>
    </cfRule>
  </conditionalFormatting>
  <conditionalFormatting sqref="BC207">
    <cfRule type="containsText" dxfId="3026" priority="3326" operator="containsText" text="SD">
      <formula>NOT(ISERROR(SEARCH("SD",BC207)))</formula>
    </cfRule>
    <cfRule type="containsText" dxfId="3025" priority="3327" operator="containsText" text="SI, NO CONTROLADA">
      <formula>NOT(ISERROR(SEARCH("SI, NO CONTROLADA",BC207)))</formula>
    </cfRule>
    <cfRule type="containsText" dxfId="3024" priority="3328" operator="containsText" text="SI, SIN MANEJO">
      <formula>NOT(ISERROR(SEARCH("SI, SIN MANEJO",BC207)))</formula>
    </cfRule>
    <cfRule type="containsText" dxfId="3023" priority="3329" operator="containsText" text="SI, CONTROLADA">
      <formula>NOT(ISERROR(SEARCH("SI, CONTROLADA",BC207)))</formula>
    </cfRule>
    <cfRule type="containsText" dxfId="3022" priority="3330" operator="containsText" text="NO">
      <formula>NOT(ISERROR(SEARCH("NO",BC207)))</formula>
    </cfRule>
  </conditionalFormatting>
  <conditionalFormatting sqref="BK207:BM207">
    <cfRule type="cellIs" dxfId="3021" priority="3323" operator="equal">
      <formula>"SD"</formula>
    </cfRule>
    <cfRule type="cellIs" dxfId="3020" priority="3324" operator="equal">
      <formula>"NO"</formula>
    </cfRule>
    <cfRule type="cellIs" dxfId="3019" priority="3325" operator="equal">
      <formula>"SI"</formula>
    </cfRule>
  </conditionalFormatting>
  <conditionalFormatting sqref="AY207:BA207">
    <cfRule type="cellIs" dxfId="3018" priority="3320" operator="equal">
      <formula>"SD"</formula>
    </cfRule>
    <cfRule type="cellIs" dxfId="3017" priority="3321" operator="equal">
      <formula>"NO"</formula>
    </cfRule>
    <cfRule type="cellIs" dxfId="3016" priority="3322" operator="equal">
      <formula>"SI"</formula>
    </cfRule>
  </conditionalFormatting>
  <conditionalFormatting sqref="BD207:BI207 BB207">
    <cfRule type="cellIs" dxfId="3015" priority="3317" operator="equal">
      <formula>"SD"</formula>
    </cfRule>
    <cfRule type="cellIs" dxfId="3014" priority="3318" operator="equal">
      <formula>"NO"</formula>
    </cfRule>
    <cfRule type="cellIs" dxfId="3013" priority="3319" operator="equal">
      <formula>"SI"</formula>
    </cfRule>
  </conditionalFormatting>
  <conditionalFormatting sqref="BC207">
    <cfRule type="containsText" dxfId="3012" priority="3312" operator="containsText" text="SD">
      <formula>NOT(ISERROR(SEARCH("SD",BC207)))</formula>
    </cfRule>
    <cfRule type="containsText" dxfId="3011" priority="3313" operator="containsText" text="SI, NO CONTROLADA">
      <formula>NOT(ISERROR(SEARCH("SI, NO CONTROLADA",BC207)))</formula>
    </cfRule>
    <cfRule type="containsText" dxfId="3010" priority="3314" operator="containsText" text="SI, SIN MANEJO">
      <formula>NOT(ISERROR(SEARCH("SI, SIN MANEJO",BC207)))</formula>
    </cfRule>
    <cfRule type="containsText" dxfId="3009" priority="3315" operator="containsText" text="SI, CONTROLADA">
      <formula>NOT(ISERROR(SEARCH("SI, CONTROLADA",BC207)))</formula>
    </cfRule>
    <cfRule type="containsText" dxfId="3008" priority="3316" operator="containsText" text="NO">
      <formula>NOT(ISERROR(SEARCH("NO",BC207)))</formula>
    </cfRule>
  </conditionalFormatting>
  <conditionalFormatting sqref="BE207">
    <cfRule type="expression" dxfId="3007" priority="3311">
      <formula>IF(AND(FA207&gt;=126,FC207&lt;24),1,0)</formula>
    </cfRule>
  </conditionalFormatting>
  <conditionalFormatting sqref="HU64">
    <cfRule type="expression" dxfId="3006" priority="3310">
      <formula>IF(HV64="No Aplica para suministro de ASA",1,"")</formula>
    </cfRule>
  </conditionalFormatting>
  <conditionalFormatting sqref="HW64">
    <cfRule type="expression" dxfId="3005" priority="3309">
      <formula>IF(HX64="No Aplica para suministro de ASA",1,"")</formula>
    </cfRule>
  </conditionalFormatting>
  <conditionalFormatting sqref="FB209">
    <cfRule type="containsText" dxfId="3004" priority="3305" operator="containsText" text="RH NEGATIVO SIN COOMB">
      <formula>NOT(ISERROR(SEARCH("RH NEGATIVO SIN COOMB",FB209)))</formula>
    </cfRule>
    <cfRule type="containsText" dxfId="3003" priority="3306" operator="containsText" text="RH NEGATIVO CON COOMBS POSITIVO">
      <formula>NOT(ISERROR(SEARCH("RH NEGATIVO CON COOMBS POSITIVO",FB209)))</formula>
    </cfRule>
    <cfRule type="containsText" dxfId="3002" priority="3307" operator="containsText" text="RH NEGATIVO CON COOMBS NEGATIVO">
      <formula>NOT(ISERROR(SEARCH("RH NEGATIVO CON COOMBS NEGATIVO",FB209)))</formula>
    </cfRule>
    <cfRule type="containsText" dxfId="3001" priority="3308" operator="containsText" text="RH POSITIVO">
      <formula>NOT(ISERROR(SEARCH("RH POSITIVO",FB209)))</formula>
    </cfRule>
  </conditionalFormatting>
  <conditionalFormatting sqref="FK209">
    <cfRule type="containsText" dxfId="3000" priority="3301" operator="containsText" text="RH NEGATIVO SIN COOMB">
      <formula>NOT(ISERROR(SEARCH("RH NEGATIVO SIN COOMB",FK209)))</formula>
    </cfRule>
    <cfRule type="containsText" dxfId="2999" priority="3302" operator="containsText" text="RH NEGATIVO CON COOMBS POSITIVO">
      <formula>NOT(ISERROR(SEARCH("RH NEGATIVO CON COOMBS POSITIVO",FK209)))</formula>
    </cfRule>
    <cfRule type="containsText" dxfId="2998" priority="3303" operator="containsText" text="RH NEGATIVO CON COOMBS NEGATIVO">
      <formula>NOT(ISERROR(SEARCH("RH NEGATIVO CON COOMBS NEGATIVO",FK209)))</formula>
    </cfRule>
    <cfRule type="containsText" dxfId="2997" priority="3304" operator="containsText" text="RH POSITIVO">
      <formula>NOT(ISERROR(SEARCH("RH POSITIVO",FK209)))</formula>
    </cfRule>
  </conditionalFormatting>
  <conditionalFormatting sqref="FN209">
    <cfRule type="containsText" dxfId="2996" priority="3297" operator="containsText" text="RH NEGATIVO SIN COOMB">
      <formula>NOT(ISERROR(SEARCH("RH NEGATIVO SIN COOMB",FN209)))</formula>
    </cfRule>
    <cfRule type="containsText" dxfId="2995" priority="3298" operator="containsText" text="RH NEGATIVO CON COOMBS POSITIVO">
      <formula>NOT(ISERROR(SEARCH("RH NEGATIVO CON COOMBS POSITIVO",FN209)))</formula>
    </cfRule>
    <cfRule type="containsText" dxfId="2994" priority="3299" operator="containsText" text="RH NEGATIVO CON COOMBS NEGATIVO">
      <formula>NOT(ISERROR(SEARCH("RH NEGATIVO CON COOMBS NEGATIVO",FN209)))</formula>
    </cfRule>
    <cfRule type="containsText" dxfId="2993" priority="3300" operator="containsText" text="RH POSITIVO">
      <formula>NOT(ISERROR(SEARCH("RH POSITIVO",FN209)))</formula>
    </cfRule>
  </conditionalFormatting>
  <conditionalFormatting sqref="FB206">
    <cfRule type="containsText" dxfId="2992" priority="3293" operator="containsText" text="RH NEGATIVO SIN COOMB">
      <formula>NOT(ISERROR(SEARCH("RH NEGATIVO SIN COOMB",FB206)))</formula>
    </cfRule>
    <cfRule type="containsText" dxfId="2991" priority="3294" operator="containsText" text="RH NEGATIVO CON COOMBS POSITIVO">
      <formula>NOT(ISERROR(SEARCH("RH NEGATIVO CON COOMBS POSITIVO",FB206)))</formula>
    </cfRule>
    <cfRule type="containsText" dxfId="2990" priority="3295" operator="containsText" text="RH NEGATIVO CON COOMBS NEGATIVO">
      <formula>NOT(ISERROR(SEARCH("RH NEGATIVO CON COOMBS NEGATIVO",FB206)))</formula>
    </cfRule>
    <cfRule type="containsText" dxfId="2989" priority="3296" operator="containsText" text="RH POSITIVO">
      <formula>NOT(ISERROR(SEARCH("RH POSITIVO",FB206)))</formula>
    </cfRule>
  </conditionalFormatting>
  <conditionalFormatting sqref="FK206">
    <cfRule type="containsText" dxfId="2988" priority="3289" operator="containsText" text="RH NEGATIVO SIN COOMB">
      <formula>NOT(ISERROR(SEARCH("RH NEGATIVO SIN COOMB",FK206)))</formula>
    </cfRule>
    <cfRule type="containsText" dxfId="2987" priority="3290" operator="containsText" text="RH NEGATIVO CON COOMBS POSITIVO">
      <formula>NOT(ISERROR(SEARCH("RH NEGATIVO CON COOMBS POSITIVO",FK206)))</formula>
    </cfRule>
    <cfRule type="containsText" dxfId="2986" priority="3291" operator="containsText" text="RH NEGATIVO CON COOMBS NEGATIVO">
      <formula>NOT(ISERROR(SEARCH("RH NEGATIVO CON COOMBS NEGATIVO",FK206)))</formula>
    </cfRule>
    <cfRule type="containsText" dxfId="2985" priority="3292" operator="containsText" text="RH POSITIVO">
      <formula>NOT(ISERROR(SEARCH("RH POSITIVO",FK206)))</formula>
    </cfRule>
  </conditionalFormatting>
  <conditionalFormatting sqref="FZ206">
    <cfRule type="containsText" dxfId="2984" priority="3285" operator="containsText" text="RH NEGATIVO SIN COOMB">
      <formula>NOT(ISERROR(SEARCH("RH NEGATIVO SIN COOMB",FZ206)))</formula>
    </cfRule>
    <cfRule type="containsText" dxfId="2983" priority="3286" operator="containsText" text="RH NEGATIVO CON COOMBS POSITIVO">
      <formula>NOT(ISERROR(SEARCH("RH NEGATIVO CON COOMBS POSITIVO",FZ206)))</formula>
    </cfRule>
    <cfRule type="containsText" dxfId="2982" priority="3287" operator="containsText" text="RH NEGATIVO CON COOMBS NEGATIVO">
      <formula>NOT(ISERROR(SEARCH("RH NEGATIVO CON COOMBS NEGATIVO",FZ206)))</formula>
    </cfRule>
    <cfRule type="containsText" dxfId="2981" priority="3288" operator="containsText" text="RH POSITIVO">
      <formula>NOT(ISERROR(SEARCH("RH POSITIVO",FZ206)))</formula>
    </cfRule>
  </conditionalFormatting>
  <conditionalFormatting sqref="GO206">
    <cfRule type="containsText" dxfId="2980" priority="3281" operator="containsText" text="RH NEGATIVO SIN COOMB">
      <formula>NOT(ISERROR(SEARCH("RH NEGATIVO SIN COOMB",GO206)))</formula>
    </cfRule>
    <cfRule type="containsText" dxfId="2979" priority="3282" operator="containsText" text="RH NEGATIVO CON COOMBS POSITIVO">
      <formula>NOT(ISERROR(SEARCH("RH NEGATIVO CON COOMBS POSITIVO",GO206)))</formula>
    </cfRule>
    <cfRule type="containsText" dxfId="2978" priority="3283" operator="containsText" text="RH NEGATIVO CON COOMBS NEGATIVO">
      <formula>NOT(ISERROR(SEARCH("RH NEGATIVO CON COOMBS NEGATIVO",GO206)))</formula>
    </cfRule>
    <cfRule type="containsText" dxfId="2977" priority="3284" operator="containsText" text="RH POSITIVO">
      <formula>NOT(ISERROR(SEARCH("RH POSITIVO",GO206)))</formula>
    </cfRule>
  </conditionalFormatting>
  <conditionalFormatting sqref="AE234">
    <cfRule type="containsText" dxfId="2976" priority="3279" operator="containsText" text="NO">
      <formula>NOT(ISERROR(SEARCH("NO",AE234)))</formula>
    </cfRule>
    <cfRule type="containsText" dxfId="2975" priority="3280" operator="containsText" text="SI">
      <formula>NOT(ISERROR(SEARCH("SI",AE234)))</formula>
    </cfRule>
  </conditionalFormatting>
  <conditionalFormatting sqref="AG234:AH234">
    <cfRule type="cellIs" dxfId="2974" priority="3273" operator="equal">
      <formula>"SD"</formula>
    </cfRule>
    <cfRule type="cellIs" dxfId="2973" priority="3274" operator="equal">
      <formula>"NO"</formula>
    </cfRule>
    <cfRule type="cellIs" dxfId="2972" priority="3275" operator="equal">
      <formula>"SI"</formula>
    </cfRule>
  </conditionalFormatting>
  <conditionalFormatting sqref="AI234">
    <cfRule type="containsText" dxfId="2971" priority="3266" operator="containsText" text="HABITANTE DE CALLE">
      <formula>NOT(ISERROR(SEARCH("HABITANTE DE CALLE",AI234)))</formula>
    </cfRule>
    <cfRule type="containsText" dxfId="2970" priority="3269" operator="containsText" text="NINGUNO">
      <formula>NOT(ISERROR(SEARCH("NINGUNO",AI234)))</formula>
    </cfRule>
    <cfRule type="containsText" dxfId="2969" priority="3270" operator="containsText" text="MIGRATORIA">
      <formula>NOT(ISERROR(SEARCH("MIGRATORIA",AI234)))</formula>
    </cfRule>
    <cfRule type="containsText" dxfId="2968" priority="3271" operator="containsText" text="DISCAPACIDAD">
      <formula>NOT(ISERROR(SEARCH("DISCAPACIDAD",AI234)))</formula>
    </cfRule>
    <cfRule type="containsText" dxfId="2967" priority="3272" operator="containsText" text="DESPLAZADA">
      <formula>NOT(ISERROR(SEARCH("DESPLAZADA",AI234)))</formula>
    </cfRule>
  </conditionalFormatting>
  <conditionalFormatting sqref="AF234">
    <cfRule type="containsText" dxfId="2966" priority="3267" operator="containsText" text="NO">
      <formula>NOT(ISERROR(SEARCH("NO",AF234)))</formula>
    </cfRule>
    <cfRule type="containsText" dxfId="2965" priority="3268" operator="containsText" text="SI">
      <formula>NOT(ISERROR(SEARCH("SI",AF234)))</formula>
    </cfRule>
  </conditionalFormatting>
  <conditionalFormatting sqref="AJ234">
    <cfRule type="cellIs" dxfId="2964" priority="3263" operator="equal">
      <formula>"SD"</formula>
    </cfRule>
    <cfRule type="cellIs" dxfId="2963" priority="3264" operator="equal">
      <formula>"NO"</formula>
    </cfRule>
    <cfRule type="cellIs" dxfId="2962" priority="3265" operator="equal">
      <formula>"SI"</formula>
    </cfRule>
  </conditionalFormatting>
  <conditionalFormatting sqref="AY234">
    <cfRule type="containsText" dxfId="2961" priority="3258" operator="containsText" text="SD">
      <formula>NOT(ISERROR(SEARCH("SD",AY234)))</formula>
    </cfRule>
    <cfRule type="containsText" dxfId="2960" priority="3259" operator="containsText" text="SI, NO CONTROLADA">
      <formula>NOT(ISERROR(SEARCH("SI, NO CONTROLADA",AY234)))</formula>
    </cfRule>
    <cfRule type="containsText" dxfId="2959" priority="3260" operator="containsText" text="SI, SIN MANEJO">
      <formula>NOT(ISERROR(SEARCH("SI, SIN MANEJO",AY234)))</formula>
    </cfRule>
    <cfRule type="containsText" dxfId="2958" priority="3261" operator="containsText" text="SI, CONTROLADA">
      <formula>NOT(ISERROR(SEARCH("SI, CONTROLADA",AY234)))</formula>
    </cfRule>
    <cfRule type="containsText" dxfId="2957" priority="3262" operator="containsText" text="NO">
      <formula>NOT(ISERROR(SEARCH("NO",AY234)))</formula>
    </cfRule>
  </conditionalFormatting>
  <conditionalFormatting sqref="AZ234">
    <cfRule type="containsText" dxfId="2956" priority="3253" operator="containsText" text="SD">
      <formula>NOT(ISERROR(SEARCH("SD",AZ234)))</formula>
    </cfRule>
    <cfRule type="containsText" dxfId="2955" priority="3254" operator="containsText" text="SI, NO CONTROLADA">
      <formula>NOT(ISERROR(SEARCH("SI, NO CONTROLADA",AZ234)))</formula>
    </cfRule>
    <cfRule type="containsText" dxfId="2954" priority="3255" operator="containsText" text="SI, SIN MANEJO">
      <formula>NOT(ISERROR(SEARCH("SI, SIN MANEJO",AZ234)))</formula>
    </cfRule>
    <cfRule type="containsText" dxfId="2953" priority="3256" operator="containsText" text="SI, CONTROLADA">
      <formula>NOT(ISERROR(SEARCH("SI, CONTROLADA",AZ234)))</formula>
    </cfRule>
    <cfRule type="containsText" dxfId="2952" priority="3257" operator="containsText" text="NO">
      <formula>NOT(ISERROR(SEARCH("NO",AZ234)))</formula>
    </cfRule>
  </conditionalFormatting>
  <conditionalFormatting sqref="BB234">
    <cfRule type="cellIs" dxfId="2951" priority="3250" operator="equal">
      <formula>"SD"</formula>
    </cfRule>
    <cfRule type="cellIs" dxfId="2950" priority="3251" operator="equal">
      <formula>"NO"</formula>
    </cfRule>
    <cfRule type="cellIs" dxfId="2949" priority="3252" operator="equal">
      <formula>"SI"</formula>
    </cfRule>
  </conditionalFormatting>
  <conditionalFormatting sqref="BC234">
    <cfRule type="cellIs" dxfId="2948" priority="3247" operator="equal">
      <formula>"SD"</formula>
    </cfRule>
    <cfRule type="cellIs" dxfId="2947" priority="3248" operator="equal">
      <formula>"NO"</formula>
    </cfRule>
    <cfRule type="cellIs" dxfId="2946" priority="3249" operator="equal">
      <formula>"SI"</formula>
    </cfRule>
  </conditionalFormatting>
  <conditionalFormatting sqref="BF234">
    <cfRule type="cellIs" dxfId="2945" priority="3244" operator="equal">
      <formula>"SD"</formula>
    </cfRule>
    <cfRule type="cellIs" dxfId="2944" priority="3245" operator="equal">
      <formula>"NO"</formula>
    </cfRule>
    <cfRule type="cellIs" dxfId="2943" priority="3246" operator="equal">
      <formula>"SI"</formula>
    </cfRule>
  </conditionalFormatting>
  <conditionalFormatting sqref="BD234:BE234">
    <cfRule type="cellIs" dxfId="2942" priority="3241" operator="equal">
      <formula>"SD"</formula>
    </cfRule>
    <cfRule type="cellIs" dxfId="2941" priority="3242" operator="equal">
      <formula>"NO"</formula>
    </cfRule>
    <cfRule type="cellIs" dxfId="2940" priority="3243" operator="equal">
      <formula>"SI"</formula>
    </cfRule>
  </conditionalFormatting>
  <conditionalFormatting sqref="BE234">
    <cfRule type="expression" dxfId="2939" priority="3240">
      <formula>IF(AND(FA234&gt;=126,FC234&lt;24),1,0)</formula>
    </cfRule>
  </conditionalFormatting>
  <conditionalFormatting sqref="BG234">
    <cfRule type="cellIs" dxfId="2938" priority="3237" operator="equal">
      <formula>"SD"</formula>
    </cfRule>
    <cfRule type="cellIs" dxfId="2937" priority="3238" operator="equal">
      <formula>"NO"</formula>
    </cfRule>
    <cfRule type="cellIs" dxfId="2936" priority="3239" operator="equal">
      <formula>"SI"</formula>
    </cfRule>
  </conditionalFormatting>
  <conditionalFormatting sqref="BH234">
    <cfRule type="cellIs" dxfId="2935" priority="3234" operator="equal">
      <formula>"SD"</formula>
    </cfRule>
    <cfRule type="cellIs" dxfId="2934" priority="3235" operator="equal">
      <formula>"NO"</formula>
    </cfRule>
    <cfRule type="cellIs" dxfId="2933" priority="3236" operator="equal">
      <formula>"SI"</formula>
    </cfRule>
  </conditionalFormatting>
  <conditionalFormatting sqref="BI234">
    <cfRule type="cellIs" dxfId="2932" priority="3231" operator="equal">
      <formula>"SD"</formula>
    </cfRule>
    <cfRule type="cellIs" dxfId="2931" priority="3232" operator="equal">
      <formula>"NO"</formula>
    </cfRule>
    <cfRule type="cellIs" dxfId="2930" priority="3233" operator="equal">
      <formula>"SI"</formula>
    </cfRule>
  </conditionalFormatting>
  <conditionalFormatting sqref="BJ234">
    <cfRule type="cellIs" dxfId="2929" priority="3228" operator="equal">
      <formula>"SD"</formula>
    </cfRule>
    <cfRule type="cellIs" dxfId="2928" priority="3229" operator="equal">
      <formula>"NO"</formula>
    </cfRule>
    <cfRule type="cellIs" dxfId="2927" priority="3230" operator="equal">
      <formula>"SI"</formula>
    </cfRule>
  </conditionalFormatting>
  <conditionalFormatting sqref="BL234:BM234">
    <cfRule type="cellIs" dxfId="2926" priority="3225" operator="equal">
      <formula>"SD"</formula>
    </cfRule>
    <cfRule type="cellIs" dxfId="2925" priority="3226" operator="equal">
      <formula>"NO"</formula>
    </cfRule>
    <cfRule type="cellIs" dxfId="2924" priority="3227" operator="equal">
      <formula>"SI"</formula>
    </cfRule>
  </conditionalFormatting>
  <conditionalFormatting sqref="BK234">
    <cfRule type="cellIs" dxfId="2923" priority="3222" operator="equal">
      <formula>"SD"</formula>
    </cfRule>
    <cfRule type="cellIs" dxfId="2922" priority="3223" operator="equal">
      <formula>"NO"</formula>
    </cfRule>
    <cfRule type="cellIs" dxfId="2921" priority="3224" operator="equal">
      <formula>"SI"</formula>
    </cfRule>
  </conditionalFormatting>
  <conditionalFormatting sqref="AL235:AR235">
    <cfRule type="cellIs" dxfId="2920" priority="3219" operator="equal">
      <formula>"SD"</formula>
    </cfRule>
    <cfRule type="cellIs" dxfId="2919" priority="3220" operator="equal">
      <formula>"NO"</formula>
    </cfRule>
    <cfRule type="cellIs" dxfId="2918" priority="3221" operator="equal">
      <formula>"SI"</formula>
    </cfRule>
  </conditionalFormatting>
  <conditionalFormatting sqref="AK235">
    <cfRule type="containsText" dxfId="2917" priority="3216" operator="containsText" text="COMPLETAR EVALUACIÓN">
      <formula>NOT(ISERROR(SEARCH("COMPLETAR EVALUACIÓN",AK235)))</formula>
    </cfRule>
    <cfRule type="containsText" dxfId="2916" priority="3217" operator="containsText" text="CON RIESGO">
      <formula>NOT(ISERROR(SEARCH("CON RIESGO",AK235)))</formula>
    </cfRule>
    <cfRule type="containsText" dxfId="2915" priority="3218" operator="containsText" text="SIN RIESGO">
      <formula>NOT(ISERROR(SEARCH("SIN RIESGO",AK235)))</formula>
    </cfRule>
  </conditionalFormatting>
  <conditionalFormatting sqref="AE235">
    <cfRule type="containsText" dxfId="2914" priority="3214" operator="containsText" text="NO">
      <formula>NOT(ISERROR(SEARCH("NO",AE235)))</formula>
    </cfRule>
    <cfRule type="containsText" dxfId="2913" priority="3215" operator="containsText" text="SI">
      <formula>NOT(ISERROR(SEARCH("SI",AE235)))</formula>
    </cfRule>
  </conditionalFormatting>
  <conditionalFormatting sqref="AG235:AH235">
    <cfRule type="cellIs" dxfId="2912" priority="3208" operator="equal">
      <formula>"SD"</formula>
    </cfRule>
    <cfRule type="cellIs" dxfId="2911" priority="3209" operator="equal">
      <formula>"NO"</formula>
    </cfRule>
    <cfRule type="cellIs" dxfId="2910" priority="3210" operator="equal">
      <formula>"SI"</formula>
    </cfRule>
  </conditionalFormatting>
  <conditionalFormatting sqref="AI235">
    <cfRule type="containsText" dxfId="2909" priority="3201" operator="containsText" text="HABITANTE DE CALLE">
      <formula>NOT(ISERROR(SEARCH("HABITANTE DE CALLE",AI235)))</formula>
    </cfRule>
    <cfRule type="containsText" dxfId="2908" priority="3204" operator="containsText" text="NINGUNO">
      <formula>NOT(ISERROR(SEARCH("NINGUNO",AI235)))</formula>
    </cfRule>
    <cfRule type="containsText" dxfId="2907" priority="3205" operator="containsText" text="MIGRATORIA">
      <formula>NOT(ISERROR(SEARCH("MIGRATORIA",AI235)))</formula>
    </cfRule>
    <cfRule type="containsText" dxfId="2906" priority="3206" operator="containsText" text="DISCAPACIDAD">
      <formula>NOT(ISERROR(SEARCH("DISCAPACIDAD",AI235)))</formula>
    </cfRule>
    <cfRule type="containsText" dxfId="2905" priority="3207" operator="containsText" text="DESPLAZADA">
      <formula>NOT(ISERROR(SEARCH("DESPLAZADA",AI235)))</formula>
    </cfRule>
  </conditionalFormatting>
  <conditionalFormatting sqref="AF235">
    <cfRule type="containsText" dxfId="2904" priority="3202" operator="containsText" text="NO">
      <formula>NOT(ISERROR(SEARCH("NO",AF235)))</formula>
    </cfRule>
    <cfRule type="containsText" dxfId="2903" priority="3203" operator="containsText" text="SI">
      <formula>NOT(ISERROR(SEARCH("SI",AF235)))</formula>
    </cfRule>
  </conditionalFormatting>
  <conditionalFormatting sqref="AJ235">
    <cfRule type="cellIs" dxfId="2902" priority="3198" operator="equal">
      <formula>"SD"</formula>
    </cfRule>
    <cfRule type="cellIs" dxfId="2901" priority="3199" operator="equal">
      <formula>"NO"</formula>
    </cfRule>
    <cfRule type="cellIs" dxfId="2900" priority="3200" operator="equal">
      <formula>"SI"</formula>
    </cfRule>
  </conditionalFormatting>
  <conditionalFormatting sqref="AX235 BA235">
    <cfRule type="cellIs" dxfId="2899" priority="3195" operator="equal">
      <formula>"SD"</formula>
    </cfRule>
    <cfRule type="cellIs" dxfId="2898" priority="3196" operator="equal">
      <formula>"NO"</formula>
    </cfRule>
    <cfRule type="cellIs" dxfId="2897" priority="3197" operator="equal">
      <formula>"SI"</formula>
    </cfRule>
  </conditionalFormatting>
  <conditionalFormatting sqref="AY235">
    <cfRule type="containsText" dxfId="2896" priority="3190" operator="containsText" text="SD">
      <formula>NOT(ISERROR(SEARCH("SD",AY235)))</formula>
    </cfRule>
    <cfRule type="containsText" dxfId="2895" priority="3191" operator="containsText" text="SI, NO CONTROLADA">
      <formula>NOT(ISERROR(SEARCH("SI, NO CONTROLADA",AY235)))</formula>
    </cfRule>
    <cfRule type="containsText" dxfId="2894" priority="3192" operator="containsText" text="SI, SIN MANEJO">
      <formula>NOT(ISERROR(SEARCH("SI, SIN MANEJO",AY235)))</formula>
    </cfRule>
    <cfRule type="containsText" dxfId="2893" priority="3193" operator="containsText" text="SI, CONTROLADA">
      <formula>NOT(ISERROR(SEARCH("SI, CONTROLADA",AY235)))</formula>
    </cfRule>
    <cfRule type="containsText" dxfId="2892" priority="3194" operator="containsText" text="NO">
      <formula>NOT(ISERROR(SEARCH("NO",AY235)))</formula>
    </cfRule>
  </conditionalFormatting>
  <conditionalFormatting sqref="AZ235">
    <cfRule type="containsText" dxfId="2891" priority="3185" operator="containsText" text="SD">
      <formula>NOT(ISERROR(SEARCH("SD",AZ235)))</formula>
    </cfRule>
    <cfRule type="containsText" dxfId="2890" priority="3186" operator="containsText" text="SI, NO CONTROLADA">
      <formula>NOT(ISERROR(SEARCH("SI, NO CONTROLADA",AZ235)))</formula>
    </cfRule>
    <cfRule type="containsText" dxfId="2889" priority="3187" operator="containsText" text="SI, SIN MANEJO">
      <formula>NOT(ISERROR(SEARCH("SI, SIN MANEJO",AZ235)))</formula>
    </cfRule>
    <cfRule type="containsText" dxfId="2888" priority="3188" operator="containsText" text="SI, CONTROLADA">
      <formula>NOT(ISERROR(SEARCH("SI, CONTROLADA",AZ235)))</formula>
    </cfRule>
    <cfRule type="containsText" dxfId="2887" priority="3189" operator="containsText" text="NO">
      <formula>NOT(ISERROR(SEARCH("NO",AZ235)))</formula>
    </cfRule>
  </conditionalFormatting>
  <conditionalFormatting sqref="BB235">
    <cfRule type="cellIs" dxfId="2886" priority="3182" operator="equal">
      <formula>"SD"</formula>
    </cfRule>
    <cfRule type="cellIs" dxfId="2885" priority="3183" operator="equal">
      <formula>"NO"</formula>
    </cfRule>
    <cfRule type="cellIs" dxfId="2884" priority="3184" operator="equal">
      <formula>"SI"</formula>
    </cfRule>
  </conditionalFormatting>
  <conditionalFormatting sqref="BC235">
    <cfRule type="cellIs" dxfId="2883" priority="3179" operator="equal">
      <formula>"SD"</formula>
    </cfRule>
    <cfRule type="cellIs" dxfId="2882" priority="3180" operator="equal">
      <formula>"NO"</formula>
    </cfRule>
    <cfRule type="cellIs" dxfId="2881" priority="3181" operator="equal">
      <formula>"SI"</formula>
    </cfRule>
  </conditionalFormatting>
  <conditionalFormatting sqref="BF235">
    <cfRule type="cellIs" dxfId="2880" priority="3176" operator="equal">
      <formula>"SD"</formula>
    </cfRule>
    <cfRule type="cellIs" dxfId="2879" priority="3177" operator="equal">
      <formula>"NO"</formula>
    </cfRule>
    <cfRule type="cellIs" dxfId="2878" priority="3178" operator="equal">
      <formula>"SI"</formula>
    </cfRule>
  </conditionalFormatting>
  <conditionalFormatting sqref="BD235:BE235">
    <cfRule type="cellIs" dxfId="2877" priority="3173" operator="equal">
      <formula>"SD"</formula>
    </cfRule>
    <cfRule type="cellIs" dxfId="2876" priority="3174" operator="equal">
      <formula>"NO"</formula>
    </cfRule>
    <cfRule type="cellIs" dxfId="2875" priority="3175" operator="equal">
      <formula>"SI"</formula>
    </cfRule>
  </conditionalFormatting>
  <conditionalFormatting sqref="BE235">
    <cfRule type="expression" dxfId="2874" priority="3172">
      <formula>IF(AND(FA235&gt;=126,FC235&lt;24),1,0)</formula>
    </cfRule>
  </conditionalFormatting>
  <conditionalFormatting sqref="BG235">
    <cfRule type="cellIs" dxfId="2873" priority="3169" operator="equal">
      <formula>"SD"</formula>
    </cfRule>
    <cfRule type="cellIs" dxfId="2872" priority="3170" operator="equal">
      <formula>"NO"</formula>
    </cfRule>
    <cfRule type="cellIs" dxfId="2871" priority="3171" operator="equal">
      <formula>"SI"</formula>
    </cfRule>
  </conditionalFormatting>
  <conditionalFormatting sqref="BH235">
    <cfRule type="cellIs" dxfId="2870" priority="3166" operator="equal">
      <formula>"SD"</formula>
    </cfRule>
    <cfRule type="cellIs" dxfId="2869" priority="3167" operator="equal">
      <formula>"NO"</formula>
    </cfRule>
    <cfRule type="cellIs" dxfId="2868" priority="3168" operator="equal">
      <formula>"SI"</formula>
    </cfRule>
  </conditionalFormatting>
  <conditionalFormatting sqref="BI235">
    <cfRule type="cellIs" dxfId="2867" priority="3163" operator="equal">
      <formula>"SD"</formula>
    </cfRule>
    <cfRule type="cellIs" dxfId="2866" priority="3164" operator="equal">
      <formula>"NO"</formula>
    </cfRule>
    <cfRule type="cellIs" dxfId="2865" priority="3165" operator="equal">
      <formula>"SI"</formula>
    </cfRule>
  </conditionalFormatting>
  <conditionalFormatting sqref="BJ235">
    <cfRule type="cellIs" dxfId="2864" priority="3160" operator="equal">
      <formula>"SD"</formula>
    </cfRule>
    <cfRule type="cellIs" dxfId="2863" priority="3161" operator="equal">
      <formula>"NO"</formula>
    </cfRule>
    <cfRule type="cellIs" dxfId="2862" priority="3162" operator="equal">
      <formula>"SI"</formula>
    </cfRule>
  </conditionalFormatting>
  <conditionalFormatting sqref="BL235:BM235">
    <cfRule type="cellIs" dxfId="2861" priority="3157" operator="equal">
      <formula>"SD"</formula>
    </cfRule>
    <cfRule type="cellIs" dxfId="2860" priority="3158" operator="equal">
      <formula>"NO"</formula>
    </cfRule>
    <cfRule type="cellIs" dxfId="2859" priority="3159" operator="equal">
      <formula>"SI"</formula>
    </cfRule>
  </conditionalFormatting>
  <conditionalFormatting sqref="BK235">
    <cfRule type="cellIs" dxfId="2858" priority="3154" operator="equal">
      <formula>"SD"</formula>
    </cfRule>
    <cfRule type="cellIs" dxfId="2857" priority="3155" operator="equal">
      <formula>"NO"</formula>
    </cfRule>
    <cfRule type="cellIs" dxfId="2856" priority="3156" operator="equal">
      <formula>"SI"</formula>
    </cfRule>
  </conditionalFormatting>
  <conditionalFormatting sqref="FB235">
    <cfRule type="containsText" dxfId="2855" priority="3150" operator="containsText" text="RH NEGATIVO SIN COOMB">
      <formula>NOT(ISERROR(SEARCH("RH NEGATIVO SIN COOMB",FB235)))</formula>
    </cfRule>
    <cfRule type="containsText" dxfId="2854" priority="3151" operator="containsText" text="RH NEGATIVO CON COOMBS POSITIVO">
      <formula>NOT(ISERROR(SEARCH("RH NEGATIVO CON COOMBS POSITIVO",FB235)))</formula>
    </cfRule>
    <cfRule type="containsText" dxfId="2853" priority="3152" operator="containsText" text="RH NEGATIVO CON COOMBS NEGATIVO">
      <formula>NOT(ISERROR(SEARCH("RH NEGATIVO CON COOMBS NEGATIVO",FB235)))</formula>
    </cfRule>
    <cfRule type="containsText" dxfId="2852" priority="3153" operator="containsText" text="RH POSITIVO">
      <formula>NOT(ISERROR(SEARCH("RH POSITIVO",FB235)))</formula>
    </cfRule>
  </conditionalFormatting>
  <conditionalFormatting sqref="FK235">
    <cfRule type="containsText" dxfId="2851" priority="3146" operator="containsText" text="RH NEGATIVO SIN COOMB">
      <formula>NOT(ISERROR(SEARCH("RH NEGATIVO SIN COOMB",FK235)))</formula>
    </cfRule>
    <cfRule type="containsText" dxfId="2850" priority="3147" operator="containsText" text="RH NEGATIVO CON COOMBS POSITIVO">
      <formula>NOT(ISERROR(SEARCH("RH NEGATIVO CON COOMBS POSITIVO",FK235)))</formula>
    </cfRule>
    <cfRule type="containsText" dxfId="2849" priority="3148" operator="containsText" text="RH NEGATIVO CON COOMBS NEGATIVO">
      <formula>NOT(ISERROR(SEARCH("RH NEGATIVO CON COOMBS NEGATIVO",FK235)))</formula>
    </cfRule>
    <cfRule type="containsText" dxfId="2848" priority="3149" operator="containsText" text="RH POSITIVO">
      <formula>NOT(ISERROR(SEARCH("RH POSITIVO",FK235)))</formula>
    </cfRule>
  </conditionalFormatting>
  <conditionalFormatting sqref="FZ235">
    <cfRule type="containsText" dxfId="2847" priority="3142" operator="containsText" text="RH NEGATIVO SIN COOMB">
      <formula>NOT(ISERROR(SEARCH("RH NEGATIVO SIN COOMB",FZ235)))</formula>
    </cfRule>
    <cfRule type="containsText" dxfId="2846" priority="3143" operator="containsText" text="RH NEGATIVO CON COOMBS POSITIVO">
      <formula>NOT(ISERROR(SEARCH("RH NEGATIVO CON COOMBS POSITIVO",FZ235)))</formula>
    </cfRule>
    <cfRule type="containsText" dxfId="2845" priority="3144" operator="containsText" text="RH NEGATIVO CON COOMBS NEGATIVO">
      <formula>NOT(ISERROR(SEARCH("RH NEGATIVO CON COOMBS NEGATIVO",FZ235)))</formula>
    </cfRule>
    <cfRule type="containsText" dxfId="2844" priority="3145" operator="containsText" text="RH POSITIVO">
      <formula>NOT(ISERROR(SEARCH("RH POSITIVO",FZ235)))</formula>
    </cfRule>
  </conditionalFormatting>
  <conditionalFormatting sqref="GO235">
    <cfRule type="containsText" dxfId="2843" priority="3138" operator="containsText" text="RH NEGATIVO SIN COOMB">
      <formula>NOT(ISERROR(SEARCH("RH NEGATIVO SIN COOMB",GO235)))</formula>
    </cfRule>
    <cfRule type="containsText" dxfId="2842" priority="3139" operator="containsText" text="RH NEGATIVO CON COOMBS POSITIVO">
      <formula>NOT(ISERROR(SEARCH("RH NEGATIVO CON COOMBS POSITIVO",GO235)))</formula>
    </cfRule>
    <cfRule type="containsText" dxfId="2841" priority="3140" operator="containsText" text="RH NEGATIVO CON COOMBS NEGATIVO">
      <formula>NOT(ISERROR(SEARCH("RH NEGATIVO CON COOMBS NEGATIVO",GO235)))</formula>
    </cfRule>
    <cfRule type="containsText" dxfId="2840" priority="3141" operator="containsText" text="RH POSITIVO">
      <formula>NOT(ISERROR(SEARCH("RH POSITIVO",GO235)))</formula>
    </cfRule>
  </conditionalFormatting>
  <conditionalFormatting sqref="GT235">
    <cfRule type="containsText" dxfId="2839" priority="3134" operator="containsText" text="RH NEGATIVO SIN COOMB">
      <formula>NOT(ISERROR(SEARCH("RH NEGATIVO SIN COOMB",GT235)))</formula>
    </cfRule>
    <cfRule type="containsText" dxfId="2838" priority="3135" operator="containsText" text="RH NEGATIVO CON COOMBS POSITIVO">
      <formula>NOT(ISERROR(SEARCH("RH NEGATIVO CON COOMBS POSITIVO",GT235)))</formula>
    </cfRule>
    <cfRule type="containsText" dxfId="2837" priority="3136" operator="containsText" text="RH NEGATIVO CON COOMBS NEGATIVO">
      <formula>NOT(ISERROR(SEARCH("RH NEGATIVO CON COOMBS NEGATIVO",GT235)))</formula>
    </cfRule>
    <cfRule type="containsText" dxfId="2836" priority="3137" operator="containsText" text="RH POSITIVO">
      <formula>NOT(ISERROR(SEARCH("RH POSITIVO",GT235)))</formula>
    </cfRule>
  </conditionalFormatting>
  <conditionalFormatting sqref="HV235 HT235 HX235">
    <cfRule type="containsText" dxfId="2835" priority="3130" operator="containsText" text="NO SE FORMULA">
      <formula>NOT(ISERROR(SEARCH("NO SE FORMULA",HT235)))</formula>
    </cfRule>
    <cfRule type="containsText" dxfId="2834" priority="3131" operator="containsText" text="OTRO">
      <formula>NOT(ISERROR(SEARCH("OTRO",HT235)))</formula>
    </cfRule>
    <cfRule type="containsText" dxfId="2833" priority="3132" operator="containsText" text="IRREGULAR">
      <formula>NOT(ISERROR(SEARCH("IRREGULAR",HT235)))</formula>
    </cfRule>
    <cfRule type="containsText" dxfId="2832" priority="3133" operator="containsText" text="ADECUADO">
      <formula>NOT(ISERROR(SEARCH("ADECUADO",HT235)))</formula>
    </cfRule>
  </conditionalFormatting>
  <conditionalFormatting sqref="FB207">
    <cfRule type="containsText" dxfId="2831" priority="3110" operator="containsText" text="RH NEGATIVO SIN COOMB">
      <formula>NOT(ISERROR(SEARCH("RH NEGATIVO SIN COOMB",FB207)))</formula>
    </cfRule>
    <cfRule type="containsText" dxfId="2830" priority="3111" operator="containsText" text="RH NEGATIVO CON COOMBS POSITIVO">
      <formula>NOT(ISERROR(SEARCH("RH NEGATIVO CON COOMBS POSITIVO",FB207)))</formula>
    </cfRule>
    <cfRule type="containsText" dxfId="2829" priority="3112" operator="containsText" text="RH NEGATIVO CON COOMBS NEGATIVO">
      <formula>NOT(ISERROR(SEARCH("RH NEGATIVO CON COOMBS NEGATIVO",FB207)))</formula>
    </cfRule>
    <cfRule type="containsText" dxfId="2828" priority="3113" operator="containsText" text="RH POSITIVO">
      <formula>NOT(ISERROR(SEARCH("RH POSITIVO",FB207)))</formula>
    </cfRule>
  </conditionalFormatting>
  <conditionalFormatting sqref="FK207">
    <cfRule type="containsText" dxfId="2827" priority="3106" operator="containsText" text="RH NEGATIVO SIN COOMB">
      <formula>NOT(ISERROR(SEARCH("RH NEGATIVO SIN COOMB",FK207)))</formula>
    </cfRule>
    <cfRule type="containsText" dxfId="2826" priority="3107" operator="containsText" text="RH NEGATIVO CON COOMBS POSITIVO">
      <formula>NOT(ISERROR(SEARCH("RH NEGATIVO CON COOMBS POSITIVO",FK207)))</formula>
    </cfRule>
    <cfRule type="containsText" dxfId="2825" priority="3108" operator="containsText" text="RH NEGATIVO CON COOMBS NEGATIVO">
      <formula>NOT(ISERROR(SEARCH("RH NEGATIVO CON COOMBS NEGATIVO",FK207)))</formula>
    </cfRule>
    <cfRule type="containsText" dxfId="2824" priority="3109" operator="containsText" text="RH POSITIVO">
      <formula>NOT(ISERROR(SEARCH("RH POSITIVO",FK207)))</formula>
    </cfRule>
  </conditionalFormatting>
  <conditionalFormatting sqref="FZ207:FZ209">
    <cfRule type="containsText" dxfId="2823" priority="3102" operator="containsText" text="RH NEGATIVO SIN COOMB">
      <formula>NOT(ISERROR(SEARCH("RH NEGATIVO SIN COOMB",FZ207)))</formula>
    </cfRule>
    <cfRule type="containsText" dxfId="2822" priority="3103" operator="containsText" text="RH NEGATIVO CON COOMBS POSITIVO">
      <formula>NOT(ISERROR(SEARCH("RH NEGATIVO CON COOMBS POSITIVO",FZ207)))</formula>
    </cfRule>
    <cfRule type="containsText" dxfId="2821" priority="3104" operator="containsText" text="RH NEGATIVO CON COOMBS NEGATIVO">
      <formula>NOT(ISERROR(SEARCH("RH NEGATIVO CON COOMBS NEGATIVO",FZ207)))</formula>
    </cfRule>
    <cfRule type="containsText" dxfId="2820" priority="3105" operator="containsText" text="RH POSITIVO">
      <formula>NOT(ISERROR(SEARCH("RH POSITIVO",FZ207)))</formula>
    </cfRule>
  </conditionalFormatting>
  <conditionalFormatting sqref="GO207">
    <cfRule type="containsText" dxfId="2819" priority="3098" operator="containsText" text="RH NEGATIVO SIN COOMB">
      <formula>NOT(ISERROR(SEARCH("RH NEGATIVO SIN COOMB",GO207)))</formula>
    </cfRule>
    <cfRule type="containsText" dxfId="2818" priority="3099" operator="containsText" text="RH NEGATIVO CON COOMBS POSITIVO">
      <formula>NOT(ISERROR(SEARCH("RH NEGATIVO CON COOMBS POSITIVO",GO207)))</formula>
    </cfRule>
    <cfRule type="containsText" dxfId="2817" priority="3100" operator="containsText" text="RH NEGATIVO CON COOMBS NEGATIVO">
      <formula>NOT(ISERROR(SEARCH("RH NEGATIVO CON COOMBS NEGATIVO",GO207)))</formula>
    </cfRule>
    <cfRule type="containsText" dxfId="2816" priority="3101" operator="containsText" text="RH POSITIVO">
      <formula>NOT(ISERROR(SEARCH("RH POSITIVO",GO207)))</formula>
    </cfRule>
  </conditionalFormatting>
  <conditionalFormatting sqref="HX207 HT207 HV207">
    <cfRule type="containsText" dxfId="2815" priority="3094" operator="containsText" text="NO SE FORMULA">
      <formula>NOT(ISERROR(SEARCH("NO SE FORMULA",HT207)))</formula>
    </cfRule>
    <cfRule type="containsText" dxfId="2814" priority="3095" operator="containsText" text="OTRO">
      <formula>NOT(ISERROR(SEARCH("OTRO",HT207)))</formula>
    </cfRule>
    <cfRule type="containsText" dxfId="2813" priority="3096" operator="containsText" text="IRREGULAR">
      <formula>NOT(ISERROR(SEARCH("IRREGULAR",HT207)))</formula>
    </cfRule>
    <cfRule type="containsText" dxfId="2812" priority="3097" operator="containsText" text="ADECUADO">
      <formula>NOT(ISERROR(SEARCH("ADECUADO",HT207)))</formula>
    </cfRule>
  </conditionalFormatting>
  <conditionalFormatting sqref="AJ208 AG208:AH208">
    <cfRule type="cellIs" dxfId="2811" priority="3091" operator="equal">
      <formula>"SD"</formula>
    </cfRule>
    <cfRule type="cellIs" dxfId="2810" priority="3092" operator="equal">
      <formula>"NO"</formula>
    </cfRule>
    <cfRule type="cellIs" dxfId="2809" priority="3093" operator="equal">
      <formula>"SI"</formula>
    </cfRule>
  </conditionalFormatting>
  <conditionalFormatting sqref="AI208">
    <cfRule type="containsText" dxfId="2808" priority="3084" operator="containsText" text="HABITANTE DE CALLE">
      <formula>NOT(ISERROR(SEARCH("HABITANTE DE CALLE",AI208)))</formula>
    </cfRule>
    <cfRule type="containsText" dxfId="2807" priority="3087" operator="containsText" text="NINGUNO">
      <formula>NOT(ISERROR(SEARCH("NINGUNO",AI208)))</formula>
    </cfRule>
    <cfRule type="containsText" dxfId="2806" priority="3088" operator="containsText" text="MIGRATORIA">
      <formula>NOT(ISERROR(SEARCH("MIGRATORIA",AI208)))</formula>
    </cfRule>
    <cfRule type="containsText" dxfId="2805" priority="3089" operator="containsText" text="DISCAPACIDAD">
      <formula>NOT(ISERROR(SEARCH("DISCAPACIDAD",AI208)))</formula>
    </cfRule>
    <cfRule type="containsText" dxfId="2804" priority="3090" operator="containsText" text="DESPLAZADA">
      <formula>NOT(ISERROR(SEARCH("DESPLAZADA",AI208)))</formula>
    </cfRule>
  </conditionalFormatting>
  <conditionalFormatting sqref="AF208">
    <cfRule type="containsText" dxfId="2803" priority="3085" operator="containsText" text="NO">
      <formula>NOT(ISERROR(SEARCH("NO",AF208)))</formula>
    </cfRule>
    <cfRule type="containsText" dxfId="2802" priority="3086" operator="containsText" text="SI">
      <formula>NOT(ISERROR(SEARCH("SI",AF208)))</formula>
    </cfRule>
  </conditionalFormatting>
  <conditionalFormatting sqref="AX208">
    <cfRule type="cellIs" dxfId="2801" priority="3081" operator="equal">
      <formula>"SD"</formula>
    </cfRule>
    <cfRule type="cellIs" dxfId="2800" priority="3082" operator="equal">
      <formula>"NO"</formula>
    </cfRule>
    <cfRule type="cellIs" dxfId="2799" priority="3083" operator="equal">
      <formula>"SI"</formula>
    </cfRule>
  </conditionalFormatting>
  <conditionalFormatting sqref="BD208:BI208 AY208:BB208 BK208:BM208">
    <cfRule type="cellIs" dxfId="2798" priority="3078" operator="equal">
      <formula>"SD"</formula>
    </cfRule>
    <cfRule type="cellIs" dxfId="2797" priority="3079" operator="equal">
      <formula>"NO"</formula>
    </cfRule>
    <cfRule type="cellIs" dxfId="2796" priority="3080" operator="equal">
      <formula>"SI"</formula>
    </cfRule>
  </conditionalFormatting>
  <conditionalFormatting sqref="BC208">
    <cfRule type="containsText" dxfId="2795" priority="3073" operator="containsText" text="SD">
      <formula>NOT(ISERROR(SEARCH("SD",BC208)))</formula>
    </cfRule>
    <cfRule type="containsText" dxfId="2794" priority="3074" operator="containsText" text="SI, NO CONTROLADA">
      <formula>NOT(ISERROR(SEARCH("SI, NO CONTROLADA",BC208)))</formula>
    </cfRule>
    <cfRule type="containsText" dxfId="2793" priority="3075" operator="containsText" text="SI, SIN MANEJO">
      <formula>NOT(ISERROR(SEARCH("SI, SIN MANEJO",BC208)))</formula>
    </cfRule>
    <cfRule type="containsText" dxfId="2792" priority="3076" operator="containsText" text="SI, CONTROLADA">
      <formula>NOT(ISERROR(SEARCH("SI, CONTROLADA",BC208)))</formula>
    </cfRule>
    <cfRule type="containsText" dxfId="2791" priority="3077" operator="containsText" text="NO">
      <formula>NOT(ISERROR(SEARCH("NO",BC208)))</formula>
    </cfRule>
  </conditionalFormatting>
  <conditionalFormatting sqref="BK208:BM208">
    <cfRule type="cellIs" dxfId="2790" priority="3070" operator="equal">
      <formula>"SD"</formula>
    </cfRule>
    <cfRule type="cellIs" dxfId="2789" priority="3071" operator="equal">
      <formula>"NO"</formula>
    </cfRule>
    <cfRule type="cellIs" dxfId="2788" priority="3072" operator="equal">
      <formula>"SI"</formula>
    </cfRule>
  </conditionalFormatting>
  <conditionalFormatting sqref="AY208:BA208">
    <cfRule type="cellIs" dxfId="2787" priority="3067" operator="equal">
      <formula>"SD"</formula>
    </cfRule>
    <cfRule type="cellIs" dxfId="2786" priority="3068" operator="equal">
      <formula>"NO"</formula>
    </cfRule>
    <cfRule type="cellIs" dxfId="2785" priority="3069" operator="equal">
      <formula>"SI"</formula>
    </cfRule>
  </conditionalFormatting>
  <conditionalFormatting sqref="BD208:BI208 BB208">
    <cfRule type="cellIs" dxfId="2784" priority="3064" operator="equal">
      <formula>"SD"</formula>
    </cfRule>
    <cfRule type="cellIs" dxfId="2783" priority="3065" operator="equal">
      <formula>"NO"</formula>
    </cfRule>
    <cfRule type="cellIs" dxfId="2782" priority="3066" operator="equal">
      <formula>"SI"</formula>
    </cfRule>
  </conditionalFormatting>
  <conditionalFormatting sqref="BC208">
    <cfRule type="containsText" dxfId="2781" priority="3059" operator="containsText" text="SD">
      <formula>NOT(ISERROR(SEARCH("SD",BC208)))</formula>
    </cfRule>
    <cfRule type="containsText" dxfId="2780" priority="3060" operator="containsText" text="SI, NO CONTROLADA">
      <formula>NOT(ISERROR(SEARCH("SI, NO CONTROLADA",BC208)))</formula>
    </cfRule>
    <cfRule type="containsText" dxfId="2779" priority="3061" operator="containsText" text="SI, SIN MANEJO">
      <formula>NOT(ISERROR(SEARCH("SI, SIN MANEJO",BC208)))</formula>
    </cfRule>
    <cfRule type="containsText" dxfId="2778" priority="3062" operator="containsText" text="SI, CONTROLADA">
      <formula>NOT(ISERROR(SEARCH("SI, CONTROLADA",BC208)))</formula>
    </cfRule>
    <cfRule type="containsText" dxfId="2777" priority="3063" operator="containsText" text="NO">
      <formula>NOT(ISERROR(SEARCH("NO",BC208)))</formula>
    </cfRule>
  </conditionalFormatting>
  <conditionalFormatting sqref="BE208">
    <cfRule type="expression" dxfId="2776" priority="3058">
      <formula>IF(AND(FA208&gt;=126,FC208&lt;24),1,0)</formula>
    </cfRule>
  </conditionalFormatting>
  <conditionalFormatting sqref="FB208">
    <cfRule type="containsText" dxfId="2775" priority="3054" operator="containsText" text="RH NEGATIVO SIN COOMB">
      <formula>NOT(ISERROR(SEARCH("RH NEGATIVO SIN COOMB",FB208)))</formula>
    </cfRule>
    <cfRule type="containsText" dxfId="2774" priority="3055" operator="containsText" text="RH NEGATIVO CON COOMBS POSITIVO">
      <formula>NOT(ISERROR(SEARCH("RH NEGATIVO CON COOMBS POSITIVO",FB208)))</formula>
    </cfRule>
    <cfRule type="containsText" dxfId="2773" priority="3056" operator="containsText" text="RH NEGATIVO CON COOMBS NEGATIVO">
      <formula>NOT(ISERROR(SEARCH("RH NEGATIVO CON COOMBS NEGATIVO",FB208)))</formula>
    </cfRule>
    <cfRule type="containsText" dxfId="2772" priority="3057" operator="containsText" text="RH POSITIVO">
      <formula>NOT(ISERROR(SEARCH("RH POSITIVO",FB208)))</formula>
    </cfRule>
  </conditionalFormatting>
  <conditionalFormatting sqref="FK208">
    <cfRule type="containsText" dxfId="2771" priority="3050" operator="containsText" text="RH NEGATIVO SIN COOMB">
      <formula>NOT(ISERROR(SEARCH("RH NEGATIVO SIN COOMB",FK208)))</formula>
    </cfRule>
    <cfRule type="containsText" dxfId="2770" priority="3051" operator="containsText" text="RH NEGATIVO CON COOMBS POSITIVO">
      <formula>NOT(ISERROR(SEARCH("RH NEGATIVO CON COOMBS POSITIVO",FK208)))</formula>
    </cfRule>
    <cfRule type="containsText" dxfId="2769" priority="3052" operator="containsText" text="RH NEGATIVO CON COOMBS NEGATIVO">
      <formula>NOT(ISERROR(SEARCH("RH NEGATIVO CON COOMBS NEGATIVO",FK208)))</formula>
    </cfRule>
    <cfRule type="containsText" dxfId="2768" priority="3053" operator="containsText" text="RH POSITIVO">
      <formula>NOT(ISERROR(SEARCH("RH POSITIVO",FK208)))</formula>
    </cfRule>
  </conditionalFormatting>
  <conditionalFormatting sqref="GO208">
    <cfRule type="containsText" dxfId="2767" priority="3042" operator="containsText" text="RH NEGATIVO SIN COOMB">
      <formula>NOT(ISERROR(SEARCH("RH NEGATIVO SIN COOMB",GO208)))</formula>
    </cfRule>
    <cfRule type="containsText" dxfId="2766" priority="3043" operator="containsText" text="RH NEGATIVO CON COOMBS POSITIVO">
      <formula>NOT(ISERROR(SEARCH("RH NEGATIVO CON COOMBS POSITIVO",GO208)))</formula>
    </cfRule>
    <cfRule type="containsText" dxfId="2765" priority="3044" operator="containsText" text="RH NEGATIVO CON COOMBS NEGATIVO">
      <formula>NOT(ISERROR(SEARCH("RH NEGATIVO CON COOMBS NEGATIVO",GO208)))</formula>
    </cfRule>
    <cfRule type="containsText" dxfId="2764" priority="3045" operator="containsText" text="RH POSITIVO">
      <formula>NOT(ISERROR(SEARCH("RH POSITIVO",GO208)))</formula>
    </cfRule>
  </conditionalFormatting>
  <conditionalFormatting sqref="CU205">
    <cfRule type="expression" dxfId="2763" priority="3041">
      <formula>IF(CW205="NO APLICA REGISTRO TA-INGRESO TARDIO",1,"")</formula>
    </cfRule>
  </conditionalFormatting>
  <conditionalFormatting sqref="CV205">
    <cfRule type="expression" dxfId="2762" priority="3040">
      <formula>IF(CW205="NO APLICA REGISTRO TA-INGRESO TARDIO",1,"")</formula>
    </cfRule>
  </conditionalFormatting>
  <conditionalFormatting sqref="BJ90">
    <cfRule type="cellIs" dxfId="2761" priority="3034" operator="equal">
      <formula>"SD"</formula>
    </cfRule>
    <cfRule type="cellIs" dxfId="2760" priority="3035" operator="equal">
      <formula>"NO"</formula>
    </cfRule>
    <cfRule type="cellIs" dxfId="2759" priority="3036" operator="equal">
      <formula>"SI"</formula>
    </cfRule>
  </conditionalFormatting>
  <conditionalFormatting sqref="BK90">
    <cfRule type="cellIs" dxfId="2758" priority="3031" operator="equal">
      <formula>"SD"</formula>
    </cfRule>
    <cfRule type="cellIs" dxfId="2757" priority="3032" operator="equal">
      <formula>"NO"</formula>
    </cfRule>
    <cfRule type="cellIs" dxfId="2756" priority="3033" operator="equal">
      <formula>"SI"</formula>
    </cfRule>
  </conditionalFormatting>
  <conditionalFormatting sqref="GN138">
    <cfRule type="containsText" dxfId="2755" priority="3029" operator="containsText" text="POSITIVO">
      <formula>NOT(ISERROR(SEARCH("POSITIVO",GN138)))</formula>
    </cfRule>
    <cfRule type="containsText" dxfId="2754" priority="3030" operator="containsText" text="NEGATIVO">
      <formula>NOT(ISERROR(SEARCH("NEGATIVO",GN138)))</formula>
    </cfRule>
  </conditionalFormatting>
  <conditionalFormatting sqref="GQ138:GR138">
    <cfRule type="containsText" dxfId="2753" priority="3027" operator="containsText" text="POSITIVO">
      <formula>NOT(ISERROR(SEARCH("POSITIVO",GQ138)))</formula>
    </cfRule>
    <cfRule type="containsText" dxfId="2752" priority="3028" operator="containsText" text="NEGATIVO">
      <formula>NOT(ISERROR(SEARCH("NEGATIVO",GQ138)))</formula>
    </cfRule>
  </conditionalFormatting>
  <conditionalFormatting sqref="GS138">
    <cfRule type="containsText" dxfId="2751" priority="3024" operator="containsText" text="Igm">
      <formula>NOT(ISERROR(SEARCH("Igm",GS138)))</formula>
    </cfRule>
    <cfRule type="containsText" dxfId="2750" priority="3025" operator="containsText" text="REMITIR">
      <formula>NOT(ISERROR(SEARCH("REMITIR",GS138)))</formula>
    </cfRule>
    <cfRule type="containsText" dxfId="2749" priority="3026" operator="containsText" text="EXCLUYE">
      <formula>NOT(ISERROR(SEARCH("EXCLUYE",GS138)))</formula>
    </cfRule>
  </conditionalFormatting>
  <conditionalFormatting sqref="AC155">
    <cfRule type="containsText" dxfId="2748" priority="3020" operator="containsText" text="SABE">
      <formula>NOT(ISERROR(SEARCH("SABE",AC155)))</formula>
    </cfRule>
    <cfRule type="containsText" dxfId="2747" priority="3021" operator="containsText" text="SECUNDARIA">
      <formula>NOT(ISERROR(SEARCH("SECUNDARIA",AC155)))</formula>
    </cfRule>
    <cfRule type="containsText" dxfId="2746" priority="3022" operator="containsText" text="PRIMARIA INCOMPLETA">
      <formula>NOT(ISERROR(SEARCH("PRIMARIA INCOMPLETA",AC155)))</formula>
    </cfRule>
    <cfRule type="cellIs" dxfId="2745" priority="3023" operator="equal">
      <formula>"ANALFABETA"</formula>
    </cfRule>
  </conditionalFormatting>
  <conditionalFormatting sqref="AD155">
    <cfRule type="containsText" dxfId="2744" priority="3017" operator="containsText" text="No Consume">
      <formula>NOT(ISERROR(SEARCH("No Consume",AD155)))</formula>
    </cfRule>
    <cfRule type="containsText" dxfId="2743" priority="3018" operator="containsText" text="Hasta Antes de la Gestación">
      <formula>NOT(ISERROR(SEARCH("Hasta Antes de la Gestación",AD155)))</formula>
    </cfRule>
    <cfRule type="containsText" dxfId="2742" priority="3019" operator="containsText" text="Consumo Actual">
      <formula>NOT(ISERROR(SEARCH("Consumo Actual",AD155)))</formula>
    </cfRule>
  </conditionalFormatting>
  <conditionalFormatting sqref="L156">
    <cfRule type="containsText" dxfId="2741" priority="2999" operator="containsText" text="Empleo informal">
      <formula>NOT(ISERROR(SEARCH("Empleo informal",L156)))</formula>
    </cfRule>
    <cfRule type="containsText" dxfId="2740" priority="3000" operator="containsText" text="Empleada formalmente con riesgo a tóxicos">
      <formula>NOT(ISERROR(SEARCH("Empleada formalmente con riesgo a tóxicos",L156)))</formula>
    </cfRule>
    <cfRule type="containsText" dxfId="2739" priority="3001" operator="containsText" text="Empleada formalmente con riesgo de accidente laboral">
      <formula>NOT(ISERROR(SEARCH("Empleada formalmente con riesgo de accidente laboral",L156)))</formula>
    </cfRule>
    <cfRule type="containsText" dxfId="2738" priority="3002" operator="containsText" text="Empleada formalmente por jornada laboral extensa">
      <formula>NOT(ISERROR(SEARCH("Empleada formalmente por jornada laboral extensa",L156)))</formula>
    </cfRule>
    <cfRule type="containsText" dxfId="2737" priority="3003" operator="containsText" text="Empleada formalmente sin riesgo">
      <formula>NOT(ISERROR(SEARCH("Empleada formalmente sin riesgo",L156)))</formula>
    </cfRule>
    <cfRule type="containsText" dxfId="2736" priority="3004" operator="containsText" text="Actualmente desempleada">
      <formula>NOT(ISERROR(SEARCH("Actualmente desempleada",L156)))</formula>
    </cfRule>
    <cfRule type="containsText" dxfId="2735" priority="3005" operator="containsText" text="Hogar sin apoyo">
      <formula>NOT(ISERROR(SEARCH("Hogar sin apoyo",L156)))</formula>
    </cfRule>
    <cfRule type="containsText" dxfId="2734" priority="3006" operator="containsText" text="Empleada formalmente sin riesgo">
      <formula>NOT(ISERROR(SEARCH("Empleada formalmente sin riesgo",L156)))</formula>
    </cfRule>
    <cfRule type="containsText" dxfId="2733" priority="3007" operator="containsText" text="Hogar Con apoyo">
      <formula>NOT(ISERROR(SEARCH("Hogar Con apoyo",L156)))</formula>
    </cfRule>
  </conditionalFormatting>
  <conditionalFormatting sqref="CR156">
    <cfRule type="expression" dxfId="2732" priority="2998">
      <formula>IF(CT156="NO APLICA REGISTRO TA-INGRESO TARDIO",1,"")</formula>
    </cfRule>
  </conditionalFormatting>
  <conditionalFormatting sqref="CS156">
    <cfRule type="expression" dxfId="2731" priority="2997">
      <formula>IF(CT156="NO APLICA REGISTRO TA-INGRESO TARDIO",1,"")</formula>
    </cfRule>
  </conditionalFormatting>
  <conditionalFormatting sqref="FB203">
    <cfRule type="containsText" dxfId="2730" priority="2990" operator="containsText" text="RH NEGATIVO SIN COOMB">
      <formula>NOT(ISERROR(SEARCH("RH NEGATIVO SIN COOMB",FB203)))</formula>
    </cfRule>
    <cfRule type="containsText" dxfId="2729" priority="2991" operator="containsText" text="RH NEGATIVO CON COOMBS POSITIVO">
      <formula>NOT(ISERROR(SEARCH("RH NEGATIVO CON COOMBS POSITIVO",FB203)))</formula>
    </cfRule>
    <cfRule type="containsText" dxfId="2728" priority="2992" operator="containsText" text="RH NEGATIVO CON COOMBS NEGATIVO">
      <formula>NOT(ISERROR(SEARCH("RH NEGATIVO CON COOMBS NEGATIVO",FB203)))</formula>
    </cfRule>
    <cfRule type="containsText" dxfId="2727" priority="2993" operator="containsText" text="RH POSITIVO">
      <formula>NOT(ISERROR(SEARCH("RH POSITIVO",FB203)))</formula>
    </cfRule>
  </conditionalFormatting>
  <conditionalFormatting sqref="FB215">
    <cfRule type="containsText" dxfId="2726" priority="2986" operator="containsText" text="RH NEGATIVO SIN COOMB">
      <formula>NOT(ISERROR(SEARCH("RH NEGATIVO SIN COOMB",FB215)))</formula>
    </cfRule>
    <cfRule type="containsText" dxfId="2725" priority="2987" operator="containsText" text="RH NEGATIVO CON COOMBS POSITIVO">
      <formula>NOT(ISERROR(SEARCH("RH NEGATIVO CON COOMBS POSITIVO",FB215)))</formula>
    </cfRule>
    <cfRule type="containsText" dxfId="2724" priority="2988" operator="containsText" text="RH NEGATIVO CON COOMBS NEGATIVO">
      <formula>NOT(ISERROR(SEARCH("RH NEGATIVO CON COOMBS NEGATIVO",FB215)))</formula>
    </cfRule>
    <cfRule type="containsText" dxfId="2723" priority="2989" operator="containsText" text="RH POSITIVO">
      <formula>NOT(ISERROR(SEARCH("RH POSITIVO",FB215)))</formula>
    </cfRule>
  </conditionalFormatting>
  <conditionalFormatting sqref="AX216">
    <cfRule type="cellIs" dxfId="2722" priority="2983" operator="equal">
      <formula>"SD"</formula>
    </cfRule>
    <cfRule type="cellIs" dxfId="2721" priority="2984" operator="equal">
      <formula>"NO"</formula>
    </cfRule>
    <cfRule type="cellIs" dxfId="2720" priority="2985" operator="equal">
      <formula>"SI"</formula>
    </cfRule>
  </conditionalFormatting>
  <conditionalFormatting sqref="BK108">
    <cfRule type="cellIs" dxfId="2719" priority="2980" operator="equal">
      <formula>"SD"</formula>
    </cfRule>
    <cfRule type="cellIs" dxfId="2718" priority="2981" operator="equal">
      <formula>"NO"</formula>
    </cfRule>
    <cfRule type="cellIs" dxfId="2717" priority="2982" operator="equal">
      <formula>"SI"</formula>
    </cfRule>
  </conditionalFormatting>
  <conditionalFormatting sqref="BK165">
    <cfRule type="cellIs" dxfId="2716" priority="2974" operator="equal">
      <formula>"SD"</formula>
    </cfRule>
    <cfRule type="cellIs" dxfId="2715" priority="2975" operator="equal">
      <formula>"NO"</formula>
    </cfRule>
    <cfRule type="cellIs" dxfId="2714" priority="2976" operator="equal">
      <formula>"SI"</formula>
    </cfRule>
  </conditionalFormatting>
  <conditionalFormatting sqref="BK148">
    <cfRule type="cellIs" dxfId="2713" priority="2968" operator="equal">
      <formula>"SD"</formula>
    </cfRule>
    <cfRule type="cellIs" dxfId="2712" priority="2969" operator="equal">
      <formula>"NO"</formula>
    </cfRule>
    <cfRule type="cellIs" dxfId="2711" priority="2970" operator="equal">
      <formula>"SI"</formula>
    </cfRule>
  </conditionalFormatting>
  <conditionalFormatting sqref="BK145">
    <cfRule type="cellIs" dxfId="2710" priority="2962" operator="equal">
      <formula>"SD"</formula>
    </cfRule>
    <cfRule type="cellIs" dxfId="2709" priority="2963" operator="equal">
      <formula>"NO"</formula>
    </cfRule>
    <cfRule type="cellIs" dxfId="2708" priority="2964" operator="equal">
      <formula>"SI"</formula>
    </cfRule>
  </conditionalFormatting>
  <conditionalFormatting sqref="BK101">
    <cfRule type="cellIs" dxfId="2707" priority="2956" operator="equal">
      <formula>"SD"</formula>
    </cfRule>
    <cfRule type="cellIs" dxfId="2706" priority="2957" operator="equal">
      <formula>"NO"</formula>
    </cfRule>
    <cfRule type="cellIs" dxfId="2705" priority="2958" operator="equal">
      <formula>"SI"</formula>
    </cfRule>
  </conditionalFormatting>
  <conditionalFormatting sqref="BK171">
    <cfRule type="cellIs" dxfId="2704" priority="2950" operator="equal">
      <formula>"SD"</formula>
    </cfRule>
    <cfRule type="cellIs" dxfId="2703" priority="2951" operator="equal">
      <formula>"NO"</formula>
    </cfRule>
    <cfRule type="cellIs" dxfId="2702" priority="2952" operator="equal">
      <formula>"SI"</formula>
    </cfRule>
  </conditionalFormatting>
  <conditionalFormatting sqref="BK180">
    <cfRule type="cellIs" dxfId="2701" priority="2944" operator="equal">
      <formula>"SD"</formula>
    </cfRule>
    <cfRule type="cellIs" dxfId="2700" priority="2945" operator="equal">
      <formula>"NO"</formula>
    </cfRule>
    <cfRule type="cellIs" dxfId="2699" priority="2946" operator="equal">
      <formula>"SI"</formula>
    </cfRule>
  </conditionalFormatting>
  <conditionalFormatting sqref="BK133">
    <cfRule type="cellIs" dxfId="2698" priority="2938" operator="equal">
      <formula>"SD"</formula>
    </cfRule>
    <cfRule type="cellIs" dxfId="2697" priority="2939" operator="equal">
      <formula>"NO"</formula>
    </cfRule>
    <cfRule type="cellIs" dxfId="2696" priority="2940" operator="equal">
      <formula>"SI"</formula>
    </cfRule>
  </conditionalFormatting>
  <conditionalFormatting sqref="L126">
    <cfRule type="containsText" dxfId="2695" priority="2923" operator="containsText" text="Empleo informal">
      <formula>NOT(ISERROR(SEARCH("Empleo informal",L126)))</formula>
    </cfRule>
    <cfRule type="containsText" dxfId="2694" priority="2924" operator="containsText" text="Empleada formalmente con riesgo a tóxicos">
      <formula>NOT(ISERROR(SEARCH("Empleada formalmente con riesgo a tóxicos",L126)))</formula>
    </cfRule>
    <cfRule type="containsText" dxfId="2693" priority="2925" operator="containsText" text="Empleada formalmente con riesgo de accidente laboral">
      <formula>NOT(ISERROR(SEARCH("Empleada formalmente con riesgo de accidente laboral",L126)))</formula>
    </cfRule>
    <cfRule type="containsText" dxfId="2692" priority="2926" operator="containsText" text="Empleada formalmente por jornada laboral extensa">
      <formula>NOT(ISERROR(SEARCH("Empleada formalmente por jornada laboral extensa",L126)))</formula>
    </cfRule>
    <cfRule type="containsText" dxfId="2691" priority="2927" operator="containsText" text="Empleada formalmente sin riesgo">
      <formula>NOT(ISERROR(SEARCH("Empleada formalmente sin riesgo",L126)))</formula>
    </cfRule>
    <cfRule type="containsText" dxfId="2690" priority="2928" operator="containsText" text="Actualmente desempleada">
      <formula>NOT(ISERROR(SEARCH("Actualmente desempleada",L126)))</formula>
    </cfRule>
    <cfRule type="containsText" dxfId="2689" priority="2929" operator="containsText" text="Hogar sin apoyo">
      <formula>NOT(ISERROR(SEARCH("Hogar sin apoyo",L126)))</formula>
    </cfRule>
    <cfRule type="containsText" dxfId="2688" priority="2930" operator="containsText" text="Empleada formalmente sin riesgo">
      <formula>NOT(ISERROR(SEARCH("Empleada formalmente sin riesgo",L126)))</formula>
    </cfRule>
    <cfRule type="containsText" dxfId="2687" priority="2931" operator="containsText" text="Hogar Con apoyo">
      <formula>NOT(ISERROR(SEARCH("Hogar Con apoyo",L126)))</formula>
    </cfRule>
  </conditionalFormatting>
  <conditionalFormatting sqref="AC196">
    <cfRule type="containsText" dxfId="2686" priority="2919" operator="containsText" text="SABE">
      <formula>NOT(ISERROR(SEARCH("SABE",AC196)))</formula>
    </cfRule>
    <cfRule type="containsText" dxfId="2685" priority="2920" operator="containsText" text="SECUNDARIA">
      <formula>NOT(ISERROR(SEARCH("SECUNDARIA",AC196)))</formula>
    </cfRule>
    <cfRule type="containsText" dxfId="2684" priority="2921" operator="containsText" text="PRIMARIA INCOMPLETA">
      <formula>NOT(ISERROR(SEARCH("PRIMARIA INCOMPLETA",AC196)))</formula>
    </cfRule>
    <cfRule type="cellIs" dxfId="2683" priority="2922" operator="equal">
      <formula>"ANALFABETA"</formula>
    </cfRule>
  </conditionalFormatting>
  <conditionalFormatting sqref="L211">
    <cfRule type="containsText" dxfId="2682" priority="2907" operator="containsText" text="Empleo informal">
      <formula>NOT(ISERROR(SEARCH("Empleo informal",L211)))</formula>
    </cfRule>
    <cfRule type="containsText" dxfId="2681" priority="2908" operator="containsText" text="Empleada formalmente con riesgo a tóxicos">
      <formula>NOT(ISERROR(SEARCH("Empleada formalmente con riesgo a tóxicos",L211)))</formula>
    </cfRule>
    <cfRule type="containsText" dxfId="2680" priority="2909" operator="containsText" text="Empleada formalmente con riesgo de accidente laboral">
      <formula>NOT(ISERROR(SEARCH("Empleada formalmente con riesgo de accidente laboral",L211)))</formula>
    </cfRule>
    <cfRule type="containsText" dxfId="2679" priority="2910" operator="containsText" text="Empleada formalmente por jornada laboral extensa">
      <formula>NOT(ISERROR(SEARCH("Empleada formalmente por jornada laboral extensa",L211)))</formula>
    </cfRule>
    <cfRule type="containsText" dxfId="2678" priority="2911" operator="containsText" text="Empleada formalmente sin riesgo">
      <formula>NOT(ISERROR(SEARCH("Empleada formalmente sin riesgo",L211)))</formula>
    </cfRule>
    <cfRule type="containsText" dxfId="2677" priority="2912" operator="containsText" text="Actualmente desempleada">
      <formula>NOT(ISERROR(SEARCH("Actualmente desempleada",L211)))</formula>
    </cfRule>
    <cfRule type="containsText" dxfId="2676" priority="2913" operator="containsText" text="Hogar sin apoyo">
      <formula>NOT(ISERROR(SEARCH("Hogar sin apoyo",L211)))</formula>
    </cfRule>
    <cfRule type="containsText" dxfId="2675" priority="2914" operator="containsText" text="Empleada formalmente sin riesgo">
      <formula>NOT(ISERROR(SEARCH("Empleada formalmente sin riesgo",L211)))</formula>
    </cfRule>
    <cfRule type="containsText" dxfId="2674" priority="2915" operator="containsText" text="Hogar Con apoyo">
      <formula>NOT(ISERROR(SEARCH("Hogar Con apoyo",L211)))</formula>
    </cfRule>
  </conditionalFormatting>
  <conditionalFormatting sqref="BD211:BI211 AL211:BB211 AG211:AH211 AJ211 BK211:BM211">
    <cfRule type="cellIs" dxfId="2673" priority="2904" operator="equal">
      <formula>"SD"</formula>
    </cfRule>
    <cfRule type="cellIs" dxfId="2672" priority="2905" operator="equal">
      <formula>"NO"</formula>
    </cfRule>
    <cfRule type="cellIs" dxfId="2671" priority="2906" operator="equal">
      <formula>"SI"</formula>
    </cfRule>
  </conditionalFormatting>
  <conditionalFormatting sqref="AC211">
    <cfRule type="containsText" dxfId="2670" priority="2900" operator="containsText" text="SABE">
      <formula>NOT(ISERROR(SEARCH("SABE",AC211)))</formula>
    </cfRule>
    <cfRule type="containsText" dxfId="2669" priority="2901" operator="containsText" text="SECUNDARIA">
      <formula>NOT(ISERROR(SEARCH("SECUNDARIA",AC211)))</formula>
    </cfRule>
    <cfRule type="containsText" dxfId="2668" priority="2902" operator="containsText" text="PRIMARIA INCOMPLETA">
      <formula>NOT(ISERROR(SEARCH("PRIMARIA INCOMPLETA",AC211)))</formula>
    </cfRule>
    <cfRule type="cellIs" dxfId="2667" priority="2903" operator="equal">
      <formula>"ANALFABETA"</formula>
    </cfRule>
  </conditionalFormatting>
  <conditionalFormatting sqref="AW211">
    <cfRule type="cellIs" dxfId="2666" priority="2897" operator="equal">
      <formula>1</formula>
    </cfRule>
    <cfRule type="cellIs" dxfId="2665" priority="2898" operator="equal">
      <formula>"3 O MAS"</formula>
    </cfRule>
    <cfRule type="cellIs" dxfId="2664" priority="2899" operator="equal">
      <formula>2</formula>
    </cfRule>
  </conditionalFormatting>
  <conditionalFormatting sqref="AK211">
    <cfRule type="containsText" dxfId="2663" priority="2888" operator="containsText" text="COMPLETAR EVALUACIÓN">
      <formula>NOT(ISERROR(SEARCH("COMPLETAR EVALUACIÓN",AK211)))</formula>
    </cfRule>
    <cfRule type="containsText" dxfId="2662" priority="2895" operator="containsText" text="CON RIESGO">
      <formula>NOT(ISERROR(SEARCH("CON RIESGO",AK211)))</formula>
    </cfRule>
    <cfRule type="containsText" dxfId="2661" priority="2896" operator="containsText" text="SIN RIESGO">
      <formula>NOT(ISERROR(SEARCH("SIN RIESGO",AK211)))</formula>
    </cfRule>
  </conditionalFormatting>
  <conditionalFormatting sqref="AI211">
    <cfRule type="containsText" dxfId="2660" priority="2883" operator="containsText" text="HABITANTE DE CALLE">
      <formula>NOT(ISERROR(SEARCH("HABITANTE DE CALLE",AI211)))</formula>
    </cfRule>
    <cfRule type="containsText" dxfId="2659" priority="2891" operator="containsText" text="NINGUNO">
      <formula>NOT(ISERROR(SEARCH("NINGUNO",AI211)))</formula>
    </cfRule>
    <cfRule type="containsText" dxfId="2658" priority="2892" operator="containsText" text="MIGRATORIA">
      <formula>NOT(ISERROR(SEARCH("MIGRATORIA",AI211)))</formula>
    </cfRule>
    <cfRule type="containsText" dxfId="2657" priority="2893" operator="containsText" text="DISCAPACIDAD">
      <formula>NOT(ISERROR(SEARCH("DISCAPACIDAD",AI211)))</formula>
    </cfRule>
    <cfRule type="containsText" dxfId="2656" priority="2894" operator="containsText" text="DESPLAZADA">
      <formula>NOT(ISERROR(SEARCH("DESPLAZADA",AI211)))</formula>
    </cfRule>
  </conditionalFormatting>
  <conditionalFormatting sqref="AE211:AF211">
    <cfRule type="containsText" dxfId="2655" priority="2889" operator="containsText" text="NO">
      <formula>NOT(ISERROR(SEARCH("NO",AE211)))</formula>
    </cfRule>
    <cfRule type="containsText" dxfId="2654" priority="2890" operator="containsText" text="SI">
      <formula>NOT(ISERROR(SEARCH("SI",AE211)))</formula>
    </cfRule>
  </conditionalFormatting>
  <conditionalFormatting sqref="BE211">
    <cfRule type="expression" dxfId="2653" priority="2884">
      <formula>IF(AND(FA211&gt;=126,FC211&lt;24),1,0)</formula>
    </cfRule>
  </conditionalFormatting>
  <conditionalFormatting sqref="BC211">
    <cfRule type="cellIs" dxfId="2652" priority="2880" operator="equal">
      <formula>"SD"</formula>
    </cfRule>
    <cfRule type="cellIs" dxfId="2651" priority="2881" operator="equal">
      <formula>"NO"</formula>
    </cfRule>
    <cfRule type="cellIs" dxfId="2650" priority="2882" operator="equal">
      <formula>"SI"</formula>
    </cfRule>
  </conditionalFormatting>
  <conditionalFormatting sqref="L212">
    <cfRule type="containsText" dxfId="2649" priority="2868" operator="containsText" text="Empleo informal">
      <formula>NOT(ISERROR(SEARCH("Empleo informal",L212)))</formula>
    </cfRule>
    <cfRule type="containsText" dxfId="2648" priority="2869" operator="containsText" text="Empleada formalmente con riesgo a tóxicos">
      <formula>NOT(ISERROR(SEARCH("Empleada formalmente con riesgo a tóxicos",L212)))</formula>
    </cfRule>
    <cfRule type="containsText" dxfId="2647" priority="2870" operator="containsText" text="Empleada formalmente con riesgo de accidente laboral">
      <formula>NOT(ISERROR(SEARCH("Empleada formalmente con riesgo de accidente laboral",L212)))</formula>
    </cfRule>
    <cfRule type="containsText" dxfId="2646" priority="2871" operator="containsText" text="Empleada formalmente por jornada laboral extensa">
      <formula>NOT(ISERROR(SEARCH("Empleada formalmente por jornada laboral extensa",L212)))</formula>
    </cfRule>
    <cfRule type="containsText" dxfId="2645" priority="2872" operator="containsText" text="Empleada formalmente sin riesgo">
      <formula>NOT(ISERROR(SEARCH("Empleada formalmente sin riesgo",L212)))</formula>
    </cfRule>
    <cfRule type="containsText" dxfId="2644" priority="2873" operator="containsText" text="Actualmente desempleada">
      <formula>NOT(ISERROR(SEARCH("Actualmente desempleada",L212)))</formula>
    </cfRule>
    <cfRule type="containsText" dxfId="2643" priority="2874" operator="containsText" text="Hogar sin apoyo">
      <formula>NOT(ISERROR(SEARCH("Hogar sin apoyo",L212)))</formula>
    </cfRule>
    <cfRule type="containsText" dxfId="2642" priority="2875" operator="containsText" text="Empleada formalmente sin riesgo">
      <formula>NOT(ISERROR(SEARCH("Empleada formalmente sin riesgo",L212)))</formula>
    </cfRule>
    <cfRule type="containsText" dxfId="2641" priority="2876" operator="containsText" text="Hogar Con apoyo">
      <formula>NOT(ISERROR(SEARCH("Hogar Con apoyo",L212)))</formula>
    </cfRule>
  </conditionalFormatting>
  <conditionalFormatting sqref="BD212:BI212 AL212:BB212 AJ212 AG212:AH212 BK212:BM212">
    <cfRule type="cellIs" dxfId="2640" priority="2865" operator="equal">
      <formula>"SD"</formula>
    </cfRule>
    <cfRule type="cellIs" dxfId="2639" priority="2866" operator="equal">
      <formula>"NO"</formula>
    </cfRule>
    <cfRule type="cellIs" dxfId="2638" priority="2867" operator="equal">
      <formula>"SI"</formula>
    </cfRule>
  </conditionalFormatting>
  <conditionalFormatting sqref="P212">
    <cfRule type="containsText" dxfId="2637" priority="2861" operator="containsText" text="SI">
      <formula>NOT(ISERROR(SEARCH("SI",P212)))</formula>
    </cfRule>
    <cfRule type="containsText" dxfId="2636" priority="2862" operator="containsText" text="NO">
      <formula>NOT(ISERROR(SEARCH("NO",P212)))</formula>
    </cfRule>
    <cfRule type="containsText" dxfId="2635" priority="2863" operator="containsText" text="NA">
      <formula>NOT(ISERROR(SEARCH("NA",P212)))</formula>
    </cfRule>
  </conditionalFormatting>
  <conditionalFormatting sqref="Q212">
    <cfRule type="containsText" dxfId="2634" priority="2837" operator="containsText" text="SE TRASLADO DE EPS">
      <formula>NOT(ISERROR(SEARCH("SE TRASLADO DE EPS",Q212)))</formula>
    </cfRule>
    <cfRule type="containsText" dxfId="2633" priority="2856" operator="containsText" text="NOVEDAD">
      <formula>NOT(ISERROR(SEARCH("NOVEDAD",Q212)))</formula>
    </cfRule>
    <cfRule type="containsText" dxfId="2632" priority="2857" operator="containsText" text="IDENTIDAD">
      <formula>NOT(ISERROR(SEARCH("IDENTIDAD",Q212)))</formula>
    </cfRule>
    <cfRule type="containsText" dxfId="2631" priority="2858" operator="containsText" text="CPN">
      <formula>NOT(ISERROR(SEARCH("CPN",Q212)))</formula>
    </cfRule>
    <cfRule type="containsText" dxfId="2630" priority="2859" operator="containsText" text="VIENE">
      <formula>NOT(ISERROR(SEARCH("VIENE",Q212)))</formula>
    </cfRule>
    <cfRule type="cellIs" dxfId="2629" priority="2860" operator="equal">
      <formula>"TRAMITE DE PORTABILIDAD"</formula>
    </cfRule>
  </conditionalFormatting>
  <conditionalFormatting sqref="AC212">
    <cfRule type="containsText" dxfId="2628" priority="2852" operator="containsText" text="SABE">
      <formula>NOT(ISERROR(SEARCH("SABE",AC212)))</formula>
    </cfRule>
    <cfRule type="containsText" dxfId="2627" priority="2853" operator="containsText" text="SECUNDARIA">
      <formula>NOT(ISERROR(SEARCH("SECUNDARIA",AC212)))</formula>
    </cfRule>
    <cfRule type="containsText" dxfId="2626" priority="2854" operator="containsText" text="PRIMARIA INCOMPLETA">
      <formula>NOT(ISERROR(SEARCH("PRIMARIA INCOMPLETA",AC212)))</formula>
    </cfRule>
    <cfRule type="cellIs" dxfId="2625" priority="2855" operator="equal">
      <formula>"ANALFABETA"</formula>
    </cfRule>
  </conditionalFormatting>
  <conditionalFormatting sqref="AW212">
    <cfRule type="cellIs" dxfId="2624" priority="2849" operator="equal">
      <formula>1</formula>
    </cfRule>
    <cfRule type="cellIs" dxfId="2623" priority="2850" operator="equal">
      <formula>"3 O MAS"</formula>
    </cfRule>
    <cfRule type="cellIs" dxfId="2622" priority="2851" operator="equal">
      <formula>2</formula>
    </cfRule>
  </conditionalFormatting>
  <conditionalFormatting sqref="BP212">
    <cfRule type="cellIs" dxfId="2621" priority="2828" operator="equal">
      <formula>"NO"</formula>
    </cfRule>
    <cfRule type="cellIs" dxfId="2620" priority="2846" operator="equal">
      <formula>"SI"</formula>
    </cfRule>
    <cfRule type="cellIs" dxfId="2619" priority="2847" operator="equal">
      <formula>"CORREGIDA"</formula>
    </cfRule>
    <cfRule type="expression" dxfId="2618" priority="2848">
      <formula>IF(AND($BX212&gt;=1,$BX212&lt;21,RY212=1),1,0)</formula>
    </cfRule>
  </conditionalFormatting>
  <conditionalFormatting sqref="AK212">
    <cfRule type="containsText" dxfId="2617" priority="2834" operator="containsText" text="COMPLETAR EVALUACIÓN">
      <formula>NOT(ISERROR(SEARCH("COMPLETAR EVALUACIÓN",AK212)))</formula>
    </cfRule>
    <cfRule type="containsText" dxfId="2616" priority="2844" operator="containsText" text="CON RIESGO">
      <formula>NOT(ISERROR(SEARCH("CON RIESGO",AK212)))</formula>
    </cfRule>
    <cfRule type="containsText" dxfId="2615" priority="2845" operator="containsText" text="SIN RIESGO">
      <formula>NOT(ISERROR(SEARCH("SIN RIESGO",AK212)))</formula>
    </cfRule>
  </conditionalFormatting>
  <conditionalFormatting sqref="AI212">
    <cfRule type="containsText" dxfId="2614" priority="2829" operator="containsText" text="HABITANTE DE CALLE">
      <formula>NOT(ISERROR(SEARCH("HABITANTE DE CALLE",AI212)))</formula>
    </cfRule>
    <cfRule type="containsText" dxfId="2613" priority="2840" operator="containsText" text="NINGUNO">
      <formula>NOT(ISERROR(SEARCH("NINGUNO",AI212)))</formula>
    </cfRule>
    <cfRule type="containsText" dxfId="2612" priority="2841" operator="containsText" text="MIGRATORIA">
      <formula>NOT(ISERROR(SEARCH("MIGRATORIA",AI212)))</formula>
    </cfRule>
    <cfRule type="containsText" dxfId="2611" priority="2842" operator="containsText" text="DISCAPACIDAD">
      <formula>NOT(ISERROR(SEARCH("DISCAPACIDAD",AI212)))</formula>
    </cfRule>
    <cfRule type="containsText" dxfId="2610" priority="2843" operator="containsText" text="DESPLAZADA">
      <formula>NOT(ISERROR(SEARCH("DESPLAZADA",AI212)))</formula>
    </cfRule>
  </conditionalFormatting>
  <conditionalFormatting sqref="Q212">
    <cfRule type="containsText" dxfId="2609" priority="2838" operator="containsText" text="INMIGRANTE VENEZOLANA">
      <formula>NOT(ISERROR(SEARCH("INMIGRANTE VENEZOLANA",Q212)))</formula>
    </cfRule>
    <cfRule type="containsText" dxfId="2608" priority="2839" operator="containsText" text="SIN AFILIACIÓN A EPS">
      <formula>NOT(ISERROR(SEARCH("SIN AFILIACIÓN A EPS",Q212)))</formula>
    </cfRule>
  </conditionalFormatting>
  <conditionalFormatting sqref="AE212:AF212">
    <cfRule type="containsText" dxfId="2607" priority="2835" operator="containsText" text="NO">
      <formula>NOT(ISERROR(SEARCH("NO",AE212)))</formula>
    </cfRule>
    <cfRule type="containsText" dxfId="2606" priority="2836" operator="containsText" text="SI">
      <formula>NOT(ISERROR(SEARCH("SI",AE212)))</formula>
    </cfRule>
  </conditionalFormatting>
  <conditionalFormatting sqref="BE212">
    <cfRule type="expression" dxfId="2605" priority="2830">
      <formula>IF(AND(FA212&gt;=126,FC212&lt;24),1,0)</formula>
    </cfRule>
  </conditionalFormatting>
  <conditionalFormatting sqref="BC212">
    <cfRule type="cellIs" dxfId="2604" priority="2825" operator="equal">
      <formula>"SD"</formula>
    </cfRule>
    <cfRule type="cellIs" dxfId="2603" priority="2826" operator="equal">
      <formula>"NO"</formula>
    </cfRule>
    <cfRule type="cellIs" dxfId="2602" priority="2827" operator="equal">
      <formula>"SI"</formula>
    </cfRule>
  </conditionalFormatting>
  <conditionalFormatting sqref="AC153">
    <cfRule type="containsText" dxfId="2601" priority="2821" operator="containsText" text="SABE">
      <formula>NOT(ISERROR(SEARCH("SABE",AC153)))</formula>
    </cfRule>
    <cfRule type="containsText" dxfId="2600" priority="2822" operator="containsText" text="SECUNDARIA">
      <formula>NOT(ISERROR(SEARCH("SECUNDARIA",AC153)))</formula>
    </cfRule>
    <cfRule type="containsText" dxfId="2599" priority="2823" operator="containsText" text="PRIMARIA INCOMPLETA">
      <formula>NOT(ISERROR(SEARCH("PRIMARIA INCOMPLETA",AC153)))</formula>
    </cfRule>
    <cfRule type="cellIs" dxfId="2598" priority="2824" operator="equal">
      <formula>"ANALFABETA"</formula>
    </cfRule>
  </conditionalFormatting>
  <conditionalFormatting sqref="L176">
    <cfRule type="containsText" dxfId="2597" priority="2809" operator="containsText" text="Empleo informal">
      <formula>NOT(ISERROR(SEARCH("Empleo informal",L176)))</formula>
    </cfRule>
    <cfRule type="containsText" dxfId="2596" priority="2810" operator="containsText" text="Empleada formalmente con riesgo a tóxicos">
      <formula>NOT(ISERROR(SEARCH("Empleada formalmente con riesgo a tóxicos",L176)))</formula>
    </cfRule>
    <cfRule type="containsText" dxfId="2595" priority="2811" operator="containsText" text="Empleada formalmente con riesgo de accidente laboral">
      <formula>NOT(ISERROR(SEARCH("Empleada formalmente con riesgo de accidente laboral",L176)))</formula>
    </cfRule>
    <cfRule type="containsText" dxfId="2594" priority="2812" operator="containsText" text="Empleada formalmente por jornada laboral extensa">
      <formula>NOT(ISERROR(SEARCH("Empleada formalmente por jornada laboral extensa",L176)))</formula>
    </cfRule>
    <cfRule type="containsText" dxfId="2593" priority="2813" operator="containsText" text="Empleada formalmente sin riesgo">
      <formula>NOT(ISERROR(SEARCH("Empleada formalmente sin riesgo",L176)))</formula>
    </cfRule>
    <cfRule type="containsText" dxfId="2592" priority="2814" operator="containsText" text="Actualmente desempleada">
      <formula>NOT(ISERROR(SEARCH("Actualmente desempleada",L176)))</formula>
    </cfRule>
    <cfRule type="containsText" dxfId="2591" priority="2815" operator="containsText" text="Hogar sin apoyo">
      <formula>NOT(ISERROR(SEARCH("Hogar sin apoyo",L176)))</formula>
    </cfRule>
    <cfRule type="containsText" dxfId="2590" priority="2816" operator="containsText" text="Empleada formalmente sin riesgo">
      <formula>NOT(ISERROR(SEARCH("Empleada formalmente sin riesgo",L176)))</formula>
    </cfRule>
    <cfRule type="containsText" dxfId="2589" priority="2817" operator="containsText" text="Hogar Con apoyo">
      <formula>NOT(ISERROR(SEARCH("Hogar Con apoyo",L176)))</formula>
    </cfRule>
  </conditionalFormatting>
  <conditionalFormatting sqref="L236">
    <cfRule type="containsText" dxfId="2588" priority="2800" operator="containsText" text="Empleo informal">
      <formula>NOT(ISERROR(SEARCH("Empleo informal",L236)))</formula>
    </cfRule>
    <cfRule type="containsText" dxfId="2587" priority="2801" operator="containsText" text="Empleada formalmente con riesgo a tóxicos">
      <formula>NOT(ISERROR(SEARCH("Empleada formalmente con riesgo a tóxicos",L236)))</formula>
    </cfRule>
    <cfRule type="containsText" dxfId="2586" priority="2802" operator="containsText" text="Empleada formalmente con riesgo de accidente laboral">
      <formula>NOT(ISERROR(SEARCH("Empleada formalmente con riesgo de accidente laboral",L236)))</formula>
    </cfRule>
    <cfRule type="containsText" dxfId="2585" priority="2803" operator="containsText" text="Empleada formalmente por jornada laboral extensa">
      <formula>NOT(ISERROR(SEARCH("Empleada formalmente por jornada laboral extensa",L236)))</formula>
    </cfRule>
    <cfRule type="containsText" dxfId="2584" priority="2804" operator="containsText" text="Empleada formalmente sin riesgo">
      <formula>NOT(ISERROR(SEARCH("Empleada formalmente sin riesgo",L236)))</formula>
    </cfRule>
    <cfRule type="containsText" dxfId="2583" priority="2805" operator="containsText" text="Actualmente desempleada">
      <formula>NOT(ISERROR(SEARCH("Actualmente desempleada",L236)))</formula>
    </cfRule>
    <cfRule type="containsText" dxfId="2582" priority="2806" operator="containsText" text="Hogar sin apoyo">
      <formula>NOT(ISERROR(SEARCH("Hogar sin apoyo",L236)))</formula>
    </cfRule>
    <cfRule type="containsText" dxfId="2581" priority="2807" operator="containsText" text="Empleada formalmente sin riesgo">
      <formula>NOT(ISERROR(SEARCH("Empleada formalmente sin riesgo",L236)))</formula>
    </cfRule>
    <cfRule type="containsText" dxfId="2580" priority="2808" operator="containsText" text="Hogar Con apoyo">
      <formula>NOT(ISERROR(SEARCH("Hogar Con apoyo",L236)))</formula>
    </cfRule>
  </conditionalFormatting>
  <conditionalFormatting sqref="AC236">
    <cfRule type="containsText" dxfId="2579" priority="2796" operator="containsText" text="SABE">
      <formula>NOT(ISERROR(SEARCH("SABE",AC236)))</formula>
    </cfRule>
    <cfRule type="containsText" dxfId="2578" priority="2797" operator="containsText" text="SECUNDARIA">
      <formula>NOT(ISERROR(SEARCH("SECUNDARIA",AC236)))</formula>
    </cfRule>
    <cfRule type="containsText" dxfId="2577" priority="2798" operator="containsText" text="PRIMARIA INCOMPLETA">
      <formula>NOT(ISERROR(SEARCH("PRIMARIA INCOMPLETA",AC236)))</formula>
    </cfRule>
    <cfRule type="cellIs" dxfId="2576" priority="2799" operator="equal">
      <formula>"ANALFABETA"</formula>
    </cfRule>
  </conditionalFormatting>
  <conditionalFormatting sqref="AL236:AR236">
    <cfRule type="cellIs" dxfId="2575" priority="2793" operator="equal">
      <formula>"SD"</formula>
    </cfRule>
    <cfRule type="cellIs" dxfId="2574" priority="2794" operator="equal">
      <formula>"NO"</formula>
    </cfRule>
    <cfRule type="cellIs" dxfId="2573" priority="2795" operator="equal">
      <formula>"SI"</formula>
    </cfRule>
  </conditionalFormatting>
  <conditionalFormatting sqref="AK236">
    <cfRule type="containsText" dxfId="2572" priority="2790" operator="containsText" text="COMPLETAR EVALUACIÓN">
      <formula>NOT(ISERROR(SEARCH("COMPLETAR EVALUACIÓN",AK236)))</formula>
    </cfRule>
    <cfRule type="containsText" dxfId="2571" priority="2791" operator="containsText" text="CON RIESGO">
      <formula>NOT(ISERROR(SEARCH("CON RIESGO",AK236)))</formula>
    </cfRule>
    <cfRule type="containsText" dxfId="2570" priority="2792" operator="containsText" text="SIN RIESGO">
      <formula>NOT(ISERROR(SEARCH("SIN RIESGO",AK236)))</formula>
    </cfRule>
  </conditionalFormatting>
  <conditionalFormatting sqref="AE236">
    <cfRule type="containsText" dxfId="2569" priority="2788" operator="containsText" text="NO">
      <formula>NOT(ISERROR(SEARCH("NO",AE236)))</formula>
    </cfRule>
    <cfRule type="containsText" dxfId="2568" priority="2789" operator="containsText" text="SI">
      <formula>NOT(ISERROR(SEARCH("SI",AE236)))</formula>
    </cfRule>
  </conditionalFormatting>
  <conditionalFormatting sqref="AG236:AH236">
    <cfRule type="cellIs" dxfId="2567" priority="2782" operator="equal">
      <formula>"SD"</formula>
    </cfRule>
    <cfRule type="cellIs" dxfId="2566" priority="2783" operator="equal">
      <formula>"NO"</formula>
    </cfRule>
    <cfRule type="cellIs" dxfId="2565" priority="2784" operator="equal">
      <formula>"SI"</formula>
    </cfRule>
  </conditionalFormatting>
  <conditionalFormatting sqref="AI236">
    <cfRule type="containsText" dxfId="2564" priority="2775" operator="containsText" text="HABITANTE DE CALLE">
      <formula>NOT(ISERROR(SEARCH("HABITANTE DE CALLE",AI236)))</formula>
    </cfRule>
    <cfRule type="containsText" dxfId="2563" priority="2778" operator="containsText" text="NINGUNO">
      <formula>NOT(ISERROR(SEARCH("NINGUNO",AI236)))</formula>
    </cfRule>
    <cfRule type="containsText" dxfId="2562" priority="2779" operator="containsText" text="MIGRATORIA">
      <formula>NOT(ISERROR(SEARCH("MIGRATORIA",AI236)))</formula>
    </cfRule>
    <cfRule type="containsText" dxfId="2561" priority="2780" operator="containsText" text="DISCAPACIDAD">
      <formula>NOT(ISERROR(SEARCH("DISCAPACIDAD",AI236)))</formula>
    </cfRule>
    <cfRule type="containsText" dxfId="2560" priority="2781" operator="containsText" text="DESPLAZADA">
      <formula>NOT(ISERROR(SEARCH("DESPLAZADA",AI236)))</formula>
    </cfRule>
  </conditionalFormatting>
  <conditionalFormatting sqref="AF236">
    <cfRule type="containsText" dxfId="2559" priority="2776" operator="containsText" text="NO">
      <formula>NOT(ISERROR(SEARCH("NO",AF236)))</formula>
    </cfRule>
    <cfRule type="containsText" dxfId="2558" priority="2777" operator="containsText" text="SI">
      <formula>NOT(ISERROR(SEARCH("SI",AF236)))</formula>
    </cfRule>
  </conditionalFormatting>
  <conditionalFormatting sqref="AJ236">
    <cfRule type="cellIs" dxfId="2557" priority="2772" operator="equal">
      <formula>"SD"</formula>
    </cfRule>
    <cfRule type="cellIs" dxfId="2556" priority="2773" operator="equal">
      <formula>"NO"</formula>
    </cfRule>
    <cfRule type="cellIs" dxfId="2555" priority="2774" operator="equal">
      <formula>"SI"</formula>
    </cfRule>
  </conditionalFormatting>
  <conditionalFormatting sqref="AX236 BA236">
    <cfRule type="cellIs" dxfId="2554" priority="2769" operator="equal">
      <formula>"SD"</formula>
    </cfRule>
    <cfRule type="cellIs" dxfId="2553" priority="2770" operator="equal">
      <formula>"NO"</formula>
    </cfRule>
    <cfRule type="cellIs" dxfId="2552" priority="2771" operator="equal">
      <formula>"SI"</formula>
    </cfRule>
  </conditionalFormatting>
  <conditionalFormatting sqref="AY236">
    <cfRule type="containsText" dxfId="2551" priority="2764" operator="containsText" text="SD">
      <formula>NOT(ISERROR(SEARCH("SD",AY236)))</formula>
    </cfRule>
    <cfRule type="containsText" dxfId="2550" priority="2765" operator="containsText" text="SI, NO CONTROLADA">
      <formula>NOT(ISERROR(SEARCH("SI, NO CONTROLADA",AY236)))</formula>
    </cfRule>
    <cfRule type="containsText" dxfId="2549" priority="2766" operator="containsText" text="SI, SIN MANEJO">
      <formula>NOT(ISERROR(SEARCH("SI, SIN MANEJO",AY236)))</formula>
    </cfRule>
    <cfRule type="containsText" dxfId="2548" priority="2767" operator="containsText" text="SI, CONTROLADA">
      <formula>NOT(ISERROR(SEARCH("SI, CONTROLADA",AY236)))</formula>
    </cfRule>
    <cfRule type="containsText" dxfId="2547" priority="2768" operator="containsText" text="NO">
      <formula>NOT(ISERROR(SEARCH("NO",AY236)))</formula>
    </cfRule>
  </conditionalFormatting>
  <conditionalFormatting sqref="AZ236">
    <cfRule type="containsText" dxfId="2546" priority="2759" operator="containsText" text="SD">
      <formula>NOT(ISERROR(SEARCH("SD",AZ236)))</formula>
    </cfRule>
    <cfRule type="containsText" dxfId="2545" priority="2760" operator="containsText" text="SI, NO CONTROLADA">
      <formula>NOT(ISERROR(SEARCH("SI, NO CONTROLADA",AZ236)))</formula>
    </cfRule>
    <cfRule type="containsText" dxfId="2544" priority="2761" operator="containsText" text="SI, SIN MANEJO">
      <formula>NOT(ISERROR(SEARCH("SI, SIN MANEJO",AZ236)))</formula>
    </cfRule>
    <cfRule type="containsText" dxfId="2543" priority="2762" operator="containsText" text="SI, CONTROLADA">
      <formula>NOT(ISERROR(SEARCH("SI, CONTROLADA",AZ236)))</formula>
    </cfRule>
    <cfRule type="containsText" dxfId="2542" priority="2763" operator="containsText" text="NO">
      <formula>NOT(ISERROR(SEARCH("NO",AZ236)))</formula>
    </cfRule>
  </conditionalFormatting>
  <conditionalFormatting sqref="BB236">
    <cfRule type="cellIs" dxfId="2541" priority="2756" operator="equal">
      <formula>"SD"</formula>
    </cfRule>
    <cfRule type="cellIs" dxfId="2540" priority="2757" operator="equal">
      <formula>"NO"</formula>
    </cfRule>
    <cfRule type="cellIs" dxfId="2539" priority="2758" operator="equal">
      <formula>"SI"</formula>
    </cfRule>
  </conditionalFormatting>
  <conditionalFormatting sqref="BC236">
    <cfRule type="cellIs" dxfId="2538" priority="2753" operator="equal">
      <formula>"SD"</formula>
    </cfRule>
    <cfRule type="cellIs" dxfId="2537" priority="2754" operator="equal">
      <formula>"NO"</formula>
    </cfRule>
    <cfRule type="cellIs" dxfId="2536" priority="2755" operator="equal">
      <formula>"SI"</formula>
    </cfRule>
  </conditionalFormatting>
  <conditionalFormatting sqref="BF236">
    <cfRule type="cellIs" dxfId="2535" priority="2750" operator="equal">
      <formula>"SD"</formula>
    </cfRule>
    <cfRule type="cellIs" dxfId="2534" priority="2751" operator="equal">
      <formula>"NO"</formula>
    </cfRule>
    <cfRule type="cellIs" dxfId="2533" priority="2752" operator="equal">
      <formula>"SI"</formula>
    </cfRule>
  </conditionalFormatting>
  <conditionalFormatting sqref="BD236:BE236">
    <cfRule type="cellIs" dxfId="2532" priority="2747" operator="equal">
      <formula>"SD"</formula>
    </cfRule>
    <cfRule type="cellIs" dxfId="2531" priority="2748" operator="equal">
      <formula>"NO"</formula>
    </cfRule>
    <cfRule type="cellIs" dxfId="2530" priority="2749" operator="equal">
      <formula>"SI"</formula>
    </cfRule>
  </conditionalFormatting>
  <conditionalFormatting sqref="BE236">
    <cfRule type="expression" dxfId="2529" priority="2746">
      <formula>IF(AND(FA236&gt;=126,FC236&lt;24),1,0)</formula>
    </cfRule>
  </conditionalFormatting>
  <conditionalFormatting sqref="BG236">
    <cfRule type="cellIs" dxfId="2528" priority="2743" operator="equal">
      <formula>"SD"</formula>
    </cfRule>
    <cfRule type="cellIs" dxfId="2527" priority="2744" operator="equal">
      <formula>"NO"</formula>
    </cfRule>
    <cfRule type="cellIs" dxfId="2526" priority="2745" operator="equal">
      <formula>"SI"</formula>
    </cfRule>
  </conditionalFormatting>
  <conditionalFormatting sqref="BH236">
    <cfRule type="cellIs" dxfId="2525" priority="2740" operator="equal">
      <formula>"SD"</formula>
    </cfRule>
    <cfRule type="cellIs" dxfId="2524" priority="2741" operator="equal">
      <formula>"NO"</formula>
    </cfRule>
    <cfRule type="cellIs" dxfId="2523" priority="2742" operator="equal">
      <formula>"SI"</formula>
    </cfRule>
  </conditionalFormatting>
  <conditionalFormatting sqref="BI236">
    <cfRule type="cellIs" dxfId="2522" priority="2737" operator="equal">
      <formula>"SD"</formula>
    </cfRule>
    <cfRule type="cellIs" dxfId="2521" priority="2738" operator="equal">
      <formula>"NO"</formula>
    </cfRule>
    <cfRule type="cellIs" dxfId="2520" priority="2739" operator="equal">
      <formula>"SI"</formula>
    </cfRule>
  </conditionalFormatting>
  <conditionalFormatting sqref="BJ236">
    <cfRule type="cellIs" dxfId="2519" priority="2734" operator="equal">
      <formula>"SD"</formula>
    </cfRule>
    <cfRule type="cellIs" dxfId="2518" priority="2735" operator="equal">
      <formula>"NO"</formula>
    </cfRule>
    <cfRule type="cellIs" dxfId="2517" priority="2736" operator="equal">
      <formula>"SI"</formula>
    </cfRule>
  </conditionalFormatting>
  <conditionalFormatting sqref="BL236:BM236">
    <cfRule type="cellIs" dxfId="2516" priority="2731" operator="equal">
      <formula>"SD"</formula>
    </cfRule>
    <cfRule type="cellIs" dxfId="2515" priority="2732" operator="equal">
      <formula>"NO"</formula>
    </cfRule>
    <cfRule type="cellIs" dxfId="2514" priority="2733" operator="equal">
      <formula>"SI"</formula>
    </cfRule>
  </conditionalFormatting>
  <conditionalFormatting sqref="BK236">
    <cfRule type="cellIs" dxfId="2513" priority="2728" operator="equal">
      <formula>"SD"</formula>
    </cfRule>
    <cfRule type="cellIs" dxfId="2512" priority="2729" operator="equal">
      <formula>"NO"</formula>
    </cfRule>
    <cfRule type="cellIs" dxfId="2511" priority="2730" operator="equal">
      <formula>"SI"</formula>
    </cfRule>
  </conditionalFormatting>
  <conditionalFormatting sqref="FB236">
    <cfRule type="containsText" dxfId="2510" priority="2724" operator="containsText" text="RH NEGATIVO SIN COOMB">
      <formula>NOT(ISERROR(SEARCH("RH NEGATIVO SIN COOMB",FB236)))</formula>
    </cfRule>
    <cfRule type="containsText" dxfId="2509" priority="2725" operator="containsText" text="RH NEGATIVO CON COOMBS POSITIVO">
      <formula>NOT(ISERROR(SEARCH("RH NEGATIVO CON COOMBS POSITIVO",FB236)))</formula>
    </cfRule>
    <cfRule type="containsText" dxfId="2508" priority="2726" operator="containsText" text="RH NEGATIVO CON COOMBS NEGATIVO">
      <formula>NOT(ISERROR(SEARCH("RH NEGATIVO CON COOMBS NEGATIVO",FB236)))</formula>
    </cfRule>
    <cfRule type="containsText" dxfId="2507" priority="2727" operator="containsText" text="RH POSITIVO">
      <formula>NOT(ISERROR(SEARCH("RH POSITIVO",FB236)))</formula>
    </cfRule>
  </conditionalFormatting>
  <conditionalFormatting sqref="FB223">
    <cfRule type="containsText" dxfId="2506" priority="2720" operator="containsText" text="RH NEGATIVO SIN COOMB">
      <formula>NOT(ISERROR(SEARCH("RH NEGATIVO SIN COOMB",FB223)))</formula>
    </cfRule>
    <cfRule type="containsText" dxfId="2505" priority="2721" operator="containsText" text="RH NEGATIVO CON COOMBS POSITIVO">
      <formula>NOT(ISERROR(SEARCH("RH NEGATIVO CON COOMBS POSITIVO",FB223)))</formula>
    </cfRule>
    <cfRule type="containsText" dxfId="2504" priority="2722" operator="containsText" text="RH NEGATIVO CON COOMBS NEGATIVO">
      <formula>NOT(ISERROR(SEARCH("RH NEGATIVO CON COOMBS NEGATIVO",FB223)))</formula>
    </cfRule>
    <cfRule type="containsText" dxfId="2503" priority="2723" operator="containsText" text="RH POSITIVO">
      <formula>NOT(ISERROR(SEARCH("RH POSITIVO",FB223)))</formula>
    </cfRule>
  </conditionalFormatting>
  <conditionalFormatting sqref="BK147">
    <cfRule type="cellIs" dxfId="2502" priority="2709" operator="equal">
      <formula>"SD"</formula>
    </cfRule>
    <cfRule type="cellIs" dxfId="2501" priority="2710" operator="equal">
      <formula>"NO"</formula>
    </cfRule>
    <cfRule type="cellIs" dxfId="2500" priority="2711" operator="equal">
      <formula>"SI"</formula>
    </cfRule>
  </conditionalFormatting>
  <conditionalFormatting sqref="BK154">
    <cfRule type="cellIs" dxfId="2499" priority="2700" operator="equal">
      <formula>"SD"</formula>
    </cfRule>
    <cfRule type="cellIs" dxfId="2498" priority="2701" operator="equal">
      <formula>"NO"</formula>
    </cfRule>
    <cfRule type="cellIs" dxfId="2497" priority="2702" operator="equal">
      <formula>"SI"</formula>
    </cfRule>
  </conditionalFormatting>
  <conditionalFormatting sqref="L151">
    <cfRule type="containsText" dxfId="2496" priority="2691" operator="containsText" text="Empleo informal">
      <formula>NOT(ISERROR(SEARCH("Empleo informal",L151)))</formula>
    </cfRule>
    <cfRule type="containsText" dxfId="2495" priority="2692" operator="containsText" text="Empleada formalmente con riesgo a tóxicos">
      <formula>NOT(ISERROR(SEARCH("Empleada formalmente con riesgo a tóxicos",L151)))</formula>
    </cfRule>
    <cfRule type="containsText" dxfId="2494" priority="2693" operator="containsText" text="Empleada formalmente con riesgo de accidente laboral">
      <formula>NOT(ISERROR(SEARCH("Empleada formalmente con riesgo de accidente laboral",L151)))</formula>
    </cfRule>
    <cfRule type="containsText" dxfId="2493" priority="2694" operator="containsText" text="Empleada formalmente por jornada laboral extensa">
      <formula>NOT(ISERROR(SEARCH("Empleada formalmente por jornada laboral extensa",L151)))</formula>
    </cfRule>
    <cfRule type="containsText" dxfId="2492" priority="2695" operator="containsText" text="Empleada formalmente sin riesgo">
      <formula>NOT(ISERROR(SEARCH("Empleada formalmente sin riesgo",L151)))</formula>
    </cfRule>
    <cfRule type="containsText" dxfId="2491" priority="2696" operator="containsText" text="Actualmente desempleada">
      <formula>NOT(ISERROR(SEARCH("Actualmente desempleada",L151)))</formula>
    </cfRule>
    <cfRule type="containsText" dxfId="2490" priority="2697" operator="containsText" text="Hogar sin apoyo">
      <formula>NOT(ISERROR(SEARCH("Hogar sin apoyo",L151)))</formula>
    </cfRule>
    <cfRule type="containsText" dxfId="2489" priority="2698" operator="containsText" text="Empleada formalmente sin riesgo">
      <formula>NOT(ISERROR(SEARCH("Empleada formalmente sin riesgo",L151)))</formula>
    </cfRule>
    <cfRule type="containsText" dxfId="2488" priority="2699" operator="containsText" text="Hogar Con apoyo">
      <formula>NOT(ISERROR(SEARCH("Hogar Con apoyo",L151)))</formula>
    </cfRule>
  </conditionalFormatting>
  <conditionalFormatting sqref="BK151">
    <cfRule type="cellIs" dxfId="2487" priority="2685" operator="equal">
      <formula>"SD"</formula>
    </cfRule>
    <cfRule type="cellIs" dxfId="2486" priority="2686" operator="equal">
      <formula>"NO"</formula>
    </cfRule>
    <cfRule type="cellIs" dxfId="2485" priority="2687" operator="equal">
      <formula>"SI"</formula>
    </cfRule>
  </conditionalFormatting>
  <conditionalFormatting sqref="L163">
    <cfRule type="containsText" dxfId="2484" priority="2676" operator="containsText" text="Empleo informal">
      <formula>NOT(ISERROR(SEARCH("Empleo informal",L163)))</formula>
    </cfRule>
    <cfRule type="containsText" dxfId="2483" priority="2677" operator="containsText" text="Empleada formalmente con riesgo a tóxicos">
      <formula>NOT(ISERROR(SEARCH("Empleada formalmente con riesgo a tóxicos",L163)))</formula>
    </cfRule>
    <cfRule type="containsText" dxfId="2482" priority="2678" operator="containsText" text="Empleada formalmente con riesgo de accidente laboral">
      <formula>NOT(ISERROR(SEARCH("Empleada formalmente con riesgo de accidente laboral",L163)))</formula>
    </cfRule>
    <cfRule type="containsText" dxfId="2481" priority="2679" operator="containsText" text="Empleada formalmente por jornada laboral extensa">
      <formula>NOT(ISERROR(SEARCH("Empleada formalmente por jornada laboral extensa",L163)))</formula>
    </cfRule>
    <cfRule type="containsText" dxfId="2480" priority="2680" operator="containsText" text="Empleada formalmente sin riesgo">
      <formula>NOT(ISERROR(SEARCH("Empleada formalmente sin riesgo",L163)))</formula>
    </cfRule>
    <cfRule type="containsText" dxfId="2479" priority="2681" operator="containsText" text="Actualmente desempleada">
      <formula>NOT(ISERROR(SEARCH("Actualmente desempleada",L163)))</formula>
    </cfRule>
    <cfRule type="containsText" dxfId="2478" priority="2682" operator="containsText" text="Hogar sin apoyo">
      <formula>NOT(ISERROR(SEARCH("Hogar sin apoyo",L163)))</formula>
    </cfRule>
    <cfRule type="containsText" dxfId="2477" priority="2683" operator="containsText" text="Empleada formalmente sin riesgo">
      <formula>NOT(ISERROR(SEARCH("Empleada formalmente sin riesgo",L163)))</formula>
    </cfRule>
    <cfRule type="containsText" dxfId="2476" priority="2684" operator="containsText" text="Hogar Con apoyo">
      <formula>NOT(ISERROR(SEARCH("Hogar Con apoyo",L163)))</formula>
    </cfRule>
  </conditionalFormatting>
  <conditionalFormatting sqref="BK163">
    <cfRule type="cellIs" dxfId="2475" priority="2670" operator="equal">
      <formula>"SD"</formula>
    </cfRule>
    <cfRule type="cellIs" dxfId="2474" priority="2671" operator="equal">
      <formula>"NO"</formula>
    </cfRule>
    <cfRule type="cellIs" dxfId="2473" priority="2672" operator="equal">
      <formula>"SI"</formula>
    </cfRule>
  </conditionalFormatting>
  <conditionalFormatting sqref="AC160">
    <cfRule type="containsText" dxfId="2472" priority="2666" operator="containsText" text="SABE">
      <formula>NOT(ISERROR(SEARCH("SABE",AC160)))</formula>
    </cfRule>
    <cfRule type="containsText" dxfId="2471" priority="2667" operator="containsText" text="SECUNDARIA">
      <formula>NOT(ISERROR(SEARCH("SECUNDARIA",AC160)))</formula>
    </cfRule>
    <cfRule type="containsText" dxfId="2470" priority="2668" operator="containsText" text="PRIMARIA INCOMPLETA">
      <formula>NOT(ISERROR(SEARCH("PRIMARIA INCOMPLETA",AC160)))</formula>
    </cfRule>
    <cfRule type="cellIs" dxfId="2469" priority="2669" operator="equal">
      <formula>"ANALFABETA"</formula>
    </cfRule>
  </conditionalFormatting>
  <conditionalFormatting sqref="IR7">
    <cfRule type="containsText" dxfId="2468" priority="2659" operator="containsText" text="NO APLICA">
      <formula>NOT(ISERROR(SEARCH("NO APLICA",IR7)))</formula>
    </cfRule>
    <cfRule type="containsText" dxfId="2467" priority="2660" operator="containsText" text="ALTA">
      <formula>NOT(ISERROR(SEARCH("ALTA",IR7)))</formula>
    </cfRule>
    <cfRule type="containsText" dxfId="2466" priority="2661" operator="containsText" text="MEDIANA">
      <formula>NOT(ISERROR(SEARCH("MEDIANA",IR7)))</formula>
    </cfRule>
    <cfRule type="containsText" dxfId="2465" priority="2662" operator="containsText" text="BAJA">
      <formula>NOT(ISERROR(SEARCH("BAJA",IR7)))</formula>
    </cfRule>
  </conditionalFormatting>
  <conditionalFormatting sqref="IS7:IT7">
    <cfRule type="containsText" dxfId="2464" priority="2652" operator="containsText" text="NO APLICA">
      <formula>NOT(ISERROR(SEARCH("NO APLICA",IS7)))</formula>
    </cfRule>
    <cfRule type="containsText" dxfId="2463" priority="2653" operator="containsText" text="SIN">
      <formula>NOT(ISERROR(SEARCH("SIN",IS7)))</formula>
    </cfRule>
    <cfRule type="containsText" dxfId="2462" priority="2654" operator="containsText" text="EQUIPO">
      <formula>NOT(ISERROR(SEARCH("EQUIPO",IS7)))</formula>
    </cfRule>
    <cfRule type="containsText" dxfId="2461" priority="2655" operator="containsText" text="MEDICO TRADICIONAL">
      <formula>NOT(ISERROR(SEARCH("MEDICO TRADICIONAL",IS7)))</formula>
    </cfRule>
    <cfRule type="containsText" dxfId="2460" priority="2656" operator="containsText" text="PARTERA">
      <formula>NOT(ISERROR(SEARCH("PARTERA",IS7)))</formula>
    </cfRule>
    <cfRule type="containsText" dxfId="2459" priority="2657" operator="containsText" text="TÉCNICO">
      <formula>NOT(ISERROR(SEARCH("TÉCNICO",IS7)))</formula>
    </cfRule>
    <cfRule type="containsText" dxfId="2458" priority="2658" operator="containsText" text="PROFESIONAL">
      <formula>NOT(ISERROR(SEARCH("PROFESIONAL",IS7)))</formula>
    </cfRule>
  </conditionalFormatting>
  <conditionalFormatting sqref="IT7">
    <cfRule type="containsText" dxfId="2457" priority="2649" operator="containsText" text="LE HACEN CESÁREA SIN INICIO TRABAJO DE PARTO">
      <formula>NOT(ISERROR(SEARCH("LE HACEN CESÁREA SIN INICIO TRABAJO DE PARTO",IT7)))</formula>
    </cfRule>
    <cfRule type="containsText" dxfId="2456" priority="2650" operator="containsText" text="LE HACEN INDUCCIÓN">
      <formula>NOT(ISERROR(SEARCH("LE HACEN INDUCCIÓN",IT7)))</formula>
    </cfRule>
    <cfRule type="containsText" dxfId="2455" priority="2651" operator="containsText" text="ESPONTÁNEO">
      <formula>NOT(ISERROR(SEARCH("ESPONTÁNEO",IT7)))</formula>
    </cfRule>
  </conditionalFormatting>
  <conditionalFormatting sqref="IR8">
    <cfRule type="containsText" dxfId="2454" priority="2645" operator="containsText" text="NO APLICA">
      <formula>NOT(ISERROR(SEARCH("NO APLICA",IR8)))</formula>
    </cfRule>
    <cfRule type="containsText" dxfId="2453" priority="2646" operator="containsText" text="ALTA">
      <formula>NOT(ISERROR(SEARCH("ALTA",IR8)))</formula>
    </cfRule>
    <cfRule type="containsText" dxfId="2452" priority="2647" operator="containsText" text="MEDIANA">
      <formula>NOT(ISERROR(SEARCH("MEDIANA",IR8)))</formula>
    </cfRule>
    <cfRule type="containsText" dxfId="2451" priority="2648" operator="containsText" text="BAJA">
      <formula>NOT(ISERROR(SEARCH("BAJA",IR8)))</formula>
    </cfRule>
  </conditionalFormatting>
  <conditionalFormatting sqref="IS8:IT8">
    <cfRule type="containsText" dxfId="2450" priority="2638" operator="containsText" text="NO APLICA">
      <formula>NOT(ISERROR(SEARCH("NO APLICA",IS8)))</formula>
    </cfRule>
    <cfRule type="containsText" dxfId="2449" priority="2639" operator="containsText" text="SIN">
      <formula>NOT(ISERROR(SEARCH("SIN",IS8)))</formula>
    </cfRule>
    <cfRule type="containsText" dxfId="2448" priority="2640" operator="containsText" text="EQUIPO">
      <formula>NOT(ISERROR(SEARCH("EQUIPO",IS8)))</formula>
    </cfRule>
    <cfRule type="containsText" dxfId="2447" priority="2641" operator="containsText" text="MEDICO TRADICIONAL">
      <formula>NOT(ISERROR(SEARCH("MEDICO TRADICIONAL",IS8)))</formula>
    </cfRule>
    <cfRule type="containsText" dxfId="2446" priority="2642" operator="containsText" text="PARTERA">
      <formula>NOT(ISERROR(SEARCH("PARTERA",IS8)))</formula>
    </cfRule>
    <cfRule type="containsText" dxfId="2445" priority="2643" operator="containsText" text="TÉCNICO">
      <formula>NOT(ISERROR(SEARCH("TÉCNICO",IS8)))</formula>
    </cfRule>
    <cfRule type="containsText" dxfId="2444" priority="2644" operator="containsText" text="PROFESIONAL">
      <formula>NOT(ISERROR(SEARCH("PROFESIONAL",IS8)))</formula>
    </cfRule>
  </conditionalFormatting>
  <conditionalFormatting sqref="IT8">
    <cfRule type="containsText" dxfId="2443" priority="2635" operator="containsText" text="LE HACEN CESÁREA SIN INICIO TRABAJO DE PARTO">
      <formula>NOT(ISERROR(SEARCH("LE HACEN CESÁREA SIN INICIO TRABAJO DE PARTO",IT8)))</formula>
    </cfRule>
    <cfRule type="containsText" dxfId="2442" priority="2636" operator="containsText" text="LE HACEN INDUCCIÓN">
      <formula>NOT(ISERROR(SEARCH("LE HACEN INDUCCIÓN",IT8)))</formula>
    </cfRule>
    <cfRule type="containsText" dxfId="2441" priority="2637" operator="containsText" text="ESPONTÁNEO">
      <formula>NOT(ISERROR(SEARCH("ESPONTÁNEO",IT8)))</formula>
    </cfRule>
  </conditionalFormatting>
  <conditionalFormatting sqref="IT9">
    <cfRule type="containsText" dxfId="2440" priority="2628" operator="containsText" text="NO APLICA">
      <formula>NOT(ISERROR(SEARCH("NO APLICA",IT9)))</formula>
    </cfRule>
    <cfRule type="containsText" dxfId="2439" priority="2629" operator="containsText" text="SIN">
      <formula>NOT(ISERROR(SEARCH("SIN",IT9)))</formula>
    </cfRule>
    <cfRule type="containsText" dxfId="2438" priority="2630" operator="containsText" text="EQUIPO">
      <formula>NOT(ISERROR(SEARCH("EQUIPO",IT9)))</formula>
    </cfRule>
    <cfRule type="containsText" dxfId="2437" priority="2631" operator="containsText" text="MEDICO TRADICIONAL">
      <formula>NOT(ISERROR(SEARCH("MEDICO TRADICIONAL",IT9)))</formula>
    </cfRule>
    <cfRule type="containsText" dxfId="2436" priority="2632" operator="containsText" text="PARTERA">
      <formula>NOT(ISERROR(SEARCH("PARTERA",IT9)))</formula>
    </cfRule>
    <cfRule type="containsText" dxfId="2435" priority="2633" operator="containsText" text="TÉCNICO">
      <formula>NOT(ISERROR(SEARCH("TÉCNICO",IT9)))</formula>
    </cfRule>
    <cfRule type="containsText" dxfId="2434" priority="2634" operator="containsText" text="PROFESIONAL">
      <formula>NOT(ISERROR(SEARCH("PROFESIONAL",IT9)))</formula>
    </cfRule>
  </conditionalFormatting>
  <conditionalFormatting sqref="IT9">
    <cfRule type="containsText" dxfId="2433" priority="2625" operator="containsText" text="LE HACEN CESÁREA SIN INICIO TRABAJO DE PARTO">
      <formula>NOT(ISERROR(SEARCH("LE HACEN CESÁREA SIN INICIO TRABAJO DE PARTO",IT9)))</formula>
    </cfRule>
    <cfRule type="containsText" dxfId="2432" priority="2626" operator="containsText" text="LE HACEN INDUCCIÓN">
      <formula>NOT(ISERROR(SEARCH("LE HACEN INDUCCIÓN",IT9)))</formula>
    </cfRule>
    <cfRule type="containsText" dxfId="2431" priority="2627" operator="containsText" text="ESPONTÁNEO">
      <formula>NOT(ISERROR(SEARCH("ESPONTÁNEO",IT9)))</formula>
    </cfRule>
  </conditionalFormatting>
  <conditionalFormatting sqref="IR10">
    <cfRule type="containsText" dxfId="2430" priority="2621" operator="containsText" text="NO APLICA">
      <formula>NOT(ISERROR(SEARCH("NO APLICA",IR10)))</formula>
    </cfRule>
    <cfRule type="containsText" dxfId="2429" priority="2622" operator="containsText" text="ALTA">
      <formula>NOT(ISERROR(SEARCH("ALTA",IR10)))</formula>
    </cfRule>
    <cfRule type="containsText" dxfId="2428" priority="2623" operator="containsText" text="MEDIANA">
      <formula>NOT(ISERROR(SEARCH("MEDIANA",IR10)))</formula>
    </cfRule>
    <cfRule type="containsText" dxfId="2427" priority="2624" operator="containsText" text="BAJA">
      <formula>NOT(ISERROR(SEARCH("BAJA",IR10)))</formula>
    </cfRule>
  </conditionalFormatting>
  <conditionalFormatting sqref="IS10:IT10">
    <cfRule type="containsText" dxfId="2426" priority="2614" operator="containsText" text="NO APLICA">
      <formula>NOT(ISERROR(SEARCH("NO APLICA",IS10)))</formula>
    </cfRule>
    <cfRule type="containsText" dxfId="2425" priority="2615" operator="containsText" text="SIN">
      <formula>NOT(ISERROR(SEARCH("SIN",IS10)))</formula>
    </cfRule>
    <cfRule type="containsText" dxfId="2424" priority="2616" operator="containsText" text="EQUIPO">
      <formula>NOT(ISERROR(SEARCH("EQUIPO",IS10)))</formula>
    </cfRule>
    <cfRule type="containsText" dxfId="2423" priority="2617" operator="containsText" text="MEDICO TRADICIONAL">
      <formula>NOT(ISERROR(SEARCH("MEDICO TRADICIONAL",IS10)))</formula>
    </cfRule>
    <cfRule type="containsText" dxfId="2422" priority="2618" operator="containsText" text="PARTERA">
      <formula>NOT(ISERROR(SEARCH("PARTERA",IS10)))</formula>
    </cfRule>
    <cfRule type="containsText" dxfId="2421" priority="2619" operator="containsText" text="TÉCNICO">
      <formula>NOT(ISERROR(SEARCH("TÉCNICO",IS10)))</formula>
    </cfRule>
    <cfRule type="containsText" dxfId="2420" priority="2620" operator="containsText" text="PROFESIONAL">
      <formula>NOT(ISERROR(SEARCH("PROFESIONAL",IS10)))</formula>
    </cfRule>
  </conditionalFormatting>
  <conditionalFormatting sqref="IT10">
    <cfRule type="containsText" dxfId="2419" priority="2611" operator="containsText" text="LE HACEN CESÁREA SIN INICIO TRABAJO DE PARTO">
      <formula>NOT(ISERROR(SEARCH("LE HACEN CESÁREA SIN INICIO TRABAJO DE PARTO",IT10)))</formula>
    </cfRule>
    <cfRule type="containsText" dxfId="2418" priority="2612" operator="containsText" text="LE HACEN INDUCCIÓN">
      <formula>NOT(ISERROR(SEARCH("LE HACEN INDUCCIÓN",IT10)))</formula>
    </cfRule>
    <cfRule type="containsText" dxfId="2417" priority="2613" operator="containsText" text="ESPONTÁNEO">
      <formula>NOT(ISERROR(SEARCH("ESPONTÁNEO",IT10)))</formula>
    </cfRule>
  </conditionalFormatting>
  <conditionalFormatting sqref="JI10">
    <cfRule type="containsText" dxfId="2416" priority="2607" operator="containsText" text="NO APLICA">
      <formula>NOT(ISERROR(SEARCH("NO APLICA",JI10)))</formula>
    </cfRule>
    <cfRule type="containsText" dxfId="2415" priority="2608" operator="containsText" text="SIN DATO">
      <formula>NOT(ISERROR(SEARCH("SIN DATO",JI10)))</formula>
    </cfRule>
    <cfRule type="containsText" dxfId="2414" priority="2609" operator="containsText" text="NO">
      <formula>NOT(ISERROR(SEARCH("NO",JI10)))</formula>
    </cfRule>
    <cfRule type="containsText" dxfId="2413" priority="2610" operator="containsText" text="SI">
      <formula>NOT(ISERROR(SEARCH("SI",JI10)))</formula>
    </cfRule>
  </conditionalFormatting>
  <conditionalFormatting sqref="IR11">
    <cfRule type="containsText" dxfId="2412" priority="2603" operator="containsText" text="NO APLICA">
      <formula>NOT(ISERROR(SEARCH("NO APLICA",IR11)))</formula>
    </cfRule>
    <cfRule type="containsText" dxfId="2411" priority="2604" operator="containsText" text="ALTA">
      <formula>NOT(ISERROR(SEARCH("ALTA",IR11)))</formula>
    </cfRule>
    <cfRule type="containsText" dxfId="2410" priority="2605" operator="containsText" text="MEDIANA">
      <formula>NOT(ISERROR(SEARCH("MEDIANA",IR11)))</formula>
    </cfRule>
    <cfRule type="containsText" dxfId="2409" priority="2606" operator="containsText" text="BAJA">
      <formula>NOT(ISERROR(SEARCH("BAJA",IR11)))</formula>
    </cfRule>
  </conditionalFormatting>
  <conditionalFormatting sqref="IS11:IT11">
    <cfRule type="containsText" dxfId="2408" priority="2596" operator="containsText" text="NO APLICA">
      <formula>NOT(ISERROR(SEARCH("NO APLICA",IS11)))</formula>
    </cfRule>
    <cfRule type="containsText" dxfId="2407" priority="2597" operator="containsText" text="SIN">
      <formula>NOT(ISERROR(SEARCH("SIN",IS11)))</formula>
    </cfRule>
    <cfRule type="containsText" dxfId="2406" priority="2598" operator="containsText" text="EQUIPO">
      <formula>NOT(ISERROR(SEARCH("EQUIPO",IS11)))</formula>
    </cfRule>
    <cfRule type="containsText" dxfId="2405" priority="2599" operator="containsText" text="MEDICO TRADICIONAL">
      <formula>NOT(ISERROR(SEARCH("MEDICO TRADICIONAL",IS11)))</formula>
    </cfRule>
    <cfRule type="containsText" dxfId="2404" priority="2600" operator="containsText" text="PARTERA">
      <formula>NOT(ISERROR(SEARCH("PARTERA",IS11)))</formula>
    </cfRule>
    <cfRule type="containsText" dxfId="2403" priority="2601" operator="containsText" text="TÉCNICO">
      <formula>NOT(ISERROR(SEARCH("TÉCNICO",IS11)))</formula>
    </cfRule>
    <cfRule type="containsText" dxfId="2402" priority="2602" operator="containsText" text="PROFESIONAL">
      <formula>NOT(ISERROR(SEARCH("PROFESIONAL",IS11)))</formula>
    </cfRule>
  </conditionalFormatting>
  <conditionalFormatting sqref="IT11">
    <cfRule type="containsText" dxfId="2401" priority="2593" operator="containsText" text="LE HACEN CESÁREA SIN INICIO TRABAJO DE PARTO">
      <formula>NOT(ISERROR(SEARCH("LE HACEN CESÁREA SIN INICIO TRABAJO DE PARTO",IT11)))</formula>
    </cfRule>
    <cfRule type="containsText" dxfId="2400" priority="2594" operator="containsText" text="LE HACEN INDUCCIÓN">
      <formula>NOT(ISERROR(SEARCH("LE HACEN INDUCCIÓN",IT11)))</formula>
    </cfRule>
    <cfRule type="containsText" dxfId="2399" priority="2595" operator="containsText" text="ESPONTÁNEO">
      <formula>NOT(ISERROR(SEARCH("ESPONTÁNEO",IT11)))</formula>
    </cfRule>
  </conditionalFormatting>
  <conditionalFormatting sqref="JI11">
    <cfRule type="containsText" dxfId="2398" priority="2589" operator="containsText" text="NO APLICA">
      <formula>NOT(ISERROR(SEARCH("NO APLICA",JI11)))</formula>
    </cfRule>
    <cfRule type="containsText" dxfId="2397" priority="2590" operator="containsText" text="SIN DATO">
      <formula>NOT(ISERROR(SEARCH("SIN DATO",JI11)))</formula>
    </cfRule>
    <cfRule type="containsText" dxfId="2396" priority="2591" operator="containsText" text="NO">
      <formula>NOT(ISERROR(SEARCH("NO",JI11)))</formula>
    </cfRule>
    <cfRule type="containsText" dxfId="2395" priority="2592" operator="containsText" text="SI">
      <formula>NOT(ISERROR(SEARCH("SI",JI11)))</formula>
    </cfRule>
  </conditionalFormatting>
  <conditionalFormatting sqref="IR12">
    <cfRule type="containsText" dxfId="2394" priority="2585" operator="containsText" text="NO APLICA">
      <formula>NOT(ISERROR(SEARCH("NO APLICA",IR12)))</formula>
    </cfRule>
    <cfRule type="containsText" dxfId="2393" priority="2586" operator="containsText" text="ALTA">
      <formula>NOT(ISERROR(SEARCH("ALTA",IR12)))</formula>
    </cfRule>
    <cfRule type="containsText" dxfId="2392" priority="2587" operator="containsText" text="MEDIANA">
      <formula>NOT(ISERROR(SEARCH("MEDIANA",IR12)))</formula>
    </cfRule>
    <cfRule type="containsText" dxfId="2391" priority="2588" operator="containsText" text="BAJA">
      <formula>NOT(ISERROR(SEARCH("BAJA",IR12)))</formula>
    </cfRule>
  </conditionalFormatting>
  <conditionalFormatting sqref="IS12:IT12">
    <cfRule type="containsText" dxfId="2390" priority="2578" operator="containsText" text="NO APLICA">
      <formula>NOT(ISERROR(SEARCH("NO APLICA",IS12)))</formula>
    </cfRule>
    <cfRule type="containsText" dxfId="2389" priority="2579" operator="containsText" text="SIN">
      <formula>NOT(ISERROR(SEARCH("SIN",IS12)))</formula>
    </cfRule>
    <cfRule type="containsText" dxfId="2388" priority="2580" operator="containsText" text="EQUIPO">
      <formula>NOT(ISERROR(SEARCH("EQUIPO",IS12)))</formula>
    </cfRule>
    <cfRule type="containsText" dxfId="2387" priority="2581" operator="containsText" text="MEDICO TRADICIONAL">
      <formula>NOT(ISERROR(SEARCH("MEDICO TRADICIONAL",IS12)))</formula>
    </cfRule>
    <cfRule type="containsText" dxfId="2386" priority="2582" operator="containsText" text="PARTERA">
      <formula>NOT(ISERROR(SEARCH("PARTERA",IS12)))</formula>
    </cfRule>
    <cfRule type="containsText" dxfId="2385" priority="2583" operator="containsText" text="TÉCNICO">
      <formula>NOT(ISERROR(SEARCH("TÉCNICO",IS12)))</formula>
    </cfRule>
    <cfRule type="containsText" dxfId="2384" priority="2584" operator="containsText" text="PROFESIONAL">
      <formula>NOT(ISERROR(SEARCH("PROFESIONAL",IS12)))</formula>
    </cfRule>
  </conditionalFormatting>
  <conditionalFormatting sqref="IT12">
    <cfRule type="containsText" dxfId="2383" priority="2575" operator="containsText" text="LE HACEN CESÁREA SIN INICIO TRABAJO DE PARTO">
      <formula>NOT(ISERROR(SEARCH("LE HACEN CESÁREA SIN INICIO TRABAJO DE PARTO",IT12)))</formula>
    </cfRule>
    <cfRule type="containsText" dxfId="2382" priority="2576" operator="containsText" text="LE HACEN INDUCCIÓN">
      <formula>NOT(ISERROR(SEARCH("LE HACEN INDUCCIÓN",IT12)))</formula>
    </cfRule>
    <cfRule type="containsText" dxfId="2381" priority="2577" operator="containsText" text="ESPONTÁNEO">
      <formula>NOT(ISERROR(SEARCH("ESPONTÁNEO",IT12)))</formula>
    </cfRule>
  </conditionalFormatting>
  <conditionalFormatting sqref="IR13">
    <cfRule type="containsText" dxfId="2380" priority="2571" operator="containsText" text="NO APLICA">
      <formula>NOT(ISERROR(SEARCH("NO APLICA",IR13)))</formula>
    </cfRule>
    <cfRule type="containsText" dxfId="2379" priority="2572" operator="containsText" text="ALTA">
      <formula>NOT(ISERROR(SEARCH("ALTA",IR13)))</formula>
    </cfRule>
    <cfRule type="containsText" dxfId="2378" priority="2573" operator="containsText" text="MEDIANA">
      <formula>NOT(ISERROR(SEARCH("MEDIANA",IR13)))</formula>
    </cfRule>
    <cfRule type="containsText" dxfId="2377" priority="2574" operator="containsText" text="BAJA">
      <formula>NOT(ISERROR(SEARCH("BAJA",IR13)))</formula>
    </cfRule>
  </conditionalFormatting>
  <conditionalFormatting sqref="IS13:IT13">
    <cfRule type="containsText" dxfId="2376" priority="2564" operator="containsText" text="NO APLICA">
      <formula>NOT(ISERROR(SEARCH("NO APLICA",IS13)))</formula>
    </cfRule>
    <cfRule type="containsText" dxfId="2375" priority="2565" operator="containsText" text="SIN">
      <formula>NOT(ISERROR(SEARCH("SIN",IS13)))</formula>
    </cfRule>
    <cfRule type="containsText" dxfId="2374" priority="2566" operator="containsText" text="EQUIPO">
      <formula>NOT(ISERROR(SEARCH("EQUIPO",IS13)))</formula>
    </cfRule>
    <cfRule type="containsText" dxfId="2373" priority="2567" operator="containsText" text="MEDICO TRADICIONAL">
      <formula>NOT(ISERROR(SEARCH("MEDICO TRADICIONAL",IS13)))</formula>
    </cfRule>
    <cfRule type="containsText" dxfId="2372" priority="2568" operator="containsText" text="PARTERA">
      <formula>NOT(ISERROR(SEARCH("PARTERA",IS13)))</formula>
    </cfRule>
    <cfRule type="containsText" dxfId="2371" priority="2569" operator="containsText" text="TÉCNICO">
      <formula>NOT(ISERROR(SEARCH("TÉCNICO",IS13)))</formula>
    </cfRule>
    <cfRule type="containsText" dxfId="2370" priority="2570" operator="containsText" text="PROFESIONAL">
      <formula>NOT(ISERROR(SEARCH("PROFESIONAL",IS13)))</formula>
    </cfRule>
  </conditionalFormatting>
  <conditionalFormatting sqref="IT13">
    <cfRule type="containsText" dxfId="2369" priority="2561" operator="containsText" text="LE HACEN CESÁREA SIN INICIO TRABAJO DE PARTO">
      <formula>NOT(ISERROR(SEARCH("LE HACEN CESÁREA SIN INICIO TRABAJO DE PARTO",IT13)))</formula>
    </cfRule>
    <cfRule type="containsText" dxfId="2368" priority="2562" operator="containsText" text="LE HACEN INDUCCIÓN">
      <formula>NOT(ISERROR(SEARCH("LE HACEN INDUCCIÓN",IT13)))</formula>
    </cfRule>
    <cfRule type="containsText" dxfId="2367" priority="2563" operator="containsText" text="ESPONTÁNEO">
      <formula>NOT(ISERROR(SEARCH("ESPONTÁNEO",IT13)))</formula>
    </cfRule>
  </conditionalFormatting>
  <conditionalFormatting sqref="IR15">
    <cfRule type="containsText" dxfId="2366" priority="2557" operator="containsText" text="NO APLICA">
      <formula>NOT(ISERROR(SEARCH("NO APLICA",IR15)))</formula>
    </cfRule>
    <cfRule type="containsText" dxfId="2365" priority="2558" operator="containsText" text="ALTA">
      <formula>NOT(ISERROR(SEARCH("ALTA",IR15)))</formula>
    </cfRule>
    <cfRule type="containsText" dxfId="2364" priority="2559" operator="containsText" text="MEDIANA">
      <formula>NOT(ISERROR(SEARCH("MEDIANA",IR15)))</formula>
    </cfRule>
    <cfRule type="containsText" dxfId="2363" priority="2560" operator="containsText" text="BAJA">
      <formula>NOT(ISERROR(SEARCH("BAJA",IR15)))</formula>
    </cfRule>
  </conditionalFormatting>
  <conditionalFormatting sqref="IS15:IT15">
    <cfRule type="containsText" dxfId="2362" priority="2550" operator="containsText" text="NO APLICA">
      <formula>NOT(ISERROR(SEARCH("NO APLICA",IS15)))</formula>
    </cfRule>
    <cfRule type="containsText" dxfId="2361" priority="2551" operator="containsText" text="SIN">
      <formula>NOT(ISERROR(SEARCH("SIN",IS15)))</formula>
    </cfRule>
    <cfRule type="containsText" dxfId="2360" priority="2552" operator="containsText" text="EQUIPO">
      <formula>NOT(ISERROR(SEARCH("EQUIPO",IS15)))</formula>
    </cfRule>
    <cfRule type="containsText" dxfId="2359" priority="2553" operator="containsText" text="MEDICO TRADICIONAL">
      <formula>NOT(ISERROR(SEARCH("MEDICO TRADICIONAL",IS15)))</formula>
    </cfRule>
    <cfRule type="containsText" dxfId="2358" priority="2554" operator="containsText" text="PARTERA">
      <formula>NOT(ISERROR(SEARCH("PARTERA",IS15)))</formula>
    </cfRule>
    <cfRule type="containsText" dxfId="2357" priority="2555" operator="containsText" text="TÉCNICO">
      <formula>NOT(ISERROR(SEARCH("TÉCNICO",IS15)))</formula>
    </cfRule>
    <cfRule type="containsText" dxfId="2356" priority="2556" operator="containsText" text="PROFESIONAL">
      <formula>NOT(ISERROR(SEARCH("PROFESIONAL",IS15)))</formula>
    </cfRule>
  </conditionalFormatting>
  <conditionalFormatting sqref="IT15">
    <cfRule type="containsText" dxfId="2355" priority="2547" operator="containsText" text="LE HACEN CESÁREA SIN INICIO TRABAJO DE PARTO">
      <formula>NOT(ISERROR(SEARCH("LE HACEN CESÁREA SIN INICIO TRABAJO DE PARTO",IT15)))</formula>
    </cfRule>
    <cfRule type="containsText" dxfId="2354" priority="2548" operator="containsText" text="LE HACEN INDUCCIÓN">
      <formula>NOT(ISERROR(SEARCH("LE HACEN INDUCCIÓN",IT15)))</formula>
    </cfRule>
    <cfRule type="containsText" dxfId="2353" priority="2549" operator="containsText" text="ESPONTÁNEO">
      <formula>NOT(ISERROR(SEARCH("ESPONTÁNEO",IT15)))</formula>
    </cfRule>
  </conditionalFormatting>
  <conditionalFormatting sqref="IR19">
    <cfRule type="containsText" dxfId="2352" priority="2543" operator="containsText" text="NO APLICA">
      <formula>NOT(ISERROR(SEARCH("NO APLICA",IR19)))</formula>
    </cfRule>
    <cfRule type="containsText" dxfId="2351" priority="2544" operator="containsText" text="ALTA">
      <formula>NOT(ISERROR(SEARCH("ALTA",IR19)))</formula>
    </cfRule>
    <cfRule type="containsText" dxfId="2350" priority="2545" operator="containsText" text="MEDIANA">
      <formula>NOT(ISERROR(SEARCH("MEDIANA",IR19)))</formula>
    </cfRule>
    <cfRule type="containsText" dxfId="2349" priority="2546" operator="containsText" text="BAJA">
      <formula>NOT(ISERROR(SEARCH("BAJA",IR19)))</formula>
    </cfRule>
  </conditionalFormatting>
  <conditionalFormatting sqref="IS19:IT19">
    <cfRule type="containsText" dxfId="2348" priority="2536" operator="containsText" text="NO APLICA">
      <formula>NOT(ISERROR(SEARCH("NO APLICA",IS19)))</formula>
    </cfRule>
    <cfRule type="containsText" dxfId="2347" priority="2537" operator="containsText" text="SIN">
      <formula>NOT(ISERROR(SEARCH("SIN",IS19)))</formula>
    </cfRule>
    <cfRule type="containsText" dxfId="2346" priority="2538" operator="containsText" text="EQUIPO">
      <formula>NOT(ISERROR(SEARCH("EQUIPO",IS19)))</formula>
    </cfRule>
    <cfRule type="containsText" dxfId="2345" priority="2539" operator="containsText" text="MEDICO TRADICIONAL">
      <formula>NOT(ISERROR(SEARCH("MEDICO TRADICIONAL",IS19)))</formula>
    </cfRule>
    <cfRule type="containsText" dxfId="2344" priority="2540" operator="containsText" text="PARTERA">
      <formula>NOT(ISERROR(SEARCH("PARTERA",IS19)))</formula>
    </cfRule>
    <cfRule type="containsText" dxfId="2343" priority="2541" operator="containsText" text="TÉCNICO">
      <formula>NOT(ISERROR(SEARCH("TÉCNICO",IS19)))</formula>
    </cfRule>
    <cfRule type="containsText" dxfId="2342" priority="2542" operator="containsText" text="PROFESIONAL">
      <formula>NOT(ISERROR(SEARCH("PROFESIONAL",IS19)))</formula>
    </cfRule>
  </conditionalFormatting>
  <conditionalFormatting sqref="IT19">
    <cfRule type="containsText" dxfId="2341" priority="2533" operator="containsText" text="LE HACEN CESÁREA SIN INICIO TRABAJO DE PARTO">
      <formula>NOT(ISERROR(SEARCH("LE HACEN CESÁREA SIN INICIO TRABAJO DE PARTO",IT19)))</formula>
    </cfRule>
    <cfRule type="containsText" dxfId="2340" priority="2534" operator="containsText" text="LE HACEN INDUCCIÓN">
      <formula>NOT(ISERROR(SEARCH("LE HACEN INDUCCIÓN",IT19)))</formula>
    </cfRule>
    <cfRule type="containsText" dxfId="2339" priority="2535" operator="containsText" text="ESPONTÁNEO">
      <formula>NOT(ISERROR(SEARCH("ESPONTÁNEO",IT19)))</formula>
    </cfRule>
  </conditionalFormatting>
  <conditionalFormatting sqref="IR20">
    <cfRule type="containsText" dxfId="2338" priority="2529" operator="containsText" text="NO APLICA">
      <formula>NOT(ISERROR(SEARCH("NO APLICA",IR20)))</formula>
    </cfRule>
    <cfRule type="containsText" dxfId="2337" priority="2530" operator="containsText" text="ALTA">
      <formula>NOT(ISERROR(SEARCH("ALTA",IR20)))</formula>
    </cfRule>
    <cfRule type="containsText" dxfId="2336" priority="2531" operator="containsText" text="MEDIANA">
      <formula>NOT(ISERROR(SEARCH("MEDIANA",IR20)))</formula>
    </cfRule>
    <cfRule type="containsText" dxfId="2335" priority="2532" operator="containsText" text="BAJA">
      <formula>NOT(ISERROR(SEARCH("BAJA",IR20)))</formula>
    </cfRule>
  </conditionalFormatting>
  <conditionalFormatting sqref="IS20:IT20">
    <cfRule type="containsText" dxfId="2334" priority="2522" operator="containsText" text="NO APLICA">
      <formula>NOT(ISERROR(SEARCH("NO APLICA",IS20)))</formula>
    </cfRule>
    <cfRule type="containsText" dxfId="2333" priority="2523" operator="containsText" text="SIN">
      <formula>NOT(ISERROR(SEARCH("SIN",IS20)))</formula>
    </cfRule>
    <cfRule type="containsText" dxfId="2332" priority="2524" operator="containsText" text="EQUIPO">
      <formula>NOT(ISERROR(SEARCH("EQUIPO",IS20)))</formula>
    </cfRule>
    <cfRule type="containsText" dxfId="2331" priority="2525" operator="containsText" text="MEDICO TRADICIONAL">
      <formula>NOT(ISERROR(SEARCH("MEDICO TRADICIONAL",IS20)))</formula>
    </cfRule>
    <cfRule type="containsText" dxfId="2330" priority="2526" operator="containsText" text="PARTERA">
      <formula>NOT(ISERROR(SEARCH("PARTERA",IS20)))</formula>
    </cfRule>
    <cfRule type="containsText" dxfId="2329" priority="2527" operator="containsText" text="TÉCNICO">
      <formula>NOT(ISERROR(SEARCH("TÉCNICO",IS20)))</formula>
    </cfRule>
    <cfRule type="containsText" dxfId="2328" priority="2528" operator="containsText" text="PROFESIONAL">
      <formula>NOT(ISERROR(SEARCH("PROFESIONAL",IS20)))</formula>
    </cfRule>
  </conditionalFormatting>
  <conditionalFormatting sqref="IT20">
    <cfRule type="containsText" dxfId="2327" priority="2519" operator="containsText" text="LE HACEN CESÁREA SIN INICIO TRABAJO DE PARTO">
      <formula>NOT(ISERROR(SEARCH("LE HACEN CESÁREA SIN INICIO TRABAJO DE PARTO",IT20)))</formula>
    </cfRule>
    <cfRule type="containsText" dxfId="2326" priority="2520" operator="containsText" text="LE HACEN INDUCCIÓN">
      <formula>NOT(ISERROR(SEARCH("LE HACEN INDUCCIÓN",IT20)))</formula>
    </cfRule>
    <cfRule type="containsText" dxfId="2325" priority="2521" operator="containsText" text="ESPONTÁNEO">
      <formula>NOT(ISERROR(SEARCH("ESPONTÁNEO",IT20)))</formula>
    </cfRule>
  </conditionalFormatting>
  <conditionalFormatting sqref="JI20">
    <cfRule type="containsText" dxfId="2324" priority="2515" operator="containsText" text="NO APLICA">
      <formula>NOT(ISERROR(SEARCH("NO APLICA",JI20)))</formula>
    </cfRule>
    <cfRule type="containsText" dxfId="2323" priority="2516" operator="containsText" text="SIN DATO">
      <formula>NOT(ISERROR(SEARCH("SIN DATO",JI20)))</formula>
    </cfRule>
    <cfRule type="containsText" dxfId="2322" priority="2517" operator="containsText" text="NO">
      <formula>NOT(ISERROR(SEARCH("NO",JI20)))</formula>
    </cfRule>
    <cfRule type="containsText" dxfId="2321" priority="2518" operator="containsText" text="SI">
      <formula>NOT(ISERROR(SEARCH("SI",JI20)))</formula>
    </cfRule>
  </conditionalFormatting>
  <conditionalFormatting sqref="IR22">
    <cfRule type="containsText" dxfId="2320" priority="2511" operator="containsText" text="NO APLICA">
      <formula>NOT(ISERROR(SEARCH("NO APLICA",IR22)))</formula>
    </cfRule>
    <cfRule type="containsText" dxfId="2319" priority="2512" operator="containsText" text="ALTA">
      <formula>NOT(ISERROR(SEARCH("ALTA",IR22)))</formula>
    </cfRule>
    <cfRule type="containsText" dxfId="2318" priority="2513" operator="containsText" text="MEDIANA">
      <formula>NOT(ISERROR(SEARCH("MEDIANA",IR22)))</formula>
    </cfRule>
    <cfRule type="containsText" dxfId="2317" priority="2514" operator="containsText" text="BAJA">
      <formula>NOT(ISERROR(SEARCH("BAJA",IR22)))</formula>
    </cfRule>
  </conditionalFormatting>
  <conditionalFormatting sqref="IS22:IT22">
    <cfRule type="containsText" dxfId="2316" priority="2504" operator="containsText" text="NO APLICA">
      <formula>NOT(ISERROR(SEARCH("NO APLICA",IS22)))</formula>
    </cfRule>
    <cfRule type="containsText" dxfId="2315" priority="2505" operator="containsText" text="SIN">
      <formula>NOT(ISERROR(SEARCH("SIN",IS22)))</formula>
    </cfRule>
    <cfRule type="containsText" dxfId="2314" priority="2506" operator="containsText" text="EQUIPO">
      <formula>NOT(ISERROR(SEARCH("EQUIPO",IS22)))</formula>
    </cfRule>
    <cfRule type="containsText" dxfId="2313" priority="2507" operator="containsText" text="MEDICO TRADICIONAL">
      <formula>NOT(ISERROR(SEARCH("MEDICO TRADICIONAL",IS22)))</formula>
    </cfRule>
    <cfRule type="containsText" dxfId="2312" priority="2508" operator="containsText" text="PARTERA">
      <formula>NOT(ISERROR(SEARCH("PARTERA",IS22)))</formula>
    </cfRule>
    <cfRule type="containsText" dxfId="2311" priority="2509" operator="containsText" text="TÉCNICO">
      <formula>NOT(ISERROR(SEARCH("TÉCNICO",IS22)))</formula>
    </cfRule>
    <cfRule type="containsText" dxfId="2310" priority="2510" operator="containsText" text="PROFESIONAL">
      <formula>NOT(ISERROR(SEARCH("PROFESIONAL",IS22)))</formula>
    </cfRule>
  </conditionalFormatting>
  <conditionalFormatting sqref="IT22">
    <cfRule type="containsText" dxfId="2309" priority="2501" operator="containsText" text="LE HACEN CESÁREA SIN INICIO TRABAJO DE PARTO">
      <formula>NOT(ISERROR(SEARCH("LE HACEN CESÁREA SIN INICIO TRABAJO DE PARTO",IT22)))</formula>
    </cfRule>
    <cfRule type="containsText" dxfId="2308" priority="2502" operator="containsText" text="LE HACEN INDUCCIÓN">
      <formula>NOT(ISERROR(SEARCH("LE HACEN INDUCCIÓN",IT22)))</formula>
    </cfRule>
    <cfRule type="containsText" dxfId="2307" priority="2503" operator="containsText" text="ESPONTÁNEO">
      <formula>NOT(ISERROR(SEARCH("ESPONTÁNEO",IT22)))</formula>
    </cfRule>
  </conditionalFormatting>
  <conditionalFormatting sqref="IS23:IT23">
    <cfRule type="containsText" dxfId="2306" priority="2494" operator="containsText" text="NO APLICA">
      <formula>NOT(ISERROR(SEARCH("NO APLICA",IS23)))</formula>
    </cfRule>
    <cfRule type="containsText" dxfId="2305" priority="2495" operator="containsText" text="SIN">
      <formula>NOT(ISERROR(SEARCH("SIN",IS23)))</formula>
    </cfRule>
    <cfRule type="containsText" dxfId="2304" priority="2496" operator="containsText" text="EQUIPO">
      <formula>NOT(ISERROR(SEARCH("EQUIPO",IS23)))</formula>
    </cfRule>
    <cfRule type="containsText" dxfId="2303" priority="2497" operator="containsText" text="MEDICO TRADICIONAL">
      <formula>NOT(ISERROR(SEARCH("MEDICO TRADICIONAL",IS23)))</formula>
    </cfRule>
    <cfRule type="containsText" dxfId="2302" priority="2498" operator="containsText" text="PARTERA">
      <formula>NOT(ISERROR(SEARCH("PARTERA",IS23)))</formula>
    </cfRule>
    <cfRule type="containsText" dxfId="2301" priority="2499" operator="containsText" text="TÉCNICO">
      <formula>NOT(ISERROR(SEARCH("TÉCNICO",IS23)))</formula>
    </cfRule>
    <cfRule type="containsText" dxfId="2300" priority="2500" operator="containsText" text="PROFESIONAL">
      <formula>NOT(ISERROR(SEARCH("PROFESIONAL",IS23)))</formula>
    </cfRule>
  </conditionalFormatting>
  <conditionalFormatting sqref="IT23">
    <cfRule type="containsText" dxfId="2299" priority="2491" operator="containsText" text="LE HACEN CESÁREA SIN INICIO TRABAJO DE PARTO">
      <formula>NOT(ISERROR(SEARCH("LE HACEN CESÁREA SIN INICIO TRABAJO DE PARTO",IT23)))</formula>
    </cfRule>
    <cfRule type="containsText" dxfId="2298" priority="2492" operator="containsText" text="LE HACEN INDUCCIÓN">
      <formula>NOT(ISERROR(SEARCH("LE HACEN INDUCCIÓN",IT23)))</formula>
    </cfRule>
    <cfRule type="containsText" dxfId="2297" priority="2493" operator="containsText" text="ESPONTÁNEO">
      <formula>NOT(ISERROR(SEARCH("ESPONTÁNEO",IT23)))</formula>
    </cfRule>
  </conditionalFormatting>
  <conditionalFormatting sqref="IS24:IT24">
    <cfRule type="containsText" dxfId="2296" priority="2484" operator="containsText" text="NO APLICA">
      <formula>NOT(ISERROR(SEARCH("NO APLICA",IS24)))</formula>
    </cfRule>
    <cfRule type="containsText" dxfId="2295" priority="2485" operator="containsText" text="SIN">
      <formula>NOT(ISERROR(SEARCH("SIN",IS24)))</formula>
    </cfRule>
    <cfRule type="containsText" dxfId="2294" priority="2486" operator="containsText" text="EQUIPO">
      <formula>NOT(ISERROR(SEARCH("EQUIPO",IS24)))</formula>
    </cfRule>
    <cfRule type="containsText" dxfId="2293" priority="2487" operator="containsText" text="MEDICO TRADICIONAL">
      <formula>NOT(ISERROR(SEARCH("MEDICO TRADICIONAL",IS24)))</formula>
    </cfRule>
    <cfRule type="containsText" dxfId="2292" priority="2488" operator="containsText" text="PARTERA">
      <formula>NOT(ISERROR(SEARCH("PARTERA",IS24)))</formula>
    </cfRule>
    <cfRule type="containsText" dxfId="2291" priority="2489" operator="containsText" text="TÉCNICO">
      <formula>NOT(ISERROR(SEARCH("TÉCNICO",IS24)))</formula>
    </cfRule>
    <cfRule type="containsText" dxfId="2290" priority="2490" operator="containsText" text="PROFESIONAL">
      <formula>NOT(ISERROR(SEARCH("PROFESIONAL",IS24)))</formula>
    </cfRule>
  </conditionalFormatting>
  <conditionalFormatting sqref="IT24">
    <cfRule type="containsText" dxfId="2289" priority="2481" operator="containsText" text="LE HACEN CESÁREA SIN INICIO TRABAJO DE PARTO">
      <formula>NOT(ISERROR(SEARCH("LE HACEN CESÁREA SIN INICIO TRABAJO DE PARTO",IT24)))</formula>
    </cfRule>
    <cfRule type="containsText" dxfId="2288" priority="2482" operator="containsText" text="LE HACEN INDUCCIÓN">
      <formula>NOT(ISERROR(SEARCH("LE HACEN INDUCCIÓN",IT24)))</formula>
    </cfRule>
    <cfRule type="containsText" dxfId="2287" priority="2483" operator="containsText" text="ESPONTÁNEO">
      <formula>NOT(ISERROR(SEARCH("ESPONTÁNEO",IT24)))</formula>
    </cfRule>
  </conditionalFormatting>
  <conditionalFormatting sqref="JI24">
    <cfRule type="containsText" dxfId="2286" priority="2477" operator="containsText" text="NO APLICA">
      <formula>NOT(ISERROR(SEARCH("NO APLICA",JI24)))</formula>
    </cfRule>
    <cfRule type="containsText" dxfId="2285" priority="2478" operator="containsText" text="SIN DATO">
      <formula>NOT(ISERROR(SEARCH("SIN DATO",JI24)))</formula>
    </cfRule>
    <cfRule type="containsText" dxfId="2284" priority="2479" operator="containsText" text="NO">
      <formula>NOT(ISERROR(SEARCH("NO",JI24)))</formula>
    </cfRule>
    <cfRule type="containsText" dxfId="2283" priority="2480" operator="containsText" text="SI">
      <formula>NOT(ISERROR(SEARCH("SI",JI24)))</formula>
    </cfRule>
  </conditionalFormatting>
  <conditionalFormatting sqref="IR25">
    <cfRule type="containsText" dxfId="2282" priority="2473" operator="containsText" text="NO APLICA">
      <formula>NOT(ISERROR(SEARCH("NO APLICA",IR25)))</formula>
    </cfRule>
    <cfRule type="containsText" dxfId="2281" priority="2474" operator="containsText" text="ALTA">
      <formula>NOT(ISERROR(SEARCH("ALTA",IR25)))</formula>
    </cfRule>
    <cfRule type="containsText" dxfId="2280" priority="2475" operator="containsText" text="MEDIANA">
      <formula>NOT(ISERROR(SEARCH("MEDIANA",IR25)))</formula>
    </cfRule>
    <cfRule type="containsText" dxfId="2279" priority="2476" operator="containsText" text="BAJA">
      <formula>NOT(ISERROR(SEARCH("BAJA",IR25)))</formula>
    </cfRule>
  </conditionalFormatting>
  <conditionalFormatting sqref="IS25:IT25">
    <cfRule type="containsText" dxfId="2278" priority="2466" operator="containsText" text="NO APLICA">
      <formula>NOT(ISERROR(SEARCH("NO APLICA",IS25)))</formula>
    </cfRule>
    <cfRule type="containsText" dxfId="2277" priority="2467" operator="containsText" text="SIN">
      <formula>NOT(ISERROR(SEARCH("SIN",IS25)))</formula>
    </cfRule>
    <cfRule type="containsText" dxfId="2276" priority="2468" operator="containsText" text="EQUIPO">
      <formula>NOT(ISERROR(SEARCH("EQUIPO",IS25)))</formula>
    </cfRule>
    <cfRule type="containsText" dxfId="2275" priority="2469" operator="containsText" text="MEDICO TRADICIONAL">
      <formula>NOT(ISERROR(SEARCH("MEDICO TRADICIONAL",IS25)))</formula>
    </cfRule>
    <cfRule type="containsText" dxfId="2274" priority="2470" operator="containsText" text="PARTERA">
      <formula>NOT(ISERROR(SEARCH("PARTERA",IS25)))</formula>
    </cfRule>
    <cfRule type="containsText" dxfId="2273" priority="2471" operator="containsText" text="TÉCNICO">
      <formula>NOT(ISERROR(SEARCH("TÉCNICO",IS25)))</formula>
    </cfRule>
    <cfRule type="containsText" dxfId="2272" priority="2472" operator="containsText" text="PROFESIONAL">
      <formula>NOT(ISERROR(SEARCH("PROFESIONAL",IS25)))</formula>
    </cfRule>
  </conditionalFormatting>
  <conditionalFormatting sqref="IT25">
    <cfRule type="containsText" dxfId="2271" priority="2463" operator="containsText" text="LE HACEN CESÁREA SIN INICIO TRABAJO DE PARTO">
      <formula>NOT(ISERROR(SEARCH("LE HACEN CESÁREA SIN INICIO TRABAJO DE PARTO",IT25)))</formula>
    </cfRule>
    <cfRule type="containsText" dxfId="2270" priority="2464" operator="containsText" text="LE HACEN INDUCCIÓN">
      <formula>NOT(ISERROR(SEARCH("LE HACEN INDUCCIÓN",IT25)))</formula>
    </cfRule>
    <cfRule type="containsText" dxfId="2269" priority="2465" operator="containsText" text="ESPONTÁNEO">
      <formula>NOT(ISERROR(SEARCH("ESPONTÁNEO",IT25)))</formula>
    </cfRule>
  </conditionalFormatting>
  <conditionalFormatting sqref="IR26">
    <cfRule type="containsText" dxfId="2268" priority="2459" operator="containsText" text="NO APLICA">
      <formula>NOT(ISERROR(SEARCH("NO APLICA",IR26)))</formula>
    </cfRule>
    <cfRule type="containsText" dxfId="2267" priority="2460" operator="containsText" text="ALTA">
      <formula>NOT(ISERROR(SEARCH("ALTA",IR26)))</formula>
    </cfRule>
    <cfRule type="containsText" dxfId="2266" priority="2461" operator="containsText" text="MEDIANA">
      <formula>NOT(ISERROR(SEARCH("MEDIANA",IR26)))</formula>
    </cfRule>
    <cfRule type="containsText" dxfId="2265" priority="2462" operator="containsText" text="BAJA">
      <formula>NOT(ISERROR(SEARCH("BAJA",IR26)))</formula>
    </cfRule>
  </conditionalFormatting>
  <conditionalFormatting sqref="IS26:IT26">
    <cfRule type="containsText" dxfId="2264" priority="2452" operator="containsText" text="NO APLICA">
      <formula>NOT(ISERROR(SEARCH("NO APLICA",IS26)))</formula>
    </cfRule>
    <cfRule type="containsText" dxfId="2263" priority="2453" operator="containsText" text="SIN">
      <formula>NOT(ISERROR(SEARCH("SIN",IS26)))</formula>
    </cfRule>
    <cfRule type="containsText" dxfId="2262" priority="2454" operator="containsText" text="EQUIPO">
      <formula>NOT(ISERROR(SEARCH("EQUIPO",IS26)))</formula>
    </cfRule>
    <cfRule type="containsText" dxfId="2261" priority="2455" operator="containsText" text="MEDICO TRADICIONAL">
      <formula>NOT(ISERROR(SEARCH("MEDICO TRADICIONAL",IS26)))</formula>
    </cfRule>
    <cfRule type="containsText" dxfId="2260" priority="2456" operator="containsText" text="PARTERA">
      <formula>NOT(ISERROR(SEARCH("PARTERA",IS26)))</formula>
    </cfRule>
    <cfRule type="containsText" dxfId="2259" priority="2457" operator="containsText" text="TÉCNICO">
      <formula>NOT(ISERROR(SEARCH("TÉCNICO",IS26)))</formula>
    </cfRule>
    <cfRule type="containsText" dxfId="2258" priority="2458" operator="containsText" text="PROFESIONAL">
      <formula>NOT(ISERROR(SEARCH("PROFESIONAL",IS26)))</formula>
    </cfRule>
  </conditionalFormatting>
  <conditionalFormatting sqref="IT26">
    <cfRule type="containsText" dxfId="2257" priority="2449" operator="containsText" text="LE HACEN CESÁREA SIN INICIO TRABAJO DE PARTO">
      <formula>NOT(ISERROR(SEARCH("LE HACEN CESÁREA SIN INICIO TRABAJO DE PARTO",IT26)))</formula>
    </cfRule>
    <cfRule type="containsText" dxfId="2256" priority="2450" operator="containsText" text="LE HACEN INDUCCIÓN">
      <formula>NOT(ISERROR(SEARCH("LE HACEN INDUCCIÓN",IT26)))</formula>
    </cfRule>
    <cfRule type="containsText" dxfId="2255" priority="2451" operator="containsText" text="ESPONTÁNEO">
      <formula>NOT(ISERROR(SEARCH("ESPONTÁNEO",IT26)))</formula>
    </cfRule>
  </conditionalFormatting>
  <conditionalFormatting sqref="IR27">
    <cfRule type="containsText" dxfId="2254" priority="2445" operator="containsText" text="NO APLICA">
      <formula>NOT(ISERROR(SEARCH("NO APLICA",IR27)))</formula>
    </cfRule>
    <cfRule type="containsText" dxfId="2253" priority="2446" operator="containsText" text="ALTA">
      <formula>NOT(ISERROR(SEARCH("ALTA",IR27)))</formula>
    </cfRule>
    <cfRule type="containsText" dxfId="2252" priority="2447" operator="containsText" text="MEDIANA">
      <formula>NOT(ISERROR(SEARCH("MEDIANA",IR27)))</formula>
    </cfRule>
    <cfRule type="containsText" dxfId="2251" priority="2448" operator="containsText" text="BAJA">
      <formula>NOT(ISERROR(SEARCH("BAJA",IR27)))</formula>
    </cfRule>
  </conditionalFormatting>
  <conditionalFormatting sqref="IS27:IT27">
    <cfRule type="containsText" dxfId="2250" priority="2438" operator="containsText" text="NO APLICA">
      <formula>NOT(ISERROR(SEARCH("NO APLICA",IS27)))</formula>
    </cfRule>
    <cfRule type="containsText" dxfId="2249" priority="2439" operator="containsText" text="SIN">
      <formula>NOT(ISERROR(SEARCH("SIN",IS27)))</formula>
    </cfRule>
    <cfRule type="containsText" dxfId="2248" priority="2440" operator="containsText" text="EQUIPO">
      <formula>NOT(ISERROR(SEARCH("EQUIPO",IS27)))</formula>
    </cfRule>
    <cfRule type="containsText" dxfId="2247" priority="2441" operator="containsText" text="MEDICO TRADICIONAL">
      <formula>NOT(ISERROR(SEARCH("MEDICO TRADICIONAL",IS27)))</formula>
    </cfRule>
    <cfRule type="containsText" dxfId="2246" priority="2442" operator="containsText" text="PARTERA">
      <formula>NOT(ISERROR(SEARCH("PARTERA",IS27)))</formula>
    </cfRule>
    <cfRule type="containsText" dxfId="2245" priority="2443" operator="containsText" text="TÉCNICO">
      <formula>NOT(ISERROR(SEARCH("TÉCNICO",IS27)))</formula>
    </cfRule>
    <cfRule type="containsText" dxfId="2244" priority="2444" operator="containsText" text="PROFESIONAL">
      <formula>NOT(ISERROR(SEARCH("PROFESIONAL",IS27)))</formula>
    </cfRule>
  </conditionalFormatting>
  <conditionalFormatting sqref="IT27">
    <cfRule type="containsText" dxfId="2243" priority="2435" operator="containsText" text="LE HACEN CESÁREA SIN INICIO TRABAJO DE PARTO">
      <formula>NOT(ISERROR(SEARCH("LE HACEN CESÁREA SIN INICIO TRABAJO DE PARTO",IT27)))</formula>
    </cfRule>
    <cfRule type="containsText" dxfId="2242" priority="2436" operator="containsText" text="LE HACEN INDUCCIÓN">
      <formula>NOT(ISERROR(SEARCH("LE HACEN INDUCCIÓN",IT27)))</formula>
    </cfRule>
    <cfRule type="containsText" dxfId="2241" priority="2437" operator="containsText" text="ESPONTÁNEO">
      <formula>NOT(ISERROR(SEARCH("ESPONTÁNEO",IT27)))</formula>
    </cfRule>
  </conditionalFormatting>
  <conditionalFormatting sqref="IR29">
    <cfRule type="containsText" dxfId="2240" priority="2431" operator="containsText" text="NO APLICA">
      <formula>NOT(ISERROR(SEARCH("NO APLICA",IR29)))</formula>
    </cfRule>
    <cfRule type="containsText" dxfId="2239" priority="2432" operator="containsText" text="ALTA">
      <formula>NOT(ISERROR(SEARCH("ALTA",IR29)))</formula>
    </cfRule>
    <cfRule type="containsText" dxfId="2238" priority="2433" operator="containsText" text="MEDIANA">
      <formula>NOT(ISERROR(SEARCH("MEDIANA",IR29)))</formula>
    </cfRule>
    <cfRule type="containsText" dxfId="2237" priority="2434" operator="containsText" text="BAJA">
      <formula>NOT(ISERROR(SEARCH("BAJA",IR29)))</formula>
    </cfRule>
  </conditionalFormatting>
  <conditionalFormatting sqref="IS29:IT29">
    <cfRule type="containsText" dxfId="2236" priority="2424" operator="containsText" text="NO APLICA">
      <formula>NOT(ISERROR(SEARCH("NO APLICA",IS29)))</formula>
    </cfRule>
    <cfRule type="containsText" dxfId="2235" priority="2425" operator="containsText" text="SIN">
      <formula>NOT(ISERROR(SEARCH("SIN",IS29)))</formula>
    </cfRule>
    <cfRule type="containsText" dxfId="2234" priority="2426" operator="containsText" text="EQUIPO">
      <formula>NOT(ISERROR(SEARCH("EQUIPO",IS29)))</formula>
    </cfRule>
    <cfRule type="containsText" dxfId="2233" priority="2427" operator="containsText" text="MEDICO TRADICIONAL">
      <formula>NOT(ISERROR(SEARCH("MEDICO TRADICIONAL",IS29)))</formula>
    </cfRule>
    <cfRule type="containsText" dxfId="2232" priority="2428" operator="containsText" text="PARTERA">
      <formula>NOT(ISERROR(SEARCH("PARTERA",IS29)))</formula>
    </cfRule>
    <cfRule type="containsText" dxfId="2231" priority="2429" operator="containsText" text="TÉCNICO">
      <formula>NOT(ISERROR(SEARCH("TÉCNICO",IS29)))</formula>
    </cfRule>
    <cfRule type="containsText" dxfId="2230" priority="2430" operator="containsText" text="PROFESIONAL">
      <formula>NOT(ISERROR(SEARCH("PROFESIONAL",IS29)))</formula>
    </cfRule>
  </conditionalFormatting>
  <conditionalFormatting sqref="IT29">
    <cfRule type="containsText" dxfId="2229" priority="2421" operator="containsText" text="LE HACEN CESÁREA SIN INICIO TRABAJO DE PARTO">
      <formula>NOT(ISERROR(SEARCH("LE HACEN CESÁREA SIN INICIO TRABAJO DE PARTO",IT29)))</formula>
    </cfRule>
    <cfRule type="containsText" dxfId="2228" priority="2422" operator="containsText" text="LE HACEN INDUCCIÓN">
      <formula>NOT(ISERROR(SEARCH("LE HACEN INDUCCIÓN",IT29)))</formula>
    </cfRule>
    <cfRule type="containsText" dxfId="2227" priority="2423" operator="containsText" text="ESPONTÁNEO">
      <formula>NOT(ISERROR(SEARCH("ESPONTÁNEO",IT29)))</formula>
    </cfRule>
  </conditionalFormatting>
  <conditionalFormatting sqref="IR30">
    <cfRule type="containsText" dxfId="2226" priority="2417" operator="containsText" text="NO APLICA">
      <formula>NOT(ISERROR(SEARCH("NO APLICA",IR30)))</formula>
    </cfRule>
    <cfRule type="containsText" dxfId="2225" priority="2418" operator="containsText" text="ALTA">
      <formula>NOT(ISERROR(SEARCH("ALTA",IR30)))</formula>
    </cfRule>
    <cfRule type="containsText" dxfId="2224" priority="2419" operator="containsText" text="MEDIANA">
      <formula>NOT(ISERROR(SEARCH("MEDIANA",IR30)))</formula>
    </cfRule>
    <cfRule type="containsText" dxfId="2223" priority="2420" operator="containsText" text="BAJA">
      <formula>NOT(ISERROR(SEARCH("BAJA",IR30)))</formula>
    </cfRule>
  </conditionalFormatting>
  <conditionalFormatting sqref="IS30:IT30">
    <cfRule type="containsText" dxfId="2222" priority="2410" operator="containsText" text="NO APLICA">
      <formula>NOT(ISERROR(SEARCH("NO APLICA",IS30)))</formula>
    </cfRule>
    <cfRule type="containsText" dxfId="2221" priority="2411" operator="containsText" text="SIN">
      <formula>NOT(ISERROR(SEARCH("SIN",IS30)))</formula>
    </cfRule>
    <cfRule type="containsText" dxfId="2220" priority="2412" operator="containsText" text="EQUIPO">
      <formula>NOT(ISERROR(SEARCH("EQUIPO",IS30)))</formula>
    </cfRule>
    <cfRule type="containsText" dxfId="2219" priority="2413" operator="containsText" text="MEDICO TRADICIONAL">
      <formula>NOT(ISERROR(SEARCH("MEDICO TRADICIONAL",IS30)))</formula>
    </cfRule>
    <cfRule type="containsText" dxfId="2218" priority="2414" operator="containsText" text="PARTERA">
      <formula>NOT(ISERROR(SEARCH("PARTERA",IS30)))</formula>
    </cfRule>
    <cfRule type="containsText" dxfId="2217" priority="2415" operator="containsText" text="TÉCNICO">
      <formula>NOT(ISERROR(SEARCH("TÉCNICO",IS30)))</formula>
    </cfRule>
    <cfRule type="containsText" dxfId="2216" priority="2416" operator="containsText" text="PROFESIONAL">
      <formula>NOT(ISERROR(SEARCH("PROFESIONAL",IS30)))</formula>
    </cfRule>
  </conditionalFormatting>
  <conditionalFormatting sqref="IT30">
    <cfRule type="containsText" dxfId="2215" priority="2407" operator="containsText" text="LE HACEN CESÁREA SIN INICIO TRABAJO DE PARTO">
      <formula>NOT(ISERROR(SEARCH("LE HACEN CESÁREA SIN INICIO TRABAJO DE PARTO",IT30)))</formula>
    </cfRule>
    <cfRule type="containsText" dxfId="2214" priority="2408" operator="containsText" text="LE HACEN INDUCCIÓN">
      <formula>NOT(ISERROR(SEARCH("LE HACEN INDUCCIÓN",IT30)))</formula>
    </cfRule>
    <cfRule type="containsText" dxfId="2213" priority="2409" operator="containsText" text="ESPONTÁNEO">
      <formula>NOT(ISERROR(SEARCH("ESPONTÁNEO",IT30)))</formula>
    </cfRule>
  </conditionalFormatting>
  <conditionalFormatting sqref="IR31">
    <cfRule type="containsText" dxfId="2212" priority="2403" operator="containsText" text="NO APLICA">
      <formula>NOT(ISERROR(SEARCH("NO APLICA",IR31)))</formula>
    </cfRule>
    <cfRule type="containsText" dxfId="2211" priority="2404" operator="containsText" text="ALTA">
      <formula>NOT(ISERROR(SEARCH("ALTA",IR31)))</formula>
    </cfRule>
    <cfRule type="containsText" dxfId="2210" priority="2405" operator="containsText" text="MEDIANA">
      <formula>NOT(ISERROR(SEARCH("MEDIANA",IR31)))</formula>
    </cfRule>
    <cfRule type="containsText" dxfId="2209" priority="2406" operator="containsText" text="BAJA">
      <formula>NOT(ISERROR(SEARCH("BAJA",IR31)))</formula>
    </cfRule>
  </conditionalFormatting>
  <conditionalFormatting sqref="IS31:IT31">
    <cfRule type="containsText" dxfId="2208" priority="2396" operator="containsText" text="NO APLICA">
      <formula>NOT(ISERROR(SEARCH("NO APLICA",IS31)))</formula>
    </cfRule>
    <cfRule type="containsText" dxfId="2207" priority="2397" operator="containsText" text="SIN">
      <formula>NOT(ISERROR(SEARCH("SIN",IS31)))</formula>
    </cfRule>
    <cfRule type="containsText" dxfId="2206" priority="2398" operator="containsText" text="EQUIPO">
      <formula>NOT(ISERROR(SEARCH("EQUIPO",IS31)))</formula>
    </cfRule>
    <cfRule type="containsText" dxfId="2205" priority="2399" operator="containsText" text="MEDICO TRADICIONAL">
      <formula>NOT(ISERROR(SEARCH("MEDICO TRADICIONAL",IS31)))</formula>
    </cfRule>
    <cfRule type="containsText" dxfId="2204" priority="2400" operator="containsText" text="PARTERA">
      <formula>NOT(ISERROR(SEARCH("PARTERA",IS31)))</formula>
    </cfRule>
    <cfRule type="containsText" dxfId="2203" priority="2401" operator="containsText" text="TÉCNICO">
      <formula>NOT(ISERROR(SEARCH("TÉCNICO",IS31)))</formula>
    </cfRule>
    <cfRule type="containsText" dxfId="2202" priority="2402" operator="containsText" text="PROFESIONAL">
      <formula>NOT(ISERROR(SEARCH("PROFESIONAL",IS31)))</formula>
    </cfRule>
  </conditionalFormatting>
  <conditionalFormatting sqref="IT31">
    <cfRule type="containsText" dxfId="2201" priority="2393" operator="containsText" text="LE HACEN CESÁREA SIN INICIO TRABAJO DE PARTO">
      <formula>NOT(ISERROR(SEARCH("LE HACEN CESÁREA SIN INICIO TRABAJO DE PARTO",IT31)))</formula>
    </cfRule>
    <cfRule type="containsText" dxfId="2200" priority="2394" operator="containsText" text="LE HACEN INDUCCIÓN">
      <formula>NOT(ISERROR(SEARCH("LE HACEN INDUCCIÓN",IT31)))</formula>
    </cfRule>
    <cfRule type="containsText" dxfId="2199" priority="2395" operator="containsText" text="ESPONTÁNEO">
      <formula>NOT(ISERROR(SEARCH("ESPONTÁNEO",IT31)))</formula>
    </cfRule>
  </conditionalFormatting>
  <conditionalFormatting sqref="JI31">
    <cfRule type="containsText" dxfId="2198" priority="2389" operator="containsText" text="NO APLICA">
      <formula>NOT(ISERROR(SEARCH("NO APLICA",JI31)))</formula>
    </cfRule>
    <cfRule type="containsText" dxfId="2197" priority="2390" operator="containsText" text="SIN DATO">
      <formula>NOT(ISERROR(SEARCH("SIN DATO",JI31)))</formula>
    </cfRule>
    <cfRule type="containsText" dxfId="2196" priority="2391" operator="containsText" text="NO">
      <formula>NOT(ISERROR(SEARCH("NO",JI31)))</formula>
    </cfRule>
    <cfRule type="containsText" dxfId="2195" priority="2392" operator="containsText" text="SI">
      <formula>NOT(ISERROR(SEARCH("SI",JI31)))</formula>
    </cfRule>
  </conditionalFormatting>
  <conditionalFormatting sqref="IR32">
    <cfRule type="containsText" dxfId="2194" priority="2385" operator="containsText" text="NO APLICA">
      <formula>NOT(ISERROR(SEARCH("NO APLICA",IR32)))</formula>
    </cfRule>
    <cfRule type="containsText" dxfId="2193" priority="2386" operator="containsText" text="ALTA">
      <formula>NOT(ISERROR(SEARCH("ALTA",IR32)))</formula>
    </cfRule>
    <cfRule type="containsText" dxfId="2192" priority="2387" operator="containsText" text="MEDIANA">
      <formula>NOT(ISERROR(SEARCH("MEDIANA",IR32)))</formula>
    </cfRule>
    <cfRule type="containsText" dxfId="2191" priority="2388" operator="containsText" text="BAJA">
      <formula>NOT(ISERROR(SEARCH("BAJA",IR32)))</formula>
    </cfRule>
  </conditionalFormatting>
  <conditionalFormatting sqref="IS32:IT32">
    <cfRule type="containsText" dxfId="2190" priority="2378" operator="containsText" text="NO APLICA">
      <formula>NOT(ISERROR(SEARCH("NO APLICA",IS32)))</formula>
    </cfRule>
    <cfRule type="containsText" dxfId="2189" priority="2379" operator="containsText" text="SIN">
      <formula>NOT(ISERROR(SEARCH("SIN",IS32)))</formula>
    </cfRule>
    <cfRule type="containsText" dxfId="2188" priority="2380" operator="containsText" text="EQUIPO">
      <formula>NOT(ISERROR(SEARCH("EQUIPO",IS32)))</formula>
    </cfRule>
    <cfRule type="containsText" dxfId="2187" priority="2381" operator="containsText" text="MEDICO TRADICIONAL">
      <formula>NOT(ISERROR(SEARCH("MEDICO TRADICIONAL",IS32)))</formula>
    </cfRule>
    <cfRule type="containsText" dxfId="2186" priority="2382" operator="containsText" text="PARTERA">
      <formula>NOT(ISERROR(SEARCH("PARTERA",IS32)))</formula>
    </cfRule>
    <cfRule type="containsText" dxfId="2185" priority="2383" operator="containsText" text="TÉCNICO">
      <formula>NOT(ISERROR(SEARCH("TÉCNICO",IS32)))</formula>
    </cfRule>
    <cfRule type="containsText" dxfId="2184" priority="2384" operator="containsText" text="PROFESIONAL">
      <formula>NOT(ISERROR(SEARCH("PROFESIONAL",IS32)))</formula>
    </cfRule>
  </conditionalFormatting>
  <conditionalFormatting sqref="IT32">
    <cfRule type="containsText" dxfId="2183" priority="2375" operator="containsText" text="LE HACEN CESÁREA SIN INICIO TRABAJO DE PARTO">
      <formula>NOT(ISERROR(SEARCH("LE HACEN CESÁREA SIN INICIO TRABAJO DE PARTO",IT32)))</formula>
    </cfRule>
    <cfRule type="containsText" dxfId="2182" priority="2376" operator="containsText" text="LE HACEN INDUCCIÓN">
      <formula>NOT(ISERROR(SEARCH("LE HACEN INDUCCIÓN",IT32)))</formula>
    </cfRule>
    <cfRule type="containsText" dxfId="2181" priority="2377" operator="containsText" text="ESPONTÁNEO">
      <formula>NOT(ISERROR(SEARCH("ESPONTÁNEO",IT32)))</formula>
    </cfRule>
  </conditionalFormatting>
  <conditionalFormatting sqref="IR33">
    <cfRule type="containsText" dxfId="2180" priority="2371" operator="containsText" text="NO APLICA">
      <formula>NOT(ISERROR(SEARCH("NO APLICA",IR33)))</formula>
    </cfRule>
    <cfRule type="containsText" dxfId="2179" priority="2372" operator="containsText" text="ALTA">
      <formula>NOT(ISERROR(SEARCH("ALTA",IR33)))</formula>
    </cfRule>
    <cfRule type="containsText" dxfId="2178" priority="2373" operator="containsText" text="MEDIANA">
      <formula>NOT(ISERROR(SEARCH("MEDIANA",IR33)))</formula>
    </cfRule>
    <cfRule type="containsText" dxfId="2177" priority="2374" operator="containsText" text="BAJA">
      <formula>NOT(ISERROR(SEARCH("BAJA",IR33)))</formula>
    </cfRule>
  </conditionalFormatting>
  <conditionalFormatting sqref="IS33:IT33">
    <cfRule type="containsText" dxfId="2176" priority="2364" operator="containsText" text="NO APLICA">
      <formula>NOT(ISERROR(SEARCH("NO APLICA",IS33)))</formula>
    </cfRule>
    <cfRule type="containsText" dxfId="2175" priority="2365" operator="containsText" text="SIN">
      <formula>NOT(ISERROR(SEARCH("SIN",IS33)))</formula>
    </cfRule>
    <cfRule type="containsText" dxfId="2174" priority="2366" operator="containsText" text="EQUIPO">
      <formula>NOT(ISERROR(SEARCH("EQUIPO",IS33)))</formula>
    </cfRule>
    <cfRule type="containsText" dxfId="2173" priority="2367" operator="containsText" text="MEDICO TRADICIONAL">
      <formula>NOT(ISERROR(SEARCH("MEDICO TRADICIONAL",IS33)))</formula>
    </cfRule>
    <cfRule type="containsText" dxfId="2172" priority="2368" operator="containsText" text="PARTERA">
      <formula>NOT(ISERROR(SEARCH("PARTERA",IS33)))</formula>
    </cfRule>
    <cfRule type="containsText" dxfId="2171" priority="2369" operator="containsText" text="TÉCNICO">
      <formula>NOT(ISERROR(SEARCH("TÉCNICO",IS33)))</formula>
    </cfRule>
    <cfRule type="containsText" dxfId="2170" priority="2370" operator="containsText" text="PROFESIONAL">
      <formula>NOT(ISERROR(SEARCH("PROFESIONAL",IS33)))</formula>
    </cfRule>
  </conditionalFormatting>
  <conditionalFormatting sqref="IT33">
    <cfRule type="containsText" dxfId="2169" priority="2361" operator="containsText" text="LE HACEN CESÁREA SIN INICIO TRABAJO DE PARTO">
      <formula>NOT(ISERROR(SEARCH("LE HACEN CESÁREA SIN INICIO TRABAJO DE PARTO",IT33)))</formula>
    </cfRule>
    <cfRule type="containsText" dxfId="2168" priority="2362" operator="containsText" text="LE HACEN INDUCCIÓN">
      <formula>NOT(ISERROR(SEARCH("LE HACEN INDUCCIÓN",IT33)))</formula>
    </cfRule>
    <cfRule type="containsText" dxfId="2167" priority="2363" operator="containsText" text="ESPONTÁNEO">
      <formula>NOT(ISERROR(SEARCH("ESPONTÁNEO",IT33)))</formula>
    </cfRule>
  </conditionalFormatting>
  <conditionalFormatting sqref="JI33">
    <cfRule type="containsText" dxfId="2166" priority="2357" operator="containsText" text="NO APLICA">
      <formula>NOT(ISERROR(SEARCH("NO APLICA",JI33)))</formula>
    </cfRule>
    <cfRule type="containsText" dxfId="2165" priority="2358" operator="containsText" text="SIN DATO">
      <formula>NOT(ISERROR(SEARCH("SIN DATO",JI33)))</formula>
    </cfRule>
    <cfRule type="containsText" dxfId="2164" priority="2359" operator="containsText" text="NO">
      <formula>NOT(ISERROR(SEARCH("NO",JI33)))</formula>
    </cfRule>
    <cfRule type="containsText" dxfId="2163" priority="2360" operator="containsText" text="SI">
      <formula>NOT(ISERROR(SEARCH("SI",JI33)))</formula>
    </cfRule>
  </conditionalFormatting>
  <conditionalFormatting sqref="IR34">
    <cfRule type="containsText" dxfId="2162" priority="2353" operator="containsText" text="NO APLICA">
      <formula>NOT(ISERROR(SEARCH("NO APLICA",IR34)))</formula>
    </cfRule>
    <cfRule type="containsText" dxfId="2161" priority="2354" operator="containsText" text="ALTA">
      <formula>NOT(ISERROR(SEARCH("ALTA",IR34)))</formula>
    </cfRule>
    <cfRule type="containsText" dxfId="2160" priority="2355" operator="containsText" text="MEDIANA">
      <formula>NOT(ISERROR(SEARCH("MEDIANA",IR34)))</formula>
    </cfRule>
    <cfRule type="containsText" dxfId="2159" priority="2356" operator="containsText" text="BAJA">
      <formula>NOT(ISERROR(SEARCH("BAJA",IR34)))</formula>
    </cfRule>
  </conditionalFormatting>
  <conditionalFormatting sqref="IS34:IT34">
    <cfRule type="containsText" dxfId="2158" priority="2346" operator="containsText" text="NO APLICA">
      <formula>NOT(ISERROR(SEARCH("NO APLICA",IS34)))</formula>
    </cfRule>
    <cfRule type="containsText" dxfId="2157" priority="2347" operator="containsText" text="SIN">
      <formula>NOT(ISERROR(SEARCH("SIN",IS34)))</formula>
    </cfRule>
    <cfRule type="containsText" dxfId="2156" priority="2348" operator="containsText" text="EQUIPO">
      <formula>NOT(ISERROR(SEARCH("EQUIPO",IS34)))</formula>
    </cfRule>
    <cfRule type="containsText" dxfId="2155" priority="2349" operator="containsText" text="MEDICO TRADICIONAL">
      <formula>NOT(ISERROR(SEARCH("MEDICO TRADICIONAL",IS34)))</formula>
    </cfRule>
    <cfRule type="containsText" dxfId="2154" priority="2350" operator="containsText" text="PARTERA">
      <formula>NOT(ISERROR(SEARCH("PARTERA",IS34)))</formula>
    </cfRule>
    <cfRule type="containsText" dxfId="2153" priority="2351" operator="containsText" text="TÉCNICO">
      <formula>NOT(ISERROR(SEARCH("TÉCNICO",IS34)))</formula>
    </cfRule>
    <cfRule type="containsText" dxfId="2152" priority="2352" operator="containsText" text="PROFESIONAL">
      <formula>NOT(ISERROR(SEARCH("PROFESIONAL",IS34)))</formula>
    </cfRule>
  </conditionalFormatting>
  <conditionalFormatting sqref="IT34">
    <cfRule type="containsText" dxfId="2151" priority="2343" operator="containsText" text="LE HACEN CESÁREA SIN INICIO TRABAJO DE PARTO">
      <formula>NOT(ISERROR(SEARCH("LE HACEN CESÁREA SIN INICIO TRABAJO DE PARTO",IT34)))</formula>
    </cfRule>
    <cfRule type="containsText" dxfId="2150" priority="2344" operator="containsText" text="LE HACEN INDUCCIÓN">
      <formula>NOT(ISERROR(SEARCH("LE HACEN INDUCCIÓN",IT34)))</formula>
    </cfRule>
    <cfRule type="containsText" dxfId="2149" priority="2345" operator="containsText" text="ESPONTÁNEO">
      <formula>NOT(ISERROR(SEARCH("ESPONTÁNEO",IT34)))</formula>
    </cfRule>
  </conditionalFormatting>
  <conditionalFormatting sqref="JI34">
    <cfRule type="containsText" dxfId="2148" priority="2339" operator="containsText" text="NO APLICA">
      <formula>NOT(ISERROR(SEARCH("NO APLICA",JI34)))</formula>
    </cfRule>
    <cfRule type="containsText" dxfId="2147" priority="2340" operator="containsText" text="SIN DATO">
      <formula>NOT(ISERROR(SEARCH("SIN DATO",JI34)))</formula>
    </cfRule>
    <cfRule type="containsText" dxfId="2146" priority="2341" operator="containsText" text="NO">
      <formula>NOT(ISERROR(SEARCH("NO",JI34)))</formula>
    </cfRule>
    <cfRule type="containsText" dxfId="2145" priority="2342" operator="containsText" text="SI">
      <formula>NOT(ISERROR(SEARCH("SI",JI34)))</formula>
    </cfRule>
  </conditionalFormatting>
  <conditionalFormatting sqref="IR35">
    <cfRule type="containsText" dxfId="2144" priority="2335" operator="containsText" text="NO APLICA">
      <formula>NOT(ISERROR(SEARCH("NO APLICA",IR35)))</formula>
    </cfRule>
    <cfRule type="containsText" dxfId="2143" priority="2336" operator="containsText" text="ALTA">
      <formula>NOT(ISERROR(SEARCH("ALTA",IR35)))</formula>
    </cfRule>
    <cfRule type="containsText" dxfId="2142" priority="2337" operator="containsText" text="MEDIANA">
      <formula>NOT(ISERROR(SEARCH("MEDIANA",IR35)))</formula>
    </cfRule>
    <cfRule type="containsText" dxfId="2141" priority="2338" operator="containsText" text="BAJA">
      <formula>NOT(ISERROR(SEARCH("BAJA",IR35)))</formula>
    </cfRule>
  </conditionalFormatting>
  <conditionalFormatting sqref="IS35:IT35">
    <cfRule type="containsText" dxfId="2140" priority="2328" operator="containsText" text="NO APLICA">
      <formula>NOT(ISERROR(SEARCH("NO APLICA",IS35)))</formula>
    </cfRule>
    <cfRule type="containsText" dxfId="2139" priority="2329" operator="containsText" text="SIN">
      <formula>NOT(ISERROR(SEARCH("SIN",IS35)))</formula>
    </cfRule>
    <cfRule type="containsText" dxfId="2138" priority="2330" operator="containsText" text="EQUIPO">
      <formula>NOT(ISERROR(SEARCH("EQUIPO",IS35)))</formula>
    </cfRule>
    <cfRule type="containsText" dxfId="2137" priority="2331" operator="containsText" text="MEDICO TRADICIONAL">
      <formula>NOT(ISERROR(SEARCH("MEDICO TRADICIONAL",IS35)))</formula>
    </cfRule>
    <cfRule type="containsText" dxfId="2136" priority="2332" operator="containsText" text="PARTERA">
      <formula>NOT(ISERROR(SEARCH("PARTERA",IS35)))</formula>
    </cfRule>
    <cfRule type="containsText" dxfId="2135" priority="2333" operator="containsText" text="TÉCNICO">
      <formula>NOT(ISERROR(SEARCH("TÉCNICO",IS35)))</formula>
    </cfRule>
    <cfRule type="containsText" dxfId="2134" priority="2334" operator="containsText" text="PROFESIONAL">
      <formula>NOT(ISERROR(SEARCH("PROFESIONAL",IS35)))</formula>
    </cfRule>
  </conditionalFormatting>
  <conditionalFormatting sqref="IT35">
    <cfRule type="containsText" dxfId="2133" priority="2325" operator="containsText" text="LE HACEN CESÁREA SIN INICIO TRABAJO DE PARTO">
      <formula>NOT(ISERROR(SEARCH("LE HACEN CESÁREA SIN INICIO TRABAJO DE PARTO",IT35)))</formula>
    </cfRule>
    <cfRule type="containsText" dxfId="2132" priority="2326" operator="containsText" text="LE HACEN INDUCCIÓN">
      <formula>NOT(ISERROR(SEARCH("LE HACEN INDUCCIÓN",IT35)))</formula>
    </cfRule>
    <cfRule type="containsText" dxfId="2131" priority="2327" operator="containsText" text="ESPONTÁNEO">
      <formula>NOT(ISERROR(SEARCH("ESPONTÁNEO",IT35)))</formula>
    </cfRule>
  </conditionalFormatting>
  <conditionalFormatting sqref="JI35">
    <cfRule type="containsText" dxfId="2130" priority="2321" operator="containsText" text="NO APLICA">
      <formula>NOT(ISERROR(SEARCH("NO APLICA",JI35)))</formula>
    </cfRule>
    <cfRule type="containsText" dxfId="2129" priority="2322" operator="containsText" text="SIN DATO">
      <formula>NOT(ISERROR(SEARCH("SIN DATO",JI35)))</formula>
    </cfRule>
    <cfRule type="containsText" dxfId="2128" priority="2323" operator="containsText" text="NO">
      <formula>NOT(ISERROR(SEARCH("NO",JI35)))</formula>
    </cfRule>
    <cfRule type="containsText" dxfId="2127" priority="2324" operator="containsText" text="SI">
      <formula>NOT(ISERROR(SEARCH("SI",JI35)))</formula>
    </cfRule>
  </conditionalFormatting>
  <conditionalFormatting sqref="IR36">
    <cfRule type="containsText" dxfId="2126" priority="2317" operator="containsText" text="NO APLICA">
      <formula>NOT(ISERROR(SEARCH("NO APLICA",IR36)))</formula>
    </cfRule>
    <cfRule type="containsText" dxfId="2125" priority="2318" operator="containsText" text="ALTA">
      <formula>NOT(ISERROR(SEARCH("ALTA",IR36)))</formula>
    </cfRule>
    <cfRule type="containsText" dxfId="2124" priority="2319" operator="containsText" text="MEDIANA">
      <formula>NOT(ISERROR(SEARCH("MEDIANA",IR36)))</formula>
    </cfRule>
    <cfRule type="containsText" dxfId="2123" priority="2320" operator="containsText" text="BAJA">
      <formula>NOT(ISERROR(SEARCH("BAJA",IR36)))</formula>
    </cfRule>
  </conditionalFormatting>
  <conditionalFormatting sqref="IS36:IT36">
    <cfRule type="containsText" dxfId="2122" priority="2310" operator="containsText" text="NO APLICA">
      <formula>NOT(ISERROR(SEARCH("NO APLICA",IS36)))</formula>
    </cfRule>
    <cfRule type="containsText" dxfId="2121" priority="2311" operator="containsText" text="SIN">
      <formula>NOT(ISERROR(SEARCH("SIN",IS36)))</formula>
    </cfRule>
    <cfRule type="containsText" dxfId="2120" priority="2312" operator="containsText" text="EQUIPO">
      <formula>NOT(ISERROR(SEARCH("EQUIPO",IS36)))</formula>
    </cfRule>
    <cfRule type="containsText" dxfId="2119" priority="2313" operator="containsText" text="MEDICO TRADICIONAL">
      <formula>NOT(ISERROR(SEARCH("MEDICO TRADICIONAL",IS36)))</formula>
    </cfRule>
    <cfRule type="containsText" dxfId="2118" priority="2314" operator="containsText" text="PARTERA">
      <formula>NOT(ISERROR(SEARCH("PARTERA",IS36)))</formula>
    </cfRule>
    <cfRule type="containsText" dxfId="2117" priority="2315" operator="containsText" text="TÉCNICO">
      <formula>NOT(ISERROR(SEARCH("TÉCNICO",IS36)))</formula>
    </cfRule>
    <cfRule type="containsText" dxfId="2116" priority="2316" operator="containsText" text="PROFESIONAL">
      <formula>NOT(ISERROR(SEARCH("PROFESIONAL",IS36)))</formula>
    </cfRule>
  </conditionalFormatting>
  <conditionalFormatting sqref="IT36">
    <cfRule type="containsText" dxfId="2115" priority="2307" operator="containsText" text="LE HACEN CESÁREA SIN INICIO TRABAJO DE PARTO">
      <formula>NOT(ISERROR(SEARCH("LE HACEN CESÁREA SIN INICIO TRABAJO DE PARTO",IT36)))</formula>
    </cfRule>
    <cfRule type="containsText" dxfId="2114" priority="2308" operator="containsText" text="LE HACEN INDUCCIÓN">
      <formula>NOT(ISERROR(SEARCH("LE HACEN INDUCCIÓN",IT36)))</formula>
    </cfRule>
    <cfRule type="containsText" dxfId="2113" priority="2309" operator="containsText" text="ESPONTÁNEO">
      <formula>NOT(ISERROR(SEARCH("ESPONTÁNEO",IT36)))</formula>
    </cfRule>
  </conditionalFormatting>
  <conditionalFormatting sqref="IR37">
    <cfRule type="containsText" dxfId="2112" priority="2303" operator="containsText" text="NO APLICA">
      <formula>NOT(ISERROR(SEARCH("NO APLICA",IR37)))</formula>
    </cfRule>
    <cfRule type="containsText" dxfId="2111" priority="2304" operator="containsText" text="ALTA">
      <formula>NOT(ISERROR(SEARCH("ALTA",IR37)))</formula>
    </cfRule>
    <cfRule type="containsText" dxfId="2110" priority="2305" operator="containsText" text="MEDIANA">
      <formula>NOT(ISERROR(SEARCH("MEDIANA",IR37)))</formula>
    </cfRule>
    <cfRule type="containsText" dxfId="2109" priority="2306" operator="containsText" text="BAJA">
      <formula>NOT(ISERROR(SEARCH("BAJA",IR37)))</formula>
    </cfRule>
  </conditionalFormatting>
  <conditionalFormatting sqref="IS37:IT37">
    <cfRule type="containsText" dxfId="2108" priority="2296" operator="containsText" text="NO APLICA">
      <formula>NOT(ISERROR(SEARCH("NO APLICA",IS37)))</formula>
    </cfRule>
    <cfRule type="containsText" dxfId="2107" priority="2297" operator="containsText" text="SIN">
      <formula>NOT(ISERROR(SEARCH("SIN",IS37)))</formula>
    </cfRule>
    <cfRule type="containsText" dxfId="2106" priority="2298" operator="containsText" text="EQUIPO">
      <formula>NOT(ISERROR(SEARCH("EQUIPO",IS37)))</formula>
    </cfRule>
    <cfRule type="containsText" dxfId="2105" priority="2299" operator="containsText" text="MEDICO TRADICIONAL">
      <formula>NOT(ISERROR(SEARCH("MEDICO TRADICIONAL",IS37)))</formula>
    </cfRule>
    <cfRule type="containsText" dxfId="2104" priority="2300" operator="containsText" text="PARTERA">
      <formula>NOT(ISERROR(SEARCH("PARTERA",IS37)))</formula>
    </cfRule>
    <cfRule type="containsText" dxfId="2103" priority="2301" operator="containsText" text="TÉCNICO">
      <formula>NOT(ISERROR(SEARCH("TÉCNICO",IS37)))</formula>
    </cfRule>
    <cfRule type="containsText" dxfId="2102" priority="2302" operator="containsText" text="PROFESIONAL">
      <formula>NOT(ISERROR(SEARCH("PROFESIONAL",IS37)))</formula>
    </cfRule>
  </conditionalFormatting>
  <conditionalFormatting sqref="IT37">
    <cfRule type="containsText" dxfId="2101" priority="2293" operator="containsText" text="LE HACEN CESÁREA SIN INICIO TRABAJO DE PARTO">
      <formula>NOT(ISERROR(SEARCH("LE HACEN CESÁREA SIN INICIO TRABAJO DE PARTO",IT37)))</formula>
    </cfRule>
    <cfRule type="containsText" dxfId="2100" priority="2294" operator="containsText" text="LE HACEN INDUCCIÓN">
      <formula>NOT(ISERROR(SEARCH("LE HACEN INDUCCIÓN",IT37)))</formula>
    </cfRule>
    <cfRule type="containsText" dxfId="2099" priority="2295" operator="containsText" text="ESPONTÁNEO">
      <formula>NOT(ISERROR(SEARCH("ESPONTÁNEO",IT37)))</formula>
    </cfRule>
  </conditionalFormatting>
  <conditionalFormatting sqref="JI37">
    <cfRule type="containsText" dxfId="2098" priority="2289" operator="containsText" text="NO APLICA">
      <formula>NOT(ISERROR(SEARCH("NO APLICA",JI37)))</formula>
    </cfRule>
    <cfRule type="containsText" dxfId="2097" priority="2290" operator="containsText" text="SIN DATO">
      <formula>NOT(ISERROR(SEARCH("SIN DATO",JI37)))</formula>
    </cfRule>
    <cfRule type="containsText" dxfId="2096" priority="2291" operator="containsText" text="NO">
      <formula>NOT(ISERROR(SEARCH("NO",JI37)))</formula>
    </cfRule>
    <cfRule type="containsText" dxfId="2095" priority="2292" operator="containsText" text="SI">
      <formula>NOT(ISERROR(SEARCH("SI",JI37)))</formula>
    </cfRule>
  </conditionalFormatting>
  <conditionalFormatting sqref="IS38:IT38">
    <cfRule type="containsText" dxfId="2094" priority="2282" operator="containsText" text="NO APLICA">
      <formula>NOT(ISERROR(SEARCH("NO APLICA",IS38)))</formula>
    </cfRule>
    <cfRule type="containsText" dxfId="2093" priority="2283" operator="containsText" text="SIN">
      <formula>NOT(ISERROR(SEARCH("SIN",IS38)))</formula>
    </cfRule>
    <cfRule type="containsText" dxfId="2092" priority="2284" operator="containsText" text="EQUIPO">
      <formula>NOT(ISERROR(SEARCH("EQUIPO",IS38)))</formula>
    </cfRule>
    <cfRule type="containsText" dxfId="2091" priority="2285" operator="containsText" text="MEDICO TRADICIONAL">
      <formula>NOT(ISERROR(SEARCH("MEDICO TRADICIONAL",IS38)))</formula>
    </cfRule>
    <cfRule type="containsText" dxfId="2090" priority="2286" operator="containsText" text="PARTERA">
      <formula>NOT(ISERROR(SEARCH("PARTERA",IS38)))</formula>
    </cfRule>
    <cfRule type="containsText" dxfId="2089" priority="2287" operator="containsText" text="TÉCNICO">
      <formula>NOT(ISERROR(SEARCH("TÉCNICO",IS38)))</formula>
    </cfRule>
    <cfRule type="containsText" dxfId="2088" priority="2288" operator="containsText" text="PROFESIONAL">
      <formula>NOT(ISERROR(SEARCH("PROFESIONAL",IS38)))</formula>
    </cfRule>
  </conditionalFormatting>
  <conditionalFormatting sqref="IT38">
    <cfRule type="containsText" dxfId="2087" priority="2279" operator="containsText" text="LE HACEN CESÁREA SIN INICIO TRABAJO DE PARTO">
      <formula>NOT(ISERROR(SEARCH("LE HACEN CESÁREA SIN INICIO TRABAJO DE PARTO",IT38)))</formula>
    </cfRule>
    <cfRule type="containsText" dxfId="2086" priority="2280" operator="containsText" text="LE HACEN INDUCCIÓN">
      <formula>NOT(ISERROR(SEARCH("LE HACEN INDUCCIÓN",IT38)))</formula>
    </cfRule>
    <cfRule type="containsText" dxfId="2085" priority="2281" operator="containsText" text="ESPONTÁNEO">
      <formula>NOT(ISERROR(SEARCH("ESPONTÁNEO",IT38)))</formula>
    </cfRule>
  </conditionalFormatting>
  <conditionalFormatting sqref="JI38">
    <cfRule type="containsText" dxfId="2084" priority="2275" operator="containsText" text="NO APLICA">
      <formula>NOT(ISERROR(SEARCH("NO APLICA",JI38)))</formula>
    </cfRule>
    <cfRule type="containsText" dxfId="2083" priority="2276" operator="containsText" text="SIN DATO">
      <formula>NOT(ISERROR(SEARCH("SIN DATO",JI38)))</formula>
    </cfRule>
    <cfRule type="containsText" dxfId="2082" priority="2277" operator="containsText" text="NO">
      <formula>NOT(ISERROR(SEARCH("NO",JI38)))</formula>
    </cfRule>
    <cfRule type="containsText" dxfId="2081" priority="2278" operator="containsText" text="SI">
      <formula>NOT(ISERROR(SEARCH("SI",JI38)))</formula>
    </cfRule>
  </conditionalFormatting>
  <conditionalFormatting sqref="IR39">
    <cfRule type="containsText" dxfId="2080" priority="2271" operator="containsText" text="NO APLICA">
      <formula>NOT(ISERROR(SEARCH("NO APLICA",IR39)))</formula>
    </cfRule>
    <cfRule type="containsText" dxfId="2079" priority="2272" operator="containsText" text="ALTA">
      <formula>NOT(ISERROR(SEARCH("ALTA",IR39)))</formula>
    </cfRule>
    <cfRule type="containsText" dxfId="2078" priority="2273" operator="containsText" text="MEDIANA">
      <formula>NOT(ISERROR(SEARCH("MEDIANA",IR39)))</formula>
    </cfRule>
    <cfRule type="containsText" dxfId="2077" priority="2274" operator="containsText" text="BAJA">
      <formula>NOT(ISERROR(SEARCH("BAJA",IR39)))</formula>
    </cfRule>
  </conditionalFormatting>
  <conditionalFormatting sqref="IS39:IT39">
    <cfRule type="containsText" dxfId="2076" priority="2264" operator="containsText" text="NO APLICA">
      <formula>NOT(ISERROR(SEARCH("NO APLICA",IS39)))</formula>
    </cfRule>
    <cfRule type="containsText" dxfId="2075" priority="2265" operator="containsText" text="SIN">
      <formula>NOT(ISERROR(SEARCH("SIN",IS39)))</formula>
    </cfRule>
    <cfRule type="containsText" dxfId="2074" priority="2266" operator="containsText" text="EQUIPO">
      <formula>NOT(ISERROR(SEARCH("EQUIPO",IS39)))</formula>
    </cfRule>
    <cfRule type="containsText" dxfId="2073" priority="2267" operator="containsText" text="MEDICO TRADICIONAL">
      <formula>NOT(ISERROR(SEARCH("MEDICO TRADICIONAL",IS39)))</formula>
    </cfRule>
    <cfRule type="containsText" dxfId="2072" priority="2268" operator="containsText" text="PARTERA">
      <formula>NOT(ISERROR(SEARCH("PARTERA",IS39)))</formula>
    </cfRule>
    <cfRule type="containsText" dxfId="2071" priority="2269" operator="containsText" text="TÉCNICO">
      <formula>NOT(ISERROR(SEARCH("TÉCNICO",IS39)))</formula>
    </cfRule>
    <cfRule type="containsText" dxfId="2070" priority="2270" operator="containsText" text="PROFESIONAL">
      <formula>NOT(ISERROR(SEARCH("PROFESIONAL",IS39)))</formula>
    </cfRule>
  </conditionalFormatting>
  <conditionalFormatting sqref="IT39">
    <cfRule type="containsText" dxfId="2069" priority="2261" operator="containsText" text="LE HACEN CESÁREA SIN INICIO TRABAJO DE PARTO">
      <formula>NOT(ISERROR(SEARCH("LE HACEN CESÁREA SIN INICIO TRABAJO DE PARTO",IT39)))</formula>
    </cfRule>
    <cfRule type="containsText" dxfId="2068" priority="2262" operator="containsText" text="LE HACEN INDUCCIÓN">
      <formula>NOT(ISERROR(SEARCH("LE HACEN INDUCCIÓN",IT39)))</formula>
    </cfRule>
    <cfRule type="containsText" dxfId="2067" priority="2263" operator="containsText" text="ESPONTÁNEO">
      <formula>NOT(ISERROR(SEARCH("ESPONTÁNEO",IT39)))</formula>
    </cfRule>
  </conditionalFormatting>
  <conditionalFormatting sqref="JI39">
    <cfRule type="containsText" dxfId="2066" priority="2257" operator="containsText" text="NO APLICA">
      <formula>NOT(ISERROR(SEARCH("NO APLICA",JI39)))</formula>
    </cfRule>
    <cfRule type="containsText" dxfId="2065" priority="2258" operator="containsText" text="SIN DATO">
      <formula>NOT(ISERROR(SEARCH("SIN DATO",JI39)))</formula>
    </cfRule>
    <cfRule type="containsText" dxfId="2064" priority="2259" operator="containsText" text="NO">
      <formula>NOT(ISERROR(SEARCH("NO",JI39)))</formula>
    </cfRule>
    <cfRule type="containsText" dxfId="2063" priority="2260" operator="containsText" text="SI">
      <formula>NOT(ISERROR(SEARCH("SI",JI39)))</formula>
    </cfRule>
  </conditionalFormatting>
  <conditionalFormatting sqref="IR40">
    <cfRule type="containsText" dxfId="2062" priority="2253" operator="containsText" text="NO APLICA">
      <formula>NOT(ISERROR(SEARCH("NO APLICA",IR40)))</formula>
    </cfRule>
    <cfRule type="containsText" dxfId="2061" priority="2254" operator="containsText" text="ALTA">
      <formula>NOT(ISERROR(SEARCH("ALTA",IR40)))</formula>
    </cfRule>
    <cfRule type="containsText" dxfId="2060" priority="2255" operator="containsText" text="MEDIANA">
      <formula>NOT(ISERROR(SEARCH("MEDIANA",IR40)))</formula>
    </cfRule>
    <cfRule type="containsText" dxfId="2059" priority="2256" operator="containsText" text="BAJA">
      <formula>NOT(ISERROR(SEARCH("BAJA",IR40)))</formula>
    </cfRule>
  </conditionalFormatting>
  <conditionalFormatting sqref="IS40:IT40">
    <cfRule type="containsText" dxfId="2058" priority="2246" operator="containsText" text="NO APLICA">
      <formula>NOT(ISERROR(SEARCH("NO APLICA",IS40)))</formula>
    </cfRule>
    <cfRule type="containsText" dxfId="2057" priority="2247" operator="containsText" text="SIN">
      <formula>NOT(ISERROR(SEARCH("SIN",IS40)))</formula>
    </cfRule>
    <cfRule type="containsText" dxfId="2056" priority="2248" operator="containsText" text="EQUIPO">
      <formula>NOT(ISERROR(SEARCH("EQUIPO",IS40)))</formula>
    </cfRule>
    <cfRule type="containsText" dxfId="2055" priority="2249" operator="containsText" text="MEDICO TRADICIONAL">
      <formula>NOT(ISERROR(SEARCH("MEDICO TRADICIONAL",IS40)))</formula>
    </cfRule>
    <cfRule type="containsText" dxfId="2054" priority="2250" operator="containsText" text="PARTERA">
      <formula>NOT(ISERROR(SEARCH("PARTERA",IS40)))</formula>
    </cfRule>
    <cfRule type="containsText" dxfId="2053" priority="2251" operator="containsText" text="TÉCNICO">
      <formula>NOT(ISERROR(SEARCH("TÉCNICO",IS40)))</formula>
    </cfRule>
    <cfRule type="containsText" dxfId="2052" priority="2252" operator="containsText" text="PROFESIONAL">
      <formula>NOT(ISERROR(SEARCH("PROFESIONAL",IS40)))</formula>
    </cfRule>
  </conditionalFormatting>
  <conditionalFormatting sqref="IT40">
    <cfRule type="containsText" dxfId="2051" priority="2243" operator="containsText" text="LE HACEN CESÁREA SIN INICIO TRABAJO DE PARTO">
      <formula>NOT(ISERROR(SEARCH("LE HACEN CESÁREA SIN INICIO TRABAJO DE PARTO",IT40)))</formula>
    </cfRule>
    <cfRule type="containsText" dxfId="2050" priority="2244" operator="containsText" text="LE HACEN INDUCCIÓN">
      <formula>NOT(ISERROR(SEARCH("LE HACEN INDUCCIÓN",IT40)))</formula>
    </cfRule>
    <cfRule type="containsText" dxfId="2049" priority="2245" operator="containsText" text="ESPONTÁNEO">
      <formula>NOT(ISERROR(SEARCH("ESPONTÁNEO",IT40)))</formula>
    </cfRule>
  </conditionalFormatting>
  <conditionalFormatting sqref="JI40">
    <cfRule type="containsText" dxfId="2048" priority="2239" operator="containsText" text="NO APLICA">
      <formula>NOT(ISERROR(SEARCH("NO APLICA",JI40)))</formula>
    </cfRule>
    <cfRule type="containsText" dxfId="2047" priority="2240" operator="containsText" text="SIN DATO">
      <formula>NOT(ISERROR(SEARCH("SIN DATO",JI40)))</formula>
    </cfRule>
    <cfRule type="containsText" dxfId="2046" priority="2241" operator="containsText" text="NO">
      <formula>NOT(ISERROR(SEARCH("NO",JI40)))</formula>
    </cfRule>
    <cfRule type="containsText" dxfId="2045" priority="2242" operator="containsText" text="SI">
      <formula>NOT(ISERROR(SEARCH("SI",JI40)))</formula>
    </cfRule>
  </conditionalFormatting>
  <conditionalFormatting sqref="IR42">
    <cfRule type="containsText" dxfId="2044" priority="2235" operator="containsText" text="NO APLICA">
      <formula>NOT(ISERROR(SEARCH("NO APLICA",IR42)))</formula>
    </cfRule>
    <cfRule type="containsText" dxfId="2043" priority="2236" operator="containsText" text="ALTA">
      <formula>NOT(ISERROR(SEARCH("ALTA",IR42)))</formula>
    </cfRule>
    <cfRule type="containsText" dxfId="2042" priority="2237" operator="containsText" text="MEDIANA">
      <formula>NOT(ISERROR(SEARCH("MEDIANA",IR42)))</formula>
    </cfRule>
    <cfRule type="containsText" dxfId="2041" priority="2238" operator="containsText" text="BAJA">
      <formula>NOT(ISERROR(SEARCH("BAJA",IR42)))</formula>
    </cfRule>
  </conditionalFormatting>
  <conditionalFormatting sqref="IS42:IT42">
    <cfRule type="containsText" dxfId="2040" priority="2228" operator="containsText" text="NO APLICA">
      <formula>NOT(ISERROR(SEARCH("NO APLICA",IS42)))</formula>
    </cfRule>
    <cfRule type="containsText" dxfId="2039" priority="2229" operator="containsText" text="SIN">
      <formula>NOT(ISERROR(SEARCH("SIN",IS42)))</formula>
    </cfRule>
    <cfRule type="containsText" dxfId="2038" priority="2230" operator="containsText" text="EQUIPO">
      <formula>NOT(ISERROR(SEARCH("EQUIPO",IS42)))</formula>
    </cfRule>
    <cfRule type="containsText" dxfId="2037" priority="2231" operator="containsText" text="MEDICO TRADICIONAL">
      <formula>NOT(ISERROR(SEARCH("MEDICO TRADICIONAL",IS42)))</formula>
    </cfRule>
    <cfRule type="containsText" dxfId="2036" priority="2232" operator="containsText" text="PARTERA">
      <formula>NOT(ISERROR(SEARCH("PARTERA",IS42)))</formula>
    </cfRule>
    <cfRule type="containsText" dxfId="2035" priority="2233" operator="containsText" text="TÉCNICO">
      <formula>NOT(ISERROR(SEARCH("TÉCNICO",IS42)))</formula>
    </cfRule>
    <cfRule type="containsText" dxfId="2034" priority="2234" operator="containsText" text="PROFESIONAL">
      <formula>NOT(ISERROR(SEARCH("PROFESIONAL",IS42)))</formula>
    </cfRule>
  </conditionalFormatting>
  <conditionalFormatting sqref="IT42">
    <cfRule type="containsText" dxfId="2033" priority="2225" operator="containsText" text="LE HACEN CESÁREA SIN INICIO TRABAJO DE PARTO">
      <formula>NOT(ISERROR(SEARCH("LE HACEN CESÁREA SIN INICIO TRABAJO DE PARTO",IT42)))</formula>
    </cfRule>
    <cfRule type="containsText" dxfId="2032" priority="2226" operator="containsText" text="LE HACEN INDUCCIÓN">
      <formula>NOT(ISERROR(SEARCH("LE HACEN INDUCCIÓN",IT42)))</formula>
    </cfRule>
    <cfRule type="containsText" dxfId="2031" priority="2227" operator="containsText" text="ESPONTÁNEO">
      <formula>NOT(ISERROR(SEARCH("ESPONTÁNEO",IT42)))</formula>
    </cfRule>
  </conditionalFormatting>
  <conditionalFormatting sqref="JI42">
    <cfRule type="containsText" dxfId="2030" priority="2221" operator="containsText" text="NO APLICA">
      <formula>NOT(ISERROR(SEARCH("NO APLICA",JI42)))</formula>
    </cfRule>
    <cfRule type="containsText" dxfId="2029" priority="2222" operator="containsText" text="SIN DATO">
      <formula>NOT(ISERROR(SEARCH("SIN DATO",JI42)))</formula>
    </cfRule>
    <cfRule type="containsText" dxfId="2028" priority="2223" operator="containsText" text="NO">
      <formula>NOT(ISERROR(SEARCH("NO",JI42)))</formula>
    </cfRule>
    <cfRule type="containsText" dxfId="2027" priority="2224" operator="containsText" text="SI">
      <formula>NOT(ISERROR(SEARCH("SI",JI42)))</formula>
    </cfRule>
  </conditionalFormatting>
  <conditionalFormatting sqref="IR43">
    <cfRule type="containsText" dxfId="2026" priority="2217" operator="containsText" text="NO APLICA">
      <formula>NOT(ISERROR(SEARCH("NO APLICA",IR43)))</formula>
    </cfRule>
    <cfRule type="containsText" dxfId="2025" priority="2218" operator="containsText" text="ALTA">
      <formula>NOT(ISERROR(SEARCH("ALTA",IR43)))</formula>
    </cfRule>
    <cfRule type="containsText" dxfId="2024" priority="2219" operator="containsText" text="MEDIANA">
      <formula>NOT(ISERROR(SEARCH("MEDIANA",IR43)))</formula>
    </cfRule>
    <cfRule type="containsText" dxfId="2023" priority="2220" operator="containsText" text="BAJA">
      <formula>NOT(ISERROR(SEARCH("BAJA",IR43)))</formula>
    </cfRule>
  </conditionalFormatting>
  <conditionalFormatting sqref="IS43:IT43">
    <cfRule type="containsText" dxfId="2022" priority="2210" operator="containsText" text="NO APLICA">
      <formula>NOT(ISERROR(SEARCH("NO APLICA",IS43)))</formula>
    </cfRule>
    <cfRule type="containsText" dxfId="2021" priority="2211" operator="containsText" text="SIN">
      <formula>NOT(ISERROR(SEARCH("SIN",IS43)))</formula>
    </cfRule>
    <cfRule type="containsText" dxfId="2020" priority="2212" operator="containsText" text="EQUIPO">
      <formula>NOT(ISERROR(SEARCH("EQUIPO",IS43)))</formula>
    </cfRule>
    <cfRule type="containsText" dxfId="2019" priority="2213" operator="containsText" text="MEDICO TRADICIONAL">
      <formula>NOT(ISERROR(SEARCH("MEDICO TRADICIONAL",IS43)))</formula>
    </cfRule>
    <cfRule type="containsText" dxfId="2018" priority="2214" operator="containsText" text="PARTERA">
      <formula>NOT(ISERROR(SEARCH("PARTERA",IS43)))</formula>
    </cfRule>
    <cfRule type="containsText" dxfId="2017" priority="2215" operator="containsText" text="TÉCNICO">
      <formula>NOT(ISERROR(SEARCH("TÉCNICO",IS43)))</formula>
    </cfRule>
    <cfRule type="containsText" dxfId="2016" priority="2216" operator="containsText" text="PROFESIONAL">
      <formula>NOT(ISERROR(SEARCH("PROFESIONAL",IS43)))</formula>
    </cfRule>
  </conditionalFormatting>
  <conditionalFormatting sqref="IT43">
    <cfRule type="containsText" dxfId="2015" priority="2207" operator="containsText" text="LE HACEN CESÁREA SIN INICIO TRABAJO DE PARTO">
      <formula>NOT(ISERROR(SEARCH("LE HACEN CESÁREA SIN INICIO TRABAJO DE PARTO",IT43)))</formula>
    </cfRule>
    <cfRule type="containsText" dxfId="2014" priority="2208" operator="containsText" text="LE HACEN INDUCCIÓN">
      <formula>NOT(ISERROR(SEARCH("LE HACEN INDUCCIÓN",IT43)))</formula>
    </cfRule>
    <cfRule type="containsText" dxfId="2013" priority="2209" operator="containsText" text="ESPONTÁNEO">
      <formula>NOT(ISERROR(SEARCH("ESPONTÁNEO",IT43)))</formula>
    </cfRule>
  </conditionalFormatting>
  <conditionalFormatting sqref="IR44">
    <cfRule type="containsText" dxfId="2012" priority="2203" operator="containsText" text="NO APLICA">
      <formula>NOT(ISERROR(SEARCH("NO APLICA",IR44)))</formula>
    </cfRule>
    <cfRule type="containsText" dxfId="2011" priority="2204" operator="containsText" text="ALTA">
      <formula>NOT(ISERROR(SEARCH("ALTA",IR44)))</formula>
    </cfRule>
    <cfRule type="containsText" dxfId="2010" priority="2205" operator="containsText" text="MEDIANA">
      <formula>NOT(ISERROR(SEARCH("MEDIANA",IR44)))</formula>
    </cfRule>
    <cfRule type="containsText" dxfId="2009" priority="2206" operator="containsText" text="BAJA">
      <formula>NOT(ISERROR(SEARCH("BAJA",IR44)))</formula>
    </cfRule>
  </conditionalFormatting>
  <conditionalFormatting sqref="IS44:IT44">
    <cfRule type="containsText" dxfId="2008" priority="2196" operator="containsText" text="NO APLICA">
      <formula>NOT(ISERROR(SEARCH("NO APLICA",IS44)))</formula>
    </cfRule>
    <cfRule type="containsText" dxfId="2007" priority="2197" operator="containsText" text="SIN">
      <formula>NOT(ISERROR(SEARCH("SIN",IS44)))</formula>
    </cfRule>
    <cfRule type="containsText" dxfId="2006" priority="2198" operator="containsText" text="EQUIPO">
      <formula>NOT(ISERROR(SEARCH("EQUIPO",IS44)))</formula>
    </cfRule>
    <cfRule type="containsText" dxfId="2005" priority="2199" operator="containsText" text="MEDICO TRADICIONAL">
      <formula>NOT(ISERROR(SEARCH("MEDICO TRADICIONAL",IS44)))</formula>
    </cfRule>
    <cfRule type="containsText" dxfId="2004" priority="2200" operator="containsText" text="PARTERA">
      <formula>NOT(ISERROR(SEARCH("PARTERA",IS44)))</formula>
    </cfRule>
    <cfRule type="containsText" dxfId="2003" priority="2201" operator="containsText" text="TÉCNICO">
      <formula>NOT(ISERROR(SEARCH("TÉCNICO",IS44)))</formula>
    </cfRule>
    <cfRule type="containsText" dxfId="2002" priority="2202" operator="containsText" text="PROFESIONAL">
      <formula>NOT(ISERROR(SEARCH("PROFESIONAL",IS44)))</formula>
    </cfRule>
  </conditionalFormatting>
  <conditionalFormatting sqref="IT44">
    <cfRule type="containsText" dxfId="2001" priority="2193" operator="containsText" text="LE HACEN CESÁREA SIN INICIO TRABAJO DE PARTO">
      <formula>NOT(ISERROR(SEARCH("LE HACEN CESÁREA SIN INICIO TRABAJO DE PARTO",IT44)))</formula>
    </cfRule>
    <cfRule type="containsText" dxfId="2000" priority="2194" operator="containsText" text="LE HACEN INDUCCIÓN">
      <formula>NOT(ISERROR(SEARCH("LE HACEN INDUCCIÓN",IT44)))</formula>
    </cfRule>
    <cfRule type="containsText" dxfId="1999" priority="2195" operator="containsText" text="ESPONTÁNEO">
      <formula>NOT(ISERROR(SEARCH("ESPONTÁNEO",IT44)))</formula>
    </cfRule>
  </conditionalFormatting>
  <conditionalFormatting sqref="JI44">
    <cfRule type="containsText" dxfId="1998" priority="2189" operator="containsText" text="NO APLICA">
      <formula>NOT(ISERROR(SEARCH("NO APLICA",JI44)))</formula>
    </cfRule>
    <cfRule type="containsText" dxfId="1997" priority="2190" operator="containsText" text="SIN DATO">
      <formula>NOT(ISERROR(SEARCH("SIN DATO",JI44)))</formula>
    </cfRule>
    <cfRule type="containsText" dxfId="1996" priority="2191" operator="containsText" text="NO">
      <formula>NOT(ISERROR(SEARCH("NO",JI44)))</formula>
    </cfRule>
    <cfRule type="containsText" dxfId="1995" priority="2192" operator="containsText" text="SI">
      <formula>NOT(ISERROR(SEARCH("SI",JI44)))</formula>
    </cfRule>
  </conditionalFormatting>
  <conditionalFormatting sqref="IR45">
    <cfRule type="containsText" dxfId="1994" priority="2185" operator="containsText" text="NO APLICA">
      <formula>NOT(ISERROR(SEARCH("NO APLICA",IR45)))</formula>
    </cfRule>
    <cfRule type="containsText" dxfId="1993" priority="2186" operator="containsText" text="ALTA">
      <formula>NOT(ISERROR(SEARCH("ALTA",IR45)))</formula>
    </cfRule>
    <cfRule type="containsText" dxfId="1992" priority="2187" operator="containsText" text="MEDIANA">
      <formula>NOT(ISERROR(SEARCH("MEDIANA",IR45)))</formula>
    </cfRule>
    <cfRule type="containsText" dxfId="1991" priority="2188" operator="containsText" text="BAJA">
      <formula>NOT(ISERROR(SEARCH("BAJA",IR45)))</formula>
    </cfRule>
  </conditionalFormatting>
  <conditionalFormatting sqref="IS45:IT45">
    <cfRule type="containsText" dxfId="1990" priority="2178" operator="containsText" text="NO APLICA">
      <formula>NOT(ISERROR(SEARCH("NO APLICA",IS45)))</formula>
    </cfRule>
    <cfRule type="containsText" dxfId="1989" priority="2179" operator="containsText" text="SIN">
      <formula>NOT(ISERROR(SEARCH("SIN",IS45)))</formula>
    </cfRule>
    <cfRule type="containsText" dxfId="1988" priority="2180" operator="containsText" text="EQUIPO">
      <formula>NOT(ISERROR(SEARCH("EQUIPO",IS45)))</formula>
    </cfRule>
    <cfRule type="containsText" dxfId="1987" priority="2181" operator="containsText" text="MEDICO TRADICIONAL">
      <formula>NOT(ISERROR(SEARCH("MEDICO TRADICIONAL",IS45)))</formula>
    </cfRule>
    <cfRule type="containsText" dxfId="1986" priority="2182" operator="containsText" text="PARTERA">
      <formula>NOT(ISERROR(SEARCH("PARTERA",IS45)))</formula>
    </cfRule>
    <cfRule type="containsText" dxfId="1985" priority="2183" operator="containsText" text="TÉCNICO">
      <formula>NOT(ISERROR(SEARCH("TÉCNICO",IS45)))</formula>
    </cfRule>
    <cfRule type="containsText" dxfId="1984" priority="2184" operator="containsText" text="PROFESIONAL">
      <formula>NOT(ISERROR(SEARCH("PROFESIONAL",IS45)))</formula>
    </cfRule>
  </conditionalFormatting>
  <conditionalFormatting sqref="IT45">
    <cfRule type="containsText" dxfId="1983" priority="2175" operator="containsText" text="LE HACEN CESÁREA SIN INICIO TRABAJO DE PARTO">
      <formula>NOT(ISERROR(SEARCH("LE HACEN CESÁREA SIN INICIO TRABAJO DE PARTO",IT45)))</formula>
    </cfRule>
    <cfRule type="containsText" dxfId="1982" priority="2176" operator="containsText" text="LE HACEN INDUCCIÓN">
      <formula>NOT(ISERROR(SEARCH("LE HACEN INDUCCIÓN",IT45)))</formula>
    </cfRule>
    <cfRule type="containsText" dxfId="1981" priority="2177" operator="containsText" text="ESPONTÁNEO">
      <formula>NOT(ISERROR(SEARCH("ESPONTÁNEO",IT45)))</formula>
    </cfRule>
  </conditionalFormatting>
  <conditionalFormatting sqref="JI45">
    <cfRule type="containsText" dxfId="1980" priority="2171" operator="containsText" text="NO APLICA">
      <formula>NOT(ISERROR(SEARCH("NO APLICA",JI45)))</formula>
    </cfRule>
    <cfRule type="containsText" dxfId="1979" priority="2172" operator="containsText" text="SIN DATO">
      <formula>NOT(ISERROR(SEARCH("SIN DATO",JI45)))</formula>
    </cfRule>
    <cfRule type="containsText" dxfId="1978" priority="2173" operator="containsText" text="NO">
      <formula>NOT(ISERROR(SEARCH("NO",JI45)))</formula>
    </cfRule>
    <cfRule type="containsText" dxfId="1977" priority="2174" operator="containsText" text="SI">
      <formula>NOT(ISERROR(SEARCH("SI",JI45)))</formula>
    </cfRule>
  </conditionalFormatting>
  <conditionalFormatting sqref="IR48">
    <cfRule type="containsText" dxfId="1976" priority="2167" operator="containsText" text="NO APLICA">
      <formula>NOT(ISERROR(SEARCH("NO APLICA",IR48)))</formula>
    </cfRule>
    <cfRule type="containsText" dxfId="1975" priority="2168" operator="containsText" text="ALTA">
      <formula>NOT(ISERROR(SEARCH("ALTA",IR48)))</formula>
    </cfRule>
    <cfRule type="containsText" dxfId="1974" priority="2169" operator="containsText" text="MEDIANA">
      <formula>NOT(ISERROR(SEARCH("MEDIANA",IR48)))</formula>
    </cfRule>
    <cfRule type="containsText" dxfId="1973" priority="2170" operator="containsText" text="BAJA">
      <formula>NOT(ISERROR(SEARCH("BAJA",IR48)))</formula>
    </cfRule>
  </conditionalFormatting>
  <conditionalFormatting sqref="IS48:IT48">
    <cfRule type="containsText" dxfId="1972" priority="2160" operator="containsText" text="NO APLICA">
      <formula>NOT(ISERROR(SEARCH("NO APLICA",IS48)))</formula>
    </cfRule>
    <cfRule type="containsText" dxfId="1971" priority="2161" operator="containsText" text="SIN">
      <formula>NOT(ISERROR(SEARCH("SIN",IS48)))</formula>
    </cfRule>
    <cfRule type="containsText" dxfId="1970" priority="2162" operator="containsText" text="EQUIPO">
      <formula>NOT(ISERROR(SEARCH("EQUIPO",IS48)))</formula>
    </cfRule>
    <cfRule type="containsText" dxfId="1969" priority="2163" operator="containsText" text="MEDICO TRADICIONAL">
      <formula>NOT(ISERROR(SEARCH("MEDICO TRADICIONAL",IS48)))</formula>
    </cfRule>
    <cfRule type="containsText" dxfId="1968" priority="2164" operator="containsText" text="PARTERA">
      <formula>NOT(ISERROR(SEARCH("PARTERA",IS48)))</formula>
    </cfRule>
    <cfRule type="containsText" dxfId="1967" priority="2165" operator="containsText" text="TÉCNICO">
      <formula>NOT(ISERROR(SEARCH("TÉCNICO",IS48)))</formula>
    </cfRule>
    <cfRule type="containsText" dxfId="1966" priority="2166" operator="containsText" text="PROFESIONAL">
      <formula>NOT(ISERROR(SEARCH("PROFESIONAL",IS48)))</formula>
    </cfRule>
  </conditionalFormatting>
  <conditionalFormatting sqref="IT48">
    <cfRule type="containsText" dxfId="1965" priority="2157" operator="containsText" text="LE HACEN CESÁREA SIN INICIO TRABAJO DE PARTO">
      <formula>NOT(ISERROR(SEARCH("LE HACEN CESÁREA SIN INICIO TRABAJO DE PARTO",IT48)))</formula>
    </cfRule>
    <cfRule type="containsText" dxfId="1964" priority="2158" operator="containsText" text="LE HACEN INDUCCIÓN">
      <formula>NOT(ISERROR(SEARCH("LE HACEN INDUCCIÓN",IT48)))</formula>
    </cfRule>
    <cfRule type="containsText" dxfId="1963" priority="2159" operator="containsText" text="ESPONTÁNEO">
      <formula>NOT(ISERROR(SEARCH("ESPONTÁNEO",IT48)))</formula>
    </cfRule>
  </conditionalFormatting>
  <conditionalFormatting sqref="JI48">
    <cfRule type="containsText" dxfId="1962" priority="2153" operator="containsText" text="NO APLICA">
      <formula>NOT(ISERROR(SEARCH("NO APLICA",JI48)))</formula>
    </cfRule>
    <cfRule type="containsText" dxfId="1961" priority="2154" operator="containsText" text="SIN DATO">
      <formula>NOT(ISERROR(SEARCH("SIN DATO",JI48)))</formula>
    </cfRule>
    <cfRule type="containsText" dxfId="1960" priority="2155" operator="containsText" text="NO">
      <formula>NOT(ISERROR(SEARCH("NO",JI48)))</formula>
    </cfRule>
    <cfRule type="containsText" dxfId="1959" priority="2156" operator="containsText" text="SI">
      <formula>NOT(ISERROR(SEARCH("SI",JI48)))</formula>
    </cfRule>
  </conditionalFormatting>
  <conditionalFormatting sqref="IR49">
    <cfRule type="containsText" dxfId="1958" priority="2149" operator="containsText" text="NO APLICA">
      <formula>NOT(ISERROR(SEARCH("NO APLICA",IR49)))</formula>
    </cfRule>
    <cfRule type="containsText" dxfId="1957" priority="2150" operator="containsText" text="ALTA">
      <formula>NOT(ISERROR(SEARCH("ALTA",IR49)))</formula>
    </cfRule>
    <cfRule type="containsText" dxfId="1956" priority="2151" operator="containsText" text="MEDIANA">
      <formula>NOT(ISERROR(SEARCH("MEDIANA",IR49)))</formula>
    </cfRule>
    <cfRule type="containsText" dxfId="1955" priority="2152" operator="containsText" text="BAJA">
      <formula>NOT(ISERROR(SEARCH("BAJA",IR49)))</formula>
    </cfRule>
  </conditionalFormatting>
  <conditionalFormatting sqref="IS49:IT49">
    <cfRule type="containsText" dxfId="1954" priority="2142" operator="containsText" text="NO APLICA">
      <formula>NOT(ISERROR(SEARCH("NO APLICA",IS49)))</formula>
    </cfRule>
    <cfRule type="containsText" dxfId="1953" priority="2143" operator="containsText" text="SIN">
      <formula>NOT(ISERROR(SEARCH("SIN",IS49)))</formula>
    </cfRule>
    <cfRule type="containsText" dxfId="1952" priority="2144" operator="containsText" text="EQUIPO">
      <formula>NOT(ISERROR(SEARCH("EQUIPO",IS49)))</formula>
    </cfRule>
    <cfRule type="containsText" dxfId="1951" priority="2145" operator="containsText" text="MEDICO TRADICIONAL">
      <formula>NOT(ISERROR(SEARCH("MEDICO TRADICIONAL",IS49)))</formula>
    </cfRule>
    <cfRule type="containsText" dxfId="1950" priority="2146" operator="containsText" text="PARTERA">
      <formula>NOT(ISERROR(SEARCH("PARTERA",IS49)))</formula>
    </cfRule>
    <cfRule type="containsText" dxfId="1949" priority="2147" operator="containsText" text="TÉCNICO">
      <formula>NOT(ISERROR(SEARCH("TÉCNICO",IS49)))</formula>
    </cfRule>
    <cfRule type="containsText" dxfId="1948" priority="2148" operator="containsText" text="PROFESIONAL">
      <formula>NOT(ISERROR(SEARCH("PROFESIONAL",IS49)))</formula>
    </cfRule>
  </conditionalFormatting>
  <conditionalFormatting sqref="IT49">
    <cfRule type="containsText" dxfId="1947" priority="2139" operator="containsText" text="LE HACEN CESÁREA SIN INICIO TRABAJO DE PARTO">
      <formula>NOT(ISERROR(SEARCH("LE HACEN CESÁREA SIN INICIO TRABAJO DE PARTO",IT49)))</formula>
    </cfRule>
    <cfRule type="containsText" dxfId="1946" priority="2140" operator="containsText" text="LE HACEN INDUCCIÓN">
      <formula>NOT(ISERROR(SEARCH("LE HACEN INDUCCIÓN",IT49)))</formula>
    </cfRule>
    <cfRule type="containsText" dxfId="1945" priority="2141" operator="containsText" text="ESPONTÁNEO">
      <formula>NOT(ISERROR(SEARCH("ESPONTÁNEO",IT49)))</formula>
    </cfRule>
  </conditionalFormatting>
  <conditionalFormatting sqref="IR50">
    <cfRule type="containsText" dxfId="1944" priority="2135" operator="containsText" text="NO APLICA">
      <formula>NOT(ISERROR(SEARCH("NO APLICA",IR50)))</formula>
    </cfRule>
    <cfRule type="containsText" dxfId="1943" priority="2136" operator="containsText" text="ALTA">
      <formula>NOT(ISERROR(SEARCH("ALTA",IR50)))</formula>
    </cfRule>
    <cfRule type="containsText" dxfId="1942" priority="2137" operator="containsText" text="MEDIANA">
      <formula>NOT(ISERROR(SEARCH("MEDIANA",IR50)))</formula>
    </cfRule>
    <cfRule type="containsText" dxfId="1941" priority="2138" operator="containsText" text="BAJA">
      <formula>NOT(ISERROR(SEARCH("BAJA",IR50)))</formula>
    </cfRule>
  </conditionalFormatting>
  <conditionalFormatting sqref="IS50:IT50">
    <cfRule type="containsText" dxfId="1940" priority="2128" operator="containsText" text="NO APLICA">
      <formula>NOT(ISERROR(SEARCH("NO APLICA",IS50)))</formula>
    </cfRule>
    <cfRule type="containsText" dxfId="1939" priority="2129" operator="containsText" text="SIN">
      <formula>NOT(ISERROR(SEARCH("SIN",IS50)))</formula>
    </cfRule>
    <cfRule type="containsText" dxfId="1938" priority="2130" operator="containsText" text="EQUIPO">
      <formula>NOT(ISERROR(SEARCH("EQUIPO",IS50)))</formula>
    </cfRule>
    <cfRule type="containsText" dxfId="1937" priority="2131" operator="containsText" text="MEDICO TRADICIONAL">
      <formula>NOT(ISERROR(SEARCH("MEDICO TRADICIONAL",IS50)))</formula>
    </cfRule>
    <cfRule type="containsText" dxfId="1936" priority="2132" operator="containsText" text="PARTERA">
      <formula>NOT(ISERROR(SEARCH("PARTERA",IS50)))</formula>
    </cfRule>
    <cfRule type="containsText" dxfId="1935" priority="2133" operator="containsText" text="TÉCNICO">
      <formula>NOT(ISERROR(SEARCH("TÉCNICO",IS50)))</formula>
    </cfRule>
    <cfRule type="containsText" dxfId="1934" priority="2134" operator="containsText" text="PROFESIONAL">
      <formula>NOT(ISERROR(SEARCH("PROFESIONAL",IS50)))</formula>
    </cfRule>
  </conditionalFormatting>
  <conditionalFormatting sqref="IT50">
    <cfRule type="containsText" dxfId="1933" priority="2125" operator="containsText" text="LE HACEN CESÁREA SIN INICIO TRABAJO DE PARTO">
      <formula>NOT(ISERROR(SEARCH("LE HACEN CESÁREA SIN INICIO TRABAJO DE PARTO",IT50)))</formula>
    </cfRule>
    <cfRule type="containsText" dxfId="1932" priority="2126" operator="containsText" text="LE HACEN INDUCCIÓN">
      <formula>NOT(ISERROR(SEARCH("LE HACEN INDUCCIÓN",IT50)))</formula>
    </cfRule>
    <cfRule type="containsText" dxfId="1931" priority="2127" operator="containsText" text="ESPONTÁNEO">
      <formula>NOT(ISERROR(SEARCH("ESPONTÁNEO",IT50)))</formula>
    </cfRule>
  </conditionalFormatting>
  <conditionalFormatting sqref="JI50">
    <cfRule type="containsText" dxfId="1930" priority="2121" operator="containsText" text="NO APLICA">
      <formula>NOT(ISERROR(SEARCH("NO APLICA",JI50)))</formula>
    </cfRule>
    <cfRule type="containsText" dxfId="1929" priority="2122" operator="containsText" text="SIN DATO">
      <formula>NOT(ISERROR(SEARCH("SIN DATO",JI50)))</formula>
    </cfRule>
    <cfRule type="containsText" dxfId="1928" priority="2123" operator="containsText" text="NO">
      <formula>NOT(ISERROR(SEARCH("NO",JI50)))</formula>
    </cfRule>
    <cfRule type="containsText" dxfId="1927" priority="2124" operator="containsText" text="SI">
      <formula>NOT(ISERROR(SEARCH("SI",JI50)))</formula>
    </cfRule>
  </conditionalFormatting>
  <conditionalFormatting sqref="IR51">
    <cfRule type="containsText" dxfId="1926" priority="2117" operator="containsText" text="NO APLICA">
      <formula>NOT(ISERROR(SEARCH("NO APLICA",IR51)))</formula>
    </cfRule>
    <cfRule type="containsText" dxfId="1925" priority="2118" operator="containsText" text="ALTA">
      <formula>NOT(ISERROR(SEARCH("ALTA",IR51)))</formula>
    </cfRule>
    <cfRule type="containsText" dxfId="1924" priority="2119" operator="containsText" text="MEDIANA">
      <formula>NOT(ISERROR(SEARCH("MEDIANA",IR51)))</formula>
    </cfRule>
    <cfRule type="containsText" dxfId="1923" priority="2120" operator="containsText" text="BAJA">
      <formula>NOT(ISERROR(SEARCH("BAJA",IR51)))</formula>
    </cfRule>
  </conditionalFormatting>
  <conditionalFormatting sqref="IS51:IT51">
    <cfRule type="containsText" dxfId="1922" priority="2110" operator="containsText" text="NO APLICA">
      <formula>NOT(ISERROR(SEARCH("NO APLICA",IS51)))</formula>
    </cfRule>
    <cfRule type="containsText" dxfId="1921" priority="2111" operator="containsText" text="SIN">
      <formula>NOT(ISERROR(SEARCH("SIN",IS51)))</formula>
    </cfRule>
    <cfRule type="containsText" dxfId="1920" priority="2112" operator="containsText" text="EQUIPO">
      <formula>NOT(ISERROR(SEARCH("EQUIPO",IS51)))</formula>
    </cfRule>
    <cfRule type="containsText" dxfId="1919" priority="2113" operator="containsText" text="MEDICO TRADICIONAL">
      <formula>NOT(ISERROR(SEARCH("MEDICO TRADICIONAL",IS51)))</formula>
    </cfRule>
    <cfRule type="containsText" dxfId="1918" priority="2114" operator="containsText" text="PARTERA">
      <formula>NOT(ISERROR(SEARCH("PARTERA",IS51)))</formula>
    </cfRule>
    <cfRule type="containsText" dxfId="1917" priority="2115" operator="containsText" text="TÉCNICO">
      <formula>NOT(ISERROR(SEARCH("TÉCNICO",IS51)))</formula>
    </cfRule>
    <cfRule type="containsText" dxfId="1916" priority="2116" operator="containsText" text="PROFESIONAL">
      <formula>NOT(ISERROR(SEARCH("PROFESIONAL",IS51)))</formula>
    </cfRule>
  </conditionalFormatting>
  <conditionalFormatting sqref="IT51">
    <cfRule type="containsText" dxfId="1915" priority="2107" operator="containsText" text="LE HACEN CESÁREA SIN INICIO TRABAJO DE PARTO">
      <formula>NOT(ISERROR(SEARCH("LE HACEN CESÁREA SIN INICIO TRABAJO DE PARTO",IT51)))</formula>
    </cfRule>
    <cfRule type="containsText" dxfId="1914" priority="2108" operator="containsText" text="LE HACEN INDUCCIÓN">
      <formula>NOT(ISERROR(SEARCH("LE HACEN INDUCCIÓN",IT51)))</formula>
    </cfRule>
    <cfRule type="containsText" dxfId="1913" priority="2109" operator="containsText" text="ESPONTÁNEO">
      <formula>NOT(ISERROR(SEARCH("ESPONTÁNEO",IT51)))</formula>
    </cfRule>
  </conditionalFormatting>
  <conditionalFormatting sqref="JI51">
    <cfRule type="containsText" dxfId="1912" priority="2103" operator="containsText" text="NO APLICA">
      <formula>NOT(ISERROR(SEARCH("NO APLICA",JI51)))</formula>
    </cfRule>
    <cfRule type="containsText" dxfId="1911" priority="2104" operator="containsText" text="SIN DATO">
      <formula>NOT(ISERROR(SEARCH("SIN DATO",JI51)))</formula>
    </cfRule>
    <cfRule type="containsText" dxfId="1910" priority="2105" operator="containsText" text="NO">
      <formula>NOT(ISERROR(SEARCH("NO",JI51)))</formula>
    </cfRule>
    <cfRule type="containsText" dxfId="1909" priority="2106" operator="containsText" text="SI">
      <formula>NOT(ISERROR(SEARCH("SI",JI51)))</formula>
    </cfRule>
  </conditionalFormatting>
  <conditionalFormatting sqref="IR52">
    <cfRule type="containsText" dxfId="1908" priority="2099" operator="containsText" text="NO APLICA">
      <formula>NOT(ISERROR(SEARCH("NO APLICA",IR52)))</formula>
    </cfRule>
    <cfRule type="containsText" dxfId="1907" priority="2100" operator="containsText" text="ALTA">
      <formula>NOT(ISERROR(SEARCH("ALTA",IR52)))</formula>
    </cfRule>
    <cfRule type="containsText" dxfId="1906" priority="2101" operator="containsText" text="MEDIANA">
      <formula>NOT(ISERROR(SEARCH("MEDIANA",IR52)))</formula>
    </cfRule>
    <cfRule type="containsText" dxfId="1905" priority="2102" operator="containsText" text="BAJA">
      <formula>NOT(ISERROR(SEARCH("BAJA",IR52)))</formula>
    </cfRule>
  </conditionalFormatting>
  <conditionalFormatting sqref="IS52:IT52">
    <cfRule type="containsText" dxfId="1904" priority="2092" operator="containsText" text="NO APLICA">
      <formula>NOT(ISERROR(SEARCH("NO APLICA",IS52)))</formula>
    </cfRule>
    <cfRule type="containsText" dxfId="1903" priority="2093" operator="containsText" text="SIN">
      <formula>NOT(ISERROR(SEARCH("SIN",IS52)))</formula>
    </cfRule>
    <cfRule type="containsText" dxfId="1902" priority="2094" operator="containsText" text="EQUIPO">
      <formula>NOT(ISERROR(SEARCH("EQUIPO",IS52)))</formula>
    </cfRule>
    <cfRule type="containsText" dxfId="1901" priority="2095" operator="containsText" text="MEDICO TRADICIONAL">
      <formula>NOT(ISERROR(SEARCH("MEDICO TRADICIONAL",IS52)))</formula>
    </cfRule>
    <cfRule type="containsText" dxfId="1900" priority="2096" operator="containsText" text="PARTERA">
      <formula>NOT(ISERROR(SEARCH("PARTERA",IS52)))</formula>
    </cfRule>
    <cfRule type="containsText" dxfId="1899" priority="2097" operator="containsText" text="TÉCNICO">
      <formula>NOT(ISERROR(SEARCH("TÉCNICO",IS52)))</formula>
    </cfRule>
    <cfRule type="containsText" dxfId="1898" priority="2098" operator="containsText" text="PROFESIONAL">
      <formula>NOT(ISERROR(SEARCH("PROFESIONAL",IS52)))</formula>
    </cfRule>
  </conditionalFormatting>
  <conditionalFormatting sqref="IT52">
    <cfRule type="containsText" dxfId="1897" priority="2089" operator="containsText" text="LE HACEN CESÁREA SIN INICIO TRABAJO DE PARTO">
      <formula>NOT(ISERROR(SEARCH("LE HACEN CESÁREA SIN INICIO TRABAJO DE PARTO",IT52)))</formula>
    </cfRule>
    <cfRule type="containsText" dxfId="1896" priority="2090" operator="containsText" text="LE HACEN INDUCCIÓN">
      <formula>NOT(ISERROR(SEARCH("LE HACEN INDUCCIÓN",IT52)))</formula>
    </cfRule>
    <cfRule type="containsText" dxfId="1895" priority="2091" operator="containsText" text="ESPONTÁNEO">
      <formula>NOT(ISERROR(SEARCH("ESPONTÁNEO",IT52)))</formula>
    </cfRule>
  </conditionalFormatting>
  <conditionalFormatting sqref="JI52">
    <cfRule type="containsText" dxfId="1894" priority="2085" operator="containsText" text="NO APLICA">
      <formula>NOT(ISERROR(SEARCH("NO APLICA",JI52)))</formula>
    </cfRule>
    <cfRule type="containsText" dxfId="1893" priority="2086" operator="containsText" text="SIN DATO">
      <formula>NOT(ISERROR(SEARCH("SIN DATO",JI52)))</formula>
    </cfRule>
    <cfRule type="containsText" dxfId="1892" priority="2087" operator="containsText" text="NO">
      <formula>NOT(ISERROR(SEARCH("NO",JI52)))</formula>
    </cfRule>
    <cfRule type="containsText" dxfId="1891" priority="2088" operator="containsText" text="SI">
      <formula>NOT(ISERROR(SEARCH("SI",JI52)))</formula>
    </cfRule>
  </conditionalFormatting>
  <conditionalFormatting sqref="IR53">
    <cfRule type="containsText" dxfId="1890" priority="2081" operator="containsText" text="NO APLICA">
      <formula>NOT(ISERROR(SEARCH("NO APLICA",IR53)))</formula>
    </cfRule>
    <cfRule type="containsText" dxfId="1889" priority="2082" operator="containsText" text="ALTA">
      <formula>NOT(ISERROR(SEARCH("ALTA",IR53)))</formula>
    </cfRule>
    <cfRule type="containsText" dxfId="1888" priority="2083" operator="containsText" text="MEDIANA">
      <formula>NOT(ISERROR(SEARCH("MEDIANA",IR53)))</formula>
    </cfRule>
    <cfRule type="containsText" dxfId="1887" priority="2084" operator="containsText" text="BAJA">
      <formula>NOT(ISERROR(SEARCH("BAJA",IR53)))</formula>
    </cfRule>
  </conditionalFormatting>
  <conditionalFormatting sqref="IS53:IT53">
    <cfRule type="containsText" dxfId="1886" priority="2074" operator="containsText" text="NO APLICA">
      <formula>NOT(ISERROR(SEARCH("NO APLICA",IS53)))</formula>
    </cfRule>
    <cfRule type="containsText" dxfId="1885" priority="2075" operator="containsText" text="SIN">
      <formula>NOT(ISERROR(SEARCH("SIN",IS53)))</formula>
    </cfRule>
    <cfRule type="containsText" dxfId="1884" priority="2076" operator="containsText" text="EQUIPO">
      <formula>NOT(ISERROR(SEARCH("EQUIPO",IS53)))</formula>
    </cfRule>
    <cfRule type="containsText" dxfId="1883" priority="2077" operator="containsText" text="MEDICO TRADICIONAL">
      <formula>NOT(ISERROR(SEARCH("MEDICO TRADICIONAL",IS53)))</formula>
    </cfRule>
    <cfRule type="containsText" dxfId="1882" priority="2078" operator="containsText" text="PARTERA">
      <formula>NOT(ISERROR(SEARCH("PARTERA",IS53)))</formula>
    </cfRule>
    <cfRule type="containsText" dxfId="1881" priority="2079" operator="containsText" text="TÉCNICO">
      <formula>NOT(ISERROR(SEARCH("TÉCNICO",IS53)))</formula>
    </cfRule>
    <cfRule type="containsText" dxfId="1880" priority="2080" operator="containsText" text="PROFESIONAL">
      <formula>NOT(ISERROR(SEARCH("PROFESIONAL",IS53)))</formula>
    </cfRule>
  </conditionalFormatting>
  <conditionalFormatting sqref="IT53">
    <cfRule type="containsText" dxfId="1879" priority="2071" operator="containsText" text="LE HACEN CESÁREA SIN INICIO TRABAJO DE PARTO">
      <formula>NOT(ISERROR(SEARCH("LE HACEN CESÁREA SIN INICIO TRABAJO DE PARTO",IT53)))</formula>
    </cfRule>
    <cfRule type="containsText" dxfId="1878" priority="2072" operator="containsText" text="LE HACEN INDUCCIÓN">
      <formula>NOT(ISERROR(SEARCH("LE HACEN INDUCCIÓN",IT53)))</formula>
    </cfRule>
    <cfRule type="containsText" dxfId="1877" priority="2073" operator="containsText" text="ESPONTÁNEO">
      <formula>NOT(ISERROR(SEARCH("ESPONTÁNEO",IT53)))</formula>
    </cfRule>
  </conditionalFormatting>
  <conditionalFormatting sqref="IR54">
    <cfRule type="containsText" dxfId="1876" priority="2067" operator="containsText" text="NO APLICA">
      <formula>NOT(ISERROR(SEARCH("NO APLICA",IR54)))</formula>
    </cfRule>
    <cfRule type="containsText" dxfId="1875" priority="2068" operator="containsText" text="ALTA">
      <formula>NOT(ISERROR(SEARCH("ALTA",IR54)))</formula>
    </cfRule>
    <cfRule type="containsText" dxfId="1874" priority="2069" operator="containsText" text="MEDIANA">
      <formula>NOT(ISERROR(SEARCH("MEDIANA",IR54)))</formula>
    </cfRule>
    <cfRule type="containsText" dxfId="1873" priority="2070" operator="containsText" text="BAJA">
      <formula>NOT(ISERROR(SEARCH("BAJA",IR54)))</formula>
    </cfRule>
  </conditionalFormatting>
  <conditionalFormatting sqref="IS54:IT54">
    <cfRule type="containsText" dxfId="1872" priority="2060" operator="containsText" text="NO APLICA">
      <formula>NOT(ISERROR(SEARCH("NO APLICA",IS54)))</formula>
    </cfRule>
    <cfRule type="containsText" dxfId="1871" priority="2061" operator="containsText" text="SIN">
      <formula>NOT(ISERROR(SEARCH("SIN",IS54)))</formula>
    </cfRule>
    <cfRule type="containsText" dxfId="1870" priority="2062" operator="containsText" text="EQUIPO">
      <formula>NOT(ISERROR(SEARCH("EQUIPO",IS54)))</formula>
    </cfRule>
    <cfRule type="containsText" dxfId="1869" priority="2063" operator="containsText" text="MEDICO TRADICIONAL">
      <formula>NOT(ISERROR(SEARCH("MEDICO TRADICIONAL",IS54)))</formula>
    </cfRule>
    <cfRule type="containsText" dxfId="1868" priority="2064" operator="containsText" text="PARTERA">
      <formula>NOT(ISERROR(SEARCH("PARTERA",IS54)))</formula>
    </cfRule>
    <cfRule type="containsText" dxfId="1867" priority="2065" operator="containsText" text="TÉCNICO">
      <formula>NOT(ISERROR(SEARCH("TÉCNICO",IS54)))</formula>
    </cfRule>
    <cfRule type="containsText" dxfId="1866" priority="2066" operator="containsText" text="PROFESIONAL">
      <formula>NOT(ISERROR(SEARCH("PROFESIONAL",IS54)))</formula>
    </cfRule>
  </conditionalFormatting>
  <conditionalFormatting sqref="IT54">
    <cfRule type="containsText" dxfId="1865" priority="2057" operator="containsText" text="LE HACEN CESÁREA SIN INICIO TRABAJO DE PARTO">
      <formula>NOT(ISERROR(SEARCH("LE HACEN CESÁREA SIN INICIO TRABAJO DE PARTO",IT54)))</formula>
    </cfRule>
    <cfRule type="containsText" dxfId="1864" priority="2058" operator="containsText" text="LE HACEN INDUCCIÓN">
      <formula>NOT(ISERROR(SEARCH("LE HACEN INDUCCIÓN",IT54)))</formula>
    </cfRule>
    <cfRule type="containsText" dxfId="1863" priority="2059" operator="containsText" text="ESPONTÁNEO">
      <formula>NOT(ISERROR(SEARCH("ESPONTÁNEO",IT54)))</formula>
    </cfRule>
  </conditionalFormatting>
  <conditionalFormatting sqref="JI54">
    <cfRule type="containsText" dxfId="1862" priority="2053" operator="containsText" text="NO APLICA">
      <formula>NOT(ISERROR(SEARCH("NO APLICA",JI54)))</formula>
    </cfRule>
    <cfRule type="containsText" dxfId="1861" priority="2054" operator="containsText" text="SIN DATO">
      <formula>NOT(ISERROR(SEARCH("SIN DATO",JI54)))</formula>
    </cfRule>
    <cfRule type="containsText" dxfId="1860" priority="2055" operator="containsText" text="NO">
      <formula>NOT(ISERROR(SEARCH("NO",JI54)))</formula>
    </cfRule>
    <cfRule type="containsText" dxfId="1859" priority="2056" operator="containsText" text="SI">
      <formula>NOT(ISERROR(SEARCH("SI",JI54)))</formula>
    </cfRule>
  </conditionalFormatting>
  <conditionalFormatting sqref="IR55">
    <cfRule type="containsText" dxfId="1858" priority="2049" operator="containsText" text="NO APLICA">
      <formula>NOT(ISERROR(SEARCH("NO APLICA",IR55)))</formula>
    </cfRule>
    <cfRule type="containsText" dxfId="1857" priority="2050" operator="containsText" text="ALTA">
      <formula>NOT(ISERROR(SEARCH("ALTA",IR55)))</formula>
    </cfRule>
    <cfRule type="containsText" dxfId="1856" priority="2051" operator="containsText" text="MEDIANA">
      <formula>NOT(ISERROR(SEARCH("MEDIANA",IR55)))</formula>
    </cfRule>
    <cfRule type="containsText" dxfId="1855" priority="2052" operator="containsText" text="BAJA">
      <formula>NOT(ISERROR(SEARCH("BAJA",IR55)))</formula>
    </cfRule>
  </conditionalFormatting>
  <conditionalFormatting sqref="IS55:IT55">
    <cfRule type="containsText" dxfId="1854" priority="2042" operator="containsText" text="NO APLICA">
      <formula>NOT(ISERROR(SEARCH("NO APLICA",IS55)))</formula>
    </cfRule>
    <cfRule type="containsText" dxfId="1853" priority="2043" operator="containsText" text="SIN">
      <formula>NOT(ISERROR(SEARCH("SIN",IS55)))</formula>
    </cfRule>
    <cfRule type="containsText" dxfId="1852" priority="2044" operator="containsText" text="EQUIPO">
      <formula>NOT(ISERROR(SEARCH("EQUIPO",IS55)))</formula>
    </cfRule>
    <cfRule type="containsText" dxfId="1851" priority="2045" operator="containsText" text="MEDICO TRADICIONAL">
      <formula>NOT(ISERROR(SEARCH("MEDICO TRADICIONAL",IS55)))</formula>
    </cfRule>
    <cfRule type="containsText" dxfId="1850" priority="2046" operator="containsText" text="PARTERA">
      <formula>NOT(ISERROR(SEARCH("PARTERA",IS55)))</formula>
    </cfRule>
    <cfRule type="containsText" dxfId="1849" priority="2047" operator="containsText" text="TÉCNICO">
      <formula>NOT(ISERROR(SEARCH("TÉCNICO",IS55)))</formula>
    </cfRule>
    <cfRule type="containsText" dxfId="1848" priority="2048" operator="containsText" text="PROFESIONAL">
      <formula>NOT(ISERROR(SEARCH("PROFESIONAL",IS55)))</formula>
    </cfRule>
  </conditionalFormatting>
  <conditionalFormatting sqref="IT55">
    <cfRule type="containsText" dxfId="1847" priority="2039" operator="containsText" text="LE HACEN CESÁREA SIN INICIO TRABAJO DE PARTO">
      <formula>NOT(ISERROR(SEARCH("LE HACEN CESÁREA SIN INICIO TRABAJO DE PARTO",IT55)))</formula>
    </cfRule>
    <cfRule type="containsText" dxfId="1846" priority="2040" operator="containsText" text="LE HACEN INDUCCIÓN">
      <formula>NOT(ISERROR(SEARCH("LE HACEN INDUCCIÓN",IT55)))</formula>
    </cfRule>
    <cfRule type="containsText" dxfId="1845" priority="2041" operator="containsText" text="ESPONTÁNEO">
      <formula>NOT(ISERROR(SEARCH("ESPONTÁNEO",IT55)))</formula>
    </cfRule>
  </conditionalFormatting>
  <conditionalFormatting sqref="JI55">
    <cfRule type="containsText" dxfId="1844" priority="2035" operator="containsText" text="NO APLICA">
      <formula>NOT(ISERROR(SEARCH("NO APLICA",JI55)))</formula>
    </cfRule>
    <cfRule type="containsText" dxfId="1843" priority="2036" operator="containsText" text="SIN DATO">
      <formula>NOT(ISERROR(SEARCH("SIN DATO",JI55)))</formula>
    </cfRule>
    <cfRule type="containsText" dxfId="1842" priority="2037" operator="containsText" text="NO">
      <formula>NOT(ISERROR(SEARCH("NO",JI55)))</formula>
    </cfRule>
    <cfRule type="containsText" dxfId="1841" priority="2038" operator="containsText" text="SI">
      <formula>NOT(ISERROR(SEARCH("SI",JI55)))</formula>
    </cfRule>
  </conditionalFormatting>
  <conditionalFormatting sqref="IR56">
    <cfRule type="containsText" dxfId="1840" priority="2031" operator="containsText" text="NO APLICA">
      <formula>NOT(ISERROR(SEARCH("NO APLICA",IR56)))</formula>
    </cfRule>
    <cfRule type="containsText" dxfId="1839" priority="2032" operator="containsText" text="ALTA">
      <formula>NOT(ISERROR(SEARCH("ALTA",IR56)))</formula>
    </cfRule>
    <cfRule type="containsText" dxfId="1838" priority="2033" operator="containsText" text="MEDIANA">
      <formula>NOT(ISERROR(SEARCH("MEDIANA",IR56)))</formula>
    </cfRule>
    <cfRule type="containsText" dxfId="1837" priority="2034" operator="containsText" text="BAJA">
      <formula>NOT(ISERROR(SEARCH("BAJA",IR56)))</formula>
    </cfRule>
  </conditionalFormatting>
  <conditionalFormatting sqref="IS56:IT56">
    <cfRule type="containsText" dxfId="1836" priority="2024" operator="containsText" text="NO APLICA">
      <formula>NOT(ISERROR(SEARCH("NO APLICA",IS56)))</formula>
    </cfRule>
    <cfRule type="containsText" dxfId="1835" priority="2025" operator="containsText" text="SIN">
      <formula>NOT(ISERROR(SEARCH("SIN",IS56)))</formula>
    </cfRule>
    <cfRule type="containsText" dxfId="1834" priority="2026" operator="containsText" text="EQUIPO">
      <formula>NOT(ISERROR(SEARCH("EQUIPO",IS56)))</formula>
    </cfRule>
    <cfRule type="containsText" dxfId="1833" priority="2027" operator="containsText" text="MEDICO TRADICIONAL">
      <formula>NOT(ISERROR(SEARCH("MEDICO TRADICIONAL",IS56)))</formula>
    </cfRule>
    <cfRule type="containsText" dxfId="1832" priority="2028" operator="containsText" text="PARTERA">
      <formula>NOT(ISERROR(SEARCH("PARTERA",IS56)))</formula>
    </cfRule>
    <cfRule type="containsText" dxfId="1831" priority="2029" operator="containsText" text="TÉCNICO">
      <formula>NOT(ISERROR(SEARCH("TÉCNICO",IS56)))</formula>
    </cfRule>
    <cfRule type="containsText" dxfId="1830" priority="2030" operator="containsText" text="PROFESIONAL">
      <formula>NOT(ISERROR(SEARCH("PROFESIONAL",IS56)))</formula>
    </cfRule>
  </conditionalFormatting>
  <conditionalFormatting sqref="IT56">
    <cfRule type="containsText" dxfId="1829" priority="2021" operator="containsText" text="LE HACEN CESÁREA SIN INICIO TRABAJO DE PARTO">
      <formula>NOT(ISERROR(SEARCH("LE HACEN CESÁREA SIN INICIO TRABAJO DE PARTO",IT56)))</formula>
    </cfRule>
    <cfRule type="containsText" dxfId="1828" priority="2022" operator="containsText" text="LE HACEN INDUCCIÓN">
      <formula>NOT(ISERROR(SEARCH("LE HACEN INDUCCIÓN",IT56)))</formula>
    </cfRule>
    <cfRule type="containsText" dxfId="1827" priority="2023" operator="containsText" text="ESPONTÁNEO">
      <formula>NOT(ISERROR(SEARCH("ESPONTÁNEO",IT56)))</formula>
    </cfRule>
  </conditionalFormatting>
  <conditionalFormatting sqref="JI56">
    <cfRule type="containsText" dxfId="1826" priority="2017" operator="containsText" text="NO APLICA">
      <formula>NOT(ISERROR(SEARCH("NO APLICA",JI56)))</formula>
    </cfRule>
    <cfRule type="containsText" dxfId="1825" priority="2018" operator="containsText" text="SIN DATO">
      <formula>NOT(ISERROR(SEARCH("SIN DATO",JI56)))</formula>
    </cfRule>
    <cfRule type="containsText" dxfId="1824" priority="2019" operator="containsText" text="NO">
      <formula>NOT(ISERROR(SEARCH("NO",JI56)))</formula>
    </cfRule>
    <cfRule type="containsText" dxfId="1823" priority="2020" operator="containsText" text="SI">
      <formula>NOT(ISERROR(SEARCH("SI",JI56)))</formula>
    </cfRule>
  </conditionalFormatting>
  <conditionalFormatting sqref="IR58">
    <cfRule type="containsText" dxfId="1822" priority="2013" operator="containsText" text="NO APLICA">
      <formula>NOT(ISERROR(SEARCH("NO APLICA",IR58)))</formula>
    </cfRule>
    <cfRule type="containsText" dxfId="1821" priority="2014" operator="containsText" text="ALTA">
      <formula>NOT(ISERROR(SEARCH("ALTA",IR58)))</formula>
    </cfRule>
    <cfRule type="containsText" dxfId="1820" priority="2015" operator="containsText" text="MEDIANA">
      <formula>NOT(ISERROR(SEARCH("MEDIANA",IR58)))</formula>
    </cfRule>
    <cfRule type="containsText" dxfId="1819" priority="2016" operator="containsText" text="BAJA">
      <formula>NOT(ISERROR(SEARCH("BAJA",IR58)))</formula>
    </cfRule>
  </conditionalFormatting>
  <conditionalFormatting sqref="IS58:IT58">
    <cfRule type="containsText" dxfId="1818" priority="2006" operator="containsText" text="NO APLICA">
      <formula>NOT(ISERROR(SEARCH("NO APLICA",IS58)))</formula>
    </cfRule>
    <cfRule type="containsText" dxfId="1817" priority="2007" operator="containsText" text="SIN">
      <formula>NOT(ISERROR(SEARCH("SIN",IS58)))</formula>
    </cfRule>
    <cfRule type="containsText" dxfId="1816" priority="2008" operator="containsText" text="EQUIPO">
      <formula>NOT(ISERROR(SEARCH("EQUIPO",IS58)))</formula>
    </cfRule>
    <cfRule type="containsText" dxfId="1815" priority="2009" operator="containsText" text="MEDICO TRADICIONAL">
      <formula>NOT(ISERROR(SEARCH("MEDICO TRADICIONAL",IS58)))</formula>
    </cfRule>
    <cfRule type="containsText" dxfId="1814" priority="2010" operator="containsText" text="PARTERA">
      <formula>NOT(ISERROR(SEARCH("PARTERA",IS58)))</formula>
    </cfRule>
    <cfRule type="containsText" dxfId="1813" priority="2011" operator="containsText" text="TÉCNICO">
      <formula>NOT(ISERROR(SEARCH("TÉCNICO",IS58)))</formula>
    </cfRule>
    <cfRule type="containsText" dxfId="1812" priority="2012" operator="containsText" text="PROFESIONAL">
      <formula>NOT(ISERROR(SEARCH("PROFESIONAL",IS58)))</formula>
    </cfRule>
  </conditionalFormatting>
  <conditionalFormatting sqref="IT58">
    <cfRule type="containsText" dxfId="1811" priority="2003" operator="containsText" text="LE HACEN CESÁREA SIN INICIO TRABAJO DE PARTO">
      <formula>NOT(ISERROR(SEARCH("LE HACEN CESÁREA SIN INICIO TRABAJO DE PARTO",IT58)))</formula>
    </cfRule>
    <cfRule type="containsText" dxfId="1810" priority="2004" operator="containsText" text="LE HACEN INDUCCIÓN">
      <formula>NOT(ISERROR(SEARCH("LE HACEN INDUCCIÓN",IT58)))</formula>
    </cfRule>
    <cfRule type="containsText" dxfId="1809" priority="2005" operator="containsText" text="ESPONTÁNEO">
      <formula>NOT(ISERROR(SEARCH("ESPONTÁNEO",IT58)))</formula>
    </cfRule>
  </conditionalFormatting>
  <conditionalFormatting sqref="JI58">
    <cfRule type="containsText" dxfId="1808" priority="1999" operator="containsText" text="NO APLICA">
      <formula>NOT(ISERROR(SEARCH("NO APLICA",JI58)))</formula>
    </cfRule>
    <cfRule type="containsText" dxfId="1807" priority="2000" operator="containsText" text="SIN DATO">
      <formula>NOT(ISERROR(SEARCH("SIN DATO",JI58)))</formula>
    </cfRule>
    <cfRule type="containsText" dxfId="1806" priority="2001" operator="containsText" text="NO">
      <formula>NOT(ISERROR(SEARCH("NO",JI58)))</formula>
    </cfRule>
    <cfRule type="containsText" dxfId="1805" priority="2002" operator="containsText" text="SI">
      <formula>NOT(ISERROR(SEARCH("SI",JI58)))</formula>
    </cfRule>
  </conditionalFormatting>
  <conditionalFormatting sqref="IR59">
    <cfRule type="containsText" dxfId="1804" priority="1995" operator="containsText" text="NO APLICA">
      <formula>NOT(ISERROR(SEARCH("NO APLICA",IR59)))</formula>
    </cfRule>
    <cfRule type="containsText" dxfId="1803" priority="1996" operator="containsText" text="ALTA">
      <formula>NOT(ISERROR(SEARCH("ALTA",IR59)))</formula>
    </cfRule>
    <cfRule type="containsText" dxfId="1802" priority="1997" operator="containsText" text="MEDIANA">
      <formula>NOT(ISERROR(SEARCH("MEDIANA",IR59)))</formula>
    </cfRule>
    <cfRule type="containsText" dxfId="1801" priority="1998" operator="containsText" text="BAJA">
      <formula>NOT(ISERROR(SEARCH("BAJA",IR59)))</formula>
    </cfRule>
  </conditionalFormatting>
  <conditionalFormatting sqref="IS59:IT59">
    <cfRule type="containsText" dxfId="1800" priority="1988" operator="containsText" text="NO APLICA">
      <formula>NOT(ISERROR(SEARCH("NO APLICA",IS59)))</formula>
    </cfRule>
    <cfRule type="containsText" dxfId="1799" priority="1989" operator="containsText" text="SIN">
      <formula>NOT(ISERROR(SEARCH("SIN",IS59)))</formula>
    </cfRule>
    <cfRule type="containsText" dxfId="1798" priority="1990" operator="containsText" text="EQUIPO">
      <formula>NOT(ISERROR(SEARCH("EQUIPO",IS59)))</formula>
    </cfRule>
    <cfRule type="containsText" dxfId="1797" priority="1991" operator="containsText" text="MEDICO TRADICIONAL">
      <formula>NOT(ISERROR(SEARCH("MEDICO TRADICIONAL",IS59)))</formula>
    </cfRule>
    <cfRule type="containsText" dxfId="1796" priority="1992" operator="containsText" text="PARTERA">
      <formula>NOT(ISERROR(SEARCH("PARTERA",IS59)))</formula>
    </cfRule>
    <cfRule type="containsText" dxfId="1795" priority="1993" operator="containsText" text="TÉCNICO">
      <formula>NOT(ISERROR(SEARCH("TÉCNICO",IS59)))</formula>
    </cfRule>
    <cfRule type="containsText" dxfId="1794" priority="1994" operator="containsText" text="PROFESIONAL">
      <formula>NOT(ISERROR(SEARCH("PROFESIONAL",IS59)))</formula>
    </cfRule>
  </conditionalFormatting>
  <conditionalFormatting sqref="IT59">
    <cfRule type="containsText" dxfId="1793" priority="1985" operator="containsText" text="LE HACEN CESÁREA SIN INICIO TRABAJO DE PARTO">
      <formula>NOT(ISERROR(SEARCH("LE HACEN CESÁREA SIN INICIO TRABAJO DE PARTO",IT59)))</formula>
    </cfRule>
    <cfRule type="containsText" dxfId="1792" priority="1986" operator="containsText" text="LE HACEN INDUCCIÓN">
      <formula>NOT(ISERROR(SEARCH("LE HACEN INDUCCIÓN",IT59)))</formula>
    </cfRule>
    <cfRule type="containsText" dxfId="1791" priority="1987" operator="containsText" text="ESPONTÁNEO">
      <formula>NOT(ISERROR(SEARCH("ESPONTÁNEO",IT59)))</formula>
    </cfRule>
  </conditionalFormatting>
  <conditionalFormatting sqref="IR60">
    <cfRule type="containsText" dxfId="1790" priority="1981" operator="containsText" text="NO APLICA">
      <formula>NOT(ISERROR(SEARCH("NO APLICA",IR60)))</formula>
    </cfRule>
    <cfRule type="containsText" dxfId="1789" priority="1982" operator="containsText" text="ALTA">
      <formula>NOT(ISERROR(SEARCH("ALTA",IR60)))</formula>
    </cfRule>
    <cfRule type="containsText" dxfId="1788" priority="1983" operator="containsText" text="MEDIANA">
      <formula>NOT(ISERROR(SEARCH("MEDIANA",IR60)))</formula>
    </cfRule>
    <cfRule type="containsText" dxfId="1787" priority="1984" operator="containsText" text="BAJA">
      <formula>NOT(ISERROR(SEARCH("BAJA",IR60)))</formula>
    </cfRule>
  </conditionalFormatting>
  <conditionalFormatting sqref="IS60:IT60">
    <cfRule type="containsText" dxfId="1786" priority="1974" operator="containsText" text="NO APLICA">
      <formula>NOT(ISERROR(SEARCH("NO APLICA",IS60)))</formula>
    </cfRule>
    <cfRule type="containsText" dxfId="1785" priority="1975" operator="containsText" text="SIN">
      <formula>NOT(ISERROR(SEARCH("SIN",IS60)))</formula>
    </cfRule>
    <cfRule type="containsText" dxfId="1784" priority="1976" operator="containsText" text="EQUIPO">
      <formula>NOT(ISERROR(SEARCH("EQUIPO",IS60)))</formula>
    </cfRule>
    <cfRule type="containsText" dxfId="1783" priority="1977" operator="containsText" text="MEDICO TRADICIONAL">
      <formula>NOT(ISERROR(SEARCH("MEDICO TRADICIONAL",IS60)))</formula>
    </cfRule>
    <cfRule type="containsText" dxfId="1782" priority="1978" operator="containsText" text="PARTERA">
      <formula>NOT(ISERROR(SEARCH("PARTERA",IS60)))</formula>
    </cfRule>
    <cfRule type="containsText" dxfId="1781" priority="1979" operator="containsText" text="TÉCNICO">
      <formula>NOT(ISERROR(SEARCH("TÉCNICO",IS60)))</formula>
    </cfRule>
    <cfRule type="containsText" dxfId="1780" priority="1980" operator="containsText" text="PROFESIONAL">
      <formula>NOT(ISERROR(SEARCH("PROFESIONAL",IS60)))</formula>
    </cfRule>
  </conditionalFormatting>
  <conditionalFormatting sqref="IT60">
    <cfRule type="containsText" dxfId="1779" priority="1971" operator="containsText" text="LE HACEN CESÁREA SIN INICIO TRABAJO DE PARTO">
      <formula>NOT(ISERROR(SEARCH("LE HACEN CESÁREA SIN INICIO TRABAJO DE PARTO",IT60)))</formula>
    </cfRule>
    <cfRule type="containsText" dxfId="1778" priority="1972" operator="containsText" text="LE HACEN INDUCCIÓN">
      <formula>NOT(ISERROR(SEARCH("LE HACEN INDUCCIÓN",IT60)))</formula>
    </cfRule>
    <cfRule type="containsText" dxfId="1777" priority="1973" operator="containsText" text="ESPONTÁNEO">
      <formula>NOT(ISERROR(SEARCH("ESPONTÁNEO",IT60)))</formula>
    </cfRule>
  </conditionalFormatting>
  <conditionalFormatting sqref="JI60">
    <cfRule type="containsText" dxfId="1776" priority="1967" operator="containsText" text="NO APLICA">
      <formula>NOT(ISERROR(SEARCH("NO APLICA",JI60)))</formula>
    </cfRule>
    <cfRule type="containsText" dxfId="1775" priority="1968" operator="containsText" text="SIN DATO">
      <formula>NOT(ISERROR(SEARCH("SIN DATO",JI60)))</formula>
    </cfRule>
    <cfRule type="containsText" dxfId="1774" priority="1969" operator="containsText" text="NO">
      <formula>NOT(ISERROR(SEARCH("NO",JI60)))</formula>
    </cfRule>
    <cfRule type="containsText" dxfId="1773" priority="1970" operator="containsText" text="SI">
      <formula>NOT(ISERROR(SEARCH("SI",JI60)))</formula>
    </cfRule>
  </conditionalFormatting>
  <conditionalFormatting sqref="JI65">
    <cfRule type="containsText" dxfId="1772" priority="1935" operator="containsText" text="NO APLICA">
      <formula>NOT(ISERROR(SEARCH("NO APLICA",JI65)))</formula>
    </cfRule>
    <cfRule type="containsText" dxfId="1771" priority="1936" operator="containsText" text="SIN DATO">
      <formula>NOT(ISERROR(SEARCH("SIN DATO",JI65)))</formula>
    </cfRule>
    <cfRule type="containsText" dxfId="1770" priority="1937" operator="containsText" text="NO">
      <formula>NOT(ISERROR(SEARCH("NO",JI65)))</formula>
    </cfRule>
    <cfRule type="containsText" dxfId="1769" priority="1938" operator="containsText" text="SI">
      <formula>NOT(ISERROR(SEARCH("SI",JI65)))</formula>
    </cfRule>
  </conditionalFormatting>
  <conditionalFormatting sqref="JI66">
    <cfRule type="containsText" dxfId="1768" priority="1917" operator="containsText" text="NO APLICA">
      <formula>NOT(ISERROR(SEARCH("NO APLICA",JI66)))</formula>
    </cfRule>
    <cfRule type="containsText" dxfId="1767" priority="1918" operator="containsText" text="SIN DATO">
      <formula>NOT(ISERROR(SEARCH("SIN DATO",JI66)))</formula>
    </cfRule>
    <cfRule type="containsText" dxfId="1766" priority="1919" operator="containsText" text="NO">
      <formula>NOT(ISERROR(SEARCH("NO",JI66)))</formula>
    </cfRule>
    <cfRule type="containsText" dxfId="1765" priority="1920" operator="containsText" text="SI">
      <formula>NOT(ISERROR(SEARCH("SI",JI66)))</formula>
    </cfRule>
  </conditionalFormatting>
  <conditionalFormatting sqref="JI67">
    <cfRule type="containsText" dxfId="1764" priority="1903" operator="containsText" text="NO APLICA">
      <formula>NOT(ISERROR(SEARCH("NO APLICA",JI67)))</formula>
    </cfRule>
    <cfRule type="containsText" dxfId="1763" priority="1904" operator="containsText" text="SIN DATO">
      <formula>NOT(ISERROR(SEARCH("SIN DATO",JI67)))</formula>
    </cfRule>
    <cfRule type="containsText" dxfId="1762" priority="1905" operator="containsText" text="NO">
      <formula>NOT(ISERROR(SEARCH("NO",JI67)))</formula>
    </cfRule>
    <cfRule type="containsText" dxfId="1761" priority="1906" operator="containsText" text="SI">
      <formula>NOT(ISERROR(SEARCH("SI",JI67)))</formula>
    </cfRule>
  </conditionalFormatting>
  <conditionalFormatting sqref="IR69">
    <cfRule type="containsText" dxfId="1760" priority="1885" operator="containsText" text="NO APLICA">
      <formula>NOT(ISERROR(SEARCH("NO APLICA",IR69)))</formula>
    </cfRule>
    <cfRule type="containsText" dxfId="1759" priority="1886" operator="containsText" text="ALTA">
      <formula>NOT(ISERROR(SEARCH("ALTA",IR69)))</formula>
    </cfRule>
    <cfRule type="containsText" dxfId="1758" priority="1887" operator="containsText" text="MEDIANA">
      <formula>NOT(ISERROR(SEARCH("MEDIANA",IR69)))</formula>
    </cfRule>
    <cfRule type="containsText" dxfId="1757" priority="1888" operator="containsText" text="BAJA">
      <formula>NOT(ISERROR(SEARCH("BAJA",IR69)))</formula>
    </cfRule>
  </conditionalFormatting>
  <conditionalFormatting sqref="JI72">
    <cfRule type="containsText" dxfId="1756" priority="1843" operator="containsText" text="NO APLICA">
      <formula>NOT(ISERROR(SEARCH("NO APLICA",JI72)))</formula>
    </cfRule>
    <cfRule type="containsText" dxfId="1755" priority="1844" operator="containsText" text="SIN DATO">
      <formula>NOT(ISERROR(SEARCH("SIN DATO",JI72)))</formula>
    </cfRule>
    <cfRule type="containsText" dxfId="1754" priority="1845" operator="containsText" text="NO">
      <formula>NOT(ISERROR(SEARCH("NO",JI72)))</formula>
    </cfRule>
    <cfRule type="containsText" dxfId="1753" priority="1846" operator="containsText" text="SI">
      <formula>NOT(ISERROR(SEARCH("SI",JI72)))</formula>
    </cfRule>
  </conditionalFormatting>
  <conditionalFormatting sqref="JI73">
    <cfRule type="containsText" dxfId="1752" priority="1825" operator="containsText" text="NO APLICA">
      <formula>NOT(ISERROR(SEARCH("NO APLICA",JI73)))</formula>
    </cfRule>
    <cfRule type="containsText" dxfId="1751" priority="1826" operator="containsText" text="SIN DATO">
      <formula>NOT(ISERROR(SEARCH("SIN DATO",JI73)))</formula>
    </cfRule>
    <cfRule type="containsText" dxfId="1750" priority="1827" operator="containsText" text="NO">
      <formula>NOT(ISERROR(SEARCH("NO",JI73)))</formula>
    </cfRule>
    <cfRule type="containsText" dxfId="1749" priority="1828" operator="containsText" text="SI">
      <formula>NOT(ISERROR(SEARCH("SI",JI73)))</formula>
    </cfRule>
  </conditionalFormatting>
  <conditionalFormatting sqref="JI80">
    <cfRule type="containsText" dxfId="1748" priority="1757" operator="containsText" text="NO APLICA">
      <formula>NOT(ISERROR(SEARCH("NO APLICA",JI80)))</formula>
    </cfRule>
    <cfRule type="containsText" dxfId="1747" priority="1758" operator="containsText" text="SIN DATO">
      <formula>NOT(ISERROR(SEARCH("SIN DATO",JI80)))</formula>
    </cfRule>
    <cfRule type="containsText" dxfId="1746" priority="1759" operator="containsText" text="NO">
      <formula>NOT(ISERROR(SEARCH("NO",JI80)))</formula>
    </cfRule>
    <cfRule type="containsText" dxfId="1745" priority="1760" operator="containsText" text="SI">
      <formula>NOT(ISERROR(SEARCH("SI",JI80)))</formula>
    </cfRule>
  </conditionalFormatting>
  <conditionalFormatting sqref="IR63">
    <cfRule type="containsText" dxfId="1744" priority="1735" operator="containsText" text="NO APLICA">
      <formula>NOT(ISERROR(SEARCH("NO APLICA",IR63)))</formula>
    </cfRule>
    <cfRule type="containsText" dxfId="1743" priority="1736" operator="containsText" text="ALTA">
      <formula>NOT(ISERROR(SEARCH("ALTA",IR63)))</formula>
    </cfRule>
    <cfRule type="containsText" dxfId="1742" priority="1737" operator="containsText" text="MEDIANA">
      <formula>NOT(ISERROR(SEARCH("MEDIANA",IR63)))</formula>
    </cfRule>
    <cfRule type="containsText" dxfId="1741" priority="1738" operator="containsText" text="BAJA">
      <formula>NOT(ISERROR(SEARCH("BAJA",IR63)))</formula>
    </cfRule>
  </conditionalFormatting>
  <conditionalFormatting sqref="IS63:IT63">
    <cfRule type="containsText" dxfId="1740" priority="1728" operator="containsText" text="NO APLICA">
      <formula>NOT(ISERROR(SEARCH("NO APLICA",IS63)))</formula>
    </cfRule>
    <cfRule type="containsText" dxfId="1739" priority="1729" operator="containsText" text="SIN">
      <formula>NOT(ISERROR(SEARCH("SIN",IS63)))</formula>
    </cfRule>
    <cfRule type="containsText" dxfId="1738" priority="1730" operator="containsText" text="EQUIPO">
      <formula>NOT(ISERROR(SEARCH("EQUIPO",IS63)))</formula>
    </cfRule>
    <cfRule type="containsText" dxfId="1737" priority="1731" operator="containsText" text="MEDICO TRADICIONAL">
      <formula>NOT(ISERROR(SEARCH("MEDICO TRADICIONAL",IS63)))</formula>
    </cfRule>
    <cfRule type="containsText" dxfId="1736" priority="1732" operator="containsText" text="PARTERA">
      <formula>NOT(ISERROR(SEARCH("PARTERA",IS63)))</formula>
    </cfRule>
    <cfRule type="containsText" dxfId="1735" priority="1733" operator="containsText" text="TÉCNICO">
      <formula>NOT(ISERROR(SEARCH("TÉCNICO",IS63)))</formula>
    </cfRule>
    <cfRule type="containsText" dxfId="1734" priority="1734" operator="containsText" text="PROFESIONAL">
      <formula>NOT(ISERROR(SEARCH("PROFESIONAL",IS63)))</formula>
    </cfRule>
  </conditionalFormatting>
  <conditionalFormatting sqref="IT63">
    <cfRule type="containsText" dxfId="1733" priority="1725" operator="containsText" text="LE HACEN CESÁREA SIN INICIO TRABAJO DE PARTO">
      <formula>NOT(ISERROR(SEARCH("LE HACEN CESÁREA SIN INICIO TRABAJO DE PARTO",IT63)))</formula>
    </cfRule>
    <cfRule type="containsText" dxfId="1732" priority="1726" operator="containsText" text="LE HACEN INDUCCIÓN">
      <formula>NOT(ISERROR(SEARCH("LE HACEN INDUCCIÓN",IT63)))</formula>
    </cfRule>
    <cfRule type="containsText" dxfId="1731" priority="1727" operator="containsText" text="ESPONTÁNEO">
      <formula>NOT(ISERROR(SEARCH("ESPONTÁNEO",IT63)))</formula>
    </cfRule>
  </conditionalFormatting>
  <conditionalFormatting sqref="IR65">
    <cfRule type="containsText" dxfId="1730" priority="1721" operator="containsText" text="NO APLICA">
      <formula>NOT(ISERROR(SEARCH("NO APLICA",IR65)))</formula>
    </cfRule>
    <cfRule type="containsText" dxfId="1729" priority="1722" operator="containsText" text="ALTA">
      <formula>NOT(ISERROR(SEARCH("ALTA",IR65)))</formula>
    </cfRule>
    <cfRule type="containsText" dxfId="1728" priority="1723" operator="containsText" text="MEDIANA">
      <formula>NOT(ISERROR(SEARCH("MEDIANA",IR65)))</formula>
    </cfRule>
    <cfRule type="containsText" dxfId="1727" priority="1724" operator="containsText" text="BAJA">
      <formula>NOT(ISERROR(SEARCH("BAJA",IR65)))</formula>
    </cfRule>
  </conditionalFormatting>
  <conditionalFormatting sqref="IS65:IT65">
    <cfRule type="containsText" dxfId="1726" priority="1714" operator="containsText" text="NO APLICA">
      <formula>NOT(ISERROR(SEARCH("NO APLICA",IS65)))</formula>
    </cfRule>
    <cfRule type="containsText" dxfId="1725" priority="1715" operator="containsText" text="SIN">
      <formula>NOT(ISERROR(SEARCH("SIN",IS65)))</formula>
    </cfRule>
    <cfRule type="containsText" dxfId="1724" priority="1716" operator="containsText" text="EQUIPO">
      <formula>NOT(ISERROR(SEARCH("EQUIPO",IS65)))</formula>
    </cfRule>
    <cfRule type="containsText" dxfId="1723" priority="1717" operator="containsText" text="MEDICO TRADICIONAL">
      <formula>NOT(ISERROR(SEARCH("MEDICO TRADICIONAL",IS65)))</formula>
    </cfRule>
    <cfRule type="containsText" dxfId="1722" priority="1718" operator="containsText" text="PARTERA">
      <formula>NOT(ISERROR(SEARCH("PARTERA",IS65)))</formula>
    </cfRule>
    <cfRule type="containsText" dxfId="1721" priority="1719" operator="containsText" text="TÉCNICO">
      <formula>NOT(ISERROR(SEARCH("TÉCNICO",IS65)))</formula>
    </cfRule>
    <cfRule type="containsText" dxfId="1720" priority="1720" operator="containsText" text="PROFESIONAL">
      <formula>NOT(ISERROR(SEARCH("PROFESIONAL",IS65)))</formula>
    </cfRule>
  </conditionalFormatting>
  <conditionalFormatting sqref="IT65">
    <cfRule type="containsText" dxfId="1719" priority="1711" operator="containsText" text="LE HACEN CESÁREA SIN INICIO TRABAJO DE PARTO">
      <formula>NOT(ISERROR(SEARCH("LE HACEN CESÁREA SIN INICIO TRABAJO DE PARTO",IT65)))</formula>
    </cfRule>
    <cfRule type="containsText" dxfId="1718" priority="1712" operator="containsText" text="LE HACEN INDUCCIÓN">
      <formula>NOT(ISERROR(SEARCH("LE HACEN INDUCCIÓN",IT65)))</formula>
    </cfRule>
    <cfRule type="containsText" dxfId="1717" priority="1713" operator="containsText" text="ESPONTÁNEO">
      <formula>NOT(ISERROR(SEARCH("ESPONTÁNEO",IT65)))</formula>
    </cfRule>
  </conditionalFormatting>
  <conditionalFormatting sqref="IR66">
    <cfRule type="containsText" dxfId="1716" priority="1707" operator="containsText" text="NO APLICA">
      <formula>NOT(ISERROR(SEARCH("NO APLICA",IR66)))</formula>
    </cfRule>
    <cfRule type="containsText" dxfId="1715" priority="1708" operator="containsText" text="ALTA">
      <formula>NOT(ISERROR(SEARCH("ALTA",IR66)))</formula>
    </cfRule>
    <cfRule type="containsText" dxfId="1714" priority="1709" operator="containsText" text="MEDIANA">
      <formula>NOT(ISERROR(SEARCH("MEDIANA",IR66)))</formula>
    </cfRule>
    <cfRule type="containsText" dxfId="1713" priority="1710" operator="containsText" text="BAJA">
      <formula>NOT(ISERROR(SEARCH("BAJA",IR66)))</formula>
    </cfRule>
  </conditionalFormatting>
  <conditionalFormatting sqref="IS66:IT66">
    <cfRule type="containsText" dxfId="1712" priority="1700" operator="containsText" text="NO APLICA">
      <formula>NOT(ISERROR(SEARCH("NO APLICA",IS66)))</formula>
    </cfRule>
    <cfRule type="containsText" dxfId="1711" priority="1701" operator="containsText" text="SIN">
      <formula>NOT(ISERROR(SEARCH("SIN",IS66)))</formula>
    </cfRule>
    <cfRule type="containsText" dxfId="1710" priority="1702" operator="containsText" text="EQUIPO">
      <formula>NOT(ISERROR(SEARCH("EQUIPO",IS66)))</formula>
    </cfRule>
    <cfRule type="containsText" dxfId="1709" priority="1703" operator="containsText" text="MEDICO TRADICIONAL">
      <formula>NOT(ISERROR(SEARCH("MEDICO TRADICIONAL",IS66)))</formula>
    </cfRule>
    <cfRule type="containsText" dxfId="1708" priority="1704" operator="containsText" text="PARTERA">
      <formula>NOT(ISERROR(SEARCH("PARTERA",IS66)))</formula>
    </cfRule>
    <cfRule type="containsText" dxfId="1707" priority="1705" operator="containsText" text="TÉCNICO">
      <formula>NOT(ISERROR(SEARCH("TÉCNICO",IS66)))</formula>
    </cfRule>
    <cfRule type="containsText" dxfId="1706" priority="1706" operator="containsText" text="PROFESIONAL">
      <formula>NOT(ISERROR(SEARCH("PROFESIONAL",IS66)))</formula>
    </cfRule>
  </conditionalFormatting>
  <conditionalFormatting sqref="IT66">
    <cfRule type="containsText" dxfId="1705" priority="1697" operator="containsText" text="LE HACEN CESÁREA SIN INICIO TRABAJO DE PARTO">
      <formula>NOT(ISERROR(SEARCH("LE HACEN CESÁREA SIN INICIO TRABAJO DE PARTO",IT66)))</formula>
    </cfRule>
    <cfRule type="containsText" dxfId="1704" priority="1698" operator="containsText" text="LE HACEN INDUCCIÓN">
      <formula>NOT(ISERROR(SEARCH("LE HACEN INDUCCIÓN",IT66)))</formula>
    </cfRule>
    <cfRule type="containsText" dxfId="1703" priority="1699" operator="containsText" text="ESPONTÁNEO">
      <formula>NOT(ISERROR(SEARCH("ESPONTÁNEO",IT66)))</formula>
    </cfRule>
  </conditionalFormatting>
  <conditionalFormatting sqref="IR67">
    <cfRule type="containsText" dxfId="1702" priority="1693" operator="containsText" text="NO APLICA">
      <formula>NOT(ISERROR(SEARCH("NO APLICA",IR67)))</formula>
    </cfRule>
    <cfRule type="containsText" dxfId="1701" priority="1694" operator="containsText" text="ALTA">
      <formula>NOT(ISERROR(SEARCH("ALTA",IR67)))</formula>
    </cfRule>
    <cfRule type="containsText" dxfId="1700" priority="1695" operator="containsText" text="MEDIANA">
      <formula>NOT(ISERROR(SEARCH("MEDIANA",IR67)))</formula>
    </cfRule>
    <cfRule type="containsText" dxfId="1699" priority="1696" operator="containsText" text="BAJA">
      <formula>NOT(ISERROR(SEARCH("BAJA",IR67)))</formula>
    </cfRule>
  </conditionalFormatting>
  <conditionalFormatting sqref="IS67:IT67">
    <cfRule type="containsText" dxfId="1698" priority="1686" operator="containsText" text="NO APLICA">
      <formula>NOT(ISERROR(SEARCH("NO APLICA",IS67)))</formula>
    </cfRule>
    <cfRule type="containsText" dxfId="1697" priority="1687" operator="containsText" text="SIN">
      <formula>NOT(ISERROR(SEARCH("SIN",IS67)))</formula>
    </cfRule>
    <cfRule type="containsText" dxfId="1696" priority="1688" operator="containsText" text="EQUIPO">
      <formula>NOT(ISERROR(SEARCH("EQUIPO",IS67)))</formula>
    </cfRule>
    <cfRule type="containsText" dxfId="1695" priority="1689" operator="containsText" text="MEDICO TRADICIONAL">
      <formula>NOT(ISERROR(SEARCH("MEDICO TRADICIONAL",IS67)))</formula>
    </cfRule>
    <cfRule type="containsText" dxfId="1694" priority="1690" operator="containsText" text="PARTERA">
      <formula>NOT(ISERROR(SEARCH("PARTERA",IS67)))</formula>
    </cfRule>
    <cfRule type="containsText" dxfId="1693" priority="1691" operator="containsText" text="TÉCNICO">
      <formula>NOT(ISERROR(SEARCH("TÉCNICO",IS67)))</formula>
    </cfRule>
    <cfRule type="containsText" dxfId="1692" priority="1692" operator="containsText" text="PROFESIONAL">
      <formula>NOT(ISERROR(SEARCH("PROFESIONAL",IS67)))</formula>
    </cfRule>
  </conditionalFormatting>
  <conditionalFormatting sqref="IT67">
    <cfRule type="containsText" dxfId="1691" priority="1683" operator="containsText" text="LE HACEN CESÁREA SIN INICIO TRABAJO DE PARTO">
      <formula>NOT(ISERROR(SEARCH("LE HACEN CESÁREA SIN INICIO TRABAJO DE PARTO",IT67)))</formula>
    </cfRule>
    <cfRule type="containsText" dxfId="1690" priority="1684" operator="containsText" text="LE HACEN INDUCCIÓN">
      <formula>NOT(ISERROR(SEARCH("LE HACEN INDUCCIÓN",IT67)))</formula>
    </cfRule>
    <cfRule type="containsText" dxfId="1689" priority="1685" operator="containsText" text="ESPONTÁNEO">
      <formula>NOT(ISERROR(SEARCH("ESPONTÁNEO",IT67)))</formula>
    </cfRule>
  </conditionalFormatting>
  <conditionalFormatting sqref="IR68">
    <cfRule type="containsText" dxfId="1688" priority="1679" operator="containsText" text="NO APLICA">
      <formula>NOT(ISERROR(SEARCH("NO APLICA",IR68)))</formula>
    </cfRule>
    <cfRule type="containsText" dxfId="1687" priority="1680" operator="containsText" text="ALTA">
      <formula>NOT(ISERROR(SEARCH("ALTA",IR68)))</formula>
    </cfRule>
    <cfRule type="containsText" dxfId="1686" priority="1681" operator="containsText" text="MEDIANA">
      <formula>NOT(ISERROR(SEARCH("MEDIANA",IR68)))</formula>
    </cfRule>
    <cfRule type="containsText" dxfId="1685" priority="1682" operator="containsText" text="BAJA">
      <formula>NOT(ISERROR(SEARCH("BAJA",IR68)))</formula>
    </cfRule>
  </conditionalFormatting>
  <conditionalFormatting sqref="IS68:IT68">
    <cfRule type="containsText" dxfId="1684" priority="1672" operator="containsText" text="NO APLICA">
      <formula>NOT(ISERROR(SEARCH("NO APLICA",IS68)))</formula>
    </cfRule>
    <cfRule type="containsText" dxfId="1683" priority="1673" operator="containsText" text="SIN">
      <formula>NOT(ISERROR(SEARCH("SIN",IS68)))</formula>
    </cfRule>
    <cfRule type="containsText" dxfId="1682" priority="1674" operator="containsText" text="EQUIPO">
      <formula>NOT(ISERROR(SEARCH("EQUIPO",IS68)))</formula>
    </cfRule>
    <cfRule type="containsText" dxfId="1681" priority="1675" operator="containsText" text="MEDICO TRADICIONAL">
      <formula>NOT(ISERROR(SEARCH("MEDICO TRADICIONAL",IS68)))</formula>
    </cfRule>
    <cfRule type="containsText" dxfId="1680" priority="1676" operator="containsText" text="PARTERA">
      <formula>NOT(ISERROR(SEARCH("PARTERA",IS68)))</formula>
    </cfRule>
    <cfRule type="containsText" dxfId="1679" priority="1677" operator="containsText" text="TÉCNICO">
      <formula>NOT(ISERROR(SEARCH("TÉCNICO",IS68)))</formula>
    </cfRule>
    <cfRule type="containsText" dxfId="1678" priority="1678" operator="containsText" text="PROFESIONAL">
      <formula>NOT(ISERROR(SEARCH("PROFESIONAL",IS68)))</formula>
    </cfRule>
  </conditionalFormatting>
  <conditionalFormatting sqref="IT68">
    <cfRule type="containsText" dxfId="1677" priority="1669" operator="containsText" text="LE HACEN CESÁREA SIN INICIO TRABAJO DE PARTO">
      <formula>NOT(ISERROR(SEARCH("LE HACEN CESÁREA SIN INICIO TRABAJO DE PARTO",IT68)))</formula>
    </cfRule>
    <cfRule type="containsText" dxfId="1676" priority="1670" operator="containsText" text="LE HACEN INDUCCIÓN">
      <formula>NOT(ISERROR(SEARCH("LE HACEN INDUCCIÓN",IT68)))</formula>
    </cfRule>
    <cfRule type="containsText" dxfId="1675" priority="1671" operator="containsText" text="ESPONTÁNEO">
      <formula>NOT(ISERROR(SEARCH("ESPONTÁNEO",IT68)))</formula>
    </cfRule>
  </conditionalFormatting>
  <conditionalFormatting sqref="JI68">
    <cfRule type="containsText" dxfId="1674" priority="1665" operator="containsText" text="NO APLICA">
      <formula>NOT(ISERROR(SEARCH("NO APLICA",JI68)))</formula>
    </cfRule>
    <cfRule type="containsText" dxfId="1673" priority="1666" operator="containsText" text="SIN DATO">
      <formula>NOT(ISERROR(SEARCH("SIN DATO",JI68)))</formula>
    </cfRule>
    <cfRule type="containsText" dxfId="1672" priority="1667" operator="containsText" text="NO">
      <formula>NOT(ISERROR(SEARCH("NO",JI68)))</formula>
    </cfRule>
    <cfRule type="containsText" dxfId="1671" priority="1668" operator="containsText" text="SI">
      <formula>NOT(ISERROR(SEARCH("SI",JI68)))</formula>
    </cfRule>
  </conditionalFormatting>
  <conditionalFormatting sqref="IS69:IT69">
    <cfRule type="containsText" dxfId="1670" priority="1658" operator="containsText" text="NO APLICA">
      <formula>NOT(ISERROR(SEARCH("NO APLICA",IS69)))</formula>
    </cfRule>
    <cfRule type="containsText" dxfId="1669" priority="1659" operator="containsText" text="SIN">
      <formula>NOT(ISERROR(SEARCH("SIN",IS69)))</formula>
    </cfRule>
    <cfRule type="containsText" dxfId="1668" priority="1660" operator="containsText" text="EQUIPO">
      <formula>NOT(ISERROR(SEARCH("EQUIPO",IS69)))</formula>
    </cfRule>
    <cfRule type="containsText" dxfId="1667" priority="1661" operator="containsText" text="MEDICO TRADICIONAL">
      <formula>NOT(ISERROR(SEARCH("MEDICO TRADICIONAL",IS69)))</formula>
    </cfRule>
    <cfRule type="containsText" dxfId="1666" priority="1662" operator="containsText" text="PARTERA">
      <formula>NOT(ISERROR(SEARCH("PARTERA",IS69)))</formula>
    </cfRule>
    <cfRule type="containsText" dxfId="1665" priority="1663" operator="containsText" text="TÉCNICO">
      <formula>NOT(ISERROR(SEARCH("TÉCNICO",IS69)))</formula>
    </cfRule>
    <cfRule type="containsText" dxfId="1664" priority="1664" operator="containsText" text="PROFESIONAL">
      <formula>NOT(ISERROR(SEARCH("PROFESIONAL",IS69)))</formula>
    </cfRule>
  </conditionalFormatting>
  <conditionalFormatting sqref="IT69">
    <cfRule type="containsText" dxfId="1663" priority="1655" operator="containsText" text="LE HACEN CESÁREA SIN INICIO TRABAJO DE PARTO">
      <formula>NOT(ISERROR(SEARCH("LE HACEN CESÁREA SIN INICIO TRABAJO DE PARTO",IT69)))</formula>
    </cfRule>
    <cfRule type="containsText" dxfId="1662" priority="1656" operator="containsText" text="LE HACEN INDUCCIÓN">
      <formula>NOT(ISERROR(SEARCH("LE HACEN INDUCCIÓN",IT69)))</formula>
    </cfRule>
    <cfRule type="containsText" dxfId="1661" priority="1657" operator="containsText" text="ESPONTÁNEO">
      <formula>NOT(ISERROR(SEARCH("ESPONTÁNEO",IT69)))</formula>
    </cfRule>
  </conditionalFormatting>
  <conditionalFormatting sqref="JI69">
    <cfRule type="containsText" dxfId="1660" priority="1651" operator="containsText" text="NO APLICA">
      <formula>NOT(ISERROR(SEARCH("NO APLICA",JI69)))</formula>
    </cfRule>
    <cfRule type="containsText" dxfId="1659" priority="1652" operator="containsText" text="SIN DATO">
      <formula>NOT(ISERROR(SEARCH("SIN DATO",JI69)))</formula>
    </cfRule>
    <cfRule type="containsText" dxfId="1658" priority="1653" operator="containsText" text="NO">
      <formula>NOT(ISERROR(SEARCH("NO",JI69)))</formula>
    </cfRule>
    <cfRule type="containsText" dxfId="1657" priority="1654" operator="containsText" text="SI">
      <formula>NOT(ISERROR(SEARCH("SI",JI69)))</formula>
    </cfRule>
  </conditionalFormatting>
  <conditionalFormatting sqref="IR70">
    <cfRule type="containsText" dxfId="1656" priority="1647" operator="containsText" text="NO APLICA">
      <formula>NOT(ISERROR(SEARCH("NO APLICA",IR70)))</formula>
    </cfRule>
    <cfRule type="containsText" dxfId="1655" priority="1648" operator="containsText" text="ALTA">
      <formula>NOT(ISERROR(SEARCH("ALTA",IR70)))</formula>
    </cfRule>
    <cfRule type="containsText" dxfId="1654" priority="1649" operator="containsText" text="MEDIANA">
      <formula>NOT(ISERROR(SEARCH("MEDIANA",IR70)))</formula>
    </cfRule>
    <cfRule type="containsText" dxfId="1653" priority="1650" operator="containsText" text="BAJA">
      <formula>NOT(ISERROR(SEARCH("BAJA",IR70)))</formula>
    </cfRule>
  </conditionalFormatting>
  <conditionalFormatting sqref="IS70:IT70">
    <cfRule type="containsText" dxfId="1652" priority="1640" operator="containsText" text="NO APLICA">
      <formula>NOT(ISERROR(SEARCH("NO APLICA",IS70)))</formula>
    </cfRule>
    <cfRule type="containsText" dxfId="1651" priority="1641" operator="containsText" text="SIN">
      <formula>NOT(ISERROR(SEARCH("SIN",IS70)))</formula>
    </cfRule>
    <cfRule type="containsText" dxfId="1650" priority="1642" operator="containsText" text="EQUIPO">
      <formula>NOT(ISERROR(SEARCH("EQUIPO",IS70)))</formula>
    </cfRule>
    <cfRule type="containsText" dxfId="1649" priority="1643" operator="containsText" text="MEDICO TRADICIONAL">
      <formula>NOT(ISERROR(SEARCH("MEDICO TRADICIONAL",IS70)))</formula>
    </cfRule>
    <cfRule type="containsText" dxfId="1648" priority="1644" operator="containsText" text="PARTERA">
      <formula>NOT(ISERROR(SEARCH("PARTERA",IS70)))</formula>
    </cfRule>
    <cfRule type="containsText" dxfId="1647" priority="1645" operator="containsText" text="TÉCNICO">
      <formula>NOT(ISERROR(SEARCH("TÉCNICO",IS70)))</formula>
    </cfRule>
    <cfRule type="containsText" dxfId="1646" priority="1646" operator="containsText" text="PROFESIONAL">
      <formula>NOT(ISERROR(SEARCH("PROFESIONAL",IS70)))</formula>
    </cfRule>
  </conditionalFormatting>
  <conditionalFormatting sqref="IT70">
    <cfRule type="containsText" dxfId="1645" priority="1637" operator="containsText" text="LE HACEN CESÁREA SIN INICIO TRABAJO DE PARTO">
      <formula>NOT(ISERROR(SEARCH("LE HACEN CESÁREA SIN INICIO TRABAJO DE PARTO",IT70)))</formula>
    </cfRule>
    <cfRule type="containsText" dxfId="1644" priority="1638" operator="containsText" text="LE HACEN INDUCCIÓN">
      <formula>NOT(ISERROR(SEARCH("LE HACEN INDUCCIÓN",IT70)))</formula>
    </cfRule>
    <cfRule type="containsText" dxfId="1643" priority="1639" operator="containsText" text="ESPONTÁNEO">
      <formula>NOT(ISERROR(SEARCH("ESPONTÁNEO",IT70)))</formula>
    </cfRule>
  </conditionalFormatting>
  <conditionalFormatting sqref="IR73">
    <cfRule type="containsText" dxfId="1642" priority="1633" operator="containsText" text="NO APLICA">
      <formula>NOT(ISERROR(SEARCH("NO APLICA",IR73)))</formula>
    </cfRule>
    <cfRule type="containsText" dxfId="1641" priority="1634" operator="containsText" text="ALTA">
      <formula>NOT(ISERROR(SEARCH("ALTA",IR73)))</formula>
    </cfRule>
    <cfRule type="containsText" dxfId="1640" priority="1635" operator="containsText" text="MEDIANA">
      <formula>NOT(ISERROR(SEARCH("MEDIANA",IR73)))</formula>
    </cfRule>
    <cfRule type="containsText" dxfId="1639" priority="1636" operator="containsText" text="BAJA">
      <formula>NOT(ISERROR(SEARCH("BAJA",IR73)))</formula>
    </cfRule>
  </conditionalFormatting>
  <conditionalFormatting sqref="IS73:IT73">
    <cfRule type="containsText" dxfId="1638" priority="1626" operator="containsText" text="NO APLICA">
      <formula>NOT(ISERROR(SEARCH("NO APLICA",IS73)))</formula>
    </cfRule>
    <cfRule type="containsText" dxfId="1637" priority="1627" operator="containsText" text="SIN">
      <formula>NOT(ISERROR(SEARCH("SIN",IS73)))</formula>
    </cfRule>
    <cfRule type="containsText" dxfId="1636" priority="1628" operator="containsText" text="EQUIPO">
      <formula>NOT(ISERROR(SEARCH("EQUIPO",IS73)))</formula>
    </cfRule>
    <cfRule type="containsText" dxfId="1635" priority="1629" operator="containsText" text="MEDICO TRADICIONAL">
      <formula>NOT(ISERROR(SEARCH("MEDICO TRADICIONAL",IS73)))</formula>
    </cfRule>
    <cfRule type="containsText" dxfId="1634" priority="1630" operator="containsText" text="PARTERA">
      <formula>NOT(ISERROR(SEARCH("PARTERA",IS73)))</formula>
    </cfRule>
    <cfRule type="containsText" dxfId="1633" priority="1631" operator="containsText" text="TÉCNICO">
      <formula>NOT(ISERROR(SEARCH("TÉCNICO",IS73)))</formula>
    </cfRule>
    <cfRule type="containsText" dxfId="1632" priority="1632" operator="containsText" text="PROFESIONAL">
      <formula>NOT(ISERROR(SEARCH("PROFESIONAL",IS73)))</formula>
    </cfRule>
  </conditionalFormatting>
  <conditionalFormatting sqref="IT73">
    <cfRule type="containsText" dxfId="1631" priority="1623" operator="containsText" text="LE HACEN CESÁREA SIN INICIO TRABAJO DE PARTO">
      <formula>NOT(ISERROR(SEARCH("LE HACEN CESÁREA SIN INICIO TRABAJO DE PARTO",IT73)))</formula>
    </cfRule>
    <cfRule type="containsText" dxfId="1630" priority="1624" operator="containsText" text="LE HACEN INDUCCIÓN">
      <formula>NOT(ISERROR(SEARCH("LE HACEN INDUCCIÓN",IT73)))</formula>
    </cfRule>
    <cfRule type="containsText" dxfId="1629" priority="1625" operator="containsText" text="ESPONTÁNEO">
      <formula>NOT(ISERROR(SEARCH("ESPONTÁNEO",IT73)))</formula>
    </cfRule>
  </conditionalFormatting>
  <conditionalFormatting sqref="IR74">
    <cfRule type="containsText" dxfId="1628" priority="1619" operator="containsText" text="NO APLICA">
      <formula>NOT(ISERROR(SEARCH("NO APLICA",IR74)))</formula>
    </cfRule>
    <cfRule type="containsText" dxfId="1627" priority="1620" operator="containsText" text="ALTA">
      <formula>NOT(ISERROR(SEARCH("ALTA",IR74)))</formula>
    </cfRule>
    <cfRule type="containsText" dxfId="1626" priority="1621" operator="containsText" text="MEDIANA">
      <formula>NOT(ISERROR(SEARCH("MEDIANA",IR74)))</formula>
    </cfRule>
    <cfRule type="containsText" dxfId="1625" priority="1622" operator="containsText" text="BAJA">
      <formula>NOT(ISERROR(SEARCH("BAJA",IR74)))</formula>
    </cfRule>
  </conditionalFormatting>
  <conditionalFormatting sqref="IS74:IT74">
    <cfRule type="containsText" dxfId="1624" priority="1612" operator="containsText" text="NO APLICA">
      <formula>NOT(ISERROR(SEARCH("NO APLICA",IS74)))</formula>
    </cfRule>
    <cfRule type="containsText" dxfId="1623" priority="1613" operator="containsText" text="SIN">
      <formula>NOT(ISERROR(SEARCH("SIN",IS74)))</formula>
    </cfRule>
    <cfRule type="containsText" dxfId="1622" priority="1614" operator="containsText" text="EQUIPO">
      <formula>NOT(ISERROR(SEARCH("EQUIPO",IS74)))</formula>
    </cfRule>
    <cfRule type="containsText" dxfId="1621" priority="1615" operator="containsText" text="MEDICO TRADICIONAL">
      <formula>NOT(ISERROR(SEARCH("MEDICO TRADICIONAL",IS74)))</formula>
    </cfRule>
    <cfRule type="containsText" dxfId="1620" priority="1616" operator="containsText" text="PARTERA">
      <formula>NOT(ISERROR(SEARCH("PARTERA",IS74)))</formula>
    </cfRule>
    <cfRule type="containsText" dxfId="1619" priority="1617" operator="containsText" text="TÉCNICO">
      <formula>NOT(ISERROR(SEARCH("TÉCNICO",IS74)))</formula>
    </cfRule>
    <cfRule type="containsText" dxfId="1618" priority="1618" operator="containsText" text="PROFESIONAL">
      <formula>NOT(ISERROR(SEARCH("PROFESIONAL",IS74)))</formula>
    </cfRule>
  </conditionalFormatting>
  <conditionalFormatting sqref="IT74">
    <cfRule type="containsText" dxfId="1617" priority="1609" operator="containsText" text="LE HACEN CESÁREA SIN INICIO TRABAJO DE PARTO">
      <formula>NOT(ISERROR(SEARCH("LE HACEN CESÁREA SIN INICIO TRABAJO DE PARTO",IT74)))</formula>
    </cfRule>
    <cfRule type="containsText" dxfId="1616" priority="1610" operator="containsText" text="LE HACEN INDUCCIÓN">
      <formula>NOT(ISERROR(SEARCH("LE HACEN INDUCCIÓN",IT74)))</formula>
    </cfRule>
    <cfRule type="containsText" dxfId="1615" priority="1611" operator="containsText" text="ESPONTÁNEO">
      <formula>NOT(ISERROR(SEARCH("ESPONTÁNEO",IT74)))</formula>
    </cfRule>
  </conditionalFormatting>
  <conditionalFormatting sqref="IR75">
    <cfRule type="containsText" dxfId="1614" priority="1605" operator="containsText" text="NO APLICA">
      <formula>NOT(ISERROR(SEARCH("NO APLICA",IR75)))</formula>
    </cfRule>
    <cfRule type="containsText" dxfId="1613" priority="1606" operator="containsText" text="ALTA">
      <formula>NOT(ISERROR(SEARCH("ALTA",IR75)))</formula>
    </cfRule>
    <cfRule type="containsText" dxfId="1612" priority="1607" operator="containsText" text="MEDIANA">
      <formula>NOT(ISERROR(SEARCH("MEDIANA",IR75)))</formula>
    </cfRule>
    <cfRule type="containsText" dxfId="1611" priority="1608" operator="containsText" text="BAJA">
      <formula>NOT(ISERROR(SEARCH("BAJA",IR75)))</formula>
    </cfRule>
  </conditionalFormatting>
  <conditionalFormatting sqref="IS75:IT75">
    <cfRule type="containsText" dxfId="1610" priority="1598" operator="containsText" text="NO APLICA">
      <formula>NOT(ISERROR(SEARCH("NO APLICA",IS75)))</formula>
    </cfRule>
    <cfRule type="containsText" dxfId="1609" priority="1599" operator="containsText" text="SIN">
      <formula>NOT(ISERROR(SEARCH("SIN",IS75)))</formula>
    </cfRule>
    <cfRule type="containsText" dxfId="1608" priority="1600" operator="containsText" text="EQUIPO">
      <formula>NOT(ISERROR(SEARCH("EQUIPO",IS75)))</formula>
    </cfRule>
    <cfRule type="containsText" dxfId="1607" priority="1601" operator="containsText" text="MEDICO TRADICIONAL">
      <formula>NOT(ISERROR(SEARCH("MEDICO TRADICIONAL",IS75)))</formula>
    </cfRule>
    <cfRule type="containsText" dxfId="1606" priority="1602" operator="containsText" text="PARTERA">
      <formula>NOT(ISERROR(SEARCH("PARTERA",IS75)))</formula>
    </cfRule>
    <cfRule type="containsText" dxfId="1605" priority="1603" operator="containsText" text="TÉCNICO">
      <formula>NOT(ISERROR(SEARCH("TÉCNICO",IS75)))</formula>
    </cfRule>
    <cfRule type="containsText" dxfId="1604" priority="1604" operator="containsText" text="PROFESIONAL">
      <formula>NOT(ISERROR(SEARCH("PROFESIONAL",IS75)))</formula>
    </cfRule>
  </conditionalFormatting>
  <conditionalFormatting sqref="IT75">
    <cfRule type="containsText" dxfId="1603" priority="1595" operator="containsText" text="LE HACEN CESÁREA SIN INICIO TRABAJO DE PARTO">
      <formula>NOT(ISERROR(SEARCH("LE HACEN CESÁREA SIN INICIO TRABAJO DE PARTO",IT75)))</formula>
    </cfRule>
    <cfRule type="containsText" dxfId="1602" priority="1596" operator="containsText" text="LE HACEN INDUCCIÓN">
      <formula>NOT(ISERROR(SEARCH("LE HACEN INDUCCIÓN",IT75)))</formula>
    </cfRule>
    <cfRule type="containsText" dxfId="1601" priority="1597" operator="containsText" text="ESPONTÁNEO">
      <formula>NOT(ISERROR(SEARCH("ESPONTÁNEO",IT75)))</formula>
    </cfRule>
  </conditionalFormatting>
  <conditionalFormatting sqref="JI74">
    <cfRule type="containsText" dxfId="1600" priority="1591" operator="containsText" text="NO APLICA">
      <formula>NOT(ISERROR(SEARCH("NO APLICA",JI74)))</formula>
    </cfRule>
    <cfRule type="containsText" dxfId="1599" priority="1592" operator="containsText" text="SIN DATO">
      <formula>NOT(ISERROR(SEARCH("SIN DATO",JI74)))</formula>
    </cfRule>
    <cfRule type="containsText" dxfId="1598" priority="1593" operator="containsText" text="NO">
      <formula>NOT(ISERROR(SEARCH("NO",JI74)))</formula>
    </cfRule>
    <cfRule type="containsText" dxfId="1597" priority="1594" operator="containsText" text="SI">
      <formula>NOT(ISERROR(SEARCH("SI",JI74)))</formula>
    </cfRule>
  </conditionalFormatting>
  <conditionalFormatting sqref="IR76">
    <cfRule type="containsText" dxfId="1596" priority="1587" operator="containsText" text="NO APLICA">
      <formula>NOT(ISERROR(SEARCH("NO APLICA",IR76)))</formula>
    </cfRule>
    <cfRule type="containsText" dxfId="1595" priority="1588" operator="containsText" text="ALTA">
      <formula>NOT(ISERROR(SEARCH("ALTA",IR76)))</formula>
    </cfRule>
    <cfRule type="containsText" dxfId="1594" priority="1589" operator="containsText" text="MEDIANA">
      <formula>NOT(ISERROR(SEARCH("MEDIANA",IR76)))</formula>
    </cfRule>
    <cfRule type="containsText" dxfId="1593" priority="1590" operator="containsText" text="BAJA">
      <formula>NOT(ISERROR(SEARCH("BAJA",IR76)))</formula>
    </cfRule>
  </conditionalFormatting>
  <conditionalFormatting sqref="IS76:IT76">
    <cfRule type="containsText" dxfId="1592" priority="1580" operator="containsText" text="NO APLICA">
      <formula>NOT(ISERROR(SEARCH("NO APLICA",IS76)))</formula>
    </cfRule>
    <cfRule type="containsText" dxfId="1591" priority="1581" operator="containsText" text="SIN">
      <formula>NOT(ISERROR(SEARCH("SIN",IS76)))</formula>
    </cfRule>
    <cfRule type="containsText" dxfId="1590" priority="1582" operator="containsText" text="EQUIPO">
      <formula>NOT(ISERROR(SEARCH("EQUIPO",IS76)))</formula>
    </cfRule>
    <cfRule type="containsText" dxfId="1589" priority="1583" operator="containsText" text="MEDICO TRADICIONAL">
      <formula>NOT(ISERROR(SEARCH("MEDICO TRADICIONAL",IS76)))</formula>
    </cfRule>
    <cfRule type="containsText" dxfId="1588" priority="1584" operator="containsText" text="PARTERA">
      <formula>NOT(ISERROR(SEARCH("PARTERA",IS76)))</formula>
    </cfRule>
    <cfRule type="containsText" dxfId="1587" priority="1585" operator="containsText" text="TÉCNICO">
      <formula>NOT(ISERROR(SEARCH("TÉCNICO",IS76)))</formula>
    </cfRule>
    <cfRule type="containsText" dxfId="1586" priority="1586" operator="containsText" text="PROFESIONAL">
      <formula>NOT(ISERROR(SEARCH("PROFESIONAL",IS76)))</formula>
    </cfRule>
  </conditionalFormatting>
  <conditionalFormatting sqref="IT76">
    <cfRule type="containsText" dxfId="1585" priority="1577" operator="containsText" text="LE HACEN CESÁREA SIN INICIO TRABAJO DE PARTO">
      <formula>NOT(ISERROR(SEARCH("LE HACEN CESÁREA SIN INICIO TRABAJO DE PARTO",IT76)))</formula>
    </cfRule>
    <cfRule type="containsText" dxfId="1584" priority="1578" operator="containsText" text="LE HACEN INDUCCIÓN">
      <formula>NOT(ISERROR(SEARCH("LE HACEN INDUCCIÓN",IT76)))</formula>
    </cfRule>
    <cfRule type="containsText" dxfId="1583" priority="1579" operator="containsText" text="ESPONTÁNEO">
      <formula>NOT(ISERROR(SEARCH("ESPONTÁNEO",IT76)))</formula>
    </cfRule>
  </conditionalFormatting>
  <conditionalFormatting sqref="JI75">
    <cfRule type="containsText" dxfId="1582" priority="1573" operator="containsText" text="NO APLICA">
      <formula>NOT(ISERROR(SEARCH("NO APLICA",JI75)))</formula>
    </cfRule>
    <cfRule type="containsText" dxfId="1581" priority="1574" operator="containsText" text="SIN DATO">
      <formula>NOT(ISERROR(SEARCH("SIN DATO",JI75)))</formula>
    </cfRule>
    <cfRule type="containsText" dxfId="1580" priority="1575" operator="containsText" text="NO">
      <formula>NOT(ISERROR(SEARCH("NO",JI75)))</formula>
    </cfRule>
    <cfRule type="containsText" dxfId="1579" priority="1576" operator="containsText" text="SI">
      <formula>NOT(ISERROR(SEARCH("SI",JI75)))</formula>
    </cfRule>
  </conditionalFormatting>
  <conditionalFormatting sqref="IR77">
    <cfRule type="containsText" dxfId="1578" priority="1569" operator="containsText" text="NO APLICA">
      <formula>NOT(ISERROR(SEARCH("NO APLICA",IR77)))</formula>
    </cfRule>
    <cfRule type="containsText" dxfId="1577" priority="1570" operator="containsText" text="ALTA">
      <formula>NOT(ISERROR(SEARCH("ALTA",IR77)))</formula>
    </cfRule>
    <cfRule type="containsText" dxfId="1576" priority="1571" operator="containsText" text="MEDIANA">
      <formula>NOT(ISERROR(SEARCH("MEDIANA",IR77)))</formula>
    </cfRule>
    <cfRule type="containsText" dxfId="1575" priority="1572" operator="containsText" text="BAJA">
      <formula>NOT(ISERROR(SEARCH("BAJA",IR77)))</formula>
    </cfRule>
  </conditionalFormatting>
  <conditionalFormatting sqref="IS77:IT77">
    <cfRule type="containsText" dxfId="1574" priority="1562" operator="containsText" text="NO APLICA">
      <formula>NOT(ISERROR(SEARCH("NO APLICA",IS77)))</formula>
    </cfRule>
    <cfRule type="containsText" dxfId="1573" priority="1563" operator="containsText" text="SIN">
      <formula>NOT(ISERROR(SEARCH("SIN",IS77)))</formula>
    </cfRule>
    <cfRule type="containsText" dxfId="1572" priority="1564" operator="containsText" text="EQUIPO">
      <formula>NOT(ISERROR(SEARCH("EQUIPO",IS77)))</formula>
    </cfRule>
    <cfRule type="containsText" dxfId="1571" priority="1565" operator="containsText" text="MEDICO TRADICIONAL">
      <formula>NOT(ISERROR(SEARCH("MEDICO TRADICIONAL",IS77)))</formula>
    </cfRule>
    <cfRule type="containsText" dxfId="1570" priority="1566" operator="containsText" text="PARTERA">
      <formula>NOT(ISERROR(SEARCH("PARTERA",IS77)))</formula>
    </cfRule>
    <cfRule type="containsText" dxfId="1569" priority="1567" operator="containsText" text="TÉCNICO">
      <formula>NOT(ISERROR(SEARCH("TÉCNICO",IS77)))</formula>
    </cfRule>
    <cfRule type="containsText" dxfId="1568" priority="1568" operator="containsText" text="PROFESIONAL">
      <formula>NOT(ISERROR(SEARCH("PROFESIONAL",IS77)))</formula>
    </cfRule>
  </conditionalFormatting>
  <conditionalFormatting sqref="IT77">
    <cfRule type="containsText" dxfId="1567" priority="1559" operator="containsText" text="LE HACEN CESÁREA SIN INICIO TRABAJO DE PARTO">
      <formula>NOT(ISERROR(SEARCH("LE HACEN CESÁREA SIN INICIO TRABAJO DE PARTO",IT77)))</formula>
    </cfRule>
    <cfRule type="containsText" dxfId="1566" priority="1560" operator="containsText" text="LE HACEN INDUCCIÓN">
      <formula>NOT(ISERROR(SEARCH("LE HACEN INDUCCIÓN",IT77)))</formula>
    </cfRule>
    <cfRule type="containsText" dxfId="1565" priority="1561" operator="containsText" text="ESPONTÁNEO">
      <formula>NOT(ISERROR(SEARCH("ESPONTÁNEO",IT77)))</formula>
    </cfRule>
  </conditionalFormatting>
  <conditionalFormatting sqref="JI76">
    <cfRule type="containsText" dxfId="1564" priority="1555" operator="containsText" text="NO APLICA">
      <formula>NOT(ISERROR(SEARCH("NO APLICA",JI76)))</formula>
    </cfRule>
    <cfRule type="containsText" dxfId="1563" priority="1556" operator="containsText" text="SIN DATO">
      <formula>NOT(ISERROR(SEARCH("SIN DATO",JI76)))</formula>
    </cfRule>
    <cfRule type="containsText" dxfId="1562" priority="1557" operator="containsText" text="NO">
      <formula>NOT(ISERROR(SEARCH("NO",JI76)))</formula>
    </cfRule>
    <cfRule type="containsText" dxfId="1561" priority="1558" operator="containsText" text="SI">
      <formula>NOT(ISERROR(SEARCH("SI",JI76)))</formula>
    </cfRule>
  </conditionalFormatting>
  <conditionalFormatting sqref="IO72">
    <cfRule type="containsText" dxfId="1560" priority="1551" operator="containsText" text="NO APLICA">
      <formula>NOT(ISERROR(SEARCH("NO APLICA",IO72)))</formula>
    </cfRule>
    <cfRule type="containsText" dxfId="1559" priority="1552" operator="containsText" text="OTRO">
      <formula>NOT(ISERROR(SEARCH("OTRO",IO72)))</formula>
    </cfRule>
    <cfRule type="containsText" dxfId="1558" priority="1553" operator="containsText" text="DOMICILIO">
      <formula>NOT(ISERROR(SEARCH("DOMICILIO",IO72)))</formula>
    </cfRule>
    <cfRule type="containsText" dxfId="1557" priority="1554" operator="containsText" text="INSTITUCIONAL">
      <formula>NOT(ISERROR(SEARCH("INSTITUCIONAL",IO72)))</formula>
    </cfRule>
  </conditionalFormatting>
  <conditionalFormatting sqref="IR72">
    <cfRule type="containsText" dxfId="1556" priority="1547" operator="containsText" text="NO APLICA">
      <formula>NOT(ISERROR(SEARCH("NO APLICA",IR72)))</formula>
    </cfRule>
    <cfRule type="containsText" dxfId="1555" priority="1548" operator="containsText" text="ALTA">
      <formula>NOT(ISERROR(SEARCH("ALTA",IR72)))</formula>
    </cfRule>
    <cfRule type="containsText" dxfId="1554" priority="1549" operator="containsText" text="MEDIANA">
      <formula>NOT(ISERROR(SEARCH("MEDIANA",IR72)))</formula>
    </cfRule>
    <cfRule type="containsText" dxfId="1553" priority="1550" operator="containsText" text="BAJA">
      <formula>NOT(ISERROR(SEARCH("BAJA",IR72)))</formula>
    </cfRule>
  </conditionalFormatting>
  <conditionalFormatting sqref="IS72:IT72">
    <cfRule type="containsText" dxfId="1552" priority="1540" operator="containsText" text="NO APLICA">
      <formula>NOT(ISERROR(SEARCH("NO APLICA",IS72)))</formula>
    </cfRule>
    <cfRule type="containsText" dxfId="1551" priority="1541" operator="containsText" text="SIN">
      <formula>NOT(ISERROR(SEARCH("SIN",IS72)))</formula>
    </cfRule>
    <cfRule type="containsText" dxfId="1550" priority="1542" operator="containsText" text="EQUIPO">
      <formula>NOT(ISERROR(SEARCH("EQUIPO",IS72)))</formula>
    </cfRule>
    <cfRule type="containsText" dxfId="1549" priority="1543" operator="containsText" text="MEDICO TRADICIONAL">
      <formula>NOT(ISERROR(SEARCH("MEDICO TRADICIONAL",IS72)))</formula>
    </cfRule>
    <cfRule type="containsText" dxfId="1548" priority="1544" operator="containsText" text="PARTERA">
      <formula>NOT(ISERROR(SEARCH("PARTERA",IS72)))</formula>
    </cfRule>
    <cfRule type="containsText" dxfId="1547" priority="1545" operator="containsText" text="TÉCNICO">
      <formula>NOT(ISERROR(SEARCH("TÉCNICO",IS72)))</formula>
    </cfRule>
    <cfRule type="containsText" dxfId="1546" priority="1546" operator="containsText" text="PROFESIONAL">
      <formula>NOT(ISERROR(SEARCH("PROFESIONAL",IS72)))</formula>
    </cfRule>
  </conditionalFormatting>
  <conditionalFormatting sqref="IT72">
    <cfRule type="containsText" dxfId="1545" priority="1537" operator="containsText" text="LE HACEN CESÁREA SIN INICIO TRABAJO DE PARTO">
      <formula>NOT(ISERROR(SEARCH("LE HACEN CESÁREA SIN INICIO TRABAJO DE PARTO",IT72)))</formula>
    </cfRule>
    <cfRule type="containsText" dxfId="1544" priority="1538" operator="containsText" text="LE HACEN INDUCCIÓN">
      <formula>NOT(ISERROR(SEARCH("LE HACEN INDUCCIÓN",IT72)))</formula>
    </cfRule>
    <cfRule type="containsText" dxfId="1543" priority="1539" operator="containsText" text="ESPONTÁNEO">
      <formula>NOT(ISERROR(SEARCH("ESPONTÁNEO",IT72)))</formula>
    </cfRule>
  </conditionalFormatting>
  <conditionalFormatting sqref="JI73">
    <cfRule type="containsText" dxfId="1542" priority="1533" operator="containsText" text="NO APLICA">
      <formula>NOT(ISERROR(SEARCH("NO APLICA",JI73)))</formula>
    </cfRule>
    <cfRule type="containsText" dxfId="1541" priority="1534" operator="containsText" text="SIN DATO">
      <formula>NOT(ISERROR(SEARCH("SIN DATO",JI73)))</formula>
    </cfRule>
    <cfRule type="containsText" dxfId="1540" priority="1535" operator="containsText" text="NO">
      <formula>NOT(ISERROR(SEARCH("NO",JI73)))</formula>
    </cfRule>
    <cfRule type="containsText" dxfId="1539" priority="1536" operator="containsText" text="SI">
      <formula>NOT(ISERROR(SEARCH("SI",JI73)))</formula>
    </cfRule>
  </conditionalFormatting>
  <conditionalFormatting sqref="JI74">
    <cfRule type="containsText" dxfId="1538" priority="1529" operator="containsText" text="NO APLICA">
      <formula>NOT(ISERROR(SEARCH("NO APLICA",JI74)))</formula>
    </cfRule>
    <cfRule type="containsText" dxfId="1537" priority="1530" operator="containsText" text="SIN DATO">
      <formula>NOT(ISERROR(SEARCH("SIN DATO",JI74)))</formula>
    </cfRule>
    <cfRule type="containsText" dxfId="1536" priority="1531" operator="containsText" text="NO">
      <formula>NOT(ISERROR(SEARCH("NO",JI74)))</formula>
    </cfRule>
    <cfRule type="containsText" dxfId="1535" priority="1532" operator="containsText" text="SI">
      <formula>NOT(ISERROR(SEARCH("SI",JI74)))</formula>
    </cfRule>
  </conditionalFormatting>
  <conditionalFormatting sqref="JI75">
    <cfRule type="containsText" dxfId="1534" priority="1525" operator="containsText" text="NO APLICA">
      <formula>NOT(ISERROR(SEARCH("NO APLICA",JI75)))</formula>
    </cfRule>
    <cfRule type="containsText" dxfId="1533" priority="1526" operator="containsText" text="SIN DATO">
      <formula>NOT(ISERROR(SEARCH("SIN DATO",JI75)))</formula>
    </cfRule>
    <cfRule type="containsText" dxfId="1532" priority="1527" operator="containsText" text="NO">
      <formula>NOT(ISERROR(SEARCH("NO",JI75)))</formula>
    </cfRule>
    <cfRule type="containsText" dxfId="1531" priority="1528" operator="containsText" text="SI">
      <formula>NOT(ISERROR(SEARCH("SI",JI75)))</formula>
    </cfRule>
  </conditionalFormatting>
  <conditionalFormatting sqref="JI76">
    <cfRule type="containsText" dxfId="1530" priority="1521" operator="containsText" text="NO APLICA">
      <formula>NOT(ISERROR(SEARCH("NO APLICA",JI76)))</formula>
    </cfRule>
    <cfRule type="containsText" dxfId="1529" priority="1522" operator="containsText" text="SIN DATO">
      <formula>NOT(ISERROR(SEARCH("SIN DATO",JI76)))</formula>
    </cfRule>
    <cfRule type="containsText" dxfId="1528" priority="1523" operator="containsText" text="NO">
      <formula>NOT(ISERROR(SEARCH("NO",JI76)))</formula>
    </cfRule>
    <cfRule type="containsText" dxfId="1527" priority="1524" operator="containsText" text="SI">
      <formula>NOT(ISERROR(SEARCH("SI",JI76)))</formula>
    </cfRule>
  </conditionalFormatting>
  <conditionalFormatting sqref="JI77">
    <cfRule type="containsText" dxfId="1526" priority="1517" operator="containsText" text="NO APLICA">
      <formula>NOT(ISERROR(SEARCH("NO APLICA",JI77)))</formula>
    </cfRule>
    <cfRule type="containsText" dxfId="1525" priority="1518" operator="containsText" text="SIN DATO">
      <formula>NOT(ISERROR(SEARCH("SIN DATO",JI77)))</formula>
    </cfRule>
    <cfRule type="containsText" dxfId="1524" priority="1519" operator="containsText" text="NO">
      <formula>NOT(ISERROR(SEARCH("NO",JI77)))</formula>
    </cfRule>
    <cfRule type="containsText" dxfId="1523" priority="1520" operator="containsText" text="SI">
      <formula>NOT(ISERROR(SEARCH("SI",JI77)))</formula>
    </cfRule>
  </conditionalFormatting>
  <conditionalFormatting sqref="IR79">
    <cfRule type="containsText" dxfId="1522" priority="1513" operator="containsText" text="NO APLICA">
      <formula>NOT(ISERROR(SEARCH("NO APLICA",IR79)))</formula>
    </cfRule>
    <cfRule type="containsText" dxfId="1521" priority="1514" operator="containsText" text="ALTA">
      <formula>NOT(ISERROR(SEARCH("ALTA",IR79)))</formula>
    </cfRule>
    <cfRule type="containsText" dxfId="1520" priority="1515" operator="containsText" text="MEDIANA">
      <formula>NOT(ISERROR(SEARCH("MEDIANA",IR79)))</formula>
    </cfRule>
    <cfRule type="containsText" dxfId="1519" priority="1516" operator="containsText" text="BAJA">
      <formula>NOT(ISERROR(SEARCH("BAJA",IR79)))</formula>
    </cfRule>
  </conditionalFormatting>
  <conditionalFormatting sqref="IS79:IT79">
    <cfRule type="containsText" dxfId="1518" priority="1506" operator="containsText" text="NO APLICA">
      <formula>NOT(ISERROR(SEARCH("NO APLICA",IS79)))</formula>
    </cfRule>
    <cfRule type="containsText" dxfId="1517" priority="1507" operator="containsText" text="SIN">
      <formula>NOT(ISERROR(SEARCH("SIN",IS79)))</formula>
    </cfRule>
    <cfRule type="containsText" dxfId="1516" priority="1508" operator="containsText" text="EQUIPO">
      <formula>NOT(ISERROR(SEARCH("EQUIPO",IS79)))</formula>
    </cfRule>
    <cfRule type="containsText" dxfId="1515" priority="1509" operator="containsText" text="MEDICO TRADICIONAL">
      <formula>NOT(ISERROR(SEARCH("MEDICO TRADICIONAL",IS79)))</formula>
    </cfRule>
    <cfRule type="containsText" dxfId="1514" priority="1510" operator="containsText" text="PARTERA">
      <formula>NOT(ISERROR(SEARCH("PARTERA",IS79)))</formula>
    </cfRule>
    <cfRule type="containsText" dxfId="1513" priority="1511" operator="containsText" text="TÉCNICO">
      <formula>NOT(ISERROR(SEARCH("TÉCNICO",IS79)))</formula>
    </cfRule>
    <cfRule type="containsText" dxfId="1512" priority="1512" operator="containsText" text="PROFESIONAL">
      <formula>NOT(ISERROR(SEARCH("PROFESIONAL",IS79)))</formula>
    </cfRule>
  </conditionalFormatting>
  <conditionalFormatting sqref="IT79">
    <cfRule type="containsText" dxfId="1511" priority="1503" operator="containsText" text="LE HACEN CESÁREA SIN INICIO TRABAJO DE PARTO">
      <formula>NOT(ISERROR(SEARCH("LE HACEN CESÁREA SIN INICIO TRABAJO DE PARTO",IT79)))</formula>
    </cfRule>
    <cfRule type="containsText" dxfId="1510" priority="1504" operator="containsText" text="LE HACEN INDUCCIÓN">
      <formula>NOT(ISERROR(SEARCH("LE HACEN INDUCCIÓN",IT79)))</formula>
    </cfRule>
    <cfRule type="containsText" dxfId="1509" priority="1505" operator="containsText" text="ESPONTÁNEO">
      <formula>NOT(ISERROR(SEARCH("ESPONTÁNEO",IT79)))</formula>
    </cfRule>
  </conditionalFormatting>
  <conditionalFormatting sqref="JI79">
    <cfRule type="containsText" dxfId="1508" priority="1499" operator="containsText" text="NO APLICA">
      <formula>NOT(ISERROR(SEARCH("NO APLICA",JI79)))</formula>
    </cfRule>
    <cfRule type="containsText" dxfId="1507" priority="1500" operator="containsText" text="SIN DATO">
      <formula>NOT(ISERROR(SEARCH("SIN DATO",JI79)))</formula>
    </cfRule>
    <cfRule type="containsText" dxfId="1506" priority="1501" operator="containsText" text="NO">
      <formula>NOT(ISERROR(SEARCH("NO",JI79)))</formula>
    </cfRule>
    <cfRule type="containsText" dxfId="1505" priority="1502" operator="containsText" text="SI">
      <formula>NOT(ISERROR(SEARCH("SI",JI79)))</formula>
    </cfRule>
  </conditionalFormatting>
  <conditionalFormatting sqref="JI79">
    <cfRule type="containsText" dxfId="1504" priority="1495" operator="containsText" text="NO APLICA">
      <formula>NOT(ISERROR(SEARCH("NO APLICA",JI79)))</formula>
    </cfRule>
    <cfRule type="containsText" dxfId="1503" priority="1496" operator="containsText" text="SIN DATO">
      <formula>NOT(ISERROR(SEARCH("SIN DATO",JI79)))</formula>
    </cfRule>
    <cfRule type="containsText" dxfId="1502" priority="1497" operator="containsText" text="NO">
      <formula>NOT(ISERROR(SEARCH("NO",JI79)))</formula>
    </cfRule>
    <cfRule type="containsText" dxfId="1501" priority="1498" operator="containsText" text="SI">
      <formula>NOT(ISERROR(SEARCH("SI",JI79)))</formula>
    </cfRule>
  </conditionalFormatting>
  <conditionalFormatting sqref="IR80">
    <cfRule type="containsText" dxfId="1500" priority="1491" operator="containsText" text="NO APLICA">
      <formula>NOT(ISERROR(SEARCH("NO APLICA",IR80)))</formula>
    </cfRule>
    <cfRule type="containsText" dxfId="1499" priority="1492" operator="containsText" text="ALTA">
      <formula>NOT(ISERROR(SEARCH("ALTA",IR80)))</formula>
    </cfRule>
    <cfRule type="containsText" dxfId="1498" priority="1493" operator="containsText" text="MEDIANA">
      <formula>NOT(ISERROR(SEARCH("MEDIANA",IR80)))</formula>
    </cfRule>
    <cfRule type="containsText" dxfId="1497" priority="1494" operator="containsText" text="BAJA">
      <formula>NOT(ISERROR(SEARCH("BAJA",IR80)))</formula>
    </cfRule>
  </conditionalFormatting>
  <conditionalFormatting sqref="IS80:IT80">
    <cfRule type="containsText" dxfId="1496" priority="1484" operator="containsText" text="NO APLICA">
      <formula>NOT(ISERROR(SEARCH("NO APLICA",IS80)))</formula>
    </cfRule>
    <cfRule type="containsText" dxfId="1495" priority="1485" operator="containsText" text="SIN">
      <formula>NOT(ISERROR(SEARCH("SIN",IS80)))</formula>
    </cfRule>
    <cfRule type="containsText" dxfId="1494" priority="1486" operator="containsText" text="EQUIPO">
      <formula>NOT(ISERROR(SEARCH("EQUIPO",IS80)))</formula>
    </cfRule>
    <cfRule type="containsText" dxfId="1493" priority="1487" operator="containsText" text="MEDICO TRADICIONAL">
      <formula>NOT(ISERROR(SEARCH("MEDICO TRADICIONAL",IS80)))</formula>
    </cfRule>
    <cfRule type="containsText" dxfId="1492" priority="1488" operator="containsText" text="PARTERA">
      <formula>NOT(ISERROR(SEARCH("PARTERA",IS80)))</formula>
    </cfRule>
    <cfRule type="containsText" dxfId="1491" priority="1489" operator="containsText" text="TÉCNICO">
      <formula>NOT(ISERROR(SEARCH("TÉCNICO",IS80)))</formula>
    </cfRule>
    <cfRule type="containsText" dxfId="1490" priority="1490" operator="containsText" text="PROFESIONAL">
      <formula>NOT(ISERROR(SEARCH("PROFESIONAL",IS80)))</formula>
    </cfRule>
  </conditionalFormatting>
  <conditionalFormatting sqref="IT80">
    <cfRule type="containsText" dxfId="1489" priority="1481" operator="containsText" text="LE HACEN CESÁREA SIN INICIO TRABAJO DE PARTO">
      <formula>NOT(ISERROR(SEARCH("LE HACEN CESÁREA SIN INICIO TRABAJO DE PARTO",IT80)))</formula>
    </cfRule>
    <cfRule type="containsText" dxfId="1488" priority="1482" operator="containsText" text="LE HACEN INDUCCIÓN">
      <formula>NOT(ISERROR(SEARCH("LE HACEN INDUCCIÓN",IT80)))</formula>
    </cfRule>
    <cfRule type="containsText" dxfId="1487" priority="1483" operator="containsText" text="ESPONTÁNEO">
      <formula>NOT(ISERROR(SEARCH("ESPONTÁNEO",IT80)))</formula>
    </cfRule>
  </conditionalFormatting>
  <conditionalFormatting sqref="IR81">
    <cfRule type="containsText" dxfId="1486" priority="1477" operator="containsText" text="NO APLICA">
      <formula>NOT(ISERROR(SEARCH("NO APLICA",IR81)))</formula>
    </cfRule>
    <cfRule type="containsText" dxfId="1485" priority="1478" operator="containsText" text="ALTA">
      <formula>NOT(ISERROR(SEARCH("ALTA",IR81)))</formula>
    </cfRule>
    <cfRule type="containsText" dxfId="1484" priority="1479" operator="containsText" text="MEDIANA">
      <formula>NOT(ISERROR(SEARCH("MEDIANA",IR81)))</formula>
    </cfRule>
    <cfRule type="containsText" dxfId="1483" priority="1480" operator="containsText" text="BAJA">
      <formula>NOT(ISERROR(SEARCH("BAJA",IR81)))</formula>
    </cfRule>
  </conditionalFormatting>
  <conditionalFormatting sqref="IS81:IT81">
    <cfRule type="containsText" dxfId="1482" priority="1470" operator="containsText" text="NO APLICA">
      <formula>NOT(ISERROR(SEARCH("NO APLICA",IS81)))</formula>
    </cfRule>
    <cfRule type="containsText" dxfId="1481" priority="1471" operator="containsText" text="SIN">
      <formula>NOT(ISERROR(SEARCH("SIN",IS81)))</formula>
    </cfRule>
    <cfRule type="containsText" dxfId="1480" priority="1472" operator="containsText" text="EQUIPO">
      <formula>NOT(ISERROR(SEARCH("EQUIPO",IS81)))</formula>
    </cfRule>
    <cfRule type="containsText" dxfId="1479" priority="1473" operator="containsText" text="MEDICO TRADICIONAL">
      <formula>NOT(ISERROR(SEARCH("MEDICO TRADICIONAL",IS81)))</formula>
    </cfRule>
    <cfRule type="containsText" dxfId="1478" priority="1474" operator="containsText" text="PARTERA">
      <formula>NOT(ISERROR(SEARCH("PARTERA",IS81)))</formula>
    </cfRule>
    <cfRule type="containsText" dxfId="1477" priority="1475" operator="containsText" text="TÉCNICO">
      <formula>NOT(ISERROR(SEARCH("TÉCNICO",IS81)))</formula>
    </cfRule>
    <cfRule type="containsText" dxfId="1476" priority="1476" operator="containsText" text="PROFESIONAL">
      <formula>NOT(ISERROR(SEARCH("PROFESIONAL",IS81)))</formula>
    </cfRule>
  </conditionalFormatting>
  <conditionalFormatting sqref="IT81">
    <cfRule type="containsText" dxfId="1475" priority="1467" operator="containsText" text="LE HACEN CESÁREA SIN INICIO TRABAJO DE PARTO">
      <formula>NOT(ISERROR(SEARCH("LE HACEN CESÁREA SIN INICIO TRABAJO DE PARTO",IT81)))</formula>
    </cfRule>
    <cfRule type="containsText" dxfId="1474" priority="1468" operator="containsText" text="LE HACEN INDUCCIÓN">
      <formula>NOT(ISERROR(SEARCH("LE HACEN INDUCCIÓN",IT81)))</formula>
    </cfRule>
    <cfRule type="containsText" dxfId="1473" priority="1469" operator="containsText" text="ESPONTÁNEO">
      <formula>NOT(ISERROR(SEARCH("ESPONTÁNEO",IT81)))</formula>
    </cfRule>
  </conditionalFormatting>
  <conditionalFormatting sqref="IR82">
    <cfRule type="containsText" dxfId="1472" priority="1463" operator="containsText" text="NO APLICA">
      <formula>NOT(ISERROR(SEARCH("NO APLICA",IR82)))</formula>
    </cfRule>
    <cfRule type="containsText" dxfId="1471" priority="1464" operator="containsText" text="ALTA">
      <formula>NOT(ISERROR(SEARCH("ALTA",IR82)))</formula>
    </cfRule>
    <cfRule type="containsText" dxfId="1470" priority="1465" operator="containsText" text="MEDIANA">
      <formula>NOT(ISERROR(SEARCH("MEDIANA",IR82)))</formula>
    </cfRule>
    <cfRule type="containsText" dxfId="1469" priority="1466" operator="containsText" text="BAJA">
      <formula>NOT(ISERROR(SEARCH("BAJA",IR82)))</formula>
    </cfRule>
  </conditionalFormatting>
  <conditionalFormatting sqref="IS82:IT82">
    <cfRule type="containsText" dxfId="1468" priority="1456" operator="containsText" text="NO APLICA">
      <formula>NOT(ISERROR(SEARCH("NO APLICA",IS82)))</formula>
    </cfRule>
    <cfRule type="containsText" dxfId="1467" priority="1457" operator="containsText" text="SIN">
      <formula>NOT(ISERROR(SEARCH("SIN",IS82)))</formula>
    </cfRule>
    <cfRule type="containsText" dxfId="1466" priority="1458" operator="containsText" text="EQUIPO">
      <formula>NOT(ISERROR(SEARCH("EQUIPO",IS82)))</formula>
    </cfRule>
    <cfRule type="containsText" dxfId="1465" priority="1459" operator="containsText" text="MEDICO TRADICIONAL">
      <formula>NOT(ISERROR(SEARCH("MEDICO TRADICIONAL",IS82)))</formula>
    </cfRule>
    <cfRule type="containsText" dxfId="1464" priority="1460" operator="containsText" text="PARTERA">
      <formula>NOT(ISERROR(SEARCH("PARTERA",IS82)))</formula>
    </cfRule>
    <cfRule type="containsText" dxfId="1463" priority="1461" operator="containsText" text="TÉCNICO">
      <formula>NOT(ISERROR(SEARCH("TÉCNICO",IS82)))</formula>
    </cfRule>
    <cfRule type="containsText" dxfId="1462" priority="1462" operator="containsText" text="PROFESIONAL">
      <formula>NOT(ISERROR(SEARCH("PROFESIONAL",IS82)))</formula>
    </cfRule>
  </conditionalFormatting>
  <conditionalFormatting sqref="IT82">
    <cfRule type="containsText" dxfId="1461" priority="1453" operator="containsText" text="LE HACEN CESÁREA SIN INICIO TRABAJO DE PARTO">
      <formula>NOT(ISERROR(SEARCH("LE HACEN CESÁREA SIN INICIO TRABAJO DE PARTO",IT82)))</formula>
    </cfRule>
    <cfRule type="containsText" dxfId="1460" priority="1454" operator="containsText" text="LE HACEN INDUCCIÓN">
      <formula>NOT(ISERROR(SEARCH("LE HACEN INDUCCIÓN",IT82)))</formula>
    </cfRule>
    <cfRule type="containsText" dxfId="1459" priority="1455" operator="containsText" text="ESPONTÁNEO">
      <formula>NOT(ISERROR(SEARCH("ESPONTÁNEO",IT82)))</formula>
    </cfRule>
  </conditionalFormatting>
  <conditionalFormatting sqref="JI82">
    <cfRule type="containsText" dxfId="1458" priority="1449" operator="containsText" text="NO APLICA">
      <formula>NOT(ISERROR(SEARCH("NO APLICA",JI82)))</formula>
    </cfRule>
    <cfRule type="containsText" dxfId="1457" priority="1450" operator="containsText" text="SIN DATO">
      <formula>NOT(ISERROR(SEARCH("SIN DATO",JI82)))</formula>
    </cfRule>
    <cfRule type="containsText" dxfId="1456" priority="1451" operator="containsText" text="NO">
      <formula>NOT(ISERROR(SEARCH("NO",JI82)))</formula>
    </cfRule>
    <cfRule type="containsText" dxfId="1455" priority="1452" operator="containsText" text="SI">
      <formula>NOT(ISERROR(SEARCH("SI",JI82)))</formula>
    </cfRule>
  </conditionalFormatting>
  <conditionalFormatting sqref="JI82">
    <cfRule type="containsText" dxfId="1454" priority="1445" operator="containsText" text="NO APLICA">
      <formula>NOT(ISERROR(SEARCH("NO APLICA",JI82)))</formula>
    </cfRule>
    <cfRule type="containsText" dxfId="1453" priority="1446" operator="containsText" text="SIN DATO">
      <formula>NOT(ISERROR(SEARCH("SIN DATO",JI82)))</formula>
    </cfRule>
    <cfRule type="containsText" dxfId="1452" priority="1447" operator="containsText" text="NO">
      <formula>NOT(ISERROR(SEARCH("NO",JI82)))</formula>
    </cfRule>
    <cfRule type="containsText" dxfId="1451" priority="1448" operator="containsText" text="SI">
      <formula>NOT(ISERROR(SEARCH("SI",JI82)))</formula>
    </cfRule>
  </conditionalFormatting>
  <conditionalFormatting sqref="IR83">
    <cfRule type="containsText" dxfId="1450" priority="1441" operator="containsText" text="NO APLICA">
      <formula>NOT(ISERROR(SEARCH("NO APLICA",IR83)))</formula>
    </cfRule>
    <cfRule type="containsText" dxfId="1449" priority="1442" operator="containsText" text="ALTA">
      <formula>NOT(ISERROR(SEARCH("ALTA",IR83)))</formula>
    </cfRule>
    <cfRule type="containsText" dxfId="1448" priority="1443" operator="containsText" text="MEDIANA">
      <formula>NOT(ISERROR(SEARCH("MEDIANA",IR83)))</formula>
    </cfRule>
    <cfRule type="containsText" dxfId="1447" priority="1444" operator="containsText" text="BAJA">
      <formula>NOT(ISERROR(SEARCH("BAJA",IR83)))</formula>
    </cfRule>
  </conditionalFormatting>
  <conditionalFormatting sqref="IS83:IT83">
    <cfRule type="containsText" dxfId="1446" priority="1434" operator="containsText" text="NO APLICA">
      <formula>NOT(ISERROR(SEARCH("NO APLICA",IS83)))</formula>
    </cfRule>
    <cfRule type="containsText" dxfId="1445" priority="1435" operator="containsText" text="SIN">
      <formula>NOT(ISERROR(SEARCH("SIN",IS83)))</formula>
    </cfRule>
    <cfRule type="containsText" dxfId="1444" priority="1436" operator="containsText" text="EQUIPO">
      <formula>NOT(ISERROR(SEARCH("EQUIPO",IS83)))</formula>
    </cfRule>
    <cfRule type="containsText" dxfId="1443" priority="1437" operator="containsText" text="MEDICO TRADICIONAL">
      <formula>NOT(ISERROR(SEARCH("MEDICO TRADICIONAL",IS83)))</formula>
    </cfRule>
    <cfRule type="containsText" dxfId="1442" priority="1438" operator="containsText" text="PARTERA">
      <formula>NOT(ISERROR(SEARCH("PARTERA",IS83)))</formula>
    </cfRule>
    <cfRule type="containsText" dxfId="1441" priority="1439" operator="containsText" text="TÉCNICO">
      <formula>NOT(ISERROR(SEARCH("TÉCNICO",IS83)))</formula>
    </cfRule>
    <cfRule type="containsText" dxfId="1440" priority="1440" operator="containsText" text="PROFESIONAL">
      <formula>NOT(ISERROR(SEARCH("PROFESIONAL",IS83)))</formula>
    </cfRule>
  </conditionalFormatting>
  <conditionalFormatting sqref="IT83">
    <cfRule type="containsText" dxfId="1439" priority="1431" operator="containsText" text="LE HACEN CESÁREA SIN INICIO TRABAJO DE PARTO">
      <formula>NOT(ISERROR(SEARCH("LE HACEN CESÁREA SIN INICIO TRABAJO DE PARTO",IT83)))</formula>
    </cfRule>
    <cfRule type="containsText" dxfId="1438" priority="1432" operator="containsText" text="LE HACEN INDUCCIÓN">
      <formula>NOT(ISERROR(SEARCH("LE HACEN INDUCCIÓN",IT83)))</formula>
    </cfRule>
    <cfRule type="containsText" dxfId="1437" priority="1433" operator="containsText" text="ESPONTÁNEO">
      <formula>NOT(ISERROR(SEARCH("ESPONTÁNEO",IT83)))</formula>
    </cfRule>
  </conditionalFormatting>
  <conditionalFormatting sqref="JI83">
    <cfRule type="containsText" dxfId="1436" priority="1427" operator="containsText" text="NO APLICA">
      <formula>NOT(ISERROR(SEARCH("NO APLICA",JI83)))</formula>
    </cfRule>
    <cfRule type="containsText" dxfId="1435" priority="1428" operator="containsText" text="SIN DATO">
      <formula>NOT(ISERROR(SEARCH("SIN DATO",JI83)))</formula>
    </cfRule>
    <cfRule type="containsText" dxfId="1434" priority="1429" operator="containsText" text="NO">
      <formula>NOT(ISERROR(SEARCH("NO",JI83)))</formula>
    </cfRule>
    <cfRule type="containsText" dxfId="1433" priority="1430" operator="containsText" text="SI">
      <formula>NOT(ISERROR(SEARCH("SI",JI83)))</formula>
    </cfRule>
  </conditionalFormatting>
  <conditionalFormatting sqref="JI83">
    <cfRule type="containsText" dxfId="1432" priority="1423" operator="containsText" text="NO APLICA">
      <formula>NOT(ISERROR(SEARCH("NO APLICA",JI83)))</formula>
    </cfRule>
    <cfRule type="containsText" dxfId="1431" priority="1424" operator="containsText" text="SIN DATO">
      <formula>NOT(ISERROR(SEARCH("SIN DATO",JI83)))</formula>
    </cfRule>
    <cfRule type="containsText" dxfId="1430" priority="1425" operator="containsText" text="NO">
      <formula>NOT(ISERROR(SEARCH("NO",JI83)))</formula>
    </cfRule>
    <cfRule type="containsText" dxfId="1429" priority="1426" operator="containsText" text="SI">
      <formula>NOT(ISERROR(SEARCH("SI",JI83)))</formula>
    </cfRule>
  </conditionalFormatting>
  <conditionalFormatting sqref="IR84">
    <cfRule type="containsText" dxfId="1428" priority="1419" operator="containsText" text="NO APLICA">
      <formula>NOT(ISERROR(SEARCH("NO APLICA",IR84)))</formula>
    </cfRule>
    <cfRule type="containsText" dxfId="1427" priority="1420" operator="containsText" text="ALTA">
      <formula>NOT(ISERROR(SEARCH("ALTA",IR84)))</formula>
    </cfRule>
    <cfRule type="containsText" dxfId="1426" priority="1421" operator="containsText" text="MEDIANA">
      <formula>NOT(ISERROR(SEARCH("MEDIANA",IR84)))</formula>
    </cfRule>
    <cfRule type="containsText" dxfId="1425" priority="1422" operator="containsText" text="BAJA">
      <formula>NOT(ISERROR(SEARCH("BAJA",IR84)))</formula>
    </cfRule>
  </conditionalFormatting>
  <conditionalFormatting sqref="IS84:IT84">
    <cfRule type="containsText" dxfId="1424" priority="1412" operator="containsText" text="NO APLICA">
      <formula>NOT(ISERROR(SEARCH("NO APLICA",IS84)))</formula>
    </cfRule>
    <cfRule type="containsText" dxfId="1423" priority="1413" operator="containsText" text="SIN">
      <formula>NOT(ISERROR(SEARCH("SIN",IS84)))</formula>
    </cfRule>
    <cfRule type="containsText" dxfId="1422" priority="1414" operator="containsText" text="EQUIPO">
      <formula>NOT(ISERROR(SEARCH("EQUIPO",IS84)))</formula>
    </cfRule>
    <cfRule type="containsText" dxfId="1421" priority="1415" operator="containsText" text="MEDICO TRADICIONAL">
      <formula>NOT(ISERROR(SEARCH("MEDICO TRADICIONAL",IS84)))</formula>
    </cfRule>
    <cfRule type="containsText" dxfId="1420" priority="1416" operator="containsText" text="PARTERA">
      <formula>NOT(ISERROR(SEARCH("PARTERA",IS84)))</formula>
    </cfRule>
    <cfRule type="containsText" dxfId="1419" priority="1417" operator="containsText" text="TÉCNICO">
      <formula>NOT(ISERROR(SEARCH("TÉCNICO",IS84)))</formula>
    </cfRule>
    <cfRule type="containsText" dxfId="1418" priority="1418" operator="containsText" text="PROFESIONAL">
      <formula>NOT(ISERROR(SEARCH("PROFESIONAL",IS84)))</formula>
    </cfRule>
  </conditionalFormatting>
  <conditionalFormatting sqref="IT84">
    <cfRule type="containsText" dxfId="1417" priority="1409" operator="containsText" text="LE HACEN CESÁREA SIN INICIO TRABAJO DE PARTO">
      <formula>NOT(ISERROR(SEARCH("LE HACEN CESÁREA SIN INICIO TRABAJO DE PARTO",IT84)))</formula>
    </cfRule>
    <cfRule type="containsText" dxfId="1416" priority="1410" operator="containsText" text="LE HACEN INDUCCIÓN">
      <formula>NOT(ISERROR(SEARCH("LE HACEN INDUCCIÓN",IT84)))</formula>
    </cfRule>
    <cfRule type="containsText" dxfId="1415" priority="1411" operator="containsText" text="ESPONTÁNEO">
      <formula>NOT(ISERROR(SEARCH("ESPONTÁNEO",IT84)))</formula>
    </cfRule>
  </conditionalFormatting>
  <conditionalFormatting sqref="IR86">
    <cfRule type="containsText" dxfId="1414" priority="1405" operator="containsText" text="NO APLICA">
      <formula>NOT(ISERROR(SEARCH("NO APLICA",IR86)))</formula>
    </cfRule>
    <cfRule type="containsText" dxfId="1413" priority="1406" operator="containsText" text="ALTA">
      <formula>NOT(ISERROR(SEARCH("ALTA",IR86)))</formula>
    </cfRule>
    <cfRule type="containsText" dxfId="1412" priority="1407" operator="containsText" text="MEDIANA">
      <formula>NOT(ISERROR(SEARCH("MEDIANA",IR86)))</formula>
    </cfRule>
    <cfRule type="containsText" dxfId="1411" priority="1408" operator="containsText" text="BAJA">
      <formula>NOT(ISERROR(SEARCH("BAJA",IR86)))</formula>
    </cfRule>
  </conditionalFormatting>
  <conditionalFormatting sqref="IS86:IT86">
    <cfRule type="containsText" dxfId="1410" priority="1398" operator="containsText" text="NO APLICA">
      <formula>NOT(ISERROR(SEARCH("NO APLICA",IS86)))</formula>
    </cfRule>
    <cfRule type="containsText" dxfId="1409" priority="1399" operator="containsText" text="SIN">
      <formula>NOT(ISERROR(SEARCH("SIN",IS86)))</formula>
    </cfRule>
    <cfRule type="containsText" dxfId="1408" priority="1400" operator="containsText" text="EQUIPO">
      <formula>NOT(ISERROR(SEARCH("EQUIPO",IS86)))</formula>
    </cfRule>
    <cfRule type="containsText" dxfId="1407" priority="1401" operator="containsText" text="MEDICO TRADICIONAL">
      <formula>NOT(ISERROR(SEARCH("MEDICO TRADICIONAL",IS86)))</formula>
    </cfRule>
    <cfRule type="containsText" dxfId="1406" priority="1402" operator="containsText" text="PARTERA">
      <formula>NOT(ISERROR(SEARCH("PARTERA",IS86)))</formula>
    </cfRule>
    <cfRule type="containsText" dxfId="1405" priority="1403" operator="containsText" text="TÉCNICO">
      <formula>NOT(ISERROR(SEARCH("TÉCNICO",IS86)))</formula>
    </cfRule>
    <cfRule type="containsText" dxfId="1404" priority="1404" operator="containsText" text="PROFESIONAL">
      <formula>NOT(ISERROR(SEARCH("PROFESIONAL",IS86)))</formula>
    </cfRule>
  </conditionalFormatting>
  <conditionalFormatting sqref="IT86">
    <cfRule type="containsText" dxfId="1403" priority="1395" operator="containsText" text="LE HACEN CESÁREA SIN INICIO TRABAJO DE PARTO">
      <formula>NOT(ISERROR(SEARCH("LE HACEN CESÁREA SIN INICIO TRABAJO DE PARTO",IT86)))</formula>
    </cfRule>
    <cfRule type="containsText" dxfId="1402" priority="1396" operator="containsText" text="LE HACEN INDUCCIÓN">
      <formula>NOT(ISERROR(SEARCH("LE HACEN INDUCCIÓN",IT86)))</formula>
    </cfRule>
    <cfRule type="containsText" dxfId="1401" priority="1397" operator="containsText" text="ESPONTÁNEO">
      <formula>NOT(ISERROR(SEARCH("ESPONTÁNEO",IT86)))</formula>
    </cfRule>
  </conditionalFormatting>
  <conditionalFormatting sqref="JI86">
    <cfRule type="containsText" dxfId="1400" priority="1391" operator="containsText" text="NO APLICA">
      <formula>NOT(ISERROR(SEARCH("NO APLICA",JI86)))</formula>
    </cfRule>
    <cfRule type="containsText" dxfId="1399" priority="1392" operator="containsText" text="SIN DATO">
      <formula>NOT(ISERROR(SEARCH("SIN DATO",JI86)))</formula>
    </cfRule>
    <cfRule type="containsText" dxfId="1398" priority="1393" operator="containsText" text="NO">
      <formula>NOT(ISERROR(SEARCH("NO",JI86)))</formula>
    </cfRule>
    <cfRule type="containsText" dxfId="1397" priority="1394" operator="containsText" text="SI">
      <formula>NOT(ISERROR(SEARCH("SI",JI86)))</formula>
    </cfRule>
  </conditionalFormatting>
  <conditionalFormatting sqref="JI86">
    <cfRule type="containsText" dxfId="1396" priority="1387" operator="containsText" text="NO APLICA">
      <formula>NOT(ISERROR(SEARCH("NO APLICA",JI86)))</formula>
    </cfRule>
    <cfRule type="containsText" dxfId="1395" priority="1388" operator="containsText" text="SIN DATO">
      <formula>NOT(ISERROR(SEARCH("SIN DATO",JI86)))</formula>
    </cfRule>
    <cfRule type="containsText" dxfId="1394" priority="1389" operator="containsText" text="NO">
      <formula>NOT(ISERROR(SEARCH("NO",JI86)))</formula>
    </cfRule>
    <cfRule type="containsText" dxfId="1393" priority="1390" operator="containsText" text="SI">
      <formula>NOT(ISERROR(SEARCH("SI",JI86)))</formula>
    </cfRule>
  </conditionalFormatting>
  <conditionalFormatting sqref="IR87">
    <cfRule type="containsText" dxfId="1392" priority="1383" operator="containsText" text="NO APLICA">
      <formula>NOT(ISERROR(SEARCH("NO APLICA",IR87)))</formula>
    </cfRule>
    <cfRule type="containsText" dxfId="1391" priority="1384" operator="containsText" text="ALTA">
      <formula>NOT(ISERROR(SEARCH("ALTA",IR87)))</formula>
    </cfRule>
    <cfRule type="containsText" dxfId="1390" priority="1385" operator="containsText" text="MEDIANA">
      <formula>NOT(ISERROR(SEARCH("MEDIANA",IR87)))</formula>
    </cfRule>
    <cfRule type="containsText" dxfId="1389" priority="1386" operator="containsText" text="BAJA">
      <formula>NOT(ISERROR(SEARCH("BAJA",IR87)))</formula>
    </cfRule>
  </conditionalFormatting>
  <conditionalFormatting sqref="IS87:IT87">
    <cfRule type="containsText" dxfId="1388" priority="1376" operator="containsText" text="NO APLICA">
      <formula>NOT(ISERROR(SEARCH("NO APLICA",IS87)))</formula>
    </cfRule>
    <cfRule type="containsText" dxfId="1387" priority="1377" operator="containsText" text="SIN">
      <formula>NOT(ISERROR(SEARCH("SIN",IS87)))</formula>
    </cfRule>
    <cfRule type="containsText" dxfId="1386" priority="1378" operator="containsText" text="EQUIPO">
      <formula>NOT(ISERROR(SEARCH("EQUIPO",IS87)))</formula>
    </cfRule>
    <cfRule type="containsText" dxfId="1385" priority="1379" operator="containsText" text="MEDICO TRADICIONAL">
      <formula>NOT(ISERROR(SEARCH("MEDICO TRADICIONAL",IS87)))</formula>
    </cfRule>
    <cfRule type="containsText" dxfId="1384" priority="1380" operator="containsText" text="PARTERA">
      <formula>NOT(ISERROR(SEARCH("PARTERA",IS87)))</formula>
    </cfRule>
    <cfRule type="containsText" dxfId="1383" priority="1381" operator="containsText" text="TÉCNICO">
      <formula>NOT(ISERROR(SEARCH("TÉCNICO",IS87)))</formula>
    </cfRule>
    <cfRule type="containsText" dxfId="1382" priority="1382" operator="containsText" text="PROFESIONAL">
      <formula>NOT(ISERROR(SEARCH("PROFESIONAL",IS87)))</formula>
    </cfRule>
  </conditionalFormatting>
  <conditionalFormatting sqref="IT87">
    <cfRule type="containsText" dxfId="1381" priority="1373" operator="containsText" text="LE HACEN CESÁREA SIN INICIO TRABAJO DE PARTO">
      <formula>NOT(ISERROR(SEARCH("LE HACEN CESÁREA SIN INICIO TRABAJO DE PARTO",IT87)))</formula>
    </cfRule>
    <cfRule type="containsText" dxfId="1380" priority="1374" operator="containsText" text="LE HACEN INDUCCIÓN">
      <formula>NOT(ISERROR(SEARCH("LE HACEN INDUCCIÓN",IT87)))</formula>
    </cfRule>
    <cfRule type="containsText" dxfId="1379" priority="1375" operator="containsText" text="ESPONTÁNEO">
      <formula>NOT(ISERROR(SEARCH("ESPONTÁNEO",IT87)))</formula>
    </cfRule>
  </conditionalFormatting>
  <conditionalFormatting sqref="JI87">
    <cfRule type="containsText" dxfId="1378" priority="1369" operator="containsText" text="NO APLICA">
      <formula>NOT(ISERROR(SEARCH("NO APLICA",JI87)))</formula>
    </cfRule>
    <cfRule type="containsText" dxfId="1377" priority="1370" operator="containsText" text="SIN DATO">
      <formula>NOT(ISERROR(SEARCH("SIN DATO",JI87)))</formula>
    </cfRule>
    <cfRule type="containsText" dxfId="1376" priority="1371" operator="containsText" text="NO">
      <formula>NOT(ISERROR(SEARCH("NO",JI87)))</formula>
    </cfRule>
    <cfRule type="containsText" dxfId="1375" priority="1372" operator="containsText" text="SI">
      <formula>NOT(ISERROR(SEARCH("SI",JI87)))</formula>
    </cfRule>
  </conditionalFormatting>
  <conditionalFormatting sqref="JI87">
    <cfRule type="containsText" dxfId="1374" priority="1365" operator="containsText" text="NO APLICA">
      <formula>NOT(ISERROR(SEARCH("NO APLICA",JI87)))</formula>
    </cfRule>
    <cfRule type="containsText" dxfId="1373" priority="1366" operator="containsText" text="SIN DATO">
      <formula>NOT(ISERROR(SEARCH("SIN DATO",JI87)))</formula>
    </cfRule>
    <cfRule type="containsText" dxfId="1372" priority="1367" operator="containsText" text="NO">
      <formula>NOT(ISERROR(SEARCH("NO",JI87)))</formula>
    </cfRule>
    <cfRule type="containsText" dxfId="1371" priority="1368" operator="containsText" text="SI">
      <formula>NOT(ISERROR(SEARCH("SI",JI87)))</formula>
    </cfRule>
  </conditionalFormatting>
  <conditionalFormatting sqref="JI90">
    <cfRule type="containsText" dxfId="1370" priority="1361" operator="containsText" text="NO APLICA">
      <formula>NOT(ISERROR(SEARCH("NO APLICA",JI90)))</formula>
    </cfRule>
    <cfRule type="containsText" dxfId="1369" priority="1362" operator="containsText" text="SIN DATO">
      <formula>NOT(ISERROR(SEARCH("SIN DATO",JI90)))</formula>
    </cfRule>
    <cfRule type="containsText" dxfId="1368" priority="1363" operator="containsText" text="NO">
      <formula>NOT(ISERROR(SEARCH("NO",JI90)))</formula>
    </cfRule>
    <cfRule type="containsText" dxfId="1367" priority="1364" operator="containsText" text="SI">
      <formula>NOT(ISERROR(SEARCH("SI",JI90)))</formula>
    </cfRule>
  </conditionalFormatting>
  <conditionalFormatting sqref="JI90">
    <cfRule type="containsText" dxfId="1366" priority="1357" operator="containsText" text="NO APLICA">
      <formula>NOT(ISERROR(SEARCH("NO APLICA",JI90)))</formula>
    </cfRule>
    <cfRule type="containsText" dxfId="1365" priority="1358" operator="containsText" text="SIN DATO">
      <formula>NOT(ISERROR(SEARCH("SIN DATO",JI90)))</formula>
    </cfRule>
    <cfRule type="containsText" dxfId="1364" priority="1359" operator="containsText" text="NO">
      <formula>NOT(ISERROR(SEARCH("NO",JI90)))</formula>
    </cfRule>
    <cfRule type="containsText" dxfId="1363" priority="1360" operator="containsText" text="SI">
      <formula>NOT(ISERROR(SEARCH("SI",JI90)))</formula>
    </cfRule>
  </conditionalFormatting>
  <conditionalFormatting sqref="IR89">
    <cfRule type="containsText" dxfId="1362" priority="1353" operator="containsText" text="NO APLICA">
      <formula>NOT(ISERROR(SEARCH("NO APLICA",IR89)))</formula>
    </cfRule>
    <cfRule type="containsText" dxfId="1361" priority="1354" operator="containsText" text="ALTA">
      <formula>NOT(ISERROR(SEARCH("ALTA",IR89)))</formula>
    </cfRule>
    <cfRule type="containsText" dxfId="1360" priority="1355" operator="containsText" text="MEDIANA">
      <formula>NOT(ISERROR(SEARCH("MEDIANA",IR89)))</formula>
    </cfRule>
    <cfRule type="containsText" dxfId="1359" priority="1356" operator="containsText" text="BAJA">
      <formula>NOT(ISERROR(SEARCH("BAJA",IR89)))</formula>
    </cfRule>
  </conditionalFormatting>
  <conditionalFormatting sqref="IS89:IT89">
    <cfRule type="containsText" dxfId="1358" priority="1346" operator="containsText" text="NO APLICA">
      <formula>NOT(ISERROR(SEARCH("NO APLICA",IS89)))</formula>
    </cfRule>
    <cfRule type="containsText" dxfId="1357" priority="1347" operator="containsText" text="SIN">
      <formula>NOT(ISERROR(SEARCH("SIN",IS89)))</formula>
    </cfRule>
    <cfRule type="containsText" dxfId="1356" priority="1348" operator="containsText" text="EQUIPO">
      <formula>NOT(ISERROR(SEARCH("EQUIPO",IS89)))</formula>
    </cfRule>
    <cfRule type="containsText" dxfId="1355" priority="1349" operator="containsText" text="MEDICO TRADICIONAL">
      <formula>NOT(ISERROR(SEARCH("MEDICO TRADICIONAL",IS89)))</formula>
    </cfRule>
    <cfRule type="containsText" dxfId="1354" priority="1350" operator="containsText" text="PARTERA">
      <formula>NOT(ISERROR(SEARCH("PARTERA",IS89)))</formula>
    </cfRule>
    <cfRule type="containsText" dxfId="1353" priority="1351" operator="containsText" text="TÉCNICO">
      <formula>NOT(ISERROR(SEARCH("TÉCNICO",IS89)))</formula>
    </cfRule>
    <cfRule type="containsText" dxfId="1352" priority="1352" operator="containsText" text="PROFESIONAL">
      <formula>NOT(ISERROR(SEARCH("PROFESIONAL",IS89)))</formula>
    </cfRule>
  </conditionalFormatting>
  <conditionalFormatting sqref="IT89">
    <cfRule type="containsText" dxfId="1351" priority="1343" operator="containsText" text="LE HACEN CESÁREA SIN INICIO TRABAJO DE PARTO">
      <formula>NOT(ISERROR(SEARCH("LE HACEN CESÁREA SIN INICIO TRABAJO DE PARTO",IT89)))</formula>
    </cfRule>
    <cfRule type="containsText" dxfId="1350" priority="1344" operator="containsText" text="LE HACEN INDUCCIÓN">
      <formula>NOT(ISERROR(SEARCH("LE HACEN INDUCCIÓN",IT89)))</formula>
    </cfRule>
    <cfRule type="containsText" dxfId="1349" priority="1345" operator="containsText" text="ESPONTÁNEO">
      <formula>NOT(ISERROR(SEARCH("ESPONTÁNEO",IT89)))</formula>
    </cfRule>
  </conditionalFormatting>
  <conditionalFormatting sqref="JI89">
    <cfRule type="containsText" dxfId="1348" priority="1339" operator="containsText" text="NO APLICA">
      <formula>NOT(ISERROR(SEARCH("NO APLICA",JI89)))</formula>
    </cfRule>
    <cfRule type="containsText" dxfId="1347" priority="1340" operator="containsText" text="SIN DATO">
      <formula>NOT(ISERROR(SEARCH("SIN DATO",JI89)))</formula>
    </cfRule>
    <cfRule type="containsText" dxfId="1346" priority="1341" operator="containsText" text="NO">
      <formula>NOT(ISERROR(SEARCH("NO",JI89)))</formula>
    </cfRule>
    <cfRule type="containsText" dxfId="1345" priority="1342" operator="containsText" text="SI">
      <formula>NOT(ISERROR(SEARCH("SI",JI89)))</formula>
    </cfRule>
  </conditionalFormatting>
  <conditionalFormatting sqref="JI89">
    <cfRule type="containsText" dxfId="1344" priority="1335" operator="containsText" text="NO APLICA">
      <formula>NOT(ISERROR(SEARCH("NO APLICA",JI89)))</formula>
    </cfRule>
    <cfRule type="containsText" dxfId="1343" priority="1336" operator="containsText" text="SIN DATO">
      <formula>NOT(ISERROR(SEARCH("SIN DATO",JI89)))</formula>
    </cfRule>
    <cfRule type="containsText" dxfId="1342" priority="1337" operator="containsText" text="NO">
      <formula>NOT(ISERROR(SEARCH("NO",JI89)))</formula>
    </cfRule>
    <cfRule type="containsText" dxfId="1341" priority="1338" operator="containsText" text="SI">
      <formula>NOT(ISERROR(SEARCH("SI",JI89)))</formula>
    </cfRule>
  </conditionalFormatting>
  <conditionalFormatting sqref="IR93">
    <cfRule type="containsText" dxfId="1340" priority="1331" operator="containsText" text="NO APLICA">
      <formula>NOT(ISERROR(SEARCH("NO APLICA",IR93)))</formula>
    </cfRule>
    <cfRule type="containsText" dxfId="1339" priority="1332" operator="containsText" text="ALTA">
      <formula>NOT(ISERROR(SEARCH("ALTA",IR93)))</formula>
    </cfRule>
    <cfRule type="containsText" dxfId="1338" priority="1333" operator="containsText" text="MEDIANA">
      <formula>NOT(ISERROR(SEARCH("MEDIANA",IR93)))</formula>
    </cfRule>
    <cfRule type="containsText" dxfId="1337" priority="1334" operator="containsText" text="BAJA">
      <formula>NOT(ISERROR(SEARCH("BAJA",IR93)))</formula>
    </cfRule>
  </conditionalFormatting>
  <conditionalFormatting sqref="IS93:IT93">
    <cfRule type="containsText" dxfId="1336" priority="1324" operator="containsText" text="NO APLICA">
      <formula>NOT(ISERROR(SEARCH("NO APLICA",IS93)))</formula>
    </cfRule>
    <cfRule type="containsText" dxfId="1335" priority="1325" operator="containsText" text="SIN">
      <formula>NOT(ISERROR(SEARCH("SIN",IS93)))</formula>
    </cfRule>
    <cfRule type="containsText" dxfId="1334" priority="1326" operator="containsText" text="EQUIPO">
      <formula>NOT(ISERROR(SEARCH("EQUIPO",IS93)))</formula>
    </cfRule>
    <cfRule type="containsText" dxfId="1333" priority="1327" operator="containsText" text="MEDICO TRADICIONAL">
      <formula>NOT(ISERROR(SEARCH("MEDICO TRADICIONAL",IS93)))</formula>
    </cfRule>
    <cfRule type="containsText" dxfId="1332" priority="1328" operator="containsText" text="PARTERA">
      <formula>NOT(ISERROR(SEARCH("PARTERA",IS93)))</formula>
    </cfRule>
    <cfRule type="containsText" dxfId="1331" priority="1329" operator="containsText" text="TÉCNICO">
      <formula>NOT(ISERROR(SEARCH("TÉCNICO",IS93)))</formula>
    </cfRule>
    <cfRule type="containsText" dxfId="1330" priority="1330" operator="containsText" text="PROFESIONAL">
      <formula>NOT(ISERROR(SEARCH("PROFESIONAL",IS93)))</formula>
    </cfRule>
  </conditionalFormatting>
  <conditionalFormatting sqref="IT93">
    <cfRule type="containsText" dxfId="1329" priority="1321" operator="containsText" text="LE HACEN CESÁREA SIN INICIO TRABAJO DE PARTO">
      <formula>NOT(ISERROR(SEARCH("LE HACEN CESÁREA SIN INICIO TRABAJO DE PARTO",IT93)))</formula>
    </cfRule>
    <cfRule type="containsText" dxfId="1328" priority="1322" operator="containsText" text="LE HACEN INDUCCIÓN">
      <formula>NOT(ISERROR(SEARCH("LE HACEN INDUCCIÓN",IT93)))</formula>
    </cfRule>
    <cfRule type="containsText" dxfId="1327" priority="1323" operator="containsText" text="ESPONTÁNEO">
      <formula>NOT(ISERROR(SEARCH("ESPONTÁNEO",IT93)))</formula>
    </cfRule>
  </conditionalFormatting>
  <conditionalFormatting sqref="JI93">
    <cfRule type="containsText" dxfId="1326" priority="1317" operator="containsText" text="NO APLICA">
      <formula>NOT(ISERROR(SEARCH("NO APLICA",JI93)))</formula>
    </cfRule>
    <cfRule type="containsText" dxfId="1325" priority="1318" operator="containsText" text="SIN DATO">
      <formula>NOT(ISERROR(SEARCH("SIN DATO",JI93)))</formula>
    </cfRule>
    <cfRule type="containsText" dxfId="1324" priority="1319" operator="containsText" text="NO">
      <formula>NOT(ISERROR(SEARCH("NO",JI93)))</formula>
    </cfRule>
    <cfRule type="containsText" dxfId="1323" priority="1320" operator="containsText" text="SI">
      <formula>NOT(ISERROR(SEARCH("SI",JI93)))</formula>
    </cfRule>
  </conditionalFormatting>
  <conditionalFormatting sqref="JI93">
    <cfRule type="containsText" dxfId="1322" priority="1313" operator="containsText" text="NO APLICA">
      <formula>NOT(ISERROR(SEARCH("NO APLICA",JI93)))</formula>
    </cfRule>
    <cfRule type="containsText" dxfId="1321" priority="1314" operator="containsText" text="SIN DATO">
      <formula>NOT(ISERROR(SEARCH("SIN DATO",JI93)))</formula>
    </cfRule>
    <cfRule type="containsText" dxfId="1320" priority="1315" operator="containsText" text="NO">
      <formula>NOT(ISERROR(SEARCH("NO",JI93)))</formula>
    </cfRule>
    <cfRule type="containsText" dxfId="1319" priority="1316" operator="containsText" text="SI">
      <formula>NOT(ISERROR(SEARCH("SI",JI93)))</formula>
    </cfRule>
  </conditionalFormatting>
  <conditionalFormatting sqref="IT97">
    <cfRule type="containsText" dxfId="1318" priority="1306" operator="containsText" text="NO APLICA">
      <formula>NOT(ISERROR(SEARCH("NO APLICA",IT97)))</formula>
    </cfRule>
    <cfRule type="containsText" dxfId="1317" priority="1307" operator="containsText" text="SIN">
      <formula>NOT(ISERROR(SEARCH("SIN",IT97)))</formula>
    </cfRule>
    <cfRule type="containsText" dxfId="1316" priority="1308" operator="containsText" text="EQUIPO">
      <formula>NOT(ISERROR(SEARCH("EQUIPO",IT97)))</formula>
    </cfRule>
    <cfRule type="containsText" dxfId="1315" priority="1309" operator="containsText" text="MEDICO TRADICIONAL">
      <formula>NOT(ISERROR(SEARCH("MEDICO TRADICIONAL",IT97)))</formula>
    </cfRule>
    <cfRule type="containsText" dxfId="1314" priority="1310" operator="containsText" text="PARTERA">
      <formula>NOT(ISERROR(SEARCH("PARTERA",IT97)))</formula>
    </cfRule>
    <cfRule type="containsText" dxfId="1313" priority="1311" operator="containsText" text="TÉCNICO">
      <formula>NOT(ISERROR(SEARCH("TÉCNICO",IT97)))</formula>
    </cfRule>
    <cfRule type="containsText" dxfId="1312" priority="1312" operator="containsText" text="PROFESIONAL">
      <formula>NOT(ISERROR(SEARCH("PROFESIONAL",IT97)))</formula>
    </cfRule>
  </conditionalFormatting>
  <conditionalFormatting sqref="IT97">
    <cfRule type="containsText" dxfId="1311" priority="1303" operator="containsText" text="LE HACEN CESÁREA SIN INICIO TRABAJO DE PARTO">
      <formula>NOT(ISERROR(SEARCH("LE HACEN CESÁREA SIN INICIO TRABAJO DE PARTO",IT97)))</formula>
    </cfRule>
    <cfRule type="containsText" dxfId="1310" priority="1304" operator="containsText" text="LE HACEN INDUCCIÓN">
      <formula>NOT(ISERROR(SEARCH("LE HACEN INDUCCIÓN",IT97)))</formula>
    </cfRule>
    <cfRule type="containsText" dxfId="1309" priority="1305" operator="containsText" text="ESPONTÁNEO">
      <formula>NOT(ISERROR(SEARCH("ESPONTÁNEO",IT97)))</formula>
    </cfRule>
  </conditionalFormatting>
  <conditionalFormatting sqref="IT98">
    <cfRule type="containsText" dxfId="1308" priority="1296" operator="containsText" text="NO APLICA">
      <formula>NOT(ISERROR(SEARCH("NO APLICA",IT98)))</formula>
    </cfRule>
    <cfRule type="containsText" dxfId="1307" priority="1297" operator="containsText" text="SIN">
      <formula>NOT(ISERROR(SEARCH("SIN",IT98)))</formula>
    </cfRule>
    <cfRule type="containsText" dxfId="1306" priority="1298" operator="containsText" text="EQUIPO">
      <formula>NOT(ISERROR(SEARCH("EQUIPO",IT98)))</formula>
    </cfRule>
    <cfRule type="containsText" dxfId="1305" priority="1299" operator="containsText" text="MEDICO TRADICIONAL">
      <formula>NOT(ISERROR(SEARCH("MEDICO TRADICIONAL",IT98)))</formula>
    </cfRule>
    <cfRule type="containsText" dxfId="1304" priority="1300" operator="containsText" text="PARTERA">
      <formula>NOT(ISERROR(SEARCH("PARTERA",IT98)))</formula>
    </cfRule>
    <cfRule type="containsText" dxfId="1303" priority="1301" operator="containsText" text="TÉCNICO">
      <formula>NOT(ISERROR(SEARCH("TÉCNICO",IT98)))</formula>
    </cfRule>
    <cfRule type="containsText" dxfId="1302" priority="1302" operator="containsText" text="PROFESIONAL">
      <formula>NOT(ISERROR(SEARCH("PROFESIONAL",IT98)))</formula>
    </cfRule>
  </conditionalFormatting>
  <conditionalFormatting sqref="IT98">
    <cfRule type="containsText" dxfId="1301" priority="1293" operator="containsText" text="LE HACEN CESÁREA SIN INICIO TRABAJO DE PARTO">
      <formula>NOT(ISERROR(SEARCH("LE HACEN CESÁREA SIN INICIO TRABAJO DE PARTO",IT98)))</formula>
    </cfRule>
    <cfRule type="containsText" dxfId="1300" priority="1294" operator="containsText" text="LE HACEN INDUCCIÓN">
      <formula>NOT(ISERROR(SEARCH("LE HACEN INDUCCIÓN",IT98)))</formula>
    </cfRule>
    <cfRule type="containsText" dxfId="1299" priority="1295" operator="containsText" text="ESPONTÁNEO">
      <formula>NOT(ISERROR(SEARCH("ESPONTÁNEO",IT98)))</formula>
    </cfRule>
  </conditionalFormatting>
  <conditionalFormatting sqref="IR109">
    <cfRule type="containsText" dxfId="1298" priority="1289" operator="containsText" text="NO APLICA">
      <formula>NOT(ISERROR(SEARCH("NO APLICA",IR109)))</formula>
    </cfRule>
    <cfRule type="containsText" dxfId="1297" priority="1290" operator="containsText" text="ALTA">
      <formula>NOT(ISERROR(SEARCH("ALTA",IR109)))</formula>
    </cfRule>
    <cfRule type="containsText" dxfId="1296" priority="1291" operator="containsText" text="MEDIANA">
      <formula>NOT(ISERROR(SEARCH("MEDIANA",IR109)))</formula>
    </cfRule>
    <cfRule type="containsText" dxfId="1295" priority="1292" operator="containsText" text="BAJA">
      <formula>NOT(ISERROR(SEARCH("BAJA",IR109)))</formula>
    </cfRule>
  </conditionalFormatting>
  <conditionalFormatting sqref="IS109:IT109">
    <cfRule type="containsText" dxfId="1294" priority="1282" operator="containsText" text="NO APLICA">
      <formula>NOT(ISERROR(SEARCH("NO APLICA",IS109)))</formula>
    </cfRule>
    <cfRule type="containsText" dxfId="1293" priority="1283" operator="containsText" text="SIN">
      <formula>NOT(ISERROR(SEARCH("SIN",IS109)))</formula>
    </cfRule>
    <cfRule type="containsText" dxfId="1292" priority="1284" operator="containsText" text="EQUIPO">
      <formula>NOT(ISERROR(SEARCH("EQUIPO",IS109)))</formula>
    </cfRule>
    <cfRule type="containsText" dxfId="1291" priority="1285" operator="containsText" text="MEDICO TRADICIONAL">
      <formula>NOT(ISERROR(SEARCH("MEDICO TRADICIONAL",IS109)))</formula>
    </cfRule>
    <cfRule type="containsText" dxfId="1290" priority="1286" operator="containsText" text="PARTERA">
      <formula>NOT(ISERROR(SEARCH("PARTERA",IS109)))</formula>
    </cfRule>
    <cfRule type="containsText" dxfId="1289" priority="1287" operator="containsText" text="TÉCNICO">
      <formula>NOT(ISERROR(SEARCH("TÉCNICO",IS109)))</formula>
    </cfRule>
    <cfRule type="containsText" dxfId="1288" priority="1288" operator="containsText" text="PROFESIONAL">
      <formula>NOT(ISERROR(SEARCH("PROFESIONAL",IS109)))</formula>
    </cfRule>
  </conditionalFormatting>
  <conditionalFormatting sqref="IT109">
    <cfRule type="containsText" dxfId="1287" priority="1279" operator="containsText" text="LE HACEN CESÁREA SIN INICIO TRABAJO DE PARTO">
      <formula>NOT(ISERROR(SEARCH("LE HACEN CESÁREA SIN INICIO TRABAJO DE PARTO",IT109)))</formula>
    </cfRule>
    <cfRule type="containsText" dxfId="1286" priority="1280" operator="containsText" text="LE HACEN INDUCCIÓN">
      <formula>NOT(ISERROR(SEARCH("LE HACEN INDUCCIÓN",IT109)))</formula>
    </cfRule>
    <cfRule type="containsText" dxfId="1285" priority="1281" operator="containsText" text="ESPONTÁNEO">
      <formula>NOT(ISERROR(SEARCH("ESPONTÁNEO",IT109)))</formula>
    </cfRule>
  </conditionalFormatting>
  <conditionalFormatting sqref="IR105">
    <cfRule type="containsText" dxfId="1284" priority="1275" operator="containsText" text="NO APLICA">
      <formula>NOT(ISERROR(SEARCH("NO APLICA",IR105)))</formula>
    </cfRule>
    <cfRule type="containsText" dxfId="1283" priority="1276" operator="containsText" text="ALTA">
      <formula>NOT(ISERROR(SEARCH("ALTA",IR105)))</formula>
    </cfRule>
    <cfRule type="containsText" dxfId="1282" priority="1277" operator="containsText" text="MEDIANA">
      <formula>NOT(ISERROR(SEARCH("MEDIANA",IR105)))</formula>
    </cfRule>
    <cfRule type="containsText" dxfId="1281" priority="1278" operator="containsText" text="BAJA">
      <formula>NOT(ISERROR(SEARCH("BAJA",IR105)))</formula>
    </cfRule>
  </conditionalFormatting>
  <conditionalFormatting sqref="IS105:IT105">
    <cfRule type="containsText" dxfId="1280" priority="1268" operator="containsText" text="NO APLICA">
      <formula>NOT(ISERROR(SEARCH("NO APLICA",IS105)))</formula>
    </cfRule>
    <cfRule type="containsText" dxfId="1279" priority="1269" operator="containsText" text="SIN">
      <formula>NOT(ISERROR(SEARCH("SIN",IS105)))</formula>
    </cfRule>
    <cfRule type="containsText" dxfId="1278" priority="1270" operator="containsText" text="EQUIPO">
      <formula>NOT(ISERROR(SEARCH("EQUIPO",IS105)))</formula>
    </cfRule>
    <cfRule type="containsText" dxfId="1277" priority="1271" operator="containsText" text="MEDICO TRADICIONAL">
      <formula>NOT(ISERROR(SEARCH("MEDICO TRADICIONAL",IS105)))</formula>
    </cfRule>
    <cfRule type="containsText" dxfId="1276" priority="1272" operator="containsText" text="PARTERA">
      <formula>NOT(ISERROR(SEARCH("PARTERA",IS105)))</formula>
    </cfRule>
    <cfRule type="containsText" dxfId="1275" priority="1273" operator="containsText" text="TÉCNICO">
      <formula>NOT(ISERROR(SEARCH("TÉCNICO",IS105)))</formula>
    </cfRule>
    <cfRule type="containsText" dxfId="1274" priority="1274" operator="containsText" text="PROFESIONAL">
      <formula>NOT(ISERROR(SEARCH("PROFESIONAL",IS105)))</formula>
    </cfRule>
  </conditionalFormatting>
  <conditionalFormatting sqref="IT105">
    <cfRule type="containsText" dxfId="1273" priority="1265" operator="containsText" text="LE HACEN CESÁREA SIN INICIO TRABAJO DE PARTO">
      <formula>NOT(ISERROR(SEARCH("LE HACEN CESÁREA SIN INICIO TRABAJO DE PARTO",IT105)))</formula>
    </cfRule>
    <cfRule type="containsText" dxfId="1272" priority="1266" operator="containsText" text="LE HACEN INDUCCIÓN">
      <formula>NOT(ISERROR(SEARCH("LE HACEN INDUCCIÓN",IT105)))</formula>
    </cfRule>
    <cfRule type="containsText" dxfId="1271" priority="1267" operator="containsText" text="ESPONTÁNEO">
      <formula>NOT(ISERROR(SEARCH("ESPONTÁNEO",IT105)))</formula>
    </cfRule>
  </conditionalFormatting>
  <conditionalFormatting sqref="JK113:JL113">
    <cfRule type="containsText" dxfId="1270" priority="1254" operator="containsText" text="NO APLICA">
      <formula>NOT(ISERROR(SEARCH("NO APLICA",JK113)))</formula>
    </cfRule>
    <cfRule type="containsText" dxfId="1269" priority="1255" operator="containsText" text="SIN">
      <formula>NOT(ISERROR(SEARCH("SIN",JK113)))</formula>
    </cfRule>
    <cfRule type="containsText" dxfId="1268" priority="1256" operator="containsText" text="EQUIPO">
      <formula>NOT(ISERROR(SEARCH("EQUIPO",JK113)))</formula>
    </cfRule>
    <cfRule type="containsText" dxfId="1267" priority="1257" operator="containsText" text="MEDICO TRADICIONAL">
      <formula>NOT(ISERROR(SEARCH("MEDICO TRADICIONAL",JK113)))</formula>
    </cfRule>
    <cfRule type="containsText" dxfId="1266" priority="1258" operator="containsText" text="PARTERA">
      <formula>NOT(ISERROR(SEARCH("PARTERA",JK113)))</formula>
    </cfRule>
    <cfRule type="containsText" dxfId="1265" priority="1259" operator="containsText" text="TÉCNICO">
      <formula>NOT(ISERROR(SEARCH("TÉCNICO",JK113)))</formula>
    </cfRule>
    <cfRule type="containsText" dxfId="1264" priority="1260" operator="containsText" text="PROFESIONAL">
      <formula>NOT(ISERROR(SEARCH("PROFESIONAL",JK113)))</formula>
    </cfRule>
  </conditionalFormatting>
  <conditionalFormatting sqref="JL113">
    <cfRule type="containsText" dxfId="1263" priority="1251" operator="containsText" text="LE HACEN CESÁREA SIN INICIO TRABAJO DE PARTO">
      <formula>NOT(ISERROR(SEARCH("LE HACEN CESÁREA SIN INICIO TRABAJO DE PARTO",JL113)))</formula>
    </cfRule>
    <cfRule type="containsText" dxfId="1262" priority="1252" operator="containsText" text="LE HACEN INDUCCIÓN">
      <formula>NOT(ISERROR(SEARCH("LE HACEN INDUCCIÓN",JL113)))</formula>
    </cfRule>
    <cfRule type="containsText" dxfId="1261" priority="1253" operator="containsText" text="ESPONTÁNEO">
      <formula>NOT(ISERROR(SEARCH("ESPONTÁNEO",JL113)))</formula>
    </cfRule>
  </conditionalFormatting>
  <conditionalFormatting sqref="JI113">
    <cfRule type="containsText" dxfId="1260" priority="1247" operator="containsText" text="NO APLICA">
      <formula>NOT(ISERROR(SEARCH("NO APLICA",JI113)))</formula>
    </cfRule>
    <cfRule type="containsText" dxfId="1259" priority="1248" operator="containsText" text="SIN DATO">
      <formula>NOT(ISERROR(SEARCH("SIN DATO",JI113)))</formula>
    </cfRule>
    <cfRule type="containsText" dxfId="1258" priority="1249" operator="containsText" text="NO">
      <formula>NOT(ISERROR(SEARCH("NO",JI113)))</formula>
    </cfRule>
    <cfRule type="containsText" dxfId="1257" priority="1250" operator="containsText" text="SI">
      <formula>NOT(ISERROR(SEARCH("SI",JI113)))</formula>
    </cfRule>
  </conditionalFormatting>
  <conditionalFormatting sqref="IR120">
    <cfRule type="containsText" dxfId="1256" priority="1243" operator="containsText" text="NO APLICA">
      <formula>NOT(ISERROR(SEARCH("NO APLICA",IR120)))</formula>
    </cfRule>
    <cfRule type="containsText" dxfId="1255" priority="1244" operator="containsText" text="ALTA">
      <formula>NOT(ISERROR(SEARCH("ALTA",IR120)))</formula>
    </cfRule>
    <cfRule type="containsText" dxfId="1254" priority="1245" operator="containsText" text="MEDIANA">
      <formula>NOT(ISERROR(SEARCH("MEDIANA",IR120)))</formula>
    </cfRule>
    <cfRule type="containsText" dxfId="1253" priority="1246" operator="containsText" text="BAJA">
      <formula>NOT(ISERROR(SEARCH("BAJA",IR120)))</formula>
    </cfRule>
  </conditionalFormatting>
  <conditionalFormatting sqref="IS120:IT120">
    <cfRule type="containsText" dxfId="1252" priority="1236" operator="containsText" text="NO APLICA">
      <formula>NOT(ISERROR(SEARCH("NO APLICA",IS120)))</formula>
    </cfRule>
    <cfRule type="containsText" dxfId="1251" priority="1237" operator="containsText" text="SIN">
      <formula>NOT(ISERROR(SEARCH("SIN",IS120)))</formula>
    </cfRule>
    <cfRule type="containsText" dxfId="1250" priority="1238" operator="containsText" text="EQUIPO">
      <formula>NOT(ISERROR(SEARCH("EQUIPO",IS120)))</formula>
    </cfRule>
    <cfRule type="containsText" dxfId="1249" priority="1239" operator="containsText" text="MEDICO TRADICIONAL">
      <formula>NOT(ISERROR(SEARCH("MEDICO TRADICIONAL",IS120)))</formula>
    </cfRule>
    <cfRule type="containsText" dxfId="1248" priority="1240" operator="containsText" text="PARTERA">
      <formula>NOT(ISERROR(SEARCH("PARTERA",IS120)))</formula>
    </cfRule>
    <cfRule type="containsText" dxfId="1247" priority="1241" operator="containsText" text="TÉCNICO">
      <formula>NOT(ISERROR(SEARCH("TÉCNICO",IS120)))</formula>
    </cfRule>
    <cfRule type="containsText" dxfId="1246" priority="1242" operator="containsText" text="PROFESIONAL">
      <formula>NOT(ISERROR(SEARCH("PROFESIONAL",IS120)))</formula>
    </cfRule>
  </conditionalFormatting>
  <conditionalFormatting sqref="IT120">
    <cfRule type="containsText" dxfId="1245" priority="1233" operator="containsText" text="LE HACEN CESÁREA SIN INICIO TRABAJO DE PARTO">
      <formula>NOT(ISERROR(SEARCH("LE HACEN CESÁREA SIN INICIO TRABAJO DE PARTO",IT120)))</formula>
    </cfRule>
    <cfRule type="containsText" dxfId="1244" priority="1234" operator="containsText" text="LE HACEN INDUCCIÓN">
      <formula>NOT(ISERROR(SEARCH("LE HACEN INDUCCIÓN",IT120)))</formula>
    </cfRule>
    <cfRule type="containsText" dxfId="1243" priority="1235" operator="containsText" text="ESPONTÁNEO">
      <formula>NOT(ISERROR(SEARCH("ESPONTÁNEO",IT120)))</formula>
    </cfRule>
  </conditionalFormatting>
  <conditionalFormatting sqref="JI120">
    <cfRule type="containsText" dxfId="1242" priority="1229" operator="containsText" text="NO APLICA">
      <formula>NOT(ISERROR(SEARCH("NO APLICA",JI120)))</formula>
    </cfRule>
    <cfRule type="containsText" dxfId="1241" priority="1230" operator="containsText" text="SIN DATO">
      <formula>NOT(ISERROR(SEARCH("SIN DATO",JI120)))</formula>
    </cfRule>
    <cfRule type="containsText" dxfId="1240" priority="1231" operator="containsText" text="NO">
      <formula>NOT(ISERROR(SEARCH("NO",JI120)))</formula>
    </cfRule>
    <cfRule type="containsText" dxfId="1239" priority="1232" operator="containsText" text="SI">
      <formula>NOT(ISERROR(SEARCH("SI",JI120)))</formula>
    </cfRule>
  </conditionalFormatting>
  <conditionalFormatting sqref="IR127">
    <cfRule type="containsText" dxfId="1238" priority="1225" operator="containsText" text="NO APLICA">
      <formula>NOT(ISERROR(SEARCH("NO APLICA",IR127)))</formula>
    </cfRule>
    <cfRule type="containsText" dxfId="1237" priority="1226" operator="containsText" text="ALTA">
      <formula>NOT(ISERROR(SEARCH("ALTA",IR127)))</formula>
    </cfRule>
    <cfRule type="containsText" dxfId="1236" priority="1227" operator="containsText" text="MEDIANA">
      <formula>NOT(ISERROR(SEARCH("MEDIANA",IR127)))</formula>
    </cfRule>
    <cfRule type="containsText" dxfId="1235" priority="1228" operator="containsText" text="BAJA">
      <formula>NOT(ISERROR(SEARCH("BAJA",IR127)))</formula>
    </cfRule>
  </conditionalFormatting>
  <conditionalFormatting sqref="IS127:IT127">
    <cfRule type="containsText" dxfId="1234" priority="1218" operator="containsText" text="NO APLICA">
      <formula>NOT(ISERROR(SEARCH("NO APLICA",IS127)))</formula>
    </cfRule>
    <cfRule type="containsText" dxfId="1233" priority="1219" operator="containsText" text="SIN">
      <formula>NOT(ISERROR(SEARCH("SIN",IS127)))</formula>
    </cfRule>
    <cfRule type="containsText" dxfId="1232" priority="1220" operator="containsText" text="EQUIPO">
      <formula>NOT(ISERROR(SEARCH("EQUIPO",IS127)))</formula>
    </cfRule>
    <cfRule type="containsText" dxfId="1231" priority="1221" operator="containsText" text="MEDICO TRADICIONAL">
      <formula>NOT(ISERROR(SEARCH("MEDICO TRADICIONAL",IS127)))</formula>
    </cfRule>
    <cfRule type="containsText" dxfId="1230" priority="1222" operator="containsText" text="PARTERA">
      <formula>NOT(ISERROR(SEARCH("PARTERA",IS127)))</formula>
    </cfRule>
    <cfRule type="containsText" dxfId="1229" priority="1223" operator="containsText" text="TÉCNICO">
      <formula>NOT(ISERROR(SEARCH("TÉCNICO",IS127)))</formula>
    </cfRule>
    <cfRule type="containsText" dxfId="1228" priority="1224" operator="containsText" text="PROFESIONAL">
      <formula>NOT(ISERROR(SEARCH("PROFESIONAL",IS127)))</formula>
    </cfRule>
  </conditionalFormatting>
  <conditionalFormatting sqref="IT127">
    <cfRule type="containsText" dxfId="1227" priority="1215" operator="containsText" text="LE HACEN CESÁREA SIN INICIO TRABAJO DE PARTO">
      <formula>NOT(ISERROR(SEARCH("LE HACEN CESÁREA SIN INICIO TRABAJO DE PARTO",IT127)))</formula>
    </cfRule>
    <cfRule type="containsText" dxfId="1226" priority="1216" operator="containsText" text="LE HACEN INDUCCIÓN">
      <formula>NOT(ISERROR(SEARCH("LE HACEN INDUCCIÓN",IT127)))</formula>
    </cfRule>
    <cfRule type="containsText" dxfId="1225" priority="1217" operator="containsText" text="ESPONTÁNEO">
      <formula>NOT(ISERROR(SEARCH("ESPONTÁNEO",IT127)))</formula>
    </cfRule>
  </conditionalFormatting>
  <conditionalFormatting sqref="IR131">
    <cfRule type="containsText" dxfId="1224" priority="1211" operator="containsText" text="NO APLICA">
      <formula>NOT(ISERROR(SEARCH("NO APLICA",IR131)))</formula>
    </cfRule>
    <cfRule type="containsText" dxfId="1223" priority="1212" operator="containsText" text="ALTA">
      <formula>NOT(ISERROR(SEARCH("ALTA",IR131)))</formula>
    </cfRule>
    <cfRule type="containsText" dxfId="1222" priority="1213" operator="containsText" text="MEDIANA">
      <formula>NOT(ISERROR(SEARCH("MEDIANA",IR131)))</formula>
    </cfRule>
    <cfRule type="containsText" dxfId="1221" priority="1214" operator="containsText" text="BAJA">
      <formula>NOT(ISERROR(SEARCH("BAJA",IR131)))</formula>
    </cfRule>
  </conditionalFormatting>
  <conditionalFormatting sqref="IS131:IT131">
    <cfRule type="containsText" dxfId="1220" priority="1204" operator="containsText" text="NO APLICA">
      <formula>NOT(ISERROR(SEARCH("NO APLICA",IS131)))</formula>
    </cfRule>
    <cfRule type="containsText" dxfId="1219" priority="1205" operator="containsText" text="SIN">
      <formula>NOT(ISERROR(SEARCH("SIN",IS131)))</formula>
    </cfRule>
    <cfRule type="containsText" dxfId="1218" priority="1206" operator="containsText" text="EQUIPO">
      <formula>NOT(ISERROR(SEARCH("EQUIPO",IS131)))</formula>
    </cfRule>
    <cfRule type="containsText" dxfId="1217" priority="1207" operator="containsText" text="MEDICO TRADICIONAL">
      <formula>NOT(ISERROR(SEARCH("MEDICO TRADICIONAL",IS131)))</formula>
    </cfRule>
    <cfRule type="containsText" dxfId="1216" priority="1208" operator="containsText" text="PARTERA">
      <formula>NOT(ISERROR(SEARCH("PARTERA",IS131)))</formula>
    </cfRule>
    <cfRule type="containsText" dxfId="1215" priority="1209" operator="containsText" text="TÉCNICO">
      <formula>NOT(ISERROR(SEARCH("TÉCNICO",IS131)))</formula>
    </cfRule>
    <cfRule type="containsText" dxfId="1214" priority="1210" operator="containsText" text="PROFESIONAL">
      <formula>NOT(ISERROR(SEARCH("PROFESIONAL",IS131)))</formula>
    </cfRule>
  </conditionalFormatting>
  <conditionalFormatting sqref="IT131">
    <cfRule type="containsText" dxfId="1213" priority="1201" operator="containsText" text="LE HACEN CESÁREA SIN INICIO TRABAJO DE PARTO">
      <formula>NOT(ISERROR(SEARCH("LE HACEN CESÁREA SIN INICIO TRABAJO DE PARTO",IT131)))</formula>
    </cfRule>
    <cfRule type="containsText" dxfId="1212" priority="1202" operator="containsText" text="LE HACEN INDUCCIÓN">
      <formula>NOT(ISERROR(SEARCH("LE HACEN INDUCCIÓN",IT131)))</formula>
    </cfRule>
    <cfRule type="containsText" dxfId="1211" priority="1203" operator="containsText" text="ESPONTÁNEO">
      <formula>NOT(ISERROR(SEARCH("ESPONTÁNEO",IT131)))</formula>
    </cfRule>
  </conditionalFormatting>
  <conditionalFormatting sqref="JI136">
    <cfRule type="containsText" dxfId="1210" priority="1197" operator="containsText" text="NO APLICA">
      <formula>NOT(ISERROR(SEARCH("NO APLICA",JI136)))</formula>
    </cfRule>
    <cfRule type="containsText" dxfId="1209" priority="1198" operator="containsText" text="SIN DATO">
      <formula>NOT(ISERROR(SEARCH("SIN DATO",JI136)))</formula>
    </cfRule>
    <cfRule type="containsText" dxfId="1208" priority="1199" operator="containsText" text="NO">
      <formula>NOT(ISERROR(SEARCH("NO",JI136)))</formula>
    </cfRule>
    <cfRule type="containsText" dxfId="1207" priority="1200" operator="containsText" text="SI">
      <formula>NOT(ISERROR(SEARCH("SI",JI136)))</formula>
    </cfRule>
  </conditionalFormatting>
  <conditionalFormatting sqref="IR146">
    <cfRule type="containsText" dxfId="1206" priority="1193" operator="containsText" text="NO APLICA">
      <formula>NOT(ISERROR(SEARCH("NO APLICA",IR146)))</formula>
    </cfRule>
    <cfRule type="containsText" dxfId="1205" priority="1194" operator="containsText" text="ALTA">
      <formula>NOT(ISERROR(SEARCH("ALTA",IR146)))</formula>
    </cfRule>
    <cfRule type="containsText" dxfId="1204" priority="1195" operator="containsText" text="MEDIANA">
      <formula>NOT(ISERROR(SEARCH("MEDIANA",IR146)))</formula>
    </cfRule>
    <cfRule type="containsText" dxfId="1203" priority="1196" operator="containsText" text="BAJA">
      <formula>NOT(ISERROR(SEARCH("BAJA",IR146)))</formula>
    </cfRule>
  </conditionalFormatting>
  <conditionalFormatting sqref="IS146:IT146">
    <cfRule type="containsText" dxfId="1202" priority="1186" operator="containsText" text="NO APLICA">
      <formula>NOT(ISERROR(SEARCH("NO APLICA",IS146)))</formula>
    </cfRule>
    <cfRule type="containsText" dxfId="1201" priority="1187" operator="containsText" text="SIN">
      <formula>NOT(ISERROR(SEARCH("SIN",IS146)))</formula>
    </cfRule>
    <cfRule type="containsText" dxfId="1200" priority="1188" operator="containsText" text="EQUIPO">
      <formula>NOT(ISERROR(SEARCH("EQUIPO",IS146)))</formula>
    </cfRule>
    <cfRule type="containsText" dxfId="1199" priority="1189" operator="containsText" text="MEDICO TRADICIONAL">
      <formula>NOT(ISERROR(SEARCH("MEDICO TRADICIONAL",IS146)))</formula>
    </cfRule>
    <cfRule type="containsText" dxfId="1198" priority="1190" operator="containsText" text="PARTERA">
      <formula>NOT(ISERROR(SEARCH("PARTERA",IS146)))</formula>
    </cfRule>
    <cfRule type="containsText" dxfId="1197" priority="1191" operator="containsText" text="TÉCNICO">
      <formula>NOT(ISERROR(SEARCH("TÉCNICO",IS146)))</formula>
    </cfRule>
    <cfRule type="containsText" dxfId="1196" priority="1192" operator="containsText" text="PROFESIONAL">
      <formula>NOT(ISERROR(SEARCH("PROFESIONAL",IS146)))</formula>
    </cfRule>
  </conditionalFormatting>
  <conditionalFormatting sqref="IT146">
    <cfRule type="containsText" dxfId="1195" priority="1183" operator="containsText" text="LE HACEN CESÁREA SIN INICIO TRABAJO DE PARTO">
      <formula>NOT(ISERROR(SEARCH("LE HACEN CESÁREA SIN INICIO TRABAJO DE PARTO",IT146)))</formula>
    </cfRule>
    <cfRule type="containsText" dxfId="1194" priority="1184" operator="containsText" text="LE HACEN INDUCCIÓN">
      <formula>NOT(ISERROR(SEARCH("LE HACEN INDUCCIÓN",IT146)))</formula>
    </cfRule>
    <cfRule type="containsText" dxfId="1193" priority="1185" operator="containsText" text="ESPONTÁNEO">
      <formula>NOT(ISERROR(SEARCH("ESPONTÁNEO",IT146)))</formula>
    </cfRule>
  </conditionalFormatting>
  <conditionalFormatting sqref="JI146">
    <cfRule type="containsText" dxfId="1192" priority="1179" operator="containsText" text="NO APLICA">
      <formula>NOT(ISERROR(SEARCH("NO APLICA",JI146)))</formula>
    </cfRule>
    <cfRule type="containsText" dxfId="1191" priority="1180" operator="containsText" text="SIN DATO">
      <formula>NOT(ISERROR(SEARCH("SIN DATO",JI146)))</formula>
    </cfRule>
    <cfRule type="containsText" dxfId="1190" priority="1181" operator="containsText" text="NO">
      <formula>NOT(ISERROR(SEARCH("NO",JI146)))</formula>
    </cfRule>
    <cfRule type="containsText" dxfId="1189" priority="1182" operator="containsText" text="SI">
      <formula>NOT(ISERROR(SEARCH("SI",JI146)))</formula>
    </cfRule>
  </conditionalFormatting>
  <conditionalFormatting sqref="IR155">
    <cfRule type="containsText" dxfId="1188" priority="1175" operator="containsText" text="NO APLICA">
      <formula>NOT(ISERROR(SEARCH("NO APLICA",IR155)))</formula>
    </cfRule>
    <cfRule type="containsText" dxfId="1187" priority="1176" operator="containsText" text="ALTA">
      <formula>NOT(ISERROR(SEARCH("ALTA",IR155)))</formula>
    </cfRule>
    <cfRule type="containsText" dxfId="1186" priority="1177" operator="containsText" text="MEDIANA">
      <formula>NOT(ISERROR(SEARCH("MEDIANA",IR155)))</formula>
    </cfRule>
    <cfRule type="containsText" dxfId="1185" priority="1178" operator="containsText" text="BAJA">
      <formula>NOT(ISERROR(SEARCH("BAJA",IR155)))</formula>
    </cfRule>
  </conditionalFormatting>
  <conditionalFormatting sqref="IS155:IT155">
    <cfRule type="containsText" dxfId="1184" priority="1168" operator="containsText" text="NO APLICA">
      <formula>NOT(ISERROR(SEARCH("NO APLICA",IS155)))</formula>
    </cfRule>
    <cfRule type="containsText" dxfId="1183" priority="1169" operator="containsText" text="SIN">
      <formula>NOT(ISERROR(SEARCH("SIN",IS155)))</formula>
    </cfRule>
    <cfRule type="containsText" dxfId="1182" priority="1170" operator="containsText" text="EQUIPO">
      <formula>NOT(ISERROR(SEARCH("EQUIPO",IS155)))</formula>
    </cfRule>
    <cfRule type="containsText" dxfId="1181" priority="1171" operator="containsText" text="MEDICO TRADICIONAL">
      <formula>NOT(ISERROR(SEARCH("MEDICO TRADICIONAL",IS155)))</formula>
    </cfRule>
    <cfRule type="containsText" dxfId="1180" priority="1172" operator="containsText" text="PARTERA">
      <formula>NOT(ISERROR(SEARCH("PARTERA",IS155)))</formula>
    </cfRule>
    <cfRule type="containsText" dxfId="1179" priority="1173" operator="containsText" text="TÉCNICO">
      <formula>NOT(ISERROR(SEARCH("TÉCNICO",IS155)))</formula>
    </cfRule>
    <cfRule type="containsText" dxfId="1178" priority="1174" operator="containsText" text="PROFESIONAL">
      <formula>NOT(ISERROR(SEARCH("PROFESIONAL",IS155)))</formula>
    </cfRule>
  </conditionalFormatting>
  <conditionalFormatting sqref="IT155">
    <cfRule type="containsText" dxfId="1177" priority="1165" operator="containsText" text="LE HACEN CESÁREA SIN INICIO TRABAJO DE PARTO">
      <formula>NOT(ISERROR(SEARCH("LE HACEN CESÁREA SIN INICIO TRABAJO DE PARTO",IT155)))</formula>
    </cfRule>
    <cfRule type="containsText" dxfId="1176" priority="1166" operator="containsText" text="LE HACEN INDUCCIÓN">
      <formula>NOT(ISERROR(SEARCH("LE HACEN INDUCCIÓN",IT155)))</formula>
    </cfRule>
    <cfRule type="containsText" dxfId="1175" priority="1167" operator="containsText" text="ESPONTÁNEO">
      <formula>NOT(ISERROR(SEARCH("ESPONTÁNEO",IT155)))</formula>
    </cfRule>
  </conditionalFormatting>
  <conditionalFormatting sqref="JI155">
    <cfRule type="containsText" dxfId="1174" priority="1157" operator="containsText" text="NO APLICA">
      <formula>NOT(ISERROR(SEARCH("NO APLICA",JI155)))</formula>
    </cfRule>
    <cfRule type="containsText" dxfId="1173" priority="1158" operator="containsText" text="SIN DATO">
      <formula>NOT(ISERROR(SEARCH("SIN DATO",JI155)))</formula>
    </cfRule>
    <cfRule type="containsText" dxfId="1172" priority="1159" operator="containsText" text="NO">
      <formula>NOT(ISERROR(SEARCH("NO",JI155)))</formula>
    </cfRule>
    <cfRule type="containsText" dxfId="1171" priority="1160" operator="containsText" text="SI">
      <formula>NOT(ISERROR(SEARCH("SI",JI155)))</formula>
    </cfRule>
  </conditionalFormatting>
  <conditionalFormatting sqref="IR158">
    <cfRule type="containsText" dxfId="1170" priority="1153" operator="containsText" text="NO APLICA">
      <formula>NOT(ISERROR(SEARCH("NO APLICA",IR158)))</formula>
    </cfRule>
    <cfRule type="containsText" dxfId="1169" priority="1154" operator="containsText" text="ALTA">
      <formula>NOT(ISERROR(SEARCH("ALTA",IR158)))</formula>
    </cfRule>
    <cfRule type="containsText" dxfId="1168" priority="1155" operator="containsText" text="MEDIANA">
      <formula>NOT(ISERROR(SEARCH("MEDIANA",IR158)))</formula>
    </cfRule>
    <cfRule type="containsText" dxfId="1167" priority="1156" operator="containsText" text="BAJA">
      <formula>NOT(ISERROR(SEARCH("BAJA",IR158)))</formula>
    </cfRule>
  </conditionalFormatting>
  <conditionalFormatting sqref="IS158:IT158">
    <cfRule type="containsText" dxfId="1166" priority="1146" operator="containsText" text="NO APLICA">
      <formula>NOT(ISERROR(SEARCH("NO APLICA",IS158)))</formula>
    </cfRule>
    <cfRule type="containsText" dxfId="1165" priority="1147" operator="containsText" text="SIN">
      <formula>NOT(ISERROR(SEARCH("SIN",IS158)))</formula>
    </cfRule>
    <cfRule type="containsText" dxfId="1164" priority="1148" operator="containsText" text="EQUIPO">
      <formula>NOT(ISERROR(SEARCH("EQUIPO",IS158)))</formula>
    </cfRule>
    <cfRule type="containsText" dxfId="1163" priority="1149" operator="containsText" text="MEDICO TRADICIONAL">
      <formula>NOT(ISERROR(SEARCH("MEDICO TRADICIONAL",IS158)))</formula>
    </cfRule>
    <cfRule type="containsText" dxfId="1162" priority="1150" operator="containsText" text="PARTERA">
      <formula>NOT(ISERROR(SEARCH("PARTERA",IS158)))</formula>
    </cfRule>
    <cfRule type="containsText" dxfId="1161" priority="1151" operator="containsText" text="TÉCNICO">
      <formula>NOT(ISERROR(SEARCH("TÉCNICO",IS158)))</formula>
    </cfRule>
    <cfRule type="containsText" dxfId="1160" priority="1152" operator="containsText" text="PROFESIONAL">
      <formula>NOT(ISERROR(SEARCH("PROFESIONAL",IS158)))</formula>
    </cfRule>
  </conditionalFormatting>
  <conditionalFormatting sqref="IT158">
    <cfRule type="containsText" dxfId="1159" priority="1143" operator="containsText" text="LE HACEN CESÁREA SIN INICIO TRABAJO DE PARTO">
      <formula>NOT(ISERROR(SEARCH("LE HACEN CESÁREA SIN INICIO TRABAJO DE PARTO",IT158)))</formula>
    </cfRule>
    <cfRule type="containsText" dxfId="1158" priority="1144" operator="containsText" text="LE HACEN INDUCCIÓN">
      <formula>NOT(ISERROR(SEARCH("LE HACEN INDUCCIÓN",IT158)))</formula>
    </cfRule>
    <cfRule type="containsText" dxfId="1157" priority="1145" operator="containsText" text="ESPONTÁNEO">
      <formula>NOT(ISERROR(SEARCH("ESPONTÁNEO",IT158)))</formula>
    </cfRule>
  </conditionalFormatting>
  <conditionalFormatting sqref="JI158">
    <cfRule type="containsText" dxfId="1156" priority="1139" operator="containsText" text="NO APLICA">
      <formula>NOT(ISERROR(SEARCH("NO APLICA",JI158)))</formula>
    </cfRule>
    <cfRule type="containsText" dxfId="1155" priority="1140" operator="containsText" text="SIN DATO">
      <formula>NOT(ISERROR(SEARCH("SIN DATO",JI158)))</formula>
    </cfRule>
    <cfRule type="containsText" dxfId="1154" priority="1141" operator="containsText" text="NO">
      <formula>NOT(ISERROR(SEARCH("NO",JI158)))</formula>
    </cfRule>
    <cfRule type="containsText" dxfId="1153" priority="1142" operator="containsText" text="SI">
      <formula>NOT(ISERROR(SEARCH("SI",JI158)))</formula>
    </cfRule>
  </conditionalFormatting>
  <conditionalFormatting sqref="IR166">
    <cfRule type="containsText" dxfId="1152" priority="1135" operator="containsText" text="NO APLICA">
      <formula>NOT(ISERROR(SEARCH("NO APLICA",IR166)))</formula>
    </cfRule>
    <cfRule type="containsText" dxfId="1151" priority="1136" operator="containsText" text="ALTA">
      <formula>NOT(ISERROR(SEARCH("ALTA",IR166)))</formula>
    </cfRule>
    <cfRule type="containsText" dxfId="1150" priority="1137" operator="containsText" text="MEDIANA">
      <formula>NOT(ISERROR(SEARCH("MEDIANA",IR166)))</formula>
    </cfRule>
    <cfRule type="containsText" dxfId="1149" priority="1138" operator="containsText" text="BAJA">
      <formula>NOT(ISERROR(SEARCH("BAJA",IR166)))</formula>
    </cfRule>
  </conditionalFormatting>
  <conditionalFormatting sqref="IS166:IT166">
    <cfRule type="containsText" dxfId="1148" priority="1128" operator="containsText" text="NO APLICA">
      <formula>NOT(ISERROR(SEARCH("NO APLICA",IS166)))</formula>
    </cfRule>
    <cfRule type="containsText" dxfId="1147" priority="1129" operator="containsText" text="SIN">
      <formula>NOT(ISERROR(SEARCH("SIN",IS166)))</formula>
    </cfRule>
    <cfRule type="containsText" dxfId="1146" priority="1130" operator="containsText" text="EQUIPO">
      <formula>NOT(ISERROR(SEARCH("EQUIPO",IS166)))</formula>
    </cfRule>
    <cfRule type="containsText" dxfId="1145" priority="1131" operator="containsText" text="MEDICO TRADICIONAL">
      <formula>NOT(ISERROR(SEARCH("MEDICO TRADICIONAL",IS166)))</formula>
    </cfRule>
    <cfRule type="containsText" dxfId="1144" priority="1132" operator="containsText" text="PARTERA">
      <formula>NOT(ISERROR(SEARCH("PARTERA",IS166)))</formula>
    </cfRule>
    <cfRule type="containsText" dxfId="1143" priority="1133" operator="containsText" text="TÉCNICO">
      <formula>NOT(ISERROR(SEARCH("TÉCNICO",IS166)))</formula>
    </cfRule>
    <cfRule type="containsText" dxfId="1142" priority="1134" operator="containsText" text="PROFESIONAL">
      <formula>NOT(ISERROR(SEARCH("PROFESIONAL",IS166)))</formula>
    </cfRule>
  </conditionalFormatting>
  <conditionalFormatting sqref="IT166">
    <cfRule type="containsText" dxfId="1141" priority="1125" operator="containsText" text="LE HACEN CESÁREA SIN INICIO TRABAJO DE PARTO">
      <formula>NOT(ISERROR(SEARCH("LE HACEN CESÁREA SIN INICIO TRABAJO DE PARTO",IT166)))</formula>
    </cfRule>
    <cfRule type="containsText" dxfId="1140" priority="1126" operator="containsText" text="LE HACEN INDUCCIÓN">
      <formula>NOT(ISERROR(SEARCH("LE HACEN INDUCCIÓN",IT166)))</formula>
    </cfRule>
    <cfRule type="containsText" dxfId="1139" priority="1127" operator="containsText" text="ESPONTÁNEO">
      <formula>NOT(ISERROR(SEARCH("ESPONTÁNEO",IT166)))</formula>
    </cfRule>
  </conditionalFormatting>
  <conditionalFormatting sqref="JI166">
    <cfRule type="containsText" dxfId="1138" priority="1121" operator="containsText" text="NO APLICA">
      <formula>NOT(ISERROR(SEARCH("NO APLICA",JI166)))</formula>
    </cfRule>
    <cfRule type="containsText" dxfId="1137" priority="1122" operator="containsText" text="SIN DATO">
      <formula>NOT(ISERROR(SEARCH("SIN DATO",JI166)))</formula>
    </cfRule>
    <cfRule type="containsText" dxfId="1136" priority="1123" operator="containsText" text="NO">
      <formula>NOT(ISERROR(SEARCH("NO",JI166)))</formula>
    </cfRule>
    <cfRule type="containsText" dxfId="1135" priority="1124" operator="containsText" text="SI">
      <formula>NOT(ISERROR(SEARCH("SI",JI166)))</formula>
    </cfRule>
  </conditionalFormatting>
  <conditionalFormatting sqref="IR167">
    <cfRule type="containsText" dxfId="1134" priority="1117" operator="containsText" text="NO APLICA">
      <formula>NOT(ISERROR(SEARCH("NO APLICA",IR167)))</formula>
    </cfRule>
    <cfRule type="containsText" dxfId="1133" priority="1118" operator="containsText" text="ALTA">
      <formula>NOT(ISERROR(SEARCH("ALTA",IR167)))</formula>
    </cfRule>
    <cfRule type="containsText" dxfId="1132" priority="1119" operator="containsText" text="MEDIANA">
      <formula>NOT(ISERROR(SEARCH("MEDIANA",IR167)))</formula>
    </cfRule>
    <cfRule type="containsText" dxfId="1131" priority="1120" operator="containsText" text="BAJA">
      <formula>NOT(ISERROR(SEARCH("BAJA",IR167)))</formula>
    </cfRule>
  </conditionalFormatting>
  <conditionalFormatting sqref="IS167:IT167">
    <cfRule type="containsText" dxfId="1130" priority="1110" operator="containsText" text="NO APLICA">
      <formula>NOT(ISERROR(SEARCH("NO APLICA",IS167)))</formula>
    </cfRule>
    <cfRule type="containsText" dxfId="1129" priority="1111" operator="containsText" text="SIN">
      <formula>NOT(ISERROR(SEARCH("SIN",IS167)))</formula>
    </cfRule>
    <cfRule type="containsText" dxfId="1128" priority="1112" operator="containsText" text="EQUIPO">
      <formula>NOT(ISERROR(SEARCH("EQUIPO",IS167)))</formula>
    </cfRule>
    <cfRule type="containsText" dxfId="1127" priority="1113" operator="containsText" text="MEDICO TRADICIONAL">
      <formula>NOT(ISERROR(SEARCH("MEDICO TRADICIONAL",IS167)))</formula>
    </cfRule>
    <cfRule type="containsText" dxfId="1126" priority="1114" operator="containsText" text="PARTERA">
      <formula>NOT(ISERROR(SEARCH("PARTERA",IS167)))</formula>
    </cfRule>
    <cfRule type="containsText" dxfId="1125" priority="1115" operator="containsText" text="TÉCNICO">
      <formula>NOT(ISERROR(SEARCH("TÉCNICO",IS167)))</formula>
    </cfRule>
    <cfRule type="containsText" dxfId="1124" priority="1116" operator="containsText" text="PROFESIONAL">
      <formula>NOT(ISERROR(SEARCH("PROFESIONAL",IS167)))</formula>
    </cfRule>
  </conditionalFormatting>
  <conditionalFormatting sqref="IT167">
    <cfRule type="containsText" dxfId="1123" priority="1107" operator="containsText" text="LE HACEN CESÁREA SIN INICIO TRABAJO DE PARTO">
      <formula>NOT(ISERROR(SEARCH("LE HACEN CESÁREA SIN INICIO TRABAJO DE PARTO",IT167)))</formula>
    </cfRule>
    <cfRule type="containsText" dxfId="1122" priority="1108" operator="containsText" text="LE HACEN INDUCCIÓN">
      <formula>NOT(ISERROR(SEARCH("LE HACEN INDUCCIÓN",IT167)))</formula>
    </cfRule>
    <cfRule type="containsText" dxfId="1121" priority="1109" operator="containsText" text="ESPONTÁNEO">
      <formula>NOT(ISERROR(SEARCH("ESPONTÁNEO",IT167)))</formula>
    </cfRule>
  </conditionalFormatting>
  <conditionalFormatting sqref="JI167">
    <cfRule type="containsText" dxfId="1120" priority="1103" operator="containsText" text="NO APLICA">
      <formula>NOT(ISERROR(SEARCH("NO APLICA",JI167)))</formula>
    </cfRule>
    <cfRule type="containsText" dxfId="1119" priority="1104" operator="containsText" text="SIN DATO">
      <formula>NOT(ISERROR(SEARCH("SIN DATO",JI167)))</formula>
    </cfRule>
    <cfRule type="containsText" dxfId="1118" priority="1105" operator="containsText" text="NO">
      <formula>NOT(ISERROR(SEARCH("NO",JI167)))</formula>
    </cfRule>
    <cfRule type="containsText" dxfId="1117" priority="1106" operator="containsText" text="SI">
      <formula>NOT(ISERROR(SEARCH("SI",JI167)))</formula>
    </cfRule>
  </conditionalFormatting>
  <conditionalFormatting sqref="L237">
    <cfRule type="containsText" dxfId="1116" priority="1094" operator="containsText" text="Empleo informal">
      <formula>NOT(ISERROR(SEARCH("Empleo informal",L237)))</formula>
    </cfRule>
    <cfRule type="containsText" dxfId="1115" priority="1095" operator="containsText" text="Empleada formalmente con riesgo a tóxicos">
      <formula>NOT(ISERROR(SEARCH("Empleada formalmente con riesgo a tóxicos",L237)))</formula>
    </cfRule>
    <cfRule type="containsText" dxfId="1114" priority="1096" operator="containsText" text="Empleada formalmente con riesgo de accidente laboral">
      <formula>NOT(ISERROR(SEARCH("Empleada formalmente con riesgo de accidente laboral",L237)))</formula>
    </cfRule>
    <cfRule type="containsText" dxfId="1113" priority="1097" operator="containsText" text="Empleada formalmente por jornada laboral extensa">
      <formula>NOT(ISERROR(SEARCH("Empleada formalmente por jornada laboral extensa",L237)))</formula>
    </cfRule>
    <cfRule type="containsText" dxfId="1112" priority="1098" operator="containsText" text="Empleada formalmente sin riesgo">
      <formula>NOT(ISERROR(SEARCH("Empleada formalmente sin riesgo",L237)))</formula>
    </cfRule>
    <cfRule type="containsText" dxfId="1111" priority="1099" operator="containsText" text="Actualmente desempleada">
      <formula>NOT(ISERROR(SEARCH("Actualmente desempleada",L237)))</formula>
    </cfRule>
    <cfRule type="containsText" dxfId="1110" priority="1100" operator="containsText" text="Hogar sin apoyo">
      <formula>NOT(ISERROR(SEARCH("Hogar sin apoyo",L237)))</formula>
    </cfRule>
    <cfRule type="containsText" dxfId="1109" priority="1101" operator="containsText" text="Empleada formalmente sin riesgo">
      <formula>NOT(ISERROR(SEARCH("Empleada formalmente sin riesgo",L237)))</formula>
    </cfRule>
    <cfRule type="containsText" dxfId="1108" priority="1102" operator="containsText" text="Hogar Con apoyo">
      <formula>NOT(ISERROR(SEARCH("Hogar Con apoyo",L237)))</formula>
    </cfRule>
  </conditionalFormatting>
  <conditionalFormatting sqref="AL237:AR237">
    <cfRule type="cellIs" dxfId="1107" priority="1091" operator="equal">
      <formula>"SD"</formula>
    </cfRule>
    <cfRule type="cellIs" dxfId="1106" priority="1092" operator="equal">
      <formula>"NO"</formula>
    </cfRule>
    <cfRule type="cellIs" dxfId="1105" priority="1093" operator="equal">
      <formula>"SI"</formula>
    </cfRule>
  </conditionalFormatting>
  <conditionalFormatting sqref="AK237">
    <cfRule type="containsText" dxfId="1104" priority="1088" operator="containsText" text="COMPLETAR EVALUACIÓN">
      <formula>NOT(ISERROR(SEARCH("COMPLETAR EVALUACIÓN",AK237)))</formula>
    </cfRule>
    <cfRule type="containsText" dxfId="1103" priority="1089" operator="containsText" text="CON RIESGO">
      <formula>NOT(ISERROR(SEARCH("CON RIESGO",AK237)))</formula>
    </cfRule>
    <cfRule type="containsText" dxfId="1102" priority="1090" operator="containsText" text="SIN RIESGO">
      <formula>NOT(ISERROR(SEARCH("SIN RIESGO",AK237)))</formula>
    </cfRule>
  </conditionalFormatting>
  <conditionalFormatting sqref="AG237:AH237">
    <cfRule type="cellIs" dxfId="1101" priority="1085" operator="equal">
      <formula>"SD"</formula>
    </cfRule>
    <cfRule type="cellIs" dxfId="1100" priority="1086" operator="equal">
      <formula>"NO"</formula>
    </cfRule>
    <cfRule type="cellIs" dxfId="1099" priority="1087" operator="equal">
      <formula>"SI"</formula>
    </cfRule>
  </conditionalFormatting>
  <conditionalFormatting sqref="AI237">
    <cfRule type="containsText" dxfId="1098" priority="1080" operator="containsText" text="HABITANTE DE CALLE">
      <formula>NOT(ISERROR(SEARCH("HABITANTE DE CALLE",AI237)))</formula>
    </cfRule>
    <cfRule type="containsText" dxfId="1097" priority="1081" operator="containsText" text="NINGUNO">
      <formula>NOT(ISERROR(SEARCH("NINGUNO",AI237)))</formula>
    </cfRule>
    <cfRule type="containsText" dxfId="1096" priority="1082" operator="containsText" text="MIGRATORIA">
      <formula>NOT(ISERROR(SEARCH("MIGRATORIA",AI237)))</formula>
    </cfRule>
    <cfRule type="containsText" dxfId="1095" priority="1083" operator="containsText" text="DISCAPACIDAD">
      <formula>NOT(ISERROR(SEARCH("DISCAPACIDAD",AI237)))</formula>
    </cfRule>
    <cfRule type="containsText" dxfId="1094" priority="1084" operator="containsText" text="DESPLAZADA">
      <formula>NOT(ISERROR(SEARCH("DESPLAZADA",AI237)))</formula>
    </cfRule>
  </conditionalFormatting>
  <conditionalFormatting sqref="AJ237">
    <cfRule type="cellIs" dxfId="1093" priority="1077" operator="equal">
      <formula>"SD"</formula>
    </cfRule>
    <cfRule type="cellIs" dxfId="1092" priority="1078" operator="equal">
      <formula>"NO"</formula>
    </cfRule>
    <cfRule type="cellIs" dxfId="1091" priority="1079" operator="equal">
      <formula>"SI"</formula>
    </cfRule>
  </conditionalFormatting>
  <conditionalFormatting sqref="AX237 BA237">
    <cfRule type="cellIs" dxfId="1090" priority="1074" operator="equal">
      <formula>"SD"</formula>
    </cfRule>
    <cfRule type="cellIs" dxfId="1089" priority="1075" operator="equal">
      <formula>"NO"</formula>
    </cfRule>
    <cfRule type="cellIs" dxfId="1088" priority="1076" operator="equal">
      <formula>"SI"</formula>
    </cfRule>
  </conditionalFormatting>
  <conditionalFormatting sqref="AY237">
    <cfRule type="containsText" dxfId="1087" priority="1069" operator="containsText" text="SD">
      <formula>NOT(ISERROR(SEARCH("SD",AY237)))</formula>
    </cfRule>
    <cfRule type="containsText" dxfId="1086" priority="1070" operator="containsText" text="SI, NO CONTROLADA">
      <formula>NOT(ISERROR(SEARCH("SI, NO CONTROLADA",AY237)))</formula>
    </cfRule>
    <cfRule type="containsText" dxfId="1085" priority="1071" operator="containsText" text="SI, SIN MANEJO">
      <formula>NOT(ISERROR(SEARCH("SI, SIN MANEJO",AY237)))</formula>
    </cfRule>
    <cfRule type="containsText" dxfId="1084" priority="1072" operator="containsText" text="SI, CONTROLADA">
      <formula>NOT(ISERROR(SEARCH("SI, CONTROLADA",AY237)))</formula>
    </cfRule>
    <cfRule type="containsText" dxfId="1083" priority="1073" operator="containsText" text="NO">
      <formula>NOT(ISERROR(SEARCH("NO",AY237)))</formula>
    </cfRule>
  </conditionalFormatting>
  <conditionalFormatting sqref="AZ237">
    <cfRule type="containsText" dxfId="1082" priority="1064" operator="containsText" text="SD">
      <formula>NOT(ISERROR(SEARCH("SD",AZ237)))</formula>
    </cfRule>
    <cfRule type="containsText" dxfId="1081" priority="1065" operator="containsText" text="SI, NO CONTROLADA">
      <formula>NOT(ISERROR(SEARCH("SI, NO CONTROLADA",AZ237)))</formula>
    </cfRule>
    <cfRule type="containsText" dxfId="1080" priority="1066" operator="containsText" text="SI, SIN MANEJO">
      <formula>NOT(ISERROR(SEARCH("SI, SIN MANEJO",AZ237)))</formula>
    </cfRule>
    <cfRule type="containsText" dxfId="1079" priority="1067" operator="containsText" text="SI, CONTROLADA">
      <formula>NOT(ISERROR(SEARCH("SI, CONTROLADA",AZ237)))</formula>
    </cfRule>
    <cfRule type="containsText" dxfId="1078" priority="1068" operator="containsText" text="NO">
      <formula>NOT(ISERROR(SEARCH("NO",AZ237)))</formula>
    </cfRule>
  </conditionalFormatting>
  <conditionalFormatting sqref="BB237">
    <cfRule type="cellIs" dxfId="1077" priority="1061" operator="equal">
      <formula>"SD"</formula>
    </cfRule>
    <cfRule type="cellIs" dxfId="1076" priority="1062" operator="equal">
      <formula>"NO"</formula>
    </cfRule>
    <cfRule type="cellIs" dxfId="1075" priority="1063" operator="equal">
      <formula>"SI"</formula>
    </cfRule>
  </conditionalFormatting>
  <conditionalFormatting sqref="BC237">
    <cfRule type="cellIs" dxfId="1074" priority="1058" operator="equal">
      <formula>"SD"</formula>
    </cfRule>
    <cfRule type="cellIs" dxfId="1073" priority="1059" operator="equal">
      <formula>"NO"</formula>
    </cfRule>
    <cfRule type="cellIs" dxfId="1072" priority="1060" operator="equal">
      <formula>"SI"</formula>
    </cfRule>
  </conditionalFormatting>
  <conditionalFormatting sqref="BF237">
    <cfRule type="cellIs" dxfId="1071" priority="1055" operator="equal">
      <formula>"SD"</formula>
    </cfRule>
    <cfRule type="cellIs" dxfId="1070" priority="1056" operator="equal">
      <formula>"NO"</formula>
    </cfRule>
    <cfRule type="cellIs" dxfId="1069" priority="1057" operator="equal">
      <formula>"SI"</formula>
    </cfRule>
  </conditionalFormatting>
  <conditionalFormatting sqref="BD237:BE237">
    <cfRule type="cellIs" dxfId="1068" priority="1052" operator="equal">
      <formula>"SD"</formula>
    </cfRule>
    <cfRule type="cellIs" dxfId="1067" priority="1053" operator="equal">
      <formula>"NO"</formula>
    </cfRule>
    <cfRule type="cellIs" dxfId="1066" priority="1054" operator="equal">
      <formula>"SI"</formula>
    </cfRule>
  </conditionalFormatting>
  <conditionalFormatting sqref="BE237">
    <cfRule type="expression" dxfId="1065" priority="1051">
      <formula>IF(AND(FA237&gt;=126,FC237&lt;24),1,0)</formula>
    </cfRule>
  </conditionalFormatting>
  <conditionalFormatting sqref="BG237">
    <cfRule type="cellIs" dxfId="1064" priority="1048" operator="equal">
      <formula>"SD"</formula>
    </cfRule>
    <cfRule type="cellIs" dxfId="1063" priority="1049" operator="equal">
      <formula>"NO"</formula>
    </cfRule>
    <cfRule type="cellIs" dxfId="1062" priority="1050" operator="equal">
      <formula>"SI"</formula>
    </cfRule>
  </conditionalFormatting>
  <conditionalFormatting sqref="BH237">
    <cfRule type="cellIs" dxfId="1061" priority="1045" operator="equal">
      <formula>"SD"</formula>
    </cfRule>
    <cfRule type="cellIs" dxfId="1060" priority="1046" operator="equal">
      <formula>"NO"</formula>
    </cfRule>
    <cfRule type="cellIs" dxfId="1059" priority="1047" operator="equal">
      <formula>"SI"</formula>
    </cfRule>
  </conditionalFormatting>
  <conditionalFormatting sqref="BI237">
    <cfRule type="cellIs" dxfId="1058" priority="1042" operator="equal">
      <formula>"SD"</formula>
    </cfRule>
    <cfRule type="cellIs" dxfId="1057" priority="1043" operator="equal">
      <formula>"NO"</formula>
    </cfRule>
    <cfRule type="cellIs" dxfId="1056" priority="1044" operator="equal">
      <formula>"SI"</formula>
    </cfRule>
  </conditionalFormatting>
  <conditionalFormatting sqref="BJ237">
    <cfRule type="cellIs" dxfId="1055" priority="1039" operator="equal">
      <formula>"SD"</formula>
    </cfRule>
    <cfRule type="cellIs" dxfId="1054" priority="1040" operator="equal">
      <formula>"NO"</formula>
    </cfRule>
    <cfRule type="cellIs" dxfId="1053" priority="1041" operator="equal">
      <formula>"SI"</formula>
    </cfRule>
  </conditionalFormatting>
  <conditionalFormatting sqref="BL237:BM237">
    <cfRule type="cellIs" dxfId="1052" priority="1036" operator="equal">
      <formula>"SD"</formula>
    </cfRule>
    <cfRule type="cellIs" dxfId="1051" priority="1037" operator="equal">
      <formula>"NO"</formula>
    </cfRule>
    <cfRule type="cellIs" dxfId="1050" priority="1038" operator="equal">
      <formula>"SI"</formula>
    </cfRule>
  </conditionalFormatting>
  <conditionalFormatting sqref="BK237">
    <cfRule type="cellIs" dxfId="1049" priority="1033" operator="equal">
      <formula>"SD"</formula>
    </cfRule>
    <cfRule type="cellIs" dxfId="1048" priority="1034" operator="equal">
      <formula>"NO"</formula>
    </cfRule>
    <cfRule type="cellIs" dxfId="1047" priority="1035" operator="equal">
      <formula>"SI"</formula>
    </cfRule>
  </conditionalFormatting>
  <conditionalFormatting sqref="L238">
    <cfRule type="containsText" dxfId="1046" priority="1024" operator="containsText" text="Empleo informal">
      <formula>NOT(ISERROR(SEARCH("Empleo informal",L238)))</formula>
    </cfRule>
    <cfRule type="containsText" dxfId="1045" priority="1025" operator="containsText" text="Empleada formalmente con riesgo a tóxicos">
      <formula>NOT(ISERROR(SEARCH("Empleada formalmente con riesgo a tóxicos",L238)))</formula>
    </cfRule>
    <cfRule type="containsText" dxfId="1044" priority="1026" operator="containsText" text="Empleada formalmente con riesgo de accidente laboral">
      <formula>NOT(ISERROR(SEARCH("Empleada formalmente con riesgo de accidente laboral",L238)))</formula>
    </cfRule>
    <cfRule type="containsText" dxfId="1043" priority="1027" operator="containsText" text="Empleada formalmente por jornada laboral extensa">
      <formula>NOT(ISERROR(SEARCH("Empleada formalmente por jornada laboral extensa",L238)))</formula>
    </cfRule>
    <cfRule type="containsText" dxfId="1042" priority="1028" operator="containsText" text="Empleada formalmente sin riesgo">
      <formula>NOT(ISERROR(SEARCH("Empleada formalmente sin riesgo",L238)))</formula>
    </cfRule>
    <cfRule type="containsText" dxfId="1041" priority="1029" operator="containsText" text="Actualmente desempleada">
      <formula>NOT(ISERROR(SEARCH("Actualmente desempleada",L238)))</formula>
    </cfRule>
    <cfRule type="containsText" dxfId="1040" priority="1030" operator="containsText" text="Hogar sin apoyo">
      <formula>NOT(ISERROR(SEARCH("Hogar sin apoyo",L238)))</formula>
    </cfRule>
    <cfRule type="containsText" dxfId="1039" priority="1031" operator="containsText" text="Empleada formalmente sin riesgo">
      <formula>NOT(ISERROR(SEARCH("Empleada formalmente sin riesgo",L238)))</formula>
    </cfRule>
    <cfRule type="containsText" dxfId="1038" priority="1032" operator="containsText" text="Hogar Con apoyo">
      <formula>NOT(ISERROR(SEARCH("Hogar Con apoyo",L238)))</formula>
    </cfRule>
  </conditionalFormatting>
  <conditionalFormatting sqref="AE238:AF238">
    <cfRule type="containsText" dxfId="1037" priority="1022" operator="containsText" text="NO">
      <formula>NOT(ISERROR(SEARCH("NO",AE238)))</formula>
    </cfRule>
    <cfRule type="containsText" dxfId="1036" priority="1023" operator="containsText" text="SI">
      <formula>NOT(ISERROR(SEARCH("SI",AE238)))</formula>
    </cfRule>
  </conditionalFormatting>
  <conditionalFormatting sqref="AK238">
    <cfRule type="containsText" dxfId="1035" priority="1019" operator="containsText" text="COMPLETAR EVALUACIÓN">
      <formula>NOT(ISERROR(SEARCH("COMPLETAR EVALUACIÓN",AK238)))</formula>
    </cfRule>
    <cfRule type="containsText" dxfId="1034" priority="1020" operator="containsText" text="CON RIESGO">
      <formula>NOT(ISERROR(SEARCH("CON RIESGO",AK238)))</formula>
    </cfRule>
    <cfRule type="containsText" dxfId="1033" priority="1021" operator="containsText" text="SIN RIESGO">
      <formula>NOT(ISERROR(SEARCH("SIN RIESGO",AK238)))</formula>
    </cfRule>
  </conditionalFormatting>
  <conditionalFormatting sqref="AG238:AH238">
    <cfRule type="cellIs" dxfId="1032" priority="1016" operator="equal">
      <formula>"SD"</formula>
    </cfRule>
    <cfRule type="cellIs" dxfId="1031" priority="1017" operator="equal">
      <formula>"NO"</formula>
    </cfRule>
    <cfRule type="cellIs" dxfId="1030" priority="1018" operator="equal">
      <formula>"SI"</formula>
    </cfRule>
  </conditionalFormatting>
  <conditionalFormatting sqref="AI238">
    <cfRule type="containsText" dxfId="1029" priority="1011" operator="containsText" text="HABITANTE DE CALLE">
      <formula>NOT(ISERROR(SEARCH("HABITANTE DE CALLE",AI238)))</formula>
    </cfRule>
    <cfRule type="containsText" dxfId="1028" priority="1012" operator="containsText" text="NINGUNO">
      <formula>NOT(ISERROR(SEARCH("NINGUNO",AI238)))</formula>
    </cfRule>
    <cfRule type="containsText" dxfId="1027" priority="1013" operator="containsText" text="MIGRATORIA">
      <formula>NOT(ISERROR(SEARCH("MIGRATORIA",AI238)))</formula>
    </cfRule>
    <cfRule type="containsText" dxfId="1026" priority="1014" operator="containsText" text="DISCAPACIDAD">
      <formula>NOT(ISERROR(SEARCH("DISCAPACIDAD",AI238)))</formula>
    </cfRule>
    <cfRule type="containsText" dxfId="1025" priority="1015" operator="containsText" text="DESPLAZADA">
      <formula>NOT(ISERROR(SEARCH("DESPLAZADA",AI238)))</formula>
    </cfRule>
  </conditionalFormatting>
  <conditionalFormatting sqref="AJ238">
    <cfRule type="cellIs" dxfId="1024" priority="1008" operator="equal">
      <formula>"SD"</formula>
    </cfRule>
    <cfRule type="cellIs" dxfId="1023" priority="1009" operator="equal">
      <formula>"NO"</formula>
    </cfRule>
    <cfRule type="cellIs" dxfId="1022" priority="1010" operator="equal">
      <formula>"SI"</formula>
    </cfRule>
  </conditionalFormatting>
  <conditionalFormatting sqref="AL238:AR238">
    <cfRule type="cellIs" dxfId="1021" priority="989" operator="equal">
      <formula>"SD"</formula>
    </cfRule>
    <cfRule type="cellIs" dxfId="1020" priority="990" operator="equal">
      <formula>"NO"</formula>
    </cfRule>
    <cfRule type="cellIs" dxfId="1019" priority="991" operator="equal">
      <formula>"SI"</formula>
    </cfRule>
  </conditionalFormatting>
  <conditionalFormatting sqref="AX238 BA238">
    <cfRule type="cellIs" dxfId="1018" priority="986" operator="equal">
      <formula>"SD"</formula>
    </cfRule>
    <cfRule type="cellIs" dxfId="1017" priority="987" operator="equal">
      <formula>"NO"</formula>
    </cfRule>
    <cfRule type="cellIs" dxfId="1016" priority="988" operator="equal">
      <formula>"SI"</formula>
    </cfRule>
  </conditionalFormatting>
  <conditionalFormatting sqref="AY238">
    <cfRule type="containsText" dxfId="1015" priority="981" operator="containsText" text="SD">
      <formula>NOT(ISERROR(SEARCH("SD",AY238)))</formula>
    </cfRule>
    <cfRule type="containsText" dxfId="1014" priority="982" operator="containsText" text="SI, NO CONTROLADA">
      <formula>NOT(ISERROR(SEARCH("SI, NO CONTROLADA",AY238)))</formula>
    </cfRule>
    <cfRule type="containsText" dxfId="1013" priority="983" operator="containsText" text="SI, SIN MANEJO">
      <formula>NOT(ISERROR(SEARCH("SI, SIN MANEJO",AY238)))</formula>
    </cfRule>
    <cfRule type="containsText" dxfId="1012" priority="984" operator="containsText" text="SI, CONTROLADA">
      <formula>NOT(ISERROR(SEARCH("SI, CONTROLADA",AY238)))</formula>
    </cfRule>
    <cfRule type="containsText" dxfId="1011" priority="985" operator="containsText" text="NO">
      <formula>NOT(ISERROR(SEARCH("NO",AY238)))</formula>
    </cfRule>
  </conditionalFormatting>
  <conditionalFormatting sqref="AZ238">
    <cfRule type="containsText" dxfId="1010" priority="976" operator="containsText" text="SD">
      <formula>NOT(ISERROR(SEARCH("SD",AZ238)))</formula>
    </cfRule>
    <cfRule type="containsText" dxfId="1009" priority="977" operator="containsText" text="SI, NO CONTROLADA">
      <formula>NOT(ISERROR(SEARCH("SI, NO CONTROLADA",AZ238)))</formula>
    </cfRule>
    <cfRule type="containsText" dxfId="1008" priority="978" operator="containsText" text="SI, SIN MANEJO">
      <formula>NOT(ISERROR(SEARCH("SI, SIN MANEJO",AZ238)))</formula>
    </cfRule>
    <cfRule type="containsText" dxfId="1007" priority="979" operator="containsText" text="SI, CONTROLADA">
      <formula>NOT(ISERROR(SEARCH("SI, CONTROLADA",AZ238)))</formula>
    </cfRule>
    <cfRule type="containsText" dxfId="1006" priority="980" operator="containsText" text="NO">
      <formula>NOT(ISERROR(SEARCH("NO",AZ238)))</formula>
    </cfRule>
  </conditionalFormatting>
  <conditionalFormatting sqref="BB238">
    <cfRule type="cellIs" dxfId="1005" priority="973" operator="equal">
      <formula>"SD"</formula>
    </cfRule>
    <cfRule type="cellIs" dxfId="1004" priority="974" operator="equal">
      <formula>"NO"</formula>
    </cfRule>
    <cfRule type="cellIs" dxfId="1003" priority="975" operator="equal">
      <formula>"SI"</formula>
    </cfRule>
  </conditionalFormatting>
  <conditionalFormatting sqref="BC238">
    <cfRule type="cellIs" dxfId="1002" priority="970" operator="equal">
      <formula>"SD"</formula>
    </cfRule>
    <cfRule type="cellIs" dxfId="1001" priority="971" operator="equal">
      <formula>"NO"</formula>
    </cfRule>
    <cfRule type="cellIs" dxfId="1000" priority="972" operator="equal">
      <formula>"SI"</formula>
    </cfRule>
  </conditionalFormatting>
  <conditionalFormatting sqref="BF238">
    <cfRule type="cellIs" dxfId="999" priority="967" operator="equal">
      <formula>"SD"</formula>
    </cfRule>
    <cfRule type="cellIs" dxfId="998" priority="968" operator="equal">
      <formula>"NO"</formula>
    </cfRule>
    <cfRule type="cellIs" dxfId="997" priority="969" operator="equal">
      <formula>"SI"</formula>
    </cfRule>
  </conditionalFormatting>
  <conditionalFormatting sqref="BD238:BE238">
    <cfRule type="cellIs" dxfId="996" priority="964" operator="equal">
      <formula>"SD"</formula>
    </cfRule>
    <cfRule type="cellIs" dxfId="995" priority="965" operator="equal">
      <formula>"NO"</formula>
    </cfRule>
    <cfRule type="cellIs" dxfId="994" priority="966" operator="equal">
      <formula>"SI"</formula>
    </cfRule>
  </conditionalFormatting>
  <conditionalFormatting sqref="BE238">
    <cfRule type="expression" dxfId="993" priority="963">
      <formula>IF(AND(FA238&gt;=126,FC238&lt;24),1,0)</formula>
    </cfRule>
  </conditionalFormatting>
  <conditionalFormatting sqref="BG238">
    <cfRule type="cellIs" dxfId="992" priority="960" operator="equal">
      <formula>"SD"</formula>
    </cfRule>
    <cfRule type="cellIs" dxfId="991" priority="961" operator="equal">
      <formula>"NO"</formula>
    </cfRule>
    <cfRule type="cellIs" dxfId="990" priority="962" operator="equal">
      <formula>"SI"</formula>
    </cfRule>
  </conditionalFormatting>
  <conditionalFormatting sqref="BH238">
    <cfRule type="cellIs" dxfId="989" priority="957" operator="equal">
      <formula>"SD"</formula>
    </cfRule>
    <cfRule type="cellIs" dxfId="988" priority="958" operator="equal">
      <formula>"NO"</formula>
    </cfRule>
    <cfRule type="cellIs" dxfId="987" priority="959" operator="equal">
      <formula>"SI"</formula>
    </cfRule>
  </conditionalFormatting>
  <conditionalFormatting sqref="BI238">
    <cfRule type="cellIs" dxfId="986" priority="954" operator="equal">
      <formula>"SD"</formula>
    </cfRule>
    <cfRule type="cellIs" dxfId="985" priority="955" operator="equal">
      <formula>"NO"</formula>
    </cfRule>
    <cfRule type="cellIs" dxfId="984" priority="956" operator="equal">
      <formula>"SI"</formula>
    </cfRule>
  </conditionalFormatting>
  <conditionalFormatting sqref="BJ238">
    <cfRule type="cellIs" dxfId="983" priority="951" operator="equal">
      <formula>"SD"</formula>
    </cfRule>
    <cfRule type="cellIs" dxfId="982" priority="952" operator="equal">
      <formula>"NO"</formula>
    </cfRule>
    <cfRule type="cellIs" dxfId="981" priority="953" operator="equal">
      <formula>"SI"</formula>
    </cfRule>
  </conditionalFormatting>
  <conditionalFormatting sqref="BL238:BM238">
    <cfRule type="cellIs" dxfId="980" priority="948" operator="equal">
      <formula>"SD"</formula>
    </cfRule>
    <cfRule type="cellIs" dxfId="979" priority="949" operator="equal">
      <formula>"NO"</formula>
    </cfRule>
    <cfRule type="cellIs" dxfId="978" priority="950" operator="equal">
      <formula>"SI"</formula>
    </cfRule>
  </conditionalFormatting>
  <conditionalFormatting sqref="BK238">
    <cfRule type="cellIs" dxfId="977" priority="945" operator="equal">
      <formula>"SD"</formula>
    </cfRule>
    <cfRule type="cellIs" dxfId="976" priority="946" operator="equal">
      <formula>"NO"</formula>
    </cfRule>
    <cfRule type="cellIs" dxfId="975" priority="947" operator="equal">
      <formula>"SI"</formula>
    </cfRule>
  </conditionalFormatting>
  <conditionalFormatting sqref="FB238">
    <cfRule type="containsText" dxfId="974" priority="941" operator="containsText" text="RH NEGATIVO SIN COOMB">
      <formula>NOT(ISERROR(SEARCH("RH NEGATIVO SIN COOMB",FB238)))</formula>
    </cfRule>
    <cfRule type="containsText" dxfId="973" priority="942" operator="containsText" text="RH NEGATIVO CON COOMBS POSITIVO">
      <formula>NOT(ISERROR(SEARCH("RH NEGATIVO CON COOMBS POSITIVO",FB238)))</formula>
    </cfRule>
    <cfRule type="containsText" dxfId="972" priority="943" operator="containsText" text="RH NEGATIVO CON COOMBS NEGATIVO">
      <formula>NOT(ISERROR(SEARCH("RH NEGATIVO CON COOMBS NEGATIVO",FB238)))</formula>
    </cfRule>
    <cfRule type="containsText" dxfId="971" priority="944" operator="containsText" text="RH POSITIVO">
      <formula>NOT(ISERROR(SEARCH("RH POSITIVO",FB238)))</formula>
    </cfRule>
  </conditionalFormatting>
  <conditionalFormatting sqref="FK238">
    <cfRule type="containsText" dxfId="970" priority="937" operator="containsText" text="RH NEGATIVO SIN COOMB">
      <formula>NOT(ISERROR(SEARCH("RH NEGATIVO SIN COOMB",FK238)))</formula>
    </cfRule>
    <cfRule type="containsText" dxfId="969" priority="938" operator="containsText" text="RH NEGATIVO CON COOMBS POSITIVO">
      <formula>NOT(ISERROR(SEARCH("RH NEGATIVO CON COOMBS POSITIVO",FK238)))</formula>
    </cfRule>
    <cfRule type="containsText" dxfId="968" priority="939" operator="containsText" text="RH NEGATIVO CON COOMBS NEGATIVO">
      <formula>NOT(ISERROR(SEARCH("RH NEGATIVO CON COOMBS NEGATIVO",FK238)))</formula>
    </cfRule>
    <cfRule type="containsText" dxfId="967" priority="940" operator="containsText" text="RH POSITIVO">
      <formula>NOT(ISERROR(SEARCH("RH POSITIVO",FK238)))</formula>
    </cfRule>
  </conditionalFormatting>
  <conditionalFormatting sqref="FN238">
    <cfRule type="containsText" dxfId="966" priority="933" operator="containsText" text="RH NEGATIVO SIN COOMB">
      <formula>NOT(ISERROR(SEARCH("RH NEGATIVO SIN COOMB",FN238)))</formula>
    </cfRule>
    <cfRule type="containsText" dxfId="965" priority="934" operator="containsText" text="RH NEGATIVO CON COOMBS POSITIVO">
      <formula>NOT(ISERROR(SEARCH("RH NEGATIVO CON COOMBS POSITIVO",FN238)))</formula>
    </cfRule>
    <cfRule type="containsText" dxfId="964" priority="935" operator="containsText" text="RH NEGATIVO CON COOMBS NEGATIVO">
      <formula>NOT(ISERROR(SEARCH("RH NEGATIVO CON COOMBS NEGATIVO",FN238)))</formula>
    </cfRule>
    <cfRule type="containsText" dxfId="963" priority="936" operator="containsText" text="RH POSITIVO">
      <formula>NOT(ISERROR(SEARCH("RH POSITIVO",FN238)))</formula>
    </cfRule>
  </conditionalFormatting>
  <conditionalFormatting sqref="HV238">
    <cfRule type="containsText" dxfId="962" priority="929" operator="containsText" text="NO SE FORMULA">
      <formula>NOT(ISERROR(SEARCH("NO SE FORMULA",HV238)))</formula>
    </cfRule>
    <cfRule type="containsText" dxfId="961" priority="930" operator="containsText" text="OTRO">
      <formula>NOT(ISERROR(SEARCH("OTRO",HV238)))</formula>
    </cfRule>
    <cfRule type="containsText" dxfId="960" priority="931" operator="containsText" text="IRREGULAR">
      <formula>NOT(ISERROR(SEARCH("IRREGULAR",HV238)))</formula>
    </cfRule>
    <cfRule type="containsText" dxfId="959" priority="932" operator="containsText" text="ADECUADO">
      <formula>NOT(ISERROR(SEARCH("ADECUADO",HV238)))</formula>
    </cfRule>
  </conditionalFormatting>
  <conditionalFormatting sqref="L239">
    <cfRule type="containsText" dxfId="958" priority="920" operator="containsText" text="Empleo informal">
      <formula>NOT(ISERROR(SEARCH("Empleo informal",L239)))</formula>
    </cfRule>
    <cfRule type="containsText" dxfId="957" priority="921" operator="containsText" text="Empleada formalmente con riesgo a tóxicos">
      <formula>NOT(ISERROR(SEARCH("Empleada formalmente con riesgo a tóxicos",L239)))</formula>
    </cfRule>
    <cfRule type="containsText" dxfId="956" priority="922" operator="containsText" text="Empleada formalmente con riesgo de accidente laboral">
      <formula>NOT(ISERROR(SEARCH("Empleada formalmente con riesgo de accidente laboral",L239)))</formula>
    </cfRule>
    <cfRule type="containsText" dxfId="955" priority="923" operator="containsText" text="Empleada formalmente por jornada laboral extensa">
      <formula>NOT(ISERROR(SEARCH("Empleada formalmente por jornada laboral extensa",L239)))</formula>
    </cfRule>
    <cfRule type="containsText" dxfId="954" priority="924" operator="containsText" text="Empleada formalmente sin riesgo">
      <formula>NOT(ISERROR(SEARCH("Empleada formalmente sin riesgo",L239)))</formula>
    </cfRule>
    <cfRule type="containsText" dxfId="953" priority="925" operator="containsText" text="Actualmente desempleada">
      <formula>NOT(ISERROR(SEARCH("Actualmente desempleada",L239)))</formula>
    </cfRule>
    <cfRule type="containsText" dxfId="952" priority="926" operator="containsText" text="Hogar sin apoyo">
      <formula>NOT(ISERROR(SEARCH("Hogar sin apoyo",L239)))</formula>
    </cfRule>
    <cfRule type="containsText" dxfId="951" priority="927" operator="containsText" text="Empleada formalmente sin riesgo">
      <formula>NOT(ISERROR(SEARCH("Empleada formalmente sin riesgo",L239)))</formula>
    </cfRule>
    <cfRule type="containsText" dxfId="950" priority="928" operator="containsText" text="Hogar Con apoyo">
      <formula>NOT(ISERROR(SEARCH("Hogar Con apoyo",L239)))</formula>
    </cfRule>
  </conditionalFormatting>
  <conditionalFormatting sqref="AS239:AW239">
    <cfRule type="cellIs" dxfId="949" priority="917" operator="equal">
      <formula>"SD"</formula>
    </cfRule>
    <cfRule type="cellIs" dxfId="948" priority="918" operator="equal">
      <formula>"NO"</formula>
    </cfRule>
    <cfRule type="cellIs" dxfId="947" priority="919" operator="equal">
      <formula>"SI"</formula>
    </cfRule>
  </conditionalFormatting>
  <conditionalFormatting sqref="AW239">
    <cfRule type="cellIs" dxfId="946" priority="914" operator="equal">
      <formula>1</formula>
    </cfRule>
    <cfRule type="cellIs" dxfId="945" priority="915" operator="equal">
      <formula>"3 O MAS"</formula>
    </cfRule>
    <cfRule type="cellIs" dxfId="944" priority="916" operator="equal">
      <formula>2</formula>
    </cfRule>
  </conditionalFormatting>
  <conditionalFormatting sqref="AE239:AF239">
    <cfRule type="containsText" dxfId="943" priority="912" operator="containsText" text="NO">
      <formula>NOT(ISERROR(SEARCH("NO",AE239)))</formula>
    </cfRule>
    <cfRule type="containsText" dxfId="942" priority="913" operator="containsText" text="SI">
      <formula>NOT(ISERROR(SEARCH("SI",AE239)))</formula>
    </cfRule>
  </conditionalFormatting>
  <conditionalFormatting sqref="AL239:AR239">
    <cfRule type="cellIs" dxfId="941" priority="909" operator="equal">
      <formula>"SD"</formula>
    </cfRule>
    <cfRule type="cellIs" dxfId="940" priority="910" operator="equal">
      <formula>"NO"</formula>
    </cfRule>
    <cfRule type="cellIs" dxfId="939" priority="911" operator="equal">
      <formula>"SI"</formula>
    </cfRule>
  </conditionalFormatting>
  <conditionalFormatting sqref="AK239">
    <cfRule type="containsText" dxfId="938" priority="906" operator="containsText" text="COMPLETAR EVALUACIÓN">
      <formula>NOT(ISERROR(SEARCH("COMPLETAR EVALUACIÓN",AK239)))</formula>
    </cfRule>
    <cfRule type="containsText" dxfId="937" priority="907" operator="containsText" text="CON RIESGO">
      <formula>NOT(ISERROR(SEARCH("CON RIESGO",AK239)))</formula>
    </cfRule>
    <cfRule type="containsText" dxfId="936" priority="908" operator="containsText" text="SIN RIESGO">
      <formula>NOT(ISERROR(SEARCH("SIN RIESGO",AK239)))</formula>
    </cfRule>
  </conditionalFormatting>
  <conditionalFormatting sqref="AG239:AH239">
    <cfRule type="cellIs" dxfId="935" priority="903" operator="equal">
      <formula>"SD"</formula>
    </cfRule>
    <cfRule type="cellIs" dxfId="934" priority="904" operator="equal">
      <formula>"NO"</formula>
    </cfRule>
    <cfRule type="cellIs" dxfId="933" priority="905" operator="equal">
      <formula>"SI"</formula>
    </cfRule>
  </conditionalFormatting>
  <conditionalFormatting sqref="AI239">
    <cfRule type="containsText" dxfId="932" priority="898" operator="containsText" text="HABITANTE DE CALLE">
      <formula>NOT(ISERROR(SEARCH("HABITANTE DE CALLE",AI239)))</formula>
    </cfRule>
    <cfRule type="containsText" dxfId="931" priority="899" operator="containsText" text="NINGUNO">
      <formula>NOT(ISERROR(SEARCH("NINGUNO",AI239)))</formula>
    </cfRule>
    <cfRule type="containsText" dxfId="930" priority="900" operator="containsText" text="MIGRATORIA">
      <formula>NOT(ISERROR(SEARCH("MIGRATORIA",AI239)))</formula>
    </cfRule>
    <cfRule type="containsText" dxfId="929" priority="901" operator="containsText" text="DISCAPACIDAD">
      <formula>NOT(ISERROR(SEARCH("DISCAPACIDAD",AI239)))</formula>
    </cfRule>
    <cfRule type="containsText" dxfId="928" priority="902" operator="containsText" text="DESPLAZADA">
      <formula>NOT(ISERROR(SEARCH("DESPLAZADA",AI239)))</formula>
    </cfRule>
  </conditionalFormatting>
  <conditionalFormatting sqref="AJ239">
    <cfRule type="cellIs" dxfId="927" priority="895" operator="equal">
      <formula>"SD"</formula>
    </cfRule>
    <cfRule type="cellIs" dxfId="926" priority="896" operator="equal">
      <formula>"NO"</formula>
    </cfRule>
    <cfRule type="cellIs" dxfId="925" priority="897" operator="equal">
      <formula>"SI"</formula>
    </cfRule>
  </conditionalFormatting>
  <conditionalFormatting sqref="AX239 BA239">
    <cfRule type="cellIs" dxfId="924" priority="892" operator="equal">
      <formula>"SD"</formula>
    </cfRule>
    <cfRule type="cellIs" dxfId="923" priority="893" operator="equal">
      <formula>"NO"</formula>
    </cfRule>
    <cfRule type="cellIs" dxfId="922" priority="894" operator="equal">
      <formula>"SI"</formula>
    </cfRule>
  </conditionalFormatting>
  <conditionalFormatting sqref="AY239">
    <cfRule type="containsText" dxfId="921" priority="887" operator="containsText" text="SD">
      <formula>NOT(ISERROR(SEARCH("SD",AY239)))</formula>
    </cfRule>
    <cfRule type="containsText" dxfId="920" priority="888" operator="containsText" text="SI, NO CONTROLADA">
      <formula>NOT(ISERROR(SEARCH("SI, NO CONTROLADA",AY239)))</formula>
    </cfRule>
    <cfRule type="containsText" dxfId="919" priority="889" operator="containsText" text="SI, SIN MANEJO">
      <formula>NOT(ISERROR(SEARCH("SI, SIN MANEJO",AY239)))</formula>
    </cfRule>
    <cfRule type="containsText" dxfId="918" priority="890" operator="containsText" text="SI, CONTROLADA">
      <formula>NOT(ISERROR(SEARCH("SI, CONTROLADA",AY239)))</formula>
    </cfRule>
    <cfRule type="containsText" dxfId="917" priority="891" operator="containsText" text="NO">
      <formula>NOT(ISERROR(SEARCH("NO",AY239)))</formula>
    </cfRule>
  </conditionalFormatting>
  <conditionalFormatting sqref="AZ239">
    <cfRule type="containsText" dxfId="916" priority="882" operator="containsText" text="SD">
      <formula>NOT(ISERROR(SEARCH("SD",AZ239)))</formula>
    </cfRule>
    <cfRule type="containsText" dxfId="915" priority="883" operator="containsText" text="SI, NO CONTROLADA">
      <formula>NOT(ISERROR(SEARCH("SI, NO CONTROLADA",AZ239)))</formula>
    </cfRule>
    <cfRule type="containsText" dxfId="914" priority="884" operator="containsText" text="SI, SIN MANEJO">
      <formula>NOT(ISERROR(SEARCH("SI, SIN MANEJO",AZ239)))</formula>
    </cfRule>
    <cfRule type="containsText" dxfId="913" priority="885" operator="containsText" text="SI, CONTROLADA">
      <formula>NOT(ISERROR(SEARCH("SI, CONTROLADA",AZ239)))</formula>
    </cfRule>
    <cfRule type="containsText" dxfId="912" priority="886" operator="containsText" text="NO">
      <formula>NOT(ISERROR(SEARCH("NO",AZ239)))</formula>
    </cfRule>
  </conditionalFormatting>
  <conditionalFormatting sqref="BB239">
    <cfRule type="cellIs" dxfId="911" priority="879" operator="equal">
      <formula>"SD"</formula>
    </cfRule>
    <cfRule type="cellIs" dxfId="910" priority="880" operator="equal">
      <formula>"NO"</formula>
    </cfRule>
    <cfRule type="cellIs" dxfId="909" priority="881" operator="equal">
      <formula>"SI"</formula>
    </cfRule>
  </conditionalFormatting>
  <conditionalFormatting sqref="BC239">
    <cfRule type="cellIs" dxfId="908" priority="876" operator="equal">
      <formula>"SD"</formula>
    </cfRule>
    <cfRule type="cellIs" dxfId="907" priority="877" operator="equal">
      <formula>"NO"</formula>
    </cfRule>
    <cfRule type="cellIs" dxfId="906" priority="878" operator="equal">
      <formula>"SI"</formula>
    </cfRule>
  </conditionalFormatting>
  <conditionalFormatting sqref="BF239">
    <cfRule type="cellIs" dxfId="905" priority="873" operator="equal">
      <formula>"SD"</formula>
    </cfRule>
    <cfRule type="cellIs" dxfId="904" priority="874" operator="equal">
      <formula>"NO"</formula>
    </cfRule>
    <cfRule type="cellIs" dxfId="903" priority="875" operator="equal">
      <formula>"SI"</formula>
    </cfRule>
  </conditionalFormatting>
  <conditionalFormatting sqref="BD239:BE239">
    <cfRule type="cellIs" dxfId="902" priority="870" operator="equal">
      <formula>"SD"</formula>
    </cfRule>
    <cfRule type="cellIs" dxfId="901" priority="871" operator="equal">
      <formula>"NO"</formula>
    </cfRule>
    <cfRule type="cellIs" dxfId="900" priority="872" operator="equal">
      <formula>"SI"</formula>
    </cfRule>
  </conditionalFormatting>
  <conditionalFormatting sqref="BE239">
    <cfRule type="expression" dxfId="899" priority="869">
      <formula>IF(AND(FA239&gt;=126,FC239&lt;24),1,0)</formula>
    </cfRule>
  </conditionalFormatting>
  <conditionalFormatting sqref="BG239">
    <cfRule type="cellIs" dxfId="898" priority="866" operator="equal">
      <formula>"SD"</formula>
    </cfRule>
    <cfRule type="cellIs" dxfId="897" priority="867" operator="equal">
      <formula>"NO"</formula>
    </cfRule>
    <cfRule type="cellIs" dxfId="896" priority="868" operator="equal">
      <formula>"SI"</formula>
    </cfRule>
  </conditionalFormatting>
  <conditionalFormatting sqref="BH239">
    <cfRule type="cellIs" dxfId="895" priority="863" operator="equal">
      <formula>"SD"</formula>
    </cfRule>
    <cfRule type="cellIs" dxfId="894" priority="864" operator="equal">
      <formula>"NO"</formula>
    </cfRule>
    <cfRule type="cellIs" dxfId="893" priority="865" operator="equal">
      <formula>"SI"</formula>
    </cfRule>
  </conditionalFormatting>
  <conditionalFormatting sqref="BI239">
    <cfRule type="cellIs" dxfId="892" priority="860" operator="equal">
      <formula>"SD"</formula>
    </cfRule>
    <cfRule type="cellIs" dxfId="891" priority="861" operator="equal">
      <formula>"NO"</formula>
    </cfRule>
    <cfRule type="cellIs" dxfId="890" priority="862" operator="equal">
      <formula>"SI"</formula>
    </cfRule>
  </conditionalFormatting>
  <conditionalFormatting sqref="BJ239">
    <cfRule type="cellIs" dxfId="889" priority="857" operator="equal">
      <formula>"SD"</formula>
    </cfRule>
    <cfRule type="cellIs" dxfId="888" priority="858" operator="equal">
      <formula>"NO"</formula>
    </cfRule>
    <cfRule type="cellIs" dxfId="887" priority="859" operator="equal">
      <formula>"SI"</formula>
    </cfRule>
  </conditionalFormatting>
  <conditionalFormatting sqref="BL239:BM239">
    <cfRule type="cellIs" dxfId="886" priority="854" operator="equal">
      <formula>"SD"</formula>
    </cfRule>
    <cfRule type="cellIs" dxfId="885" priority="855" operator="equal">
      <formula>"NO"</formula>
    </cfRule>
    <cfRule type="cellIs" dxfId="884" priority="856" operator="equal">
      <formula>"SI"</formula>
    </cfRule>
  </conditionalFormatting>
  <conditionalFormatting sqref="BK239">
    <cfRule type="cellIs" dxfId="883" priority="851" operator="equal">
      <formula>"SD"</formula>
    </cfRule>
    <cfRule type="cellIs" dxfId="882" priority="852" operator="equal">
      <formula>"NO"</formula>
    </cfRule>
    <cfRule type="cellIs" dxfId="881" priority="853" operator="equal">
      <formula>"SI"</formula>
    </cfRule>
  </conditionalFormatting>
  <conditionalFormatting sqref="L240">
    <cfRule type="containsText" dxfId="880" priority="842" operator="containsText" text="Empleo informal">
      <formula>NOT(ISERROR(SEARCH("Empleo informal",L240)))</formula>
    </cfRule>
    <cfRule type="containsText" dxfId="879" priority="843" operator="containsText" text="Empleada formalmente con riesgo a tóxicos">
      <formula>NOT(ISERROR(SEARCH("Empleada formalmente con riesgo a tóxicos",L240)))</formula>
    </cfRule>
    <cfRule type="containsText" dxfId="878" priority="844" operator="containsText" text="Empleada formalmente con riesgo de accidente laboral">
      <formula>NOT(ISERROR(SEARCH("Empleada formalmente con riesgo de accidente laboral",L240)))</formula>
    </cfRule>
    <cfRule type="containsText" dxfId="877" priority="845" operator="containsText" text="Empleada formalmente por jornada laboral extensa">
      <formula>NOT(ISERROR(SEARCH("Empleada formalmente por jornada laboral extensa",L240)))</formula>
    </cfRule>
    <cfRule type="containsText" dxfId="876" priority="846" operator="containsText" text="Empleada formalmente sin riesgo">
      <formula>NOT(ISERROR(SEARCH("Empleada formalmente sin riesgo",L240)))</formula>
    </cfRule>
    <cfRule type="containsText" dxfId="875" priority="847" operator="containsText" text="Actualmente desempleada">
      <formula>NOT(ISERROR(SEARCH("Actualmente desempleada",L240)))</formula>
    </cfRule>
    <cfRule type="containsText" dxfId="874" priority="848" operator="containsText" text="Hogar sin apoyo">
      <formula>NOT(ISERROR(SEARCH("Hogar sin apoyo",L240)))</formula>
    </cfRule>
    <cfRule type="containsText" dxfId="873" priority="849" operator="containsText" text="Empleada formalmente sin riesgo">
      <formula>NOT(ISERROR(SEARCH("Empleada formalmente sin riesgo",L240)))</formula>
    </cfRule>
    <cfRule type="containsText" dxfId="872" priority="850" operator="containsText" text="Hogar Con apoyo">
      <formula>NOT(ISERROR(SEARCH("Hogar Con apoyo",L240)))</formula>
    </cfRule>
  </conditionalFormatting>
  <conditionalFormatting sqref="AC240">
    <cfRule type="containsText" dxfId="871" priority="838" operator="containsText" text="SABE">
      <formula>NOT(ISERROR(SEARCH("SABE",AC240)))</formula>
    </cfRule>
    <cfRule type="containsText" dxfId="870" priority="839" operator="containsText" text="SECUNDARIA">
      <formula>NOT(ISERROR(SEARCH("SECUNDARIA",AC240)))</formula>
    </cfRule>
    <cfRule type="containsText" dxfId="869" priority="840" operator="containsText" text="PRIMARIA INCOMPLETA">
      <formula>NOT(ISERROR(SEARCH("PRIMARIA INCOMPLETA",AC240)))</formula>
    </cfRule>
    <cfRule type="cellIs" dxfId="868" priority="841" operator="equal">
      <formula>"ANALFABETA"</formula>
    </cfRule>
  </conditionalFormatting>
  <conditionalFormatting sqref="AD240">
    <cfRule type="containsText" dxfId="867" priority="835" operator="containsText" text="No Consume">
      <formula>NOT(ISERROR(SEARCH("No Consume",AD240)))</formula>
    </cfRule>
    <cfRule type="containsText" dxfId="866" priority="836" operator="containsText" text="Hasta Antes de la Gestación">
      <formula>NOT(ISERROR(SEARCH("Hasta Antes de la Gestación",AD240)))</formula>
    </cfRule>
    <cfRule type="containsText" dxfId="865" priority="837" operator="containsText" text="Consumo Actual">
      <formula>NOT(ISERROR(SEARCH("Consumo Actual",AD240)))</formula>
    </cfRule>
  </conditionalFormatting>
  <conditionalFormatting sqref="AE240:AF240">
    <cfRule type="containsText" dxfId="864" priority="833" operator="containsText" text="NO">
      <formula>NOT(ISERROR(SEARCH("NO",AE240)))</formula>
    </cfRule>
    <cfRule type="containsText" dxfId="863" priority="834" operator="containsText" text="SI">
      <formula>NOT(ISERROR(SEARCH("SI",AE240)))</formula>
    </cfRule>
  </conditionalFormatting>
  <conditionalFormatting sqref="AL240:AR240">
    <cfRule type="cellIs" dxfId="862" priority="830" operator="equal">
      <formula>"SD"</formula>
    </cfRule>
    <cfRule type="cellIs" dxfId="861" priority="831" operator="equal">
      <formula>"NO"</formula>
    </cfRule>
    <cfRule type="cellIs" dxfId="860" priority="832" operator="equal">
      <formula>"SI"</formula>
    </cfRule>
  </conditionalFormatting>
  <conditionalFormatting sqref="AK240">
    <cfRule type="containsText" dxfId="859" priority="827" operator="containsText" text="COMPLETAR EVALUACIÓN">
      <formula>NOT(ISERROR(SEARCH("COMPLETAR EVALUACIÓN",AK240)))</formula>
    </cfRule>
    <cfRule type="containsText" dxfId="858" priority="828" operator="containsText" text="CON RIESGO">
      <formula>NOT(ISERROR(SEARCH("CON RIESGO",AK240)))</formula>
    </cfRule>
    <cfRule type="containsText" dxfId="857" priority="829" operator="containsText" text="SIN RIESGO">
      <formula>NOT(ISERROR(SEARCH("SIN RIESGO",AK240)))</formula>
    </cfRule>
  </conditionalFormatting>
  <conditionalFormatting sqref="AG240:AH240">
    <cfRule type="cellIs" dxfId="856" priority="824" operator="equal">
      <formula>"SD"</formula>
    </cfRule>
    <cfRule type="cellIs" dxfId="855" priority="825" operator="equal">
      <formula>"NO"</formula>
    </cfRule>
    <cfRule type="cellIs" dxfId="854" priority="826" operator="equal">
      <formula>"SI"</formula>
    </cfRule>
  </conditionalFormatting>
  <conditionalFormatting sqref="AI240">
    <cfRule type="containsText" dxfId="853" priority="819" operator="containsText" text="HABITANTE DE CALLE">
      <formula>NOT(ISERROR(SEARCH("HABITANTE DE CALLE",AI240)))</formula>
    </cfRule>
    <cfRule type="containsText" dxfId="852" priority="820" operator="containsText" text="NINGUNO">
      <formula>NOT(ISERROR(SEARCH("NINGUNO",AI240)))</formula>
    </cfRule>
    <cfRule type="containsText" dxfId="851" priority="821" operator="containsText" text="MIGRATORIA">
      <formula>NOT(ISERROR(SEARCH("MIGRATORIA",AI240)))</formula>
    </cfRule>
    <cfRule type="containsText" dxfId="850" priority="822" operator="containsText" text="DISCAPACIDAD">
      <formula>NOT(ISERROR(SEARCH("DISCAPACIDAD",AI240)))</formula>
    </cfRule>
    <cfRule type="containsText" dxfId="849" priority="823" operator="containsText" text="DESPLAZADA">
      <formula>NOT(ISERROR(SEARCH("DESPLAZADA",AI240)))</formula>
    </cfRule>
  </conditionalFormatting>
  <conditionalFormatting sqref="AJ240">
    <cfRule type="cellIs" dxfId="848" priority="816" operator="equal">
      <formula>"SD"</formula>
    </cfRule>
    <cfRule type="cellIs" dxfId="847" priority="817" operator="equal">
      <formula>"NO"</formula>
    </cfRule>
    <cfRule type="cellIs" dxfId="846" priority="818" operator="equal">
      <formula>"SI"</formula>
    </cfRule>
  </conditionalFormatting>
  <conditionalFormatting sqref="AS240:AW240">
    <cfRule type="cellIs" dxfId="845" priority="813" operator="equal">
      <formula>"SD"</formula>
    </cfRule>
    <cfRule type="cellIs" dxfId="844" priority="814" operator="equal">
      <formula>"NO"</formula>
    </cfRule>
    <cfRule type="cellIs" dxfId="843" priority="815" operator="equal">
      <formula>"SI"</formula>
    </cfRule>
  </conditionalFormatting>
  <conditionalFormatting sqref="AW240">
    <cfRule type="cellIs" dxfId="842" priority="810" operator="equal">
      <formula>1</formula>
    </cfRule>
    <cfRule type="cellIs" dxfId="841" priority="811" operator="equal">
      <formula>"3 O MAS"</formula>
    </cfRule>
    <cfRule type="cellIs" dxfId="840" priority="812" operator="equal">
      <formula>2</formula>
    </cfRule>
  </conditionalFormatting>
  <conditionalFormatting sqref="AX240 BA240">
    <cfRule type="cellIs" dxfId="839" priority="807" operator="equal">
      <formula>"SD"</formula>
    </cfRule>
    <cfRule type="cellIs" dxfId="838" priority="808" operator="equal">
      <formula>"NO"</formula>
    </cfRule>
    <cfRule type="cellIs" dxfId="837" priority="809" operator="equal">
      <formula>"SI"</formula>
    </cfRule>
  </conditionalFormatting>
  <conditionalFormatting sqref="AY240">
    <cfRule type="containsText" dxfId="836" priority="802" operator="containsText" text="SD">
      <formula>NOT(ISERROR(SEARCH("SD",AY240)))</formula>
    </cfRule>
    <cfRule type="containsText" dxfId="835" priority="803" operator="containsText" text="SI, NO CONTROLADA">
      <formula>NOT(ISERROR(SEARCH("SI, NO CONTROLADA",AY240)))</formula>
    </cfRule>
    <cfRule type="containsText" dxfId="834" priority="804" operator="containsText" text="SI, SIN MANEJO">
      <formula>NOT(ISERROR(SEARCH("SI, SIN MANEJO",AY240)))</formula>
    </cfRule>
    <cfRule type="containsText" dxfId="833" priority="805" operator="containsText" text="SI, CONTROLADA">
      <formula>NOT(ISERROR(SEARCH("SI, CONTROLADA",AY240)))</formula>
    </cfRule>
    <cfRule type="containsText" dxfId="832" priority="806" operator="containsText" text="NO">
      <formula>NOT(ISERROR(SEARCH("NO",AY240)))</formula>
    </cfRule>
  </conditionalFormatting>
  <conditionalFormatting sqref="AZ240">
    <cfRule type="containsText" dxfId="831" priority="797" operator="containsText" text="SD">
      <formula>NOT(ISERROR(SEARCH("SD",AZ240)))</formula>
    </cfRule>
    <cfRule type="containsText" dxfId="830" priority="798" operator="containsText" text="SI, NO CONTROLADA">
      <formula>NOT(ISERROR(SEARCH("SI, NO CONTROLADA",AZ240)))</formula>
    </cfRule>
    <cfRule type="containsText" dxfId="829" priority="799" operator="containsText" text="SI, SIN MANEJO">
      <formula>NOT(ISERROR(SEARCH("SI, SIN MANEJO",AZ240)))</formula>
    </cfRule>
    <cfRule type="containsText" dxfId="828" priority="800" operator="containsText" text="SI, CONTROLADA">
      <formula>NOT(ISERROR(SEARCH("SI, CONTROLADA",AZ240)))</formula>
    </cfRule>
    <cfRule type="containsText" dxfId="827" priority="801" operator="containsText" text="NO">
      <formula>NOT(ISERROR(SEARCH("NO",AZ240)))</formula>
    </cfRule>
  </conditionalFormatting>
  <conditionalFormatting sqref="BB240">
    <cfRule type="cellIs" dxfId="826" priority="794" operator="equal">
      <formula>"SD"</formula>
    </cfRule>
    <cfRule type="cellIs" dxfId="825" priority="795" operator="equal">
      <formula>"NO"</formula>
    </cfRule>
    <cfRule type="cellIs" dxfId="824" priority="796" operator="equal">
      <formula>"SI"</formula>
    </cfRule>
  </conditionalFormatting>
  <conditionalFormatting sqref="BC240">
    <cfRule type="cellIs" dxfId="823" priority="791" operator="equal">
      <formula>"SD"</formula>
    </cfRule>
    <cfRule type="cellIs" dxfId="822" priority="792" operator="equal">
      <formula>"NO"</formula>
    </cfRule>
    <cfRule type="cellIs" dxfId="821" priority="793" operator="equal">
      <formula>"SI"</formula>
    </cfRule>
  </conditionalFormatting>
  <conditionalFormatting sqref="BF240">
    <cfRule type="cellIs" dxfId="820" priority="788" operator="equal">
      <formula>"SD"</formula>
    </cfRule>
    <cfRule type="cellIs" dxfId="819" priority="789" operator="equal">
      <formula>"NO"</formula>
    </cfRule>
    <cfRule type="cellIs" dxfId="818" priority="790" operator="equal">
      <formula>"SI"</formula>
    </cfRule>
  </conditionalFormatting>
  <conditionalFormatting sqref="BD240:BE240">
    <cfRule type="cellIs" dxfId="817" priority="785" operator="equal">
      <formula>"SD"</formula>
    </cfRule>
    <cfRule type="cellIs" dxfId="816" priority="786" operator="equal">
      <formula>"NO"</formula>
    </cfRule>
    <cfRule type="cellIs" dxfId="815" priority="787" operator="equal">
      <formula>"SI"</formula>
    </cfRule>
  </conditionalFormatting>
  <conditionalFormatting sqref="BE240">
    <cfRule type="expression" dxfId="814" priority="784">
      <formula>IF(AND(FA240&gt;=126,FC240&lt;24),1,0)</formula>
    </cfRule>
  </conditionalFormatting>
  <conditionalFormatting sqref="BG240">
    <cfRule type="cellIs" dxfId="813" priority="781" operator="equal">
      <formula>"SD"</formula>
    </cfRule>
    <cfRule type="cellIs" dxfId="812" priority="782" operator="equal">
      <formula>"NO"</formula>
    </cfRule>
    <cfRule type="cellIs" dxfId="811" priority="783" operator="equal">
      <formula>"SI"</formula>
    </cfRule>
  </conditionalFormatting>
  <conditionalFormatting sqref="BH240">
    <cfRule type="cellIs" dxfId="810" priority="778" operator="equal">
      <formula>"SD"</formula>
    </cfRule>
    <cfRule type="cellIs" dxfId="809" priority="779" operator="equal">
      <formula>"NO"</formula>
    </cfRule>
    <cfRule type="cellIs" dxfId="808" priority="780" operator="equal">
      <formula>"SI"</formula>
    </cfRule>
  </conditionalFormatting>
  <conditionalFormatting sqref="BI240">
    <cfRule type="cellIs" dxfId="807" priority="775" operator="equal">
      <formula>"SD"</formula>
    </cfRule>
    <cfRule type="cellIs" dxfId="806" priority="776" operator="equal">
      <formula>"NO"</formula>
    </cfRule>
    <cfRule type="cellIs" dxfId="805" priority="777" operator="equal">
      <formula>"SI"</formula>
    </cfRule>
  </conditionalFormatting>
  <conditionalFormatting sqref="BJ240">
    <cfRule type="cellIs" dxfId="804" priority="772" operator="equal">
      <formula>"SD"</formula>
    </cfRule>
    <cfRule type="cellIs" dxfId="803" priority="773" operator="equal">
      <formula>"NO"</formula>
    </cfRule>
    <cfRule type="cellIs" dxfId="802" priority="774" operator="equal">
      <formula>"SI"</formula>
    </cfRule>
  </conditionalFormatting>
  <conditionalFormatting sqref="BL240:BM240">
    <cfRule type="cellIs" dxfId="801" priority="769" operator="equal">
      <formula>"SD"</formula>
    </cfRule>
    <cfRule type="cellIs" dxfId="800" priority="770" operator="equal">
      <formula>"NO"</formula>
    </cfRule>
    <cfRule type="cellIs" dxfId="799" priority="771" operator="equal">
      <formula>"SI"</formula>
    </cfRule>
  </conditionalFormatting>
  <conditionalFormatting sqref="BK240">
    <cfRule type="cellIs" dxfId="798" priority="766" operator="equal">
      <formula>"SD"</formula>
    </cfRule>
    <cfRule type="cellIs" dxfId="797" priority="767" operator="equal">
      <formula>"NO"</formula>
    </cfRule>
    <cfRule type="cellIs" dxfId="796" priority="768" operator="equal">
      <formula>"SI"</formula>
    </cfRule>
  </conditionalFormatting>
  <conditionalFormatting sqref="L241">
    <cfRule type="containsText" dxfId="795" priority="757" operator="containsText" text="Empleo informal">
      <formula>NOT(ISERROR(SEARCH("Empleo informal",L241)))</formula>
    </cfRule>
    <cfRule type="containsText" dxfId="794" priority="758" operator="containsText" text="Empleada formalmente con riesgo a tóxicos">
      <formula>NOT(ISERROR(SEARCH("Empleada formalmente con riesgo a tóxicos",L241)))</formula>
    </cfRule>
    <cfRule type="containsText" dxfId="793" priority="759" operator="containsText" text="Empleada formalmente con riesgo de accidente laboral">
      <formula>NOT(ISERROR(SEARCH("Empleada formalmente con riesgo de accidente laboral",L241)))</formula>
    </cfRule>
    <cfRule type="containsText" dxfId="792" priority="760" operator="containsText" text="Empleada formalmente por jornada laboral extensa">
      <formula>NOT(ISERROR(SEARCH("Empleada formalmente por jornada laboral extensa",L241)))</formula>
    </cfRule>
    <cfRule type="containsText" dxfId="791" priority="761" operator="containsText" text="Empleada formalmente sin riesgo">
      <formula>NOT(ISERROR(SEARCH("Empleada formalmente sin riesgo",L241)))</formula>
    </cfRule>
    <cfRule type="containsText" dxfId="790" priority="762" operator="containsText" text="Actualmente desempleada">
      <formula>NOT(ISERROR(SEARCH("Actualmente desempleada",L241)))</formula>
    </cfRule>
    <cfRule type="containsText" dxfId="789" priority="763" operator="containsText" text="Hogar sin apoyo">
      <formula>NOT(ISERROR(SEARCH("Hogar sin apoyo",L241)))</formula>
    </cfRule>
    <cfRule type="containsText" dxfId="788" priority="764" operator="containsText" text="Empleada formalmente sin riesgo">
      <formula>NOT(ISERROR(SEARCH("Empleada formalmente sin riesgo",L241)))</formula>
    </cfRule>
    <cfRule type="containsText" dxfId="787" priority="765" operator="containsText" text="Hogar Con apoyo">
      <formula>NOT(ISERROR(SEARCH("Hogar Con apoyo",L241)))</formula>
    </cfRule>
  </conditionalFormatting>
  <conditionalFormatting sqref="AC241">
    <cfRule type="containsText" dxfId="786" priority="753" operator="containsText" text="SABE">
      <formula>NOT(ISERROR(SEARCH("SABE",AC241)))</formula>
    </cfRule>
    <cfRule type="containsText" dxfId="785" priority="754" operator="containsText" text="SECUNDARIA">
      <formula>NOT(ISERROR(SEARCH("SECUNDARIA",AC241)))</formula>
    </cfRule>
    <cfRule type="containsText" dxfId="784" priority="755" operator="containsText" text="PRIMARIA INCOMPLETA">
      <formula>NOT(ISERROR(SEARCH("PRIMARIA INCOMPLETA",AC241)))</formula>
    </cfRule>
    <cfRule type="cellIs" dxfId="783" priority="756" operator="equal">
      <formula>"ANALFABETA"</formula>
    </cfRule>
  </conditionalFormatting>
  <conditionalFormatting sqref="AD241">
    <cfRule type="containsText" dxfId="782" priority="750" operator="containsText" text="No Consume">
      <formula>NOT(ISERROR(SEARCH("No Consume",AD241)))</formula>
    </cfRule>
    <cfRule type="containsText" dxfId="781" priority="751" operator="containsText" text="Hasta Antes de la Gestación">
      <formula>NOT(ISERROR(SEARCH("Hasta Antes de la Gestación",AD241)))</formula>
    </cfRule>
    <cfRule type="containsText" dxfId="780" priority="752" operator="containsText" text="Consumo Actual">
      <formula>NOT(ISERROR(SEARCH("Consumo Actual",AD241)))</formula>
    </cfRule>
  </conditionalFormatting>
  <conditionalFormatting sqref="AE241:AF241">
    <cfRule type="containsText" dxfId="779" priority="748" operator="containsText" text="NO">
      <formula>NOT(ISERROR(SEARCH("NO",AE241)))</formula>
    </cfRule>
    <cfRule type="containsText" dxfId="778" priority="749" operator="containsText" text="SI">
      <formula>NOT(ISERROR(SEARCH("SI",AE241)))</formula>
    </cfRule>
  </conditionalFormatting>
  <conditionalFormatting sqref="AL241:AR241">
    <cfRule type="cellIs" dxfId="777" priority="745" operator="equal">
      <formula>"SD"</formula>
    </cfRule>
    <cfRule type="cellIs" dxfId="776" priority="746" operator="equal">
      <formula>"NO"</formula>
    </cfRule>
    <cfRule type="cellIs" dxfId="775" priority="747" operator="equal">
      <formula>"SI"</formula>
    </cfRule>
  </conditionalFormatting>
  <conditionalFormatting sqref="AK241">
    <cfRule type="containsText" dxfId="774" priority="742" operator="containsText" text="COMPLETAR EVALUACIÓN">
      <formula>NOT(ISERROR(SEARCH("COMPLETAR EVALUACIÓN",AK241)))</formula>
    </cfRule>
    <cfRule type="containsText" dxfId="773" priority="743" operator="containsText" text="CON RIESGO">
      <formula>NOT(ISERROR(SEARCH("CON RIESGO",AK241)))</formula>
    </cfRule>
    <cfRule type="containsText" dxfId="772" priority="744" operator="containsText" text="SIN RIESGO">
      <formula>NOT(ISERROR(SEARCH("SIN RIESGO",AK241)))</formula>
    </cfRule>
  </conditionalFormatting>
  <conditionalFormatting sqref="AG241:AH241">
    <cfRule type="cellIs" dxfId="771" priority="739" operator="equal">
      <formula>"SD"</formula>
    </cfRule>
    <cfRule type="cellIs" dxfId="770" priority="740" operator="equal">
      <formula>"NO"</formula>
    </cfRule>
    <cfRule type="cellIs" dxfId="769" priority="741" operator="equal">
      <formula>"SI"</formula>
    </cfRule>
  </conditionalFormatting>
  <conditionalFormatting sqref="AI241">
    <cfRule type="containsText" dxfId="768" priority="734" operator="containsText" text="HABITANTE DE CALLE">
      <formula>NOT(ISERROR(SEARCH("HABITANTE DE CALLE",AI241)))</formula>
    </cfRule>
    <cfRule type="containsText" dxfId="767" priority="735" operator="containsText" text="NINGUNO">
      <formula>NOT(ISERROR(SEARCH("NINGUNO",AI241)))</formula>
    </cfRule>
    <cfRule type="containsText" dxfId="766" priority="736" operator="containsText" text="MIGRATORIA">
      <formula>NOT(ISERROR(SEARCH("MIGRATORIA",AI241)))</formula>
    </cfRule>
    <cfRule type="containsText" dxfId="765" priority="737" operator="containsText" text="DISCAPACIDAD">
      <formula>NOT(ISERROR(SEARCH("DISCAPACIDAD",AI241)))</formula>
    </cfRule>
    <cfRule type="containsText" dxfId="764" priority="738" operator="containsText" text="DESPLAZADA">
      <formula>NOT(ISERROR(SEARCH("DESPLAZADA",AI241)))</formula>
    </cfRule>
  </conditionalFormatting>
  <conditionalFormatting sqref="AJ241">
    <cfRule type="cellIs" dxfId="763" priority="731" operator="equal">
      <formula>"SD"</formula>
    </cfRule>
    <cfRule type="cellIs" dxfId="762" priority="732" operator="equal">
      <formula>"NO"</formula>
    </cfRule>
    <cfRule type="cellIs" dxfId="761" priority="733" operator="equal">
      <formula>"SI"</formula>
    </cfRule>
  </conditionalFormatting>
  <conditionalFormatting sqref="AT241:AW241">
    <cfRule type="cellIs" dxfId="760" priority="728" operator="equal">
      <formula>"SD"</formula>
    </cfRule>
    <cfRule type="cellIs" dxfId="759" priority="729" operator="equal">
      <formula>"NO"</formula>
    </cfRule>
    <cfRule type="cellIs" dxfId="758" priority="730" operator="equal">
      <formula>"SI"</formula>
    </cfRule>
  </conditionalFormatting>
  <conditionalFormatting sqref="AW241">
    <cfRule type="cellIs" dxfId="757" priority="725" operator="equal">
      <formula>1</formula>
    </cfRule>
    <cfRule type="cellIs" dxfId="756" priority="726" operator="equal">
      <formula>"3 O MAS"</formula>
    </cfRule>
    <cfRule type="cellIs" dxfId="755" priority="727" operator="equal">
      <formula>2</formula>
    </cfRule>
  </conditionalFormatting>
  <conditionalFormatting sqref="AX241 BA241">
    <cfRule type="cellIs" dxfId="754" priority="722" operator="equal">
      <formula>"SD"</formula>
    </cfRule>
    <cfRule type="cellIs" dxfId="753" priority="723" operator="equal">
      <formula>"NO"</formula>
    </cfRule>
    <cfRule type="cellIs" dxfId="752" priority="724" operator="equal">
      <formula>"SI"</formula>
    </cfRule>
  </conditionalFormatting>
  <conditionalFormatting sqref="AY241">
    <cfRule type="containsText" dxfId="751" priority="717" operator="containsText" text="SD">
      <formula>NOT(ISERROR(SEARCH("SD",AY241)))</formula>
    </cfRule>
    <cfRule type="containsText" dxfId="750" priority="718" operator="containsText" text="SI, NO CONTROLADA">
      <formula>NOT(ISERROR(SEARCH("SI, NO CONTROLADA",AY241)))</formula>
    </cfRule>
    <cfRule type="containsText" dxfId="749" priority="719" operator="containsText" text="SI, SIN MANEJO">
      <formula>NOT(ISERROR(SEARCH("SI, SIN MANEJO",AY241)))</formula>
    </cfRule>
    <cfRule type="containsText" dxfId="748" priority="720" operator="containsText" text="SI, CONTROLADA">
      <formula>NOT(ISERROR(SEARCH("SI, CONTROLADA",AY241)))</formula>
    </cfRule>
    <cfRule type="containsText" dxfId="747" priority="721" operator="containsText" text="NO">
      <formula>NOT(ISERROR(SEARCH("NO",AY241)))</formula>
    </cfRule>
  </conditionalFormatting>
  <conditionalFormatting sqref="AZ241">
    <cfRule type="containsText" dxfId="746" priority="712" operator="containsText" text="SD">
      <formula>NOT(ISERROR(SEARCH("SD",AZ241)))</formula>
    </cfRule>
    <cfRule type="containsText" dxfId="745" priority="713" operator="containsText" text="SI, NO CONTROLADA">
      <formula>NOT(ISERROR(SEARCH("SI, NO CONTROLADA",AZ241)))</formula>
    </cfRule>
    <cfRule type="containsText" dxfId="744" priority="714" operator="containsText" text="SI, SIN MANEJO">
      <formula>NOT(ISERROR(SEARCH("SI, SIN MANEJO",AZ241)))</formula>
    </cfRule>
    <cfRule type="containsText" dxfId="743" priority="715" operator="containsText" text="SI, CONTROLADA">
      <formula>NOT(ISERROR(SEARCH("SI, CONTROLADA",AZ241)))</formula>
    </cfRule>
    <cfRule type="containsText" dxfId="742" priority="716" operator="containsText" text="NO">
      <formula>NOT(ISERROR(SEARCH("NO",AZ241)))</formula>
    </cfRule>
  </conditionalFormatting>
  <conditionalFormatting sqref="BB241">
    <cfRule type="cellIs" dxfId="741" priority="709" operator="equal">
      <formula>"SD"</formula>
    </cfRule>
    <cfRule type="cellIs" dxfId="740" priority="710" operator="equal">
      <formula>"NO"</formula>
    </cfRule>
    <cfRule type="cellIs" dxfId="739" priority="711" operator="equal">
      <formula>"SI"</formula>
    </cfRule>
  </conditionalFormatting>
  <conditionalFormatting sqref="BC241">
    <cfRule type="cellIs" dxfId="738" priority="706" operator="equal">
      <formula>"SD"</formula>
    </cfRule>
    <cfRule type="cellIs" dxfId="737" priority="707" operator="equal">
      <formula>"NO"</formula>
    </cfRule>
    <cfRule type="cellIs" dxfId="736" priority="708" operator="equal">
      <formula>"SI"</formula>
    </cfRule>
  </conditionalFormatting>
  <conditionalFormatting sqref="BF241">
    <cfRule type="cellIs" dxfId="735" priority="703" operator="equal">
      <formula>"SD"</formula>
    </cfRule>
    <cfRule type="cellIs" dxfId="734" priority="704" operator="equal">
      <formula>"NO"</formula>
    </cfRule>
    <cfRule type="cellIs" dxfId="733" priority="705" operator="equal">
      <formula>"SI"</formula>
    </cfRule>
  </conditionalFormatting>
  <conditionalFormatting sqref="BD241:BE241">
    <cfRule type="cellIs" dxfId="732" priority="700" operator="equal">
      <formula>"SD"</formula>
    </cfRule>
    <cfRule type="cellIs" dxfId="731" priority="701" operator="equal">
      <formula>"NO"</formula>
    </cfRule>
    <cfRule type="cellIs" dxfId="730" priority="702" operator="equal">
      <formula>"SI"</formula>
    </cfRule>
  </conditionalFormatting>
  <conditionalFormatting sqref="BE241">
    <cfRule type="expression" dxfId="729" priority="699">
      <formula>IF(AND(FA241&gt;=126,FC241&lt;24),1,0)</formula>
    </cfRule>
  </conditionalFormatting>
  <conditionalFormatting sqref="BG241">
    <cfRule type="cellIs" dxfId="728" priority="696" operator="equal">
      <formula>"SD"</formula>
    </cfRule>
    <cfRule type="cellIs" dxfId="727" priority="697" operator="equal">
      <formula>"NO"</formula>
    </cfRule>
    <cfRule type="cellIs" dxfId="726" priority="698" operator="equal">
      <formula>"SI"</formula>
    </cfRule>
  </conditionalFormatting>
  <conditionalFormatting sqref="BH241">
    <cfRule type="cellIs" dxfId="725" priority="693" operator="equal">
      <formula>"SD"</formula>
    </cfRule>
    <cfRule type="cellIs" dxfId="724" priority="694" operator="equal">
      <formula>"NO"</formula>
    </cfRule>
    <cfRule type="cellIs" dxfId="723" priority="695" operator="equal">
      <formula>"SI"</formula>
    </cfRule>
  </conditionalFormatting>
  <conditionalFormatting sqref="BI241">
    <cfRule type="cellIs" dxfId="722" priority="690" operator="equal">
      <formula>"SD"</formula>
    </cfRule>
    <cfRule type="cellIs" dxfId="721" priority="691" operator="equal">
      <formula>"NO"</formula>
    </cfRule>
    <cfRule type="cellIs" dxfId="720" priority="692" operator="equal">
      <formula>"SI"</formula>
    </cfRule>
  </conditionalFormatting>
  <conditionalFormatting sqref="BJ241">
    <cfRule type="cellIs" dxfId="719" priority="687" operator="equal">
      <formula>"SD"</formula>
    </cfRule>
    <cfRule type="cellIs" dxfId="718" priority="688" operator="equal">
      <formula>"NO"</formula>
    </cfRule>
    <cfRule type="cellIs" dxfId="717" priority="689" operator="equal">
      <formula>"SI"</formula>
    </cfRule>
  </conditionalFormatting>
  <conditionalFormatting sqref="BL241:BM241">
    <cfRule type="cellIs" dxfId="716" priority="684" operator="equal">
      <formula>"SD"</formula>
    </cfRule>
    <cfRule type="cellIs" dxfId="715" priority="685" operator="equal">
      <formula>"NO"</formula>
    </cfRule>
    <cfRule type="cellIs" dxfId="714" priority="686" operator="equal">
      <formula>"SI"</formula>
    </cfRule>
  </conditionalFormatting>
  <conditionalFormatting sqref="BK241">
    <cfRule type="cellIs" dxfId="713" priority="681" operator="equal">
      <formula>"SD"</formula>
    </cfRule>
    <cfRule type="cellIs" dxfId="712" priority="682" operator="equal">
      <formula>"NO"</formula>
    </cfRule>
    <cfRule type="cellIs" dxfId="711" priority="683" operator="equal">
      <formula>"SI"</formula>
    </cfRule>
  </conditionalFormatting>
  <conditionalFormatting sqref="CD162">
    <cfRule type="cellIs" dxfId="710" priority="678" operator="equal">
      <formula>"SD"</formula>
    </cfRule>
    <cfRule type="cellIs" dxfId="709" priority="679" operator="equal">
      <formula>"NO"</formula>
    </cfRule>
    <cfRule type="cellIs" dxfId="708" priority="680" operator="equal">
      <formula>"SI"</formula>
    </cfRule>
  </conditionalFormatting>
  <conditionalFormatting sqref="L242">
    <cfRule type="containsText" dxfId="707" priority="669" operator="containsText" text="Empleo informal">
      <formula>NOT(ISERROR(SEARCH("Empleo informal",L242)))</formula>
    </cfRule>
    <cfRule type="containsText" dxfId="706" priority="670" operator="containsText" text="Empleada formalmente con riesgo a tóxicos">
      <formula>NOT(ISERROR(SEARCH("Empleada formalmente con riesgo a tóxicos",L242)))</formula>
    </cfRule>
    <cfRule type="containsText" dxfId="705" priority="671" operator="containsText" text="Empleada formalmente con riesgo de accidente laboral">
      <formula>NOT(ISERROR(SEARCH("Empleada formalmente con riesgo de accidente laboral",L242)))</formula>
    </cfRule>
    <cfRule type="containsText" dxfId="704" priority="672" operator="containsText" text="Empleada formalmente por jornada laboral extensa">
      <formula>NOT(ISERROR(SEARCH("Empleada formalmente por jornada laboral extensa",L242)))</formula>
    </cfRule>
    <cfRule type="containsText" dxfId="703" priority="673" operator="containsText" text="Empleada formalmente sin riesgo">
      <formula>NOT(ISERROR(SEARCH("Empleada formalmente sin riesgo",L242)))</formula>
    </cfRule>
    <cfRule type="containsText" dxfId="702" priority="674" operator="containsText" text="Actualmente desempleada">
      <formula>NOT(ISERROR(SEARCH("Actualmente desempleada",L242)))</formula>
    </cfRule>
    <cfRule type="containsText" dxfId="701" priority="675" operator="containsText" text="Hogar sin apoyo">
      <formula>NOT(ISERROR(SEARCH("Hogar sin apoyo",L242)))</formula>
    </cfRule>
    <cfRule type="containsText" dxfId="700" priority="676" operator="containsText" text="Empleada formalmente sin riesgo">
      <formula>NOT(ISERROR(SEARCH("Empleada formalmente sin riesgo",L242)))</formula>
    </cfRule>
    <cfRule type="containsText" dxfId="699" priority="677" operator="containsText" text="Hogar Con apoyo">
      <formula>NOT(ISERROR(SEARCH("Hogar Con apoyo",L242)))</formula>
    </cfRule>
  </conditionalFormatting>
  <conditionalFormatting sqref="AS242">
    <cfRule type="cellIs" dxfId="698" priority="666" operator="equal">
      <formula>"SD"</formula>
    </cfRule>
    <cfRule type="cellIs" dxfId="697" priority="667" operator="equal">
      <formula>"NO"</formula>
    </cfRule>
    <cfRule type="cellIs" dxfId="696" priority="668" operator="equal">
      <formula>"SI"</formula>
    </cfRule>
  </conditionalFormatting>
  <conditionalFormatting sqref="AC242">
    <cfRule type="containsText" dxfId="695" priority="662" operator="containsText" text="SABE">
      <formula>NOT(ISERROR(SEARCH("SABE",AC242)))</formula>
    </cfRule>
    <cfRule type="containsText" dxfId="694" priority="663" operator="containsText" text="SECUNDARIA">
      <formula>NOT(ISERROR(SEARCH("SECUNDARIA",AC242)))</formula>
    </cfRule>
    <cfRule type="containsText" dxfId="693" priority="664" operator="containsText" text="PRIMARIA INCOMPLETA">
      <formula>NOT(ISERROR(SEARCH("PRIMARIA INCOMPLETA",AC242)))</formula>
    </cfRule>
    <cfRule type="cellIs" dxfId="692" priority="665" operator="equal">
      <formula>"ANALFABETA"</formula>
    </cfRule>
  </conditionalFormatting>
  <conditionalFormatting sqref="AD242">
    <cfRule type="containsText" dxfId="691" priority="659" operator="containsText" text="No Consume">
      <formula>NOT(ISERROR(SEARCH("No Consume",AD242)))</formula>
    </cfRule>
    <cfRule type="containsText" dxfId="690" priority="660" operator="containsText" text="Hasta Antes de la Gestación">
      <formula>NOT(ISERROR(SEARCH("Hasta Antes de la Gestación",AD242)))</formula>
    </cfRule>
    <cfRule type="containsText" dxfId="689" priority="661" operator="containsText" text="Consumo Actual">
      <formula>NOT(ISERROR(SEARCH("Consumo Actual",AD242)))</formula>
    </cfRule>
  </conditionalFormatting>
  <conditionalFormatting sqref="AE242:AF242">
    <cfRule type="containsText" dxfId="688" priority="657" operator="containsText" text="NO">
      <formula>NOT(ISERROR(SEARCH("NO",AE242)))</formula>
    </cfRule>
    <cfRule type="containsText" dxfId="687" priority="658" operator="containsText" text="SI">
      <formula>NOT(ISERROR(SEARCH("SI",AE242)))</formula>
    </cfRule>
  </conditionalFormatting>
  <conditionalFormatting sqref="AL242:AR242">
    <cfRule type="cellIs" dxfId="686" priority="654" operator="equal">
      <formula>"SD"</formula>
    </cfRule>
    <cfRule type="cellIs" dxfId="685" priority="655" operator="equal">
      <formula>"NO"</formula>
    </cfRule>
    <cfRule type="cellIs" dxfId="684" priority="656" operator="equal">
      <formula>"SI"</formula>
    </cfRule>
  </conditionalFormatting>
  <conditionalFormatting sqref="AK242">
    <cfRule type="containsText" dxfId="683" priority="651" operator="containsText" text="COMPLETAR EVALUACIÓN">
      <formula>NOT(ISERROR(SEARCH("COMPLETAR EVALUACIÓN",AK242)))</formula>
    </cfRule>
    <cfRule type="containsText" dxfId="682" priority="652" operator="containsText" text="CON RIESGO">
      <formula>NOT(ISERROR(SEARCH("CON RIESGO",AK242)))</formula>
    </cfRule>
    <cfRule type="containsText" dxfId="681" priority="653" operator="containsText" text="SIN RIESGO">
      <formula>NOT(ISERROR(SEARCH("SIN RIESGO",AK242)))</formula>
    </cfRule>
  </conditionalFormatting>
  <conditionalFormatting sqref="AG242:AH242">
    <cfRule type="cellIs" dxfId="680" priority="648" operator="equal">
      <formula>"SD"</formula>
    </cfRule>
    <cfRule type="cellIs" dxfId="679" priority="649" operator="equal">
      <formula>"NO"</formula>
    </cfRule>
    <cfRule type="cellIs" dxfId="678" priority="650" operator="equal">
      <formula>"SI"</formula>
    </cfRule>
  </conditionalFormatting>
  <conditionalFormatting sqref="AI242">
    <cfRule type="containsText" dxfId="677" priority="643" operator="containsText" text="HABITANTE DE CALLE">
      <formula>NOT(ISERROR(SEARCH("HABITANTE DE CALLE",AI242)))</formula>
    </cfRule>
    <cfRule type="containsText" dxfId="676" priority="644" operator="containsText" text="NINGUNO">
      <formula>NOT(ISERROR(SEARCH("NINGUNO",AI242)))</formula>
    </cfRule>
    <cfRule type="containsText" dxfId="675" priority="645" operator="containsText" text="MIGRATORIA">
      <formula>NOT(ISERROR(SEARCH("MIGRATORIA",AI242)))</formula>
    </cfRule>
    <cfRule type="containsText" dxfId="674" priority="646" operator="containsText" text="DISCAPACIDAD">
      <formula>NOT(ISERROR(SEARCH("DISCAPACIDAD",AI242)))</formula>
    </cfRule>
    <cfRule type="containsText" dxfId="673" priority="647" operator="containsText" text="DESPLAZADA">
      <formula>NOT(ISERROR(SEARCH("DESPLAZADA",AI242)))</formula>
    </cfRule>
  </conditionalFormatting>
  <conditionalFormatting sqref="AJ242">
    <cfRule type="cellIs" dxfId="672" priority="640" operator="equal">
      <formula>"SD"</formula>
    </cfRule>
    <cfRule type="cellIs" dxfId="671" priority="641" operator="equal">
      <formula>"NO"</formula>
    </cfRule>
    <cfRule type="cellIs" dxfId="670" priority="642" operator="equal">
      <formula>"SI"</formula>
    </cfRule>
  </conditionalFormatting>
  <conditionalFormatting sqref="AT242:AW242">
    <cfRule type="cellIs" dxfId="669" priority="637" operator="equal">
      <formula>"SD"</formula>
    </cfRule>
    <cfRule type="cellIs" dxfId="668" priority="638" operator="equal">
      <formula>"NO"</formula>
    </cfRule>
    <cfRule type="cellIs" dxfId="667" priority="639" operator="equal">
      <formula>"SI"</formula>
    </cfRule>
  </conditionalFormatting>
  <conditionalFormatting sqref="AW242">
    <cfRule type="cellIs" dxfId="666" priority="634" operator="equal">
      <formula>1</formula>
    </cfRule>
    <cfRule type="cellIs" dxfId="665" priority="635" operator="equal">
      <formula>"3 O MAS"</formula>
    </cfRule>
    <cfRule type="cellIs" dxfId="664" priority="636" operator="equal">
      <formula>2</formula>
    </cfRule>
  </conditionalFormatting>
  <conditionalFormatting sqref="AX242 BA242">
    <cfRule type="cellIs" dxfId="663" priority="631" operator="equal">
      <formula>"SD"</formula>
    </cfRule>
    <cfRule type="cellIs" dxfId="662" priority="632" operator="equal">
      <formula>"NO"</formula>
    </cfRule>
    <cfRule type="cellIs" dxfId="661" priority="633" operator="equal">
      <formula>"SI"</formula>
    </cfRule>
  </conditionalFormatting>
  <conditionalFormatting sqref="AY242">
    <cfRule type="containsText" dxfId="660" priority="626" operator="containsText" text="SD">
      <formula>NOT(ISERROR(SEARCH("SD",AY242)))</formula>
    </cfRule>
    <cfRule type="containsText" dxfId="659" priority="627" operator="containsText" text="SI, NO CONTROLADA">
      <formula>NOT(ISERROR(SEARCH("SI, NO CONTROLADA",AY242)))</formula>
    </cfRule>
    <cfRule type="containsText" dxfId="658" priority="628" operator="containsText" text="SI, SIN MANEJO">
      <formula>NOT(ISERROR(SEARCH("SI, SIN MANEJO",AY242)))</formula>
    </cfRule>
    <cfRule type="containsText" dxfId="657" priority="629" operator="containsText" text="SI, CONTROLADA">
      <formula>NOT(ISERROR(SEARCH("SI, CONTROLADA",AY242)))</formula>
    </cfRule>
    <cfRule type="containsText" dxfId="656" priority="630" operator="containsText" text="NO">
      <formula>NOT(ISERROR(SEARCH("NO",AY242)))</formula>
    </cfRule>
  </conditionalFormatting>
  <conditionalFormatting sqref="AZ242">
    <cfRule type="containsText" dxfId="655" priority="621" operator="containsText" text="SD">
      <formula>NOT(ISERROR(SEARCH("SD",AZ242)))</formula>
    </cfRule>
    <cfRule type="containsText" dxfId="654" priority="622" operator="containsText" text="SI, NO CONTROLADA">
      <formula>NOT(ISERROR(SEARCH("SI, NO CONTROLADA",AZ242)))</formula>
    </cfRule>
    <cfRule type="containsText" dxfId="653" priority="623" operator="containsText" text="SI, SIN MANEJO">
      <formula>NOT(ISERROR(SEARCH("SI, SIN MANEJO",AZ242)))</formula>
    </cfRule>
    <cfRule type="containsText" dxfId="652" priority="624" operator="containsText" text="SI, CONTROLADA">
      <formula>NOT(ISERROR(SEARCH("SI, CONTROLADA",AZ242)))</formula>
    </cfRule>
    <cfRule type="containsText" dxfId="651" priority="625" operator="containsText" text="NO">
      <formula>NOT(ISERROR(SEARCH("NO",AZ242)))</formula>
    </cfRule>
  </conditionalFormatting>
  <conditionalFormatting sqref="BB242">
    <cfRule type="cellIs" dxfId="650" priority="618" operator="equal">
      <formula>"SD"</formula>
    </cfRule>
    <cfRule type="cellIs" dxfId="649" priority="619" operator="equal">
      <formula>"NO"</formula>
    </cfRule>
    <cfRule type="cellIs" dxfId="648" priority="620" operator="equal">
      <formula>"SI"</formula>
    </cfRule>
  </conditionalFormatting>
  <conditionalFormatting sqref="BC242">
    <cfRule type="cellIs" dxfId="647" priority="615" operator="equal">
      <formula>"SD"</formula>
    </cfRule>
    <cfRule type="cellIs" dxfId="646" priority="616" operator="equal">
      <formula>"NO"</formula>
    </cfRule>
    <cfRule type="cellIs" dxfId="645" priority="617" operator="equal">
      <formula>"SI"</formula>
    </cfRule>
  </conditionalFormatting>
  <conditionalFormatting sqref="BF242">
    <cfRule type="cellIs" dxfId="644" priority="612" operator="equal">
      <formula>"SD"</formula>
    </cfRule>
    <cfRule type="cellIs" dxfId="643" priority="613" operator="equal">
      <formula>"NO"</formula>
    </cfRule>
    <cfRule type="cellIs" dxfId="642" priority="614" operator="equal">
      <formula>"SI"</formula>
    </cfRule>
  </conditionalFormatting>
  <conditionalFormatting sqref="BD242:BE242">
    <cfRule type="cellIs" dxfId="641" priority="609" operator="equal">
      <formula>"SD"</formula>
    </cfRule>
    <cfRule type="cellIs" dxfId="640" priority="610" operator="equal">
      <formula>"NO"</formula>
    </cfRule>
    <cfRule type="cellIs" dxfId="639" priority="611" operator="equal">
      <formula>"SI"</formula>
    </cfRule>
  </conditionalFormatting>
  <conditionalFormatting sqref="BE242">
    <cfRule type="expression" dxfId="638" priority="608">
      <formula>IF(AND(FA242&gt;=126,FC242&lt;24),1,0)</formula>
    </cfRule>
  </conditionalFormatting>
  <conditionalFormatting sqref="BG242">
    <cfRule type="cellIs" dxfId="637" priority="605" operator="equal">
      <formula>"SD"</formula>
    </cfRule>
    <cfRule type="cellIs" dxfId="636" priority="606" operator="equal">
      <formula>"NO"</formula>
    </cfRule>
    <cfRule type="cellIs" dxfId="635" priority="607" operator="equal">
      <formula>"SI"</formula>
    </cfRule>
  </conditionalFormatting>
  <conditionalFormatting sqref="BH242">
    <cfRule type="cellIs" dxfId="634" priority="602" operator="equal">
      <formula>"SD"</formula>
    </cfRule>
    <cfRule type="cellIs" dxfId="633" priority="603" operator="equal">
      <formula>"NO"</formula>
    </cfRule>
    <cfRule type="cellIs" dxfId="632" priority="604" operator="equal">
      <formula>"SI"</formula>
    </cfRule>
  </conditionalFormatting>
  <conditionalFormatting sqref="BI242">
    <cfRule type="cellIs" dxfId="631" priority="599" operator="equal">
      <formula>"SD"</formula>
    </cfRule>
    <cfRule type="cellIs" dxfId="630" priority="600" operator="equal">
      <formula>"NO"</formula>
    </cfRule>
    <cfRule type="cellIs" dxfId="629" priority="601" operator="equal">
      <formula>"SI"</formula>
    </cfRule>
  </conditionalFormatting>
  <conditionalFormatting sqref="BJ242">
    <cfRule type="cellIs" dxfId="628" priority="596" operator="equal">
      <formula>"SD"</formula>
    </cfRule>
    <cfRule type="cellIs" dxfId="627" priority="597" operator="equal">
      <formula>"NO"</formula>
    </cfRule>
    <cfRule type="cellIs" dxfId="626" priority="598" operator="equal">
      <formula>"SI"</formula>
    </cfRule>
  </conditionalFormatting>
  <conditionalFormatting sqref="BL242:BM242">
    <cfRule type="cellIs" dxfId="625" priority="593" operator="equal">
      <formula>"SD"</formula>
    </cfRule>
    <cfRule type="cellIs" dxfId="624" priority="594" operator="equal">
      <formula>"NO"</formula>
    </cfRule>
    <cfRule type="cellIs" dxfId="623" priority="595" operator="equal">
      <formula>"SI"</formula>
    </cfRule>
  </conditionalFormatting>
  <conditionalFormatting sqref="BK242">
    <cfRule type="cellIs" dxfId="622" priority="590" operator="equal">
      <formula>"SD"</formula>
    </cfRule>
    <cfRule type="cellIs" dxfId="621" priority="591" operator="equal">
      <formula>"NO"</formula>
    </cfRule>
    <cfRule type="cellIs" dxfId="620" priority="592" operator="equal">
      <formula>"SI"</formula>
    </cfRule>
  </conditionalFormatting>
  <conditionalFormatting sqref="L243">
    <cfRule type="containsText" dxfId="619" priority="581" operator="containsText" text="Empleo informal">
      <formula>NOT(ISERROR(SEARCH("Empleo informal",L243)))</formula>
    </cfRule>
    <cfRule type="containsText" dxfId="618" priority="582" operator="containsText" text="Empleada formalmente con riesgo a tóxicos">
      <formula>NOT(ISERROR(SEARCH("Empleada formalmente con riesgo a tóxicos",L243)))</formula>
    </cfRule>
    <cfRule type="containsText" dxfId="617" priority="583" operator="containsText" text="Empleada formalmente con riesgo de accidente laboral">
      <formula>NOT(ISERROR(SEARCH("Empleada formalmente con riesgo de accidente laboral",L243)))</formula>
    </cfRule>
    <cfRule type="containsText" dxfId="616" priority="584" operator="containsText" text="Empleada formalmente por jornada laboral extensa">
      <formula>NOT(ISERROR(SEARCH("Empleada formalmente por jornada laboral extensa",L243)))</formula>
    </cfRule>
    <cfRule type="containsText" dxfId="615" priority="585" operator="containsText" text="Empleada formalmente sin riesgo">
      <formula>NOT(ISERROR(SEARCH("Empleada formalmente sin riesgo",L243)))</formula>
    </cfRule>
    <cfRule type="containsText" dxfId="614" priority="586" operator="containsText" text="Actualmente desempleada">
      <formula>NOT(ISERROR(SEARCH("Actualmente desempleada",L243)))</formula>
    </cfRule>
    <cfRule type="containsText" dxfId="613" priority="587" operator="containsText" text="Hogar sin apoyo">
      <formula>NOT(ISERROR(SEARCH("Hogar sin apoyo",L243)))</formula>
    </cfRule>
    <cfRule type="containsText" dxfId="612" priority="588" operator="containsText" text="Empleada formalmente sin riesgo">
      <formula>NOT(ISERROR(SEARCH("Empleada formalmente sin riesgo",L243)))</formula>
    </cfRule>
    <cfRule type="containsText" dxfId="611" priority="589" operator="containsText" text="Hogar Con apoyo">
      <formula>NOT(ISERROR(SEARCH("Hogar Con apoyo",L243)))</formula>
    </cfRule>
  </conditionalFormatting>
  <conditionalFormatting sqref="AC243">
    <cfRule type="containsText" dxfId="610" priority="577" operator="containsText" text="SABE">
      <formula>NOT(ISERROR(SEARCH("SABE",AC243)))</formula>
    </cfRule>
    <cfRule type="containsText" dxfId="609" priority="578" operator="containsText" text="SECUNDARIA">
      <formula>NOT(ISERROR(SEARCH("SECUNDARIA",AC243)))</formula>
    </cfRule>
    <cfRule type="containsText" dxfId="608" priority="579" operator="containsText" text="PRIMARIA INCOMPLETA">
      <formula>NOT(ISERROR(SEARCH("PRIMARIA INCOMPLETA",AC243)))</formula>
    </cfRule>
    <cfRule type="cellIs" dxfId="607" priority="580" operator="equal">
      <formula>"ANALFABETA"</formula>
    </cfRule>
  </conditionalFormatting>
  <conditionalFormatting sqref="AD243">
    <cfRule type="containsText" dxfId="606" priority="574" operator="containsText" text="No Consume">
      <formula>NOT(ISERROR(SEARCH("No Consume",AD243)))</formula>
    </cfRule>
    <cfRule type="containsText" dxfId="605" priority="575" operator="containsText" text="Hasta Antes de la Gestación">
      <formula>NOT(ISERROR(SEARCH("Hasta Antes de la Gestación",AD243)))</formula>
    </cfRule>
    <cfRule type="containsText" dxfId="604" priority="576" operator="containsText" text="Consumo Actual">
      <formula>NOT(ISERROR(SEARCH("Consumo Actual",AD243)))</formula>
    </cfRule>
  </conditionalFormatting>
  <conditionalFormatting sqref="AE243:AF243">
    <cfRule type="containsText" dxfId="603" priority="572" operator="containsText" text="NO">
      <formula>NOT(ISERROR(SEARCH("NO",AE243)))</formula>
    </cfRule>
    <cfRule type="containsText" dxfId="602" priority="573" operator="containsText" text="SI">
      <formula>NOT(ISERROR(SEARCH("SI",AE243)))</formula>
    </cfRule>
  </conditionalFormatting>
  <conditionalFormatting sqref="AL243:AR243">
    <cfRule type="cellIs" dxfId="601" priority="569" operator="equal">
      <formula>"SD"</formula>
    </cfRule>
    <cfRule type="cellIs" dxfId="600" priority="570" operator="equal">
      <formula>"NO"</formula>
    </cfRule>
    <cfRule type="cellIs" dxfId="599" priority="571" operator="equal">
      <formula>"SI"</formula>
    </cfRule>
  </conditionalFormatting>
  <conditionalFormatting sqref="AK243">
    <cfRule type="containsText" dxfId="598" priority="566" operator="containsText" text="COMPLETAR EVALUACIÓN">
      <formula>NOT(ISERROR(SEARCH("COMPLETAR EVALUACIÓN",AK243)))</formula>
    </cfRule>
    <cfRule type="containsText" dxfId="597" priority="567" operator="containsText" text="CON RIESGO">
      <formula>NOT(ISERROR(SEARCH("CON RIESGO",AK243)))</formula>
    </cfRule>
    <cfRule type="containsText" dxfId="596" priority="568" operator="containsText" text="SIN RIESGO">
      <formula>NOT(ISERROR(SEARCH("SIN RIESGO",AK243)))</formula>
    </cfRule>
  </conditionalFormatting>
  <conditionalFormatting sqref="AG243:AH243">
    <cfRule type="cellIs" dxfId="595" priority="563" operator="equal">
      <formula>"SD"</formula>
    </cfRule>
    <cfRule type="cellIs" dxfId="594" priority="564" operator="equal">
      <formula>"NO"</formula>
    </cfRule>
    <cfRule type="cellIs" dxfId="593" priority="565" operator="equal">
      <formula>"SI"</formula>
    </cfRule>
  </conditionalFormatting>
  <conditionalFormatting sqref="AI243">
    <cfRule type="containsText" dxfId="592" priority="558" operator="containsText" text="HABITANTE DE CALLE">
      <formula>NOT(ISERROR(SEARCH("HABITANTE DE CALLE",AI243)))</formula>
    </cfRule>
    <cfRule type="containsText" dxfId="591" priority="559" operator="containsText" text="NINGUNO">
      <formula>NOT(ISERROR(SEARCH("NINGUNO",AI243)))</formula>
    </cfRule>
    <cfRule type="containsText" dxfId="590" priority="560" operator="containsText" text="MIGRATORIA">
      <formula>NOT(ISERROR(SEARCH("MIGRATORIA",AI243)))</formula>
    </cfRule>
    <cfRule type="containsText" dxfId="589" priority="561" operator="containsText" text="DISCAPACIDAD">
      <formula>NOT(ISERROR(SEARCH("DISCAPACIDAD",AI243)))</formula>
    </cfRule>
    <cfRule type="containsText" dxfId="588" priority="562" operator="containsText" text="DESPLAZADA">
      <formula>NOT(ISERROR(SEARCH("DESPLAZADA",AI243)))</formula>
    </cfRule>
  </conditionalFormatting>
  <conditionalFormatting sqref="AJ243">
    <cfRule type="cellIs" dxfId="587" priority="555" operator="equal">
      <formula>"SD"</formula>
    </cfRule>
    <cfRule type="cellIs" dxfId="586" priority="556" operator="equal">
      <formula>"NO"</formula>
    </cfRule>
    <cfRule type="cellIs" dxfId="585" priority="557" operator="equal">
      <formula>"SI"</formula>
    </cfRule>
  </conditionalFormatting>
  <conditionalFormatting sqref="AV243">
    <cfRule type="cellIs" dxfId="584" priority="552" operator="equal">
      <formula>"SD"</formula>
    </cfRule>
    <cfRule type="cellIs" dxfId="583" priority="553" operator="equal">
      <formula>"NO"</formula>
    </cfRule>
    <cfRule type="cellIs" dxfId="582" priority="554" operator="equal">
      <formula>"SI"</formula>
    </cfRule>
  </conditionalFormatting>
  <conditionalFormatting sqref="AX243 BA243">
    <cfRule type="cellIs" dxfId="581" priority="549" operator="equal">
      <formula>"SD"</formula>
    </cfRule>
    <cfRule type="cellIs" dxfId="580" priority="550" operator="equal">
      <formula>"NO"</formula>
    </cfRule>
    <cfRule type="cellIs" dxfId="579" priority="551" operator="equal">
      <formula>"SI"</formula>
    </cfRule>
  </conditionalFormatting>
  <conditionalFormatting sqref="AY243">
    <cfRule type="containsText" dxfId="578" priority="544" operator="containsText" text="SD">
      <formula>NOT(ISERROR(SEARCH("SD",AY243)))</formula>
    </cfRule>
    <cfRule type="containsText" dxfId="577" priority="545" operator="containsText" text="SI, NO CONTROLADA">
      <formula>NOT(ISERROR(SEARCH("SI, NO CONTROLADA",AY243)))</formula>
    </cfRule>
    <cfRule type="containsText" dxfId="576" priority="546" operator="containsText" text="SI, SIN MANEJO">
      <formula>NOT(ISERROR(SEARCH("SI, SIN MANEJO",AY243)))</formula>
    </cfRule>
    <cfRule type="containsText" dxfId="575" priority="547" operator="containsText" text="SI, CONTROLADA">
      <formula>NOT(ISERROR(SEARCH("SI, CONTROLADA",AY243)))</formula>
    </cfRule>
    <cfRule type="containsText" dxfId="574" priority="548" operator="containsText" text="NO">
      <formula>NOT(ISERROR(SEARCH("NO",AY243)))</formula>
    </cfRule>
  </conditionalFormatting>
  <conditionalFormatting sqref="AZ243">
    <cfRule type="containsText" dxfId="573" priority="539" operator="containsText" text="SD">
      <formula>NOT(ISERROR(SEARCH("SD",AZ243)))</formula>
    </cfRule>
    <cfRule type="containsText" dxfId="572" priority="540" operator="containsText" text="SI, NO CONTROLADA">
      <formula>NOT(ISERROR(SEARCH("SI, NO CONTROLADA",AZ243)))</formula>
    </cfRule>
    <cfRule type="containsText" dxfId="571" priority="541" operator="containsText" text="SI, SIN MANEJO">
      <formula>NOT(ISERROR(SEARCH("SI, SIN MANEJO",AZ243)))</formula>
    </cfRule>
    <cfRule type="containsText" dxfId="570" priority="542" operator="containsText" text="SI, CONTROLADA">
      <formula>NOT(ISERROR(SEARCH("SI, CONTROLADA",AZ243)))</formula>
    </cfRule>
    <cfRule type="containsText" dxfId="569" priority="543" operator="containsText" text="NO">
      <formula>NOT(ISERROR(SEARCH("NO",AZ243)))</formula>
    </cfRule>
  </conditionalFormatting>
  <conditionalFormatting sqref="BB243">
    <cfRule type="cellIs" dxfId="568" priority="536" operator="equal">
      <formula>"SD"</formula>
    </cfRule>
    <cfRule type="cellIs" dxfId="567" priority="537" operator="equal">
      <formula>"NO"</formula>
    </cfRule>
    <cfRule type="cellIs" dxfId="566" priority="538" operator="equal">
      <formula>"SI"</formula>
    </cfRule>
  </conditionalFormatting>
  <conditionalFormatting sqref="BC243">
    <cfRule type="cellIs" dxfId="565" priority="533" operator="equal">
      <formula>"SD"</formula>
    </cfRule>
    <cfRule type="cellIs" dxfId="564" priority="534" operator="equal">
      <formula>"NO"</formula>
    </cfRule>
    <cfRule type="cellIs" dxfId="563" priority="535" operator="equal">
      <formula>"SI"</formula>
    </cfRule>
  </conditionalFormatting>
  <conditionalFormatting sqref="BF243">
    <cfRule type="cellIs" dxfId="562" priority="530" operator="equal">
      <formula>"SD"</formula>
    </cfRule>
    <cfRule type="cellIs" dxfId="561" priority="531" operator="equal">
      <formula>"NO"</formula>
    </cfRule>
    <cfRule type="cellIs" dxfId="560" priority="532" operator="equal">
      <formula>"SI"</formula>
    </cfRule>
  </conditionalFormatting>
  <conditionalFormatting sqref="BD243:BE243">
    <cfRule type="cellIs" dxfId="559" priority="527" operator="equal">
      <formula>"SD"</formula>
    </cfRule>
    <cfRule type="cellIs" dxfId="558" priority="528" operator="equal">
      <formula>"NO"</formula>
    </cfRule>
    <cfRule type="cellIs" dxfId="557" priority="529" operator="equal">
      <formula>"SI"</formula>
    </cfRule>
  </conditionalFormatting>
  <conditionalFormatting sqref="BE243">
    <cfRule type="expression" dxfId="556" priority="526">
      <formula>IF(AND(FA243&gt;=126,FC243&lt;24),1,0)</formula>
    </cfRule>
  </conditionalFormatting>
  <conditionalFormatting sqref="BG243">
    <cfRule type="cellIs" dxfId="555" priority="523" operator="equal">
      <formula>"SD"</formula>
    </cfRule>
    <cfRule type="cellIs" dxfId="554" priority="524" operator="equal">
      <formula>"NO"</formula>
    </cfRule>
    <cfRule type="cellIs" dxfId="553" priority="525" operator="equal">
      <formula>"SI"</formula>
    </cfRule>
  </conditionalFormatting>
  <conditionalFormatting sqref="BH243">
    <cfRule type="cellIs" dxfId="552" priority="520" operator="equal">
      <formula>"SD"</formula>
    </cfRule>
    <cfRule type="cellIs" dxfId="551" priority="521" operator="equal">
      <formula>"NO"</formula>
    </cfRule>
    <cfRule type="cellIs" dxfId="550" priority="522" operator="equal">
      <formula>"SI"</formula>
    </cfRule>
  </conditionalFormatting>
  <conditionalFormatting sqref="BI243">
    <cfRule type="cellIs" dxfId="549" priority="517" operator="equal">
      <formula>"SD"</formula>
    </cfRule>
    <cfRule type="cellIs" dxfId="548" priority="518" operator="equal">
      <formula>"NO"</formula>
    </cfRule>
    <cfRule type="cellIs" dxfId="547" priority="519" operator="equal">
      <formula>"SI"</formula>
    </cfRule>
  </conditionalFormatting>
  <conditionalFormatting sqref="BJ243">
    <cfRule type="cellIs" dxfId="546" priority="514" operator="equal">
      <formula>"SD"</formula>
    </cfRule>
    <cfRule type="cellIs" dxfId="545" priority="515" operator="equal">
      <formula>"NO"</formula>
    </cfRule>
    <cfRule type="cellIs" dxfId="544" priority="516" operator="equal">
      <formula>"SI"</formula>
    </cfRule>
  </conditionalFormatting>
  <conditionalFormatting sqref="BL243:BM243">
    <cfRule type="cellIs" dxfId="543" priority="511" operator="equal">
      <formula>"SD"</formula>
    </cfRule>
    <cfRule type="cellIs" dxfId="542" priority="512" operator="equal">
      <formula>"NO"</formula>
    </cfRule>
    <cfRule type="cellIs" dxfId="541" priority="513" operator="equal">
      <formula>"SI"</formula>
    </cfRule>
  </conditionalFormatting>
  <conditionalFormatting sqref="BK243">
    <cfRule type="cellIs" dxfId="540" priority="508" operator="equal">
      <formula>"SD"</formula>
    </cfRule>
    <cfRule type="cellIs" dxfId="539" priority="509" operator="equal">
      <formula>"NO"</formula>
    </cfRule>
    <cfRule type="cellIs" dxfId="538" priority="510" operator="equal">
      <formula>"SI"</formula>
    </cfRule>
  </conditionalFormatting>
  <conditionalFormatting sqref="HS243">
    <cfRule type="expression" dxfId="537" priority="507">
      <formula>IF(HT243="No Aplica para suministro de ASA",1,"")</formula>
    </cfRule>
  </conditionalFormatting>
  <conditionalFormatting sqref="HU243">
    <cfRule type="expression" dxfId="536" priority="506">
      <formula>IF(HV243="No Aplica para suministro de ASA",1,"")</formula>
    </cfRule>
  </conditionalFormatting>
  <conditionalFormatting sqref="HW243">
    <cfRule type="expression" dxfId="535" priority="505">
      <formula>IF(HX243="No Aplica para suministro de ASA",1,"")</formula>
    </cfRule>
  </conditionalFormatting>
  <conditionalFormatting sqref="HT243">
    <cfRule type="containsText" dxfId="534" priority="500" operator="containsText" text="NO SE FORMULA">
      <formula>NOT(ISERROR(SEARCH("NO SE FORMULA",HT243)))</formula>
    </cfRule>
    <cfRule type="containsText" dxfId="533" priority="501" operator="containsText" text="OTRO">
      <formula>NOT(ISERROR(SEARCH("OTRO",HT243)))</formula>
    </cfRule>
    <cfRule type="containsText" dxfId="532" priority="502" operator="containsText" text="IRREGULAR">
      <formula>NOT(ISERROR(SEARCH("IRREGULAR",HT243)))</formula>
    </cfRule>
    <cfRule type="containsText" dxfId="531" priority="503" operator="containsText" text="ADECUADO">
      <formula>NOT(ISERROR(SEARCH("ADECUADO",HT243)))</formula>
    </cfRule>
  </conditionalFormatting>
  <conditionalFormatting sqref="DA99">
    <cfRule type="expression" dxfId="530" priority="499">
      <formula>IF(DC99="NO APLICA-INGRESO TARDIO",1,"")</formula>
    </cfRule>
  </conditionalFormatting>
  <conditionalFormatting sqref="DB99">
    <cfRule type="containsText" dxfId="529" priority="494" operator="containsText" text="NORMAL">
      <formula>NOT(ISERROR(SEARCH("NORMAL",DB99)))</formula>
    </cfRule>
    <cfRule type="containsText" dxfId="528" priority="495" operator="containsText" text="VIGILAR">
      <formula>NOT(ISERROR(SEARCH("VIGILAR",DB99)))</formula>
    </cfRule>
    <cfRule type="containsText" dxfId="527" priority="496" operator="containsText" text="HTA">
      <formula>NOT(ISERROR(SEARCH("HTA",DB99)))</formula>
    </cfRule>
    <cfRule type="containsText" dxfId="526" priority="497" operator="containsText" text="ACUDE A CONTROL SEM 30 A 34- REGISTRE AHORA">
      <formula>NOT(ISERROR(SEARCH("ACUDE A CONTROL SEM 30 A 34- REGISTRE AHORA",DB99)))</formula>
    </cfRule>
    <cfRule type="containsText" dxfId="525" priority="498" operator="containsText" text="NO APLICA">
      <formula>NOT(ISERROR(SEARCH("NO APLICA",DB99)))</formula>
    </cfRule>
  </conditionalFormatting>
  <conditionalFormatting sqref="FB185">
    <cfRule type="containsText" dxfId="524" priority="490" operator="containsText" text="RH NEGATIVO SIN COOMB">
      <formula>NOT(ISERROR(SEARCH("RH NEGATIVO SIN COOMB",FB185)))</formula>
    </cfRule>
    <cfRule type="containsText" dxfId="523" priority="491" operator="containsText" text="RH NEGATIVO CON COOMBS POSITIVO">
      <formula>NOT(ISERROR(SEARCH("RH NEGATIVO CON COOMBS POSITIVO",FB185)))</formula>
    </cfRule>
    <cfRule type="containsText" dxfId="522" priority="492" operator="containsText" text="RH NEGATIVO CON COOMBS NEGATIVO">
      <formula>NOT(ISERROR(SEARCH("RH NEGATIVO CON COOMBS NEGATIVO",FB185)))</formula>
    </cfRule>
    <cfRule type="containsText" dxfId="521" priority="493" operator="containsText" text="RH POSITIVO">
      <formula>NOT(ISERROR(SEARCH("RH POSITIVO",FB185)))</formula>
    </cfRule>
  </conditionalFormatting>
  <conditionalFormatting sqref="FK185">
    <cfRule type="containsText" dxfId="520" priority="486" operator="containsText" text="RH NEGATIVO SIN COOMB">
      <formula>NOT(ISERROR(SEARCH("RH NEGATIVO SIN COOMB",FK185)))</formula>
    </cfRule>
    <cfRule type="containsText" dxfId="519" priority="487" operator="containsText" text="RH NEGATIVO CON COOMBS POSITIVO">
      <formula>NOT(ISERROR(SEARCH("RH NEGATIVO CON COOMBS POSITIVO",FK185)))</formula>
    </cfRule>
    <cfRule type="containsText" dxfId="518" priority="488" operator="containsText" text="RH NEGATIVO CON COOMBS NEGATIVO">
      <formula>NOT(ISERROR(SEARCH("RH NEGATIVO CON COOMBS NEGATIVO",FK185)))</formula>
    </cfRule>
    <cfRule type="containsText" dxfId="517" priority="489" operator="containsText" text="RH POSITIVO">
      <formula>NOT(ISERROR(SEARCH("RH POSITIVO",FK185)))</formula>
    </cfRule>
  </conditionalFormatting>
  <conditionalFormatting sqref="FZ185">
    <cfRule type="containsText" dxfId="516" priority="482" operator="containsText" text="RH NEGATIVO SIN COOMB">
      <formula>NOT(ISERROR(SEARCH("RH NEGATIVO SIN COOMB",FZ185)))</formula>
    </cfRule>
    <cfRule type="containsText" dxfId="515" priority="483" operator="containsText" text="RH NEGATIVO CON COOMBS POSITIVO">
      <formula>NOT(ISERROR(SEARCH("RH NEGATIVO CON COOMBS POSITIVO",FZ185)))</formula>
    </cfRule>
    <cfRule type="containsText" dxfId="514" priority="484" operator="containsText" text="RH NEGATIVO CON COOMBS NEGATIVO">
      <formula>NOT(ISERROR(SEARCH("RH NEGATIVO CON COOMBS NEGATIVO",FZ185)))</formula>
    </cfRule>
    <cfRule type="containsText" dxfId="513" priority="485" operator="containsText" text="RH POSITIVO">
      <formula>NOT(ISERROR(SEARCH("RH POSITIVO",FZ185)))</formula>
    </cfRule>
  </conditionalFormatting>
  <conditionalFormatting sqref="GO185">
    <cfRule type="containsText" dxfId="512" priority="478" operator="containsText" text="RH NEGATIVO SIN COOMB">
      <formula>NOT(ISERROR(SEARCH("RH NEGATIVO SIN COOMB",GO185)))</formula>
    </cfRule>
    <cfRule type="containsText" dxfId="511" priority="479" operator="containsText" text="RH NEGATIVO CON COOMBS POSITIVO">
      <formula>NOT(ISERROR(SEARCH("RH NEGATIVO CON COOMBS POSITIVO",GO185)))</formula>
    </cfRule>
    <cfRule type="containsText" dxfId="510" priority="480" operator="containsText" text="RH NEGATIVO CON COOMBS NEGATIVO">
      <formula>NOT(ISERROR(SEARCH("RH NEGATIVO CON COOMBS NEGATIVO",GO185)))</formula>
    </cfRule>
    <cfRule type="containsText" dxfId="509" priority="481" operator="containsText" text="RH POSITIVO">
      <formula>NOT(ISERROR(SEARCH("RH POSITIVO",GO185)))</formula>
    </cfRule>
  </conditionalFormatting>
  <conditionalFormatting sqref="GT185">
    <cfRule type="containsText" dxfId="508" priority="474" operator="containsText" text="RH NEGATIVO SIN COOMB">
      <formula>NOT(ISERROR(SEARCH("RH NEGATIVO SIN COOMB",GT185)))</formula>
    </cfRule>
    <cfRule type="containsText" dxfId="507" priority="475" operator="containsText" text="RH NEGATIVO CON COOMBS POSITIVO">
      <formula>NOT(ISERROR(SEARCH("RH NEGATIVO CON COOMBS POSITIVO",GT185)))</formula>
    </cfRule>
    <cfRule type="containsText" dxfId="506" priority="476" operator="containsText" text="RH NEGATIVO CON COOMBS NEGATIVO">
      <formula>NOT(ISERROR(SEARCH("RH NEGATIVO CON COOMBS NEGATIVO",GT185)))</formula>
    </cfRule>
    <cfRule type="containsText" dxfId="505" priority="477" operator="containsText" text="RH POSITIVO">
      <formula>NOT(ISERROR(SEARCH("RH POSITIVO",GT185)))</formula>
    </cfRule>
  </conditionalFormatting>
  <conditionalFormatting sqref="DA150:DB150">
    <cfRule type="expression" dxfId="504" priority="473">
      <formula>IF(DC150="NO APLICA-INGRESO TARDIO",1,"")</formula>
    </cfRule>
  </conditionalFormatting>
  <conditionalFormatting sqref="L244">
    <cfRule type="containsText" dxfId="503" priority="464" operator="containsText" text="Empleo informal">
      <formula>NOT(ISERROR(SEARCH("Empleo informal",L244)))</formula>
    </cfRule>
    <cfRule type="containsText" dxfId="502" priority="465" operator="containsText" text="Empleada formalmente con riesgo a tóxicos">
      <formula>NOT(ISERROR(SEARCH("Empleada formalmente con riesgo a tóxicos",L244)))</formula>
    </cfRule>
    <cfRule type="containsText" dxfId="501" priority="466" operator="containsText" text="Empleada formalmente con riesgo de accidente laboral">
      <formula>NOT(ISERROR(SEARCH("Empleada formalmente con riesgo de accidente laboral",L244)))</formula>
    </cfRule>
    <cfRule type="containsText" dxfId="500" priority="467" operator="containsText" text="Empleada formalmente por jornada laboral extensa">
      <formula>NOT(ISERROR(SEARCH("Empleada formalmente por jornada laboral extensa",L244)))</formula>
    </cfRule>
    <cfRule type="containsText" dxfId="499" priority="468" operator="containsText" text="Empleada formalmente sin riesgo">
      <formula>NOT(ISERROR(SEARCH("Empleada formalmente sin riesgo",L244)))</formula>
    </cfRule>
    <cfRule type="containsText" dxfId="498" priority="469" operator="containsText" text="Actualmente desempleada">
      <formula>NOT(ISERROR(SEARCH("Actualmente desempleada",L244)))</formula>
    </cfRule>
    <cfRule type="containsText" dxfId="497" priority="470" operator="containsText" text="Hogar sin apoyo">
      <formula>NOT(ISERROR(SEARCH("Hogar sin apoyo",L244)))</formula>
    </cfRule>
    <cfRule type="containsText" dxfId="496" priority="471" operator="containsText" text="Empleada formalmente sin riesgo">
      <formula>NOT(ISERROR(SEARCH("Empleada formalmente sin riesgo",L244)))</formula>
    </cfRule>
    <cfRule type="containsText" dxfId="495" priority="472" operator="containsText" text="Hogar Con apoyo">
      <formula>NOT(ISERROR(SEARCH("Hogar Con apoyo",L244)))</formula>
    </cfRule>
  </conditionalFormatting>
  <conditionalFormatting sqref="AC244">
    <cfRule type="containsText" dxfId="494" priority="460" operator="containsText" text="SABE">
      <formula>NOT(ISERROR(SEARCH("SABE",AC244)))</formula>
    </cfRule>
    <cfRule type="containsText" dxfId="493" priority="461" operator="containsText" text="SECUNDARIA">
      <formula>NOT(ISERROR(SEARCH("SECUNDARIA",AC244)))</formula>
    </cfRule>
    <cfRule type="containsText" dxfId="492" priority="462" operator="containsText" text="PRIMARIA INCOMPLETA">
      <formula>NOT(ISERROR(SEARCH("PRIMARIA INCOMPLETA",AC244)))</formula>
    </cfRule>
    <cfRule type="cellIs" dxfId="491" priority="463" operator="equal">
      <formula>"ANALFABETA"</formula>
    </cfRule>
  </conditionalFormatting>
  <conditionalFormatting sqref="AS244">
    <cfRule type="cellIs" dxfId="490" priority="457" operator="equal">
      <formula>"SD"</formula>
    </cfRule>
    <cfRule type="cellIs" dxfId="489" priority="458" operator="equal">
      <formula>"NO"</formula>
    </cfRule>
    <cfRule type="cellIs" dxfId="488" priority="459" operator="equal">
      <formula>"SI"</formula>
    </cfRule>
  </conditionalFormatting>
  <conditionalFormatting sqref="AD244">
    <cfRule type="containsText" dxfId="487" priority="454" operator="containsText" text="No Consume">
      <formula>NOT(ISERROR(SEARCH("No Consume",AD244)))</formula>
    </cfRule>
    <cfRule type="containsText" dxfId="486" priority="455" operator="containsText" text="Hasta Antes de la Gestación">
      <formula>NOT(ISERROR(SEARCH("Hasta Antes de la Gestación",AD244)))</formula>
    </cfRule>
    <cfRule type="containsText" dxfId="485" priority="456" operator="containsText" text="Consumo Actual">
      <formula>NOT(ISERROR(SEARCH("Consumo Actual",AD244)))</formula>
    </cfRule>
  </conditionalFormatting>
  <conditionalFormatting sqref="AE244:AF244">
    <cfRule type="containsText" dxfId="484" priority="452" operator="containsText" text="NO">
      <formula>NOT(ISERROR(SEARCH("NO",AE244)))</formula>
    </cfRule>
    <cfRule type="containsText" dxfId="483" priority="453" operator="containsText" text="SI">
      <formula>NOT(ISERROR(SEARCH("SI",AE244)))</formula>
    </cfRule>
  </conditionalFormatting>
  <conditionalFormatting sqref="AL244:AR244">
    <cfRule type="cellIs" dxfId="482" priority="449" operator="equal">
      <formula>"SD"</formula>
    </cfRule>
    <cfRule type="cellIs" dxfId="481" priority="450" operator="equal">
      <formula>"NO"</formula>
    </cfRule>
    <cfRule type="cellIs" dxfId="480" priority="451" operator="equal">
      <formula>"SI"</formula>
    </cfRule>
  </conditionalFormatting>
  <conditionalFormatting sqref="AK244">
    <cfRule type="containsText" dxfId="479" priority="446" operator="containsText" text="COMPLETAR EVALUACIÓN">
      <formula>NOT(ISERROR(SEARCH("COMPLETAR EVALUACIÓN",AK244)))</formula>
    </cfRule>
    <cfRule type="containsText" dxfId="478" priority="447" operator="containsText" text="CON RIESGO">
      <formula>NOT(ISERROR(SEARCH("CON RIESGO",AK244)))</formula>
    </cfRule>
    <cfRule type="containsText" dxfId="477" priority="448" operator="containsText" text="SIN RIESGO">
      <formula>NOT(ISERROR(SEARCH("SIN RIESGO",AK244)))</formula>
    </cfRule>
  </conditionalFormatting>
  <conditionalFormatting sqref="AG244:AH244">
    <cfRule type="cellIs" dxfId="476" priority="443" operator="equal">
      <formula>"SD"</formula>
    </cfRule>
    <cfRule type="cellIs" dxfId="475" priority="444" operator="equal">
      <formula>"NO"</formula>
    </cfRule>
    <cfRule type="cellIs" dxfId="474" priority="445" operator="equal">
      <formula>"SI"</formula>
    </cfRule>
  </conditionalFormatting>
  <conditionalFormatting sqref="AI244">
    <cfRule type="containsText" dxfId="473" priority="438" operator="containsText" text="HABITANTE DE CALLE">
      <formula>NOT(ISERROR(SEARCH("HABITANTE DE CALLE",AI244)))</formula>
    </cfRule>
    <cfRule type="containsText" dxfId="472" priority="439" operator="containsText" text="NINGUNO">
      <formula>NOT(ISERROR(SEARCH("NINGUNO",AI244)))</formula>
    </cfRule>
    <cfRule type="containsText" dxfId="471" priority="440" operator="containsText" text="MIGRATORIA">
      <formula>NOT(ISERROR(SEARCH("MIGRATORIA",AI244)))</formula>
    </cfRule>
    <cfRule type="containsText" dxfId="470" priority="441" operator="containsText" text="DISCAPACIDAD">
      <formula>NOT(ISERROR(SEARCH("DISCAPACIDAD",AI244)))</formula>
    </cfRule>
    <cfRule type="containsText" dxfId="469" priority="442" operator="containsText" text="DESPLAZADA">
      <formula>NOT(ISERROR(SEARCH("DESPLAZADA",AI244)))</formula>
    </cfRule>
  </conditionalFormatting>
  <conditionalFormatting sqref="AJ244">
    <cfRule type="cellIs" dxfId="468" priority="435" operator="equal">
      <formula>"SD"</formula>
    </cfRule>
    <cfRule type="cellIs" dxfId="467" priority="436" operator="equal">
      <formula>"NO"</formula>
    </cfRule>
    <cfRule type="cellIs" dxfId="466" priority="437" operator="equal">
      <formula>"SI"</formula>
    </cfRule>
  </conditionalFormatting>
  <conditionalFormatting sqref="AT244:AW244">
    <cfRule type="cellIs" dxfId="465" priority="432" operator="equal">
      <formula>"SD"</formula>
    </cfRule>
    <cfRule type="cellIs" dxfId="464" priority="433" operator="equal">
      <formula>"NO"</formula>
    </cfRule>
    <cfRule type="cellIs" dxfId="463" priority="434" operator="equal">
      <formula>"SI"</formula>
    </cfRule>
  </conditionalFormatting>
  <conditionalFormatting sqref="AW244">
    <cfRule type="cellIs" dxfId="462" priority="429" operator="equal">
      <formula>1</formula>
    </cfRule>
    <cfRule type="cellIs" dxfId="461" priority="430" operator="equal">
      <formula>"3 O MAS"</formula>
    </cfRule>
    <cfRule type="cellIs" dxfId="460" priority="431" operator="equal">
      <formula>2</formula>
    </cfRule>
  </conditionalFormatting>
  <conditionalFormatting sqref="AX244 BA244">
    <cfRule type="cellIs" dxfId="459" priority="426" operator="equal">
      <formula>"SD"</formula>
    </cfRule>
    <cfRule type="cellIs" dxfId="458" priority="427" operator="equal">
      <formula>"NO"</formula>
    </cfRule>
    <cfRule type="cellIs" dxfId="457" priority="428" operator="equal">
      <formula>"SI"</formula>
    </cfRule>
  </conditionalFormatting>
  <conditionalFormatting sqref="AY244">
    <cfRule type="containsText" dxfId="456" priority="421" operator="containsText" text="SD">
      <formula>NOT(ISERROR(SEARCH("SD",AY244)))</formula>
    </cfRule>
    <cfRule type="containsText" dxfId="455" priority="422" operator="containsText" text="SI, NO CONTROLADA">
      <formula>NOT(ISERROR(SEARCH("SI, NO CONTROLADA",AY244)))</formula>
    </cfRule>
    <cfRule type="containsText" dxfId="454" priority="423" operator="containsText" text="SI, SIN MANEJO">
      <formula>NOT(ISERROR(SEARCH("SI, SIN MANEJO",AY244)))</formula>
    </cfRule>
    <cfRule type="containsText" dxfId="453" priority="424" operator="containsText" text="SI, CONTROLADA">
      <formula>NOT(ISERROR(SEARCH("SI, CONTROLADA",AY244)))</formula>
    </cfRule>
    <cfRule type="containsText" dxfId="452" priority="425" operator="containsText" text="NO">
      <formula>NOT(ISERROR(SEARCH("NO",AY244)))</formula>
    </cfRule>
  </conditionalFormatting>
  <conditionalFormatting sqref="AZ244">
    <cfRule type="containsText" dxfId="451" priority="416" operator="containsText" text="SD">
      <formula>NOT(ISERROR(SEARCH("SD",AZ244)))</formula>
    </cfRule>
    <cfRule type="containsText" dxfId="450" priority="417" operator="containsText" text="SI, NO CONTROLADA">
      <formula>NOT(ISERROR(SEARCH("SI, NO CONTROLADA",AZ244)))</formula>
    </cfRule>
    <cfRule type="containsText" dxfId="449" priority="418" operator="containsText" text="SI, SIN MANEJO">
      <formula>NOT(ISERROR(SEARCH("SI, SIN MANEJO",AZ244)))</formula>
    </cfRule>
    <cfRule type="containsText" dxfId="448" priority="419" operator="containsText" text="SI, CONTROLADA">
      <formula>NOT(ISERROR(SEARCH("SI, CONTROLADA",AZ244)))</formula>
    </cfRule>
    <cfRule type="containsText" dxfId="447" priority="420" operator="containsText" text="NO">
      <formula>NOT(ISERROR(SEARCH("NO",AZ244)))</formula>
    </cfRule>
  </conditionalFormatting>
  <conditionalFormatting sqref="BB244">
    <cfRule type="cellIs" dxfId="446" priority="413" operator="equal">
      <formula>"SD"</formula>
    </cfRule>
    <cfRule type="cellIs" dxfId="445" priority="414" operator="equal">
      <formula>"NO"</formula>
    </cfRule>
    <cfRule type="cellIs" dxfId="444" priority="415" operator="equal">
      <formula>"SI"</formula>
    </cfRule>
  </conditionalFormatting>
  <conditionalFormatting sqref="BC244">
    <cfRule type="cellIs" dxfId="443" priority="410" operator="equal">
      <formula>"SD"</formula>
    </cfRule>
    <cfRule type="cellIs" dxfId="442" priority="411" operator="equal">
      <formula>"NO"</formula>
    </cfRule>
    <cfRule type="cellIs" dxfId="441" priority="412" operator="equal">
      <formula>"SI"</formula>
    </cfRule>
  </conditionalFormatting>
  <conditionalFormatting sqref="BF244">
    <cfRule type="cellIs" dxfId="440" priority="407" operator="equal">
      <formula>"SD"</formula>
    </cfRule>
    <cfRule type="cellIs" dxfId="439" priority="408" operator="equal">
      <formula>"NO"</formula>
    </cfRule>
    <cfRule type="cellIs" dxfId="438" priority="409" operator="equal">
      <formula>"SI"</formula>
    </cfRule>
  </conditionalFormatting>
  <conditionalFormatting sqref="BD244:BE244">
    <cfRule type="cellIs" dxfId="437" priority="404" operator="equal">
      <formula>"SD"</formula>
    </cfRule>
    <cfRule type="cellIs" dxfId="436" priority="405" operator="equal">
      <formula>"NO"</formula>
    </cfRule>
    <cfRule type="cellIs" dxfId="435" priority="406" operator="equal">
      <formula>"SI"</formula>
    </cfRule>
  </conditionalFormatting>
  <conditionalFormatting sqref="BE244">
    <cfRule type="expression" dxfId="434" priority="403">
      <formula>IF(AND(FA244&gt;=126,FC244&lt;24),1,0)</formula>
    </cfRule>
  </conditionalFormatting>
  <conditionalFormatting sqref="BG244">
    <cfRule type="cellIs" dxfId="433" priority="400" operator="equal">
      <formula>"SD"</formula>
    </cfRule>
    <cfRule type="cellIs" dxfId="432" priority="401" operator="equal">
      <formula>"NO"</formula>
    </cfRule>
    <cfRule type="cellIs" dxfId="431" priority="402" operator="equal">
      <formula>"SI"</formula>
    </cfRule>
  </conditionalFormatting>
  <conditionalFormatting sqref="BH244">
    <cfRule type="cellIs" dxfId="430" priority="397" operator="equal">
      <formula>"SD"</formula>
    </cfRule>
    <cfRule type="cellIs" dxfId="429" priority="398" operator="equal">
      <formula>"NO"</formula>
    </cfRule>
    <cfRule type="cellIs" dxfId="428" priority="399" operator="equal">
      <formula>"SI"</formula>
    </cfRule>
  </conditionalFormatting>
  <conditionalFormatting sqref="BI244">
    <cfRule type="cellIs" dxfId="427" priority="394" operator="equal">
      <formula>"SD"</formula>
    </cfRule>
    <cfRule type="cellIs" dxfId="426" priority="395" operator="equal">
      <formula>"NO"</formula>
    </cfRule>
    <cfRule type="cellIs" dxfId="425" priority="396" operator="equal">
      <formula>"SI"</formula>
    </cfRule>
  </conditionalFormatting>
  <conditionalFormatting sqref="BJ244">
    <cfRule type="cellIs" dxfId="424" priority="391" operator="equal">
      <formula>"SD"</formula>
    </cfRule>
    <cfRule type="cellIs" dxfId="423" priority="392" operator="equal">
      <formula>"NO"</formula>
    </cfRule>
    <cfRule type="cellIs" dxfId="422" priority="393" operator="equal">
      <formula>"SI"</formula>
    </cfRule>
  </conditionalFormatting>
  <conditionalFormatting sqref="BL244:BM244">
    <cfRule type="cellIs" dxfId="421" priority="388" operator="equal">
      <formula>"SD"</formula>
    </cfRule>
    <cfRule type="cellIs" dxfId="420" priority="389" operator="equal">
      <formula>"NO"</formula>
    </cfRule>
    <cfRule type="cellIs" dxfId="419" priority="390" operator="equal">
      <formula>"SI"</formula>
    </cfRule>
  </conditionalFormatting>
  <conditionalFormatting sqref="BK244">
    <cfRule type="cellIs" dxfId="418" priority="385" operator="equal">
      <formula>"SD"</formula>
    </cfRule>
    <cfRule type="cellIs" dxfId="417" priority="386" operator="equal">
      <formula>"NO"</formula>
    </cfRule>
    <cfRule type="cellIs" dxfId="416" priority="387" operator="equal">
      <formula>"SI"</formula>
    </cfRule>
  </conditionalFormatting>
  <conditionalFormatting sqref="DA244:DB244">
    <cfRule type="expression" dxfId="415" priority="384">
      <formula>IF(DC244="NO APLICA-INGRESO TARDIO",1,"")</formula>
    </cfRule>
  </conditionalFormatting>
  <conditionalFormatting sqref="HT244">
    <cfRule type="containsText" dxfId="414" priority="380" operator="containsText" text="NO SE FORMULA">
      <formula>NOT(ISERROR(SEARCH("NO SE FORMULA",HT244)))</formula>
    </cfRule>
    <cfRule type="containsText" dxfId="413" priority="381" operator="containsText" text="OTRO">
      <formula>NOT(ISERROR(SEARCH("OTRO",HT244)))</formula>
    </cfRule>
    <cfRule type="containsText" dxfId="412" priority="382" operator="containsText" text="IRREGULAR">
      <formula>NOT(ISERROR(SEARCH("IRREGULAR",HT244)))</formula>
    </cfRule>
    <cfRule type="containsText" dxfId="411" priority="383" operator="containsText" text="ADECUADO">
      <formula>NOT(ISERROR(SEARCH("ADECUADO",HT244)))</formula>
    </cfRule>
  </conditionalFormatting>
  <conditionalFormatting sqref="L245">
    <cfRule type="containsText" dxfId="410" priority="371" operator="containsText" text="Empleo informal">
      <formula>NOT(ISERROR(SEARCH("Empleo informal",L245)))</formula>
    </cfRule>
    <cfRule type="containsText" dxfId="409" priority="372" operator="containsText" text="Empleada formalmente con riesgo a tóxicos">
      <formula>NOT(ISERROR(SEARCH("Empleada formalmente con riesgo a tóxicos",L245)))</formula>
    </cfRule>
    <cfRule type="containsText" dxfId="408" priority="373" operator="containsText" text="Empleada formalmente con riesgo de accidente laboral">
      <formula>NOT(ISERROR(SEARCH("Empleada formalmente con riesgo de accidente laboral",L245)))</formula>
    </cfRule>
    <cfRule type="containsText" dxfId="407" priority="374" operator="containsText" text="Empleada formalmente por jornada laboral extensa">
      <formula>NOT(ISERROR(SEARCH("Empleada formalmente por jornada laboral extensa",L245)))</formula>
    </cfRule>
    <cfRule type="containsText" dxfId="406" priority="375" operator="containsText" text="Empleada formalmente sin riesgo">
      <formula>NOT(ISERROR(SEARCH("Empleada formalmente sin riesgo",L245)))</formula>
    </cfRule>
    <cfRule type="containsText" dxfId="405" priority="376" operator="containsText" text="Actualmente desempleada">
      <formula>NOT(ISERROR(SEARCH("Actualmente desempleada",L245)))</formula>
    </cfRule>
    <cfRule type="containsText" dxfId="404" priority="377" operator="containsText" text="Hogar sin apoyo">
      <formula>NOT(ISERROR(SEARCH("Hogar sin apoyo",L245)))</formula>
    </cfRule>
    <cfRule type="containsText" dxfId="403" priority="378" operator="containsText" text="Empleada formalmente sin riesgo">
      <formula>NOT(ISERROR(SEARCH("Empleada formalmente sin riesgo",L245)))</formula>
    </cfRule>
    <cfRule type="containsText" dxfId="402" priority="379" operator="containsText" text="Hogar Con apoyo">
      <formula>NOT(ISERROR(SEARCH("Hogar Con apoyo",L245)))</formula>
    </cfRule>
  </conditionalFormatting>
  <conditionalFormatting sqref="AC245">
    <cfRule type="containsText" dxfId="401" priority="367" operator="containsText" text="SABE">
      <formula>NOT(ISERROR(SEARCH("SABE",AC245)))</formula>
    </cfRule>
    <cfRule type="containsText" dxfId="400" priority="368" operator="containsText" text="SECUNDARIA">
      <formula>NOT(ISERROR(SEARCH("SECUNDARIA",AC245)))</formula>
    </cfRule>
    <cfRule type="containsText" dxfId="399" priority="369" operator="containsText" text="PRIMARIA INCOMPLETA">
      <formula>NOT(ISERROR(SEARCH("PRIMARIA INCOMPLETA",AC245)))</formula>
    </cfRule>
    <cfRule type="cellIs" dxfId="398" priority="370" operator="equal">
      <formula>"ANALFABETA"</formula>
    </cfRule>
  </conditionalFormatting>
  <conditionalFormatting sqref="AD245">
    <cfRule type="containsText" dxfId="397" priority="364" operator="containsText" text="No Consume">
      <formula>NOT(ISERROR(SEARCH("No Consume",AD245)))</formula>
    </cfRule>
    <cfRule type="containsText" dxfId="396" priority="365" operator="containsText" text="Hasta Antes de la Gestación">
      <formula>NOT(ISERROR(SEARCH("Hasta Antes de la Gestación",AD245)))</formula>
    </cfRule>
    <cfRule type="containsText" dxfId="395" priority="366" operator="containsText" text="Consumo Actual">
      <formula>NOT(ISERROR(SEARCH("Consumo Actual",AD245)))</formula>
    </cfRule>
  </conditionalFormatting>
  <conditionalFormatting sqref="AE245:AF245">
    <cfRule type="containsText" dxfId="394" priority="362" operator="containsText" text="NO">
      <formula>NOT(ISERROR(SEARCH("NO",AE245)))</formula>
    </cfRule>
    <cfRule type="containsText" dxfId="393" priority="363" operator="containsText" text="SI">
      <formula>NOT(ISERROR(SEARCH("SI",AE245)))</formula>
    </cfRule>
  </conditionalFormatting>
  <conditionalFormatting sqref="AK245">
    <cfRule type="containsText" dxfId="392" priority="359" operator="containsText" text="COMPLETAR EVALUACIÓN">
      <formula>NOT(ISERROR(SEARCH("COMPLETAR EVALUACIÓN",AK245)))</formula>
    </cfRule>
    <cfRule type="containsText" dxfId="391" priority="360" operator="containsText" text="CON RIESGO">
      <formula>NOT(ISERROR(SEARCH("CON RIESGO",AK245)))</formula>
    </cfRule>
    <cfRule type="containsText" dxfId="390" priority="361" operator="containsText" text="SIN RIESGO">
      <formula>NOT(ISERROR(SEARCH("SIN RIESGO",AK245)))</formula>
    </cfRule>
  </conditionalFormatting>
  <conditionalFormatting sqref="AG245:AH245">
    <cfRule type="cellIs" dxfId="389" priority="356" operator="equal">
      <formula>"SD"</formula>
    </cfRule>
    <cfRule type="cellIs" dxfId="388" priority="357" operator="equal">
      <formula>"NO"</formula>
    </cfRule>
    <cfRule type="cellIs" dxfId="387" priority="358" operator="equal">
      <formula>"SI"</formula>
    </cfRule>
  </conditionalFormatting>
  <conditionalFormatting sqref="AI245">
    <cfRule type="containsText" dxfId="386" priority="351" operator="containsText" text="HABITANTE DE CALLE">
      <formula>NOT(ISERROR(SEARCH("HABITANTE DE CALLE",AI245)))</formula>
    </cfRule>
    <cfRule type="containsText" dxfId="385" priority="352" operator="containsText" text="NINGUNO">
      <formula>NOT(ISERROR(SEARCH("NINGUNO",AI245)))</formula>
    </cfRule>
    <cfRule type="containsText" dxfId="384" priority="353" operator="containsText" text="MIGRATORIA">
      <formula>NOT(ISERROR(SEARCH("MIGRATORIA",AI245)))</formula>
    </cfRule>
    <cfRule type="containsText" dxfId="383" priority="354" operator="containsText" text="DISCAPACIDAD">
      <formula>NOT(ISERROR(SEARCH("DISCAPACIDAD",AI245)))</formula>
    </cfRule>
    <cfRule type="containsText" dxfId="382" priority="355" operator="containsText" text="DESPLAZADA">
      <formula>NOT(ISERROR(SEARCH("DESPLAZADA",AI245)))</formula>
    </cfRule>
  </conditionalFormatting>
  <conditionalFormatting sqref="AJ245">
    <cfRule type="cellIs" dxfId="381" priority="348" operator="equal">
      <formula>"SD"</formula>
    </cfRule>
    <cfRule type="cellIs" dxfId="380" priority="349" operator="equal">
      <formula>"NO"</formula>
    </cfRule>
    <cfRule type="cellIs" dxfId="379" priority="350" operator="equal">
      <formula>"SI"</formula>
    </cfRule>
  </conditionalFormatting>
  <conditionalFormatting sqref="AL245">
    <cfRule type="cellIs" dxfId="378" priority="345" operator="equal">
      <formula>"SD"</formula>
    </cfRule>
    <cfRule type="cellIs" dxfId="377" priority="346" operator="equal">
      <formula>"NO"</formula>
    </cfRule>
    <cfRule type="cellIs" dxfId="376" priority="347" operator="equal">
      <formula>"SI"</formula>
    </cfRule>
  </conditionalFormatting>
  <conditionalFormatting sqref="AN245:AR245">
    <cfRule type="cellIs" dxfId="375" priority="342" operator="equal">
      <formula>"SD"</formula>
    </cfRule>
    <cfRule type="cellIs" dxfId="374" priority="343" operator="equal">
      <formula>"NO"</formula>
    </cfRule>
    <cfRule type="cellIs" dxfId="373" priority="344" operator="equal">
      <formula>"SI"</formula>
    </cfRule>
  </conditionalFormatting>
  <conditionalFormatting sqref="AM245">
    <cfRule type="cellIs" dxfId="372" priority="339" operator="equal">
      <formula>"SD"</formula>
    </cfRule>
    <cfRule type="cellIs" dxfId="371" priority="340" operator="equal">
      <formula>"NO"</formula>
    </cfRule>
    <cfRule type="cellIs" dxfId="370" priority="341" operator="equal">
      <formula>"SI"</formula>
    </cfRule>
  </conditionalFormatting>
  <conditionalFormatting sqref="AV245">
    <cfRule type="cellIs" dxfId="369" priority="336" operator="equal">
      <formula>"SD"</formula>
    </cfRule>
    <cfRule type="cellIs" dxfId="368" priority="337" operator="equal">
      <formula>"NO"</formula>
    </cfRule>
    <cfRule type="cellIs" dxfId="367" priority="338" operator="equal">
      <formula>"SI"</formula>
    </cfRule>
  </conditionalFormatting>
  <conditionalFormatting sqref="BA245">
    <cfRule type="cellIs" dxfId="366" priority="333" operator="equal">
      <formula>"SD"</formula>
    </cfRule>
    <cfRule type="cellIs" dxfId="365" priority="334" operator="equal">
      <formula>"NO"</formula>
    </cfRule>
    <cfRule type="cellIs" dxfId="364" priority="335" operator="equal">
      <formula>"SI"</formula>
    </cfRule>
  </conditionalFormatting>
  <conditionalFormatting sqref="AY245">
    <cfRule type="containsText" dxfId="363" priority="328" operator="containsText" text="SD">
      <formula>NOT(ISERROR(SEARCH("SD",AY245)))</formula>
    </cfRule>
    <cfRule type="containsText" dxfId="362" priority="329" operator="containsText" text="SI, NO CONTROLADA">
      <formula>NOT(ISERROR(SEARCH("SI, NO CONTROLADA",AY245)))</formula>
    </cfRule>
    <cfRule type="containsText" dxfId="361" priority="330" operator="containsText" text="SI, SIN MANEJO">
      <formula>NOT(ISERROR(SEARCH("SI, SIN MANEJO",AY245)))</formula>
    </cfRule>
    <cfRule type="containsText" dxfId="360" priority="331" operator="containsText" text="SI, CONTROLADA">
      <formula>NOT(ISERROR(SEARCH("SI, CONTROLADA",AY245)))</formula>
    </cfRule>
    <cfRule type="containsText" dxfId="359" priority="332" operator="containsText" text="NO">
      <formula>NOT(ISERROR(SEARCH("NO",AY245)))</formula>
    </cfRule>
  </conditionalFormatting>
  <conditionalFormatting sqref="AZ245">
    <cfRule type="containsText" dxfId="358" priority="323" operator="containsText" text="SD">
      <formula>NOT(ISERROR(SEARCH("SD",AZ245)))</formula>
    </cfRule>
    <cfRule type="containsText" dxfId="357" priority="324" operator="containsText" text="SI, NO CONTROLADA">
      <formula>NOT(ISERROR(SEARCH("SI, NO CONTROLADA",AZ245)))</formula>
    </cfRule>
    <cfRule type="containsText" dxfId="356" priority="325" operator="containsText" text="SI, SIN MANEJO">
      <formula>NOT(ISERROR(SEARCH("SI, SIN MANEJO",AZ245)))</formula>
    </cfRule>
    <cfRule type="containsText" dxfId="355" priority="326" operator="containsText" text="SI, CONTROLADA">
      <formula>NOT(ISERROR(SEARCH("SI, CONTROLADA",AZ245)))</formula>
    </cfRule>
    <cfRule type="containsText" dxfId="354" priority="327" operator="containsText" text="NO">
      <formula>NOT(ISERROR(SEARCH("NO",AZ245)))</formula>
    </cfRule>
  </conditionalFormatting>
  <conditionalFormatting sqref="BB245">
    <cfRule type="cellIs" dxfId="353" priority="320" operator="equal">
      <formula>"SD"</formula>
    </cfRule>
    <cfRule type="cellIs" dxfId="352" priority="321" operator="equal">
      <formula>"NO"</formula>
    </cfRule>
    <cfRule type="cellIs" dxfId="351" priority="322" operator="equal">
      <formula>"SI"</formula>
    </cfRule>
  </conditionalFormatting>
  <conditionalFormatting sqref="BC245">
    <cfRule type="cellIs" dxfId="350" priority="317" operator="equal">
      <formula>"SD"</formula>
    </cfRule>
    <cfRule type="cellIs" dxfId="349" priority="318" operator="equal">
      <formula>"NO"</formula>
    </cfRule>
    <cfRule type="cellIs" dxfId="348" priority="319" operator="equal">
      <formula>"SI"</formula>
    </cfRule>
  </conditionalFormatting>
  <conditionalFormatting sqref="BF245">
    <cfRule type="cellIs" dxfId="347" priority="314" operator="equal">
      <formula>"SD"</formula>
    </cfRule>
    <cfRule type="cellIs" dxfId="346" priority="315" operator="equal">
      <formula>"NO"</formula>
    </cfRule>
    <cfRule type="cellIs" dxfId="345" priority="316" operator="equal">
      <formula>"SI"</formula>
    </cfRule>
  </conditionalFormatting>
  <conditionalFormatting sqref="BD245:BE245">
    <cfRule type="cellIs" dxfId="344" priority="311" operator="equal">
      <formula>"SD"</formula>
    </cfRule>
    <cfRule type="cellIs" dxfId="343" priority="312" operator="equal">
      <formula>"NO"</formula>
    </cfRule>
    <cfRule type="cellIs" dxfId="342" priority="313" operator="equal">
      <formula>"SI"</formula>
    </cfRule>
  </conditionalFormatting>
  <conditionalFormatting sqref="BE245">
    <cfRule type="expression" dxfId="341" priority="310">
      <formula>IF(AND(FA245&gt;=126,FC245&lt;24),1,0)</formula>
    </cfRule>
  </conditionalFormatting>
  <conditionalFormatting sqref="BG245">
    <cfRule type="cellIs" dxfId="340" priority="307" operator="equal">
      <formula>"SD"</formula>
    </cfRule>
    <cfRule type="cellIs" dxfId="339" priority="308" operator="equal">
      <formula>"NO"</formula>
    </cfRule>
    <cfRule type="cellIs" dxfId="338" priority="309" operator="equal">
      <formula>"SI"</formula>
    </cfRule>
  </conditionalFormatting>
  <conditionalFormatting sqref="BH245">
    <cfRule type="cellIs" dxfId="337" priority="304" operator="equal">
      <formula>"SD"</formula>
    </cfRule>
    <cfRule type="cellIs" dxfId="336" priority="305" operator="equal">
      <formula>"NO"</formula>
    </cfRule>
    <cfRule type="cellIs" dxfId="335" priority="306" operator="equal">
      <formula>"SI"</formula>
    </cfRule>
  </conditionalFormatting>
  <conditionalFormatting sqref="BI245">
    <cfRule type="cellIs" dxfId="334" priority="301" operator="equal">
      <formula>"SD"</formula>
    </cfRule>
    <cfRule type="cellIs" dxfId="333" priority="302" operator="equal">
      <formula>"NO"</formula>
    </cfRule>
    <cfRule type="cellIs" dxfId="332" priority="303" operator="equal">
      <formula>"SI"</formula>
    </cfRule>
  </conditionalFormatting>
  <conditionalFormatting sqref="BJ245">
    <cfRule type="cellIs" dxfId="331" priority="298" operator="equal">
      <formula>"SD"</formula>
    </cfRule>
    <cfRule type="cellIs" dxfId="330" priority="299" operator="equal">
      <formula>"NO"</formula>
    </cfRule>
    <cfRule type="cellIs" dxfId="329" priority="300" operator="equal">
      <formula>"SI"</formula>
    </cfRule>
  </conditionalFormatting>
  <conditionalFormatting sqref="BL245:BM245">
    <cfRule type="cellIs" dxfId="328" priority="295" operator="equal">
      <formula>"SD"</formula>
    </cfRule>
    <cfRule type="cellIs" dxfId="327" priority="296" operator="equal">
      <formula>"NO"</formula>
    </cfRule>
    <cfRule type="cellIs" dxfId="326" priority="297" operator="equal">
      <formula>"SI"</formula>
    </cfRule>
  </conditionalFormatting>
  <conditionalFormatting sqref="BK245">
    <cfRule type="cellIs" dxfId="325" priority="292" operator="equal">
      <formula>"SD"</formula>
    </cfRule>
    <cfRule type="cellIs" dxfId="324" priority="293" operator="equal">
      <formula>"NO"</formula>
    </cfRule>
    <cfRule type="cellIs" dxfId="323" priority="294" operator="equal">
      <formula>"SI"</formula>
    </cfRule>
  </conditionalFormatting>
  <conditionalFormatting sqref="DA176">
    <cfRule type="expression" dxfId="322" priority="291">
      <formula>IF(DC176="NO APLICA REGISTRO TA-INGRESO TARDIO",1,"")</formula>
    </cfRule>
  </conditionalFormatting>
  <conditionalFormatting sqref="DB176">
    <cfRule type="expression" dxfId="321" priority="290">
      <formula>IF(DC176="NO APLICA REGISTRO TA-INGRESO TARDIO",1,"")</formula>
    </cfRule>
  </conditionalFormatting>
  <conditionalFormatting sqref="DA174">
    <cfRule type="expression" dxfId="320" priority="289">
      <formula>IF(DC174="NO APLICA REGISTRO TA-INGRESO TARDIO",1,"")</formula>
    </cfRule>
  </conditionalFormatting>
  <conditionalFormatting sqref="DB174">
    <cfRule type="expression" dxfId="319" priority="288">
      <formula>IF(DC174="NO APLICA REGISTRO TA-INGRESO TARDIO",1,"")</formula>
    </cfRule>
  </conditionalFormatting>
  <conditionalFormatting sqref="L246">
    <cfRule type="containsText" dxfId="318" priority="279" operator="containsText" text="Empleo informal">
      <formula>NOT(ISERROR(SEARCH("Empleo informal",L246)))</formula>
    </cfRule>
    <cfRule type="containsText" dxfId="317" priority="280" operator="containsText" text="Empleada formalmente con riesgo a tóxicos">
      <formula>NOT(ISERROR(SEARCH("Empleada formalmente con riesgo a tóxicos",L246)))</formula>
    </cfRule>
    <cfRule type="containsText" dxfId="316" priority="281" operator="containsText" text="Empleada formalmente con riesgo de accidente laboral">
      <formula>NOT(ISERROR(SEARCH("Empleada formalmente con riesgo de accidente laboral",L246)))</formula>
    </cfRule>
    <cfRule type="containsText" dxfId="315" priority="282" operator="containsText" text="Empleada formalmente por jornada laboral extensa">
      <formula>NOT(ISERROR(SEARCH("Empleada formalmente por jornada laboral extensa",L246)))</formula>
    </cfRule>
    <cfRule type="containsText" dxfId="314" priority="283" operator="containsText" text="Empleada formalmente sin riesgo">
      <formula>NOT(ISERROR(SEARCH("Empleada formalmente sin riesgo",L246)))</formula>
    </cfRule>
    <cfRule type="containsText" dxfId="313" priority="284" operator="containsText" text="Actualmente desempleada">
      <formula>NOT(ISERROR(SEARCH("Actualmente desempleada",L246)))</formula>
    </cfRule>
    <cfRule type="containsText" dxfId="312" priority="285" operator="containsText" text="Hogar sin apoyo">
      <formula>NOT(ISERROR(SEARCH("Hogar sin apoyo",L246)))</formula>
    </cfRule>
    <cfRule type="containsText" dxfId="311" priority="286" operator="containsText" text="Empleada formalmente sin riesgo">
      <formula>NOT(ISERROR(SEARCH("Empleada formalmente sin riesgo",L246)))</formula>
    </cfRule>
    <cfRule type="containsText" dxfId="310" priority="287" operator="containsText" text="Hogar Con apoyo">
      <formula>NOT(ISERROR(SEARCH("Hogar Con apoyo",L246)))</formula>
    </cfRule>
  </conditionalFormatting>
  <conditionalFormatting sqref="AC246">
    <cfRule type="containsText" dxfId="309" priority="275" operator="containsText" text="SABE">
      <formula>NOT(ISERROR(SEARCH("SABE",AC246)))</formula>
    </cfRule>
    <cfRule type="containsText" dxfId="308" priority="276" operator="containsText" text="SECUNDARIA">
      <formula>NOT(ISERROR(SEARCH("SECUNDARIA",AC246)))</formula>
    </cfRule>
    <cfRule type="containsText" dxfId="307" priority="277" operator="containsText" text="PRIMARIA INCOMPLETA">
      <formula>NOT(ISERROR(SEARCH("PRIMARIA INCOMPLETA",AC246)))</formula>
    </cfRule>
    <cfRule type="cellIs" dxfId="306" priority="278" operator="equal">
      <formula>"ANALFABETA"</formula>
    </cfRule>
  </conditionalFormatting>
  <conditionalFormatting sqref="AD246">
    <cfRule type="containsText" dxfId="305" priority="272" operator="containsText" text="No Consume">
      <formula>NOT(ISERROR(SEARCH("No Consume",AD246)))</formula>
    </cfRule>
    <cfRule type="containsText" dxfId="304" priority="273" operator="containsText" text="Hasta Antes de la Gestación">
      <formula>NOT(ISERROR(SEARCH("Hasta Antes de la Gestación",AD246)))</formula>
    </cfRule>
    <cfRule type="containsText" dxfId="303" priority="274" operator="containsText" text="Consumo Actual">
      <formula>NOT(ISERROR(SEARCH("Consumo Actual",AD246)))</formula>
    </cfRule>
  </conditionalFormatting>
  <conditionalFormatting sqref="AS246">
    <cfRule type="cellIs" dxfId="302" priority="269" operator="equal">
      <formula>"SD"</formula>
    </cfRule>
    <cfRule type="cellIs" dxfId="301" priority="270" operator="equal">
      <formula>"NO"</formula>
    </cfRule>
    <cfRule type="cellIs" dxfId="300" priority="271" operator="equal">
      <formula>"SI"</formula>
    </cfRule>
  </conditionalFormatting>
  <conditionalFormatting sqref="AE246:AF246">
    <cfRule type="containsText" dxfId="299" priority="267" operator="containsText" text="NO">
      <formula>NOT(ISERROR(SEARCH("NO",AE246)))</formula>
    </cfRule>
    <cfRule type="containsText" dxfId="298" priority="268" operator="containsText" text="SI">
      <formula>NOT(ISERROR(SEARCH("SI",AE246)))</formula>
    </cfRule>
  </conditionalFormatting>
  <conditionalFormatting sqref="AL246:AR246">
    <cfRule type="cellIs" dxfId="297" priority="264" operator="equal">
      <formula>"SD"</formula>
    </cfRule>
    <cfRule type="cellIs" dxfId="296" priority="265" operator="equal">
      <formula>"NO"</formula>
    </cfRule>
    <cfRule type="cellIs" dxfId="295" priority="266" operator="equal">
      <formula>"SI"</formula>
    </cfRule>
  </conditionalFormatting>
  <conditionalFormatting sqref="AK246">
    <cfRule type="containsText" dxfId="294" priority="261" operator="containsText" text="COMPLETAR EVALUACIÓN">
      <formula>NOT(ISERROR(SEARCH("COMPLETAR EVALUACIÓN",AK246)))</formula>
    </cfRule>
    <cfRule type="containsText" dxfId="293" priority="262" operator="containsText" text="CON RIESGO">
      <formula>NOT(ISERROR(SEARCH("CON RIESGO",AK246)))</formula>
    </cfRule>
    <cfRule type="containsText" dxfId="292" priority="263" operator="containsText" text="SIN RIESGO">
      <formula>NOT(ISERROR(SEARCH("SIN RIESGO",AK246)))</formula>
    </cfRule>
  </conditionalFormatting>
  <conditionalFormatting sqref="AG246:AH246">
    <cfRule type="cellIs" dxfId="291" priority="258" operator="equal">
      <formula>"SD"</formula>
    </cfRule>
    <cfRule type="cellIs" dxfId="290" priority="259" operator="equal">
      <formula>"NO"</formula>
    </cfRule>
    <cfRule type="cellIs" dxfId="289" priority="260" operator="equal">
      <formula>"SI"</formula>
    </cfRule>
  </conditionalFormatting>
  <conditionalFormatting sqref="AI246">
    <cfRule type="containsText" dxfId="288" priority="253" operator="containsText" text="HABITANTE DE CALLE">
      <formula>NOT(ISERROR(SEARCH("HABITANTE DE CALLE",AI246)))</formula>
    </cfRule>
    <cfRule type="containsText" dxfId="287" priority="254" operator="containsText" text="NINGUNO">
      <formula>NOT(ISERROR(SEARCH("NINGUNO",AI246)))</formula>
    </cfRule>
    <cfRule type="containsText" dxfId="286" priority="255" operator="containsText" text="MIGRATORIA">
      <formula>NOT(ISERROR(SEARCH("MIGRATORIA",AI246)))</formula>
    </cfRule>
    <cfRule type="containsText" dxfId="285" priority="256" operator="containsText" text="DISCAPACIDAD">
      <formula>NOT(ISERROR(SEARCH("DISCAPACIDAD",AI246)))</formula>
    </cfRule>
    <cfRule type="containsText" dxfId="284" priority="257" operator="containsText" text="DESPLAZADA">
      <formula>NOT(ISERROR(SEARCH("DESPLAZADA",AI246)))</formula>
    </cfRule>
  </conditionalFormatting>
  <conditionalFormatting sqref="AJ246">
    <cfRule type="cellIs" dxfId="283" priority="250" operator="equal">
      <formula>"SD"</formula>
    </cfRule>
    <cfRule type="cellIs" dxfId="282" priority="251" operator="equal">
      <formula>"NO"</formula>
    </cfRule>
    <cfRule type="cellIs" dxfId="281" priority="252" operator="equal">
      <formula>"SI"</formula>
    </cfRule>
  </conditionalFormatting>
  <conditionalFormatting sqref="AT246:AW246">
    <cfRule type="cellIs" dxfId="280" priority="247" operator="equal">
      <formula>"SD"</formula>
    </cfRule>
    <cfRule type="cellIs" dxfId="279" priority="248" operator="equal">
      <formula>"NO"</formula>
    </cfRule>
    <cfRule type="cellIs" dxfId="278" priority="249" operator="equal">
      <formula>"SI"</formula>
    </cfRule>
  </conditionalFormatting>
  <conditionalFormatting sqref="AW246">
    <cfRule type="cellIs" dxfId="277" priority="244" operator="equal">
      <formula>1</formula>
    </cfRule>
    <cfRule type="cellIs" dxfId="276" priority="245" operator="equal">
      <formula>"3 O MAS"</formula>
    </cfRule>
    <cfRule type="cellIs" dxfId="275" priority="246" operator="equal">
      <formula>2</formula>
    </cfRule>
  </conditionalFormatting>
  <conditionalFormatting sqref="AX246 BA246">
    <cfRule type="cellIs" dxfId="274" priority="241" operator="equal">
      <formula>"SD"</formula>
    </cfRule>
    <cfRule type="cellIs" dxfId="273" priority="242" operator="equal">
      <formula>"NO"</formula>
    </cfRule>
    <cfRule type="cellIs" dxfId="272" priority="243" operator="equal">
      <formula>"SI"</formula>
    </cfRule>
  </conditionalFormatting>
  <conditionalFormatting sqref="AY246">
    <cfRule type="containsText" dxfId="271" priority="236" operator="containsText" text="SD">
      <formula>NOT(ISERROR(SEARCH("SD",AY246)))</formula>
    </cfRule>
    <cfRule type="containsText" dxfId="270" priority="237" operator="containsText" text="SI, NO CONTROLADA">
      <formula>NOT(ISERROR(SEARCH("SI, NO CONTROLADA",AY246)))</formula>
    </cfRule>
    <cfRule type="containsText" dxfId="269" priority="238" operator="containsText" text="SI, SIN MANEJO">
      <formula>NOT(ISERROR(SEARCH("SI, SIN MANEJO",AY246)))</formula>
    </cfRule>
    <cfRule type="containsText" dxfId="268" priority="239" operator="containsText" text="SI, CONTROLADA">
      <formula>NOT(ISERROR(SEARCH("SI, CONTROLADA",AY246)))</formula>
    </cfRule>
    <cfRule type="containsText" dxfId="267" priority="240" operator="containsText" text="NO">
      <formula>NOT(ISERROR(SEARCH("NO",AY246)))</formula>
    </cfRule>
  </conditionalFormatting>
  <conditionalFormatting sqref="AZ246">
    <cfRule type="containsText" dxfId="266" priority="231" operator="containsText" text="SD">
      <formula>NOT(ISERROR(SEARCH("SD",AZ246)))</formula>
    </cfRule>
    <cfRule type="containsText" dxfId="265" priority="232" operator="containsText" text="SI, NO CONTROLADA">
      <formula>NOT(ISERROR(SEARCH("SI, NO CONTROLADA",AZ246)))</formula>
    </cfRule>
    <cfRule type="containsText" dxfId="264" priority="233" operator="containsText" text="SI, SIN MANEJO">
      <formula>NOT(ISERROR(SEARCH("SI, SIN MANEJO",AZ246)))</formula>
    </cfRule>
    <cfRule type="containsText" dxfId="263" priority="234" operator="containsText" text="SI, CONTROLADA">
      <formula>NOT(ISERROR(SEARCH("SI, CONTROLADA",AZ246)))</formula>
    </cfRule>
    <cfRule type="containsText" dxfId="262" priority="235" operator="containsText" text="NO">
      <formula>NOT(ISERROR(SEARCH("NO",AZ246)))</formula>
    </cfRule>
  </conditionalFormatting>
  <conditionalFormatting sqref="BB246">
    <cfRule type="cellIs" dxfId="261" priority="228" operator="equal">
      <formula>"SD"</formula>
    </cfRule>
    <cfRule type="cellIs" dxfId="260" priority="229" operator="equal">
      <formula>"NO"</formula>
    </cfRule>
    <cfRule type="cellIs" dxfId="259" priority="230" operator="equal">
      <formula>"SI"</formula>
    </cfRule>
  </conditionalFormatting>
  <conditionalFormatting sqref="BC246">
    <cfRule type="cellIs" dxfId="258" priority="225" operator="equal">
      <formula>"SD"</formula>
    </cfRule>
    <cfRule type="cellIs" dxfId="257" priority="226" operator="equal">
      <formula>"NO"</formula>
    </cfRule>
    <cfRule type="cellIs" dxfId="256" priority="227" operator="equal">
      <formula>"SI"</formula>
    </cfRule>
  </conditionalFormatting>
  <conditionalFormatting sqref="BF246">
    <cfRule type="cellIs" dxfId="255" priority="222" operator="equal">
      <formula>"SD"</formula>
    </cfRule>
    <cfRule type="cellIs" dxfId="254" priority="223" operator="equal">
      <formula>"NO"</formula>
    </cfRule>
    <cfRule type="cellIs" dxfId="253" priority="224" operator="equal">
      <formula>"SI"</formula>
    </cfRule>
  </conditionalFormatting>
  <conditionalFormatting sqref="BD246:BE246">
    <cfRule type="cellIs" dxfId="252" priority="219" operator="equal">
      <formula>"SD"</formula>
    </cfRule>
    <cfRule type="cellIs" dxfId="251" priority="220" operator="equal">
      <formula>"NO"</formula>
    </cfRule>
    <cfRule type="cellIs" dxfId="250" priority="221" operator="equal">
      <formula>"SI"</formula>
    </cfRule>
  </conditionalFormatting>
  <conditionalFormatting sqref="BE246">
    <cfRule type="expression" dxfId="249" priority="218">
      <formula>IF(AND(FA246&gt;=126,FC246&lt;24),1,0)</formula>
    </cfRule>
  </conditionalFormatting>
  <conditionalFormatting sqref="BG246">
    <cfRule type="cellIs" dxfId="248" priority="215" operator="equal">
      <formula>"SD"</formula>
    </cfRule>
    <cfRule type="cellIs" dxfId="247" priority="216" operator="equal">
      <formula>"NO"</formula>
    </cfRule>
    <cfRule type="cellIs" dxfId="246" priority="217" operator="equal">
      <formula>"SI"</formula>
    </cfRule>
  </conditionalFormatting>
  <conditionalFormatting sqref="BH246">
    <cfRule type="cellIs" dxfId="245" priority="212" operator="equal">
      <formula>"SD"</formula>
    </cfRule>
    <cfRule type="cellIs" dxfId="244" priority="213" operator="equal">
      <formula>"NO"</formula>
    </cfRule>
    <cfRule type="cellIs" dxfId="243" priority="214" operator="equal">
      <formula>"SI"</formula>
    </cfRule>
  </conditionalFormatting>
  <conditionalFormatting sqref="BI246">
    <cfRule type="cellIs" dxfId="242" priority="209" operator="equal">
      <formula>"SD"</formula>
    </cfRule>
    <cfRule type="cellIs" dxfId="241" priority="210" operator="equal">
      <formula>"NO"</formula>
    </cfRule>
    <cfRule type="cellIs" dxfId="240" priority="211" operator="equal">
      <formula>"SI"</formula>
    </cfRule>
  </conditionalFormatting>
  <conditionalFormatting sqref="BJ246">
    <cfRule type="cellIs" dxfId="239" priority="206" operator="equal">
      <formula>"SD"</formula>
    </cfRule>
    <cfRule type="cellIs" dxfId="238" priority="207" operator="equal">
      <formula>"NO"</formula>
    </cfRule>
    <cfRule type="cellIs" dxfId="237" priority="208" operator="equal">
      <formula>"SI"</formula>
    </cfRule>
  </conditionalFormatting>
  <conditionalFormatting sqref="BL246:BM246">
    <cfRule type="cellIs" dxfId="236" priority="203" operator="equal">
      <formula>"SD"</formula>
    </cfRule>
    <cfRule type="cellIs" dxfId="235" priority="204" operator="equal">
      <formula>"NO"</formula>
    </cfRule>
    <cfRule type="cellIs" dxfId="234" priority="205" operator="equal">
      <formula>"SI"</formula>
    </cfRule>
  </conditionalFormatting>
  <conditionalFormatting sqref="BK246">
    <cfRule type="cellIs" dxfId="233" priority="200" operator="equal">
      <formula>"SD"</formula>
    </cfRule>
    <cfRule type="cellIs" dxfId="232" priority="201" operator="equal">
      <formula>"NO"</formula>
    </cfRule>
    <cfRule type="cellIs" dxfId="231" priority="202" operator="equal">
      <formula>"SI"</formula>
    </cfRule>
  </conditionalFormatting>
  <conditionalFormatting sqref="L247">
    <cfRule type="containsText" dxfId="230" priority="191" operator="containsText" text="Empleo informal">
      <formula>NOT(ISERROR(SEARCH("Empleo informal",L247)))</formula>
    </cfRule>
    <cfRule type="containsText" dxfId="229" priority="192" operator="containsText" text="Empleada formalmente con riesgo a tóxicos">
      <formula>NOT(ISERROR(SEARCH("Empleada formalmente con riesgo a tóxicos",L247)))</formula>
    </cfRule>
    <cfRule type="containsText" dxfId="228" priority="193" operator="containsText" text="Empleada formalmente con riesgo de accidente laboral">
      <formula>NOT(ISERROR(SEARCH("Empleada formalmente con riesgo de accidente laboral",L247)))</formula>
    </cfRule>
    <cfRule type="containsText" dxfId="227" priority="194" operator="containsText" text="Empleada formalmente por jornada laboral extensa">
      <formula>NOT(ISERROR(SEARCH("Empleada formalmente por jornada laboral extensa",L247)))</formula>
    </cfRule>
    <cfRule type="containsText" dxfId="226" priority="195" operator="containsText" text="Empleada formalmente sin riesgo">
      <formula>NOT(ISERROR(SEARCH("Empleada formalmente sin riesgo",L247)))</formula>
    </cfRule>
    <cfRule type="containsText" dxfId="225" priority="196" operator="containsText" text="Actualmente desempleada">
      <formula>NOT(ISERROR(SEARCH("Actualmente desempleada",L247)))</formula>
    </cfRule>
    <cfRule type="containsText" dxfId="224" priority="197" operator="containsText" text="Hogar sin apoyo">
      <formula>NOT(ISERROR(SEARCH("Hogar sin apoyo",L247)))</formula>
    </cfRule>
    <cfRule type="containsText" dxfId="223" priority="198" operator="containsText" text="Empleada formalmente sin riesgo">
      <formula>NOT(ISERROR(SEARCH("Empleada formalmente sin riesgo",L247)))</formula>
    </cfRule>
    <cfRule type="containsText" dxfId="222" priority="199" operator="containsText" text="Hogar Con apoyo">
      <formula>NOT(ISERROR(SEARCH("Hogar Con apoyo",L247)))</formula>
    </cfRule>
  </conditionalFormatting>
  <conditionalFormatting sqref="AC247">
    <cfRule type="containsText" dxfId="221" priority="187" operator="containsText" text="SABE">
      <formula>NOT(ISERROR(SEARCH("SABE",AC247)))</formula>
    </cfRule>
    <cfRule type="containsText" dxfId="220" priority="188" operator="containsText" text="SECUNDARIA">
      <formula>NOT(ISERROR(SEARCH("SECUNDARIA",AC247)))</formula>
    </cfRule>
    <cfRule type="containsText" dxfId="219" priority="189" operator="containsText" text="PRIMARIA INCOMPLETA">
      <formula>NOT(ISERROR(SEARCH("PRIMARIA INCOMPLETA",AC247)))</formula>
    </cfRule>
    <cfRule type="cellIs" dxfId="218" priority="190" operator="equal">
      <formula>"ANALFABETA"</formula>
    </cfRule>
  </conditionalFormatting>
  <conditionalFormatting sqref="AD247">
    <cfRule type="containsText" dxfId="217" priority="184" operator="containsText" text="No Consume">
      <formula>NOT(ISERROR(SEARCH("No Consume",AD247)))</formula>
    </cfRule>
    <cfRule type="containsText" dxfId="216" priority="185" operator="containsText" text="Hasta Antes de la Gestación">
      <formula>NOT(ISERROR(SEARCH("Hasta Antes de la Gestación",AD247)))</formula>
    </cfRule>
    <cfRule type="containsText" dxfId="215" priority="186" operator="containsText" text="Consumo Actual">
      <formula>NOT(ISERROR(SEARCH("Consumo Actual",AD247)))</formula>
    </cfRule>
  </conditionalFormatting>
  <conditionalFormatting sqref="AE247:AF247">
    <cfRule type="containsText" dxfId="214" priority="182" operator="containsText" text="NO">
      <formula>NOT(ISERROR(SEARCH("NO",AE247)))</formula>
    </cfRule>
    <cfRule type="containsText" dxfId="213" priority="183" operator="containsText" text="SI">
      <formula>NOT(ISERROR(SEARCH("SI",AE247)))</formula>
    </cfRule>
  </conditionalFormatting>
  <conditionalFormatting sqref="AL247:AR247">
    <cfRule type="cellIs" dxfId="212" priority="179" operator="equal">
      <formula>"SD"</formula>
    </cfRule>
    <cfRule type="cellIs" dxfId="211" priority="180" operator="equal">
      <formula>"NO"</formula>
    </cfRule>
    <cfRule type="cellIs" dxfId="210" priority="181" operator="equal">
      <formula>"SI"</formula>
    </cfRule>
  </conditionalFormatting>
  <conditionalFormatting sqref="AK247">
    <cfRule type="containsText" dxfId="209" priority="176" operator="containsText" text="COMPLETAR EVALUACIÓN">
      <formula>NOT(ISERROR(SEARCH("COMPLETAR EVALUACIÓN",AK247)))</formula>
    </cfRule>
    <cfRule type="containsText" dxfId="208" priority="177" operator="containsText" text="CON RIESGO">
      <formula>NOT(ISERROR(SEARCH("CON RIESGO",AK247)))</formula>
    </cfRule>
    <cfRule type="containsText" dxfId="207" priority="178" operator="containsText" text="SIN RIESGO">
      <formula>NOT(ISERROR(SEARCH("SIN RIESGO",AK247)))</formula>
    </cfRule>
  </conditionalFormatting>
  <conditionalFormatting sqref="AG247:AH247">
    <cfRule type="cellIs" dxfId="206" priority="173" operator="equal">
      <formula>"SD"</formula>
    </cfRule>
    <cfRule type="cellIs" dxfId="205" priority="174" operator="equal">
      <formula>"NO"</formula>
    </cfRule>
    <cfRule type="cellIs" dxfId="204" priority="175" operator="equal">
      <formula>"SI"</formula>
    </cfRule>
  </conditionalFormatting>
  <conditionalFormatting sqref="AI247">
    <cfRule type="containsText" dxfId="203" priority="168" operator="containsText" text="HABITANTE DE CALLE">
      <formula>NOT(ISERROR(SEARCH("HABITANTE DE CALLE",AI247)))</formula>
    </cfRule>
    <cfRule type="containsText" dxfId="202" priority="169" operator="containsText" text="NINGUNO">
      <formula>NOT(ISERROR(SEARCH("NINGUNO",AI247)))</formula>
    </cfRule>
    <cfRule type="containsText" dxfId="201" priority="170" operator="containsText" text="MIGRATORIA">
      <formula>NOT(ISERROR(SEARCH("MIGRATORIA",AI247)))</formula>
    </cfRule>
    <cfRule type="containsText" dxfId="200" priority="171" operator="containsText" text="DISCAPACIDAD">
      <formula>NOT(ISERROR(SEARCH("DISCAPACIDAD",AI247)))</formula>
    </cfRule>
    <cfRule type="containsText" dxfId="199" priority="172" operator="containsText" text="DESPLAZADA">
      <formula>NOT(ISERROR(SEARCH("DESPLAZADA",AI247)))</formula>
    </cfRule>
  </conditionalFormatting>
  <conditionalFormatting sqref="AJ247">
    <cfRule type="cellIs" dxfId="198" priority="165" operator="equal">
      <formula>"SD"</formula>
    </cfRule>
    <cfRule type="cellIs" dxfId="197" priority="166" operator="equal">
      <formula>"NO"</formula>
    </cfRule>
    <cfRule type="cellIs" dxfId="196" priority="167" operator="equal">
      <formula>"SI"</formula>
    </cfRule>
  </conditionalFormatting>
  <conditionalFormatting sqref="AV247">
    <cfRule type="cellIs" dxfId="195" priority="162" operator="equal">
      <formula>"SD"</formula>
    </cfRule>
    <cfRule type="cellIs" dxfId="194" priority="163" operator="equal">
      <formula>"NO"</formula>
    </cfRule>
    <cfRule type="cellIs" dxfId="193" priority="164" operator="equal">
      <formula>"SI"</formula>
    </cfRule>
  </conditionalFormatting>
  <conditionalFormatting sqref="AX247 BA247">
    <cfRule type="cellIs" dxfId="192" priority="159" operator="equal">
      <formula>"SD"</formula>
    </cfRule>
    <cfRule type="cellIs" dxfId="191" priority="160" operator="equal">
      <formula>"NO"</formula>
    </cfRule>
    <cfRule type="cellIs" dxfId="190" priority="161" operator="equal">
      <formula>"SI"</formula>
    </cfRule>
  </conditionalFormatting>
  <conditionalFormatting sqref="AY247">
    <cfRule type="containsText" dxfId="189" priority="154" operator="containsText" text="SD">
      <formula>NOT(ISERROR(SEARCH("SD",AY247)))</formula>
    </cfRule>
    <cfRule type="containsText" dxfId="188" priority="155" operator="containsText" text="SI, NO CONTROLADA">
      <formula>NOT(ISERROR(SEARCH("SI, NO CONTROLADA",AY247)))</formula>
    </cfRule>
    <cfRule type="containsText" dxfId="187" priority="156" operator="containsText" text="SI, SIN MANEJO">
      <formula>NOT(ISERROR(SEARCH("SI, SIN MANEJO",AY247)))</formula>
    </cfRule>
    <cfRule type="containsText" dxfId="186" priority="157" operator="containsText" text="SI, CONTROLADA">
      <formula>NOT(ISERROR(SEARCH("SI, CONTROLADA",AY247)))</formula>
    </cfRule>
    <cfRule type="containsText" dxfId="185" priority="158" operator="containsText" text="NO">
      <formula>NOT(ISERROR(SEARCH("NO",AY247)))</formula>
    </cfRule>
  </conditionalFormatting>
  <conditionalFormatting sqref="AZ247">
    <cfRule type="containsText" dxfId="184" priority="149" operator="containsText" text="SD">
      <formula>NOT(ISERROR(SEARCH("SD",AZ247)))</formula>
    </cfRule>
    <cfRule type="containsText" dxfId="183" priority="150" operator="containsText" text="SI, NO CONTROLADA">
      <formula>NOT(ISERROR(SEARCH("SI, NO CONTROLADA",AZ247)))</formula>
    </cfRule>
    <cfRule type="containsText" dxfId="182" priority="151" operator="containsText" text="SI, SIN MANEJO">
      <formula>NOT(ISERROR(SEARCH("SI, SIN MANEJO",AZ247)))</formula>
    </cfRule>
    <cfRule type="containsText" dxfId="181" priority="152" operator="containsText" text="SI, CONTROLADA">
      <formula>NOT(ISERROR(SEARCH("SI, CONTROLADA",AZ247)))</formula>
    </cfRule>
    <cfRule type="containsText" dxfId="180" priority="153" operator="containsText" text="NO">
      <formula>NOT(ISERROR(SEARCH("NO",AZ247)))</formula>
    </cfRule>
  </conditionalFormatting>
  <conditionalFormatting sqref="BB247">
    <cfRule type="cellIs" dxfId="179" priority="146" operator="equal">
      <formula>"SD"</formula>
    </cfRule>
    <cfRule type="cellIs" dxfId="178" priority="147" operator="equal">
      <formula>"NO"</formula>
    </cfRule>
    <cfRule type="cellIs" dxfId="177" priority="148" operator="equal">
      <formula>"SI"</formula>
    </cfRule>
  </conditionalFormatting>
  <conditionalFormatting sqref="BC247">
    <cfRule type="cellIs" dxfId="176" priority="143" operator="equal">
      <formula>"SD"</formula>
    </cfRule>
    <cfRule type="cellIs" dxfId="175" priority="144" operator="equal">
      <formula>"NO"</formula>
    </cfRule>
    <cfRule type="cellIs" dxfId="174" priority="145" operator="equal">
      <formula>"SI"</formula>
    </cfRule>
  </conditionalFormatting>
  <conditionalFormatting sqref="BF247">
    <cfRule type="cellIs" dxfId="173" priority="140" operator="equal">
      <formula>"SD"</formula>
    </cfRule>
    <cfRule type="cellIs" dxfId="172" priority="141" operator="equal">
      <formula>"NO"</formula>
    </cfRule>
    <cfRule type="cellIs" dxfId="171" priority="142" operator="equal">
      <formula>"SI"</formula>
    </cfRule>
  </conditionalFormatting>
  <conditionalFormatting sqref="BD247:BE247">
    <cfRule type="cellIs" dxfId="170" priority="137" operator="equal">
      <formula>"SD"</formula>
    </cfRule>
    <cfRule type="cellIs" dxfId="169" priority="138" operator="equal">
      <formula>"NO"</formula>
    </cfRule>
    <cfRule type="cellIs" dxfId="168" priority="139" operator="equal">
      <formula>"SI"</formula>
    </cfRule>
  </conditionalFormatting>
  <conditionalFormatting sqref="BE247">
    <cfRule type="expression" dxfId="167" priority="136">
      <formula>IF(AND(FA247&gt;=126,FC247&lt;24),1,0)</formula>
    </cfRule>
  </conditionalFormatting>
  <conditionalFormatting sqref="BG247">
    <cfRule type="cellIs" dxfId="166" priority="133" operator="equal">
      <formula>"SD"</formula>
    </cfRule>
    <cfRule type="cellIs" dxfId="165" priority="134" operator="equal">
      <formula>"NO"</formula>
    </cfRule>
    <cfRule type="cellIs" dxfId="164" priority="135" operator="equal">
      <formula>"SI"</formula>
    </cfRule>
  </conditionalFormatting>
  <conditionalFormatting sqref="BH247">
    <cfRule type="cellIs" dxfId="163" priority="130" operator="equal">
      <formula>"SD"</formula>
    </cfRule>
    <cfRule type="cellIs" dxfId="162" priority="131" operator="equal">
      <formula>"NO"</formula>
    </cfRule>
    <cfRule type="cellIs" dxfId="161" priority="132" operator="equal">
      <formula>"SI"</formula>
    </cfRule>
  </conditionalFormatting>
  <conditionalFormatting sqref="BI247">
    <cfRule type="cellIs" dxfId="160" priority="127" operator="equal">
      <formula>"SD"</formula>
    </cfRule>
    <cfRule type="cellIs" dxfId="159" priority="128" operator="equal">
      <formula>"NO"</formula>
    </cfRule>
    <cfRule type="cellIs" dxfId="158" priority="129" operator="equal">
      <formula>"SI"</formula>
    </cfRule>
  </conditionalFormatting>
  <conditionalFormatting sqref="BJ247">
    <cfRule type="cellIs" dxfId="157" priority="124" operator="equal">
      <formula>"SD"</formula>
    </cfRule>
    <cfRule type="cellIs" dxfId="156" priority="125" operator="equal">
      <formula>"NO"</formula>
    </cfRule>
    <cfRule type="cellIs" dxfId="155" priority="126" operator="equal">
      <formula>"SI"</formula>
    </cfRule>
  </conditionalFormatting>
  <conditionalFormatting sqref="BL247:BM247">
    <cfRule type="cellIs" dxfId="154" priority="121" operator="equal">
      <formula>"SD"</formula>
    </cfRule>
    <cfRule type="cellIs" dxfId="153" priority="122" operator="equal">
      <formula>"NO"</formula>
    </cfRule>
    <cfRule type="cellIs" dxfId="152" priority="123" operator="equal">
      <formula>"SI"</formula>
    </cfRule>
  </conditionalFormatting>
  <conditionalFormatting sqref="BK247">
    <cfRule type="cellIs" dxfId="151" priority="118" operator="equal">
      <formula>"SD"</formula>
    </cfRule>
    <cfRule type="cellIs" dxfId="150" priority="119" operator="equal">
      <formula>"NO"</formula>
    </cfRule>
    <cfRule type="cellIs" dxfId="149" priority="120" operator="equal">
      <formula>"SI"</formula>
    </cfRule>
  </conditionalFormatting>
  <conditionalFormatting sqref="L248">
    <cfRule type="containsText" dxfId="148" priority="109" operator="containsText" text="Empleo informal">
      <formula>NOT(ISERROR(SEARCH("Empleo informal",L248)))</formula>
    </cfRule>
    <cfRule type="containsText" dxfId="147" priority="110" operator="containsText" text="Empleada formalmente con riesgo a tóxicos">
      <formula>NOT(ISERROR(SEARCH("Empleada formalmente con riesgo a tóxicos",L248)))</formula>
    </cfRule>
    <cfRule type="containsText" dxfId="146" priority="111" operator="containsText" text="Empleada formalmente con riesgo de accidente laboral">
      <formula>NOT(ISERROR(SEARCH("Empleada formalmente con riesgo de accidente laboral",L248)))</formula>
    </cfRule>
    <cfRule type="containsText" dxfId="145" priority="112" operator="containsText" text="Empleada formalmente por jornada laboral extensa">
      <formula>NOT(ISERROR(SEARCH("Empleada formalmente por jornada laboral extensa",L248)))</formula>
    </cfRule>
    <cfRule type="containsText" dxfId="144" priority="113" operator="containsText" text="Empleada formalmente sin riesgo">
      <formula>NOT(ISERROR(SEARCH("Empleada formalmente sin riesgo",L248)))</formula>
    </cfRule>
    <cfRule type="containsText" dxfId="143" priority="114" operator="containsText" text="Actualmente desempleada">
      <formula>NOT(ISERROR(SEARCH("Actualmente desempleada",L248)))</formula>
    </cfRule>
    <cfRule type="containsText" dxfId="142" priority="115" operator="containsText" text="Hogar sin apoyo">
      <formula>NOT(ISERROR(SEARCH("Hogar sin apoyo",L248)))</formula>
    </cfRule>
    <cfRule type="containsText" dxfId="141" priority="116" operator="containsText" text="Empleada formalmente sin riesgo">
      <formula>NOT(ISERROR(SEARCH("Empleada formalmente sin riesgo",L248)))</formula>
    </cfRule>
    <cfRule type="containsText" dxfId="140" priority="117" operator="containsText" text="Hogar Con apoyo">
      <formula>NOT(ISERROR(SEARCH("Hogar Con apoyo",L248)))</formula>
    </cfRule>
  </conditionalFormatting>
  <conditionalFormatting sqref="AC248">
    <cfRule type="containsText" dxfId="139" priority="105" operator="containsText" text="SABE">
      <formula>NOT(ISERROR(SEARCH("SABE",AC248)))</formula>
    </cfRule>
    <cfRule type="containsText" dxfId="138" priority="106" operator="containsText" text="SECUNDARIA">
      <formula>NOT(ISERROR(SEARCH("SECUNDARIA",AC248)))</formula>
    </cfRule>
    <cfRule type="containsText" dxfId="137" priority="107" operator="containsText" text="PRIMARIA INCOMPLETA">
      <formula>NOT(ISERROR(SEARCH("PRIMARIA INCOMPLETA",AC248)))</formula>
    </cfRule>
    <cfRule type="cellIs" dxfId="136" priority="108" operator="equal">
      <formula>"ANALFABETA"</formula>
    </cfRule>
  </conditionalFormatting>
  <conditionalFormatting sqref="AD248">
    <cfRule type="containsText" dxfId="135" priority="102" operator="containsText" text="No Consume">
      <formula>NOT(ISERROR(SEARCH("No Consume",AD248)))</formula>
    </cfRule>
    <cfRule type="containsText" dxfId="134" priority="103" operator="containsText" text="Hasta Antes de la Gestación">
      <formula>NOT(ISERROR(SEARCH("Hasta Antes de la Gestación",AD248)))</formula>
    </cfRule>
    <cfRule type="containsText" dxfId="133" priority="104" operator="containsText" text="Consumo Actual">
      <formula>NOT(ISERROR(SEARCH("Consumo Actual",AD248)))</formula>
    </cfRule>
  </conditionalFormatting>
  <conditionalFormatting sqref="AS248">
    <cfRule type="cellIs" dxfId="132" priority="99" operator="equal">
      <formula>"SD"</formula>
    </cfRule>
    <cfRule type="cellIs" dxfId="131" priority="100" operator="equal">
      <formula>"NO"</formula>
    </cfRule>
    <cfRule type="cellIs" dxfId="130" priority="101" operator="equal">
      <formula>"SI"</formula>
    </cfRule>
  </conditionalFormatting>
  <conditionalFormatting sqref="AE248:AF248">
    <cfRule type="containsText" dxfId="129" priority="97" operator="containsText" text="NO">
      <formula>NOT(ISERROR(SEARCH("NO",AE248)))</formula>
    </cfRule>
    <cfRule type="containsText" dxfId="128" priority="98" operator="containsText" text="SI">
      <formula>NOT(ISERROR(SEARCH("SI",AE248)))</formula>
    </cfRule>
  </conditionalFormatting>
  <conditionalFormatting sqref="AL248:AR248">
    <cfRule type="cellIs" dxfId="127" priority="94" operator="equal">
      <formula>"SD"</formula>
    </cfRule>
    <cfRule type="cellIs" dxfId="126" priority="95" operator="equal">
      <formula>"NO"</formula>
    </cfRule>
    <cfRule type="cellIs" dxfId="125" priority="96" operator="equal">
      <formula>"SI"</formula>
    </cfRule>
  </conditionalFormatting>
  <conditionalFormatting sqref="AK248">
    <cfRule type="containsText" dxfId="124" priority="91" operator="containsText" text="COMPLETAR EVALUACIÓN">
      <formula>NOT(ISERROR(SEARCH("COMPLETAR EVALUACIÓN",AK248)))</formula>
    </cfRule>
    <cfRule type="containsText" dxfId="123" priority="92" operator="containsText" text="CON RIESGO">
      <formula>NOT(ISERROR(SEARCH("CON RIESGO",AK248)))</formula>
    </cfRule>
    <cfRule type="containsText" dxfId="122" priority="93" operator="containsText" text="SIN RIESGO">
      <formula>NOT(ISERROR(SEARCH("SIN RIESGO",AK248)))</formula>
    </cfRule>
  </conditionalFormatting>
  <conditionalFormatting sqref="AG248:AH248">
    <cfRule type="cellIs" dxfId="121" priority="88" operator="equal">
      <formula>"SD"</formula>
    </cfRule>
    <cfRule type="cellIs" dxfId="120" priority="89" operator="equal">
      <formula>"NO"</formula>
    </cfRule>
    <cfRule type="cellIs" dxfId="119" priority="90" operator="equal">
      <formula>"SI"</formula>
    </cfRule>
  </conditionalFormatting>
  <conditionalFormatting sqref="AI248">
    <cfRule type="containsText" dxfId="118" priority="83" operator="containsText" text="HABITANTE DE CALLE">
      <formula>NOT(ISERROR(SEARCH("HABITANTE DE CALLE",AI248)))</formula>
    </cfRule>
    <cfRule type="containsText" dxfId="117" priority="84" operator="containsText" text="NINGUNO">
      <formula>NOT(ISERROR(SEARCH("NINGUNO",AI248)))</formula>
    </cfRule>
    <cfRule type="containsText" dxfId="116" priority="85" operator="containsText" text="MIGRATORIA">
      <formula>NOT(ISERROR(SEARCH("MIGRATORIA",AI248)))</formula>
    </cfRule>
    <cfRule type="containsText" dxfId="115" priority="86" operator="containsText" text="DISCAPACIDAD">
      <formula>NOT(ISERROR(SEARCH("DISCAPACIDAD",AI248)))</formula>
    </cfRule>
    <cfRule type="containsText" dxfId="114" priority="87" operator="containsText" text="DESPLAZADA">
      <formula>NOT(ISERROR(SEARCH("DESPLAZADA",AI248)))</formula>
    </cfRule>
  </conditionalFormatting>
  <conditionalFormatting sqref="AJ248">
    <cfRule type="cellIs" dxfId="113" priority="80" operator="equal">
      <formula>"SD"</formula>
    </cfRule>
    <cfRule type="cellIs" dxfId="112" priority="81" operator="equal">
      <formula>"NO"</formula>
    </cfRule>
    <cfRule type="cellIs" dxfId="111" priority="82" operator="equal">
      <formula>"SI"</formula>
    </cfRule>
  </conditionalFormatting>
  <conditionalFormatting sqref="AT248:AW248">
    <cfRule type="cellIs" dxfId="110" priority="77" operator="equal">
      <formula>"SD"</formula>
    </cfRule>
    <cfRule type="cellIs" dxfId="109" priority="78" operator="equal">
      <formula>"NO"</formula>
    </cfRule>
    <cfRule type="cellIs" dxfId="108" priority="79" operator="equal">
      <formula>"SI"</formula>
    </cfRule>
  </conditionalFormatting>
  <conditionalFormatting sqref="AW248">
    <cfRule type="cellIs" dxfId="107" priority="74" operator="equal">
      <formula>1</formula>
    </cfRule>
    <cfRule type="cellIs" dxfId="106" priority="75" operator="equal">
      <formula>"3 O MAS"</formula>
    </cfRule>
    <cfRule type="cellIs" dxfId="105" priority="76" operator="equal">
      <formula>2</formula>
    </cfRule>
  </conditionalFormatting>
  <conditionalFormatting sqref="AX248 BA248">
    <cfRule type="cellIs" dxfId="104" priority="71" operator="equal">
      <formula>"SD"</formula>
    </cfRule>
    <cfRule type="cellIs" dxfId="103" priority="72" operator="equal">
      <formula>"NO"</formula>
    </cfRule>
    <cfRule type="cellIs" dxfId="102" priority="73" operator="equal">
      <formula>"SI"</formula>
    </cfRule>
  </conditionalFormatting>
  <conditionalFormatting sqref="AY248">
    <cfRule type="containsText" dxfId="101" priority="66" operator="containsText" text="SD">
      <formula>NOT(ISERROR(SEARCH("SD",AY248)))</formula>
    </cfRule>
    <cfRule type="containsText" dxfId="100" priority="67" operator="containsText" text="SI, NO CONTROLADA">
      <formula>NOT(ISERROR(SEARCH("SI, NO CONTROLADA",AY248)))</formula>
    </cfRule>
    <cfRule type="containsText" dxfId="99" priority="68" operator="containsText" text="SI, SIN MANEJO">
      <formula>NOT(ISERROR(SEARCH("SI, SIN MANEJO",AY248)))</formula>
    </cfRule>
    <cfRule type="containsText" dxfId="98" priority="69" operator="containsText" text="SI, CONTROLADA">
      <formula>NOT(ISERROR(SEARCH("SI, CONTROLADA",AY248)))</formula>
    </cfRule>
    <cfRule type="containsText" dxfId="97" priority="70" operator="containsText" text="NO">
      <formula>NOT(ISERROR(SEARCH("NO",AY248)))</formula>
    </cfRule>
  </conditionalFormatting>
  <conditionalFormatting sqref="AZ248">
    <cfRule type="containsText" dxfId="96" priority="61" operator="containsText" text="SD">
      <formula>NOT(ISERROR(SEARCH("SD",AZ248)))</formula>
    </cfRule>
    <cfRule type="containsText" dxfId="95" priority="62" operator="containsText" text="SI, NO CONTROLADA">
      <formula>NOT(ISERROR(SEARCH("SI, NO CONTROLADA",AZ248)))</formula>
    </cfRule>
    <cfRule type="containsText" dxfId="94" priority="63" operator="containsText" text="SI, SIN MANEJO">
      <formula>NOT(ISERROR(SEARCH("SI, SIN MANEJO",AZ248)))</formula>
    </cfRule>
    <cfRule type="containsText" dxfId="93" priority="64" operator="containsText" text="SI, CONTROLADA">
      <formula>NOT(ISERROR(SEARCH("SI, CONTROLADA",AZ248)))</formula>
    </cfRule>
    <cfRule type="containsText" dxfId="92" priority="65" operator="containsText" text="NO">
      <formula>NOT(ISERROR(SEARCH("NO",AZ248)))</formula>
    </cfRule>
  </conditionalFormatting>
  <conditionalFormatting sqref="BB248">
    <cfRule type="cellIs" dxfId="91" priority="58" operator="equal">
      <formula>"SD"</formula>
    </cfRule>
    <cfRule type="cellIs" dxfId="90" priority="59" operator="equal">
      <formula>"NO"</formula>
    </cfRule>
    <cfRule type="cellIs" dxfId="89" priority="60" operator="equal">
      <formula>"SI"</formula>
    </cfRule>
  </conditionalFormatting>
  <conditionalFormatting sqref="BC248">
    <cfRule type="cellIs" dxfId="88" priority="55" operator="equal">
      <formula>"SD"</formula>
    </cfRule>
    <cfRule type="cellIs" dxfId="87" priority="56" operator="equal">
      <formula>"NO"</formula>
    </cfRule>
    <cfRule type="cellIs" dxfId="86" priority="57" operator="equal">
      <formula>"SI"</formula>
    </cfRule>
  </conditionalFormatting>
  <conditionalFormatting sqref="BF248">
    <cfRule type="cellIs" dxfId="85" priority="52" operator="equal">
      <formula>"SD"</formula>
    </cfRule>
    <cfRule type="cellIs" dxfId="84" priority="53" operator="equal">
      <formula>"NO"</formula>
    </cfRule>
    <cfRule type="cellIs" dxfId="83" priority="54" operator="equal">
      <formula>"SI"</formula>
    </cfRule>
  </conditionalFormatting>
  <conditionalFormatting sqref="BD248:BE248">
    <cfRule type="cellIs" dxfId="82" priority="49" operator="equal">
      <formula>"SD"</formula>
    </cfRule>
    <cfRule type="cellIs" dxfId="81" priority="50" operator="equal">
      <formula>"NO"</formula>
    </cfRule>
    <cfRule type="cellIs" dxfId="80" priority="51" operator="equal">
      <formula>"SI"</formula>
    </cfRule>
  </conditionalFormatting>
  <conditionalFormatting sqref="BE248">
    <cfRule type="expression" dxfId="79" priority="48">
      <formula>IF(AND(FA248&gt;=126,FC248&lt;24),1,0)</formula>
    </cfRule>
  </conditionalFormatting>
  <conditionalFormatting sqref="BG248">
    <cfRule type="cellIs" dxfId="78" priority="45" operator="equal">
      <formula>"SD"</formula>
    </cfRule>
    <cfRule type="cellIs" dxfId="77" priority="46" operator="equal">
      <formula>"NO"</formula>
    </cfRule>
    <cfRule type="cellIs" dxfId="76" priority="47" operator="equal">
      <formula>"SI"</formula>
    </cfRule>
  </conditionalFormatting>
  <conditionalFormatting sqref="BH248">
    <cfRule type="cellIs" dxfId="75" priority="42" operator="equal">
      <formula>"SD"</formula>
    </cfRule>
    <cfRule type="cellIs" dxfId="74" priority="43" operator="equal">
      <formula>"NO"</formula>
    </cfRule>
    <cfRule type="cellIs" dxfId="73" priority="44" operator="equal">
      <formula>"SI"</formula>
    </cfRule>
  </conditionalFormatting>
  <conditionalFormatting sqref="BI248">
    <cfRule type="cellIs" dxfId="72" priority="39" operator="equal">
      <formula>"SD"</formula>
    </cfRule>
    <cfRule type="cellIs" dxfId="71" priority="40" operator="equal">
      <formula>"NO"</formula>
    </cfRule>
    <cfRule type="cellIs" dxfId="70" priority="41" operator="equal">
      <formula>"SI"</formula>
    </cfRule>
  </conditionalFormatting>
  <conditionalFormatting sqref="BJ248">
    <cfRule type="cellIs" dxfId="69" priority="36" operator="equal">
      <formula>"SD"</formula>
    </cfRule>
    <cfRule type="cellIs" dxfId="68" priority="37" operator="equal">
      <formula>"NO"</formula>
    </cfRule>
    <cfRule type="cellIs" dxfId="67" priority="38" operator="equal">
      <formula>"SI"</formula>
    </cfRule>
  </conditionalFormatting>
  <conditionalFormatting sqref="BL248:BM248">
    <cfRule type="cellIs" dxfId="66" priority="33" operator="equal">
      <formula>"SD"</formula>
    </cfRule>
    <cfRule type="cellIs" dxfId="65" priority="34" operator="equal">
      <formula>"NO"</formula>
    </cfRule>
    <cfRule type="cellIs" dxfId="64" priority="35" operator="equal">
      <formula>"SI"</formula>
    </cfRule>
  </conditionalFormatting>
  <conditionalFormatting sqref="BK248">
    <cfRule type="cellIs" dxfId="63" priority="30" operator="equal">
      <formula>"SD"</formula>
    </cfRule>
    <cfRule type="cellIs" dxfId="62" priority="31" operator="equal">
      <formula>"NO"</formula>
    </cfRule>
    <cfRule type="cellIs" dxfId="61" priority="32" operator="equal">
      <formula>"SI"</formula>
    </cfRule>
  </conditionalFormatting>
  <conditionalFormatting sqref="FB201">
    <cfRule type="containsText" dxfId="60" priority="26" operator="containsText" text="RH NEGATIVO SIN COOMB">
      <formula>NOT(ISERROR(SEARCH("RH NEGATIVO SIN COOMB",FB201)))</formula>
    </cfRule>
    <cfRule type="containsText" dxfId="59" priority="27" operator="containsText" text="RH NEGATIVO CON COOMBS POSITIVO">
      <formula>NOT(ISERROR(SEARCH("RH NEGATIVO CON COOMBS POSITIVO",FB201)))</formula>
    </cfRule>
    <cfRule type="containsText" dxfId="58" priority="28" operator="containsText" text="RH NEGATIVO CON COOMBS NEGATIVO">
      <formula>NOT(ISERROR(SEARCH("RH NEGATIVO CON COOMBS NEGATIVO",FB201)))</formula>
    </cfRule>
    <cfRule type="containsText" dxfId="57" priority="29" operator="containsText" text="RH POSITIVO">
      <formula>NOT(ISERROR(SEARCH("RH POSITIVO",FB201)))</formula>
    </cfRule>
  </conditionalFormatting>
  <conditionalFormatting sqref="GT201">
    <cfRule type="containsText" dxfId="56" priority="24" operator="containsText" text="POSITIVO">
      <formula>NOT(ISERROR(SEARCH("POSITIVO",GT201)))</formula>
    </cfRule>
    <cfRule type="containsText" dxfId="55" priority="25" operator="containsText" text="NEGATIVO">
      <formula>NOT(ISERROR(SEARCH("NEGATIVO",GT201)))</formula>
    </cfRule>
  </conditionalFormatting>
  <conditionalFormatting sqref="FJ170:FJ171">
    <cfRule type="containsText" dxfId="54" priority="18" operator="containsText" text="REINFECCIÓN">
      <formula>NOT(ISERROR(SEARCH("REINFECCIÓN",FJ170)))</formula>
    </cfRule>
    <cfRule type="containsText" dxfId="53" priority="19" operator="containsText" text="DILUCIONES DISMINUYEN">
      <formula>NOT(ISERROR(SEARCH("DILUCIONES DISMINUYEN",FJ170)))</formula>
    </cfRule>
    <cfRule type="containsText" dxfId="52" priority="20" operator="containsText" text="DILUCIONES ESTABLES">
      <formula>NOT(ISERROR(SEARCH("DILUCIONES ESTABLES",FJ170)))</formula>
    </cfRule>
    <cfRule type="containsText" dxfId="51" priority="21" operator="containsText" text="POSITIVA CICATRIZ">
      <formula>NOT(ISERROR(SEARCH("POSITIVA CICATRIZ",FJ170)))</formula>
    </cfRule>
    <cfRule type="containsText" dxfId="50" priority="22" operator="containsText" text="POSITIVA CASO SIFILIS">
      <formula>NOT(ISERROR(SEARCH("POSITIVA CASO SIFILIS",FJ170)))</formula>
    </cfRule>
    <cfRule type="containsText" dxfId="49" priority="23" operator="containsText" text="NEGATIVA">
      <formula>NOT(ISERROR(SEARCH("NEGATIVA",FJ170)))</formula>
    </cfRule>
  </conditionalFormatting>
  <conditionalFormatting sqref="FJ177">
    <cfRule type="containsText" dxfId="48" priority="12" operator="containsText" text="REINFECCIÓN">
      <formula>NOT(ISERROR(SEARCH("REINFECCIÓN",FJ177)))</formula>
    </cfRule>
    <cfRule type="containsText" dxfId="47" priority="13" operator="containsText" text="DILUCIONES DISMINUYEN">
      <formula>NOT(ISERROR(SEARCH("DILUCIONES DISMINUYEN",FJ177)))</formula>
    </cfRule>
    <cfRule type="containsText" dxfId="46" priority="14" operator="containsText" text="DILUCIONES ESTABLES">
      <formula>NOT(ISERROR(SEARCH("DILUCIONES ESTABLES",FJ177)))</formula>
    </cfRule>
    <cfRule type="containsText" dxfId="45" priority="15" operator="containsText" text="POSITIVA CICATRIZ">
      <formula>NOT(ISERROR(SEARCH("POSITIVA CICATRIZ",FJ177)))</formula>
    </cfRule>
    <cfRule type="containsText" dxfId="44" priority="16" operator="containsText" text="POSITIVA CASO SIFILIS">
      <formula>NOT(ISERROR(SEARCH("POSITIVA CASO SIFILIS",FJ177)))</formula>
    </cfRule>
    <cfRule type="containsText" dxfId="43" priority="17" operator="containsText" text="NEGATIVA">
      <formula>NOT(ISERROR(SEARCH("NEGATIVA",FJ177)))</formula>
    </cfRule>
  </conditionalFormatting>
  <conditionalFormatting sqref="FP170">
    <cfRule type="containsText" dxfId="42" priority="6" operator="containsText" text="REINFECCIÓN">
      <formula>NOT(ISERROR(SEARCH("REINFECCIÓN",FP170)))</formula>
    </cfRule>
    <cfRule type="containsText" dxfId="41" priority="7" operator="containsText" text="DILUCIONES DISMINUYEN">
      <formula>NOT(ISERROR(SEARCH("DILUCIONES DISMINUYEN",FP170)))</formula>
    </cfRule>
    <cfRule type="containsText" dxfId="40" priority="8" operator="containsText" text="DILUCIONES ESTABLES">
      <formula>NOT(ISERROR(SEARCH("DILUCIONES ESTABLES",FP170)))</formula>
    </cfRule>
    <cfRule type="containsText" dxfId="39" priority="9" operator="containsText" text="POSITIVA CICATRIZ">
      <formula>NOT(ISERROR(SEARCH("POSITIVA CICATRIZ",FP170)))</formula>
    </cfRule>
    <cfRule type="containsText" dxfId="38" priority="10" operator="containsText" text="POSITIVA CASO SIFILIS">
      <formula>NOT(ISERROR(SEARCH("POSITIVA CASO SIFILIS",FP170)))</formula>
    </cfRule>
    <cfRule type="containsText" dxfId="37" priority="11" operator="containsText" text="NEGATIVA">
      <formula>NOT(ISERROR(SEARCH("NEGATIVA",FP170)))</formula>
    </cfRule>
  </conditionalFormatting>
  <conditionalFormatting sqref="GC209">
    <cfRule type="containsText" dxfId="36" priority="2" operator="containsText" text="RH NEGATIVO SIN COOMB">
      <formula>NOT(ISERROR(SEARCH("RH NEGATIVO SIN COOMB",GC209)))</formula>
    </cfRule>
    <cfRule type="containsText" dxfId="35" priority="3" operator="containsText" text="RH NEGATIVO CON COOMBS POSITIVO">
      <formula>NOT(ISERROR(SEARCH("RH NEGATIVO CON COOMBS POSITIVO",GC209)))</formula>
    </cfRule>
    <cfRule type="containsText" dxfId="34" priority="4" operator="containsText" text="RH NEGATIVO CON COOMBS NEGATIVO">
      <formula>NOT(ISERROR(SEARCH("RH NEGATIVO CON COOMBS NEGATIVO",GC209)))</formula>
    </cfRule>
    <cfRule type="containsText" dxfId="33" priority="5" operator="containsText" text="RH POSITIVO">
      <formula>NOT(ISERROR(SEARCH("RH POSITIVO",GC209)))</formula>
    </cfRule>
  </conditionalFormatting>
  <conditionalFormatting sqref="BS1">
    <cfRule type="cellIs" dxfId="32" priority="1" operator="equal">
      <formula>"SIN SEMANAS X ECO"</formula>
    </cfRule>
  </conditionalFormatting>
  <dataValidations xWindow="988" yWindow="739" count="97">
    <dataValidation type="date" operator="greaterThan" allowBlank="1" showInputMessage="1" showErrorMessage="1" error="SOLO FECHA" sqref="DE191:DF191 HW192 EE192 EG192 EI192 HS192 HU192 HW194:HW195 EE194:EE195 EG194:EG195 EI194:EI195 HU194:HU195 EF195 HS198 HU198 HS201 EE197:EG199 HW198:HW201 HY200:HY201 EG224:EI224 O207:O208 EI208:EI209 EE208:EE209 EG208:EG209 EF209 EE233:EE236 EG233:EG236 EN235 EF235 DE207:DF207 EE223:EE224 R207:R208 HW217:HW218 EF217:EF218 HS217 HU217:HU218 EW218 FB218 FK218 FZ218 GO218 GT218 DE211:DF211 EI223 EF223:EG223 GT226 EE226:EE227 EG226:EG227 EI226:EI227 EN226 EW226 FB226 FK226 FZ226 GO226 EI215:EI221 EE215:EE221 EG215:EG221 DE208:DE210 DE3:DE190 EI229 EE229:EG229 EI232:EI236 EE232:EG232 EI238:EI241 EE238:EE241 EG238:EG241 HU240 EF240 HY240:HY241 HS240 DG3:DG156 HW244:HW245 EE244:EE245 EG244:EG245 EI244:EI245 HS244 DK101:DQ101 DH3:DQ100 DH101:DI101 DD244:DE248 EE248:EG248 EI248 HY248 HW248 DE192:DE206 EI197:EI202 EG200:EG202 EE200:EE202 DG158:DG248 GM3:GM248 GK3:GK248 DD3:DD241 DH102:DQ248 DE212:DE241" xr:uid="{F28DFE1A-7317-459F-AEC2-96D2257D617C}">
      <formula1>43191</formula1>
    </dataValidation>
    <dataValidation type="date" operator="greaterThanOrEqual" allowBlank="1" showInputMessage="1" showErrorMessage="1" error="REVISAR FECHA INGRESO CPN" sqref="HW142 HW95 HW193 HU193 HS193:HS197 HS199:HS200 HT209 HS203:HS205 HU210 HY235 HW146 HW229:HW230 HU203:HU205 HW203:HW205 HU90 HW90 HW215 HU215 HU212 HW212 HU221 HW221 HU238 HU227 HW227 HU232:HU235 HW232:HW236 HW238 HW241 HU241 HS241 HS218 HS220:HS238 HS3:HS191 HU191 HW191 HS209:HS215 HS245:HS248" xr:uid="{C5C4DFBC-CBE7-4687-B28C-563E7E9C8187}">
      <formula1>R3</formula1>
    </dataValidation>
    <dataValidation type="date" operator="greaterThanOrEqual" allowBlank="1" showInputMessage="1" showErrorMessage="1" error="REVISAR FECHA INGRESO CPN" sqref="HY231 HW190 HU196 HU199:HU201 HS219 HW219 HW231 HU3:HU63 HW224 HU228:HU231 HU65:HU89 HU211 HU213:HU214 HU91:HU190 HU209 HU236:HU237 HS239 HU239 HU219:HU220 HU244:HU246 HU222:HU226 HU248" xr:uid="{097C94E4-F6A9-43A6-B5E9-DB843C57F08E}">
      <formula1>P3</formula1>
    </dataValidation>
    <dataValidation type="date" operator="greaterThanOrEqual" allowBlank="1" showInputMessage="1" showErrorMessage="1" error="REVISAR FECHA INGRESO CPN" sqref="HW147:HW189 IA197 HU197 HW196:HW197 HT135 HV135 HW65:HW86 HW3:HW63 HW228 HW143:HW145 HW225:HW226 HW88:HW89 HW91:HW94 HW213:HW214 HW220 HW209:HW211 HW96:HW141 HW237 HW239:HW240 HW242 HW246 HW222:HW223" xr:uid="{6EE7644D-A52B-404F-9ED0-3074A3B8A2D5}">
      <formula1>O3</formula1>
    </dataValidation>
    <dataValidation type="date" operator="greaterThan" allowBlank="1" showInputMessage="1" showErrorMessage="1" error="VERFICAR FECHA" sqref="R64 O3:O126 R220:R248 R190:R205 O128:O206 O209:O248 R209:R218" xr:uid="{17A76005-E7EA-4FD6-80A0-B5925BAFF85F}">
      <formula1>43101</formula1>
    </dataValidation>
    <dataValidation type="date" operator="greaterThan" allowBlank="1" showInputMessage="1" showErrorMessage="1" error="SOLO FECHA" sqref="GO186:GO191 GO196 GT196 GO139:GO178 GO243:GO248 HY207:HY208 GO209 HU206:HU208 HS206:HS208 HW206:HW208 GO203:GO205 GO213:GO215 GO217 GT217 GO100:GO137 GO193:GO194 GO211 GT211 GT213:GT215 GO227:GO234 GO224:GO225 GT224:GT225 GT227:GT234 GT203:GT209 GT3:GT137 GT243:GT248 GT139:GT178 GO236:GO241 GT236:GT241 GO3:GO98 GO180:GO184 GT180:GT184 GO198 GT198 GO200 GT200 GO219:GO222 GT219:GT222 GT186:GT194" xr:uid="{4B12733C-3972-40F2-B7D0-CF22316A0A89}">
      <formula1>43556</formula1>
    </dataValidation>
    <dataValidation type="date" operator="greaterThan" allowBlank="1" showInputMessage="1" showErrorMessage="1" error="SOLO FECHA" prompt="COLOCAR FECHA SEGUNDO CONTROL, NO REPETIR LA FECHA DE INGRESO" sqref="DF3:DF190 DF208:DF210 EE243 EG243 EI243 DG157 DD242:DE243 DF192:DF206 DF212:DF248" xr:uid="{C6475163-30E7-4EB9-B5A3-EC4C068B51A6}">
      <formula1>43191</formula1>
    </dataValidation>
    <dataValidation type="list" allowBlank="1" showInputMessage="1" showErrorMessage="1" sqref="BC231:BG248 AY211:BB211 BK210:BN210 AY204:BB209 AY210:BI210 CD162 BH231:BM248 IA3:IA196 BK3:BM209 AX3:BB203 BD3:BI209 IA198:IA248 CB3:CC248 BJ3:BJ230 CE3:CE248 AE3:AH248 AL3:AR248 AV3:AV248 AJ3:AJ248 BK211:BM230 BC211:BI230 BA212:BB248 AX204:AX248 AY212:AZ221" xr:uid="{6C2EE081-40B5-40D8-B966-624081F5DF9C}">
      <formula1>"SI,NO,SD"</formula1>
    </dataValidation>
    <dataValidation type="date" operator="greaterThan" allowBlank="1" showInputMessage="1" showErrorMessage="1" error="VERIFICAR FECHA" sqref="R206 R219 R3:R63 R65:R189 O127" xr:uid="{26081B0B-6629-4A65-A347-6B2D895B3059}">
      <formula1>43831</formula1>
    </dataValidation>
    <dataValidation type="date" operator="greaterThan" allowBlank="1" showInputMessage="1" showErrorMessage="1" error="DIGITE SOLO FECHA" sqref="FK142 FN59 FQ59 FN154 GC154 FH3:FH248" xr:uid="{090DD416-D762-413D-B339-48756879D4B5}">
      <formula1>43831</formula1>
    </dataValidation>
    <dataValidation type="list" allowBlank="1" showInputMessage="1" showErrorMessage="1" sqref="CD3" xr:uid="{63F6EBEC-FE15-43BA-A290-352AE1B67C7D}">
      <formula1>"CEFÁLICA,PODÁLICA,TRANSVERSA O DE FRENTE,OBLICUA,SD"</formula1>
    </dataValidation>
    <dataValidation type="list" allowBlank="1" showInputMessage="1" showErrorMessage="1" sqref="HV3" xr:uid="{0F3AA12A-92D4-443F-AFCE-37190F6D3190}">
      <formula1>"PREGESTACIONAL  Y PRIMERAS 12SEM, SOLO PRIMERAS 12SEM, INADECUADO, SUMINISTRO OTRO COMPLEMENTO, SIN DATO,NO APLICA"</formula1>
    </dataValidation>
    <dataValidation type="date" operator="lessThan" allowBlank="1" showInputMessage="1" showErrorMessage="1" sqref="EW91:EW94 EW150:EW162 FB197 FK197 EW136:EW141 EW243:EW248 FB211 FZ211 GC211 EW131:EW134 FB219 GT235 EW227:EW228 FN209 FB235:FB236 FK235 FZ235 GO235 FZ206:FZ209 EW61:EW89 FB206:FB209 FK206:FK209 GO206:GO208 EX60 EW3:EW59 FB215 FB203 EW217 EW164:EW191 EW193 EW211 EW213:EW215 FB223 GT185 EW203:EW204 EW143:EW148 EW206:EW209 EW116:EW129 EW232 FN238 FB238 FK238 EW234:EW241 EW96:EW98 EW100:EW114 FB185 FK185 FZ185 GO185 EW196:EW198 EW200 EW219:EW224 GC209" xr:uid="{7FFE3027-F36E-4C4B-97DB-6E1F60ABF324}">
      <formula1>45433</formula1>
    </dataValidation>
    <dataValidation type="list" allowBlank="1" showInputMessage="1" showErrorMessage="1" sqref="HT3:HT134 HT136:HT208 HT210:HT248" xr:uid="{222B42A4-FE5C-41E4-BA4F-B33CADF03DAF}">
      <formula1>"INICIA A PARTIR DE LA SEMANA 14, INICIA A ANTES DE LA SEMANA 14, SUMINISTRO IRREGULAR, NO SE FORMULA, SUMINISTRO OTRO COMPLEMENTO NUTRICIONAL, NO APLICA, SIN DATO"</formula1>
    </dataValidation>
    <dataValidation type="list" allowBlank="1" showInputMessage="1" showErrorMessage="1" sqref="HV4:HV134 HX241 HV136:HV248" xr:uid="{D9783820-ACDB-4FA1-9F07-8235050B83BC}">
      <formula1>"PREGESTACIONAL  Y PRIMERAS 12SEM, SOLO PRIMERAS 12SEM, INADECUADO, SUMINISTRO OTRO COMPLEMENTO, SIN DATO"</formula1>
    </dataValidation>
    <dataValidation type="list" allowBlank="1" showInputMessage="1" showErrorMessage="1" sqref="V3:V209 V211:V248" xr:uid="{4546AA68-8104-4F7F-A37A-83FAD1810013}">
      <formula1>"URBANO,RURAL,SIN DATO"</formula1>
    </dataValidation>
    <dataValidation type="date" operator="greaterThan" allowBlank="1" showInputMessage="1" showErrorMessage="1" sqref="IF233 IC3:IC212 ID3:ID213 IC214:ID248" xr:uid="{FAE47593-2949-4600-92C0-EDA5405A6C2C}">
      <formula1>43556</formula1>
    </dataValidation>
    <dataValidation type="date" operator="greaterThan" allowBlank="1" showInputMessage="1" showErrorMessage="1" error="SOLO FECHA" sqref="IC213 IF234:IF248 IF3:IF232" xr:uid="{9DAA5096-E50B-434B-AEBC-842E526A854A}">
      <formula1>36526</formula1>
    </dataValidation>
    <dataValidation type="list" allowBlank="1" showInputMessage="1" showErrorMessage="1" sqref="AY222:AZ248 BC3:BC209" xr:uid="{1C478E08-B859-4ABF-91A6-0BD96F79362F}">
      <mc:AlternateContent xmlns:x12ac="http://schemas.microsoft.com/office/spreadsheetml/2011/1/ac" xmlns:mc="http://schemas.openxmlformats.org/markup-compatibility/2006">
        <mc:Choice Requires="x12ac">
          <x12ac:list>NO," SI, CONTROLADA"," SI, SIN MANEJO"," SI, NO CONTROLADA",SD</x12ac:list>
        </mc:Choice>
        <mc:Fallback>
          <formula1>"NO, SI, CONTROLADA, SI, SIN MANEJO, SI, NO CONTROLADA,SD"</formula1>
        </mc:Fallback>
      </mc:AlternateContent>
    </dataValidation>
    <dataValidation type="date" operator="lessThanOrEqual" allowBlank="1" showInputMessage="1" showErrorMessage="1" error="INGRESE SOLO FECHA" sqref="BN3:BN209 BN211:BN248" xr:uid="{52D91D41-8C6F-4BE1-B3A3-80CCF116949D}">
      <formula1>44561</formula1>
    </dataValidation>
    <dataValidation type="list" allowBlank="1" showInputMessage="1" showErrorMessage="1" sqref="BY203 BV3:BV137 BV139:BV248" xr:uid="{BE4B2D72-A5A9-4BC3-B290-55B4EF47CF1C}">
      <mc:AlternateContent xmlns:x12ac="http://schemas.microsoft.com/office/spreadsheetml/2011/1/ac" xmlns:mc="http://schemas.openxmlformats.org/markup-compatibility/2006">
        <mc:Choice Requires="x12ac">
          <x12ac:list>"Temprana (&lt;10,6 Sem)"," Tamizaje Genético (11,0 a 13,6 Sem)"," Detalle anatómico (18,0 a 23,6 Sem)", Otro tipo de ECO Obst.</x12ac:list>
        </mc:Choice>
        <mc:Fallback>
          <formula1>"Temprana (&lt;10,6 Sem), Tamizaje Genético (11,0 a 13,6 Sem), Detalle anatómico (18,0 a 23,6 Sem), Otro tipo de ECO Obst."</formula1>
        </mc:Fallback>
      </mc:AlternateContent>
    </dataValidation>
    <dataValidation type="list" allowBlank="1" showInputMessage="1" showErrorMessage="1" error="DIGITE EDAD GESTACIONAL" sqref="BY3:BY202 BY204:BY248" xr:uid="{CBA20DCB-EBDB-41A5-B451-60ED83881E4A}">
      <mc:AlternateContent xmlns:x12ac="http://schemas.microsoft.com/office/spreadsheetml/2011/1/ac" xmlns:mc="http://schemas.openxmlformats.org/markup-compatibility/2006">
        <mc:Choice Requires="x12ac">
          <x12ac:list>"Detalle anatómico (18,0 a 23,6 Sem)", Otro tipo de ECO Obst.</x12ac:list>
        </mc:Choice>
        <mc:Fallback>
          <formula1>"Detalle anatómico (18,0 a 23,6 Sem), Otro tipo de ECO Obst."</formula1>
        </mc:Fallback>
      </mc:AlternateContent>
    </dataValidation>
    <dataValidation operator="greaterThan" allowBlank="1" showInputMessage="1" showErrorMessage="1" sqref="HU64 HW64 HW243 HS243 HU243 HQ3:HQ248" xr:uid="{95770C3F-CC34-4A3B-95F8-C3BAC21FF292}"/>
    <dataValidation type="list" allowBlank="1" showInputMessage="1" showErrorMessage="1" sqref="GR3:GR98 GR200:GR201 GT201 GR100:GR198 GQ3:GQ248 FV3:FV248 GN3:GN248 GR203:GR248" xr:uid="{CC63F3D6-6231-4A97-83DF-9D5FD3B43DD5}">
      <formula1>"NEGATIVO,POSITIVO,SIN DATO"</formula1>
    </dataValidation>
    <dataValidation allowBlank="1" showInputMessage="1" showErrorMessage="1" promptTitle="PARTO EN DOMICILIO COLOCAR" prompt="NO APLICA (No dejar en blanco)" sqref="IQ3:IQ32 IQ65 IQ35 IQ37 IQ44 IQ48 IQ54:IQ55 IQ58 IQ109 IQ79 IQ82:IQ83 IQ86 IQ117:IQ119 IQ121:IQ130 IQ132:IQ154 IQ156:IQ248" xr:uid="{61B97617-4F91-4468-9BA0-0C7E4C7B762B}"/>
    <dataValidation type="date" operator="greaterThan" allowBlank="1" showInputMessage="1" showErrorMessage="1" error="SOLO FECHA" sqref="IN3:IN71 IN73:IN248" xr:uid="{4BE12C52-17E8-4B55-9E4E-F8F608047D10}">
      <formula1>43831</formula1>
    </dataValidation>
    <dataValidation type="list" allowBlank="1" showInputMessage="1" showErrorMessage="1" sqref="JK113 IS3:IS248" xr:uid="{57B441BE-6B63-4D59-9286-44978617A45B}">
      <formula1>"PERSONAL DE SALUD PROFESIONAL O ESPECIALISTA,PERSONAL TÉCNICO EN SALUD,PARTERA,MEDICO TRADICIONAL,OTRO,NO APLICA"</formula1>
    </dataValidation>
    <dataValidation type="list" allowBlank="1" showInputMessage="1" showErrorMessage="1" sqref="JL113 IT3:IT248" xr:uid="{6631BA78-0F2F-491E-92AB-302879C3EC44}">
      <formula1>"INICIO ESPONTÁNEO, LE HACEN INDUCCIÓN, LE HACEN CESÁREA SIN INICIO TRABAJO DE PARTO,SIN DATO"</formula1>
    </dataValidation>
    <dataValidation type="list" allowBlank="1" showInputMessage="1" showErrorMessage="1" sqref="CD4:CD161 CD163:CD248" xr:uid="{C40AFC3D-A32E-4B7F-8F0D-D8CDEBB83579}">
      <formula1>"CEFÁLICA,PODÁLICA,TRANSVERSA,OBLICUA,SD"</formula1>
    </dataValidation>
    <dataValidation type="whole" allowBlank="1" showInputMessage="1" showErrorMessage="1" error="DIGITE NÚMERO ENTERO" sqref="DA3:DB98 DA99 DA175:DB175 DA100:DB173 DA177:DB248 CX3:CY248" xr:uid="{CC62CFF3-013B-4E03-ABB9-559FEF113A80}">
      <formula1>40</formula1>
      <formula2>250</formula2>
    </dataValidation>
    <dataValidation type="list" allowBlank="1" showInputMessage="1" showErrorMessage="1" sqref="HX242:HX248 HX3:HX240" xr:uid="{974AED15-E38B-4C24-A6EB-856D0C75A3B6}">
      <formula1>"Suministro Profilaxis Hb&lt;14 (1Tab), Manejo para anemia (2Tab), Inadecuado, No Aplica, Suministro otro complemento Nutricional, Sin Dato"</formula1>
    </dataValidation>
    <dataValidation allowBlank="1" showInputMessage="1" showErrorMessage="1" error="DIGITE NÚMERO ENTERO" sqref="DB99 CZ3:CZ248" xr:uid="{C735352B-2243-4D48-9EC6-4057D85B013E}"/>
    <dataValidation type="whole" allowBlank="1" showInputMessage="1" showErrorMessage="1" error="SOLO NÚMERO ENTERO" sqref="DA176:DB176 DA174:DB174 CU3:CV248 CR3:CS248" xr:uid="{528C8067-94DB-409A-9236-07BBF76BCFE8}">
      <formula1>40</formula1>
      <formula2>200</formula2>
    </dataValidation>
    <dataValidation type="list" allowBlank="1" showInputMessage="1" showErrorMessage="1" sqref="FB201 EV3:EV248" xr:uid="{6B9DFFEF-89DA-4FE5-A621-9B528CFC7343}">
      <formula1>"RH POSITIVO, RH NEGATIVO SIN COOMBS,RH NEGATIVO CON COOMBS NEGATIVO,RH NEGATIVO CON COOMBS POSITIVO"</formula1>
    </dataValidation>
    <dataValidation type="list" allowBlank="1" showInputMessage="1" showErrorMessage="1" sqref="K3:K248" xr:uid="{458ACD65-1B14-434E-9D5D-9A70575FEF7F}">
      <formula1>"SOLTERA,UNION LIBRE, CASADA, VIUDA, SEPARADA, "</formula1>
    </dataValidation>
    <dataValidation type="list" allowBlank="1" showInputMessage="1" showErrorMessage="1" sqref="S3:S248" xr:uid="{BF3F3568-EA25-46AB-9DA9-AE39A2C78B85}">
      <formula1>"SUBSIDIADO,CONTRIBUTIVO,REGIMEN ESPECIAL,PARTICULAR,NO AFILIADO,SIN DATO"</formula1>
    </dataValidation>
    <dataValidation type="date" operator="lessThanOrEqual" allowBlank="1" showInputMessage="1" showErrorMessage="1" sqref="M3:M248" xr:uid="{DE266B79-2073-4562-B0E5-D4509B3FCC5F}">
      <formula1>40909</formula1>
    </dataValidation>
    <dataValidation type="list" allowBlank="1" showInputMessage="1" showErrorMessage="1" sqref="T3:T248" xr:uid="{C0A5F2A5-BECD-47A2-B0CB-948023DFC329}">
      <formula1>"AIC, ASMET SALUD, CAJA COMPENSACION HUILA, CAPITAL SALUD, COMFENALCO, COMPENSAR, Contrato Particular, COOMEVA, COOSALUD, COSMITET, EJERCITO, EMSSANAR, MALLAMAS, NUEVA EPS, OTRO, POLICIA, PPNA, SANITAS, SOS, SURA, UNIDAD DE SALUD UNICAUCA"</formula1>
    </dataValidation>
    <dataValidation type="list" allowBlank="1" showInputMessage="1" showErrorMessage="1" sqref="Q3:Q248" xr:uid="{7DF9D149-3955-4F69-B76F-A949407156FE}">
      <formula1>"CPN OTRA IPS,VIENE DE OTRO MUNICIPIO,VIENE DE OTRO DPTO,SE TRASLADO DE EPS,TRAMITE DE PORTABILIDAD,SIN DOCUMENTO IDENTIDAD,SIN AFILIACIÓN A EPS,POBLACIÓN INMIGRANTE,SIN NOVEDAD"</formula1>
    </dataValidation>
    <dataValidation type="list" allowBlank="1" showInputMessage="1" showErrorMessage="1" sqref="L3:L248" xr:uid="{F4E20E03-DE79-40CA-83AB-AEBA32BAD56D}">
      <formula1>"Hogar Con apoyo, Hogar sin apoyo, Actualmente desempleada, Empleada formalmente sin riesgo, Empleada formalmente por jornada laboral extensa, Empleada formalmente con riesgo de accidente laboral, Empleada formalmente con riesgo a tóxicos, Empleo informal"</formula1>
    </dataValidation>
    <dataValidation type="list" allowBlank="1" showInputMessage="1" showErrorMessage="1" sqref="D3:D248" xr:uid="{44DD6AFC-9AD4-459D-A4F8-CA5798E4DD36}">
      <formula1>"PROCESO COMPLETO DE ATENCIÓN,PROCESO PARCIAL DE ATENCIÓN, SIN ATENCIÓN, SIN DATO"</formula1>
    </dataValidation>
    <dataValidation type="list" allowBlank="1" showInputMessage="1" showErrorMessage="1" sqref="HP3:HP248" xr:uid="{03CCFABA-AF2D-440A-9410-08D66F4208D5}">
      <formula1>"Si entre SEM 12 y 16, Si Desp. SEM 16, Suministro Irregular, NO, No Aplica"</formula1>
    </dataValidation>
    <dataValidation type="list" allowBlank="1" showInputMessage="1" showErrorMessage="1" sqref="JS3:JS248 JI3:JI248" xr:uid="{6A82D188-586E-485A-B587-2C8349D5D999}">
      <formula1>"SI,NO,SIN DATO,NO APLICA"</formula1>
    </dataValidation>
    <dataValidation type="list" allowBlank="1" showInputMessage="1" showErrorMessage="1" sqref="JT3:JT248 JJ3:JJ248" xr:uid="{F0AC5E11-183E-41CC-89FC-DDCE0F72D117}">
      <formula1>"O+,O-,A+,A-,B+,B-,AB+,AB-,SIN DATO,NO APLICA"</formula1>
    </dataValidation>
    <dataValidation type="list" allowBlank="1" showInputMessage="1" showErrorMessage="1" sqref="ME3:ME248 LG3:LG248 LC3:LC248 KY3:KY248 LK3:LK248 LO3:LO248 KU3:KU248" xr:uid="{BD1D7CBC-04F2-4D0E-B0A7-B48D20E4D2F4}">
      <formula1>"MEDICO (A) TRADICIONAL,PARTERO (A),PULESEADOR (A),SOBANDERO (A),YERBATERO (A),OTRO "</formula1>
    </dataValidation>
    <dataValidation type="list" allowBlank="1" showInputMessage="1" showErrorMessage="1" sqref="JG3:JG248" xr:uid="{88301F9C-DC3C-4413-86F6-710DE48184CA}">
      <formula1>"NORMAL,ANORMAL,NO APLICA,SIN DATO"</formula1>
    </dataValidation>
    <dataValidation type="list" allowBlank="1" showInputMessage="1" showErrorMessage="1" sqref="AT3:AT248" xr:uid="{FB5E2EB4-8872-4108-951F-16C241CFE860}">
      <formula1>"0,1,2,3,4,5,6,7,8,9,10,11,12,13,14,15"</formula1>
    </dataValidation>
    <dataValidation type="list" allowBlank="1" showInputMessage="1" showErrorMessage="1" sqref="AS3:AS248" xr:uid="{C1BEB985-85A3-46BB-AF49-DC8CD597068C}">
      <formula1>"0,1,2,3,4,5,6,7,8,9,10,11,12,13,14,15,16"</formula1>
    </dataValidation>
    <dataValidation type="list" allowBlank="1" showInputMessage="1" showErrorMessage="1" sqref="AW3:AW248" xr:uid="{34887054-C151-44BE-9A7E-41FD59FBE893}">
      <formula1>"0,1,2,3 o MAS"</formula1>
    </dataValidation>
    <dataValidation type="list" allowBlank="1" showInputMessage="1" showErrorMessage="1" sqref="AU3:AU248" xr:uid="{5A3C80B9-5714-4C2C-A3C2-BDAEAC08B283}">
      <formula1>"0,1,2,3,4,5,6"</formula1>
    </dataValidation>
    <dataValidation type="list" allowBlank="1" showInputMessage="1" showErrorMessage="1" sqref="KM3:KM248 KJ3:KJ248" xr:uid="{C76083D3-0EC6-4E77-9E77-5A0A7E9323FE}">
      <formula1>"0,1,2,3,4,5,6,7,8,9,10,11,12,13,14,15,SD"</formula1>
    </dataValidation>
    <dataValidation type="list" allowBlank="1" showInputMessage="1" showErrorMessage="1" sqref="KA3:KC248 IU3:IZ248" xr:uid="{730AE8F6-F61E-4778-9E0C-98F9D047E956}">
      <formula1>"SI, NO, NO APLICA, SD"</formula1>
    </dataValidation>
    <dataValidation type="list" allowBlank="1" showInputMessage="1" showErrorMessage="1" sqref="JB3:JB248" xr:uid="{A2975859-42C4-4D16-9A09-103635F3883D}">
      <formula1>"0,1,2,3,4,SIN DATO,NO APLICA"</formula1>
    </dataValidation>
    <dataValidation type="list" allowBlank="1" showInputMessage="1" showErrorMessage="1" sqref="GX3:GX248 HE3:HE248" xr:uid="{42874FD4-7BB3-4DB4-BD15-9DB188275BE0}">
      <formula1>"0,1,2,3,4,5,6,7,8,9,NO APLICA"</formula1>
    </dataValidation>
    <dataValidation type="list" allowBlank="1" showInputMessage="1" showErrorMessage="1" sqref="BP3:BP248" xr:uid="{76028757-DAC3-416F-AF09-D1831F1650D2}">
      <formula1>"SI,NO,SD,CORREGIDA"</formula1>
    </dataValidation>
    <dataValidation type="list" allowBlank="1" showInputMessage="1" showErrorMessage="1" sqref="AD3:AD248" xr:uid="{AD454D48-71EC-467E-A9D3-D35CAD5161D9}">
      <formula1>"Consumo Actual, Hasta Antes de la Gestación, No Consume,SD"</formula1>
    </dataValidation>
    <dataValidation type="list" allowBlank="1" showInputMessage="1" showErrorMessage="1" sqref="I3:I248" xr:uid="{0AE6EC12-43A8-456C-BF6B-673C7E572108}">
      <formula1>"CEDULA DE CIUDADANIA,TARJETA DE IDENTIDAD,REGISTRO CIVIL,CEDULA DE EXTRANJERIA,MENOR SIN IDENTIFICACION,ADULTO SIN IDENTIFICACION,OTRO,SIN DATO"</formula1>
    </dataValidation>
    <dataValidation type="list" allowBlank="1" showInputMessage="1" showErrorMessage="1" sqref="EL3:EL248" xr:uid="{168D522B-E1D6-4C80-A38D-4FE29EA2A50D}">
      <formula1>"0,1,2,3,4,5,6,7,8,9,SIN DATO"</formula1>
    </dataValidation>
    <dataValidation type="list" allowBlank="1" showInputMessage="1" showErrorMessage="1" sqref="AA3:AA248" xr:uid="{06FE7617-7FEC-4B68-A113-4DB147D76427}">
      <formula1>"INDIGENA,ROM-GITANO,RAIZAL,PALENQUERO,AFRODESCENDIENTE,MESTIZA,OTRO"</formula1>
    </dataValidation>
    <dataValidation type="list" allowBlank="1" showInputMessage="1" showErrorMessage="1" sqref="AC3:AC248" xr:uid="{3E3BCD2E-ADA0-479C-A82C-F4CDAC7AC9FB}">
      <formula1>"ANALFABETA,PRIMARIA INCOMPLETA,PRIMARIA COMPLETA,SECUNDARIA COMPLETA,SECUNDARIA INCOMPLETA,TECNICO,UNIVERSITARIO,SABE LEER Y ESCRIBIR,SIN DATO"</formula1>
    </dataValidation>
    <dataValidation type="list" allowBlank="1" showInputMessage="1" showErrorMessage="1" sqref="JM3:JM248 JC3:JC248" xr:uid="{D5BE6144-82C0-4238-8E29-15BA8F42BC98}">
      <formula1>"FEMENINO,MASCULINO,NO APLICA,SIN DATO"</formula1>
    </dataValidation>
    <dataValidation type="list" allowBlank="1" showInputMessage="1" showErrorMessage="1" sqref="JQ3:JQ248" xr:uid="{D244E6A3-A09F-47B2-A3DF-19D9ABB7280B}">
      <formula1>"NORMAL,ANORMAL,SIN DATO,NO APLICA"</formula1>
    </dataValidation>
    <dataValidation type="list" allowBlank="1" showInputMessage="1" showErrorMessage="1" sqref="AB3:AB248" xr:uid="{7E4ECE45-EBD5-4495-97A8-7E0B2FB04821}">
      <formula1>"NASA/PAEZ, MISAK/GUAMBIANOS,YANACONAS,COCONUCOS,TOTOROES,EPERARA/SIAPIDARA,INGA,POLINDARAS,EMBERA,QUILLACINGAS,JAMBALEÑOS,GUANACAS,PUBENENCES,OTROS,NO APLICA"</formula1>
    </dataValidation>
    <dataValidation type="list" allowBlank="1" showInputMessage="1" showErrorMessage="1" sqref="KE3:KE248" xr:uid="{118F0D1A-144D-42AD-BFDD-5783C04EC6AD}">
      <formula1>"NEGACION INICIO METODO,IMPLANTE SUBDERMICO,ACI MENSUAL,ACI TRIMESTRAL,ACO,DIU,BARRERA,LIGADURA TROMPAS,HISTERECTOMIA,SIN DATO"</formula1>
    </dataValidation>
    <dataValidation type="decimal" allowBlank="1" showInputMessage="1" showErrorMessage="1" errorTitle="DIGITAR EN METROS" error="DIGITAR EN METROS" promptTitle="DIGITAR EN METROS" sqref="CG3:CG248" xr:uid="{105995FE-2253-43C9-A3E3-CB6F8E71109A}">
      <formula1>1</formula1>
      <formula2>3</formula2>
    </dataValidation>
    <dataValidation type="list" allowBlank="1" showInputMessage="1" showErrorMessage="1" sqref="GH3:GH248 GJ3:GJ248 GE3:GE248 GB3:GB248 FY3:FY248" xr:uid="{0C28E3B0-AA13-44D9-B4E7-04457DECF94E}">
      <formula1>"P.R REACTIVA,P.R NO REACTIVA,ELISA REACTIVA,ELISA NO REACTIVA,SIN DATO,NO APLICA"</formula1>
    </dataValidation>
    <dataValidation type="list" allowBlank="1" showInputMessage="1" showErrorMessage="1" sqref="GL3:GL248" xr:uid="{B021D25A-95CD-4DB8-884F-EC59E35D3A38}">
      <formula1>"POSITIVA,NEGATIVA,NO CONCLUYENTE, SIN DATO, NO APLICA"</formula1>
    </dataValidation>
    <dataValidation type="list" allowBlank="1" showInputMessage="1" showErrorMessage="1" sqref="HO3:HO248" xr:uid="{B3A1AD08-921D-421E-B5E7-D4711147D0EB}">
      <formula1>"SI, NO,SD"</formula1>
    </dataValidation>
    <dataValidation type="list" allowBlank="1" showInputMessage="1" showErrorMessage="1" sqref="JA3:JA248" xr:uid="{D1290839-D87D-419B-BE45-05FCB622B291}">
      <formula1>"HEMORRAGIA POSTPARTO,PREECLAMPSIA, ECLAMPSIA POSTARTO,ENDOMETRITIS PUERPERAL,TROMBO EMBOLISMO PUERPERAL,SEPSIS PUERPERAL,MASTITIS,DEPRESION POSTPARTO,OTRA COMPLICACION,SIN COMPLICACION,SIN DATO"</formula1>
    </dataValidation>
    <dataValidation type="decimal" allowBlank="1" showInputMessage="1" showErrorMessage="1" error="DIGITE EDAD GESTACIONAL" sqref="BX3:BX248" xr:uid="{E98DBAEF-6A77-4E09-9D33-89CC8D1866DF}">
      <formula1>0.1</formula1>
      <formula2>42</formula2>
    </dataValidation>
    <dataValidation type="decimal" allowBlank="1" showInputMessage="1" showErrorMessage="1" error="SOLO NÚMERO" sqref="EM3:EM248" xr:uid="{BDF46538-0D7E-475C-8F87-52F860F5298D}">
      <formula1>1</formula1>
      <formula2>20</formula2>
    </dataValidation>
    <dataValidation type="list" allowBlank="1" showInputMessage="1" showErrorMessage="1" sqref="GW3:GW248" xr:uid="{5F82AA6A-E1C2-4B1E-B972-FB2CAD2FF497}">
      <formula1>"NEGATIVO,POSITIVO,NO APLICA,SIN DATO"</formula1>
    </dataValidation>
    <dataValidation type="list" allowBlank="1" showInputMessage="1" showErrorMessage="1" sqref="GY3:GY248" xr:uid="{94BAB895-8807-4DA4-ABE0-E9799DE1E72A}">
      <formula1>"Esquema vigente – Normal, Esquema vigente – Alterado, Nunca se ha tomado / No vigente"</formula1>
    </dataValidation>
    <dataValidation type="date" operator="greaterThan" allowBlank="1" showInputMessage="1" showErrorMessage="1" error="SOLO FECHA" sqref="IJ3:IJ248" xr:uid="{7A8FF94A-F4B2-4672-8F5A-D31F4FCFE357}">
      <formula1>42736</formula1>
    </dataValidation>
    <dataValidation type="list" allowBlank="1" showInputMessage="1" showErrorMessage="1" sqref="KF3:KG248" xr:uid="{D81EF24F-E18E-4A3F-9EC3-0EBEEF0E6CE2}">
      <formula1>"NO APLICA,CASA DE PASO,TRANSPORTE,ALIMENTACIÓN,ECONÓMICO,CASA DE PASO Y TRANSPORTE,CASA DE PASO,TRANSPORTE Y ALIMENTACIÓN,CASA DE PASO,TRANSPORTE,ALIMENTACIÓN Y ECONÓMICO,TRANSPORTE Y ALIMENTACIÓN,TRANSPORTE,ALIMENTACIÓN Y ECONÓMICO,SIN DATO"</formula1>
    </dataValidation>
    <dataValidation type="whole" allowBlank="1" showInputMessage="1" showErrorMessage="1" error="SOLO NÚMEROS " promptTitle="ADVERTENCIA" prompt="SOLO ESCRIBIR NÚMEROS " sqref="FD3:FD248" xr:uid="{E19B12CC-9C80-4BBF-A855-9BF8735841A1}">
      <formula1>0</formula1>
      <formula2>700</formula2>
    </dataValidation>
    <dataValidation type="whole" allowBlank="1" showInputMessage="1" showErrorMessage="1" error="SOLO NÚMEROS " promptTitle="ADVERTENCIA" prompt="SI NO HAY RESULTADO COLOCAR EL #: 0 _x000a_(Cuando no se completa el examen)" sqref="FE3:FF248" xr:uid="{AFBDD522-9B2A-473D-9BB3-149DD3B617B7}">
      <formula1>0</formula1>
      <formula2>700</formula2>
    </dataValidation>
    <dataValidation type="date" operator="lessThanOrEqual" allowBlank="1" showInputMessage="1" showErrorMessage="1" error="INGRESE SOLO FECHA" sqref="BW3:BW248 BO3:BO248" xr:uid="{0B160F72-B7F2-4820-A531-A5CD1D30F6BD}">
      <formula1>45379</formula1>
    </dataValidation>
    <dataValidation type="list" allowBlank="1" showInputMessage="1" showErrorMessage="1" sqref="HF3:HF248" xr:uid="{5B0F6303-454C-458B-B2B7-9FAFD854A33B}">
      <formula1>"SIN INFECCIÓN POR SARS-CoV2, NO SE EVALUA RIESGO INFECCIÓN COVID19, FACTOR DE RIESGO PARA COVID19, COVID19 PRIMER TRIMESTRE,  COVID19 SEGUNDO TRIMESTRE,  COVID19 TERCER TRIMESTRE,  COVID19 PUERPERIO"</formula1>
    </dataValidation>
    <dataValidation type="list" allowBlank="1" showInputMessage="1" showErrorMessage="1" sqref="IB3:IB248" xr:uid="{A85344AA-C731-4A4B-B77F-72EFCEDCE848}">
      <formula1>"No Vacunada,1 Dosis,2 Dosis,Refuerzo 1,Refuerzo 2,Sin Dato,Firma Disentimiento,NO Firma Disentimiento"</formula1>
    </dataValidation>
    <dataValidation type="list" operator="greaterThan" allowBlank="1" showInputMessage="1" showErrorMessage="1" error="SOLO FECHA" sqref="DR3:DR248" xr:uid="{9264DEAF-66E4-4BD3-B16C-C3B79AB1B90A}">
      <formula1>"0,1,2,3,4,5,6,7"</formula1>
    </dataValidation>
    <dataValidation operator="greaterThan" allowBlank="1" showInputMessage="1" showErrorMessage="1" error="SOLO FECHA" sqref="DU3:DU248 DS3:DS248" xr:uid="{BCB337B0-3486-4EE5-A62F-BA7DF42756F2}"/>
    <dataValidation type="list" allowBlank="1" showInputMessage="1" showErrorMessage="1" sqref="HD3:HD248" xr:uid="{0DEE3572-0358-4E35-BF97-8342FCD40943}">
      <formula1>"NO APLICA (Sin factor de riesgo - no zona endémica),NEGATIVO, POSITIVO,SOLICITADO NO TOMADO"</formula1>
    </dataValidation>
    <dataValidation type="list" allowBlank="1" showInputMessage="1" showErrorMessage="1" sqref="GZ3:GZ248" xr:uid="{0B2DDE84-B5A0-428A-A1A1-78C352995DA9}">
      <formula1>"NO APLICA (Sin factor de riesgo),NEGATIVO,POSITIVO,INDETERMINADO,SOLICITADO Y NO TOMADO"</formula1>
    </dataValidation>
    <dataValidation type="list" allowBlank="1" showInputMessage="1" showErrorMessage="1" sqref="FS3:FS248 FJ177 FM3:FM248 FJ170:FJ171 FP3:FP248" xr:uid="{80ACD6D5-3965-482A-BA9A-D3B852A16D8B}">
      <formula1>"P. R NEGATIVA,P. R POSITIVA CASO SIFILIS,P.R POSITIVA CICATRIZ, DILUCIONES ESTABLES, DILUCIONES DISMINUYEN, REINFECCIÓN-DILUCIONES AUMENTAN"</formula1>
    </dataValidation>
    <dataValidation type="list" allowBlank="1" showInputMessage="1" showErrorMessage="1" sqref="FJ3:FJ169 FJ172:FJ176 FJ178:FJ248" xr:uid="{49827BF1-3FF0-41F8-9B72-3BE61DC20728}">
      <formula1>"P. R NEGATIVA,P. R POSITIVA CASO SIFILIS,P.R POSITIVA CICATRIZ"</formula1>
    </dataValidation>
    <dataValidation type="list" allowBlank="1" showInputMessage="1" showErrorMessage="1" sqref="HB3:HB248" xr:uid="{D4107C25-74C9-4F0D-BE61-0643620F44CB}">
      <formula1>"NO APLICA (Sin factor de riesgo - No zona endémica),NEGATIVO, POSITIVO,SOLICITADO NO TOMADO"</formula1>
    </dataValidation>
    <dataValidation type="list" allowBlank="1" showInputMessage="1" showErrorMessage="1" sqref="IL3:IL248" xr:uid="{6533F966-E334-49D9-B7EF-BD48DDD1867D}">
      <formula1>"MADRE SANA, MORBILIDAD MATERNA EXTREMA, MUERTE MATERNA, MUERTE Y MORBILIDAD MATERNA EXTREMA, MADRE HOSPITALIZADA SIN MME,SIN DATO"</formula1>
    </dataValidation>
    <dataValidation type="list" allowBlank="1" showInputMessage="1" showErrorMessage="1" sqref="IM3:IM248" xr:uid="{87DA9445-3244-43F8-AEC3-03491B38562A}">
      <formula1>"RECIEN NACIDO SANO, SIFILIS CONGÉNITA, MALFORMACIÓN CONGÉNITA, HOSPITALIZACION O UCI NEONATAL,MUERTE PERINATAL O NEONATAL TEMPRANA,MUERTE NEONATAL TARDÍA, MUERTE PERINATAL Y MALFORMACIÓN CONGÉNITA, MUERTE PERINATAL Y SIFILIS CONGÉNITA,NO APLICA,SIN DATO"</formula1>
    </dataValidation>
    <dataValidation type="list" allowBlank="1" showInputMessage="1" showErrorMessage="1" sqref="IK3:IK248" xr:uid="{EDF27809-EFD3-4062-B2C3-B09A8D7E196D}">
      <formula1>"PARTO,CESAREA,ABORTO ESPONTANEO,ABORTO INDUCIDO,EMBARAZO ECTÓPICO,IVE,CAMBIO DE RESIDENCIA,CAMBIO DE EPS,CAMBIO DE IPS"</formula1>
    </dataValidation>
    <dataValidation type="date" operator="greaterThan" allowBlank="1" showInputMessage="1" showErrorMessage="1" error="FECHA DEBE SER DE ESTE AÑO" sqref="JY3:JY248 JW3:JW248" xr:uid="{5D7519B1-6BF7-48AE-A9B9-1050BE505C10}">
      <formula1>44561</formula1>
    </dataValidation>
    <dataValidation type="list" operator="greaterThan" allowBlank="1" showInputMessage="1" showErrorMessage="1" error="SOLO FECHA" sqref="DT3:DT248" xr:uid="{734A5D23-3CDF-42AD-96D2-BF9B3A418E0D}">
      <formula1>"Sin Acuerdo, Domiciliario, IPS dentro Mpio, IPS Remisión fuera Mpio, Sin Dato"</formula1>
    </dataValidation>
    <dataValidation type="list" operator="greaterThan" allowBlank="1" showInputMessage="1" showErrorMessage="1" error="DIGITE FECHA" sqref="CF3:CF248" xr:uid="{50F22725-B1DE-4FDC-A78F-85B548AA76ED}">
      <formula1>"PREGESTACIÓN, GESTACIÓN"</formula1>
    </dataValidation>
    <dataValidation type="list" allowBlank="1" showInputMessage="1" showErrorMessage="1" sqref="AI3:AI248" xr:uid="{11CEDA3D-9188-4C42-8027-E0F485A4849C}">
      <formula1>"NINGUNO,DESPLAZADA,HABITANTE DE CALLE,MIGRATORIA,SD,DISCAPACIDAD FISICA,DISCAPACIDAD CONDUCTUAL,DISCAPACIDAD VISUAL,DISCAPACIDAD AUDITIVA,DISCAPACIDAD MULTIPLE,DISCAPACIDAD SISTEMICA"</formula1>
    </dataValidation>
    <dataValidation type="list" allowBlank="1" showInputMessage="1" showErrorMessage="1" sqref="IO3:IO248" xr:uid="{FA40397B-C35F-490F-B676-01F78C035700}">
      <formula1>"INSTITUCIONAL,DOMICILIO,OTRO,NO APLICA,SIN DATO"</formula1>
    </dataValidation>
    <dataValidation type="list" allowBlank="1" showInputMessage="1" showErrorMessage="1" sqref="IR3:IR248" xr:uid="{5F7E2502-02DF-4234-AE41-10E70686E603}">
      <formula1>"BAJA,MEDIANA,ALTA,NO APLICA,SIN DATO"</formula1>
    </dataValidation>
    <dataValidation type="date" operator="greaterThanOrEqual" allowBlank="1" showInputMessage="1" showErrorMessage="1" error="REVISAR FECHA INGRESO CPN" sqref="EF203" xr:uid="{C659A185-DC0F-42BE-902C-CF866E894FF4}">
      <formula1>#REF!</formula1>
    </dataValidation>
  </dataValidations>
  <pageMargins left="0.7" right="0.7" top="0.75" bottom="0.75" header="0.3" footer="0.3"/>
  <pageSetup orientation="portrait" verticalDpi="300"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containsText" priority="6957" operator="containsText" id="{11C73A35-E407-43C9-8C7B-7575D55429E3}">
            <xm:f>NOT(ISERROR(SEARCH("TRANSVERSA",CD3)))</xm:f>
            <xm:f>"TRANSVERSA"</xm:f>
            <x14:dxf>
              <font>
                <color theme="0"/>
              </font>
              <fill>
                <patternFill>
                  <bgColor rgb="FFC00000"/>
                </patternFill>
              </fill>
            </x14:dxf>
          </x14:cfRule>
          <xm:sqref>CD206 CD209 CD225 CD230 CD233:CD248 CD3:CD161 CD163:CD203 CD212:CD222</xm:sqref>
        </x14:conditionalFormatting>
        <x14:conditionalFormatting xmlns:xm="http://schemas.microsoft.com/office/excel/2006/main">
          <x14:cfRule type="containsText" priority="7441" operator="containsText" id="{4DE79714-8B91-42C0-949C-DB1549BB4613}">
            <xm:f>NOT(ISERROR(SEARCH("ACUDE",P3)))</xm:f>
            <xm:f>"ACUDE"</xm:f>
            <x14:dxf>
              <font>
                <color rgb="FF9C0006"/>
              </font>
              <fill>
                <patternFill>
                  <bgColor rgb="FFFFC7CE"/>
                </patternFill>
              </fill>
            </x14:dxf>
          </x14:cfRule>
          <xm:sqref>P3:P198 P200:P211 P213:P248</xm:sqref>
        </x14:conditionalFormatting>
        <x14:conditionalFormatting xmlns:xm="http://schemas.microsoft.com/office/excel/2006/main">
          <x14:cfRule type="containsText" priority="6834" operator="containsText" id="{1795BAF9-38EF-462D-B98E-83E2E3C0A5F6}">
            <xm:f>NOT(ISERROR(SEARCH("NO APLICA",GZ4)))</xm:f>
            <xm:f>"NO APLICA"</xm:f>
            <x14:dxf>
              <fill>
                <patternFill>
                  <bgColor rgb="FF92D050"/>
                </patternFill>
              </fill>
            </x14:dxf>
          </x14:cfRule>
          <xm:sqref>GZ4:GZ248 HB4:HB248 HD4:HD248</xm:sqref>
        </x14:conditionalFormatting>
        <x14:conditionalFormatting xmlns:xm="http://schemas.microsoft.com/office/excel/2006/main">
          <x14:cfRule type="containsText" priority="6495" operator="containsText" id="{17BC763D-7BBA-4AF8-875A-279558843626}">
            <xm:f>NOT(ISERROR(SEARCH("NO APLICA",GZ3)))</xm:f>
            <xm:f>"NO APLICA"</xm:f>
            <x14:dxf>
              <fill>
                <patternFill>
                  <bgColor rgb="FF92D050"/>
                </patternFill>
              </fill>
            </x14:dxf>
          </x14:cfRule>
          <xm:sqref>GZ3</xm:sqref>
        </x14:conditionalFormatting>
        <x14:conditionalFormatting xmlns:xm="http://schemas.microsoft.com/office/excel/2006/main">
          <x14:cfRule type="containsText" priority="6490" operator="containsText" id="{A91B1B9E-AAC1-4533-811A-908956BF2623}">
            <xm:f>NOT(ISERROR(SEARCH("NO APLICA",HB3)))</xm:f>
            <xm:f>"NO APLICA"</xm:f>
            <x14:dxf>
              <fill>
                <patternFill>
                  <bgColor rgb="FF92D050"/>
                </patternFill>
              </fill>
            </x14:dxf>
          </x14:cfRule>
          <xm:sqref>HB3</xm:sqref>
        </x14:conditionalFormatting>
        <x14:conditionalFormatting xmlns:xm="http://schemas.microsoft.com/office/excel/2006/main">
          <x14:cfRule type="containsText" priority="6485" operator="containsText" id="{23C38A88-522C-497B-BB86-D761F25B53C6}">
            <xm:f>NOT(ISERROR(SEARCH("NO APLICA",HD3)))</xm:f>
            <xm:f>"NO APLICA"</xm:f>
            <x14:dxf>
              <fill>
                <patternFill>
                  <bgColor rgb="FF92D050"/>
                </patternFill>
              </fill>
            </x14:dxf>
          </x14:cfRule>
          <xm:sqref>HD3</xm:sqref>
        </x14:conditionalFormatting>
        <x14:conditionalFormatting xmlns:xm="http://schemas.microsoft.com/office/excel/2006/main">
          <x14:cfRule type="containsText" priority="6098" operator="containsText" id="{8C48A947-73DA-4BA9-B03E-0329866CC9A8}">
            <xm:f>NOT(ISERROR(SEARCH("ACUDE",P199)))</xm:f>
            <xm:f>"ACUDE"</xm:f>
            <x14:dxf>
              <font>
                <color rgb="FF9C0006"/>
              </font>
              <fill>
                <patternFill>
                  <bgColor rgb="FFFFC7CE"/>
                </patternFill>
              </fill>
            </x14:dxf>
          </x14:cfRule>
          <xm:sqref>P199</xm:sqref>
        </x14:conditionalFormatting>
        <x14:conditionalFormatting xmlns:xm="http://schemas.microsoft.com/office/excel/2006/main">
          <x14:cfRule type="containsText" priority="5613" operator="containsText" id="{47327361-7C18-4909-9098-13637B13C7D9}">
            <xm:f>NOT(ISERROR(SEARCH("TRANSVERSA",CD204)))</xm:f>
            <xm:f>"TRANSVERSA"</xm:f>
            <x14:dxf>
              <font>
                <color theme="0"/>
              </font>
              <fill>
                <patternFill>
                  <bgColor rgb="FFC00000"/>
                </patternFill>
              </fill>
            </x14:dxf>
          </x14:cfRule>
          <xm:sqref>CD204</xm:sqref>
        </x14:conditionalFormatting>
        <x14:conditionalFormatting xmlns:xm="http://schemas.microsoft.com/office/excel/2006/main">
          <x14:cfRule type="containsText" priority="5605" operator="containsText" id="{102219A4-AEF9-4589-923C-0EDD8C30E640}">
            <xm:f>NOT(ISERROR(SEARCH("TRANSVERSA",CD205)))</xm:f>
            <xm:f>"TRANSVERSA"</xm:f>
            <x14:dxf>
              <font>
                <color theme="0"/>
              </font>
              <fill>
                <patternFill>
                  <bgColor rgb="FFC00000"/>
                </patternFill>
              </fill>
            </x14:dxf>
          </x14:cfRule>
          <xm:sqref>CD205</xm:sqref>
        </x14:conditionalFormatting>
        <x14:conditionalFormatting xmlns:xm="http://schemas.microsoft.com/office/excel/2006/main">
          <x14:cfRule type="containsText" priority="5535" operator="containsText" id="{401281BE-5425-4BE4-A0B7-A51A988ECB8F}">
            <xm:f>NOT(ISERROR(SEARCH("TRANSVERSA",CD207)))</xm:f>
            <xm:f>"TRANSVERSA"</xm:f>
            <x14:dxf>
              <font>
                <color theme="0"/>
              </font>
              <fill>
                <patternFill>
                  <bgColor rgb="FFC00000"/>
                </patternFill>
              </fill>
            </x14:dxf>
          </x14:cfRule>
          <xm:sqref>CD207</xm:sqref>
        </x14:conditionalFormatting>
        <x14:conditionalFormatting xmlns:xm="http://schemas.microsoft.com/office/excel/2006/main">
          <x14:cfRule type="containsText" priority="5519" operator="containsText" id="{8C082B09-E7BF-4C65-AB04-1BA4FBA8FCBB}">
            <xm:f>NOT(ISERROR(SEARCH("TRANSVERSA",CD208)))</xm:f>
            <xm:f>"TRANSVERSA"</xm:f>
            <x14:dxf>
              <font>
                <color theme="0"/>
              </font>
              <fill>
                <patternFill>
                  <bgColor rgb="FFC00000"/>
                </patternFill>
              </fill>
            </x14:dxf>
          </x14:cfRule>
          <xm:sqref>CD208</xm:sqref>
        </x14:conditionalFormatting>
        <x14:conditionalFormatting xmlns:xm="http://schemas.microsoft.com/office/excel/2006/main">
          <x14:cfRule type="containsText" priority="5497" operator="containsText" id="{AF46699C-1459-403D-8EE9-2C76AAC692AF}">
            <xm:f>NOT(ISERROR(SEARCH("TRANSVERSA",CD210)))</xm:f>
            <xm:f>"TRANSVERSA"</xm:f>
            <x14:dxf>
              <font>
                <color theme="0"/>
              </font>
              <fill>
                <patternFill>
                  <bgColor rgb="FFC00000"/>
                </patternFill>
              </fill>
            </x14:dxf>
          </x14:cfRule>
          <xm:sqref>CD210</xm:sqref>
        </x14:conditionalFormatting>
        <x14:conditionalFormatting xmlns:xm="http://schemas.microsoft.com/office/excel/2006/main">
          <x14:cfRule type="containsText" priority="5489" operator="containsText" id="{1D873301-A2CD-4C36-9C60-E7C9FA451AAD}">
            <xm:f>NOT(ISERROR(SEARCH("TRANSVERSA",CD211)))</xm:f>
            <xm:f>"TRANSVERSA"</xm:f>
            <x14:dxf>
              <font>
                <color theme="0"/>
              </font>
              <fill>
                <patternFill>
                  <bgColor rgb="FFC00000"/>
                </patternFill>
              </fill>
            </x14:dxf>
          </x14:cfRule>
          <xm:sqref>CD211</xm:sqref>
        </x14:conditionalFormatting>
        <x14:conditionalFormatting xmlns:xm="http://schemas.microsoft.com/office/excel/2006/main">
          <x14:cfRule type="containsText" priority="4135" operator="containsText" id="{7D60E475-B605-4711-9B5C-B85016C56D5C}">
            <xm:f>NOT(ISERROR(SEARCH("TRANSVERSA",CD223)))</xm:f>
            <xm:f>"TRANSVERSA"</xm:f>
            <x14:dxf>
              <font>
                <color theme="0"/>
              </font>
              <fill>
                <patternFill>
                  <bgColor rgb="FFC00000"/>
                </patternFill>
              </fill>
            </x14:dxf>
          </x14:cfRule>
          <xm:sqref>CD223</xm:sqref>
        </x14:conditionalFormatting>
        <x14:conditionalFormatting xmlns:xm="http://schemas.microsoft.com/office/excel/2006/main">
          <x14:cfRule type="containsText" priority="4088" operator="containsText" id="{ACE13810-4B9A-4D81-B97D-AEACD1EBC96D}">
            <xm:f>NOT(ISERROR(SEARCH("TRANSVERSA",CD224)))</xm:f>
            <xm:f>"TRANSVERSA"</xm:f>
            <x14:dxf>
              <font>
                <color theme="0"/>
              </font>
              <fill>
                <patternFill>
                  <bgColor rgb="FFC00000"/>
                </patternFill>
              </fill>
            </x14:dxf>
          </x14:cfRule>
          <xm:sqref>CD224</xm:sqref>
        </x14:conditionalFormatting>
        <x14:conditionalFormatting xmlns:xm="http://schemas.microsoft.com/office/excel/2006/main">
          <x14:cfRule type="containsText" priority="3992" operator="containsText" id="{46148F7C-A49F-4747-9B52-BDD7EFA0677B}">
            <xm:f>NOT(ISERROR(SEARCH("TRANSVERSA",CD226)))</xm:f>
            <xm:f>"TRANSVERSA"</xm:f>
            <x14:dxf>
              <font>
                <color theme="0"/>
              </font>
              <fill>
                <patternFill>
                  <bgColor rgb="FFC00000"/>
                </patternFill>
              </fill>
            </x14:dxf>
          </x14:cfRule>
          <xm:sqref>CD226</xm:sqref>
        </x14:conditionalFormatting>
        <x14:conditionalFormatting xmlns:xm="http://schemas.microsoft.com/office/excel/2006/main">
          <x14:cfRule type="containsText" priority="3931" operator="containsText" id="{D1284EC7-9839-4D86-8CA0-37761F96C111}">
            <xm:f>NOT(ISERROR(SEARCH("TRANSVERSA",CD227)))</xm:f>
            <xm:f>"TRANSVERSA"</xm:f>
            <x14:dxf>
              <font>
                <color theme="0"/>
              </font>
              <fill>
                <patternFill>
                  <bgColor rgb="FFC00000"/>
                </patternFill>
              </fill>
            </x14:dxf>
          </x14:cfRule>
          <xm:sqref>CD227</xm:sqref>
        </x14:conditionalFormatting>
        <x14:conditionalFormatting xmlns:xm="http://schemas.microsoft.com/office/excel/2006/main">
          <x14:cfRule type="containsText" priority="3852" operator="containsText" id="{72A88551-3292-475F-A2BC-F3A87762562E}">
            <xm:f>NOT(ISERROR(SEARCH("TRANSVERSA",CD228)))</xm:f>
            <xm:f>"TRANSVERSA"</xm:f>
            <x14:dxf>
              <font>
                <color theme="0"/>
              </font>
              <fill>
                <patternFill>
                  <bgColor rgb="FFC00000"/>
                </patternFill>
              </fill>
            </x14:dxf>
          </x14:cfRule>
          <xm:sqref>CD228</xm:sqref>
        </x14:conditionalFormatting>
        <x14:conditionalFormatting xmlns:xm="http://schemas.microsoft.com/office/excel/2006/main">
          <x14:cfRule type="containsText" priority="3773" operator="containsText" id="{09EC6253-A66C-4042-997A-397B254FDAB5}">
            <xm:f>NOT(ISERROR(SEARCH("TRANSVERSA",CD229)))</xm:f>
            <xm:f>"TRANSVERSA"</xm:f>
            <x14:dxf>
              <font>
                <color theme="0"/>
              </font>
              <fill>
                <patternFill>
                  <bgColor rgb="FFC00000"/>
                </patternFill>
              </fill>
            </x14:dxf>
          </x14:cfRule>
          <xm:sqref>CD229</xm:sqref>
        </x14:conditionalFormatting>
        <x14:conditionalFormatting xmlns:xm="http://schemas.microsoft.com/office/excel/2006/main">
          <x14:cfRule type="containsText" priority="3644" operator="containsText" id="{DF49BB4A-DEA6-4B36-B73D-39AC15CA74F4}">
            <xm:f>NOT(ISERROR(SEARCH("TRANSVERSA",CD231)))</xm:f>
            <xm:f>"TRANSVERSA"</xm:f>
            <x14:dxf>
              <font>
                <color theme="0"/>
              </font>
              <fill>
                <patternFill>
                  <bgColor rgb="FFC00000"/>
                </patternFill>
              </fill>
            </x14:dxf>
          </x14:cfRule>
          <xm:sqref>CD231</xm:sqref>
        </x14:conditionalFormatting>
        <x14:conditionalFormatting xmlns:xm="http://schemas.microsoft.com/office/excel/2006/main">
          <x14:cfRule type="containsText" priority="3559" operator="containsText" id="{CC11B93D-5F82-4664-B609-0DC1507CAD1F}">
            <xm:f>NOT(ISERROR(SEARCH("TRANSVERSA",CD232)))</xm:f>
            <xm:f>"TRANSVERSA"</xm:f>
            <x14:dxf>
              <font>
                <color theme="0"/>
              </font>
              <fill>
                <patternFill>
                  <bgColor rgb="FFC00000"/>
                </patternFill>
              </fill>
            </x14:dxf>
          </x14:cfRule>
          <xm:sqref>CD232</xm:sqref>
        </x14:conditionalFormatting>
        <x14:conditionalFormatting xmlns:xm="http://schemas.microsoft.com/office/excel/2006/main">
          <x14:cfRule type="containsText" priority="2864" operator="containsText" id="{2D3DED3C-7E3E-46E0-B34C-11E4CFF9CCB7}">
            <xm:f>NOT(ISERROR(SEARCH("ACUDE",P212)))</xm:f>
            <xm:f>"ACUDE"</xm:f>
            <x14:dxf>
              <font>
                <color rgb="FF9C0006"/>
              </font>
              <fill>
                <patternFill>
                  <bgColor rgb="FFFFC7CE"/>
                </patternFill>
              </fill>
            </x14:dxf>
          </x14:cfRule>
          <xm:sqref>P212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AFD285-E6D8-4523-BED1-15380F55EF91}">
  <dimension ref="A1:G1450"/>
  <sheetViews>
    <sheetView topLeftCell="A1427" workbookViewId="0">
      <selection activeCell="J1435" sqref="J1435"/>
    </sheetView>
  </sheetViews>
  <sheetFormatPr baseColWidth="10" defaultRowHeight="15" x14ac:dyDescent="0.25"/>
  <cols>
    <col min="5" max="5" width="13.85546875" customWidth="1"/>
  </cols>
  <sheetData>
    <row r="1" spans="1:7" x14ac:dyDescent="0.25">
      <c r="A1" s="424" t="s">
        <v>340</v>
      </c>
      <c r="B1" s="424"/>
      <c r="C1" s="424"/>
      <c r="D1" s="424"/>
      <c r="E1" s="424"/>
      <c r="F1" s="424"/>
      <c r="G1" s="424"/>
    </row>
    <row r="2" spans="1:7" ht="45" x14ac:dyDescent="0.25">
      <c r="A2" s="367" t="s">
        <v>94</v>
      </c>
      <c r="B2" s="367" t="s">
        <v>21</v>
      </c>
      <c r="C2" s="367" t="s">
        <v>0</v>
      </c>
      <c r="D2" s="367" t="s">
        <v>1</v>
      </c>
      <c r="E2" s="367" t="s">
        <v>2</v>
      </c>
      <c r="F2" s="367" t="s">
        <v>3</v>
      </c>
      <c r="G2" s="368" t="s">
        <v>340</v>
      </c>
    </row>
    <row r="3" spans="1:7" ht="30" x14ac:dyDescent="0.25">
      <c r="A3" s="369" t="s">
        <v>974</v>
      </c>
      <c r="B3" s="369" t="s">
        <v>1144</v>
      </c>
      <c r="C3" s="369" t="s">
        <v>1192</v>
      </c>
      <c r="D3" s="369" t="s">
        <v>1193</v>
      </c>
      <c r="E3" s="370" t="s">
        <v>1094</v>
      </c>
      <c r="F3" s="369">
        <v>1059595334</v>
      </c>
      <c r="G3" s="371" t="s">
        <v>1684</v>
      </c>
    </row>
    <row r="4" spans="1:7" ht="30" x14ac:dyDescent="0.25">
      <c r="A4" s="372" t="s">
        <v>914</v>
      </c>
      <c r="B4" s="372" t="s">
        <v>884</v>
      </c>
      <c r="C4" s="372" t="s">
        <v>1296</v>
      </c>
      <c r="D4" s="372" t="s">
        <v>850</v>
      </c>
      <c r="E4" s="373" t="s">
        <v>851</v>
      </c>
      <c r="F4" s="372">
        <v>1060186045</v>
      </c>
      <c r="G4" s="374" t="s">
        <v>1685</v>
      </c>
    </row>
    <row r="5" spans="1:7" ht="30" x14ac:dyDescent="0.25">
      <c r="A5" s="369" t="s">
        <v>1298</v>
      </c>
      <c r="B5" s="369" t="s">
        <v>914</v>
      </c>
      <c r="C5" s="369" t="s">
        <v>1299</v>
      </c>
      <c r="D5" s="369" t="s">
        <v>1300</v>
      </c>
      <c r="E5" s="370" t="s">
        <v>851</v>
      </c>
      <c r="F5" s="369">
        <v>1059594773</v>
      </c>
      <c r="G5" s="371" t="s">
        <v>1685</v>
      </c>
    </row>
    <row r="6" spans="1:7" ht="30" x14ac:dyDescent="0.25">
      <c r="A6" s="372" t="s">
        <v>1305</v>
      </c>
      <c r="B6" s="372" t="s">
        <v>884</v>
      </c>
      <c r="C6" s="372" t="s">
        <v>1306</v>
      </c>
      <c r="D6" s="372" t="s">
        <v>1307</v>
      </c>
      <c r="E6" s="373" t="s">
        <v>851</v>
      </c>
      <c r="F6" s="372">
        <v>1059604869</v>
      </c>
      <c r="G6" s="375" t="s">
        <v>1685</v>
      </c>
    </row>
    <row r="7" spans="1:7" ht="30" x14ac:dyDescent="0.25">
      <c r="A7" s="369" t="s">
        <v>953</v>
      </c>
      <c r="B7" s="369" t="s">
        <v>1316</v>
      </c>
      <c r="C7" s="369" t="s">
        <v>1317</v>
      </c>
      <c r="D7" s="369" t="s">
        <v>1028</v>
      </c>
      <c r="E7" s="370" t="s">
        <v>851</v>
      </c>
      <c r="F7" s="369">
        <v>1059594373</v>
      </c>
      <c r="G7" s="371" t="s">
        <v>1686</v>
      </c>
    </row>
    <row r="8" spans="1:7" ht="30" x14ac:dyDescent="0.25">
      <c r="A8" s="372" t="s">
        <v>914</v>
      </c>
      <c r="B8" s="372" t="s">
        <v>1318</v>
      </c>
      <c r="C8" s="372" t="s">
        <v>1319</v>
      </c>
      <c r="D8" s="372"/>
      <c r="E8" s="373" t="s">
        <v>851</v>
      </c>
      <c r="F8" s="372">
        <v>1002846584</v>
      </c>
      <c r="G8" s="375" t="s">
        <v>1686</v>
      </c>
    </row>
    <row r="9" spans="1:7" ht="30" x14ac:dyDescent="0.25">
      <c r="A9" s="369" t="s">
        <v>1332</v>
      </c>
      <c r="B9" s="369" t="s">
        <v>1091</v>
      </c>
      <c r="C9" s="369" t="s">
        <v>1333</v>
      </c>
      <c r="D9" s="369"/>
      <c r="E9" s="370" t="s">
        <v>1094</v>
      </c>
      <c r="F9" s="369">
        <v>1059595374</v>
      </c>
      <c r="G9" s="371" t="s">
        <v>1685</v>
      </c>
    </row>
    <row r="10" spans="1:7" ht="30" x14ac:dyDescent="0.25">
      <c r="A10" s="372" t="s">
        <v>874</v>
      </c>
      <c r="B10" s="372" t="s">
        <v>943</v>
      </c>
      <c r="C10" s="372" t="s">
        <v>1340</v>
      </c>
      <c r="D10" s="372"/>
      <c r="E10" s="373" t="s">
        <v>1094</v>
      </c>
      <c r="F10" s="372">
        <v>1059597393</v>
      </c>
      <c r="G10" s="375" t="s">
        <v>1685</v>
      </c>
    </row>
    <row r="11" spans="1:7" ht="30" x14ac:dyDescent="0.25">
      <c r="A11" s="369" t="s">
        <v>914</v>
      </c>
      <c r="B11" s="369" t="s">
        <v>915</v>
      </c>
      <c r="C11" s="369" t="s">
        <v>916</v>
      </c>
      <c r="D11" s="369"/>
      <c r="E11" s="370" t="s">
        <v>1094</v>
      </c>
      <c r="F11" s="369">
        <v>1059598169</v>
      </c>
      <c r="G11" s="371" t="s">
        <v>1684</v>
      </c>
    </row>
    <row r="12" spans="1:7" ht="30" x14ac:dyDescent="0.25">
      <c r="A12" s="372" t="s">
        <v>1360</v>
      </c>
      <c r="B12" s="372" t="s">
        <v>1361</v>
      </c>
      <c r="C12" s="372" t="s">
        <v>938</v>
      </c>
      <c r="D12" s="372" t="s">
        <v>1362</v>
      </c>
      <c r="E12" s="373" t="s">
        <v>851</v>
      </c>
      <c r="F12" s="372">
        <v>1059594951</v>
      </c>
      <c r="G12" s="375" t="s">
        <v>1685</v>
      </c>
    </row>
    <row r="13" spans="1:7" ht="30" x14ac:dyDescent="0.25">
      <c r="A13" s="369" t="s">
        <v>1286</v>
      </c>
      <c r="B13" s="369" t="s">
        <v>914</v>
      </c>
      <c r="C13" s="369" t="s">
        <v>1198</v>
      </c>
      <c r="D13" s="369" t="s">
        <v>1364</v>
      </c>
      <c r="E13" s="370" t="s">
        <v>851</v>
      </c>
      <c r="F13" s="369">
        <v>1059600026</v>
      </c>
      <c r="G13" s="371" t="s">
        <v>1685</v>
      </c>
    </row>
    <row r="14" spans="1:7" ht="30" x14ac:dyDescent="0.25">
      <c r="A14" s="372" t="s">
        <v>857</v>
      </c>
      <c r="B14" s="372" t="s">
        <v>1365</v>
      </c>
      <c r="C14" s="372" t="s">
        <v>949</v>
      </c>
      <c r="D14" s="372" t="s">
        <v>1366</v>
      </c>
      <c r="E14" s="373" t="s">
        <v>851</v>
      </c>
      <c r="F14" s="372">
        <v>1002953350</v>
      </c>
      <c r="G14" s="375" t="s">
        <v>1686</v>
      </c>
    </row>
    <row r="15" spans="1:7" ht="30" x14ac:dyDescent="0.25">
      <c r="A15" s="369" t="s">
        <v>1368</v>
      </c>
      <c r="B15" s="369" t="s">
        <v>1369</v>
      </c>
      <c r="C15" s="369" t="s">
        <v>1370</v>
      </c>
      <c r="D15" s="369" t="s">
        <v>982</v>
      </c>
      <c r="E15" s="370" t="s">
        <v>851</v>
      </c>
      <c r="F15" s="369">
        <v>1059603417</v>
      </c>
      <c r="G15" s="371" t="s">
        <v>1685</v>
      </c>
    </row>
    <row r="16" spans="1:7" ht="30" x14ac:dyDescent="0.25">
      <c r="A16" s="372" t="s">
        <v>1382</v>
      </c>
      <c r="B16" s="372" t="s">
        <v>1382</v>
      </c>
      <c r="C16" s="372" t="s">
        <v>1383</v>
      </c>
      <c r="D16" s="372"/>
      <c r="E16" s="373" t="s">
        <v>851</v>
      </c>
      <c r="F16" s="372">
        <v>1003371767</v>
      </c>
      <c r="G16" s="375" t="s">
        <v>1685</v>
      </c>
    </row>
    <row r="17" spans="1:7" ht="30" x14ac:dyDescent="0.25">
      <c r="A17" s="369" t="s">
        <v>873</v>
      </c>
      <c r="B17" s="369" t="s">
        <v>1391</v>
      </c>
      <c r="C17" s="369" t="s">
        <v>985</v>
      </c>
      <c r="D17" s="369" t="s">
        <v>1392</v>
      </c>
      <c r="E17" s="370" t="s">
        <v>851</v>
      </c>
      <c r="F17" s="369">
        <v>25547491</v>
      </c>
      <c r="G17" s="371" t="s">
        <v>1685</v>
      </c>
    </row>
    <row r="18" spans="1:7" ht="30" x14ac:dyDescent="0.25">
      <c r="A18" s="372" t="s">
        <v>979</v>
      </c>
      <c r="B18" s="372" t="s">
        <v>943</v>
      </c>
      <c r="C18" s="372" t="s">
        <v>1217</v>
      </c>
      <c r="D18" s="372" t="s">
        <v>1398</v>
      </c>
      <c r="E18" s="373" t="s">
        <v>851</v>
      </c>
      <c r="F18" s="372">
        <v>1002846528</v>
      </c>
      <c r="G18" s="375" t="s">
        <v>1685</v>
      </c>
    </row>
    <row r="19" spans="1:7" ht="30" x14ac:dyDescent="0.25">
      <c r="A19" s="369" t="s">
        <v>873</v>
      </c>
      <c r="B19" s="369" t="s">
        <v>944</v>
      </c>
      <c r="C19" s="369" t="s">
        <v>1399</v>
      </c>
      <c r="D19" s="369" t="s">
        <v>1400</v>
      </c>
      <c r="E19" s="370" t="s">
        <v>851</v>
      </c>
      <c r="F19" s="369">
        <v>1002848796</v>
      </c>
      <c r="G19" s="371" t="s">
        <v>1684</v>
      </c>
    </row>
    <row r="20" spans="1:7" ht="30" x14ac:dyDescent="0.25">
      <c r="A20" s="372" t="s">
        <v>1405</v>
      </c>
      <c r="B20" s="372" t="s">
        <v>884</v>
      </c>
      <c r="C20" s="372" t="s">
        <v>1406</v>
      </c>
      <c r="D20" s="372" t="s">
        <v>1407</v>
      </c>
      <c r="E20" s="373" t="s">
        <v>851</v>
      </c>
      <c r="F20" s="372">
        <v>1059601552</v>
      </c>
      <c r="G20" s="375" t="s">
        <v>1685</v>
      </c>
    </row>
    <row r="21" spans="1:7" ht="30" x14ac:dyDescent="0.25">
      <c r="A21" s="369" t="s">
        <v>1034</v>
      </c>
      <c r="B21" s="369" t="s">
        <v>1166</v>
      </c>
      <c r="C21" s="369" t="s">
        <v>1408</v>
      </c>
      <c r="D21" s="369" t="s">
        <v>1409</v>
      </c>
      <c r="E21" s="370" t="s">
        <v>851</v>
      </c>
      <c r="F21" s="369">
        <v>1005860830</v>
      </c>
      <c r="G21" s="371" t="s">
        <v>1685</v>
      </c>
    </row>
    <row r="22" spans="1:7" ht="30" x14ac:dyDescent="0.25">
      <c r="A22" s="372" t="s">
        <v>944</v>
      </c>
      <c r="B22" s="372" t="s">
        <v>943</v>
      </c>
      <c r="C22" s="372" t="s">
        <v>1421</v>
      </c>
      <c r="D22" s="372"/>
      <c r="E22" s="373" t="s">
        <v>851</v>
      </c>
      <c r="F22" s="372">
        <v>1002846330</v>
      </c>
      <c r="G22" s="375" t="s">
        <v>1685</v>
      </c>
    </row>
    <row r="23" spans="1:7" ht="30" x14ac:dyDescent="0.25">
      <c r="A23" s="369" t="s">
        <v>848</v>
      </c>
      <c r="B23" s="369" t="s">
        <v>943</v>
      </c>
      <c r="C23" s="369" t="s">
        <v>1423</v>
      </c>
      <c r="D23" s="369"/>
      <c r="E23" s="370" t="s">
        <v>851</v>
      </c>
      <c r="F23" s="369">
        <v>1193097625</v>
      </c>
      <c r="G23" s="371" t="s">
        <v>1686</v>
      </c>
    </row>
    <row r="24" spans="1:7" ht="30" x14ac:dyDescent="0.25">
      <c r="A24" s="372" t="s">
        <v>1427</v>
      </c>
      <c r="B24" s="372" t="s">
        <v>1428</v>
      </c>
      <c r="C24" s="372" t="s">
        <v>1429</v>
      </c>
      <c r="D24" s="372" t="s">
        <v>1430</v>
      </c>
      <c r="E24" s="373" t="s">
        <v>851</v>
      </c>
      <c r="F24" s="372">
        <v>1061528490</v>
      </c>
      <c r="G24" s="375" t="s">
        <v>1686</v>
      </c>
    </row>
    <row r="25" spans="1:7" ht="30" x14ac:dyDescent="0.25">
      <c r="A25" s="369" t="s">
        <v>1144</v>
      </c>
      <c r="B25" s="369" t="s">
        <v>884</v>
      </c>
      <c r="C25" s="369" t="s">
        <v>1432</v>
      </c>
      <c r="D25" s="369" t="s">
        <v>1433</v>
      </c>
      <c r="E25" s="370" t="s">
        <v>1094</v>
      </c>
      <c r="F25" s="369">
        <v>1059596594</v>
      </c>
      <c r="G25" s="371" t="s">
        <v>1685</v>
      </c>
    </row>
    <row r="26" spans="1:7" ht="30" x14ac:dyDescent="0.25">
      <c r="A26" s="372" t="s">
        <v>873</v>
      </c>
      <c r="B26" s="372" t="s">
        <v>1435</v>
      </c>
      <c r="C26" s="372" t="s">
        <v>1436</v>
      </c>
      <c r="D26" s="372" t="s">
        <v>1437</v>
      </c>
      <c r="E26" s="373" t="s">
        <v>851</v>
      </c>
      <c r="F26" s="372">
        <v>1059601742</v>
      </c>
      <c r="G26" s="375" t="s">
        <v>1685</v>
      </c>
    </row>
    <row r="27" spans="1:7" ht="30" x14ac:dyDescent="0.25">
      <c r="A27" s="369" t="s">
        <v>1439</v>
      </c>
      <c r="B27" s="369" t="s">
        <v>884</v>
      </c>
      <c r="C27" s="369" t="s">
        <v>1440</v>
      </c>
      <c r="D27" s="369" t="s">
        <v>1294</v>
      </c>
      <c r="E27" s="370" t="s">
        <v>851</v>
      </c>
      <c r="F27" s="369">
        <v>1002847533</v>
      </c>
      <c r="G27" s="371" t="s">
        <v>1684</v>
      </c>
    </row>
    <row r="28" spans="1:7" ht="30" x14ac:dyDescent="0.25">
      <c r="A28" s="372" t="s">
        <v>1441</v>
      </c>
      <c r="B28" s="372"/>
      <c r="C28" s="372" t="s">
        <v>1284</v>
      </c>
      <c r="D28" s="372" t="s">
        <v>1442</v>
      </c>
      <c r="E28" s="373" t="s">
        <v>851</v>
      </c>
      <c r="F28" s="372">
        <v>1002848635</v>
      </c>
      <c r="G28" s="375" t="s">
        <v>1685</v>
      </c>
    </row>
    <row r="29" spans="1:7" ht="30" x14ac:dyDescent="0.25">
      <c r="A29" s="369" t="s">
        <v>1443</v>
      </c>
      <c r="B29" s="369" t="s">
        <v>1444</v>
      </c>
      <c r="C29" s="369" t="s">
        <v>1445</v>
      </c>
      <c r="D29" s="369"/>
      <c r="E29" s="370" t="s">
        <v>851</v>
      </c>
      <c r="F29" s="369">
        <v>1061757665</v>
      </c>
      <c r="G29" s="371" t="s">
        <v>1684</v>
      </c>
    </row>
    <row r="30" spans="1:7" ht="30" x14ac:dyDescent="0.25">
      <c r="A30" s="372" t="s">
        <v>1179</v>
      </c>
      <c r="B30" s="372" t="s">
        <v>1435</v>
      </c>
      <c r="C30" s="372" t="s">
        <v>1448</v>
      </c>
      <c r="D30" s="372" t="s">
        <v>1294</v>
      </c>
      <c r="E30" s="373" t="s">
        <v>851</v>
      </c>
      <c r="F30" s="372">
        <v>1059594096</v>
      </c>
      <c r="G30" s="375" t="s">
        <v>1685</v>
      </c>
    </row>
    <row r="31" spans="1:7" ht="30" x14ac:dyDescent="0.25">
      <c r="A31" s="369" t="s">
        <v>1441</v>
      </c>
      <c r="B31" s="369" t="s">
        <v>914</v>
      </c>
      <c r="C31" s="369" t="s">
        <v>1451</v>
      </c>
      <c r="D31" s="369"/>
      <c r="E31" s="370" t="s">
        <v>851</v>
      </c>
      <c r="F31" s="369">
        <v>1059598007</v>
      </c>
      <c r="G31" s="371" t="s">
        <v>1685</v>
      </c>
    </row>
    <row r="32" spans="1:7" ht="30" x14ac:dyDescent="0.25">
      <c r="A32" s="372" t="s">
        <v>896</v>
      </c>
      <c r="B32" s="372" t="s">
        <v>943</v>
      </c>
      <c r="C32" s="372" t="s">
        <v>1452</v>
      </c>
      <c r="D32" s="372" t="s">
        <v>1372</v>
      </c>
      <c r="E32" s="373" t="s">
        <v>851</v>
      </c>
      <c r="F32" s="372">
        <v>1059599315</v>
      </c>
      <c r="G32" s="375" t="s">
        <v>1684</v>
      </c>
    </row>
    <row r="33" spans="1:7" ht="30" x14ac:dyDescent="0.25">
      <c r="A33" s="369" t="s">
        <v>1455</v>
      </c>
      <c r="B33" s="369" t="s">
        <v>974</v>
      </c>
      <c r="C33" s="369" t="s">
        <v>1305</v>
      </c>
      <c r="D33" s="369" t="s">
        <v>1456</v>
      </c>
      <c r="E33" s="370" t="s">
        <v>1094</v>
      </c>
      <c r="F33" s="369">
        <v>1059595977</v>
      </c>
      <c r="G33" s="371" t="s">
        <v>1685</v>
      </c>
    </row>
    <row r="34" spans="1:7" ht="30" x14ac:dyDescent="0.25">
      <c r="A34" s="372" t="s">
        <v>1441</v>
      </c>
      <c r="B34" s="372" t="s">
        <v>884</v>
      </c>
      <c r="C34" s="372" t="s">
        <v>1457</v>
      </c>
      <c r="D34" s="372"/>
      <c r="E34" s="373" t="s">
        <v>851</v>
      </c>
      <c r="F34" s="372">
        <v>25545401</v>
      </c>
      <c r="G34" s="375" t="s">
        <v>1684</v>
      </c>
    </row>
    <row r="35" spans="1:7" ht="30" x14ac:dyDescent="0.25">
      <c r="A35" s="369" t="s">
        <v>1458</v>
      </c>
      <c r="B35" s="369" t="s">
        <v>1459</v>
      </c>
      <c r="C35" s="369" t="s">
        <v>1460</v>
      </c>
      <c r="D35" s="369" t="s">
        <v>976</v>
      </c>
      <c r="E35" s="370" t="s">
        <v>1094</v>
      </c>
      <c r="F35" s="369">
        <v>1062295885</v>
      </c>
      <c r="G35" s="371" t="s">
        <v>1685</v>
      </c>
    </row>
    <row r="36" spans="1:7" ht="30" x14ac:dyDescent="0.25">
      <c r="A36" s="372" t="s">
        <v>944</v>
      </c>
      <c r="B36" s="372" t="s">
        <v>943</v>
      </c>
      <c r="C36" s="372" t="s">
        <v>1463</v>
      </c>
      <c r="D36" s="372" t="s">
        <v>1464</v>
      </c>
      <c r="E36" s="373" t="s">
        <v>1094</v>
      </c>
      <c r="F36" s="372">
        <v>1060186081</v>
      </c>
      <c r="G36" s="375" t="s">
        <v>1685</v>
      </c>
    </row>
    <row r="37" spans="1:7" ht="30" x14ac:dyDescent="0.25">
      <c r="A37" s="369" t="s">
        <v>964</v>
      </c>
      <c r="B37" s="369" t="s">
        <v>1465</v>
      </c>
      <c r="C37" s="369" t="s">
        <v>1002</v>
      </c>
      <c r="D37" s="369" t="s">
        <v>1366</v>
      </c>
      <c r="E37" s="370" t="s">
        <v>1094</v>
      </c>
      <c r="F37" s="369">
        <v>1061530990</v>
      </c>
      <c r="G37" s="371" t="s">
        <v>1685</v>
      </c>
    </row>
    <row r="38" spans="1:7" ht="30" x14ac:dyDescent="0.25">
      <c r="A38" s="372" t="s">
        <v>1156</v>
      </c>
      <c r="B38" s="372" t="s">
        <v>883</v>
      </c>
      <c r="C38" s="372" t="s">
        <v>1157</v>
      </c>
      <c r="D38" s="372" t="s">
        <v>1466</v>
      </c>
      <c r="E38" s="373" t="s">
        <v>851</v>
      </c>
      <c r="F38" s="372">
        <v>1059594587</v>
      </c>
      <c r="G38" s="375" t="s">
        <v>1685</v>
      </c>
    </row>
    <row r="39" spans="1:7" ht="30" x14ac:dyDescent="0.25">
      <c r="A39" s="369" t="s">
        <v>943</v>
      </c>
      <c r="B39" s="369" t="s">
        <v>1144</v>
      </c>
      <c r="C39" s="369" t="s">
        <v>1468</v>
      </c>
      <c r="D39" s="369" t="s">
        <v>1281</v>
      </c>
      <c r="E39" s="370" t="s">
        <v>851</v>
      </c>
      <c r="F39" s="369">
        <v>1059607505</v>
      </c>
      <c r="G39" s="371" t="s">
        <v>1685</v>
      </c>
    </row>
    <row r="40" spans="1:7" ht="30" x14ac:dyDescent="0.25">
      <c r="A40" s="372" t="s">
        <v>883</v>
      </c>
      <c r="B40" s="372" t="s">
        <v>1290</v>
      </c>
      <c r="C40" s="372" t="s">
        <v>1476</v>
      </c>
      <c r="D40" s="372"/>
      <c r="E40" s="373" t="s">
        <v>851</v>
      </c>
      <c r="F40" s="372">
        <v>1059604081</v>
      </c>
      <c r="G40" s="375" t="s">
        <v>1685</v>
      </c>
    </row>
    <row r="41" spans="1:7" ht="30" x14ac:dyDescent="0.25">
      <c r="A41" s="369" t="s">
        <v>884</v>
      </c>
      <c r="B41" s="369" t="s">
        <v>914</v>
      </c>
      <c r="C41" s="369" t="s">
        <v>1479</v>
      </c>
      <c r="D41" s="369" t="s">
        <v>1480</v>
      </c>
      <c r="E41" s="370" t="s">
        <v>851</v>
      </c>
      <c r="F41" s="369">
        <v>1002847894</v>
      </c>
      <c r="G41" s="371" t="s">
        <v>1685</v>
      </c>
    </row>
    <row r="42" spans="1:7" ht="30" x14ac:dyDescent="0.25">
      <c r="A42" s="372" t="s">
        <v>914</v>
      </c>
      <c r="B42" s="372" t="s">
        <v>1276</v>
      </c>
      <c r="C42" s="372" t="s">
        <v>938</v>
      </c>
      <c r="D42" s="372" t="s">
        <v>1484</v>
      </c>
      <c r="E42" s="373" t="s">
        <v>851</v>
      </c>
      <c r="F42" s="372">
        <v>1002846249</v>
      </c>
      <c r="G42" s="375" t="s">
        <v>1685</v>
      </c>
    </row>
    <row r="43" spans="1:7" ht="30" x14ac:dyDescent="0.25">
      <c r="A43" s="369" t="s">
        <v>914</v>
      </c>
      <c r="B43" s="369" t="s">
        <v>848</v>
      </c>
      <c r="C43" s="369" t="s">
        <v>1485</v>
      </c>
      <c r="D43" s="369" t="s">
        <v>1285</v>
      </c>
      <c r="E43" s="370" t="s">
        <v>851</v>
      </c>
      <c r="F43" s="369">
        <v>1002846445</v>
      </c>
      <c r="G43" s="371" t="s">
        <v>1685</v>
      </c>
    </row>
    <row r="44" spans="1:7" ht="30" x14ac:dyDescent="0.25">
      <c r="A44" s="372" t="s">
        <v>974</v>
      </c>
      <c r="B44" s="372" t="s">
        <v>943</v>
      </c>
      <c r="C44" s="372" t="s">
        <v>1217</v>
      </c>
      <c r="D44" s="372" t="s">
        <v>1490</v>
      </c>
      <c r="E44" s="373" t="s">
        <v>851</v>
      </c>
      <c r="F44" s="372">
        <v>25552127</v>
      </c>
      <c r="G44" s="375" t="s">
        <v>1684</v>
      </c>
    </row>
    <row r="45" spans="1:7" ht="30" x14ac:dyDescent="0.25">
      <c r="A45" s="369" t="s">
        <v>967</v>
      </c>
      <c r="B45" s="369" t="s">
        <v>980</v>
      </c>
      <c r="C45" s="369" t="s">
        <v>1492</v>
      </c>
      <c r="D45" s="369"/>
      <c r="E45" s="370" t="s">
        <v>851</v>
      </c>
      <c r="F45" s="369">
        <v>1059596429</v>
      </c>
      <c r="G45" s="371" t="s">
        <v>1684</v>
      </c>
    </row>
    <row r="46" spans="1:7" ht="30" x14ac:dyDescent="0.25">
      <c r="A46" s="372" t="s">
        <v>884</v>
      </c>
      <c r="B46" s="372" t="s">
        <v>1378</v>
      </c>
      <c r="C46" s="372" t="s">
        <v>1494</v>
      </c>
      <c r="D46" s="372" t="s">
        <v>1495</v>
      </c>
      <c r="E46" s="373" t="s">
        <v>851</v>
      </c>
      <c r="F46" s="372">
        <v>1059602313</v>
      </c>
      <c r="G46" s="375" t="s">
        <v>1685</v>
      </c>
    </row>
    <row r="47" spans="1:7" ht="30" x14ac:dyDescent="0.25">
      <c r="A47" s="369" t="s">
        <v>992</v>
      </c>
      <c r="B47" s="369" t="s">
        <v>1498</v>
      </c>
      <c r="C47" s="369" t="s">
        <v>938</v>
      </c>
      <c r="D47" s="369" t="s">
        <v>1499</v>
      </c>
      <c r="E47" s="370" t="s">
        <v>851</v>
      </c>
      <c r="F47" s="369">
        <v>25547215</v>
      </c>
      <c r="G47" s="371" t="s">
        <v>1684</v>
      </c>
    </row>
    <row r="48" spans="1:7" ht="30" x14ac:dyDescent="0.25">
      <c r="A48" s="372" t="s">
        <v>848</v>
      </c>
      <c r="B48" s="372" t="s">
        <v>953</v>
      </c>
      <c r="C48" s="372" t="s">
        <v>1501</v>
      </c>
      <c r="D48" s="372" t="s">
        <v>919</v>
      </c>
      <c r="E48" s="373" t="s">
        <v>851</v>
      </c>
      <c r="F48" s="372">
        <v>1002846245</v>
      </c>
      <c r="G48" s="375" t="s">
        <v>1685</v>
      </c>
    </row>
    <row r="49" spans="1:7" ht="30" x14ac:dyDescent="0.25">
      <c r="A49" s="369" t="s">
        <v>992</v>
      </c>
      <c r="B49" s="369" t="s">
        <v>848</v>
      </c>
      <c r="C49" s="369" t="s">
        <v>1504</v>
      </c>
      <c r="D49" s="369" t="s">
        <v>1157</v>
      </c>
      <c r="E49" s="370" t="s">
        <v>851</v>
      </c>
      <c r="F49" s="369">
        <v>1002848292</v>
      </c>
      <c r="G49" s="371" t="s">
        <v>1685</v>
      </c>
    </row>
    <row r="50" spans="1:7" ht="30" x14ac:dyDescent="0.25">
      <c r="A50" s="372" t="s">
        <v>1507</v>
      </c>
      <c r="B50" s="372" t="s">
        <v>1365</v>
      </c>
      <c r="C50" s="372" t="s">
        <v>1508</v>
      </c>
      <c r="D50" s="372"/>
      <c r="E50" s="373" t="s">
        <v>851</v>
      </c>
      <c r="F50" s="372">
        <v>1059600322</v>
      </c>
      <c r="G50" s="375" t="s">
        <v>1685</v>
      </c>
    </row>
    <row r="51" spans="1:7" ht="30" x14ac:dyDescent="0.25">
      <c r="A51" s="369" t="s">
        <v>1041</v>
      </c>
      <c r="B51" s="369" t="s">
        <v>1147</v>
      </c>
      <c r="C51" s="369" t="s">
        <v>1512</v>
      </c>
      <c r="D51" s="369"/>
      <c r="E51" s="370" t="s">
        <v>851</v>
      </c>
      <c r="F51" s="369">
        <v>1059604976</v>
      </c>
      <c r="G51" s="371" t="s">
        <v>1685</v>
      </c>
    </row>
    <row r="52" spans="1:7" ht="30" x14ac:dyDescent="0.25">
      <c r="A52" s="372" t="s">
        <v>1513</v>
      </c>
      <c r="B52" s="372" t="s">
        <v>1514</v>
      </c>
      <c r="C52" s="372" t="s">
        <v>1515</v>
      </c>
      <c r="D52" s="372"/>
      <c r="E52" s="373" t="s">
        <v>851</v>
      </c>
      <c r="F52" s="372">
        <v>1067461286</v>
      </c>
      <c r="G52" s="375" t="s">
        <v>1685</v>
      </c>
    </row>
    <row r="53" spans="1:7" ht="30" x14ac:dyDescent="0.25">
      <c r="A53" s="369" t="s">
        <v>1519</v>
      </c>
      <c r="B53" s="369" t="s">
        <v>848</v>
      </c>
      <c r="C53" s="369" t="s">
        <v>1520</v>
      </c>
      <c r="D53" s="369" t="s">
        <v>1521</v>
      </c>
      <c r="E53" s="370" t="s">
        <v>851</v>
      </c>
      <c r="F53" s="369">
        <v>1002950269</v>
      </c>
      <c r="G53" s="371" t="s">
        <v>1685</v>
      </c>
    </row>
    <row r="54" spans="1:7" ht="30" x14ac:dyDescent="0.25">
      <c r="A54" s="372" t="s">
        <v>884</v>
      </c>
      <c r="B54" s="372" t="s">
        <v>1524</v>
      </c>
      <c r="C54" s="372" t="s">
        <v>945</v>
      </c>
      <c r="D54" s="372" t="s">
        <v>919</v>
      </c>
      <c r="E54" s="373" t="s">
        <v>851</v>
      </c>
      <c r="F54" s="372">
        <v>1002970266</v>
      </c>
      <c r="G54" s="375" t="s">
        <v>1686</v>
      </c>
    </row>
    <row r="55" spans="1:7" ht="30" x14ac:dyDescent="0.25">
      <c r="A55" s="369" t="s">
        <v>896</v>
      </c>
      <c r="B55" s="369" t="s">
        <v>953</v>
      </c>
      <c r="C55" s="369" t="s">
        <v>1530</v>
      </c>
      <c r="D55" s="369" t="s">
        <v>1182</v>
      </c>
      <c r="E55" s="370" t="s">
        <v>851</v>
      </c>
      <c r="F55" s="369">
        <v>1059594419</v>
      </c>
      <c r="G55" s="371" t="s">
        <v>1684</v>
      </c>
    </row>
    <row r="56" spans="1:7" ht="30" x14ac:dyDescent="0.25">
      <c r="A56" s="372" t="s">
        <v>1361</v>
      </c>
      <c r="B56" s="372" t="s">
        <v>992</v>
      </c>
      <c r="C56" s="372" t="s">
        <v>1531</v>
      </c>
      <c r="D56" s="372"/>
      <c r="E56" s="373" t="s">
        <v>851</v>
      </c>
      <c r="F56" s="372">
        <v>1151452891</v>
      </c>
      <c r="G56" s="375" t="s">
        <v>1685</v>
      </c>
    </row>
    <row r="57" spans="1:7" ht="30" x14ac:dyDescent="0.25">
      <c r="A57" s="369" t="s">
        <v>914</v>
      </c>
      <c r="B57" s="369" t="s">
        <v>1470</v>
      </c>
      <c r="C57" s="369" t="s">
        <v>1167</v>
      </c>
      <c r="D57" s="369" t="s">
        <v>1043</v>
      </c>
      <c r="E57" s="370" t="s">
        <v>851</v>
      </c>
      <c r="F57" s="369">
        <v>1193105051</v>
      </c>
      <c r="G57" s="371" t="s">
        <v>1685</v>
      </c>
    </row>
    <row r="58" spans="1:7" ht="30" x14ac:dyDescent="0.25">
      <c r="A58" s="372" t="s">
        <v>1286</v>
      </c>
      <c r="B58" s="372" t="s">
        <v>980</v>
      </c>
      <c r="C58" s="372" t="s">
        <v>1528</v>
      </c>
      <c r="D58" s="372" t="s">
        <v>1281</v>
      </c>
      <c r="E58" s="373" t="s">
        <v>851</v>
      </c>
      <c r="F58" s="372">
        <v>1059596092</v>
      </c>
      <c r="G58" s="375" t="s">
        <v>1685</v>
      </c>
    </row>
    <row r="59" spans="1:7" ht="30" x14ac:dyDescent="0.25">
      <c r="A59" s="369" t="s">
        <v>884</v>
      </c>
      <c r="B59" s="369" t="s">
        <v>1144</v>
      </c>
      <c r="C59" s="369" t="s">
        <v>1534</v>
      </c>
      <c r="D59" s="369"/>
      <c r="E59" s="370" t="s">
        <v>851</v>
      </c>
      <c r="F59" s="376">
        <v>1002846626</v>
      </c>
      <c r="G59" s="371" t="s">
        <v>1685</v>
      </c>
    </row>
    <row r="60" spans="1:7" ht="30" x14ac:dyDescent="0.25">
      <c r="A60" s="372" t="s">
        <v>1246</v>
      </c>
      <c r="B60" s="372" t="s">
        <v>943</v>
      </c>
      <c r="C60" s="372" t="s">
        <v>1535</v>
      </c>
      <c r="D60" s="372"/>
      <c r="E60" s="373" t="s">
        <v>851</v>
      </c>
      <c r="F60" s="377">
        <v>1002848307</v>
      </c>
      <c r="G60" s="375" t="s">
        <v>1684</v>
      </c>
    </row>
    <row r="61" spans="1:7" ht="30" x14ac:dyDescent="0.25">
      <c r="A61" s="369" t="s">
        <v>873</v>
      </c>
      <c r="B61" s="369" t="s">
        <v>1091</v>
      </c>
      <c r="C61" s="369" t="s">
        <v>1277</v>
      </c>
      <c r="D61" s="369"/>
      <c r="E61" s="370" t="s">
        <v>851</v>
      </c>
      <c r="F61" s="378">
        <v>1059598472</v>
      </c>
      <c r="G61" s="371" t="s">
        <v>1686</v>
      </c>
    </row>
    <row r="62" spans="1:7" ht="30" x14ac:dyDescent="0.25">
      <c r="A62" s="372" t="s">
        <v>896</v>
      </c>
      <c r="B62" s="372" t="s">
        <v>1091</v>
      </c>
      <c r="C62" s="372" t="s">
        <v>1538</v>
      </c>
      <c r="D62" s="372"/>
      <c r="E62" s="373" t="s">
        <v>851</v>
      </c>
      <c r="F62" s="372">
        <v>1002846350</v>
      </c>
      <c r="G62" s="375" t="s">
        <v>1685</v>
      </c>
    </row>
    <row r="63" spans="1:7" ht="30" x14ac:dyDescent="0.25">
      <c r="A63" s="369" t="s">
        <v>896</v>
      </c>
      <c r="B63" s="369" t="s">
        <v>953</v>
      </c>
      <c r="C63" s="369" t="s">
        <v>1217</v>
      </c>
      <c r="D63" s="369" t="s">
        <v>1471</v>
      </c>
      <c r="E63" s="370" t="s">
        <v>851</v>
      </c>
      <c r="F63" s="376">
        <v>1059602285</v>
      </c>
      <c r="G63" s="371" t="s">
        <v>1685</v>
      </c>
    </row>
    <row r="64" spans="1:7" ht="30" x14ac:dyDescent="0.25">
      <c r="A64" s="372" t="s">
        <v>1540</v>
      </c>
      <c r="B64" s="372" t="s">
        <v>943</v>
      </c>
      <c r="C64" s="372" t="s">
        <v>1541</v>
      </c>
      <c r="D64" s="372" t="s">
        <v>1542</v>
      </c>
      <c r="E64" s="373" t="s">
        <v>851</v>
      </c>
      <c r="F64" s="379">
        <v>1059840033</v>
      </c>
      <c r="G64" s="375" t="s">
        <v>1685</v>
      </c>
    </row>
    <row r="65" spans="1:7" ht="30" x14ac:dyDescent="0.25">
      <c r="A65" s="369" t="s">
        <v>1144</v>
      </c>
      <c r="B65" s="369" t="s">
        <v>996</v>
      </c>
      <c r="C65" s="369" t="s">
        <v>1192</v>
      </c>
      <c r="D65" s="369"/>
      <c r="E65" s="370" t="s">
        <v>851</v>
      </c>
      <c r="F65" s="376">
        <v>1059604012</v>
      </c>
      <c r="G65" s="371" t="s">
        <v>1685</v>
      </c>
    </row>
    <row r="66" spans="1:7" ht="30" x14ac:dyDescent="0.25">
      <c r="A66" s="372" t="s">
        <v>896</v>
      </c>
      <c r="B66" s="372" t="s">
        <v>953</v>
      </c>
      <c r="C66" s="372" t="s">
        <v>1545</v>
      </c>
      <c r="D66" s="372"/>
      <c r="E66" s="373" t="s">
        <v>851</v>
      </c>
      <c r="F66" s="372">
        <v>25545389</v>
      </c>
      <c r="G66" s="375" t="s">
        <v>1685</v>
      </c>
    </row>
    <row r="67" spans="1:7" ht="30" x14ac:dyDescent="0.25">
      <c r="A67" s="369" t="s">
        <v>1156</v>
      </c>
      <c r="B67" s="369" t="s">
        <v>980</v>
      </c>
      <c r="C67" s="369" t="s">
        <v>1547</v>
      </c>
      <c r="D67" s="369"/>
      <c r="E67" s="370" t="s">
        <v>1094</v>
      </c>
      <c r="F67" s="369">
        <v>1059597328</v>
      </c>
      <c r="G67" s="371" t="s">
        <v>1685</v>
      </c>
    </row>
    <row r="68" spans="1:7" ht="30" x14ac:dyDescent="0.25">
      <c r="A68" s="372" t="s">
        <v>1549</v>
      </c>
      <c r="B68" s="372" t="s">
        <v>1298</v>
      </c>
      <c r="C68" s="372" t="s">
        <v>1550</v>
      </c>
      <c r="D68" s="372" t="s">
        <v>1551</v>
      </c>
      <c r="E68" s="373" t="s">
        <v>851</v>
      </c>
      <c r="F68" s="380">
        <v>1002847310</v>
      </c>
      <c r="G68" s="375" t="s">
        <v>1686</v>
      </c>
    </row>
    <row r="69" spans="1:7" x14ac:dyDescent="0.25">
      <c r="A69" s="369" t="s">
        <v>943</v>
      </c>
      <c r="B69" s="369" t="s">
        <v>848</v>
      </c>
      <c r="C69" s="369" t="s">
        <v>1553</v>
      </c>
      <c r="D69" s="369"/>
      <c r="E69" s="370"/>
      <c r="F69" s="369">
        <v>1059594153</v>
      </c>
      <c r="G69" s="371" t="s">
        <v>1685</v>
      </c>
    </row>
    <row r="70" spans="1:7" ht="30" x14ac:dyDescent="0.25">
      <c r="A70" s="372" t="s">
        <v>943</v>
      </c>
      <c r="B70" s="372" t="s">
        <v>1144</v>
      </c>
      <c r="C70" s="372" t="s">
        <v>1504</v>
      </c>
      <c r="D70" s="372" t="s">
        <v>1281</v>
      </c>
      <c r="E70" s="373" t="s">
        <v>1094</v>
      </c>
      <c r="F70" s="372">
        <v>1059599329</v>
      </c>
      <c r="G70" s="375" t="s">
        <v>1685</v>
      </c>
    </row>
    <row r="71" spans="1:7" ht="30" x14ac:dyDescent="0.25">
      <c r="A71" s="369" t="s">
        <v>953</v>
      </c>
      <c r="B71" s="369" t="s">
        <v>1249</v>
      </c>
      <c r="C71" s="369" t="s">
        <v>1556</v>
      </c>
      <c r="D71" s="369"/>
      <c r="E71" s="370" t="s">
        <v>1094</v>
      </c>
      <c r="F71" s="369">
        <v>1059599873</v>
      </c>
      <c r="G71" s="371" t="s">
        <v>1684</v>
      </c>
    </row>
    <row r="72" spans="1:7" ht="30" x14ac:dyDescent="0.25">
      <c r="A72" s="372" t="s">
        <v>996</v>
      </c>
      <c r="B72" s="372" t="s">
        <v>1559</v>
      </c>
      <c r="C72" s="372" t="s">
        <v>1560</v>
      </c>
      <c r="D72" s="372"/>
      <c r="E72" s="373" t="s">
        <v>851</v>
      </c>
      <c r="F72" s="372">
        <v>25552089</v>
      </c>
      <c r="G72" s="375" t="s">
        <v>1684</v>
      </c>
    </row>
    <row r="73" spans="1:7" ht="30" x14ac:dyDescent="0.25">
      <c r="A73" s="369" t="s">
        <v>1361</v>
      </c>
      <c r="B73" s="369" t="s">
        <v>1470</v>
      </c>
      <c r="C73" s="369" t="s">
        <v>1553</v>
      </c>
      <c r="D73" s="369"/>
      <c r="E73" s="370" t="s">
        <v>851</v>
      </c>
      <c r="F73" s="369">
        <v>1059595865</v>
      </c>
      <c r="G73" s="371" t="s">
        <v>1686</v>
      </c>
    </row>
    <row r="74" spans="1:7" ht="30" x14ac:dyDescent="0.25">
      <c r="A74" s="372" t="s">
        <v>874</v>
      </c>
      <c r="B74" s="372" t="s">
        <v>873</v>
      </c>
      <c r="C74" s="372" t="s">
        <v>1635</v>
      </c>
      <c r="D74" s="372" t="s">
        <v>1294</v>
      </c>
      <c r="E74" s="373" t="s">
        <v>1094</v>
      </c>
      <c r="F74" s="372">
        <v>1059597986</v>
      </c>
      <c r="G74" s="375" t="s">
        <v>1685</v>
      </c>
    </row>
    <row r="75" spans="1:7" ht="30" x14ac:dyDescent="0.25">
      <c r="A75" s="369" t="s">
        <v>873</v>
      </c>
      <c r="B75" s="369" t="s">
        <v>962</v>
      </c>
      <c r="C75" s="369" t="s">
        <v>1501</v>
      </c>
      <c r="D75" s="369" t="s">
        <v>1340</v>
      </c>
      <c r="E75" s="370" t="s">
        <v>851</v>
      </c>
      <c r="F75" s="369">
        <v>1059594976</v>
      </c>
      <c r="G75" s="371" t="s">
        <v>1685</v>
      </c>
    </row>
    <row r="76" spans="1:7" x14ac:dyDescent="0.25">
      <c r="A76" s="372" t="s">
        <v>896</v>
      </c>
      <c r="B76" s="372" t="s">
        <v>953</v>
      </c>
      <c r="C76" s="372" t="s">
        <v>1634</v>
      </c>
      <c r="D76" s="372"/>
      <c r="E76" s="373"/>
      <c r="F76" s="372">
        <v>1002848733</v>
      </c>
      <c r="G76" s="375" t="s">
        <v>1685</v>
      </c>
    </row>
    <row r="77" spans="1:7" ht="30" x14ac:dyDescent="0.25">
      <c r="A77" s="369" t="s">
        <v>896</v>
      </c>
      <c r="B77" s="369" t="s">
        <v>915</v>
      </c>
      <c r="C77" s="369" t="s">
        <v>1585</v>
      </c>
      <c r="D77" s="369"/>
      <c r="E77" s="370" t="s">
        <v>851</v>
      </c>
      <c r="F77" s="369">
        <v>1059595460</v>
      </c>
      <c r="G77" s="371" t="s">
        <v>1685</v>
      </c>
    </row>
    <row r="78" spans="1:7" ht="30" x14ac:dyDescent="0.25">
      <c r="A78" s="372" t="s">
        <v>873</v>
      </c>
      <c r="B78" s="372" t="s">
        <v>874</v>
      </c>
      <c r="C78" s="372" t="s">
        <v>1215</v>
      </c>
      <c r="D78" s="372"/>
      <c r="E78" s="373" t="s">
        <v>851</v>
      </c>
      <c r="F78" s="372">
        <v>1002849181</v>
      </c>
      <c r="G78" s="375" t="s">
        <v>1685</v>
      </c>
    </row>
    <row r="79" spans="1:7" ht="30" x14ac:dyDescent="0.25">
      <c r="A79" s="369" t="s">
        <v>1156</v>
      </c>
      <c r="B79" s="369" t="s">
        <v>884</v>
      </c>
      <c r="C79" s="369" t="s">
        <v>1481</v>
      </c>
      <c r="D79" s="369" t="s">
        <v>1482</v>
      </c>
      <c r="E79" s="370" t="s">
        <v>851</v>
      </c>
      <c r="F79" s="381">
        <v>1002847557</v>
      </c>
      <c r="G79" s="371" t="s">
        <v>1685</v>
      </c>
    </row>
    <row r="80" spans="1:7" ht="30" x14ac:dyDescent="0.25">
      <c r="A80" s="372" t="s">
        <v>953</v>
      </c>
      <c r="B80" s="372" t="s">
        <v>1286</v>
      </c>
      <c r="C80" s="372" t="s">
        <v>1463</v>
      </c>
      <c r="D80" s="372" t="s">
        <v>1579</v>
      </c>
      <c r="E80" s="373" t="s">
        <v>851</v>
      </c>
      <c r="F80" s="379">
        <v>1059594553</v>
      </c>
      <c r="G80" s="375" t="s">
        <v>1685</v>
      </c>
    </row>
    <row r="81" spans="1:7" ht="30" x14ac:dyDescent="0.25">
      <c r="A81" s="369" t="s">
        <v>1580</v>
      </c>
      <c r="B81" s="369" t="s">
        <v>914</v>
      </c>
      <c r="C81" s="369" t="s">
        <v>1581</v>
      </c>
      <c r="D81" s="369" t="s">
        <v>1464</v>
      </c>
      <c r="E81" s="370" t="s">
        <v>851</v>
      </c>
      <c r="F81" s="382">
        <v>1002846447</v>
      </c>
      <c r="G81" s="371" t="s">
        <v>1685</v>
      </c>
    </row>
    <row r="82" spans="1:7" ht="30" x14ac:dyDescent="0.25">
      <c r="A82" s="372" t="s">
        <v>1583</v>
      </c>
      <c r="B82" s="372" t="s">
        <v>873</v>
      </c>
      <c r="C82" s="372" t="s">
        <v>1584</v>
      </c>
      <c r="D82" s="372"/>
      <c r="E82" s="373" t="s">
        <v>851</v>
      </c>
      <c r="F82" s="379">
        <v>1003150179</v>
      </c>
      <c r="G82" s="375" t="s">
        <v>1684</v>
      </c>
    </row>
    <row r="83" spans="1:7" ht="30" x14ac:dyDescent="0.25">
      <c r="A83" s="369" t="s">
        <v>1322</v>
      </c>
      <c r="B83" s="369" t="s">
        <v>1378</v>
      </c>
      <c r="C83" s="369" t="s">
        <v>1587</v>
      </c>
      <c r="D83" s="369"/>
      <c r="E83" s="370" t="s">
        <v>851</v>
      </c>
      <c r="F83" s="382">
        <v>1059597005</v>
      </c>
      <c r="G83" s="371" t="s">
        <v>1685</v>
      </c>
    </row>
    <row r="84" spans="1:7" ht="30" x14ac:dyDescent="0.25">
      <c r="A84" s="372" t="s">
        <v>1590</v>
      </c>
      <c r="B84" s="372" t="s">
        <v>874</v>
      </c>
      <c r="C84" s="372" t="s">
        <v>1591</v>
      </c>
      <c r="D84" s="372"/>
      <c r="E84" s="373" t="s">
        <v>851</v>
      </c>
      <c r="F84" s="379">
        <v>1002846250</v>
      </c>
      <c r="G84" s="375" t="s">
        <v>1685</v>
      </c>
    </row>
    <row r="85" spans="1:7" ht="30" x14ac:dyDescent="0.25">
      <c r="A85" s="369" t="s">
        <v>1286</v>
      </c>
      <c r="B85" s="369" t="s">
        <v>1594</v>
      </c>
      <c r="C85" s="369" t="s">
        <v>1420</v>
      </c>
      <c r="D85" s="369"/>
      <c r="E85" s="370" t="s">
        <v>1094</v>
      </c>
      <c r="F85" s="382">
        <v>1059595940</v>
      </c>
      <c r="G85" s="371" t="s">
        <v>1685</v>
      </c>
    </row>
    <row r="86" spans="1:7" ht="30" x14ac:dyDescent="0.25">
      <c r="A86" s="372" t="s">
        <v>1598</v>
      </c>
      <c r="B86" s="372" t="s">
        <v>1599</v>
      </c>
      <c r="C86" s="372" t="s">
        <v>1597</v>
      </c>
      <c r="D86" s="372"/>
      <c r="E86" s="373" t="s">
        <v>851</v>
      </c>
      <c r="F86" s="372">
        <v>1002846452</v>
      </c>
      <c r="G86" s="375" t="s">
        <v>1685</v>
      </c>
    </row>
    <row r="87" spans="1:7" ht="30" x14ac:dyDescent="0.25">
      <c r="A87" s="369" t="s">
        <v>914</v>
      </c>
      <c r="B87" s="369" t="s">
        <v>1601</v>
      </c>
      <c r="C87" s="369" t="s">
        <v>1602</v>
      </c>
      <c r="D87" s="369"/>
      <c r="E87" s="370" t="s">
        <v>851</v>
      </c>
      <c r="F87" s="369">
        <v>1003370775</v>
      </c>
      <c r="G87" s="371" t="s">
        <v>1685</v>
      </c>
    </row>
    <row r="88" spans="1:7" ht="30" x14ac:dyDescent="0.25">
      <c r="A88" s="372" t="s">
        <v>896</v>
      </c>
      <c r="B88" s="372" t="s">
        <v>992</v>
      </c>
      <c r="C88" s="372" t="s">
        <v>1530</v>
      </c>
      <c r="D88" s="372" t="s">
        <v>1357</v>
      </c>
      <c r="E88" s="373" t="s">
        <v>851</v>
      </c>
      <c r="F88" s="372">
        <v>1002847645</v>
      </c>
      <c r="G88" s="375" t="s">
        <v>1685</v>
      </c>
    </row>
    <row r="89" spans="1:7" ht="30" x14ac:dyDescent="0.25">
      <c r="A89" s="369" t="s">
        <v>896</v>
      </c>
      <c r="B89" s="369" t="s">
        <v>1599</v>
      </c>
      <c r="C89" s="369" t="s">
        <v>1607</v>
      </c>
      <c r="D89" s="369" t="s">
        <v>1608</v>
      </c>
      <c r="E89" s="370" t="s">
        <v>851</v>
      </c>
      <c r="F89" s="369">
        <v>1060800773</v>
      </c>
      <c r="G89" s="371" t="s">
        <v>1684</v>
      </c>
    </row>
    <row r="90" spans="1:7" ht="30" x14ac:dyDescent="0.25">
      <c r="A90" s="372" t="s">
        <v>914</v>
      </c>
      <c r="B90" s="372" t="s">
        <v>943</v>
      </c>
      <c r="C90" s="372" t="s">
        <v>1198</v>
      </c>
      <c r="D90" s="372"/>
      <c r="E90" s="373" t="s">
        <v>851</v>
      </c>
      <c r="F90" s="372">
        <v>1059605317</v>
      </c>
      <c r="G90" s="375" t="s">
        <v>1685</v>
      </c>
    </row>
    <row r="91" spans="1:7" ht="30" x14ac:dyDescent="0.25">
      <c r="A91" s="369" t="s">
        <v>1439</v>
      </c>
      <c r="B91" s="369" t="s">
        <v>848</v>
      </c>
      <c r="C91" s="369" t="s">
        <v>1437</v>
      </c>
      <c r="D91" s="369"/>
      <c r="E91" s="370" t="s">
        <v>851</v>
      </c>
      <c r="F91" s="369">
        <v>1059595628</v>
      </c>
      <c r="G91" s="371" t="s">
        <v>1685</v>
      </c>
    </row>
    <row r="92" spans="1:7" ht="30" x14ac:dyDescent="0.25">
      <c r="A92" s="372" t="s">
        <v>873</v>
      </c>
      <c r="B92" s="372" t="s">
        <v>874</v>
      </c>
      <c r="C92" s="372" t="s">
        <v>1612</v>
      </c>
      <c r="D92" s="372" t="s">
        <v>1613</v>
      </c>
      <c r="E92" s="373" t="s">
        <v>851</v>
      </c>
      <c r="F92" s="372">
        <v>1002849103</v>
      </c>
      <c r="G92" s="375" t="s">
        <v>1685</v>
      </c>
    </row>
    <row r="93" spans="1:7" ht="30" x14ac:dyDescent="0.25">
      <c r="A93" s="369" t="s">
        <v>914</v>
      </c>
      <c r="B93" s="369" t="s">
        <v>914</v>
      </c>
      <c r="C93" s="369" t="s">
        <v>1614</v>
      </c>
      <c r="D93" s="369" t="s">
        <v>1277</v>
      </c>
      <c r="E93" s="370" t="s">
        <v>851</v>
      </c>
      <c r="F93" s="369">
        <v>1002847076</v>
      </c>
      <c r="G93" s="371" t="s">
        <v>1685</v>
      </c>
    </row>
    <row r="94" spans="1:7" ht="30" x14ac:dyDescent="0.25">
      <c r="A94" s="372" t="s">
        <v>1621</v>
      </c>
      <c r="B94" s="372" t="s">
        <v>1622</v>
      </c>
      <c r="C94" s="372" t="s">
        <v>1619</v>
      </c>
      <c r="D94" s="372" t="s">
        <v>1620</v>
      </c>
      <c r="E94" s="373" t="s">
        <v>851</v>
      </c>
      <c r="F94" s="372">
        <v>1104776221</v>
      </c>
      <c r="G94" s="375" t="s">
        <v>1685</v>
      </c>
    </row>
    <row r="95" spans="1:7" ht="30" x14ac:dyDescent="0.25">
      <c r="A95" s="369" t="s">
        <v>980</v>
      </c>
      <c r="B95" s="369" t="s">
        <v>914</v>
      </c>
      <c r="C95" s="369" t="s">
        <v>1623</v>
      </c>
      <c r="D95" s="369"/>
      <c r="E95" s="370" t="s">
        <v>851</v>
      </c>
      <c r="F95" s="369">
        <v>1059596737</v>
      </c>
      <c r="G95" s="371" t="s">
        <v>1685</v>
      </c>
    </row>
    <row r="96" spans="1:7" ht="30" x14ac:dyDescent="0.25">
      <c r="A96" s="372" t="s">
        <v>884</v>
      </c>
      <c r="B96" s="372" t="s">
        <v>1286</v>
      </c>
      <c r="C96" s="372" t="s">
        <v>1452</v>
      </c>
      <c r="D96" s="372"/>
      <c r="E96" s="373" t="s">
        <v>851</v>
      </c>
      <c r="F96" s="372">
        <v>25546688</v>
      </c>
      <c r="G96" s="375" t="s">
        <v>1684</v>
      </c>
    </row>
    <row r="97" spans="1:7" ht="30" x14ac:dyDescent="0.25">
      <c r="A97" s="369" t="s">
        <v>1629</v>
      </c>
      <c r="B97" s="369" t="s">
        <v>1249</v>
      </c>
      <c r="C97" s="369" t="s">
        <v>1630</v>
      </c>
      <c r="D97" s="369"/>
      <c r="E97" s="370" t="s">
        <v>851</v>
      </c>
      <c r="F97" s="369">
        <v>1059601748</v>
      </c>
      <c r="G97" s="371" t="s">
        <v>1685</v>
      </c>
    </row>
    <row r="98" spans="1:7" ht="30" x14ac:dyDescent="0.25">
      <c r="A98" s="372" t="s">
        <v>896</v>
      </c>
      <c r="B98" s="372" t="s">
        <v>1632</v>
      </c>
      <c r="C98" s="372" t="s">
        <v>1633</v>
      </c>
      <c r="D98" s="372"/>
      <c r="E98" s="373" t="s">
        <v>851</v>
      </c>
      <c r="F98" s="383">
        <v>1067467422</v>
      </c>
      <c r="G98" s="375" t="s">
        <v>1686</v>
      </c>
    </row>
    <row r="99" spans="1:7" ht="30" x14ac:dyDescent="0.25">
      <c r="A99" s="369" t="s">
        <v>1637</v>
      </c>
      <c r="B99" s="369" t="s">
        <v>1638</v>
      </c>
      <c r="C99" s="369" t="s">
        <v>1028</v>
      </c>
      <c r="D99" s="369"/>
      <c r="E99" s="370" t="s">
        <v>851</v>
      </c>
      <c r="F99" s="381">
        <v>1060986729</v>
      </c>
      <c r="G99" s="371" t="s">
        <v>1685</v>
      </c>
    </row>
    <row r="100" spans="1:7" ht="30" x14ac:dyDescent="0.25">
      <c r="A100" s="372" t="s">
        <v>1249</v>
      </c>
      <c r="B100" s="372" t="s">
        <v>914</v>
      </c>
      <c r="C100" s="372" t="s">
        <v>1659</v>
      </c>
      <c r="D100" s="372"/>
      <c r="E100" s="373" t="s">
        <v>851</v>
      </c>
      <c r="F100" s="372">
        <v>1059597497</v>
      </c>
      <c r="G100" s="375" t="s">
        <v>1685</v>
      </c>
    </row>
    <row r="101" spans="1:7" ht="30" x14ac:dyDescent="0.25">
      <c r="A101" s="369" t="s">
        <v>1439</v>
      </c>
      <c r="B101" s="369" t="s">
        <v>848</v>
      </c>
      <c r="C101" s="369" t="s">
        <v>1437</v>
      </c>
      <c r="D101" s="369"/>
      <c r="E101" s="370" t="s">
        <v>851</v>
      </c>
      <c r="F101" s="369">
        <v>1059595628</v>
      </c>
      <c r="G101" s="371" t="s">
        <v>1685</v>
      </c>
    </row>
    <row r="102" spans="1:7" ht="30" x14ac:dyDescent="0.25">
      <c r="A102" s="372" t="s">
        <v>953</v>
      </c>
      <c r="B102" s="372" t="s">
        <v>1660</v>
      </c>
      <c r="C102" s="372" t="s">
        <v>1217</v>
      </c>
      <c r="D102" s="372" t="s">
        <v>1661</v>
      </c>
      <c r="E102" s="373" t="s">
        <v>851</v>
      </c>
      <c r="F102" s="372">
        <v>1002848134</v>
      </c>
      <c r="G102" s="375" t="s">
        <v>1686</v>
      </c>
    </row>
    <row r="103" spans="1:7" ht="30" x14ac:dyDescent="0.25">
      <c r="A103" s="369" t="s">
        <v>848</v>
      </c>
      <c r="B103" s="369" t="s">
        <v>1034</v>
      </c>
      <c r="C103" s="369" t="s">
        <v>1612</v>
      </c>
      <c r="D103" s="369" t="s">
        <v>1662</v>
      </c>
      <c r="E103" s="370" t="s">
        <v>851</v>
      </c>
      <c r="F103" s="369">
        <v>1059601726</v>
      </c>
      <c r="G103" s="371" t="s">
        <v>1685</v>
      </c>
    </row>
    <row r="104" spans="1:7" ht="30" x14ac:dyDescent="0.25">
      <c r="A104" s="372" t="s">
        <v>1663</v>
      </c>
      <c r="B104" s="372" t="s">
        <v>1664</v>
      </c>
      <c r="C104" s="372" t="s">
        <v>938</v>
      </c>
      <c r="D104" s="372" t="s">
        <v>1665</v>
      </c>
      <c r="E104" s="373" t="s">
        <v>851</v>
      </c>
      <c r="F104" s="372">
        <v>1059601634</v>
      </c>
      <c r="G104" s="375" t="s">
        <v>1686</v>
      </c>
    </row>
    <row r="105" spans="1:7" ht="30" x14ac:dyDescent="0.25">
      <c r="A105" s="369" t="s">
        <v>980</v>
      </c>
      <c r="B105" s="369" t="s">
        <v>1666</v>
      </c>
      <c r="C105" s="369" t="s">
        <v>1287</v>
      </c>
      <c r="D105" s="369" t="s">
        <v>919</v>
      </c>
      <c r="E105" s="370" t="s">
        <v>851</v>
      </c>
      <c r="F105" s="369">
        <v>1002846819</v>
      </c>
      <c r="G105" s="371" t="s">
        <v>1685</v>
      </c>
    </row>
    <row r="106" spans="1:7" ht="30" x14ac:dyDescent="0.25">
      <c r="A106" s="372" t="s">
        <v>1667</v>
      </c>
      <c r="B106" s="372" t="s">
        <v>1668</v>
      </c>
      <c r="C106" s="372" t="s">
        <v>1669</v>
      </c>
      <c r="D106" s="372"/>
      <c r="E106" s="373" t="s">
        <v>851</v>
      </c>
      <c r="F106" s="372">
        <v>1064426895</v>
      </c>
      <c r="G106" s="375" t="s">
        <v>1685</v>
      </c>
    </row>
    <row r="107" spans="1:7" ht="30" x14ac:dyDescent="0.25">
      <c r="A107" s="369" t="s">
        <v>1210</v>
      </c>
      <c r="B107" s="369" t="s">
        <v>848</v>
      </c>
      <c r="C107" s="369" t="s">
        <v>1670</v>
      </c>
      <c r="D107" s="369" t="s">
        <v>1671</v>
      </c>
      <c r="E107" s="370" t="s">
        <v>851</v>
      </c>
      <c r="F107" s="369">
        <v>1059602883</v>
      </c>
      <c r="G107" s="371" t="s">
        <v>1685</v>
      </c>
    </row>
    <row r="108" spans="1:7" ht="30" x14ac:dyDescent="0.25">
      <c r="A108" s="372" t="s">
        <v>943</v>
      </c>
      <c r="B108" s="372" t="s">
        <v>848</v>
      </c>
      <c r="C108" s="372" t="s">
        <v>1673</v>
      </c>
      <c r="D108" s="372" t="s">
        <v>1674</v>
      </c>
      <c r="E108" s="373" t="s">
        <v>851</v>
      </c>
      <c r="F108" s="384">
        <v>1061689361</v>
      </c>
      <c r="G108" s="375" t="s">
        <v>1684</v>
      </c>
    </row>
    <row r="109" spans="1:7" ht="30" x14ac:dyDescent="0.25">
      <c r="A109" s="369" t="s">
        <v>1677</v>
      </c>
      <c r="B109" s="369" t="s">
        <v>962</v>
      </c>
      <c r="C109" s="369" t="s">
        <v>1678</v>
      </c>
      <c r="D109" s="369" t="s">
        <v>1679</v>
      </c>
      <c r="E109" s="370" t="s">
        <v>1094</v>
      </c>
      <c r="F109" s="385">
        <v>1023390806</v>
      </c>
      <c r="G109" s="371" t="s">
        <v>1684</v>
      </c>
    </row>
    <row r="110" spans="1:7" ht="30" x14ac:dyDescent="0.25">
      <c r="A110" s="372" t="s">
        <v>1286</v>
      </c>
      <c r="B110" s="372" t="s">
        <v>943</v>
      </c>
      <c r="C110" s="372" t="s">
        <v>1681</v>
      </c>
      <c r="D110" s="372"/>
      <c r="E110" s="373" t="s">
        <v>851</v>
      </c>
      <c r="F110" s="386">
        <v>25546851</v>
      </c>
      <c r="G110" s="375" t="s">
        <v>1685</v>
      </c>
    </row>
    <row r="111" spans="1:7" ht="30" x14ac:dyDescent="0.25">
      <c r="A111" s="369" t="s">
        <v>848</v>
      </c>
      <c r="B111" s="369" t="s">
        <v>914</v>
      </c>
      <c r="C111" s="369" t="s">
        <v>1683</v>
      </c>
      <c r="D111" s="369"/>
      <c r="E111" s="370" t="s">
        <v>851</v>
      </c>
      <c r="F111" s="385">
        <v>1059597833</v>
      </c>
      <c r="G111" s="371" t="s">
        <v>1686</v>
      </c>
    </row>
    <row r="112" spans="1:7" x14ac:dyDescent="0.25">
      <c r="A112" s="423" t="s">
        <v>329</v>
      </c>
      <c r="B112" s="423"/>
      <c r="C112" s="423"/>
      <c r="D112" s="423"/>
      <c r="E112" s="423"/>
      <c r="F112" s="423"/>
      <c r="G112" s="423"/>
    </row>
    <row r="113" spans="1:7" ht="50.25" customHeight="1" x14ac:dyDescent="0.25">
      <c r="A113" s="367" t="s">
        <v>94</v>
      </c>
      <c r="B113" s="367" t="s">
        <v>21</v>
      </c>
      <c r="C113" s="367" t="s">
        <v>0</v>
      </c>
      <c r="D113" s="367" t="s">
        <v>1</v>
      </c>
      <c r="E113" s="367" t="s">
        <v>2</v>
      </c>
      <c r="F113" s="367" t="s">
        <v>3</v>
      </c>
      <c r="G113" s="368" t="s">
        <v>329</v>
      </c>
    </row>
    <row r="114" spans="1:7" ht="63.75" x14ac:dyDescent="0.25">
      <c r="A114" s="369" t="s">
        <v>979</v>
      </c>
      <c r="B114" s="369" t="s">
        <v>943</v>
      </c>
      <c r="C114" s="369" t="s">
        <v>1217</v>
      </c>
      <c r="D114" s="369" t="s">
        <v>1398</v>
      </c>
      <c r="E114" s="370" t="s">
        <v>851</v>
      </c>
      <c r="F114" s="369">
        <v>1002846528</v>
      </c>
      <c r="G114" s="388" t="s">
        <v>1687</v>
      </c>
    </row>
    <row r="115" spans="1:7" x14ac:dyDescent="0.25">
      <c r="A115" s="423" t="s">
        <v>1688</v>
      </c>
      <c r="B115" s="423"/>
      <c r="C115" s="423"/>
      <c r="D115" s="423"/>
      <c r="E115" s="423"/>
      <c r="F115" s="423"/>
      <c r="G115" s="423"/>
    </row>
    <row r="116" spans="1:7" ht="45" x14ac:dyDescent="0.25">
      <c r="A116" s="367" t="s">
        <v>94</v>
      </c>
      <c r="B116" s="367" t="s">
        <v>21</v>
      </c>
      <c r="C116" s="367" t="s">
        <v>0</v>
      </c>
      <c r="D116" s="367" t="s">
        <v>1</v>
      </c>
      <c r="E116" s="367" t="s">
        <v>2</v>
      </c>
      <c r="F116" s="367" t="s">
        <v>3</v>
      </c>
      <c r="G116" s="368" t="s">
        <v>256</v>
      </c>
    </row>
    <row r="117" spans="1:7" ht="30" x14ac:dyDescent="0.25">
      <c r="A117" s="369" t="s">
        <v>1298</v>
      </c>
      <c r="B117" s="369" t="s">
        <v>914</v>
      </c>
      <c r="C117" s="369" t="s">
        <v>1299</v>
      </c>
      <c r="D117" s="369" t="s">
        <v>1300</v>
      </c>
      <c r="E117" s="370" t="s">
        <v>851</v>
      </c>
      <c r="F117" s="369" t="s">
        <v>1301</v>
      </c>
      <c r="G117" s="371">
        <v>45128</v>
      </c>
    </row>
    <row r="118" spans="1:7" ht="30" x14ac:dyDescent="0.25">
      <c r="A118" s="372" t="s">
        <v>1305</v>
      </c>
      <c r="B118" s="372" t="s">
        <v>884</v>
      </c>
      <c r="C118" s="372" t="s">
        <v>1306</v>
      </c>
      <c r="D118" s="372" t="s">
        <v>1307</v>
      </c>
      <c r="E118" s="373" t="s">
        <v>851</v>
      </c>
      <c r="F118" s="372">
        <v>1059604869</v>
      </c>
      <c r="G118" s="375">
        <v>45134</v>
      </c>
    </row>
    <row r="119" spans="1:7" ht="30" x14ac:dyDescent="0.25">
      <c r="A119" s="369" t="s">
        <v>914</v>
      </c>
      <c r="B119" s="369" t="s">
        <v>1318</v>
      </c>
      <c r="C119" s="369" t="s">
        <v>1319</v>
      </c>
      <c r="D119" s="369"/>
      <c r="E119" s="370" t="s">
        <v>851</v>
      </c>
      <c r="F119" s="369" t="s">
        <v>1320</v>
      </c>
      <c r="G119" s="371">
        <v>45127</v>
      </c>
    </row>
    <row r="120" spans="1:7" ht="30" x14ac:dyDescent="0.25">
      <c r="A120" s="372" t="s">
        <v>1332</v>
      </c>
      <c r="B120" s="372" t="s">
        <v>1091</v>
      </c>
      <c r="C120" s="372" t="s">
        <v>1333</v>
      </c>
      <c r="D120" s="372"/>
      <c r="E120" s="373" t="s">
        <v>1094</v>
      </c>
      <c r="F120" s="372">
        <v>1059595374</v>
      </c>
      <c r="G120" s="375">
        <v>44979</v>
      </c>
    </row>
    <row r="121" spans="1:7" ht="30" x14ac:dyDescent="0.25">
      <c r="A121" s="369" t="s">
        <v>914</v>
      </c>
      <c r="B121" s="369" t="s">
        <v>915</v>
      </c>
      <c r="C121" s="369" t="s">
        <v>916</v>
      </c>
      <c r="D121" s="369"/>
      <c r="E121" s="370" t="s">
        <v>1094</v>
      </c>
      <c r="F121" s="369">
        <v>1059598169</v>
      </c>
      <c r="G121" s="371">
        <v>44985</v>
      </c>
    </row>
    <row r="122" spans="1:7" ht="30" x14ac:dyDescent="0.25">
      <c r="A122" s="372" t="s">
        <v>1360</v>
      </c>
      <c r="B122" s="372" t="s">
        <v>1361</v>
      </c>
      <c r="C122" s="372" t="s">
        <v>938</v>
      </c>
      <c r="D122" s="372" t="s">
        <v>1362</v>
      </c>
      <c r="E122" s="373" t="s">
        <v>851</v>
      </c>
      <c r="F122" s="372" t="s">
        <v>1363</v>
      </c>
      <c r="G122" s="375">
        <v>45115</v>
      </c>
    </row>
    <row r="123" spans="1:7" ht="30" x14ac:dyDescent="0.25">
      <c r="A123" s="369" t="s">
        <v>1286</v>
      </c>
      <c r="B123" s="369" t="s">
        <v>914</v>
      </c>
      <c r="C123" s="369" t="s">
        <v>1198</v>
      </c>
      <c r="D123" s="369" t="s">
        <v>1364</v>
      </c>
      <c r="E123" s="370" t="s">
        <v>851</v>
      </c>
      <c r="F123" s="369">
        <v>1059600026</v>
      </c>
      <c r="G123" s="371">
        <v>45086</v>
      </c>
    </row>
    <row r="124" spans="1:7" ht="30" x14ac:dyDescent="0.25">
      <c r="A124" s="372" t="s">
        <v>857</v>
      </c>
      <c r="B124" s="372" t="s">
        <v>1365</v>
      </c>
      <c r="C124" s="372" t="s">
        <v>949</v>
      </c>
      <c r="D124" s="372" t="s">
        <v>1366</v>
      </c>
      <c r="E124" s="373" t="s">
        <v>851</v>
      </c>
      <c r="F124" s="372">
        <v>1002953350</v>
      </c>
      <c r="G124" s="375">
        <v>44993</v>
      </c>
    </row>
    <row r="125" spans="1:7" ht="30" x14ac:dyDescent="0.25">
      <c r="A125" s="369" t="s">
        <v>979</v>
      </c>
      <c r="B125" s="369" t="s">
        <v>943</v>
      </c>
      <c r="C125" s="369" t="s">
        <v>1217</v>
      </c>
      <c r="D125" s="369" t="s">
        <v>1398</v>
      </c>
      <c r="E125" s="370" t="s">
        <v>851</v>
      </c>
      <c r="F125" s="369">
        <v>1002846528</v>
      </c>
      <c r="G125" s="371">
        <v>45134</v>
      </c>
    </row>
    <row r="126" spans="1:7" ht="30" x14ac:dyDescent="0.25">
      <c r="A126" s="372" t="s">
        <v>873</v>
      </c>
      <c r="B126" s="372" t="s">
        <v>944</v>
      </c>
      <c r="C126" s="372" t="s">
        <v>1399</v>
      </c>
      <c r="D126" s="372" t="s">
        <v>1400</v>
      </c>
      <c r="E126" s="373" t="s">
        <v>851</v>
      </c>
      <c r="F126" s="372">
        <v>1002848796</v>
      </c>
      <c r="G126" s="375">
        <v>45121</v>
      </c>
    </row>
    <row r="127" spans="1:7" ht="30" x14ac:dyDescent="0.25">
      <c r="A127" s="369" t="s">
        <v>1427</v>
      </c>
      <c r="B127" s="369" t="s">
        <v>1428</v>
      </c>
      <c r="C127" s="369" t="s">
        <v>1429</v>
      </c>
      <c r="D127" s="369" t="s">
        <v>1430</v>
      </c>
      <c r="E127" s="370" t="s">
        <v>851</v>
      </c>
      <c r="F127" s="369">
        <v>1061528490</v>
      </c>
      <c r="G127" s="371">
        <v>45136</v>
      </c>
    </row>
    <row r="128" spans="1:7" ht="30" x14ac:dyDescent="0.25">
      <c r="A128" s="372" t="s">
        <v>1144</v>
      </c>
      <c r="B128" s="372" t="s">
        <v>884</v>
      </c>
      <c r="C128" s="372" t="s">
        <v>1432</v>
      </c>
      <c r="D128" s="372" t="s">
        <v>1433</v>
      </c>
      <c r="E128" s="373" t="s">
        <v>1094</v>
      </c>
      <c r="F128" s="372">
        <v>1059596594</v>
      </c>
      <c r="G128" s="375">
        <v>45120</v>
      </c>
    </row>
    <row r="129" spans="1:7" ht="30" x14ac:dyDescent="0.25">
      <c r="A129" s="369" t="s">
        <v>1441</v>
      </c>
      <c r="B129" s="369"/>
      <c r="C129" s="369" t="s">
        <v>1284</v>
      </c>
      <c r="D129" s="369" t="s">
        <v>1442</v>
      </c>
      <c r="E129" s="370" t="s">
        <v>851</v>
      </c>
      <c r="F129" s="369">
        <v>1002848635</v>
      </c>
      <c r="G129" s="371">
        <v>45136</v>
      </c>
    </row>
    <row r="130" spans="1:7" ht="30" x14ac:dyDescent="0.25">
      <c r="A130" s="372" t="s">
        <v>1179</v>
      </c>
      <c r="B130" s="372" t="s">
        <v>1435</v>
      </c>
      <c r="C130" s="372" t="s">
        <v>1448</v>
      </c>
      <c r="D130" s="372" t="s">
        <v>1294</v>
      </c>
      <c r="E130" s="373" t="s">
        <v>851</v>
      </c>
      <c r="F130" s="372">
        <v>1059594096</v>
      </c>
      <c r="G130" s="375">
        <v>45136</v>
      </c>
    </row>
    <row r="131" spans="1:7" ht="30" x14ac:dyDescent="0.25">
      <c r="A131" s="369" t="s">
        <v>1441</v>
      </c>
      <c r="B131" s="369" t="s">
        <v>914</v>
      </c>
      <c r="C131" s="369" t="s">
        <v>1451</v>
      </c>
      <c r="D131" s="369"/>
      <c r="E131" s="370" t="s">
        <v>851</v>
      </c>
      <c r="F131" s="369">
        <v>1059598007</v>
      </c>
      <c r="G131" s="371">
        <v>45115</v>
      </c>
    </row>
    <row r="132" spans="1:7" ht="30" x14ac:dyDescent="0.25">
      <c r="A132" s="372" t="s">
        <v>1458</v>
      </c>
      <c r="B132" s="372" t="s">
        <v>1459</v>
      </c>
      <c r="C132" s="372" t="s">
        <v>1460</v>
      </c>
      <c r="D132" s="372" t="s">
        <v>976</v>
      </c>
      <c r="E132" s="373" t="s">
        <v>1094</v>
      </c>
      <c r="F132" s="372">
        <v>1062295885</v>
      </c>
      <c r="G132" s="375">
        <v>45069</v>
      </c>
    </row>
    <row r="133" spans="1:7" ht="30" x14ac:dyDescent="0.25">
      <c r="A133" s="369" t="s">
        <v>964</v>
      </c>
      <c r="B133" s="369" t="s">
        <v>1465</v>
      </c>
      <c r="C133" s="369" t="s">
        <v>1002</v>
      </c>
      <c r="D133" s="369" t="s">
        <v>1366</v>
      </c>
      <c r="E133" s="370" t="s">
        <v>1094</v>
      </c>
      <c r="F133" s="369">
        <v>1061530990</v>
      </c>
      <c r="G133" s="371">
        <v>45136</v>
      </c>
    </row>
    <row r="134" spans="1:7" ht="30" x14ac:dyDescent="0.25">
      <c r="A134" s="372" t="s">
        <v>1156</v>
      </c>
      <c r="B134" s="372" t="s">
        <v>883</v>
      </c>
      <c r="C134" s="372" t="s">
        <v>1157</v>
      </c>
      <c r="D134" s="372" t="s">
        <v>1466</v>
      </c>
      <c r="E134" s="373" t="s">
        <v>851</v>
      </c>
      <c r="F134" s="372">
        <v>1059594587</v>
      </c>
      <c r="G134" s="375">
        <v>45114</v>
      </c>
    </row>
    <row r="135" spans="1:7" ht="30" x14ac:dyDescent="0.25">
      <c r="A135" s="369" t="s">
        <v>943</v>
      </c>
      <c r="B135" s="369" t="s">
        <v>1144</v>
      </c>
      <c r="C135" s="369" t="s">
        <v>1468</v>
      </c>
      <c r="D135" s="369" t="s">
        <v>1281</v>
      </c>
      <c r="E135" s="370" t="s">
        <v>851</v>
      </c>
      <c r="F135" s="369">
        <v>1059607505</v>
      </c>
      <c r="G135" s="371">
        <v>45118</v>
      </c>
    </row>
    <row r="136" spans="1:7" ht="30" x14ac:dyDescent="0.25">
      <c r="A136" s="372" t="s">
        <v>992</v>
      </c>
      <c r="B136" s="372" t="s">
        <v>1498</v>
      </c>
      <c r="C136" s="372" t="s">
        <v>938</v>
      </c>
      <c r="D136" s="372" t="s">
        <v>1499</v>
      </c>
      <c r="E136" s="373" t="s">
        <v>851</v>
      </c>
      <c r="F136" s="372" t="s">
        <v>1500</v>
      </c>
      <c r="G136" s="375">
        <v>45112</v>
      </c>
    </row>
    <row r="137" spans="1:7" ht="30" x14ac:dyDescent="0.25">
      <c r="A137" s="369" t="s">
        <v>848</v>
      </c>
      <c r="B137" s="369" t="s">
        <v>953</v>
      </c>
      <c r="C137" s="369" t="s">
        <v>1501</v>
      </c>
      <c r="D137" s="369" t="s">
        <v>919</v>
      </c>
      <c r="E137" s="370" t="s">
        <v>851</v>
      </c>
      <c r="F137" s="369" t="s">
        <v>1502</v>
      </c>
      <c r="G137" s="371">
        <v>45065</v>
      </c>
    </row>
    <row r="138" spans="1:7" ht="30" x14ac:dyDescent="0.25">
      <c r="A138" s="372" t="s">
        <v>1041</v>
      </c>
      <c r="B138" s="372" t="s">
        <v>1147</v>
      </c>
      <c r="C138" s="372" t="s">
        <v>1512</v>
      </c>
      <c r="D138" s="372"/>
      <c r="E138" s="373" t="s">
        <v>851</v>
      </c>
      <c r="F138" s="372">
        <v>1059604976</v>
      </c>
      <c r="G138" s="375">
        <v>45126</v>
      </c>
    </row>
    <row r="139" spans="1:7" ht="30" x14ac:dyDescent="0.25">
      <c r="A139" s="369" t="s">
        <v>1513</v>
      </c>
      <c r="B139" s="369" t="s">
        <v>1514</v>
      </c>
      <c r="C139" s="369" t="s">
        <v>1515</v>
      </c>
      <c r="D139" s="369"/>
      <c r="E139" s="370" t="s">
        <v>851</v>
      </c>
      <c r="F139" s="369">
        <v>1067461286</v>
      </c>
      <c r="G139" s="371">
        <v>45087</v>
      </c>
    </row>
    <row r="140" spans="1:7" ht="30" x14ac:dyDescent="0.25">
      <c r="A140" s="372" t="s">
        <v>1519</v>
      </c>
      <c r="B140" s="372" t="s">
        <v>848</v>
      </c>
      <c r="C140" s="372" t="s">
        <v>1520</v>
      </c>
      <c r="D140" s="372" t="s">
        <v>1521</v>
      </c>
      <c r="E140" s="373" t="s">
        <v>851</v>
      </c>
      <c r="F140" s="372">
        <v>1002950269</v>
      </c>
      <c r="G140" s="375">
        <v>45049</v>
      </c>
    </row>
    <row r="141" spans="1:7" ht="30" x14ac:dyDescent="0.25">
      <c r="A141" s="369" t="s">
        <v>896</v>
      </c>
      <c r="B141" s="369" t="s">
        <v>953</v>
      </c>
      <c r="C141" s="369" t="s">
        <v>1530</v>
      </c>
      <c r="D141" s="369" t="s">
        <v>1182</v>
      </c>
      <c r="E141" s="370" t="s">
        <v>851</v>
      </c>
      <c r="F141" s="369">
        <v>1059594419</v>
      </c>
      <c r="G141" s="371">
        <v>45051</v>
      </c>
    </row>
    <row r="142" spans="1:7" ht="30" x14ac:dyDescent="0.25">
      <c r="A142" s="372" t="s">
        <v>884</v>
      </c>
      <c r="B142" s="372" t="s">
        <v>1144</v>
      </c>
      <c r="C142" s="372" t="s">
        <v>1534</v>
      </c>
      <c r="D142" s="372"/>
      <c r="E142" s="373" t="s">
        <v>851</v>
      </c>
      <c r="F142" s="377">
        <v>1002846626</v>
      </c>
      <c r="G142" s="375">
        <v>45069</v>
      </c>
    </row>
    <row r="143" spans="1:7" ht="30" x14ac:dyDescent="0.25">
      <c r="A143" s="369" t="s">
        <v>1246</v>
      </c>
      <c r="B143" s="369" t="s">
        <v>943</v>
      </c>
      <c r="C143" s="369" t="s">
        <v>1535</v>
      </c>
      <c r="D143" s="369"/>
      <c r="E143" s="370" t="s">
        <v>851</v>
      </c>
      <c r="F143" s="376">
        <v>1002848307</v>
      </c>
      <c r="G143" s="371">
        <v>45121</v>
      </c>
    </row>
    <row r="144" spans="1:7" ht="30" x14ac:dyDescent="0.25">
      <c r="A144" s="372" t="s">
        <v>1540</v>
      </c>
      <c r="B144" s="372" t="s">
        <v>943</v>
      </c>
      <c r="C144" s="372" t="s">
        <v>1541</v>
      </c>
      <c r="D144" s="372" t="s">
        <v>1542</v>
      </c>
      <c r="E144" s="373" t="s">
        <v>851</v>
      </c>
      <c r="F144" s="379" t="s">
        <v>1539</v>
      </c>
      <c r="G144" s="375">
        <v>45121</v>
      </c>
    </row>
    <row r="145" spans="1:7" ht="30" x14ac:dyDescent="0.25">
      <c r="A145" s="369" t="s">
        <v>1144</v>
      </c>
      <c r="B145" s="369" t="s">
        <v>996</v>
      </c>
      <c r="C145" s="369" t="s">
        <v>1192</v>
      </c>
      <c r="D145" s="369"/>
      <c r="E145" s="370" t="s">
        <v>851</v>
      </c>
      <c r="F145" s="376">
        <v>1059604012</v>
      </c>
      <c r="G145" s="371">
        <v>45092</v>
      </c>
    </row>
    <row r="146" spans="1:7" ht="30" x14ac:dyDescent="0.25">
      <c r="A146" s="372" t="s">
        <v>896</v>
      </c>
      <c r="B146" s="372" t="s">
        <v>953</v>
      </c>
      <c r="C146" s="372" t="s">
        <v>1545</v>
      </c>
      <c r="D146" s="372"/>
      <c r="E146" s="373" t="s">
        <v>851</v>
      </c>
      <c r="F146" s="372">
        <v>25545389</v>
      </c>
      <c r="G146" s="375">
        <v>45094</v>
      </c>
    </row>
    <row r="147" spans="1:7" ht="30" x14ac:dyDescent="0.25">
      <c r="A147" s="369" t="s">
        <v>943</v>
      </c>
      <c r="B147" s="369" t="s">
        <v>1144</v>
      </c>
      <c r="C147" s="369" t="s">
        <v>1504</v>
      </c>
      <c r="D147" s="369" t="s">
        <v>1281</v>
      </c>
      <c r="E147" s="370" t="s">
        <v>1094</v>
      </c>
      <c r="F147" s="369">
        <v>1059599329</v>
      </c>
      <c r="G147" s="371">
        <v>45134</v>
      </c>
    </row>
    <row r="148" spans="1:7" ht="30" x14ac:dyDescent="0.25">
      <c r="A148" s="372" t="s">
        <v>996</v>
      </c>
      <c r="B148" s="372" t="s">
        <v>1559</v>
      </c>
      <c r="C148" s="372" t="s">
        <v>1560</v>
      </c>
      <c r="D148" s="372"/>
      <c r="E148" s="373" t="s">
        <v>851</v>
      </c>
      <c r="F148" s="372">
        <v>25552089</v>
      </c>
      <c r="G148" s="375">
        <v>45118</v>
      </c>
    </row>
    <row r="149" spans="1:7" ht="30" x14ac:dyDescent="0.25">
      <c r="A149" s="369" t="s">
        <v>953</v>
      </c>
      <c r="B149" s="369" t="s">
        <v>1378</v>
      </c>
      <c r="C149" s="369" t="s">
        <v>1617</v>
      </c>
      <c r="D149" s="369"/>
      <c r="E149" s="370" t="s">
        <v>851</v>
      </c>
      <c r="F149" s="369">
        <v>1059606238</v>
      </c>
      <c r="G149" s="371">
        <v>45115</v>
      </c>
    </row>
    <row r="150" spans="1:7" ht="30" x14ac:dyDescent="0.25">
      <c r="A150" s="372" t="s">
        <v>873</v>
      </c>
      <c r="B150" s="372" t="s">
        <v>962</v>
      </c>
      <c r="C150" s="372" t="s">
        <v>1501</v>
      </c>
      <c r="D150" s="372" t="s">
        <v>1340</v>
      </c>
      <c r="E150" s="373" t="s">
        <v>851</v>
      </c>
      <c r="F150" s="372">
        <v>1059594976</v>
      </c>
      <c r="G150" s="375">
        <v>45111</v>
      </c>
    </row>
    <row r="151" spans="1:7" x14ac:dyDescent="0.25">
      <c r="A151" s="369" t="s">
        <v>896</v>
      </c>
      <c r="B151" s="369" t="s">
        <v>953</v>
      </c>
      <c r="C151" s="369" t="s">
        <v>1634</v>
      </c>
      <c r="D151" s="369"/>
      <c r="E151" s="370"/>
      <c r="F151" s="369">
        <v>1002848733</v>
      </c>
      <c r="G151" s="371">
        <v>45113</v>
      </c>
    </row>
    <row r="152" spans="1:7" ht="30" x14ac:dyDescent="0.25">
      <c r="A152" s="372" t="s">
        <v>873</v>
      </c>
      <c r="B152" s="372" t="s">
        <v>874</v>
      </c>
      <c r="C152" s="372" t="s">
        <v>1215</v>
      </c>
      <c r="D152" s="372"/>
      <c r="E152" s="373" t="s">
        <v>851</v>
      </c>
      <c r="F152" s="372">
        <v>1002849181</v>
      </c>
      <c r="G152" s="375">
        <v>45121</v>
      </c>
    </row>
    <row r="153" spans="1:7" ht="30" x14ac:dyDescent="0.25">
      <c r="A153" s="369" t="s">
        <v>953</v>
      </c>
      <c r="B153" s="369" t="s">
        <v>1286</v>
      </c>
      <c r="C153" s="369" t="s">
        <v>1463</v>
      </c>
      <c r="D153" s="369" t="s">
        <v>1579</v>
      </c>
      <c r="E153" s="370" t="s">
        <v>851</v>
      </c>
      <c r="F153" s="382" t="s">
        <v>1578</v>
      </c>
      <c r="G153" s="371">
        <v>45121</v>
      </c>
    </row>
    <row r="154" spans="1:7" ht="30" x14ac:dyDescent="0.25">
      <c r="A154" s="372" t="s">
        <v>1580</v>
      </c>
      <c r="B154" s="372" t="s">
        <v>914</v>
      </c>
      <c r="C154" s="372" t="s">
        <v>1581</v>
      </c>
      <c r="D154" s="372" t="s">
        <v>1464</v>
      </c>
      <c r="E154" s="373" t="s">
        <v>851</v>
      </c>
      <c r="F154" s="379">
        <v>1002846447</v>
      </c>
      <c r="G154" s="375">
        <v>45121</v>
      </c>
    </row>
    <row r="155" spans="1:7" ht="30" x14ac:dyDescent="0.25">
      <c r="A155" s="369" t="s">
        <v>1583</v>
      </c>
      <c r="B155" s="369" t="s">
        <v>873</v>
      </c>
      <c r="C155" s="369" t="s">
        <v>1584</v>
      </c>
      <c r="D155" s="369"/>
      <c r="E155" s="370" t="s">
        <v>851</v>
      </c>
      <c r="F155" s="382" t="s">
        <v>1582</v>
      </c>
      <c r="G155" s="371">
        <v>45122</v>
      </c>
    </row>
    <row r="156" spans="1:7" ht="30" x14ac:dyDescent="0.25">
      <c r="A156" s="372" t="s">
        <v>1286</v>
      </c>
      <c r="B156" s="372" t="s">
        <v>1594</v>
      </c>
      <c r="C156" s="372" t="s">
        <v>1420</v>
      </c>
      <c r="D156" s="372"/>
      <c r="E156" s="373" t="s">
        <v>1094</v>
      </c>
      <c r="F156" s="379" t="s">
        <v>1593</v>
      </c>
      <c r="G156" s="375">
        <v>45134</v>
      </c>
    </row>
    <row r="157" spans="1:7" ht="30" x14ac:dyDescent="0.25">
      <c r="A157" s="369" t="s">
        <v>914</v>
      </c>
      <c r="B157" s="369" t="s">
        <v>1601</v>
      </c>
      <c r="C157" s="369" t="s">
        <v>1602</v>
      </c>
      <c r="D157" s="369"/>
      <c r="E157" s="370" t="s">
        <v>851</v>
      </c>
      <c r="F157" s="369">
        <v>1003370775</v>
      </c>
      <c r="G157" s="371">
        <v>45128</v>
      </c>
    </row>
    <row r="158" spans="1:7" ht="30" x14ac:dyDescent="0.25">
      <c r="A158" s="372" t="s">
        <v>914</v>
      </c>
      <c r="B158" s="372" t="s">
        <v>943</v>
      </c>
      <c r="C158" s="372" t="s">
        <v>1198</v>
      </c>
      <c r="D158" s="372"/>
      <c r="E158" s="373" t="s">
        <v>851</v>
      </c>
      <c r="F158" s="372">
        <v>1059605317</v>
      </c>
      <c r="G158" s="375">
        <v>45128</v>
      </c>
    </row>
    <row r="159" spans="1:7" ht="30" x14ac:dyDescent="0.25">
      <c r="A159" s="369" t="s">
        <v>896</v>
      </c>
      <c r="B159" s="369" t="s">
        <v>1632</v>
      </c>
      <c r="C159" s="369" t="s">
        <v>1633</v>
      </c>
      <c r="D159" s="369"/>
      <c r="E159" s="370" t="s">
        <v>851</v>
      </c>
      <c r="F159" s="383" t="s">
        <v>1631</v>
      </c>
      <c r="G159" s="371">
        <v>45112</v>
      </c>
    </row>
    <row r="160" spans="1:7" x14ac:dyDescent="0.25">
      <c r="A160" s="423" t="s">
        <v>1628</v>
      </c>
      <c r="B160" s="423"/>
      <c r="C160" s="423"/>
      <c r="D160" s="423"/>
      <c r="E160" s="423"/>
      <c r="F160" s="423"/>
      <c r="G160" s="423"/>
    </row>
    <row r="161" spans="1:7" ht="81.75" customHeight="1" x14ac:dyDescent="0.25">
      <c r="A161" s="367" t="s">
        <v>94</v>
      </c>
      <c r="B161" s="367" t="s">
        <v>21</v>
      </c>
      <c r="C161" s="367" t="s">
        <v>0</v>
      </c>
      <c r="D161" s="367" t="s">
        <v>1</v>
      </c>
      <c r="E161" s="367" t="s">
        <v>2</v>
      </c>
      <c r="F161" s="367" t="s">
        <v>3</v>
      </c>
      <c r="G161" s="389" t="s">
        <v>766</v>
      </c>
    </row>
    <row r="162" spans="1:7" ht="38.25" x14ac:dyDescent="0.25">
      <c r="A162" s="369" t="s">
        <v>1361</v>
      </c>
      <c r="B162" s="369" t="s">
        <v>1470</v>
      </c>
      <c r="C162" s="369" t="s">
        <v>1553</v>
      </c>
      <c r="D162" s="369"/>
      <c r="E162" s="370" t="s">
        <v>851</v>
      </c>
      <c r="F162" s="369">
        <v>1059595865</v>
      </c>
      <c r="G162" s="388" t="s">
        <v>1628</v>
      </c>
    </row>
    <row r="163" spans="1:7" x14ac:dyDescent="0.25">
      <c r="A163" s="387" t="s">
        <v>1689</v>
      </c>
      <c r="B163" s="372"/>
      <c r="C163" s="372"/>
      <c r="D163" s="372"/>
      <c r="E163" s="372"/>
      <c r="F163" s="372"/>
      <c r="G163" s="372"/>
    </row>
    <row r="164" spans="1:7" ht="45" x14ac:dyDescent="0.25">
      <c r="A164" s="367" t="s">
        <v>94</v>
      </c>
      <c r="B164" s="367" t="s">
        <v>21</v>
      </c>
      <c r="C164" s="367" t="s">
        <v>0</v>
      </c>
      <c r="D164" s="367" t="s">
        <v>1</v>
      </c>
      <c r="E164" s="367" t="s">
        <v>2</v>
      </c>
      <c r="F164" s="367" t="s">
        <v>3</v>
      </c>
      <c r="G164" s="372"/>
    </row>
    <row r="165" spans="1:7" ht="30" x14ac:dyDescent="0.25">
      <c r="A165" s="372" t="s">
        <v>914</v>
      </c>
      <c r="B165" s="372" t="s">
        <v>915</v>
      </c>
      <c r="C165" s="372" t="s">
        <v>916</v>
      </c>
      <c r="D165" s="372"/>
      <c r="E165" s="373" t="s">
        <v>1094</v>
      </c>
      <c r="F165" s="372">
        <v>1059598169</v>
      </c>
      <c r="G165" s="372"/>
    </row>
    <row r="166" spans="1:7" ht="30" x14ac:dyDescent="0.25">
      <c r="A166" s="369" t="s">
        <v>944</v>
      </c>
      <c r="B166" s="369" t="s">
        <v>943</v>
      </c>
      <c r="C166" s="369" t="s">
        <v>1421</v>
      </c>
      <c r="D166" s="369"/>
      <c r="E166" s="370" t="s">
        <v>851</v>
      </c>
      <c r="F166" s="369">
        <v>1002846330</v>
      </c>
      <c r="G166" s="372"/>
    </row>
    <row r="167" spans="1:7" ht="30" x14ac:dyDescent="0.25">
      <c r="A167" s="372" t="s">
        <v>848</v>
      </c>
      <c r="B167" s="372" t="s">
        <v>943</v>
      </c>
      <c r="C167" s="372" t="s">
        <v>1423</v>
      </c>
      <c r="D167" s="372"/>
      <c r="E167" s="373" t="s">
        <v>851</v>
      </c>
      <c r="F167" s="372">
        <v>1193097625</v>
      </c>
      <c r="G167" s="372"/>
    </row>
    <row r="168" spans="1:7" ht="30" x14ac:dyDescent="0.25">
      <c r="A168" s="369" t="s">
        <v>1427</v>
      </c>
      <c r="B168" s="369" t="s">
        <v>1428</v>
      </c>
      <c r="C168" s="369" t="s">
        <v>1429</v>
      </c>
      <c r="D168" s="369" t="s">
        <v>1430</v>
      </c>
      <c r="E168" s="370" t="s">
        <v>851</v>
      </c>
      <c r="F168" s="369">
        <v>1061528490</v>
      </c>
      <c r="G168" s="372"/>
    </row>
    <row r="169" spans="1:7" ht="30" x14ac:dyDescent="0.25">
      <c r="A169" s="372" t="s">
        <v>1144</v>
      </c>
      <c r="B169" s="372" t="s">
        <v>884</v>
      </c>
      <c r="C169" s="372" t="s">
        <v>1432</v>
      </c>
      <c r="D169" s="372" t="s">
        <v>1433</v>
      </c>
      <c r="E169" s="373" t="s">
        <v>1094</v>
      </c>
      <c r="F169" s="372">
        <v>1059596594</v>
      </c>
      <c r="G169" s="372"/>
    </row>
    <row r="170" spans="1:7" ht="30" x14ac:dyDescent="0.25">
      <c r="A170" s="369" t="s">
        <v>1443</v>
      </c>
      <c r="B170" s="369" t="s">
        <v>1444</v>
      </c>
      <c r="C170" s="369" t="s">
        <v>1445</v>
      </c>
      <c r="D170" s="369"/>
      <c r="E170" s="370" t="s">
        <v>851</v>
      </c>
      <c r="F170" s="369">
        <v>1061757665</v>
      </c>
      <c r="G170" s="372"/>
    </row>
    <row r="171" spans="1:7" ht="30" x14ac:dyDescent="0.25">
      <c r="A171" s="372" t="s">
        <v>943</v>
      </c>
      <c r="B171" s="372" t="s">
        <v>1144</v>
      </c>
      <c r="C171" s="372" t="s">
        <v>1468</v>
      </c>
      <c r="D171" s="372" t="s">
        <v>1281</v>
      </c>
      <c r="E171" s="373" t="s">
        <v>851</v>
      </c>
      <c r="F171" s="372">
        <v>1059607505</v>
      </c>
      <c r="G171" s="372"/>
    </row>
    <row r="172" spans="1:7" ht="30" x14ac:dyDescent="0.25">
      <c r="A172" s="369" t="s">
        <v>1513</v>
      </c>
      <c r="B172" s="369" t="s">
        <v>1514</v>
      </c>
      <c r="C172" s="369" t="s">
        <v>1515</v>
      </c>
      <c r="D172" s="369"/>
      <c r="E172" s="370" t="s">
        <v>851</v>
      </c>
      <c r="F172" s="369">
        <v>1067461286</v>
      </c>
      <c r="G172" s="372"/>
    </row>
    <row r="173" spans="1:7" ht="30" x14ac:dyDescent="0.25">
      <c r="A173" s="372" t="s">
        <v>896</v>
      </c>
      <c r="B173" s="372" t="s">
        <v>953</v>
      </c>
      <c r="C173" s="372" t="s">
        <v>1530</v>
      </c>
      <c r="D173" s="372" t="s">
        <v>1182</v>
      </c>
      <c r="E173" s="373" t="s">
        <v>851</v>
      </c>
      <c r="F173" s="372">
        <v>1059594419</v>
      </c>
      <c r="G173" s="372"/>
    </row>
    <row r="174" spans="1:7" ht="30" x14ac:dyDescent="0.25">
      <c r="A174" s="369" t="s">
        <v>1286</v>
      </c>
      <c r="B174" s="369" t="s">
        <v>980</v>
      </c>
      <c r="C174" s="369" t="s">
        <v>1528</v>
      </c>
      <c r="D174" s="369" t="s">
        <v>1281</v>
      </c>
      <c r="E174" s="370" t="s">
        <v>851</v>
      </c>
      <c r="F174" s="369">
        <v>1059596092</v>
      </c>
      <c r="G174" s="372"/>
    </row>
    <row r="175" spans="1:7" ht="30" x14ac:dyDescent="0.25">
      <c r="A175" s="372" t="s">
        <v>873</v>
      </c>
      <c r="B175" s="372" t="s">
        <v>1091</v>
      </c>
      <c r="C175" s="372" t="s">
        <v>1277</v>
      </c>
      <c r="D175" s="372"/>
      <c r="E175" s="373" t="s">
        <v>851</v>
      </c>
      <c r="F175" s="390">
        <v>1059598472</v>
      </c>
      <c r="G175" s="372"/>
    </row>
    <row r="176" spans="1:7" ht="30" x14ac:dyDescent="0.25">
      <c r="A176" s="369" t="s">
        <v>1580</v>
      </c>
      <c r="B176" s="369" t="s">
        <v>914</v>
      </c>
      <c r="C176" s="369" t="s">
        <v>1581</v>
      </c>
      <c r="D176" s="369" t="s">
        <v>1464</v>
      </c>
      <c r="E176" s="370" t="s">
        <v>851</v>
      </c>
      <c r="F176" s="382">
        <v>1002846447</v>
      </c>
      <c r="G176" s="372"/>
    </row>
    <row r="177" spans="1:7" ht="30" x14ac:dyDescent="0.25">
      <c r="A177" s="372" t="s">
        <v>1590</v>
      </c>
      <c r="B177" s="372" t="s">
        <v>874</v>
      </c>
      <c r="C177" s="372" t="s">
        <v>1591</v>
      </c>
      <c r="D177" s="372"/>
      <c r="E177" s="373" t="s">
        <v>851</v>
      </c>
      <c r="F177" s="379" t="s">
        <v>1589</v>
      </c>
      <c r="G177" s="372"/>
    </row>
    <row r="178" spans="1:7" ht="30" x14ac:dyDescent="0.25">
      <c r="A178" s="369" t="s">
        <v>896</v>
      </c>
      <c r="B178" s="369" t="s">
        <v>992</v>
      </c>
      <c r="C178" s="369" t="s">
        <v>1530</v>
      </c>
      <c r="D178" s="369" t="s">
        <v>1357</v>
      </c>
      <c r="E178" s="370" t="s">
        <v>851</v>
      </c>
      <c r="F178" s="369">
        <v>1002847645</v>
      </c>
      <c r="G178" s="372"/>
    </row>
    <row r="179" spans="1:7" ht="30" x14ac:dyDescent="0.25">
      <c r="A179" s="372" t="s">
        <v>896</v>
      </c>
      <c r="B179" s="372" t="s">
        <v>1599</v>
      </c>
      <c r="C179" s="372" t="s">
        <v>1607</v>
      </c>
      <c r="D179" s="372" t="s">
        <v>1608</v>
      </c>
      <c r="E179" s="373" t="s">
        <v>851</v>
      </c>
      <c r="F179" s="372">
        <v>1060800773</v>
      </c>
      <c r="G179" s="372"/>
    </row>
    <row r="180" spans="1:7" ht="30" x14ac:dyDescent="0.25">
      <c r="A180" s="369" t="s">
        <v>980</v>
      </c>
      <c r="B180" s="369" t="s">
        <v>914</v>
      </c>
      <c r="C180" s="369" t="s">
        <v>1623</v>
      </c>
      <c r="D180" s="369"/>
      <c r="E180" s="370" t="s">
        <v>851</v>
      </c>
      <c r="F180" s="369">
        <v>1059596737</v>
      </c>
      <c r="G180" s="372"/>
    </row>
    <row r="181" spans="1:7" ht="30" x14ac:dyDescent="0.25">
      <c r="A181" s="372" t="s">
        <v>1629</v>
      </c>
      <c r="B181" s="372" t="s">
        <v>1249</v>
      </c>
      <c r="C181" s="372" t="s">
        <v>1630</v>
      </c>
      <c r="D181" s="372"/>
      <c r="E181" s="373" t="s">
        <v>851</v>
      </c>
      <c r="F181" s="372">
        <v>1059601748</v>
      </c>
      <c r="G181" s="372"/>
    </row>
    <row r="182" spans="1:7" ht="30" x14ac:dyDescent="0.25">
      <c r="A182" s="369" t="s">
        <v>953</v>
      </c>
      <c r="B182" s="369" t="s">
        <v>1660</v>
      </c>
      <c r="C182" s="369" t="s">
        <v>1217</v>
      </c>
      <c r="D182" s="369" t="s">
        <v>1661</v>
      </c>
      <c r="E182" s="370" t="s">
        <v>851</v>
      </c>
      <c r="F182" s="369">
        <v>1002848134</v>
      </c>
      <c r="G182" s="372"/>
    </row>
    <row r="183" spans="1:7" ht="30" x14ac:dyDescent="0.25">
      <c r="A183" s="372" t="s">
        <v>848</v>
      </c>
      <c r="B183" s="372" t="s">
        <v>1034</v>
      </c>
      <c r="C183" s="372" t="s">
        <v>1612</v>
      </c>
      <c r="D183" s="372" t="s">
        <v>1662</v>
      </c>
      <c r="E183" s="373" t="s">
        <v>851</v>
      </c>
      <c r="F183" s="372">
        <v>1059601726</v>
      </c>
      <c r="G183" s="372"/>
    </row>
    <row r="184" spans="1:7" ht="30" x14ac:dyDescent="0.25">
      <c r="A184" s="369" t="s">
        <v>1663</v>
      </c>
      <c r="B184" s="369" t="s">
        <v>1664</v>
      </c>
      <c r="C184" s="369" t="s">
        <v>938</v>
      </c>
      <c r="D184" s="369" t="s">
        <v>1665</v>
      </c>
      <c r="E184" s="370" t="s">
        <v>851</v>
      </c>
      <c r="F184" s="369">
        <v>1059601634</v>
      </c>
      <c r="G184" s="372"/>
    </row>
    <row r="185" spans="1:7" ht="30" x14ac:dyDescent="0.25">
      <c r="A185" s="372" t="s">
        <v>1667</v>
      </c>
      <c r="B185" s="372" t="s">
        <v>1668</v>
      </c>
      <c r="C185" s="372" t="s">
        <v>1669</v>
      </c>
      <c r="D185" s="372"/>
      <c r="E185" s="373" t="s">
        <v>851</v>
      </c>
      <c r="F185" s="372">
        <v>1064426895</v>
      </c>
      <c r="G185" s="372"/>
    </row>
    <row r="186" spans="1:7" ht="30" x14ac:dyDescent="0.25">
      <c r="A186" s="369" t="s">
        <v>1210</v>
      </c>
      <c r="B186" s="369" t="s">
        <v>848</v>
      </c>
      <c r="C186" s="369" t="s">
        <v>1670</v>
      </c>
      <c r="D186" s="369" t="s">
        <v>1671</v>
      </c>
      <c r="E186" s="370" t="s">
        <v>851</v>
      </c>
      <c r="F186" s="369">
        <v>1059602883</v>
      </c>
      <c r="G186" s="372"/>
    </row>
    <row r="187" spans="1:7" ht="30" x14ac:dyDescent="0.25">
      <c r="A187" s="372" t="s">
        <v>943</v>
      </c>
      <c r="B187" s="372" t="s">
        <v>848</v>
      </c>
      <c r="C187" s="372" t="s">
        <v>1673</v>
      </c>
      <c r="D187" s="372" t="s">
        <v>1674</v>
      </c>
      <c r="E187" s="373" t="s">
        <v>851</v>
      </c>
      <c r="F187" s="384" t="s">
        <v>1672</v>
      </c>
      <c r="G187" s="372"/>
    </row>
    <row r="188" spans="1:7" ht="30" x14ac:dyDescent="0.25">
      <c r="A188" s="369" t="s">
        <v>1677</v>
      </c>
      <c r="B188" s="369" t="s">
        <v>962</v>
      </c>
      <c r="C188" s="369" t="s">
        <v>1678</v>
      </c>
      <c r="D188" s="369" t="s">
        <v>1679</v>
      </c>
      <c r="E188" s="370" t="s">
        <v>1094</v>
      </c>
      <c r="F188" s="385" t="s">
        <v>1676</v>
      </c>
      <c r="G188" s="372"/>
    </row>
    <row r="189" spans="1:7" ht="30" x14ac:dyDescent="0.25">
      <c r="A189" s="372" t="s">
        <v>1286</v>
      </c>
      <c r="B189" s="372" t="s">
        <v>943</v>
      </c>
      <c r="C189" s="372" t="s">
        <v>1681</v>
      </c>
      <c r="D189" s="372"/>
      <c r="E189" s="373" t="s">
        <v>851</v>
      </c>
      <c r="F189" s="386" t="s">
        <v>1680</v>
      </c>
      <c r="G189" s="372"/>
    </row>
    <row r="190" spans="1:7" ht="30" x14ac:dyDescent="0.25">
      <c r="A190" s="369" t="s">
        <v>848</v>
      </c>
      <c r="B190" s="369" t="s">
        <v>914</v>
      </c>
      <c r="C190" s="369" t="s">
        <v>1683</v>
      </c>
      <c r="D190" s="369"/>
      <c r="E190" s="370" t="s">
        <v>851</v>
      </c>
      <c r="F190" s="385" t="s">
        <v>1682</v>
      </c>
      <c r="G190" s="372"/>
    </row>
    <row r="191" spans="1:7" x14ac:dyDescent="0.25">
      <c r="A191" s="387" t="s">
        <v>332</v>
      </c>
      <c r="B191" s="372"/>
      <c r="C191" s="372"/>
      <c r="D191" s="372"/>
      <c r="E191" s="372"/>
      <c r="F191" s="372"/>
      <c r="G191" s="372"/>
    </row>
    <row r="192" spans="1:7" ht="45" x14ac:dyDescent="0.25">
      <c r="A192" s="367" t="s">
        <v>94</v>
      </c>
      <c r="B192" s="367" t="s">
        <v>21</v>
      </c>
      <c r="C192" s="367" t="s">
        <v>0</v>
      </c>
      <c r="D192" s="367" t="s">
        <v>1</v>
      </c>
      <c r="E192" s="367" t="s">
        <v>2</v>
      </c>
      <c r="F192" s="367" t="s">
        <v>3</v>
      </c>
      <c r="G192" s="372"/>
    </row>
    <row r="193" spans="1:7" ht="30" x14ac:dyDescent="0.25">
      <c r="A193" s="372" t="s">
        <v>874</v>
      </c>
      <c r="B193" s="372" t="s">
        <v>943</v>
      </c>
      <c r="C193" s="372" t="s">
        <v>1340</v>
      </c>
      <c r="D193" s="372"/>
      <c r="E193" s="373" t="s">
        <v>1094</v>
      </c>
      <c r="F193" s="372">
        <v>1059597393</v>
      </c>
      <c r="G193" s="372"/>
    </row>
    <row r="194" spans="1:7" ht="30" x14ac:dyDescent="0.25">
      <c r="A194" s="369" t="s">
        <v>914</v>
      </c>
      <c r="B194" s="369" t="s">
        <v>915</v>
      </c>
      <c r="C194" s="369" t="s">
        <v>916</v>
      </c>
      <c r="D194" s="369"/>
      <c r="E194" s="370" t="s">
        <v>1094</v>
      </c>
      <c r="F194" s="369">
        <v>1059598169</v>
      </c>
      <c r="G194" s="372"/>
    </row>
    <row r="195" spans="1:7" ht="30" x14ac:dyDescent="0.25">
      <c r="A195" s="372" t="s">
        <v>857</v>
      </c>
      <c r="B195" s="372" t="s">
        <v>1365</v>
      </c>
      <c r="C195" s="372" t="s">
        <v>949</v>
      </c>
      <c r="D195" s="372" t="s">
        <v>1366</v>
      </c>
      <c r="E195" s="373" t="s">
        <v>851</v>
      </c>
      <c r="F195" s="372">
        <v>1002953350</v>
      </c>
      <c r="G195" s="372"/>
    </row>
    <row r="196" spans="1:7" ht="30" x14ac:dyDescent="0.25">
      <c r="A196" s="369" t="s">
        <v>896</v>
      </c>
      <c r="B196" s="369" t="s">
        <v>943</v>
      </c>
      <c r="C196" s="369" t="s">
        <v>1452</v>
      </c>
      <c r="D196" s="369" t="s">
        <v>1372</v>
      </c>
      <c r="E196" s="370" t="s">
        <v>851</v>
      </c>
      <c r="F196" s="369">
        <v>1059599315</v>
      </c>
      <c r="G196" s="372"/>
    </row>
    <row r="197" spans="1:7" ht="30" x14ac:dyDescent="0.25">
      <c r="A197" s="372" t="s">
        <v>943</v>
      </c>
      <c r="B197" s="372" t="s">
        <v>1144</v>
      </c>
      <c r="C197" s="372" t="s">
        <v>1468</v>
      </c>
      <c r="D197" s="372" t="s">
        <v>1281</v>
      </c>
      <c r="E197" s="373" t="s">
        <v>851</v>
      </c>
      <c r="F197" s="372">
        <v>1059607505</v>
      </c>
      <c r="G197" s="372"/>
    </row>
    <row r="198" spans="1:7" ht="30" x14ac:dyDescent="0.25">
      <c r="A198" s="369" t="s">
        <v>884</v>
      </c>
      <c r="B198" s="369" t="s">
        <v>914</v>
      </c>
      <c r="C198" s="369" t="s">
        <v>1479</v>
      </c>
      <c r="D198" s="369" t="s">
        <v>1480</v>
      </c>
      <c r="E198" s="370" t="s">
        <v>851</v>
      </c>
      <c r="F198" s="369">
        <v>1002847894</v>
      </c>
      <c r="G198" s="372"/>
    </row>
    <row r="199" spans="1:7" ht="30" x14ac:dyDescent="0.25">
      <c r="A199" s="372" t="s">
        <v>1513</v>
      </c>
      <c r="B199" s="372" t="s">
        <v>1514</v>
      </c>
      <c r="C199" s="372" t="s">
        <v>1515</v>
      </c>
      <c r="D199" s="372"/>
      <c r="E199" s="373" t="s">
        <v>851</v>
      </c>
      <c r="F199" s="372">
        <v>1067461286</v>
      </c>
      <c r="G199" s="372"/>
    </row>
    <row r="200" spans="1:7" ht="30" x14ac:dyDescent="0.25">
      <c r="A200" s="369" t="s">
        <v>873</v>
      </c>
      <c r="B200" s="369" t="s">
        <v>1091</v>
      </c>
      <c r="C200" s="369" t="s">
        <v>1277</v>
      </c>
      <c r="D200" s="369"/>
      <c r="E200" s="370" t="s">
        <v>851</v>
      </c>
      <c r="F200" s="378">
        <v>1059598472</v>
      </c>
      <c r="G200" s="372"/>
    </row>
    <row r="201" spans="1:7" ht="30" x14ac:dyDescent="0.25">
      <c r="A201" s="372" t="s">
        <v>1549</v>
      </c>
      <c r="B201" s="372" t="s">
        <v>1298</v>
      </c>
      <c r="C201" s="372" t="s">
        <v>1550</v>
      </c>
      <c r="D201" s="372" t="s">
        <v>1551</v>
      </c>
      <c r="E201" s="373" t="s">
        <v>851</v>
      </c>
      <c r="F201" s="380" t="s">
        <v>1548</v>
      </c>
      <c r="G201" s="372"/>
    </row>
    <row r="202" spans="1:7" ht="30" x14ac:dyDescent="0.25">
      <c r="A202" s="369" t="s">
        <v>1580</v>
      </c>
      <c r="B202" s="369" t="s">
        <v>914</v>
      </c>
      <c r="C202" s="369" t="s">
        <v>1581</v>
      </c>
      <c r="D202" s="369" t="s">
        <v>1464</v>
      </c>
      <c r="E202" s="370" t="s">
        <v>851</v>
      </c>
      <c r="F202" s="382">
        <v>1002846447</v>
      </c>
      <c r="G202" s="372"/>
    </row>
    <row r="203" spans="1:7" ht="30" x14ac:dyDescent="0.25">
      <c r="A203" s="372" t="s">
        <v>1590</v>
      </c>
      <c r="B203" s="372" t="s">
        <v>874</v>
      </c>
      <c r="C203" s="372" t="s">
        <v>1591</v>
      </c>
      <c r="D203" s="372"/>
      <c r="E203" s="373" t="s">
        <v>851</v>
      </c>
      <c r="F203" s="379" t="s">
        <v>1589</v>
      </c>
      <c r="G203" s="372"/>
    </row>
    <row r="204" spans="1:7" ht="30" x14ac:dyDescent="0.25">
      <c r="A204" s="369" t="s">
        <v>896</v>
      </c>
      <c r="B204" s="369" t="s">
        <v>992</v>
      </c>
      <c r="C204" s="369" t="s">
        <v>1530</v>
      </c>
      <c r="D204" s="369" t="s">
        <v>1357</v>
      </c>
      <c r="E204" s="370" t="s">
        <v>851</v>
      </c>
      <c r="F204" s="369">
        <v>1002847645</v>
      </c>
      <c r="G204" s="372"/>
    </row>
    <row r="205" spans="1:7" ht="30" x14ac:dyDescent="0.25">
      <c r="A205" s="372" t="s">
        <v>896</v>
      </c>
      <c r="B205" s="372" t="s">
        <v>1599</v>
      </c>
      <c r="C205" s="372" t="s">
        <v>1607</v>
      </c>
      <c r="D205" s="372" t="s">
        <v>1608</v>
      </c>
      <c r="E205" s="373" t="s">
        <v>851</v>
      </c>
      <c r="F205" s="372">
        <v>1060800773</v>
      </c>
      <c r="G205" s="372"/>
    </row>
    <row r="206" spans="1:7" ht="30" x14ac:dyDescent="0.25">
      <c r="A206" s="369" t="s">
        <v>980</v>
      </c>
      <c r="B206" s="369" t="s">
        <v>914</v>
      </c>
      <c r="C206" s="369" t="s">
        <v>1623</v>
      </c>
      <c r="D206" s="369"/>
      <c r="E206" s="370" t="s">
        <v>851</v>
      </c>
      <c r="F206" s="369">
        <v>1059596737</v>
      </c>
      <c r="G206" s="372"/>
    </row>
    <row r="207" spans="1:7" ht="30" x14ac:dyDescent="0.25">
      <c r="A207" s="372" t="s">
        <v>1629</v>
      </c>
      <c r="B207" s="372" t="s">
        <v>1249</v>
      </c>
      <c r="C207" s="372" t="s">
        <v>1630</v>
      </c>
      <c r="D207" s="372"/>
      <c r="E207" s="373" t="s">
        <v>851</v>
      </c>
      <c r="F207" s="372">
        <v>1059601748</v>
      </c>
      <c r="G207" s="372"/>
    </row>
    <row r="208" spans="1:7" ht="30" x14ac:dyDescent="0.25">
      <c r="A208" s="369" t="s">
        <v>953</v>
      </c>
      <c r="B208" s="369" t="s">
        <v>1660</v>
      </c>
      <c r="C208" s="369" t="s">
        <v>1217</v>
      </c>
      <c r="D208" s="369" t="s">
        <v>1661</v>
      </c>
      <c r="E208" s="370" t="s">
        <v>851</v>
      </c>
      <c r="F208" s="369">
        <v>1002848134</v>
      </c>
      <c r="G208" s="372"/>
    </row>
    <row r="209" spans="1:7" ht="30" x14ac:dyDescent="0.25">
      <c r="A209" s="372" t="s">
        <v>848</v>
      </c>
      <c r="B209" s="372" t="s">
        <v>1034</v>
      </c>
      <c r="C209" s="372" t="s">
        <v>1612</v>
      </c>
      <c r="D209" s="372" t="s">
        <v>1662</v>
      </c>
      <c r="E209" s="373" t="s">
        <v>851</v>
      </c>
      <c r="F209" s="372">
        <v>1059601726</v>
      </c>
      <c r="G209" s="372"/>
    </row>
    <row r="210" spans="1:7" ht="30" x14ac:dyDescent="0.25">
      <c r="A210" s="369" t="s">
        <v>1663</v>
      </c>
      <c r="B210" s="369" t="s">
        <v>1664</v>
      </c>
      <c r="C210" s="369" t="s">
        <v>938</v>
      </c>
      <c r="D210" s="369" t="s">
        <v>1665</v>
      </c>
      <c r="E210" s="370" t="s">
        <v>851</v>
      </c>
      <c r="F210" s="369">
        <v>1059601634</v>
      </c>
      <c r="G210" s="372"/>
    </row>
    <row r="211" spans="1:7" ht="30" x14ac:dyDescent="0.25">
      <c r="A211" s="372" t="s">
        <v>1667</v>
      </c>
      <c r="B211" s="372" t="s">
        <v>1668</v>
      </c>
      <c r="C211" s="372" t="s">
        <v>1669</v>
      </c>
      <c r="D211" s="372"/>
      <c r="E211" s="373" t="s">
        <v>851</v>
      </c>
      <c r="F211" s="372">
        <v>1064426895</v>
      </c>
      <c r="G211" s="372"/>
    </row>
    <row r="212" spans="1:7" ht="30" x14ac:dyDescent="0.25">
      <c r="A212" s="369" t="s">
        <v>1210</v>
      </c>
      <c r="B212" s="369" t="s">
        <v>848</v>
      </c>
      <c r="C212" s="369" t="s">
        <v>1670</v>
      </c>
      <c r="D212" s="369" t="s">
        <v>1671</v>
      </c>
      <c r="E212" s="370" t="s">
        <v>851</v>
      </c>
      <c r="F212" s="369">
        <v>1059602883</v>
      </c>
      <c r="G212" s="372"/>
    </row>
    <row r="213" spans="1:7" ht="30" x14ac:dyDescent="0.25">
      <c r="A213" s="372" t="s">
        <v>943</v>
      </c>
      <c r="B213" s="372" t="s">
        <v>848</v>
      </c>
      <c r="C213" s="372" t="s">
        <v>1673</v>
      </c>
      <c r="D213" s="372" t="s">
        <v>1674</v>
      </c>
      <c r="E213" s="373" t="s">
        <v>851</v>
      </c>
      <c r="F213" s="384" t="s">
        <v>1672</v>
      </c>
      <c r="G213" s="372"/>
    </row>
    <row r="214" spans="1:7" ht="30" x14ac:dyDescent="0.25">
      <c r="A214" s="369" t="s">
        <v>1677</v>
      </c>
      <c r="B214" s="369" t="s">
        <v>962</v>
      </c>
      <c r="C214" s="369" t="s">
        <v>1678</v>
      </c>
      <c r="D214" s="369" t="s">
        <v>1679</v>
      </c>
      <c r="E214" s="370" t="s">
        <v>1094</v>
      </c>
      <c r="F214" s="385" t="s">
        <v>1676</v>
      </c>
      <c r="G214" s="372"/>
    </row>
    <row r="215" spans="1:7" ht="30" x14ac:dyDescent="0.25">
      <c r="A215" s="372" t="s">
        <v>1286</v>
      </c>
      <c r="B215" s="372" t="s">
        <v>943</v>
      </c>
      <c r="C215" s="372" t="s">
        <v>1681</v>
      </c>
      <c r="D215" s="372"/>
      <c r="E215" s="373" t="s">
        <v>851</v>
      </c>
      <c r="F215" s="386" t="s">
        <v>1680</v>
      </c>
      <c r="G215" s="372"/>
    </row>
    <row r="216" spans="1:7" ht="30" x14ac:dyDescent="0.25">
      <c r="A216" s="369" t="s">
        <v>848</v>
      </c>
      <c r="B216" s="369" t="s">
        <v>914</v>
      </c>
      <c r="C216" s="369" t="s">
        <v>1683</v>
      </c>
      <c r="D216" s="369"/>
      <c r="E216" s="370" t="s">
        <v>851</v>
      </c>
      <c r="F216" s="385" t="s">
        <v>1682</v>
      </c>
      <c r="G216" s="372"/>
    </row>
    <row r="217" spans="1:7" x14ac:dyDescent="0.25">
      <c r="A217" s="423" t="s">
        <v>1690</v>
      </c>
      <c r="B217" s="423"/>
      <c r="C217" s="423"/>
      <c r="D217" s="423"/>
      <c r="E217" s="423"/>
      <c r="F217" s="423"/>
      <c r="G217" s="372"/>
    </row>
    <row r="218" spans="1:7" ht="45" x14ac:dyDescent="0.25">
      <c r="A218" s="367" t="s">
        <v>94</v>
      </c>
      <c r="B218" s="367" t="s">
        <v>21</v>
      </c>
      <c r="C218" s="367" t="s">
        <v>0</v>
      </c>
      <c r="D218" s="367" t="s">
        <v>1</v>
      </c>
      <c r="E218" s="367" t="s">
        <v>2</v>
      </c>
      <c r="F218" s="367" t="s">
        <v>3</v>
      </c>
      <c r="G218" s="372"/>
    </row>
    <row r="219" spans="1:7" ht="30" x14ac:dyDescent="0.25">
      <c r="A219" s="369" t="s">
        <v>1441</v>
      </c>
      <c r="B219" s="369" t="s">
        <v>914</v>
      </c>
      <c r="C219" s="369" t="s">
        <v>1451</v>
      </c>
      <c r="D219" s="369"/>
      <c r="E219" s="370" t="s">
        <v>851</v>
      </c>
      <c r="F219" s="369">
        <v>1059598007</v>
      </c>
      <c r="G219" s="372"/>
    </row>
    <row r="220" spans="1:7" ht="30" x14ac:dyDescent="0.25">
      <c r="A220" s="372" t="s">
        <v>896</v>
      </c>
      <c r="B220" s="372" t="s">
        <v>943</v>
      </c>
      <c r="C220" s="372" t="s">
        <v>1452</v>
      </c>
      <c r="D220" s="372" t="s">
        <v>1372</v>
      </c>
      <c r="E220" s="373" t="s">
        <v>851</v>
      </c>
      <c r="F220" s="372">
        <v>1059599315</v>
      </c>
      <c r="G220" s="372"/>
    </row>
    <row r="221" spans="1:7" ht="30" x14ac:dyDescent="0.25">
      <c r="A221" s="369" t="s">
        <v>1156</v>
      </c>
      <c r="B221" s="369" t="s">
        <v>883</v>
      </c>
      <c r="C221" s="369" t="s">
        <v>1157</v>
      </c>
      <c r="D221" s="369" t="s">
        <v>1466</v>
      </c>
      <c r="E221" s="370" t="s">
        <v>851</v>
      </c>
      <c r="F221" s="369">
        <v>1059594587</v>
      </c>
      <c r="G221" s="372"/>
    </row>
    <row r="222" spans="1:7" ht="30" x14ac:dyDescent="0.25">
      <c r="A222" s="372" t="s">
        <v>883</v>
      </c>
      <c r="B222" s="372" t="s">
        <v>1290</v>
      </c>
      <c r="C222" s="372" t="s">
        <v>1476</v>
      </c>
      <c r="D222" s="372"/>
      <c r="E222" s="373" t="s">
        <v>851</v>
      </c>
      <c r="F222" s="372">
        <v>1059604081</v>
      </c>
      <c r="G222" s="372"/>
    </row>
    <row r="223" spans="1:7" ht="30" x14ac:dyDescent="0.25">
      <c r="A223" s="369" t="s">
        <v>974</v>
      </c>
      <c r="B223" s="369" t="s">
        <v>943</v>
      </c>
      <c r="C223" s="369" t="s">
        <v>1217</v>
      </c>
      <c r="D223" s="369" t="s">
        <v>1490</v>
      </c>
      <c r="E223" s="370" t="s">
        <v>851</v>
      </c>
      <c r="F223" s="369" t="s">
        <v>1491</v>
      </c>
      <c r="G223" s="372"/>
    </row>
    <row r="224" spans="1:7" ht="30" x14ac:dyDescent="0.25">
      <c r="A224" s="372" t="s">
        <v>884</v>
      </c>
      <c r="B224" s="372" t="s">
        <v>1378</v>
      </c>
      <c r="C224" s="372" t="s">
        <v>1494</v>
      </c>
      <c r="D224" s="372" t="s">
        <v>1495</v>
      </c>
      <c r="E224" s="373" t="s">
        <v>851</v>
      </c>
      <c r="F224" s="372" t="s">
        <v>1496</v>
      </c>
      <c r="G224" s="372"/>
    </row>
    <row r="225" spans="1:7" ht="30" x14ac:dyDescent="0.25">
      <c r="A225" s="369" t="s">
        <v>992</v>
      </c>
      <c r="B225" s="369" t="s">
        <v>1498</v>
      </c>
      <c r="C225" s="369" t="s">
        <v>938</v>
      </c>
      <c r="D225" s="369" t="s">
        <v>1499</v>
      </c>
      <c r="E225" s="370" t="s">
        <v>851</v>
      </c>
      <c r="F225" s="369" t="s">
        <v>1500</v>
      </c>
      <c r="G225" s="372"/>
    </row>
    <row r="226" spans="1:7" ht="30" x14ac:dyDescent="0.25">
      <c r="A226" s="372" t="s">
        <v>848</v>
      </c>
      <c r="B226" s="372" t="s">
        <v>953</v>
      </c>
      <c r="C226" s="372" t="s">
        <v>1501</v>
      </c>
      <c r="D226" s="372" t="s">
        <v>919</v>
      </c>
      <c r="E226" s="373" t="s">
        <v>851</v>
      </c>
      <c r="F226" s="372" t="s">
        <v>1502</v>
      </c>
      <c r="G226" s="372"/>
    </row>
    <row r="227" spans="1:7" ht="30" x14ac:dyDescent="0.25">
      <c r="A227" s="369" t="s">
        <v>1041</v>
      </c>
      <c r="B227" s="369" t="s">
        <v>1147</v>
      </c>
      <c r="C227" s="369" t="s">
        <v>1512</v>
      </c>
      <c r="D227" s="369"/>
      <c r="E227" s="370" t="s">
        <v>851</v>
      </c>
      <c r="F227" s="369">
        <v>1059604976</v>
      </c>
      <c r="G227" s="372"/>
    </row>
    <row r="228" spans="1:7" ht="30" x14ac:dyDescent="0.25">
      <c r="A228" s="372" t="s">
        <v>896</v>
      </c>
      <c r="B228" s="372" t="s">
        <v>953</v>
      </c>
      <c r="C228" s="372" t="s">
        <v>1530</v>
      </c>
      <c r="D228" s="372" t="s">
        <v>1182</v>
      </c>
      <c r="E228" s="373" t="s">
        <v>851</v>
      </c>
      <c r="F228" s="372">
        <v>1059594419</v>
      </c>
      <c r="G228" s="372"/>
    </row>
    <row r="229" spans="1:7" ht="30" x14ac:dyDescent="0.25">
      <c r="A229" s="369" t="s">
        <v>896</v>
      </c>
      <c r="B229" s="369" t="s">
        <v>1091</v>
      </c>
      <c r="C229" s="369" t="s">
        <v>1538</v>
      </c>
      <c r="D229" s="369"/>
      <c r="E229" s="370" t="s">
        <v>851</v>
      </c>
      <c r="F229" s="369">
        <v>1002846350</v>
      </c>
      <c r="G229" s="372"/>
    </row>
    <row r="230" spans="1:7" ht="30" x14ac:dyDescent="0.25">
      <c r="A230" s="372" t="s">
        <v>1144</v>
      </c>
      <c r="B230" s="372" t="s">
        <v>996</v>
      </c>
      <c r="C230" s="372" t="s">
        <v>1192</v>
      </c>
      <c r="D230" s="372"/>
      <c r="E230" s="373" t="s">
        <v>851</v>
      </c>
      <c r="F230" s="377">
        <v>1059604012</v>
      </c>
      <c r="G230" s="372"/>
    </row>
    <row r="231" spans="1:7" ht="30" x14ac:dyDescent="0.25">
      <c r="A231" s="369" t="s">
        <v>873</v>
      </c>
      <c r="B231" s="369" t="s">
        <v>962</v>
      </c>
      <c r="C231" s="369" t="s">
        <v>1501</v>
      </c>
      <c r="D231" s="369" t="s">
        <v>1340</v>
      </c>
      <c r="E231" s="370" t="s">
        <v>851</v>
      </c>
      <c r="F231" s="369">
        <v>1059594976</v>
      </c>
      <c r="G231" s="372"/>
    </row>
    <row r="232" spans="1:7" ht="30" x14ac:dyDescent="0.25">
      <c r="A232" s="372" t="s">
        <v>896</v>
      </c>
      <c r="B232" s="372" t="s">
        <v>915</v>
      </c>
      <c r="C232" s="372" t="s">
        <v>1585</v>
      </c>
      <c r="D232" s="372"/>
      <c r="E232" s="373" t="s">
        <v>851</v>
      </c>
      <c r="F232" s="372">
        <v>1059595460</v>
      </c>
      <c r="G232" s="372"/>
    </row>
    <row r="233" spans="1:7" ht="30" x14ac:dyDescent="0.25">
      <c r="A233" s="369" t="s">
        <v>1156</v>
      </c>
      <c r="B233" s="369" t="s">
        <v>884</v>
      </c>
      <c r="C233" s="369" t="s">
        <v>1481</v>
      </c>
      <c r="D233" s="369" t="s">
        <v>1482</v>
      </c>
      <c r="E233" s="370" t="s">
        <v>851</v>
      </c>
      <c r="F233" s="381" t="s">
        <v>1483</v>
      </c>
      <c r="G233" s="372"/>
    </row>
    <row r="234" spans="1:7" ht="30" x14ac:dyDescent="0.25">
      <c r="A234" s="372" t="s">
        <v>1580</v>
      </c>
      <c r="B234" s="372" t="s">
        <v>914</v>
      </c>
      <c r="C234" s="372" t="s">
        <v>1581</v>
      </c>
      <c r="D234" s="372" t="s">
        <v>1464</v>
      </c>
      <c r="E234" s="373" t="s">
        <v>851</v>
      </c>
      <c r="F234" s="379">
        <v>1002846447</v>
      </c>
      <c r="G234" s="372"/>
    </row>
    <row r="235" spans="1:7" ht="30" x14ac:dyDescent="0.25">
      <c r="A235" s="369" t="s">
        <v>896</v>
      </c>
      <c r="B235" s="369" t="s">
        <v>992</v>
      </c>
      <c r="C235" s="369" t="s">
        <v>1530</v>
      </c>
      <c r="D235" s="369" t="s">
        <v>1357</v>
      </c>
      <c r="E235" s="370" t="s">
        <v>851</v>
      </c>
      <c r="F235" s="369">
        <v>1002847645</v>
      </c>
      <c r="G235" s="372"/>
    </row>
    <row r="236" spans="1:7" x14ac:dyDescent="0.25">
      <c r="A236" s="425" t="s">
        <v>1691</v>
      </c>
      <c r="B236" s="425"/>
      <c r="C236" s="425"/>
      <c r="D236" s="425"/>
      <c r="E236" s="425"/>
      <c r="F236" s="425"/>
      <c r="G236" s="372"/>
    </row>
    <row r="237" spans="1:7" ht="45" x14ac:dyDescent="0.25">
      <c r="A237" s="367" t="s">
        <v>94</v>
      </c>
      <c r="B237" s="367" t="s">
        <v>21</v>
      </c>
      <c r="C237" s="367" t="s">
        <v>0</v>
      </c>
      <c r="D237" s="367" t="s">
        <v>1</v>
      </c>
      <c r="E237" s="367" t="s">
        <v>2</v>
      </c>
      <c r="F237" s="367" t="s">
        <v>3</v>
      </c>
      <c r="G237" s="372"/>
    </row>
    <row r="238" spans="1:7" ht="30" x14ac:dyDescent="0.25">
      <c r="A238" s="369" t="s">
        <v>1549</v>
      </c>
      <c r="B238" s="369" t="s">
        <v>1298</v>
      </c>
      <c r="C238" s="369" t="s">
        <v>1550</v>
      </c>
      <c r="D238" s="369" t="s">
        <v>1551</v>
      </c>
      <c r="E238" s="370" t="s">
        <v>851</v>
      </c>
      <c r="F238" s="381" t="s">
        <v>1548</v>
      </c>
      <c r="G238" s="372"/>
    </row>
    <row r="239" spans="1:7" ht="30" x14ac:dyDescent="0.25">
      <c r="A239" s="372" t="s">
        <v>1286</v>
      </c>
      <c r="B239" s="372" t="s">
        <v>943</v>
      </c>
      <c r="C239" s="372" t="s">
        <v>1681</v>
      </c>
      <c r="D239" s="372"/>
      <c r="E239" s="373" t="s">
        <v>851</v>
      </c>
      <c r="F239" s="386" t="s">
        <v>1680</v>
      </c>
      <c r="G239" s="372"/>
    </row>
    <row r="240" spans="1:7" x14ac:dyDescent="0.25">
      <c r="A240" s="423" t="s">
        <v>1692</v>
      </c>
      <c r="B240" s="423"/>
      <c r="C240" s="423"/>
      <c r="D240" s="423"/>
      <c r="E240" s="423"/>
      <c r="F240" s="423"/>
      <c r="G240" s="372"/>
    </row>
    <row r="241" spans="1:7" ht="45" x14ac:dyDescent="0.25">
      <c r="A241" s="367" t="s">
        <v>94</v>
      </c>
      <c r="B241" s="367" t="s">
        <v>21</v>
      </c>
      <c r="C241" s="367" t="s">
        <v>0</v>
      </c>
      <c r="D241" s="367" t="s">
        <v>1</v>
      </c>
      <c r="E241" s="367" t="s">
        <v>2</v>
      </c>
      <c r="F241" s="367" t="s">
        <v>3</v>
      </c>
      <c r="G241" s="372"/>
    </row>
    <row r="242" spans="1:7" ht="30" x14ac:dyDescent="0.25">
      <c r="A242" s="372" t="s">
        <v>974</v>
      </c>
      <c r="B242" s="372" t="s">
        <v>1144</v>
      </c>
      <c r="C242" s="372" t="s">
        <v>1192</v>
      </c>
      <c r="D242" s="372" t="s">
        <v>1193</v>
      </c>
      <c r="E242" s="373" t="s">
        <v>1094</v>
      </c>
      <c r="F242" s="372">
        <v>1059595334</v>
      </c>
      <c r="G242" s="372"/>
    </row>
    <row r="243" spans="1:7" ht="30" x14ac:dyDescent="0.25">
      <c r="A243" s="369" t="s">
        <v>896</v>
      </c>
      <c r="B243" s="369" t="s">
        <v>943</v>
      </c>
      <c r="C243" s="369" t="s">
        <v>1452</v>
      </c>
      <c r="D243" s="369" t="s">
        <v>1372</v>
      </c>
      <c r="E243" s="370" t="s">
        <v>851</v>
      </c>
      <c r="F243" s="369">
        <v>1059599315</v>
      </c>
      <c r="G243" s="372"/>
    </row>
    <row r="244" spans="1:7" ht="30" x14ac:dyDescent="0.25">
      <c r="A244" s="372" t="s">
        <v>1156</v>
      </c>
      <c r="B244" s="372" t="s">
        <v>883</v>
      </c>
      <c r="C244" s="372" t="s">
        <v>1157</v>
      </c>
      <c r="D244" s="372" t="s">
        <v>1466</v>
      </c>
      <c r="E244" s="373" t="s">
        <v>851</v>
      </c>
      <c r="F244" s="372">
        <v>1059594587</v>
      </c>
      <c r="G244" s="372"/>
    </row>
    <row r="245" spans="1:7" ht="30" x14ac:dyDescent="0.25">
      <c r="A245" s="369" t="s">
        <v>883</v>
      </c>
      <c r="B245" s="369" t="s">
        <v>1290</v>
      </c>
      <c r="C245" s="369" t="s">
        <v>1476</v>
      </c>
      <c r="D245" s="369"/>
      <c r="E245" s="370" t="s">
        <v>851</v>
      </c>
      <c r="F245" s="369">
        <v>1059604081</v>
      </c>
      <c r="G245" s="372"/>
    </row>
    <row r="246" spans="1:7" ht="30" x14ac:dyDescent="0.25">
      <c r="A246" s="372" t="s">
        <v>967</v>
      </c>
      <c r="B246" s="372" t="s">
        <v>980</v>
      </c>
      <c r="C246" s="372" t="s">
        <v>1492</v>
      </c>
      <c r="D246" s="372"/>
      <c r="E246" s="373" t="s">
        <v>851</v>
      </c>
      <c r="F246" s="372" t="s">
        <v>1493</v>
      </c>
      <c r="G246" s="372"/>
    </row>
    <row r="247" spans="1:7" ht="30" x14ac:dyDescent="0.25">
      <c r="A247" s="369" t="s">
        <v>848</v>
      </c>
      <c r="B247" s="369" t="s">
        <v>953</v>
      </c>
      <c r="C247" s="369" t="s">
        <v>1501</v>
      </c>
      <c r="D247" s="369" t="s">
        <v>919</v>
      </c>
      <c r="E247" s="370" t="s">
        <v>851</v>
      </c>
      <c r="F247" s="369" t="s">
        <v>1502</v>
      </c>
      <c r="G247" s="372"/>
    </row>
    <row r="248" spans="1:7" ht="30" x14ac:dyDescent="0.25">
      <c r="A248" s="372" t="s">
        <v>992</v>
      </c>
      <c r="B248" s="372" t="s">
        <v>848</v>
      </c>
      <c r="C248" s="372" t="s">
        <v>1504</v>
      </c>
      <c r="D248" s="372" t="s">
        <v>1157</v>
      </c>
      <c r="E248" s="373" t="s">
        <v>851</v>
      </c>
      <c r="F248" s="372">
        <v>1002848292</v>
      </c>
      <c r="G248" s="372"/>
    </row>
    <row r="249" spans="1:7" ht="30" x14ac:dyDescent="0.25">
      <c r="A249" s="369" t="s">
        <v>1507</v>
      </c>
      <c r="B249" s="369" t="s">
        <v>1365</v>
      </c>
      <c r="C249" s="369" t="s">
        <v>1508</v>
      </c>
      <c r="D249" s="369"/>
      <c r="E249" s="370" t="s">
        <v>851</v>
      </c>
      <c r="F249" s="369">
        <v>1059600322</v>
      </c>
      <c r="G249" s="372"/>
    </row>
    <row r="250" spans="1:7" ht="30" x14ac:dyDescent="0.25">
      <c r="A250" s="372" t="s">
        <v>896</v>
      </c>
      <c r="B250" s="372" t="s">
        <v>953</v>
      </c>
      <c r="C250" s="372" t="s">
        <v>1530</v>
      </c>
      <c r="D250" s="372" t="s">
        <v>1182</v>
      </c>
      <c r="E250" s="373" t="s">
        <v>851</v>
      </c>
      <c r="F250" s="372">
        <v>1059594419</v>
      </c>
      <c r="G250" s="372"/>
    </row>
    <row r="251" spans="1:7" ht="30" x14ac:dyDescent="0.25">
      <c r="A251" s="369" t="s">
        <v>896</v>
      </c>
      <c r="B251" s="369" t="s">
        <v>1091</v>
      </c>
      <c r="C251" s="369" t="s">
        <v>1538</v>
      </c>
      <c r="D251" s="369"/>
      <c r="E251" s="370" t="s">
        <v>851</v>
      </c>
      <c r="F251" s="369">
        <v>1002846350</v>
      </c>
      <c r="G251" s="372"/>
    </row>
    <row r="252" spans="1:7" ht="30" x14ac:dyDescent="0.25">
      <c r="A252" s="372" t="s">
        <v>896</v>
      </c>
      <c r="B252" s="372" t="s">
        <v>953</v>
      </c>
      <c r="C252" s="372" t="s">
        <v>1217</v>
      </c>
      <c r="D252" s="372" t="s">
        <v>1471</v>
      </c>
      <c r="E252" s="373" t="s">
        <v>851</v>
      </c>
      <c r="F252" s="377">
        <v>1059602285</v>
      </c>
      <c r="G252" s="372"/>
    </row>
    <row r="253" spans="1:7" ht="30" x14ac:dyDescent="0.25">
      <c r="A253" s="369" t="s">
        <v>896</v>
      </c>
      <c r="B253" s="369" t="s">
        <v>953</v>
      </c>
      <c r="C253" s="369" t="s">
        <v>1545</v>
      </c>
      <c r="D253" s="369"/>
      <c r="E253" s="370" t="s">
        <v>851</v>
      </c>
      <c r="F253" s="369">
        <v>25545389</v>
      </c>
      <c r="G253" s="372"/>
    </row>
    <row r="254" spans="1:7" ht="30" x14ac:dyDescent="0.25">
      <c r="A254" s="372" t="s">
        <v>943</v>
      </c>
      <c r="B254" s="372" t="s">
        <v>1144</v>
      </c>
      <c r="C254" s="372" t="s">
        <v>1504</v>
      </c>
      <c r="D254" s="372" t="s">
        <v>1281</v>
      </c>
      <c r="E254" s="373" t="s">
        <v>1094</v>
      </c>
      <c r="F254" s="372">
        <v>1059599329</v>
      </c>
      <c r="G254" s="372"/>
    </row>
    <row r="255" spans="1:7" ht="30" x14ac:dyDescent="0.25">
      <c r="A255" s="369" t="s">
        <v>1361</v>
      </c>
      <c r="B255" s="369" t="s">
        <v>1470</v>
      </c>
      <c r="C255" s="369" t="s">
        <v>1553</v>
      </c>
      <c r="D255" s="369"/>
      <c r="E255" s="370" t="s">
        <v>851</v>
      </c>
      <c r="F255" s="369">
        <v>1059595865</v>
      </c>
      <c r="G255" s="372"/>
    </row>
    <row r="256" spans="1:7" ht="30" x14ac:dyDescent="0.25">
      <c r="A256" s="372" t="s">
        <v>953</v>
      </c>
      <c r="B256" s="372" t="s">
        <v>1378</v>
      </c>
      <c r="C256" s="372" t="s">
        <v>1617</v>
      </c>
      <c r="D256" s="372"/>
      <c r="E256" s="373" t="s">
        <v>851</v>
      </c>
      <c r="F256" s="372">
        <v>1059606238</v>
      </c>
      <c r="G256" s="372"/>
    </row>
    <row r="257" spans="1:7" ht="30" x14ac:dyDescent="0.25">
      <c r="A257" s="369" t="s">
        <v>874</v>
      </c>
      <c r="B257" s="369" t="s">
        <v>873</v>
      </c>
      <c r="C257" s="369" t="s">
        <v>1635</v>
      </c>
      <c r="D257" s="369" t="s">
        <v>1294</v>
      </c>
      <c r="E257" s="370" t="s">
        <v>1094</v>
      </c>
      <c r="F257" s="369">
        <v>1059597986</v>
      </c>
      <c r="G257" s="372"/>
    </row>
    <row r="258" spans="1:7" ht="30" x14ac:dyDescent="0.25">
      <c r="A258" s="372" t="s">
        <v>1156</v>
      </c>
      <c r="B258" s="372" t="s">
        <v>884</v>
      </c>
      <c r="C258" s="372" t="s">
        <v>1481</v>
      </c>
      <c r="D258" s="372" t="s">
        <v>1482</v>
      </c>
      <c r="E258" s="373" t="s">
        <v>851</v>
      </c>
      <c r="F258" s="380" t="s">
        <v>1483</v>
      </c>
      <c r="G258" s="372"/>
    </row>
    <row r="259" spans="1:7" ht="30" x14ac:dyDescent="0.25">
      <c r="A259" s="369" t="s">
        <v>1583</v>
      </c>
      <c r="B259" s="369" t="s">
        <v>873</v>
      </c>
      <c r="C259" s="369" t="s">
        <v>1584</v>
      </c>
      <c r="D259" s="369"/>
      <c r="E259" s="370" t="s">
        <v>851</v>
      </c>
      <c r="F259" s="382" t="s">
        <v>1582</v>
      </c>
      <c r="G259" s="372"/>
    </row>
    <row r="260" spans="1:7" ht="30" x14ac:dyDescent="0.25">
      <c r="A260" s="372" t="s">
        <v>1322</v>
      </c>
      <c r="B260" s="372" t="s">
        <v>1378</v>
      </c>
      <c r="C260" s="372" t="s">
        <v>1587</v>
      </c>
      <c r="D260" s="372"/>
      <c r="E260" s="373" t="s">
        <v>851</v>
      </c>
      <c r="F260" s="379" t="s">
        <v>1586</v>
      </c>
      <c r="G260" s="372"/>
    </row>
    <row r="261" spans="1:7" ht="30" x14ac:dyDescent="0.25">
      <c r="A261" s="369" t="s">
        <v>1590</v>
      </c>
      <c r="B261" s="369" t="s">
        <v>874</v>
      </c>
      <c r="C261" s="369" t="s">
        <v>1591</v>
      </c>
      <c r="D261" s="369"/>
      <c r="E261" s="370" t="s">
        <v>851</v>
      </c>
      <c r="F261" s="382" t="s">
        <v>1589</v>
      </c>
      <c r="G261" s="372"/>
    </row>
    <row r="262" spans="1:7" ht="30" x14ac:dyDescent="0.25">
      <c r="A262" s="372" t="s">
        <v>1286</v>
      </c>
      <c r="B262" s="372" t="s">
        <v>1594</v>
      </c>
      <c r="C262" s="372" t="s">
        <v>1420</v>
      </c>
      <c r="D262" s="372"/>
      <c r="E262" s="373" t="s">
        <v>1094</v>
      </c>
      <c r="F262" s="379" t="s">
        <v>1593</v>
      </c>
      <c r="G262" s="372"/>
    </row>
    <row r="263" spans="1:7" ht="30" x14ac:dyDescent="0.25">
      <c r="A263" s="369" t="s">
        <v>914</v>
      </c>
      <c r="B263" s="369" t="s">
        <v>1601</v>
      </c>
      <c r="C263" s="369" t="s">
        <v>1602</v>
      </c>
      <c r="D263" s="369"/>
      <c r="E263" s="370" t="s">
        <v>851</v>
      </c>
      <c r="F263" s="369">
        <v>1003370775</v>
      </c>
      <c r="G263" s="372"/>
    </row>
    <row r="264" spans="1:7" ht="30" x14ac:dyDescent="0.25">
      <c r="A264" s="372" t="s">
        <v>896</v>
      </c>
      <c r="B264" s="372" t="s">
        <v>992</v>
      </c>
      <c r="C264" s="372" t="s">
        <v>1530</v>
      </c>
      <c r="D264" s="372" t="s">
        <v>1357</v>
      </c>
      <c r="E264" s="373" t="s">
        <v>851</v>
      </c>
      <c r="F264" s="372">
        <v>1002847645</v>
      </c>
      <c r="G264" s="372"/>
    </row>
    <row r="265" spans="1:7" ht="30" x14ac:dyDescent="0.25">
      <c r="A265" s="369" t="s">
        <v>914</v>
      </c>
      <c r="B265" s="369" t="s">
        <v>943</v>
      </c>
      <c r="C265" s="369" t="s">
        <v>1198</v>
      </c>
      <c r="D265" s="369"/>
      <c r="E265" s="370" t="s">
        <v>851</v>
      </c>
      <c r="F265" s="369">
        <v>1059605317</v>
      </c>
      <c r="G265" s="372"/>
    </row>
    <row r="266" spans="1:7" ht="30" x14ac:dyDescent="0.25">
      <c r="A266" s="372" t="s">
        <v>873</v>
      </c>
      <c r="B266" s="372" t="s">
        <v>874</v>
      </c>
      <c r="C266" s="372" t="s">
        <v>1612</v>
      </c>
      <c r="D266" s="372" t="s">
        <v>1613</v>
      </c>
      <c r="E266" s="373" t="s">
        <v>851</v>
      </c>
      <c r="F266" s="372">
        <v>1002849103</v>
      </c>
      <c r="G266" s="372"/>
    </row>
    <row r="267" spans="1:7" ht="30" x14ac:dyDescent="0.25">
      <c r="A267" s="369" t="s">
        <v>1621</v>
      </c>
      <c r="B267" s="369" t="s">
        <v>1622</v>
      </c>
      <c r="C267" s="369" t="s">
        <v>1619</v>
      </c>
      <c r="D267" s="369" t="s">
        <v>1620</v>
      </c>
      <c r="E267" s="370" t="s">
        <v>851</v>
      </c>
      <c r="F267" s="369">
        <v>1104776221</v>
      </c>
      <c r="G267" s="372"/>
    </row>
    <row r="268" spans="1:7" ht="30" x14ac:dyDescent="0.25">
      <c r="A268" s="372" t="s">
        <v>980</v>
      </c>
      <c r="B268" s="372" t="s">
        <v>914</v>
      </c>
      <c r="C268" s="372" t="s">
        <v>1623</v>
      </c>
      <c r="D268" s="372"/>
      <c r="E268" s="373" t="s">
        <v>851</v>
      </c>
      <c r="F268" s="372">
        <v>1059596737</v>
      </c>
      <c r="G268" s="372"/>
    </row>
    <row r="269" spans="1:7" ht="30" x14ac:dyDescent="0.25">
      <c r="A269" s="369" t="s">
        <v>1629</v>
      </c>
      <c r="B269" s="369" t="s">
        <v>1249</v>
      </c>
      <c r="C269" s="369" t="s">
        <v>1630</v>
      </c>
      <c r="D269" s="369"/>
      <c r="E269" s="370" t="s">
        <v>851</v>
      </c>
      <c r="F269" s="369">
        <v>1059601748</v>
      </c>
      <c r="G269" s="372"/>
    </row>
    <row r="270" spans="1:7" ht="30" x14ac:dyDescent="0.25">
      <c r="A270" s="372" t="s">
        <v>896</v>
      </c>
      <c r="B270" s="372" t="s">
        <v>1632</v>
      </c>
      <c r="C270" s="372" t="s">
        <v>1633</v>
      </c>
      <c r="D270" s="372"/>
      <c r="E270" s="373" t="s">
        <v>851</v>
      </c>
      <c r="F270" s="383" t="s">
        <v>1631</v>
      </c>
      <c r="G270" s="372"/>
    </row>
    <row r="271" spans="1:7" ht="30" x14ac:dyDescent="0.25">
      <c r="A271" s="369" t="s">
        <v>953</v>
      </c>
      <c r="B271" s="369" t="s">
        <v>1660</v>
      </c>
      <c r="C271" s="369" t="s">
        <v>1217</v>
      </c>
      <c r="D271" s="369" t="s">
        <v>1661</v>
      </c>
      <c r="E271" s="370" t="s">
        <v>851</v>
      </c>
      <c r="F271" s="369">
        <v>1002848134</v>
      </c>
      <c r="G271" s="372"/>
    </row>
    <row r="272" spans="1:7" ht="30" x14ac:dyDescent="0.25">
      <c r="A272" s="372" t="s">
        <v>848</v>
      </c>
      <c r="B272" s="372" t="s">
        <v>1034</v>
      </c>
      <c r="C272" s="372" t="s">
        <v>1612</v>
      </c>
      <c r="D272" s="372" t="s">
        <v>1662</v>
      </c>
      <c r="E272" s="373" t="s">
        <v>851</v>
      </c>
      <c r="F272" s="372">
        <v>1059601726</v>
      </c>
      <c r="G272" s="372"/>
    </row>
    <row r="273" spans="1:7" ht="30" x14ac:dyDescent="0.25">
      <c r="A273" s="369" t="s">
        <v>1663</v>
      </c>
      <c r="B273" s="369" t="s">
        <v>1664</v>
      </c>
      <c r="C273" s="369" t="s">
        <v>938</v>
      </c>
      <c r="D273" s="369" t="s">
        <v>1665</v>
      </c>
      <c r="E273" s="370" t="s">
        <v>851</v>
      </c>
      <c r="F273" s="369">
        <v>1059601634</v>
      </c>
      <c r="G273" s="372"/>
    </row>
    <row r="274" spans="1:7" ht="30" x14ac:dyDescent="0.25">
      <c r="A274" s="372" t="s">
        <v>980</v>
      </c>
      <c r="B274" s="372" t="s">
        <v>1666</v>
      </c>
      <c r="C274" s="372" t="s">
        <v>1287</v>
      </c>
      <c r="D274" s="372" t="s">
        <v>919</v>
      </c>
      <c r="E274" s="373" t="s">
        <v>851</v>
      </c>
      <c r="F274" s="372">
        <v>1002846819</v>
      </c>
      <c r="G274" s="372"/>
    </row>
    <row r="275" spans="1:7" ht="30" x14ac:dyDescent="0.25">
      <c r="A275" s="369" t="s">
        <v>1667</v>
      </c>
      <c r="B275" s="369" t="s">
        <v>1668</v>
      </c>
      <c r="C275" s="369" t="s">
        <v>1669</v>
      </c>
      <c r="D275" s="369"/>
      <c r="E275" s="370" t="s">
        <v>851</v>
      </c>
      <c r="F275" s="369">
        <v>1064426895</v>
      </c>
      <c r="G275" s="372"/>
    </row>
    <row r="276" spans="1:7" ht="30" x14ac:dyDescent="0.25">
      <c r="A276" s="372" t="s">
        <v>943</v>
      </c>
      <c r="B276" s="372" t="s">
        <v>848</v>
      </c>
      <c r="C276" s="372" t="s">
        <v>1673</v>
      </c>
      <c r="D276" s="372" t="s">
        <v>1674</v>
      </c>
      <c r="E276" s="373" t="s">
        <v>851</v>
      </c>
      <c r="F276" s="384" t="s">
        <v>1672</v>
      </c>
      <c r="G276" s="372"/>
    </row>
    <row r="277" spans="1:7" ht="30" x14ac:dyDescent="0.25">
      <c r="A277" s="369" t="s">
        <v>848</v>
      </c>
      <c r="B277" s="369" t="s">
        <v>914</v>
      </c>
      <c r="C277" s="369" t="s">
        <v>1683</v>
      </c>
      <c r="D277" s="369"/>
      <c r="E277" s="370" t="s">
        <v>851</v>
      </c>
      <c r="F277" s="385" t="s">
        <v>1682</v>
      </c>
      <c r="G277" s="372"/>
    </row>
    <row r="278" spans="1:7" x14ac:dyDescent="0.25">
      <c r="A278" s="425" t="s">
        <v>1693</v>
      </c>
      <c r="B278" s="425"/>
      <c r="C278" s="425"/>
      <c r="D278" s="425"/>
      <c r="E278" s="425"/>
      <c r="F278" s="425"/>
      <c r="G278" s="372"/>
    </row>
    <row r="279" spans="1:7" ht="45" x14ac:dyDescent="0.25">
      <c r="A279" s="367" t="s">
        <v>94</v>
      </c>
      <c r="B279" s="367" t="s">
        <v>21</v>
      </c>
      <c r="C279" s="367" t="s">
        <v>0</v>
      </c>
      <c r="D279" s="367" t="s">
        <v>1</v>
      </c>
      <c r="E279" s="367" t="s">
        <v>2</v>
      </c>
      <c r="F279" s="367" t="s">
        <v>3</v>
      </c>
      <c r="G279" s="372"/>
    </row>
    <row r="280" spans="1:7" ht="30" x14ac:dyDescent="0.25">
      <c r="A280" s="372" t="s">
        <v>914</v>
      </c>
      <c r="B280" s="372" t="s">
        <v>884</v>
      </c>
      <c r="C280" s="372" t="s">
        <v>1296</v>
      </c>
      <c r="D280" s="372" t="s">
        <v>850</v>
      </c>
      <c r="E280" s="373" t="s">
        <v>851</v>
      </c>
      <c r="F280" s="372">
        <v>1060186045</v>
      </c>
      <c r="G280" s="372"/>
    </row>
    <row r="281" spans="1:7" ht="30" x14ac:dyDescent="0.25">
      <c r="A281" s="369" t="s">
        <v>1305</v>
      </c>
      <c r="B281" s="369" t="s">
        <v>884</v>
      </c>
      <c r="C281" s="369" t="s">
        <v>1306</v>
      </c>
      <c r="D281" s="369" t="s">
        <v>1307</v>
      </c>
      <c r="E281" s="370" t="s">
        <v>851</v>
      </c>
      <c r="F281" s="369">
        <v>1059604869</v>
      </c>
      <c r="G281" s="372"/>
    </row>
    <row r="282" spans="1:7" ht="30" x14ac:dyDescent="0.25">
      <c r="A282" s="372" t="s">
        <v>914</v>
      </c>
      <c r="B282" s="372" t="s">
        <v>1318</v>
      </c>
      <c r="C282" s="372" t="s">
        <v>1319</v>
      </c>
      <c r="D282" s="372"/>
      <c r="E282" s="373" t="s">
        <v>851</v>
      </c>
      <c r="F282" s="372" t="s">
        <v>1320</v>
      </c>
      <c r="G282" s="372"/>
    </row>
    <row r="283" spans="1:7" ht="30" x14ac:dyDescent="0.25">
      <c r="A283" s="369" t="s">
        <v>1332</v>
      </c>
      <c r="B283" s="369" t="s">
        <v>1091</v>
      </c>
      <c r="C283" s="369" t="s">
        <v>1333</v>
      </c>
      <c r="D283" s="369"/>
      <c r="E283" s="370" t="s">
        <v>1094</v>
      </c>
      <c r="F283" s="369">
        <v>1059595374</v>
      </c>
      <c r="G283" s="372"/>
    </row>
    <row r="284" spans="1:7" ht="30" x14ac:dyDescent="0.25">
      <c r="A284" s="372" t="s">
        <v>874</v>
      </c>
      <c r="B284" s="372" t="s">
        <v>943</v>
      </c>
      <c r="C284" s="372" t="s">
        <v>1340</v>
      </c>
      <c r="D284" s="372"/>
      <c r="E284" s="373" t="s">
        <v>1094</v>
      </c>
      <c r="F284" s="372">
        <v>1059597393</v>
      </c>
      <c r="G284" s="372"/>
    </row>
    <row r="285" spans="1:7" ht="30" x14ac:dyDescent="0.25">
      <c r="A285" s="369" t="s">
        <v>914</v>
      </c>
      <c r="B285" s="369" t="s">
        <v>915</v>
      </c>
      <c r="C285" s="369" t="s">
        <v>916</v>
      </c>
      <c r="D285" s="369"/>
      <c r="E285" s="370" t="s">
        <v>1094</v>
      </c>
      <c r="F285" s="369">
        <v>1059598169</v>
      </c>
      <c r="G285" s="372"/>
    </row>
    <row r="286" spans="1:7" ht="30" x14ac:dyDescent="0.25">
      <c r="A286" s="372" t="s">
        <v>1360</v>
      </c>
      <c r="B286" s="372" t="s">
        <v>1361</v>
      </c>
      <c r="C286" s="372" t="s">
        <v>938</v>
      </c>
      <c r="D286" s="372" t="s">
        <v>1362</v>
      </c>
      <c r="E286" s="373" t="s">
        <v>851</v>
      </c>
      <c r="F286" s="372" t="s">
        <v>1363</v>
      </c>
      <c r="G286" s="372"/>
    </row>
    <row r="287" spans="1:7" ht="30" x14ac:dyDescent="0.25">
      <c r="A287" s="369" t="s">
        <v>1286</v>
      </c>
      <c r="B287" s="369" t="s">
        <v>914</v>
      </c>
      <c r="C287" s="369" t="s">
        <v>1198</v>
      </c>
      <c r="D287" s="369" t="s">
        <v>1364</v>
      </c>
      <c r="E287" s="370" t="s">
        <v>851</v>
      </c>
      <c r="F287" s="369">
        <v>1059600026</v>
      </c>
      <c r="G287" s="372"/>
    </row>
    <row r="288" spans="1:7" ht="30" x14ac:dyDescent="0.25">
      <c r="A288" s="372" t="s">
        <v>857</v>
      </c>
      <c r="B288" s="372" t="s">
        <v>1365</v>
      </c>
      <c r="C288" s="372" t="s">
        <v>949</v>
      </c>
      <c r="D288" s="372" t="s">
        <v>1366</v>
      </c>
      <c r="E288" s="373" t="s">
        <v>851</v>
      </c>
      <c r="F288" s="372">
        <v>1002953350</v>
      </c>
      <c r="G288" s="372"/>
    </row>
    <row r="289" spans="1:7" ht="30" x14ac:dyDescent="0.25">
      <c r="A289" s="369" t="s">
        <v>1368</v>
      </c>
      <c r="B289" s="369" t="s">
        <v>1369</v>
      </c>
      <c r="C289" s="369" t="s">
        <v>1370</v>
      </c>
      <c r="D289" s="369" t="s">
        <v>982</v>
      </c>
      <c r="E289" s="370" t="s">
        <v>851</v>
      </c>
      <c r="F289" s="369">
        <v>1059603417</v>
      </c>
      <c r="G289" s="372"/>
    </row>
    <row r="290" spans="1:7" ht="30" x14ac:dyDescent="0.25">
      <c r="A290" s="372" t="s">
        <v>1382</v>
      </c>
      <c r="B290" s="372" t="s">
        <v>1382</v>
      </c>
      <c r="C290" s="372" t="s">
        <v>1383</v>
      </c>
      <c r="D290" s="372"/>
      <c r="E290" s="373" t="s">
        <v>851</v>
      </c>
      <c r="F290" s="372">
        <v>1003371767</v>
      </c>
      <c r="G290" s="372"/>
    </row>
    <row r="291" spans="1:7" ht="30" x14ac:dyDescent="0.25">
      <c r="A291" s="369" t="s">
        <v>873</v>
      </c>
      <c r="B291" s="369" t="s">
        <v>1391</v>
      </c>
      <c r="C291" s="369" t="s">
        <v>985</v>
      </c>
      <c r="D291" s="369" t="s">
        <v>1392</v>
      </c>
      <c r="E291" s="370" t="s">
        <v>851</v>
      </c>
      <c r="F291" s="369">
        <v>25547491</v>
      </c>
      <c r="G291" s="372"/>
    </row>
    <row r="292" spans="1:7" ht="30" x14ac:dyDescent="0.25">
      <c r="A292" s="372" t="s">
        <v>979</v>
      </c>
      <c r="B292" s="372" t="s">
        <v>943</v>
      </c>
      <c r="C292" s="372" t="s">
        <v>1217</v>
      </c>
      <c r="D292" s="372" t="s">
        <v>1398</v>
      </c>
      <c r="E292" s="373" t="s">
        <v>851</v>
      </c>
      <c r="F292" s="372">
        <v>1002846528</v>
      </c>
      <c r="G292" s="372"/>
    </row>
    <row r="293" spans="1:7" ht="30" x14ac:dyDescent="0.25">
      <c r="A293" s="369" t="s">
        <v>873</v>
      </c>
      <c r="B293" s="369" t="s">
        <v>944</v>
      </c>
      <c r="C293" s="369" t="s">
        <v>1399</v>
      </c>
      <c r="D293" s="369" t="s">
        <v>1400</v>
      </c>
      <c r="E293" s="370" t="s">
        <v>851</v>
      </c>
      <c r="F293" s="369">
        <v>1002848796</v>
      </c>
      <c r="G293" s="372"/>
    </row>
    <row r="294" spans="1:7" ht="30" x14ac:dyDescent="0.25">
      <c r="A294" s="372" t="s">
        <v>1405</v>
      </c>
      <c r="B294" s="372" t="s">
        <v>884</v>
      </c>
      <c r="C294" s="372" t="s">
        <v>1406</v>
      </c>
      <c r="D294" s="372" t="s">
        <v>1407</v>
      </c>
      <c r="E294" s="373" t="s">
        <v>851</v>
      </c>
      <c r="F294" s="372">
        <v>1059601552</v>
      </c>
      <c r="G294" s="372"/>
    </row>
    <row r="295" spans="1:7" ht="30" x14ac:dyDescent="0.25">
      <c r="A295" s="369" t="s">
        <v>1034</v>
      </c>
      <c r="B295" s="369" t="s">
        <v>1166</v>
      </c>
      <c r="C295" s="369" t="s">
        <v>1408</v>
      </c>
      <c r="D295" s="369" t="s">
        <v>1409</v>
      </c>
      <c r="E295" s="370" t="s">
        <v>851</v>
      </c>
      <c r="F295" s="369">
        <v>1005860830</v>
      </c>
      <c r="G295" s="372"/>
    </row>
    <row r="296" spans="1:7" ht="30" x14ac:dyDescent="0.25">
      <c r="A296" s="372" t="s">
        <v>944</v>
      </c>
      <c r="B296" s="372" t="s">
        <v>943</v>
      </c>
      <c r="C296" s="372" t="s">
        <v>1421</v>
      </c>
      <c r="D296" s="372"/>
      <c r="E296" s="373" t="s">
        <v>851</v>
      </c>
      <c r="F296" s="372">
        <v>1002846330</v>
      </c>
      <c r="G296" s="372"/>
    </row>
    <row r="297" spans="1:7" ht="30" x14ac:dyDescent="0.25">
      <c r="A297" s="369" t="s">
        <v>848</v>
      </c>
      <c r="B297" s="369" t="s">
        <v>943</v>
      </c>
      <c r="C297" s="369" t="s">
        <v>1423</v>
      </c>
      <c r="D297" s="369"/>
      <c r="E297" s="370" t="s">
        <v>851</v>
      </c>
      <c r="F297" s="369">
        <v>1193097625</v>
      </c>
      <c r="G297" s="372"/>
    </row>
    <row r="298" spans="1:7" ht="30" x14ac:dyDescent="0.25">
      <c r="A298" s="372" t="s">
        <v>1427</v>
      </c>
      <c r="B298" s="372" t="s">
        <v>1428</v>
      </c>
      <c r="C298" s="372" t="s">
        <v>1429</v>
      </c>
      <c r="D298" s="372" t="s">
        <v>1430</v>
      </c>
      <c r="E298" s="373" t="s">
        <v>851</v>
      </c>
      <c r="F298" s="372">
        <v>1061528490</v>
      </c>
      <c r="G298" s="372"/>
    </row>
    <row r="299" spans="1:7" ht="30" x14ac:dyDescent="0.25">
      <c r="A299" s="369" t="s">
        <v>873</v>
      </c>
      <c r="B299" s="369" t="s">
        <v>1435</v>
      </c>
      <c r="C299" s="369" t="s">
        <v>1436</v>
      </c>
      <c r="D299" s="369" t="s">
        <v>1437</v>
      </c>
      <c r="E299" s="370" t="s">
        <v>851</v>
      </c>
      <c r="F299" s="369">
        <v>1059601742</v>
      </c>
      <c r="G299" s="372"/>
    </row>
    <row r="300" spans="1:7" ht="30" x14ac:dyDescent="0.25">
      <c r="A300" s="372" t="s">
        <v>1439</v>
      </c>
      <c r="B300" s="372" t="s">
        <v>884</v>
      </c>
      <c r="C300" s="372" t="s">
        <v>1440</v>
      </c>
      <c r="D300" s="372" t="s">
        <v>1294</v>
      </c>
      <c r="E300" s="373" t="s">
        <v>851</v>
      </c>
      <c r="F300" s="372">
        <v>1002847533</v>
      </c>
      <c r="G300" s="372"/>
    </row>
    <row r="301" spans="1:7" ht="30" x14ac:dyDescent="0.25">
      <c r="A301" s="369" t="s">
        <v>1441</v>
      </c>
      <c r="B301" s="369"/>
      <c r="C301" s="369" t="s">
        <v>1284</v>
      </c>
      <c r="D301" s="369" t="s">
        <v>1442</v>
      </c>
      <c r="E301" s="370" t="s">
        <v>851</v>
      </c>
      <c r="F301" s="369">
        <v>1002848635</v>
      </c>
      <c r="G301" s="372"/>
    </row>
    <row r="302" spans="1:7" ht="30" x14ac:dyDescent="0.25">
      <c r="A302" s="372" t="s">
        <v>1443</v>
      </c>
      <c r="B302" s="372" t="s">
        <v>1444</v>
      </c>
      <c r="C302" s="372" t="s">
        <v>1445</v>
      </c>
      <c r="D302" s="372"/>
      <c r="E302" s="373" t="s">
        <v>851</v>
      </c>
      <c r="F302" s="372">
        <v>1061757665</v>
      </c>
      <c r="G302" s="372"/>
    </row>
    <row r="303" spans="1:7" ht="30" x14ac:dyDescent="0.25">
      <c r="A303" s="369" t="s">
        <v>1179</v>
      </c>
      <c r="B303" s="369" t="s">
        <v>1435</v>
      </c>
      <c r="C303" s="369" t="s">
        <v>1448</v>
      </c>
      <c r="D303" s="369" t="s">
        <v>1294</v>
      </c>
      <c r="E303" s="370" t="s">
        <v>851</v>
      </c>
      <c r="F303" s="369">
        <v>1059594096</v>
      </c>
      <c r="G303" s="372"/>
    </row>
    <row r="304" spans="1:7" ht="30" x14ac:dyDescent="0.25">
      <c r="A304" s="372" t="s">
        <v>1441</v>
      </c>
      <c r="B304" s="372" t="s">
        <v>914</v>
      </c>
      <c r="C304" s="372" t="s">
        <v>1451</v>
      </c>
      <c r="D304" s="372"/>
      <c r="E304" s="373" t="s">
        <v>851</v>
      </c>
      <c r="F304" s="372">
        <v>1059598007</v>
      </c>
      <c r="G304" s="372"/>
    </row>
    <row r="305" spans="1:7" ht="30" x14ac:dyDescent="0.25">
      <c r="A305" s="369" t="s">
        <v>1455</v>
      </c>
      <c r="B305" s="369" t="s">
        <v>974</v>
      </c>
      <c r="C305" s="369" t="s">
        <v>1305</v>
      </c>
      <c r="D305" s="369" t="s">
        <v>1456</v>
      </c>
      <c r="E305" s="370" t="s">
        <v>1094</v>
      </c>
      <c r="F305" s="369">
        <v>1059595977</v>
      </c>
      <c r="G305" s="372"/>
    </row>
    <row r="306" spans="1:7" ht="30" x14ac:dyDescent="0.25">
      <c r="A306" s="372" t="s">
        <v>1441</v>
      </c>
      <c r="B306" s="372" t="s">
        <v>884</v>
      </c>
      <c r="C306" s="372" t="s">
        <v>1457</v>
      </c>
      <c r="D306" s="372"/>
      <c r="E306" s="373" t="s">
        <v>851</v>
      </c>
      <c r="F306" s="372">
        <v>25545401</v>
      </c>
      <c r="G306" s="372"/>
    </row>
    <row r="307" spans="1:7" ht="30" x14ac:dyDescent="0.25">
      <c r="A307" s="369" t="s">
        <v>1458</v>
      </c>
      <c r="B307" s="369" t="s">
        <v>1459</v>
      </c>
      <c r="C307" s="369" t="s">
        <v>1460</v>
      </c>
      <c r="D307" s="369" t="s">
        <v>976</v>
      </c>
      <c r="E307" s="370" t="s">
        <v>1094</v>
      </c>
      <c r="F307" s="369">
        <v>1062295885</v>
      </c>
      <c r="G307" s="372"/>
    </row>
    <row r="308" spans="1:7" ht="30" x14ac:dyDescent="0.25">
      <c r="A308" s="372" t="s">
        <v>944</v>
      </c>
      <c r="B308" s="372" t="s">
        <v>943</v>
      </c>
      <c r="C308" s="372" t="s">
        <v>1463</v>
      </c>
      <c r="D308" s="372" t="s">
        <v>1464</v>
      </c>
      <c r="E308" s="373" t="s">
        <v>1094</v>
      </c>
      <c r="F308" s="372">
        <v>1060186081</v>
      </c>
      <c r="G308" s="372"/>
    </row>
    <row r="309" spans="1:7" ht="30" x14ac:dyDescent="0.25">
      <c r="A309" s="369" t="s">
        <v>964</v>
      </c>
      <c r="B309" s="369" t="s">
        <v>1465</v>
      </c>
      <c r="C309" s="369" t="s">
        <v>1002</v>
      </c>
      <c r="D309" s="369" t="s">
        <v>1366</v>
      </c>
      <c r="E309" s="370" t="s">
        <v>1094</v>
      </c>
      <c r="F309" s="369">
        <v>1061530990</v>
      </c>
      <c r="G309" s="372"/>
    </row>
    <row r="310" spans="1:7" ht="30" x14ac:dyDescent="0.25">
      <c r="A310" s="372" t="s">
        <v>943</v>
      </c>
      <c r="B310" s="372" t="s">
        <v>1144</v>
      </c>
      <c r="C310" s="372" t="s">
        <v>1468</v>
      </c>
      <c r="D310" s="372" t="s">
        <v>1281</v>
      </c>
      <c r="E310" s="373" t="s">
        <v>851</v>
      </c>
      <c r="F310" s="372">
        <v>1059607505</v>
      </c>
      <c r="G310" s="372"/>
    </row>
    <row r="311" spans="1:7" ht="30" x14ac:dyDescent="0.25">
      <c r="A311" s="369" t="s">
        <v>914</v>
      </c>
      <c r="B311" s="369" t="s">
        <v>1276</v>
      </c>
      <c r="C311" s="369" t="s">
        <v>938</v>
      </c>
      <c r="D311" s="369" t="s">
        <v>1484</v>
      </c>
      <c r="E311" s="370" t="s">
        <v>851</v>
      </c>
      <c r="F311" s="369">
        <v>1002846249</v>
      </c>
      <c r="G311" s="372"/>
    </row>
    <row r="312" spans="1:7" ht="30" x14ac:dyDescent="0.25">
      <c r="A312" s="372" t="s">
        <v>914</v>
      </c>
      <c r="B312" s="372" t="s">
        <v>848</v>
      </c>
      <c r="C312" s="372" t="s">
        <v>1485</v>
      </c>
      <c r="D312" s="372" t="s">
        <v>1285</v>
      </c>
      <c r="E312" s="373" t="s">
        <v>851</v>
      </c>
      <c r="F312" s="372" t="s">
        <v>1486</v>
      </c>
      <c r="G312" s="372"/>
    </row>
    <row r="313" spans="1:7" ht="30" x14ac:dyDescent="0.25">
      <c r="A313" s="369" t="s">
        <v>974</v>
      </c>
      <c r="B313" s="369" t="s">
        <v>943</v>
      </c>
      <c r="C313" s="369" t="s">
        <v>1217</v>
      </c>
      <c r="D313" s="369" t="s">
        <v>1490</v>
      </c>
      <c r="E313" s="370" t="s">
        <v>851</v>
      </c>
      <c r="F313" s="369" t="s">
        <v>1491</v>
      </c>
      <c r="G313" s="372"/>
    </row>
    <row r="314" spans="1:7" ht="30" x14ac:dyDescent="0.25">
      <c r="A314" s="372" t="s">
        <v>992</v>
      </c>
      <c r="B314" s="372" t="s">
        <v>1498</v>
      </c>
      <c r="C314" s="372" t="s">
        <v>938</v>
      </c>
      <c r="D314" s="372" t="s">
        <v>1499</v>
      </c>
      <c r="E314" s="373" t="s">
        <v>851</v>
      </c>
      <c r="F314" s="372" t="s">
        <v>1500</v>
      </c>
      <c r="G314" s="372"/>
    </row>
    <row r="315" spans="1:7" ht="30" x14ac:dyDescent="0.25">
      <c r="A315" s="369" t="s">
        <v>1041</v>
      </c>
      <c r="B315" s="369" t="s">
        <v>1147</v>
      </c>
      <c r="C315" s="369" t="s">
        <v>1512</v>
      </c>
      <c r="D315" s="369"/>
      <c r="E315" s="370" t="s">
        <v>851</v>
      </c>
      <c r="F315" s="369">
        <v>1059604976</v>
      </c>
      <c r="G315" s="372"/>
    </row>
    <row r="316" spans="1:7" ht="30" x14ac:dyDescent="0.25">
      <c r="A316" s="372" t="s">
        <v>1513</v>
      </c>
      <c r="B316" s="372" t="s">
        <v>1514</v>
      </c>
      <c r="C316" s="372" t="s">
        <v>1515</v>
      </c>
      <c r="D316" s="372"/>
      <c r="E316" s="373" t="s">
        <v>851</v>
      </c>
      <c r="F316" s="372">
        <v>1067461286</v>
      </c>
      <c r="G316" s="372"/>
    </row>
    <row r="317" spans="1:7" ht="30" x14ac:dyDescent="0.25">
      <c r="A317" s="369" t="s">
        <v>1519</v>
      </c>
      <c r="B317" s="369" t="s">
        <v>848</v>
      </c>
      <c r="C317" s="369" t="s">
        <v>1520</v>
      </c>
      <c r="D317" s="369" t="s">
        <v>1521</v>
      </c>
      <c r="E317" s="370" t="s">
        <v>851</v>
      </c>
      <c r="F317" s="369">
        <v>1002950269</v>
      </c>
      <c r="G317" s="372"/>
    </row>
    <row r="318" spans="1:7" ht="30" x14ac:dyDescent="0.25">
      <c r="A318" s="372" t="s">
        <v>884</v>
      </c>
      <c r="B318" s="372" t="s">
        <v>1524</v>
      </c>
      <c r="C318" s="372" t="s">
        <v>945</v>
      </c>
      <c r="D318" s="372" t="s">
        <v>919</v>
      </c>
      <c r="E318" s="373" t="s">
        <v>851</v>
      </c>
      <c r="F318" s="372">
        <v>1002970266</v>
      </c>
      <c r="G318" s="372"/>
    </row>
    <row r="319" spans="1:7" ht="30" x14ac:dyDescent="0.25">
      <c r="A319" s="369" t="s">
        <v>1361</v>
      </c>
      <c r="B319" s="369" t="s">
        <v>992</v>
      </c>
      <c r="C319" s="369" t="s">
        <v>1531</v>
      </c>
      <c r="D319" s="369"/>
      <c r="E319" s="370" t="s">
        <v>851</v>
      </c>
      <c r="F319" s="369">
        <v>1151452891</v>
      </c>
      <c r="G319" s="372"/>
    </row>
    <row r="320" spans="1:7" ht="30" x14ac:dyDescent="0.25">
      <c r="A320" s="372" t="s">
        <v>914</v>
      </c>
      <c r="B320" s="372" t="s">
        <v>1470</v>
      </c>
      <c r="C320" s="372" t="s">
        <v>1167</v>
      </c>
      <c r="D320" s="372" t="s">
        <v>1043</v>
      </c>
      <c r="E320" s="373" t="s">
        <v>851</v>
      </c>
      <c r="F320" s="372">
        <v>1193105051</v>
      </c>
      <c r="G320" s="372"/>
    </row>
    <row r="321" spans="1:7" ht="30" x14ac:dyDescent="0.25">
      <c r="A321" s="369" t="s">
        <v>1286</v>
      </c>
      <c r="B321" s="369" t="s">
        <v>980</v>
      </c>
      <c r="C321" s="369" t="s">
        <v>1528</v>
      </c>
      <c r="D321" s="369" t="s">
        <v>1281</v>
      </c>
      <c r="E321" s="370" t="s">
        <v>851</v>
      </c>
      <c r="F321" s="369">
        <v>1059596092</v>
      </c>
      <c r="G321" s="372"/>
    </row>
    <row r="322" spans="1:7" ht="30" x14ac:dyDescent="0.25">
      <c r="A322" s="372" t="s">
        <v>884</v>
      </c>
      <c r="B322" s="372" t="s">
        <v>1144</v>
      </c>
      <c r="C322" s="372" t="s">
        <v>1534</v>
      </c>
      <c r="D322" s="372"/>
      <c r="E322" s="373" t="s">
        <v>851</v>
      </c>
      <c r="F322" s="377">
        <v>1002846626</v>
      </c>
      <c r="G322" s="372"/>
    </row>
    <row r="323" spans="1:7" ht="30" x14ac:dyDescent="0.25">
      <c r="A323" s="369" t="s">
        <v>1246</v>
      </c>
      <c r="B323" s="369" t="s">
        <v>943</v>
      </c>
      <c r="C323" s="369" t="s">
        <v>1535</v>
      </c>
      <c r="D323" s="369"/>
      <c r="E323" s="370" t="s">
        <v>851</v>
      </c>
      <c r="F323" s="376">
        <v>1002848307</v>
      </c>
      <c r="G323" s="372"/>
    </row>
    <row r="324" spans="1:7" ht="30" x14ac:dyDescent="0.25">
      <c r="A324" s="372" t="s">
        <v>873</v>
      </c>
      <c r="B324" s="372" t="s">
        <v>1091</v>
      </c>
      <c r="C324" s="372" t="s">
        <v>1277</v>
      </c>
      <c r="D324" s="372"/>
      <c r="E324" s="373" t="s">
        <v>851</v>
      </c>
      <c r="F324" s="390">
        <v>1059598472</v>
      </c>
      <c r="G324" s="372"/>
    </row>
    <row r="325" spans="1:7" ht="30" x14ac:dyDescent="0.25">
      <c r="A325" s="369" t="s">
        <v>1540</v>
      </c>
      <c r="B325" s="369" t="s">
        <v>943</v>
      </c>
      <c r="C325" s="369" t="s">
        <v>1541</v>
      </c>
      <c r="D325" s="369" t="s">
        <v>1542</v>
      </c>
      <c r="E325" s="370" t="s">
        <v>851</v>
      </c>
      <c r="F325" s="382" t="s">
        <v>1539</v>
      </c>
      <c r="G325" s="372"/>
    </row>
    <row r="326" spans="1:7" x14ac:dyDescent="0.25">
      <c r="A326" s="372" t="s">
        <v>943</v>
      </c>
      <c r="B326" s="372" t="s">
        <v>848</v>
      </c>
      <c r="C326" s="372" t="s">
        <v>1553</v>
      </c>
      <c r="D326" s="372"/>
      <c r="E326" s="373"/>
      <c r="F326" s="372">
        <v>1059594153</v>
      </c>
      <c r="G326" s="372"/>
    </row>
    <row r="327" spans="1:7" ht="30" x14ac:dyDescent="0.25">
      <c r="A327" s="369" t="s">
        <v>953</v>
      </c>
      <c r="B327" s="369" t="s">
        <v>1249</v>
      </c>
      <c r="C327" s="369" t="s">
        <v>1556</v>
      </c>
      <c r="D327" s="369"/>
      <c r="E327" s="370" t="s">
        <v>1094</v>
      </c>
      <c r="F327" s="369">
        <v>1059599873</v>
      </c>
      <c r="G327" s="372"/>
    </row>
    <row r="328" spans="1:7" x14ac:dyDescent="0.25">
      <c r="A328" s="372" t="s">
        <v>896</v>
      </c>
      <c r="B328" s="372" t="s">
        <v>953</v>
      </c>
      <c r="C328" s="372" t="s">
        <v>1634</v>
      </c>
      <c r="D328" s="372"/>
      <c r="E328" s="373"/>
      <c r="F328" s="372">
        <v>1002848733</v>
      </c>
      <c r="G328" s="372"/>
    </row>
    <row r="329" spans="1:7" ht="30" x14ac:dyDescent="0.25">
      <c r="A329" s="369" t="s">
        <v>896</v>
      </c>
      <c r="B329" s="369" t="s">
        <v>915</v>
      </c>
      <c r="C329" s="369" t="s">
        <v>1585</v>
      </c>
      <c r="D329" s="369"/>
      <c r="E329" s="370" t="s">
        <v>851</v>
      </c>
      <c r="F329" s="369">
        <v>1059595460</v>
      </c>
      <c r="G329" s="372"/>
    </row>
    <row r="330" spans="1:7" ht="30" x14ac:dyDescent="0.25">
      <c r="A330" s="372" t="s">
        <v>873</v>
      </c>
      <c r="B330" s="372" t="s">
        <v>874</v>
      </c>
      <c r="C330" s="372" t="s">
        <v>1215</v>
      </c>
      <c r="D330" s="372"/>
      <c r="E330" s="373" t="s">
        <v>851</v>
      </c>
      <c r="F330" s="372">
        <v>1002849181</v>
      </c>
      <c r="G330" s="372"/>
    </row>
    <row r="331" spans="1:7" ht="30" x14ac:dyDescent="0.25">
      <c r="A331" s="369" t="s">
        <v>953</v>
      </c>
      <c r="B331" s="369" t="s">
        <v>1286</v>
      </c>
      <c r="C331" s="369" t="s">
        <v>1463</v>
      </c>
      <c r="D331" s="369" t="s">
        <v>1579</v>
      </c>
      <c r="E331" s="370" t="s">
        <v>851</v>
      </c>
      <c r="F331" s="382" t="s">
        <v>1578</v>
      </c>
      <c r="G331" s="372"/>
    </row>
    <row r="332" spans="1:7" ht="30" x14ac:dyDescent="0.25">
      <c r="A332" s="372" t="s">
        <v>1580</v>
      </c>
      <c r="B332" s="372" t="s">
        <v>914</v>
      </c>
      <c r="C332" s="372" t="s">
        <v>1581</v>
      </c>
      <c r="D332" s="372" t="s">
        <v>1464</v>
      </c>
      <c r="E332" s="373" t="s">
        <v>851</v>
      </c>
      <c r="F332" s="379">
        <v>1002846447</v>
      </c>
      <c r="G332" s="372"/>
    </row>
    <row r="333" spans="1:7" ht="30" x14ac:dyDescent="0.25">
      <c r="A333" s="369" t="s">
        <v>884</v>
      </c>
      <c r="B333" s="369" t="s">
        <v>1286</v>
      </c>
      <c r="C333" s="369" t="s">
        <v>1452</v>
      </c>
      <c r="D333" s="369"/>
      <c r="E333" s="370" t="s">
        <v>851</v>
      </c>
      <c r="F333" s="369">
        <v>25546688</v>
      </c>
      <c r="G333" s="372"/>
    </row>
    <row r="334" spans="1:7" ht="30" x14ac:dyDescent="0.25">
      <c r="A334" s="372" t="s">
        <v>1637</v>
      </c>
      <c r="B334" s="372" t="s">
        <v>1638</v>
      </c>
      <c r="C334" s="372" t="s">
        <v>1028</v>
      </c>
      <c r="D334" s="372"/>
      <c r="E334" s="373" t="s">
        <v>851</v>
      </c>
      <c r="F334" s="380">
        <v>1060986729</v>
      </c>
      <c r="G334" s="372"/>
    </row>
    <row r="335" spans="1:7" ht="30" x14ac:dyDescent="0.25">
      <c r="A335" s="369" t="s">
        <v>1210</v>
      </c>
      <c r="B335" s="369" t="s">
        <v>848</v>
      </c>
      <c r="C335" s="369" t="s">
        <v>1670</v>
      </c>
      <c r="D335" s="369" t="s">
        <v>1671</v>
      </c>
      <c r="E335" s="370" t="s">
        <v>851</v>
      </c>
      <c r="F335" s="369">
        <v>1059602883</v>
      </c>
      <c r="G335" s="372"/>
    </row>
    <row r="336" spans="1:7" ht="30" x14ac:dyDescent="0.25">
      <c r="A336" s="372" t="s">
        <v>1677</v>
      </c>
      <c r="B336" s="372" t="s">
        <v>962</v>
      </c>
      <c r="C336" s="372" t="s">
        <v>1678</v>
      </c>
      <c r="D336" s="372" t="s">
        <v>1679</v>
      </c>
      <c r="E336" s="373" t="s">
        <v>1094</v>
      </c>
      <c r="F336" s="386" t="s">
        <v>1676</v>
      </c>
      <c r="G336" s="372"/>
    </row>
    <row r="337" spans="1:7" x14ac:dyDescent="0.25">
      <c r="A337" s="423" t="s">
        <v>1694</v>
      </c>
      <c r="B337" s="423"/>
      <c r="C337" s="423"/>
      <c r="D337" s="423"/>
      <c r="E337" s="423"/>
      <c r="F337" s="423"/>
      <c r="G337" s="372"/>
    </row>
    <row r="338" spans="1:7" ht="45" x14ac:dyDescent="0.25">
      <c r="A338" s="367" t="s">
        <v>94</v>
      </c>
      <c r="B338" s="367" t="s">
        <v>21</v>
      </c>
      <c r="C338" s="367" t="s">
        <v>0</v>
      </c>
      <c r="D338" s="367" t="s">
        <v>1</v>
      </c>
      <c r="E338" s="367" t="s">
        <v>2</v>
      </c>
      <c r="F338" s="367" t="s">
        <v>3</v>
      </c>
      <c r="G338" s="372"/>
    </row>
    <row r="339" spans="1:7" ht="30" x14ac:dyDescent="0.25">
      <c r="A339" s="369" t="s">
        <v>1549</v>
      </c>
      <c r="B339" s="369" t="s">
        <v>1298</v>
      </c>
      <c r="C339" s="369" t="s">
        <v>1550</v>
      </c>
      <c r="D339" s="369" t="s">
        <v>1551</v>
      </c>
      <c r="E339" s="370" t="s">
        <v>851</v>
      </c>
      <c r="F339" s="381" t="s">
        <v>1548</v>
      </c>
      <c r="G339" s="372"/>
    </row>
    <row r="340" spans="1:7" ht="30" x14ac:dyDescent="0.25">
      <c r="A340" s="372" t="s">
        <v>1286</v>
      </c>
      <c r="B340" s="372" t="s">
        <v>943</v>
      </c>
      <c r="C340" s="372" t="s">
        <v>1681</v>
      </c>
      <c r="D340" s="372"/>
      <c r="E340" s="373" t="s">
        <v>851</v>
      </c>
      <c r="F340" s="386" t="s">
        <v>1680</v>
      </c>
      <c r="G340" s="372"/>
    </row>
    <row r="341" spans="1:7" x14ac:dyDescent="0.25">
      <c r="A341" s="423" t="s">
        <v>1695</v>
      </c>
      <c r="B341" s="423"/>
      <c r="C341" s="423"/>
      <c r="D341" s="423"/>
      <c r="E341" s="423"/>
      <c r="F341" s="423"/>
      <c r="G341" s="372"/>
    </row>
    <row r="342" spans="1:7" ht="45" x14ac:dyDescent="0.25">
      <c r="A342" s="367" t="s">
        <v>94</v>
      </c>
      <c r="B342" s="367" t="s">
        <v>21</v>
      </c>
      <c r="C342" s="367" t="s">
        <v>0</v>
      </c>
      <c r="D342" s="367" t="s">
        <v>1</v>
      </c>
      <c r="E342" s="367" t="s">
        <v>2</v>
      </c>
      <c r="F342" s="367" t="s">
        <v>3</v>
      </c>
      <c r="G342" s="372"/>
    </row>
    <row r="343" spans="1:7" ht="30" x14ac:dyDescent="0.25">
      <c r="A343" s="369" t="s">
        <v>974</v>
      </c>
      <c r="B343" s="369" t="s">
        <v>1144</v>
      </c>
      <c r="C343" s="369" t="s">
        <v>1192</v>
      </c>
      <c r="D343" s="369" t="s">
        <v>1193</v>
      </c>
      <c r="E343" s="370" t="s">
        <v>1094</v>
      </c>
      <c r="F343" s="369">
        <v>1059595334</v>
      </c>
      <c r="G343" s="372"/>
    </row>
    <row r="344" spans="1:7" ht="30" x14ac:dyDescent="0.25">
      <c r="A344" s="372" t="s">
        <v>896</v>
      </c>
      <c r="B344" s="372" t="s">
        <v>943</v>
      </c>
      <c r="C344" s="372" t="s">
        <v>1452</v>
      </c>
      <c r="D344" s="372" t="s">
        <v>1372</v>
      </c>
      <c r="E344" s="373" t="s">
        <v>851</v>
      </c>
      <c r="F344" s="372">
        <v>1059599315</v>
      </c>
      <c r="G344" s="372"/>
    </row>
    <row r="345" spans="1:7" ht="30" x14ac:dyDescent="0.25">
      <c r="A345" s="369" t="s">
        <v>1156</v>
      </c>
      <c r="B345" s="369" t="s">
        <v>883</v>
      </c>
      <c r="C345" s="369" t="s">
        <v>1157</v>
      </c>
      <c r="D345" s="369" t="s">
        <v>1466</v>
      </c>
      <c r="E345" s="370" t="s">
        <v>851</v>
      </c>
      <c r="F345" s="369">
        <v>1059594587</v>
      </c>
      <c r="G345" s="372"/>
    </row>
    <row r="346" spans="1:7" ht="30" x14ac:dyDescent="0.25">
      <c r="A346" s="372" t="s">
        <v>883</v>
      </c>
      <c r="B346" s="372" t="s">
        <v>1290</v>
      </c>
      <c r="C346" s="372" t="s">
        <v>1476</v>
      </c>
      <c r="D346" s="372"/>
      <c r="E346" s="373" t="s">
        <v>851</v>
      </c>
      <c r="F346" s="372">
        <v>1059604081</v>
      </c>
      <c r="G346" s="372"/>
    </row>
    <row r="347" spans="1:7" ht="30" x14ac:dyDescent="0.25">
      <c r="A347" s="369" t="s">
        <v>967</v>
      </c>
      <c r="B347" s="369" t="s">
        <v>980</v>
      </c>
      <c r="C347" s="369" t="s">
        <v>1492</v>
      </c>
      <c r="D347" s="369"/>
      <c r="E347" s="370" t="s">
        <v>851</v>
      </c>
      <c r="F347" s="369" t="s">
        <v>1493</v>
      </c>
      <c r="G347" s="372"/>
    </row>
    <row r="348" spans="1:7" ht="30" x14ac:dyDescent="0.25">
      <c r="A348" s="372" t="s">
        <v>884</v>
      </c>
      <c r="B348" s="372" t="s">
        <v>1378</v>
      </c>
      <c r="C348" s="372" t="s">
        <v>1494</v>
      </c>
      <c r="D348" s="372" t="s">
        <v>1495</v>
      </c>
      <c r="E348" s="373" t="s">
        <v>851</v>
      </c>
      <c r="F348" s="372" t="s">
        <v>1496</v>
      </c>
      <c r="G348" s="372"/>
    </row>
    <row r="349" spans="1:7" ht="30" x14ac:dyDescent="0.25">
      <c r="A349" s="369" t="s">
        <v>848</v>
      </c>
      <c r="B349" s="369" t="s">
        <v>953</v>
      </c>
      <c r="C349" s="369" t="s">
        <v>1501</v>
      </c>
      <c r="D349" s="369" t="s">
        <v>919</v>
      </c>
      <c r="E349" s="370" t="s">
        <v>851</v>
      </c>
      <c r="F349" s="369" t="s">
        <v>1502</v>
      </c>
      <c r="G349" s="372"/>
    </row>
    <row r="350" spans="1:7" ht="30" x14ac:dyDescent="0.25">
      <c r="A350" s="372" t="s">
        <v>992</v>
      </c>
      <c r="B350" s="372" t="s">
        <v>848</v>
      </c>
      <c r="C350" s="372" t="s">
        <v>1504</v>
      </c>
      <c r="D350" s="372" t="s">
        <v>1157</v>
      </c>
      <c r="E350" s="373" t="s">
        <v>851</v>
      </c>
      <c r="F350" s="372">
        <v>1002848292</v>
      </c>
      <c r="G350" s="372"/>
    </row>
    <row r="351" spans="1:7" ht="30" x14ac:dyDescent="0.25">
      <c r="A351" s="369" t="s">
        <v>1507</v>
      </c>
      <c r="B351" s="369" t="s">
        <v>1365</v>
      </c>
      <c r="C351" s="369" t="s">
        <v>1508</v>
      </c>
      <c r="D351" s="369"/>
      <c r="E351" s="370" t="s">
        <v>851</v>
      </c>
      <c r="F351" s="369">
        <v>1059600322</v>
      </c>
      <c r="G351" s="372"/>
    </row>
    <row r="352" spans="1:7" ht="30" x14ac:dyDescent="0.25">
      <c r="A352" s="372" t="s">
        <v>896</v>
      </c>
      <c r="B352" s="372" t="s">
        <v>953</v>
      </c>
      <c r="C352" s="372" t="s">
        <v>1530</v>
      </c>
      <c r="D352" s="372" t="s">
        <v>1182</v>
      </c>
      <c r="E352" s="373" t="s">
        <v>851</v>
      </c>
      <c r="F352" s="372">
        <v>1059594419</v>
      </c>
      <c r="G352" s="372"/>
    </row>
    <row r="353" spans="1:7" ht="30" x14ac:dyDescent="0.25">
      <c r="A353" s="369" t="s">
        <v>896</v>
      </c>
      <c r="B353" s="369" t="s">
        <v>1091</v>
      </c>
      <c r="C353" s="369" t="s">
        <v>1538</v>
      </c>
      <c r="D353" s="369"/>
      <c r="E353" s="370" t="s">
        <v>851</v>
      </c>
      <c r="F353" s="369">
        <v>1002846350</v>
      </c>
      <c r="G353" s="372"/>
    </row>
    <row r="354" spans="1:7" ht="30" x14ac:dyDescent="0.25">
      <c r="A354" s="372" t="s">
        <v>896</v>
      </c>
      <c r="B354" s="372" t="s">
        <v>953</v>
      </c>
      <c r="C354" s="372" t="s">
        <v>1217</v>
      </c>
      <c r="D354" s="372" t="s">
        <v>1471</v>
      </c>
      <c r="E354" s="373" t="s">
        <v>851</v>
      </c>
      <c r="F354" s="377">
        <v>1059602285</v>
      </c>
      <c r="G354" s="372"/>
    </row>
    <row r="355" spans="1:7" ht="30" x14ac:dyDescent="0.25">
      <c r="A355" s="369" t="s">
        <v>896</v>
      </c>
      <c r="B355" s="369" t="s">
        <v>953</v>
      </c>
      <c r="C355" s="369" t="s">
        <v>1545</v>
      </c>
      <c r="D355" s="369"/>
      <c r="E355" s="370" t="s">
        <v>851</v>
      </c>
      <c r="F355" s="369">
        <v>25545389</v>
      </c>
      <c r="G355" s="372"/>
    </row>
    <row r="356" spans="1:7" ht="30" x14ac:dyDescent="0.25">
      <c r="A356" s="372" t="s">
        <v>943</v>
      </c>
      <c r="B356" s="372" t="s">
        <v>1144</v>
      </c>
      <c r="C356" s="372" t="s">
        <v>1504</v>
      </c>
      <c r="D356" s="372" t="s">
        <v>1281</v>
      </c>
      <c r="E356" s="373" t="s">
        <v>1094</v>
      </c>
      <c r="F356" s="372">
        <v>1059599329</v>
      </c>
      <c r="G356" s="372"/>
    </row>
    <row r="357" spans="1:7" ht="30" x14ac:dyDescent="0.25">
      <c r="A357" s="369" t="s">
        <v>1361</v>
      </c>
      <c r="B357" s="369" t="s">
        <v>1470</v>
      </c>
      <c r="C357" s="369" t="s">
        <v>1553</v>
      </c>
      <c r="D357" s="369"/>
      <c r="E357" s="370" t="s">
        <v>851</v>
      </c>
      <c r="F357" s="369">
        <v>1059595865</v>
      </c>
      <c r="G357" s="372"/>
    </row>
    <row r="358" spans="1:7" ht="30" x14ac:dyDescent="0.25">
      <c r="A358" s="372" t="s">
        <v>953</v>
      </c>
      <c r="B358" s="372" t="s">
        <v>1378</v>
      </c>
      <c r="C358" s="372" t="s">
        <v>1617</v>
      </c>
      <c r="D358" s="372"/>
      <c r="E358" s="373" t="s">
        <v>851</v>
      </c>
      <c r="F358" s="372">
        <v>1059606238</v>
      </c>
      <c r="G358" s="372"/>
    </row>
    <row r="359" spans="1:7" ht="30" x14ac:dyDescent="0.25">
      <c r="A359" s="369" t="s">
        <v>874</v>
      </c>
      <c r="B359" s="369" t="s">
        <v>873</v>
      </c>
      <c r="C359" s="369" t="s">
        <v>1635</v>
      </c>
      <c r="D359" s="369" t="s">
        <v>1294</v>
      </c>
      <c r="E359" s="370" t="s">
        <v>1094</v>
      </c>
      <c r="F359" s="369">
        <v>1059597986</v>
      </c>
      <c r="G359" s="372"/>
    </row>
    <row r="360" spans="1:7" ht="30" x14ac:dyDescent="0.25">
      <c r="A360" s="372" t="s">
        <v>1156</v>
      </c>
      <c r="B360" s="372" t="s">
        <v>884</v>
      </c>
      <c r="C360" s="372" t="s">
        <v>1481</v>
      </c>
      <c r="D360" s="372" t="s">
        <v>1482</v>
      </c>
      <c r="E360" s="373" t="s">
        <v>851</v>
      </c>
      <c r="F360" s="380" t="s">
        <v>1483</v>
      </c>
      <c r="G360" s="372"/>
    </row>
    <row r="361" spans="1:7" ht="30" x14ac:dyDescent="0.25">
      <c r="A361" s="369" t="s">
        <v>1583</v>
      </c>
      <c r="B361" s="369" t="s">
        <v>873</v>
      </c>
      <c r="C361" s="369" t="s">
        <v>1584</v>
      </c>
      <c r="D361" s="369"/>
      <c r="E361" s="370" t="s">
        <v>851</v>
      </c>
      <c r="F361" s="382" t="s">
        <v>1582</v>
      </c>
      <c r="G361" s="372"/>
    </row>
    <row r="362" spans="1:7" ht="30" x14ac:dyDescent="0.25">
      <c r="A362" s="372" t="s">
        <v>1322</v>
      </c>
      <c r="B362" s="372" t="s">
        <v>1378</v>
      </c>
      <c r="C362" s="372" t="s">
        <v>1587</v>
      </c>
      <c r="D362" s="372"/>
      <c r="E362" s="373" t="s">
        <v>851</v>
      </c>
      <c r="F362" s="379" t="s">
        <v>1586</v>
      </c>
      <c r="G362" s="372"/>
    </row>
    <row r="363" spans="1:7" ht="30" x14ac:dyDescent="0.25">
      <c r="A363" s="369" t="s">
        <v>1590</v>
      </c>
      <c r="B363" s="369" t="s">
        <v>874</v>
      </c>
      <c r="C363" s="369" t="s">
        <v>1591</v>
      </c>
      <c r="D363" s="369"/>
      <c r="E363" s="370" t="s">
        <v>851</v>
      </c>
      <c r="F363" s="382" t="s">
        <v>1589</v>
      </c>
      <c r="G363" s="372"/>
    </row>
    <row r="364" spans="1:7" ht="30" x14ac:dyDescent="0.25">
      <c r="A364" s="372" t="s">
        <v>1286</v>
      </c>
      <c r="B364" s="372" t="s">
        <v>1594</v>
      </c>
      <c r="C364" s="372" t="s">
        <v>1420</v>
      </c>
      <c r="D364" s="372"/>
      <c r="E364" s="373" t="s">
        <v>1094</v>
      </c>
      <c r="F364" s="379" t="s">
        <v>1593</v>
      </c>
      <c r="G364" s="372"/>
    </row>
    <row r="365" spans="1:7" ht="30" x14ac:dyDescent="0.25">
      <c r="A365" s="369" t="s">
        <v>914</v>
      </c>
      <c r="B365" s="369" t="s">
        <v>1601</v>
      </c>
      <c r="C365" s="369" t="s">
        <v>1602</v>
      </c>
      <c r="D365" s="369"/>
      <c r="E365" s="370" t="s">
        <v>851</v>
      </c>
      <c r="F365" s="369">
        <v>1003370775</v>
      </c>
      <c r="G365" s="372"/>
    </row>
    <row r="366" spans="1:7" ht="30" x14ac:dyDescent="0.25">
      <c r="A366" s="372" t="s">
        <v>896</v>
      </c>
      <c r="B366" s="372" t="s">
        <v>992</v>
      </c>
      <c r="C366" s="372" t="s">
        <v>1530</v>
      </c>
      <c r="D366" s="372" t="s">
        <v>1357</v>
      </c>
      <c r="E366" s="373" t="s">
        <v>851</v>
      </c>
      <c r="F366" s="372">
        <v>1002847645</v>
      </c>
      <c r="G366" s="372"/>
    </row>
    <row r="367" spans="1:7" ht="30" x14ac:dyDescent="0.25">
      <c r="A367" s="369" t="s">
        <v>914</v>
      </c>
      <c r="B367" s="369" t="s">
        <v>943</v>
      </c>
      <c r="C367" s="369" t="s">
        <v>1198</v>
      </c>
      <c r="D367" s="369"/>
      <c r="E367" s="370" t="s">
        <v>851</v>
      </c>
      <c r="F367" s="369">
        <v>1059605317</v>
      </c>
      <c r="G367" s="372"/>
    </row>
    <row r="368" spans="1:7" ht="30" x14ac:dyDescent="0.25">
      <c r="A368" s="372" t="s">
        <v>873</v>
      </c>
      <c r="B368" s="372" t="s">
        <v>874</v>
      </c>
      <c r="C368" s="372" t="s">
        <v>1612</v>
      </c>
      <c r="D368" s="372" t="s">
        <v>1613</v>
      </c>
      <c r="E368" s="373" t="s">
        <v>851</v>
      </c>
      <c r="F368" s="372">
        <v>1002849103</v>
      </c>
      <c r="G368" s="372"/>
    </row>
    <row r="369" spans="1:7" ht="30" x14ac:dyDescent="0.25">
      <c r="A369" s="369" t="s">
        <v>1621</v>
      </c>
      <c r="B369" s="369" t="s">
        <v>1622</v>
      </c>
      <c r="C369" s="369" t="s">
        <v>1619</v>
      </c>
      <c r="D369" s="369" t="s">
        <v>1620</v>
      </c>
      <c r="E369" s="370" t="s">
        <v>851</v>
      </c>
      <c r="F369" s="369">
        <v>1104776221</v>
      </c>
      <c r="G369" s="372"/>
    </row>
    <row r="370" spans="1:7" ht="30" x14ac:dyDescent="0.25">
      <c r="A370" s="372" t="s">
        <v>980</v>
      </c>
      <c r="B370" s="372" t="s">
        <v>914</v>
      </c>
      <c r="C370" s="372" t="s">
        <v>1623</v>
      </c>
      <c r="D370" s="372"/>
      <c r="E370" s="373" t="s">
        <v>851</v>
      </c>
      <c r="F370" s="372">
        <v>1059596737</v>
      </c>
      <c r="G370" s="372"/>
    </row>
    <row r="371" spans="1:7" ht="30" x14ac:dyDescent="0.25">
      <c r="A371" s="369" t="s">
        <v>1629</v>
      </c>
      <c r="B371" s="369" t="s">
        <v>1249</v>
      </c>
      <c r="C371" s="369" t="s">
        <v>1630</v>
      </c>
      <c r="D371" s="369"/>
      <c r="E371" s="370" t="s">
        <v>851</v>
      </c>
      <c r="F371" s="369">
        <v>1059601748</v>
      </c>
      <c r="G371" s="372"/>
    </row>
    <row r="372" spans="1:7" ht="30" x14ac:dyDescent="0.25">
      <c r="A372" s="372" t="s">
        <v>896</v>
      </c>
      <c r="B372" s="372" t="s">
        <v>1632</v>
      </c>
      <c r="C372" s="372" t="s">
        <v>1633</v>
      </c>
      <c r="D372" s="372"/>
      <c r="E372" s="373" t="s">
        <v>851</v>
      </c>
      <c r="F372" s="383" t="s">
        <v>1631</v>
      </c>
      <c r="G372" s="372"/>
    </row>
    <row r="373" spans="1:7" ht="30" x14ac:dyDescent="0.25">
      <c r="A373" s="369" t="s">
        <v>953</v>
      </c>
      <c r="B373" s="369" t="s">
        <v>1660</v>
      </c>
      <c r="C373" s="369" t="s">
        <v>1217</v>
      </c>
      <c r="D373" s="369" t="s">
        <v>1661</v>
      </c>
      <c r="E373" s="370" t="s">
        <v>851</v>
      </c>
      <c r="F373" s="369">
        <v>1002848134</v>
      </c>
      <c r="G373" s="372"/>
    </row>
    <row r="374" spans="1:7" ht="30" x14ac:dyDescent="0.25">
      <c r="A374" s="372" t="s">
        <v>848</v>
      </c>
      <c r="B374" s="372" t="s">
        <v>1034</v>
      </c>
      <c r="C374" s="372" t="s">
        <v>1612</v>
      </c>
      <c r="D374" s="372" t="s">
        <v>1662</v>
      </c>
      <c r="E374" s="373" t="s">
        <v>851</v>
      </c>
      <c r="F374" s="372">
        <v>1059601726</v>
      </c>
      <c r="G374" s="372"/>
    </row>
    <row r="375" spans="1:7" ht="30" x14ac:dyDescent="0.25">
      <c r="A375" s="369" t="s">
        <v>1663</v>
      </c>
      <c r="B375" s="369" t="s">
        <v>1664</v>
      </c>
      <c r="C375" s="369" t="s">
        <v>938</v>
      </c>
      <c r="D375" s="369" t="s">
        <v>1665</v>
      </c>
      <c r="E375" s="370" t="s">
        <v>851</v>
      </c>
      <c r="F375" s="369">
        <v>1059601634</v>
      </c>
      <c r="G375" s="372"/>
    </row>
    <row r="376" spans="1:7" ht="30" x14ac:dyDescent="0.25">
      <c r="A376" s="372" t="s">
        <v>980</v>
      </c>
      <c r="B376" s="372" t="s">
        <v>1666</v>
      </c>
      <c r="C376" s="372" t="s">
        <v>1287</v>
      </c>
      <c r="D376" s="372" t="s">
        <v>919</v>
      </c>
      <c r="E376" s="373" t="s">
        <v>851</v>
      </c>
      <c r="F376" s="372">
        <v>1002846819</v>
      </c>
      <c r="G376" s="372"/>
    </row>
    <row r="377" spans="1:7" ht="30" x14ac:dyDescent="0.25">
      <c r="A377" s="369" t="s">
        <v>1667</v>
      </c>
      <c r="B377" s="369" t="s">
        <v>1668</v>
      </c>
      <c r="C377" s="369" t="s">
        <v>1669</v>
      </c>
      <c r="D377" s="369"/>
      <c r="E377" s="370" t="s">
        <v>851</v>
      </c>
      <c r="F377" s="369">
        <v>1064426895</v>
      </c>
      <c r="G377" s="372"/>
    </row>
    <row r="378" spans="1:7" ht="30" x14ac:dyDescent="0.25">
      <c r="A378" s="372" t="s">
        <v>943</v>
      </c>
      <c r="B378" s="372" t="s">
        <v>848</v>
      </c>
      <c r="C378" s="372" t="s">
        <v>1673</v>
      </c>
      <c r="D378" s="372" t="s">
        <v>1674</v>
      </c>
      <c r="E378" s="373" t="s">
        <v>851</v>
      </c>
      <c r="F378" s="384" t="s">
        <v>1672</v>
      </c>
      <c r="G378" s="372"/>
    </row>
    <row r="379" spans="1:7" ht="30" x14ac:dyDescent="0.25">
      <c r="A379" s="369" t="s">
        <v>848</v>
      </c>
      <c r="B379" s="369" t="s">
        <v>914</v>
      </c>
      <c r="C379" s="369" t="s">
        <v>1683</v>
      </c>
      <c r="D379" s="369"/>
      <c r="E379" s="370" t="s">
        <v>851</v>
      </c>
      <c r="F379" s="385" t="s">
        <v>1682</v>
      </c>
      <c r="G379" s="372"/>
    </row>
    <row r="380" spans="1:7" x14ac:dyDescent="0.25">
      <c r="A380" s="423" t="s">
        <v>1696</v>
      </c>
      <c r="B380" s="423"/>
      <c r="C380" s="423"/>
      <c r="D380" s="423"/>
      <c r="E380" s="423"/>
      <c r="F380" s="423"/>
      <c r="G380" s="372"/>
    </row>
    <row r="381" spans="1:7" ht="45" x14ac:dyDescent="0.25">
      <c r="A381" s="367" t="s">
        <v>94</v>
      </c>
      <c r="B381" s="367" t="s">
        <v>21</v>
      </c>
      <c r="C381" s="367" t="s">
        <v>0</v>
      </c>
      <c r="D381" s="367" t="s">
        <v>1</v>
      </c>
      <c r="E381" s="367" t="s">
        <v>2</v>
      </c>
      <c r="F381" s="367" t="s">
        <v>3</v>
      </c>
      <c r="G381" s="372"/>
    </row>
    <row r="382" spans="1:7" ht="30" x14ac:dyDescent="0.25">
      <c r="A382" s="369" t="s">
        <v>914</v>
      </c>
      <c r="B382" s="369" t="s">
        <v>884</v>
      </c>
      <c r="C382" s="369" t="s">
        <v>1296</v>
      </c>
      <c r="D382" s="369" t="s">
        <v>850</v>
      </c>
      <c r="E382" s="370" t="s">
        <v>851</v>
      </c>
      <c r="F382" s="369">
        <v>1060186045</v>
      </c>
      <c r="G382" s="372"/>
    </row>
    <row r="383" spans="1:7" ht="30" x14ac:dyDescent="0.25">
      <c r="A383" s="372" t="s">
        <v>1298</v>
      </c>
      <c r="B383" s="372" t="s">
        <v>914</v>
      </c>
      <c r="C383" s="372" t="s">
        <v>1299</v>
      </c>
      <c r="D383" s="372" t="s">
        <v>1300</v>
      </c>
      <c r="E383" s="373" t="s">
        <v>851</v>
      </c>
      <c r="F383" s="372" t="s">
        <v>1301</v>
      </c>
      <c r="G383" s="372"/>
    </row>
    <row r="384" spans="1:7" ht="30" x14ac:dyDescent="0.25">
      <c r="A384" s="369" t="s">
        <v>1305</v>
      </c>
      <c r="B384" s="369" t="s">
        <v>884</v>
      </c>
      <c r="C384" s="369" t="s">
        <v>1306</v>
      </c>
      <c r="D384" s="369" t="s">
        <v>1307</v>
      </c>
      <c r="E384" s="370" t="s">
        <v>851</v>
      </c>
      <c r="F384" s="369">
        <v>1059604869</v>
      </c>
      <c r="G384" s="372"/>
    </row>
    <row r="385" spans="1:7" ht="30" x14ac:dyDescent="0.25">
      <c r="A385" s="372" t="s">
        <v>953</v>
      </c>
      <c r="B385" s="372" t="s">
        <v>1316</v>
      </c>
      <c r="C385" s="372" t="s">
        <v>1317</v>
      </c>
      <c r="D385" s="372" t="s">
        <v>1028</v>
      </c>
      <c r="E385" s="373" t="s">
        <v>851</v>
      </c>
      <c r="F385" s="372">
        <v>1059594373</v>
      </c>
      <c r="G385" s="372"/>
    </row>
    <row r="386" spans="1:7" ht="30" x14ac:dyDescent="0.25">
      <c r="A386" s="369" t="s">
        <v>914</v>
      </c>
      <c r="B386" s="369" t="s">
        <v>1318</v>
      </c>
      <c r="C386" s="369" t="s">
        <v>1319</v>
      </c>
      <c r="D386" s="369"/>
      <c r="E386" s="370" t="s">
        <v>851</v>
      </c>
      <c r="F386" s="369" t="s">
        <v>1320</v>
      </c>
      <c r="G386" s="372"/>
    </row>
    <row r="387" spans="1:7" ht="30" x14ac:dyDescent="0.25">
      <c r="A387" s="372" t="s">
        <v>1332</v>
      </c>
      <c r="B387" s="372" t="s">
        <v>1091</v>
      </c>
      <c r="C387" s="372" t="s">
        <v>1333</v>
      </c>
      <c r="D387" s="372"/>
      <c r="E387" s="373" t="s">
        <v>1094</v>
      </c>
      <c r="F387" s="372">
        <v>1059595374</v>
      </c>
      <c r="G387" s="372"/>
    </row>
    <row r="388" spans="1:7" ht="30" x14ac:dyDescent="0.25">
      <c r="A388" s="369" t="s">
        <v>874</v>
      </c>
      <c r="B388" s="369" t="s">
        <v>943</v>
      </c>
      <c r="C388" s="369" t="s">
        <v>1340</v>
      </c>
      <c r="D388" s="369"/>
      <c r="E388" s="370" t="s">
        <v>1094</v>
      </c>
      <c r="F388" s="369">
        <v>1059597393</v>
      </c>
      <c r="G388" s="372"/>
    </row>
    <row r="389" spans="1:7" ht="30" x14ac:dyDescent="0.25">
      <c r="A389" s="372" t="s">
        <v>914</v>
      </c>
      <c r="B389" s="372" t="s">
        <v>915</v>
      </c>
      <c r="C389" s="372" t="s">
        <v>916</v>
      </c>
      <c r="D389" s="372"/>
      <c r="E389" s="373" t="s">
        <v>1094</v>
      </c>
      <c r="F389" s="372">
        <v>1059598169</v>
      </c>
      <c r="G389" s="372"/>
    </row>
    <row r="390" spans="1:7" ht="30" x14ac:dyDescent="0.25">
      <c r="A390" s="369" t="s">
        <v>1360</v>
      </c>
      <c r="B390" s="369" t="s">
        <v>1361</v>
      </c>
      <c r="C390" s="369" t="s">
        <v>938</v>
      </c>
      <c r="D390" s="369" t="s">
        <v>1362</v>
      </c>
      <c r="E390" s="370" t="s">
        <v>851</v>
      </c>
      <c r="F390" s="369" t="s">
        <v>1363</v>
      </c>
      <c r="G390" s="372"/>
    </row>
    <row r="391" spans="1:7" ht="30" x14ac:dyDescent="0.25">
      <c r="A391" s="372" t="s">
        <v>1286</v>
      </c>
      <c r="B391" s="372" t="s">
        <v>914</v>
      </c>
      <c r="C391" s="372" t="s">
        <v>1198</v>
      </c>
      <c r="D391" s="372" t="s">
        <v>1364</v>
      </c>
      <c r="E391" s="373" t="s">
        <v>851</v>
      </c>
      <c r="F391" s="372">
        <v>1059600026</v>
      </c>
      <c r="G391" s="372"/>
    </row>
    <row r="392" spans="1:7" ht="30" x14ac:dyDescent="0.25">
      <c r="A392" s="369" t="s">
        <v>857</v>
      </c>
      <c r="B392" s="369" t="s">
        <v>1365</v>
      </c>
      <c r="C392" s="369" t="s">
        <v>949</v>
      </c>
      <c r="D392" s="369" t="s">
        <v>1366</v>
      </c>
      <c r="E392" s="370" t="s">
        <v>851</v>
      </c>
      <c r="F392" s="369">
        <v>1002953350</v>
      </c>
      <c r="G392" s="372"/>
    </row>
    <row r="393" spans="1:7" ht="30" x14ac:dyDescent="0.25">
      <c r="A393" s="372" t="s">
        <v>1368</v>
      </c>
      <c r="B393" s="372" t="s">
        <v>1369</v>
      </c>
      <c r="C393" s="372" t="s">
        <v>1370</v>
      </c>
      <c r="D393" s="372" t="s">
        <v>982</v>
      </c>
      <c r="E393" s="373" t="s">
        <v>851</v>
      </c>
      <c r="F393" s="372">
        <v>1059603417</v>
      </c>
      <c r="G393" s="372"/>
    </row>
    <row r="394" spans="1:7" ht="30" x14ac:dyDescent="0.25">
      <c r="A394" s="369" t="s">
        <v>1382</v>
      </c>
      <c r="B394" s="369" t="s">
        <v>1382</v>
      </c>
      <c r="C394" s="369" t="s">
        <v>1383</v>
      </c>
      <c r="D394" s="369"/>
      <c r="E394" s="370" t="s">
        <v>851</v>
      </c>
      <c r="F394" s="369">
        <v>1003371767</v>
      </c>
      <c r="G394" s="372"/>
    </row>
    <row r="395" spans="1:7" ht="30" x14ac:dyDescent="0.25">
      <c r="A395" s="372" t="s">
        <v>873</v>
      </c>
      <c r="B395" s="372" t="s">
        <v>1391</v>
      </c>
      <c r="C395" s="372" t="s">
        <v>985</v>
      </c>
      <c r="D395" s="372" t="s">
        <v>1392</v>
      </c>
      <c r="E395" s="373" t="s">
        <v>851</v>
      </c>
      <c r="F395" s="372">
        <v>25547491</v>
      </c>
      <c r="G395" s="372"/>
    </row>
    <row r="396" spans="1:7" ht="30" x14ac:dyDescent="0.25">
      <c r="A396" s="369" t="s">
        <v>979</v>
      </c>
      <c r="B396" s="369" t="s">
        <v>943</v>
      </c>
      <c r="C396" s="369" t="s">
        <v>1217</v>
      </c>
      <c r="D396" s="369" t="s">
        <v>1398</v>
      </c>
      <c r="E396" s="370" t="s">
        <v>851</v>
      </c>
      <c r="F396" s="369">
        <v>1002846528</v>
      </c>
      <c r="G396" s="372"/>
    </row>
    <row r="397" spans="1:7" ht="30" x14ac:dyDescent="0.25">
      <c r="A397" s="372" t="s">
        <v>873</v>
      </c>
      <c r="B397" s="372" t="s">
        <v>944</v>
      </c>
      <c r="C397" s="372" t="s">
        <v>1399</v>
      </c>
      <c r="D397" s="372" t="s">
        <v>1400</v>
      </c>
      <c r="E397" s="373" t="s">
        <v>851</v>
      </c>
      <c r="F397" s="372">
        <v>1002848796</v>
      </c>
      <c r="G397" s="372"/>
    </row>
    <row r="398" spans="1:7" ht="30" x14ac:dyDescent="0.25">
      <c r="A398" s="369" t="s">
        <v>1405</v>
      </c>
      <c r="B398" s="369" t="s">
        <v>884</v>
      </c>
      <c r="C398" s="369" t="s">
        <v>1406</v>
      </c>
      <c r="D398" s="369" t="s">
        <v>1407</v>
      </c>
      <c r="E398" s="370" t="s">
        <v>851</v>
      </c>
      <c r="F398" s="369">
        <v>1059601552</v>
      </c>
      <c r="G398" s="372"/>
    </row>
    <row r="399" spans="1:7" ht="30" x14ac:dyDescent="0.25">
      <c r="A399" s="372" t="s">
        <v>1034</v>
      </c>
      <c r="B399" s="372" t="s">
        <v>1166</v>
      </c>
      <c r="C399" s="372" t="s">
        <v>1408</v>
      </c>
      <c r="D399" s="372" t="s">
        <v>1409</v>
      </c>
      <c r="E399" s="373" t="s">
        <v>851</v>
      </c>
      <c r="F399" s="372">
        <v>1005860830</v>
      </c>
      <c r="G399" s="372"/>
    </row>
    <row r="400" spans="1:7" ht="30" x14ac:dyDescent="0.25">
      <c r="A400" s="369" t="s">
        <v>944</v>
      </c>
      <c r="B400" s="369" t="s">
        <v>943</v>
      </c>
      <c r="C400" s="369" t="s">
        <v>1421</v>
      </c>
      <c r="D400" s="369"/>
      <c r="E400" s="370" t="s">
        <v>851</v>
      </c>
      <c r="F400" s="369">
        <v>1002846330</v>
      </c>
      <c r="G400" s="372"/>
    </row>
    <row r="401" spans="1:7" ht="30" x14ac:dyDescent="0.25">
      <c r="A401" s="372" t="s">
        <v>848</v>
      </c>
      <c r="B401" s="372" t="s">
        <v>943</v>
      </c>
      <c r="C401" s="372" t="s">
        <v>1423</v>
      </c>
      <c r="D401" s="372"/>
      <c r="E401" s="373" t="s">
        <v>851</v>
      </c>
      <c r="F401" s="372">
        <v>1193097625</v>
      </c>
      <c r="G401" s="372"/>
    </row>
    <row r="402" spans="1:7" ht="30" x14ac:dyDescent="0.25">
      <c r="A402" s="369" t="s">
        <v>1427</v>
      </c>
      <c r="B402" s="369" t="s">
        <v>1428</v>
      </c>
      <c r="C402" s="369" t="s">
        <v>1429</v>
      </c>
      <c r="D402" s="369" t="s">
        <v>1430</v>
      </c>
      <c r="E402" s="370" t="s">
        <v>851</v>
      </c>
      <c r="F402" s="369">
        <v>1061528490</v>
      </c>
      <c r="G402" s="372"/>
    </row>
    <row r="403" spans="1:7" ht="30" x14ac:dyDescent="0.25">
      <c r="A403" s="372" t="s">
        <v>1144</v>
      </c>
      <c r="B403" s="372" t="s">
        <v>884</v>
      </c>
      <c r="C403" s="372" t="s">
        <v>1432</v>
      </c>
      <c r="D403" s="372" t="s">
        <v>1433</v>
      </c>
      <c r="E403" s="373" t="s">
        <v>1094</v>
      </c>
      <c r="F403" s="372">
        <v>1059596594</v>
      </c>
      <c r="G403" s="372"/>
    </row>
    <row r="404" spans="1:7" ht="30" x14ac:dyDescent="0.25">
      <c r="A404" s="369" t="s">
        <v>873</v>
      </c>
      <c r="B404" s="369" t="s">
        <v>1435</v>
      </c>
      <c r="C404" s="369" t="s">
        <v>1436</v>
      </c>
      <c r="D404" s="369" t="s">
        <v>1437</v>
      </c>
      <c r="E404" s="370" t="s">
        <v>851</v>
      </c>
      <c r="F404" s="369">
        <v>1059601742</v>
      </c>
      <c r="G404" s="372"/>
    </row>
    <row r="405" spans="1:7" ht="30" x14ac:dyDescent="0.25">
      <c r="A405" s="372" t="s">
        <v>1439</v>
      </c>
      <c r="B405" s="372" t="s">
        <v>884</v>
      </c>
      <c r="C405" s="372" t="s">
        <v>1440</v>
      </c>
      <c r="D405" s="372" t="s">
        <v>1294</v>
      </c>
      <c r="E405" s="373" t="s">
        <v>851</v>
      </c>
      <c r="F405" s="372">
        <v>1002847533</v>
      </c>
      <c r="G405" s="372"/>
    </row>
    <row r="406" spans="1:7" ht="30" x14ac:dyDescent="0.25">
      <c r="A406" s="369" t="s">
        <v>1441</v>
      </c>
      <c r="B406" s="369"/>
      <c r="C406" s="369" t="s">
        <v>1284</v>
      </c>
      <c r="D406" s="369" t="s">
        <v>1442</v>
      </c>
      <c r="E406" s="370" t="s">
        <v>851</v>
      </c>
      <c r="F406" s="369">
        <v>1002848635</v>
      </c>
      <c r="G406" s="372"/>
    </row>
    <row r="407" spans="1:7" ht="30" x14ac:dyDescent="0.25">
      <c r="A407" s="372" t="s">
        <v>1443</v>
      </c>
      <c r="B407" s="372" t="s">
        <v>1444</v>
      </c>
      <c r="C407" s="372" t="s">
        <v>1445</v>
      </c>
      <c r="D407" s="372"/>
      <c r="E407" s="373" t="s">
        <v>851</v>
      </c>
      <c r="F407" s="372">
        <v>1061757665</v>
      </c>
      <c r="G407" s="372"/>
    </row>
    <row r="408" spans="1:7" ht="30" x14ac:dyDescent="0.25">
      <c r="A408" s="369" t="s">
        <v>1179</v>
      </c>
      <c r="B408" s="369" t="s">
        <v>1435</v>
      </c>
      <c r="C408" s="369" t="s">
        <v>1448</v>
      </c>
      <c r="D408" s="369" t="s">
        <v>1294</v>
      </c>
      <c r="E408" s="370" t="s">
        <v>851</v>
      </c>
      <c r="F408" s="369">
        <v>1059594096</v>
      </c>
      <c r="G408" s="372"/>
    </row>
    <row r="409" spans="1:7" ht="30" x14ac:dyDescent="0.25">
      <c r="A409" s="372" t="s">
        <v>1455</v>
      </c>
      <c r="B409" s="372" t="s">
        <v>974</v>
      </c>
      <c r="C409" s="372" t="s">
        <v>1305</v>
      </c>
      <c r="D409" s="372" t="s">
        <v>1456</v>
      </c>
      <c r="E409" s="373" t="s">
        <v>1094</v>
      </c>
      <c r="F409" s="372">
        <v>1059595977</v>
      </c>
      <c r="G409" s="372"/>
    </row>
    <row r="410" spans="1:7" ht="30" x14ac:dyDescent="0.25">
      <c r="A410" s="369" t="s">
        <v>1441</v>
      </c>
      <c r="B410" s="369" t="s">
        <v>884</v>
      </c>
      <c r="C410" s="369" t="s">
        <v>1457</v>
      </c>
      <c r="D410" s="369"/>
      <c r="E410" s="370" t="s">
        <v>851</v>
      </c>
      <c r="F410" s="369">
        <v>25545401</v>
      </c>
      <c r="G410" s="372"/>
    </row>
    <row r="411" spans="1:7" ht="30" x14ac:dyDescent="0.25">
      <c r="A411" s="372" t="s">
        <v>1458</v>
      </c>
      <c r="B411" s="372" t="s">
        <v>1459</v>
      </c>
      <c r="C411" s="372" t="s">
        <v>1460</v>
      </c>
      <c r="D411" s="372" t="s">
        <v>976</v>
      </c>
      <c r="E411" s="373" t="s">
        <v>1094</v>
      </c>
      <c r="F411" s="372">
        <v>1062295885</v>
      </c>
      <c r="G411" s="372"/>
    </row>
    <row r="412" spans="1:7" ht="30" x14ac:dyDescent="0.25">
      <c r="A412" s="369" t="s">
        <v>944</v>
      </c>
      <c r="B412" s="369" t="s">
        <v>943</v>
      </c>
      <c r="C412" s="369" t="s">
        <v>1463</v>
      </c>
      <c r="D412" s="369" t="s">
        <v>1464</v>
      </c>
      <c r="E412" s="370" t="s">
        <v>1094</v>
      </c>
      <c r="F412" s="369">
        <v>1060186081</v>
      </c>
      <c r="G412" s="372"/>
    </row>
    <row r="413" spans="1:7" ht="30" x14ac:dyDescent="0.25">
      <c r="A413" s="372" t="s">
        <v>964</v>
      </c>
      <c r="B413" s="372" t="s">
        <v>1465</v>
      </c>
      <c r="C413" s="372" t="s">
        <v>1002</v>
      </c>
      <c r="D413" s="372" t="s">
        <v>1366</v>
      </c>
      <c r="E413" s="373" t="s">
        <v>1094</v>
      </c>
      <c r="F413" s="372">
        <v>1061530990</v>
      </c>
      <c r="G413" s="372"/>
    </row>
    <row r="414" spans="1:7" ht="30" x14ac:dyDescent="0.25">
      <c r="A414" s="369" t="s">
        <v>943</v>
      </c>
      <c r="B414" s="369" t="s">
        <v>1144</v>
      </c>
      <c r="C414" s="369" t="s">
        <v>1468</v>
      </c>
      <c r="D414" s="369" t="s">
        <v>1281</v>
      </c>
      <c r="E414" s="370" t="s">
        <v>851</v>
      </c>
      <c r="F414" s="369">
        <v>1059607505</v>
      </c>
      <c r="G414" s="372"/>
    </row>
    <row r="415" spans="1:7" ht="30" x14ac:dyDescent="0.25">
      <c r="A415" s="372" t="s">
        <v>914</v>
      </c>
      <c r="B415" s="372" t="s">
        <v>1276</v>
      </c>
      <c r="C415" s="372" t="s">
        <v>938</v>
      </c>
      <c r="D415" s="372" t="s">
        <v>1484</v>
      </c>
      <c r="E415" s="373" t="s">
        <v>851</v>
      </c>
      <c r="F415" s="372">
        <v>1002846249</v>
      </c>
      <c r="G415" s="372"/>
    </row>
    <row r="416" spans="1:7" ht="30" x14ac:dyDescent="0.25">
      <c r="A416" s="369" t="s">
        <v>914</v>
      </c>
      <c r="B416" s="369" t="s">
        <v>848</v>
      </c>
      <c r="C416" s="369" t="s">
        <v>1485</v>
      </c>
      <c r="D416" s="369" t="s">
        <v>1285</v>
      </c>
      <c r="E416" s="370" t="s">
        <v>851</v>
      </c>
      <c r="F416" s="369" t="s">
        <v>1486</v>
      </c>
      <c r="G416" s="372"/>
    </row>
    <row r="417" spans="1:7" ht="30" x14ac:dyDescent="0.25">
      <c r="A417" s="372" t="s">
        <v>992</v>
      </c>
      <c r="B417" s="372" t="s">
        <v>1498</v>
      </c>
      <c r="C417" s="372" t="s">
        <v>938</v>
      </c>
      <c r="D417" s="372" t="s">
        <v>1499</v>
      </c>
      <c r="E417" s="373" t="s">
        <v>851</v>
      </c>
      <c r="F417" s="372" t="s">
        <v>1500</v>
      </c>
      <c r="G417" s="372"/>
    </row>
    <row r="418" spans="1:7" ht="30" x14ac:dyDescent="0.25">
      <c r="A418" s="369" t="s">
        <v>1513</v>
      </c>
      <c r="B418" s="369" t="s">
        <v>1514</v>
      </c>
      <c r="C418" s="369" t="s">
        <v>1515</v>
      </c>
      <c r="D418" s="369"/>
      <c r="E418" s="370" t="s">
        <v>851</v>
      </c>
      <c r="F418" s="369">
        <v>1067461286</v>
      </c>
      <c r="G418" s="372"/>
    </row>
    <row r="419" spans="1:7" ht="30" x14ac:dyDescent="0.25">
      <c r="A419" s="372" t="s">
        <v>1519</v>
      </c>
      <c r="B419" s="372" t="s">
        <v>848</v>
      </c>
      <c r="C419" s="372" t="s">
        <v>1520</v>
      </c>
      <c r="D419" s="372" t="s">
        <v>1521</v>
      </c>
      <c r="E419" s="373" t="s">
        <v>851</v>
      </c>
      <c r="F419" s="372">
        <v>1002950269</v>
      </c>
      <c r="G419" s="372"/>
    </row>
    <row r="420" spans="1:7" ht="30" x14ac:dyDescent="0.25">
      <c r="A420" s="369" t="s">
        <v>884</v>
      </c>
      <c r="B420" s="369" t="s">
        <v>1524</v>
      </c>
      <c r="C420" s="369" t="s">
        <v>945</v>
      </c>
      <c r="D420" s="369" t="s">
        <v>919</v>
      </c>
      <c r="E420" s="370" t="s">
        <v>851</v>
      </c>
      <c r="F420" s="369">
        <v>1002970266</v>
      </c>
      <c r="G420" s="372"/>
    </row>
    <row r="421" spans="1:7" ht="30" x14ac:dyDescent="0.25">
      <c r="A421" s="372" t="s">
        <v>1361</v>
      </c>
      <c r="B421" s="372" t="s">
        <v>992</v>
      </c>
      <c r="C421" s="372" t="s">
        <v>1531</v>
      </c>
      <c r="D421" s="372"/>
      <c r="E421" s="373" t="s">
        <v>851</v>
      </c>
      <c r="F421" s="372">
        <v>1151452891</v>
      </c>
      <c r="G421" s="372"/>
    </row>
    <row r="422" spans="1:7" ht="30" x14ac:dyDescent="0.25">
      <c r="A422" s="369" t="s">
        <v>914</v>
      </c>
      <c r="B422" s="369" t="s">
        <v>1470</v>
      </c>
      <c r="C422" s="369" t="s">
        <v>1167</v>
      </c>
      <c r="D422" s="369" t="s">
        <v>1043</v>
      </c>
      <c r="E422" s="370" t="s">
        <v>851</v>
      </c>
      <c r="F422" s="369">
        <v>1193105051</v>
      </c>
      <c r="G422" s="372"/>
    </row>
    <row r="423" spans="1:7" ht="30" x14ac:dyDescent="0.25">
      <c r="A423" s="372" t="s">
        <v>1286</v>
      </c>
      <c r="B423" s="372" t="s">
        <v>980</v>
      </c>
      <c r="C423" s="372" t="s">
        <v>1528</v>
      </c>
      <c r="D423" s="372" t="s">
        <v>1281</v>
      </c>
      <c r="E423" s="373" t="s">
        <v>851</v>
      </c>
      <c r="F423" s="372">
        <v>1059596092</v>
      </c>
      <c r="G423" s="372"/>
    </row>
    <row r="424" spans="1:7" ht="30" x14ac:dyDescent="0.25">
      <c r="A424" s="369" t="s">
        <v>884</v>
      </c>
      <c r="B424" s="369" t="s">
        <v>1144</v>
      </c>
      <c r="C424" s="369" t="s">
        <v>1534</v>
      </c>
      <c r="D424" s="369"/>
      <c r="E424" s="370" t="s">
        <v>851</v>
      </c>
      <c r="F424" s="376">
        <v>1002846626</v>
      </c>
      <c r="G424" s="372"/>
    </row>
    <row r="425" spans="1:7" ht="30" x14ac:dyDescent="0.25">
      <c r="A425" s="372" t="s">
        <v>1246</v>
      </c>
      <c r="B425" s="372" t="s">
        <v>943</v>
      </c>
      <c r="C425" s="372" t="s">
        <v>1535</v>
      </c>
      <c r="D425" s="372"/>
      <c r="E425" s="373" t="s">
        <v>851</v>
      </c>
      <c r="F425" s="377">
        <v>1002848307</v>
      </c>
      <c r="G425" s="372"/>
    </row>
    <row r="426" spans="1:7" ht="30" x14ac:dyDescent="0.25">
      <c r="A426" s="369" t="s">
        <v>873</v>
      </c>
      <c r="B426" s="369" t="s">
        <v>1091</v>
      </c>
      <c r="C426" s="369" t="s">
        <v>1277</v>
      </c>
      <c r="D426" s="369"/>
      <c r="E426" s="370" t="s">
        <v>851</v>
      </c>
      <c r="F426" s="378">
        <v>1059598472</v>
      </c>
      <c r="G426" s="372"/>
    </row>
    <row r="427" spans="1:7" ht="30" x14ac:dyDescent="0.25">
      <c r="A427" s="372" t="s">
        <v>1540</v>
      </c>
      <c r="B427" s="372" t="s">
        <v>943</v>
      </c>
      <c r="C427" s="372" t="s">
        <v>1541</v>
      </c>
      <c r="D427" s="372" t="s">
        <v>1542</v>
      </c>
      <c r="E427" s="373" t="s">
        <v>851</v>
      </c>
      <c r="F427" s="379" t="s">
        <v>1539</v>
      </c>
      <c r="G427" s="372"/>
    </row>
    <row r="428" spans="1:7" x14ac:dyDescent="0.25">
      <c r="A428" s="369" t="s">
        <v>943</v>
      </c>
      <c r="B428" s="369" t="s">
        <v>848</v>
      </c>
      <c r="C428" s="369" t="s">
        <v>1553</v>
      </c>
      <c r="D428" s="369"/>
      <c r="E428" s="370"/>
      <c r="F428" s="369">
        <v>1059594153</v>
      </c>
      <c r="G428" s="372"/>
    </row>
    <row r="429" spans="1:7" ht="30" x14ac:dyDescent="0.25">
      <c r="A429" s="372" t="s">
        <v>953</v>
      </c>
      <c r="B429" s="372" t="s">
        <v>1249</v>
      </c>
      <c r="C429" s="372" t="s">
        <v>1556</v>
      </c>
      <c r="D429" s="372"/>
      <c r="E429" s="373" t="s">
        <v>1094</v>
      </c>
      <c r="F429" s="372">
        <v>1059599873</v>
      </c>
      <c r="G429" s="372"/>
    </row>
    <row r="430" spans="1:7" x14ac:dyDescent="0.25">
      <c r="A430" s="369" t="s">
        <v>896</v>
      </c>
      <c r="B430" s="369" t="s">
        <v>953</v>
      </c>
      <c r="C430" s="369" t="s">
        <v>1634</v>
      </c>
      <c r="D430" s="369"/>
      <c r="E430" s="370"/>
      <c r="F430" s="369">
        <v>1002848733</v>
      </c>
      <c r="G430" s="372"/>
    </row>
    <row r="431" spans="1:7" ht="30" x14ac:dyDescent="0.25">
      <c r="A431" s="372" t="s">
        <v>873</v>
      </c>
      <c r="B431" s="372" t="s">
        <v>874</v>
      </c>
      <c r="C431" s="372" t="s">
        <v>1215</v>
      </c>
      <c r="D431" s="372"/>
      <c r="E431" s="373" t="s">
        <v>851</v>
      </c>
      <c r="F431" s="372">
        <v>1002849181</v>
      </c>
      <c r="G431" s="372"/>
    </row>
    <row r="432" spans="1:7" ht="30" x14ac:dyDescent="0.25">
      <c r="A432" s="369" t="s">
        <v>953</v>
      </c>
      <c r="B432" s="369" t="s">
        <v>1286</v>
      </c>
      <c r="C432" s="369" t="s">
        <v>1463</v>
      </c>
      <c r="D432" s="369" t="s">
        <v>1579</v>
      </c>
      <c r="E432" s="370" t="s">
        <v>851</v>
      </c>
      <c r="F432" s="382" t="s">
        <v>1578</v>
      </c>
      <c r="G432" s="372"/>
    </row>
    <row r="433" spans="1:7" ht="30" x14ac:dyDescent="0.25">
      <c r="A433" s="372" t="s">
        <v>884</v>
      </c>
      <c r="B433" s="372" t="s">
        <v>1286</v>
      </c>
      <c r="C433" s="372" t="s">
        <v>1452</v>
      </c>
      <c r="D433" s="372"/>
      <c r="E433" s="373" t="s">
        <v>851</v>
      </c>
      <c r="F433" s="372">
        <v>25546688</v>
      </c>
      <c r="G433" s="372"/>
    </row>
    <row r="434" spans="1:7" ht="30" x14ac:dyDescent="0.25">
      <c r="A434" s="369" t="s">
        <v>1637</v>
      </c>
      <c r="B434" s="369" t="s">
        <v>1638</v>
      </c>
      <c r="C434" s="369" t="s">
        <v>1028</v>
      </c>
      <c r="D434" s="369"/>
      <c r="E434" s="370" t="s">
        <v>851</v>
      </c>
      <c r="F434" s="381">
        <v>1060986729</v>
      </c>
      <c r="G434" s="372"/>
    </row>
    <row r="435" spans="1:7" ht="30" x14ac:dyDescent="0.25">
      <c r="A435" s="372" t="s">
        <v>1210</v>
      </c>
      <c r="B435" s="372" t="s">
        <v>848</v>
      </c>
      <c r="C435" s="372" t="s">
        <v>1670</v>
      </c>
      <c r="D435" s="372" t="s">
        <v>1671</v>
      </c>
      <c r="E435" s="373" t="s">
        <v>851</v>
      </c>
      <c r="F435" s="372">
        <v>1059602883</v>
      </c>
      <c r="G435" s="372"/>
    </row>
    <row r="436" spans="1:7" ht="30" x14ac:dyDescent="0.25">
      <c r="A436" s="369" t="s">
        <v>1677</v>
      </c>
      <c r="B436" s="369" t="s">
        <v>962</v>
      </c>
      <c r="C436" s="369" t="s">
        <v>1678</v>
      </c>
      <c r="D436" s="369" t="s">
        <v>1679</v>
      </c>
      <c r="E436" s="370" t="s">
        <v>1094</v>
      </c>
      <c r="F436" s="385" t="s">
        <v>1676</v>
      </c>
      <c r="G436" s="372"/>
    </row>
    <row r="437" spans="1:7" x14ac:dyDescent="0.25">
      <c r="A437" s="423" t="s">
        <v>1697</v>
      </c>
      <c r="B437" s="423"/>
      <c r="C437" s="423"/>
      <c r="D437" s="423"/>
      <c r="E437" s="423"/>
      <c r="F437" s="423"/>
      <c r="G437" s="372"/>
    </row>
    <row r="438" spans="1:7" ht="30" x14ac:dyDescent="0.25">
      <c r="A438" s="369" t="s">
        <v>914</v>
      </c>
      <c r="B438" s="369" t="s">
        <v>915</v>
      </c>
      <c r="C438" s="369" t="s">
        <v>916</v>
      </c>
      <c r="D438" s="369"/>
      <c r="E438" s="370" t="s">
        <v>1094</v>
      </c>
      <c r="F438" s="369">
        <v>1059598169</v>
      </c>
      <c r="G438" s="372"/>
    </row>
    <row r="439" spans="1:7" ht="30" x14ac:dyDescent="0.25">
      <c r="A439" s="372" t="s">
        <v>857</v>
      </c>
      <c r="B439" s="372" t="s">
        <v>1365</v>
      </c>
      <c r="C439" s="372" t="s">
        <v>949</v>
      </c>
      <c r="D439" s="372" t="s">
        <v>1366</v>
      </c>
      <c r="E439" s="373" t="s">
        <v>851</v>
      </c>
      <c r="F439" s="372">
        <v>1002953350</v>
      </c>
      <c r="G439" s="372"/>
    </row>
    <row r="440" spans="1:7" ht="30" x14ac:dyDescent="0.25">
      <c r="A440" s="369" t="s">
        <v>1368</v>
      </c>
      <c r="B440" s="369" t="s">
        <v>1369</v>
      </c>
      <c r="C440" s="369" t="s">
        <v>1370</v>
      </c>
      <c r="D440" s="369" t="s">
        <v>982</v>
      </c>
      <c r="E440" s="370" t="s">
        <v>851</v>
      </c>
      <c r="F440" s="369">
        <v>1059603417</v>
      </c>
      <c r="G440" s="372"/>
    </row>
    <row r="441" spans="1:7" ht="30" x14ac:dyDescent="0.25">
      <c r="A441" s="372" t="s">
        <v>1441</v>
      </c>
      <c r="B441" s="372" t="s">
        <v>914</v>
      </c>
      <c r="C441" s="372" t="s">
        <v>1451</v>
      </c>
      <c r="D441" s="372"/>
      <c r="E441" s="373" t="s">
        <v>851</v>
      </c>
      <c r="F441" s="372">
        <v>1059598007</v>
      </c>
      <c r="G441" s="372"/>
    </row>
    <row r="442" spans="1:7" ht="30" x14ac:dyDescent="0.25">
      <c r="A442" s="369" t="s">
        <v>896</v>
      </c>
      <c r="B442" s="369" t="s">
        <v>943</v>
      </c>
      <c r="C442" s="369" t="s">
        <v>1452</v>
      </c>
      <c r="D442" s="369" t="s">
        <v>1372</v>
      </c>
      <c r="E442" s="370" t="s">
        <v>851</v>
      </c>
      <c r="F442" s="369">
        <v>1059599315</v>
      </c>
      <c r="G442" s="372"/>
    </row>
    <row r="443" spans="1:7" ht="30" x14ac:dyDescent="0.25">
      <c r="A443" s="372" t="s">
        <v>943</v>
      </c>
      <c r="B443" s="372" t="s">
        <v>1144</v>
      </c>
      <c r="C443" s="372" t="s">
        <v>1468</v>
      </c>
      <c r="D443" s="372" t="s">
        <v>1281</v>
      </c>
      <c r="E443" s="373" t="s">
        <v>851</v>
      </c>
      <c r="F443" s="372">
        <v>1059607505</v>
      </c>
      <c r="G443" s="372"/>
    </row>
    <row r="444" spans="1:7" ht="30" x14ac:dyDescent="0.25">
      <c r="A444" s="369" t="s">
        <v>1513</v>
      </c>
      <c r="B444" s="369" t="s">
        <v>1514</v>
      </c>
      <c r="C444" s="369" t="s">
        <v>1515</v>
      </c>
      <c r="D444" s="369"/>
      <c r="E444" s="370" t="s">
        <v>851</v>
      </c>
      <c r="F444" s="369">
        <v>1067461286</v>
      </c>
      <c r="G444" s="372"/>
    </row>
    <row r="445" spans="1:7" ht="30" x14ac:dyDescent="0.25">
      <c r="A445" s="372" t="s">
        <v>884</v>
      </c>
      <c r="B445" s="372" t="s">
        <v>1144</v>
      </c>
      <c r="C445" s="372" t="s">
        <v>1534</v>
      </c>
      <c r="D445" s="372"/>
      <c r="E445" s="373" t="s">
        <v>851</v>
      </c>
      <c r="F445" s="377">
        <v>1002846626</v>
      </c>
      <c r="G445" s="372"/>
    </row>
    <row r="446" spans="1:7" ht="30" x14ac:dyDescent="0.25">
      <c r="A446" s="369" t="s">
        <v>873</v>
      </c>
      <c r="B446" s="369" t="s">
        <v>1091</v>
      </c>
      <c r="C446" s="369" t="s">
        <v>1277</v>
      </c>
      <c r="D446" s="369"/>
      <c r="E446" s="370" t="s">
        <v>851</v>
      </c>
      <c r="F446" s="378">
        <v>1059598472</v>
      </c>
      <c r="G446" s="372"/>
    </row>
    <row r="447" spans="1:7" ht="30" x14ac:dyDescent="0.25">
      <c r="A447" s="372" t="s">
        <v>1549</v>
      </c>
      <c r="B447" s="372" t="s">
        <v>1298</v>
      </c>
      <c r="C447" s="372" t="s">
        <v>1550</v>
      </c>
      <c r="D447" s="372" t="s">
        <v>1551</v>
      </c>
      <c r="E447" s="373" t="s">
        <v>851</v>
      </c>
      <c r="F447" s="380" t="s">
        <v>1548</v>
      </c>
      <c r="G447" s="372"/>
    </row>
    <row r="448" spans="1:7" ht="30" x14ac:dyDescent="0.25">
      <c r="A448" s="369" t="s">
        <v>896</v>
      </c>
      <c r="B448" s="369" t="s">
        <v>915</v>
      </c>
      <c r="C448" s="369" t="s">
        <v>1585</v>
      </c>
      <c r="D448" s="369"/>
      <c r="E448" s="370" t="s">
        <v>851</v>
      </c>
      <c r="F448" s="369">
        <v>1059595460</v>
      </c>
      <c r="G448" s="372"/>
    </row>
    <row r="449" spans="1:7" ht="30" x14ac:dyDescent="0.25">
      <c r="A449" s="372" t="s">
        <v>1156</v>
      </c>
      <c r="B449" s="372" t="s">
        <v>884</v>
      </c>
      <c r="C449" s="372" t="s">
        <v>1481</v>
      </c>
      <c r="D449" s="372" t="s">
        <v>1482</v>
      </c>
      <c r="E449" s="373" t="s">
        <v>851</v>
      </c>
      <c r="F449" s="380" t="s">
        <v>1483</v>
      </c>
      <c r="G449" s="372"/>
    </row>
    <row r="450" spans="1:7" ht="30" x14ac:dyDescent="0.25">
      <c r="A450" s="369" t="s">
        <v>1580</v>
      </c>
      <c r="B450" s="369" t="s">
        <v>914</v>
      </c>
      <c r="C450" s="369" t="s">
        <v>1581</v>
      </c>
      <c r="D450" s="369" t="s">
        <v>1464</v>
      </c>
      <c r="E450" s="370" t="s">
        <v>851</v>
      </c>
      <c r="F450" s="382">
        <v>1002846447</v>
      </c>
      <c r="G450" s="372"/>
    </row>
    <row r="451" spans="1:7" ht="30" x14ac:dyDescent="0.25">
      <c r="A451" s="372" t="s">
        <v>1590</v>
      </c>
      <c r="B451" s="372" t="s">
        <v>874</v>
      </c>
      <c r="C451" s="372" t="s">
        <v>1591</v>
      </c>
      <c r="D451" s="372"/>
      <c r="E451" s="373" t="s">
        <v>851</v>
      </c>
      <c r="F451" s="379" t="s">
        <v>1589</v>
      </c>
      <c r="G451" s="372"/>
    </row>
    <row r="452" spans="1:7" ht="30" x14ac:dyDescent="0.25">
      <c r="A452" s="369" t="s">
        <v>896</v>
      </c>
      <c r="B452" s="369" t="s">
        <v>992</v>
      </c>
      <c r="C452" s="369" t="s">
        <v>1530</v>
      </c>
      <c r="D452" s="369" t="s">
        <v>1357</v>
      </c>
      <c r="E452" s="370" t="s">
        <v>851</v>
      </c>
      <c r="F452" s="369">
        <v>1002847645</v>
      </c>
      <c r="G452" s="372"/>
    </row>
    <row r="453" spans="1:7" ht="30" x14ac:dyDescent="0.25">
      <c r="A453" s="372" t="s">
        <v>980</v>
      </c>
      <c r="B453" s="372" t="s">
        <v>914</v>
      </c>
      <c r="C453" s="372" t="s">
        <v>1623</v>
      </c>
      <c r="D453" s="372"/>
      <c r="E453" s="373" t="s">
        <v>851</v>
      </c>
      <c r="F453" s="372">
        <v>1059596737</v>
      </c>
      <c r="G453" s="372"/>
    </row>
    <row r="454" spans="1:7" ht="30" x14ac:dyDescent="0.25">
      <c r="A454" s="369" t="s">
        <v>1629</v>
      </c>
      <c r="B454" s="369" t="s">
        <v>1249</v>
      </c>
      <c r="C454" s="369" t="s">
        <v>1630</v>
      </c>
      <c r="D454" s="369"/>
      <c r="E454" s="370" t="s">
        <v>851</v>
      </c>
      <c r="F454" s="369">
        <v>1059601748</v>
      </c>
      <c r="G454" s="372"/>
    </row>
    <row r="455" spans="1:7" ht="30" x14ac:dyDescent="0.25">
      <c r="A455" s="372" t="s">
        <v>953</v>
      </c>
      <c r="B455" s="372" t="s">
        <v>1660</v>
      </c>
      <c r="C455" s="372" t="s">
        <v>1217</v>
      </c>
      <c r="D455" s="372" t="s">
        <v>1661</v>
      </c>
      <c r="E455" s="373" t="s">
        <v>851</v>
      </c>
      <c r="F455" s="372">
        <v>1002848134</v>
      </c>
      <c r="G455" s="372"/>
    </row>
    <row r="456" spans="1:7" ht="30" x14ac:dyDescent="0.25">
      <c r="A456" s="369" t="s">
        <v>848</v>
      </c>
      <c r="B456" s="369" t="s">
        <v>1034</v>
      </c>
      <c r="C456" s="369" t="s">
        <v>1612</v>
      </c>
      <c r="D456" s="369" t="s">
        <v>1662</v>
      </c>
      <c r="E456" s="370" t="s">
        <v>851</v>
      </c>
      <c r="F456" s="369">
        <v>1059601726</v>
      </c>
      <c r="G456" s="372"/>
    </row>
    <row r="457" spans="1:7" ht="30" x14ac:dyDescent="0.25">
      <c r="A457" s="372" t="s">
        <v>1663</v>
      </c>
      <c r="B457" s="372" t="s">
        <v>1664</v>
      </c>
      <c r="C457" s="372" t="s">
        <v>938</v>
      </c>
      <c r="D457" s="372" t="s">
        <v>1665</v>
      </c>
      <c r="E457" s="373" t="s">
        <v>851</v>
      </c>
      <c r="F457" s="372">
        <v>1059601634</v>
      </c>
      <c r="G457" s="372"/>
    </row>
    <row r="458" spans="1:7" ht="30" x14ac:dyDescent="0.25">
      <c r="A458" s="369" t="s">
        <v>1667</v>
      </c>
      <c r="B458" s="369" t="s">
        <v>1668</v>
      </c>
      <c r="C458" s="369" t="s">
        <v>1669</v>
      </c>
      <c r="D458" s="369"/>
      <c r="E458" s="370" t="s">
        <v>851</v>
      </c>
      <c r="F458" s="369">
        <v>1064426895</v>
      </c>
      <c r="G458" s="372"/>
    </row>
    <row r="459" spans="1:7" ht="30" x14ac:dyDescent="0.25">
      <c r="A459" s="372" t="s">
        <v>1210</v>
      </c>
      <c r="B459" s="372" t="s">
        <v>848</v>
      </c>
      <c r="C459" s="372" t="s">
        <v>1670</v>
      </c>
      <c r="D459" s="372" t="s">
        <v>1671</v>
      </c>
      <c r="E459" s="373" t="s">
        <v>851</v>
      </c>
      <c r="F459" s="372">
        <v>1059602883</v>
      </c>
      <c r="G459" s="372"/>
    </row>
    <row r="460" spans="1:7" ht="30" x14ac:dyDescent="0.25">
      <c r="A460" s="369" t="s">
        <v>943</v>
      </c>
      <c r="B460" s="369" t="s">
        <v>848</v>
      </c>
      <c r="C460" s="369" t="s">
        <v>1673</v>
      </c>
      <c r="D460" s="369" t="s">
        <v>1674</v>
      </c>
      <c r="E460" s="370" t="s">
        <v>851</v>
      </c>
      <c r="F460" s="391" t="s">
        <v>1672</v>
      </c>
      <c r="G460" s="372"/>
    </row>
    <row r="461" spans="1:7" ht="30" x14ac:dyDescent="0.25">
      <c r="A461" s="372" t="s">
        <v>1677</v>
      </c>
      <c r="B461" s="372" t="s">
        <v>962</v>
      </c>
      <c r="C461" s="372" t="s">
        <v>1678</v>
      </c>
      <c r="D461" s="372" t="s">
        <v>1679</v>
      </c>
      <c r="E461" s="373" t="s">
        <v>1094</v>
      </c>
      <c r="F461" s="386" t="s">
        <v>1676</v>
      </c>
      <c r="G461" s="372"/>
    </row>
    <row r="462" spans="1:7" ht="30" x14ac:dyDescent="0.25">
      <c r="A462" s="369" t="s">
        <v>1286</v>
      </c>
      <c r="B462" s="369" t="s">
        <v>943</v>
      </c>
      <c r="C462" s="369" t="s">
        <v>1681</v>
      </c>
      <c r="D462" s="369"/>
      <c r="E462" s="370" t="s">
        <v>851</v>
      </c>
      <c r="F462" s="385" t="s">
        <v>1680</v>
      </c>
      <c r="G462" s="372"/>
    </row>
    <row r="463" spans="1:7" ht="30" x14ac:dyDescent="0.25">
      <c r="A463" s="372" t="s">
        <v>848</v>
      </c>
      <c r="B463" s="372" t="s">
        <v>914</v>
      </c>
      <c r="C463" s="372" t="s">
        <v>1683</v>
      </c>
      <c r="D463" s="372"/>
      <c r="E463" s="373" t="s">
        <v>851</v>
      </c>
      <c r="F463" s="386" t="s">
        <v>1682</v>
      </c>
      <c r="G463" s="372"/>
    </row>
    <row r="464" spans="1:7" x14ac:dyDescent="0.25">
      <c r="A464" s="423" t="s">
        <v>1698</v>
      </c>
      <c r="B464" s="423"/>
      <c r="C464" s="423"/>
      <c r="D464" s="423"/>
      <c r="E464" s="423"/>
      <c r="F464" s="423"/>
      <c r="G464" s="372"/>
    </row>
    <row r="465" spans="1:7" ht="45" x14ac:dyDescent="0.25">
      <c r="A465" s="367" t="s">
        <v>94</v>
      </c>
      <c r="B465" s="367" t="s">
        <v>21</v>
      </c>
      <c r="C465" s="367" t="s">
        <v>0</v>
      </c>
      <c r="D465" s="367" t="s">
        <v>1</v>
      </c>
      <c r="E465" s="367" t="s">
        <v>2</v>
      </c>
      <c r="F465" s="367" t="s">
        <v>3</v>
      </c>
      <c r="G465" s="372"/>
    </row>
    <row r="466" spans="1:7" x14ac:dyDescent="0.25">
      <c r="A466" s="345"/>
      <c r="B466" s="345"/>
      <c r="C466" s="345"/>
      <c r="D466" s="345"/>
      <c r="E466" s="346"/>
      <c r="F466" s="347"/>
      <c r="G466" s="43"/>
    </row>
    <row r="467" spans="1:7" ht="30" x14ac:dyDescent="0.25">
      <c r="A467" s="43" t="s">
        <v>914</v>
      </c>
      <c r="B467" s="43" t="s">
        <v>884</v>
      </c>
      <c r="C467" s="43" t="s">
        <v>1296</v>
      </c>
      <c r="D467" s="43" t="s">
        <v>850</v>
      </c>
      <c r="E467" s="109" t="s">
        <v>851</v>
      </c>
      <c r="F467" s="110">
        <v>1060186045</v>
      </c>
      <c r="G467" s="43"/>
    </row>
    <row r="468" spans="1:7" ht="30" x14ac:dyDescent="0.25">
      <c r="A468" s="345" t="s">
        <v>953</v>
      </c>
      <c r="B468" s="345" t="s">
        <v>1316</v>
      </c>
      <c r="C468" s="345" t="s">
        <v>1317</v>
      </c>
      <c r="D468" s="345" t="s">
        <v>1028</v>
      </c>
      <c r="E468" s="346" t="s">
        <v>851</v>
      </c>
      <c r="F468" s="347">
        <v>1059594373</v>
      </c>
      <c r="G468" s="43"/>
    </row>
    <row r="469" spans="1:7" ht="30" x14ac:dyDescent="0.25">
      <c r="A469" s="43" t="s">
        <v>1332</v>
      </c>
      <c r="B469" s="43" t="s">
        <v>1091</v>
      </c>
      <c r="C469" s="43" t="s">
        <v>1333</v>
      </c>
      <c r="D469" s="43"/>
      <c r="E469" s="109" t="s">
        <v>1094</v>
      </c>
      <c r="F469" s="110">
        <v>1059595374</v>
      </c>
      <c r="G469" s="43"/>
    </row>
    <row r="470" spans="1:7" ht="30" x14ac:dyDescent="0.25">
      <c r="A470" s="345" t="s">
        <v>914</v>
      </c>
      <c r="B470" s="345" t="s">
        <v>915</v>
      </c>
      <c r="C470" s="345" t="s">
        <v>916</v>
      </c>
      <c r="D470" s="345"/>
      <c r="E470" s="346" t="s">
        <v>1094</v>
      </c>
      <c r="F470" s="347">
        <v>1059598169</v>
      </c>
      <c r="G470" s="43"/>
    </row>
    <row r="471" spans="1:7" ht="30" x14ac:dyDescent="0.25">
      <c r="A471" s="43" t="s">
        <v>857</v>
      </c>
      <c r="B471" s="43" t="s">
        <v>1365</v>
      </c>
      <c r="C471" s="43" t="s">
        <v>949</v>
      </c>
      <c r="D471" s="43" t="s">
        <v>1366</v>
      </c>
      <c r="E471" s="109" t="s">
        <v>851</v>
      </c>
      <c r="F471" s="110">
        <v>1002953350</v>
      </c>
      <c r="G471" s="43"/>
    </row>
    <row r="472" spans="1:7" ht="30" x14ac:dyDescent="0.25">
      <c r="A472" s="345" t="s">
        <v>1382</v>
      </c>
      <c r="B472" s="345" t="s">
        <v>1382</v>
      </c>
      <c r="C472" s="345" t="s">
        <v>1383</v>
      </c>
      <c r="D472" s="345"/>
      <c r="E472" s="346" t="s">
        <v>851</v>
      </c>
      <c r="F472" s="347">
        <v>1003371767</v>
      </c>
      <c r="G472" s="43"/>
    </row>
    <row r="473" spans="1:7" ht="30" x14ac:dyDescent="0.25">
      <c r="A473" s="43" t="s">
        <v>873</v>
      </c>
      <c r="B473" s="43" t="s">
        <v>944</v>
      </c>
      <c r="C473" s="43" t="s">
        <v>1399</v>
      </c>
      <c r="D473" s="43" t="s">
        <v>1400</v>
      </c>
      <c r="E473" s="109" t="s">
        <v>851</v>
      </c>
      <c r="F473" s="110">
        <v>1002848796</v>
      </c>
      <c r="G473" s="43"/>
    </row>
    <row r="474" spans="1:7" ht="30" x14ac:dyDescent="0.25">
      <c r="A474" s="345" t="s">
        <v>1034</v>
      </c>
      <c r="B474" s="345" t="s">
        <v>1166</v>
      </c>
      <c r="C474" s="345" t="s">
        <v>1408</v>
      </c>
      <c r="D474" s="345" t="s">
        <v>1409</v>
      </c>
      <c r="E474" s="346" t="s">
        <v>851</v>
      </c>
      <c r="F474" s="347">
        <v>1005860830</v>
      </c>
      <c r="G474" s="43"/>
    </row>
    <row r="475" spans="1:7" ht="30" x14ac:dyDescent="0.25">
      <c r="A475" s="43" t="s">
        <v>944</v>
      </c>
      <c r="B475" s="43" t="s">
        <v>943</v>
      </c>
      <c r="C475" s="43" t="s">
        <v>1421</v>
      </c>
      <c r="D475" s="43"/>
      <c r="E475" s="109" t="s">
        <v>851</v>
      </c>
      <c r="F475" s="110">
        <v>1002846330</v>
      </c>
      <c r="G475" s="43"/>
    </row>
    <row r="476" spans="1:7" ht="30" x14ac:dyDescent="0.25">
      <c r="A476" s="345" t="s">
        <v>1441</v>
      </c>
      <c r="B476" s="345" t="s">
        <v>914</v>
      </c>
      <c r="C476" s="345" t="s">
        <v>1451</v>
      </c>
      <c r="D476" s="345"/>
      <c r="E476" s="346" t="s">
        <v>851</v>
      </c>
      <c r="F476" s="347">
        <v>1059598007</v>
      </c>
      <c r="G476" s="43"/>
    </row>
    <row r="477" spans="1:7" ht="30" x14ac:dyDescent="0.25">
      <c r="A477" s="43" t="s">
        <v>943</v>
      </c>
      <c r="B477" s="43" t="s">
        <v>1144</v>
      </c>
      <c r="C477" s="43" t="s">
        <v>1468</v>
      </c>
      <c r="D477" s="43" t="s">
        <v>1281</v>
      </c>
      <c r="E477" s="109" t="s">
        <v>851</v>
      </c>
      <c r="F477" s="110">
        <v>1059607505</v>
      </c>
      <c r="G477" s="43"/>
    </row>
    <row r="478" spans="1:7" ht="30" x14ac:dyDescent="0.25">
      <c r="A478" s="345" t="s">
        <v>1513</v>
      </c>
      <c r="B478" s="345" t="s">
        <v>1514</v>
      </c>
      <c r="C478" s="345" t="s">
        <v>1515</v>
      </c>
      <c r="D478" s="345"/>
      <c r="E478" s="346" t="s">
        <v>851</v>
      </c>
      <c r="F478" s="347">
        <v>1067461286</v>
      </c>
      <c r="G478" s="43"/>
    </row>
    <row r="479" spans="1:7" ht="30" x14ac:dyDescent="0.25">
      <c r="A479" s="43" t="s">
        <v>884</v>
      </c>
      <c r="B479" s="43" t="s">
        <v>1144</v>
      </c>
      <c r="C479" s="43" t="s">
        <v>1534</v>
      </c>
      <c r="D479" s="43"/>
      <c r="E479" s="109" t="s">
        <v>851</v>
      </c>
      <c r="F479" s="354">
        <v>1002846626</v>
      </c>
      <c r="G479" s="43"/>
    </row>
    <row r="480" spans="1:7" ht="30" x14ac:dyDescent="0.25">
      <c r="A480" s="345" t="s">
        <v>1246</v>
      </c>
      <c r="B480" s="345" t="s">
        <v>943</v>
      </c>
      <c r="C480" s="345" t="s">
        <v>1535</v>
      </c>
      <c r="D480" s="345"/>
      <c r="E480" s="346" t="s">
        <v>851</v>
      </c>
      <c r="F480" s="353">
        <v>1002848307</v>
      </c>
      <c r="G480" s="43"/>
    </row>
    <row r="481" spans="1:7" ht="30" x14ac:dyDescent="0.25">
      <c r="A481" s="43" t="s">
        <v>873</v>
      </c>
      <c r="B481" s="43" t="s">
        <v>1091</v>
      </c>
      <c r="C481" s="43" t="s">
        <v>1277</v>
      </c>
      <c r="D481" s="43"/>
      <c r="E481" s="109" t="s">
        <v>851</v>
      </c>
      <c r="F481" s="365">
        <v>1059598472</v>
      </c>
      <c r="G481" s="43"/>
    </row>
    <row r="482" spans="1:7" ht="30" x14ac:dyDescent="0.25">
      <c r="A482" s="345" t="s">
        <v>1549</v>
      </c>
      <c r="B482" s="345" t="s">
        <v>1298</v>
      </c>
      <c r="C482" s="345" t="s">
        <v>1550</v>
      </c>
      <c r="D482" s="345" t="s">
        <v>1551</v>
      </c>
      <c r="E482" s="346" t="s">
        <v>851</v>
      </c>
      <c r="F482" s="358" t="s">
        <v>1548</v>
      </c>
      <c r="G482" s="43"/>
    </row>
    <row r="483" spans="1:7" ht="30" x14ac:dyDescent="0.25">
      <c r="A483" s="43" t="s">
        <v>943</v>
      </c>
      <c r="B483" s="43" t="s">
        <v>1144</v>
      </c>
      <c r="C483" s="43" t="s">
        <v>1504</v>
      </c>
      <c r="D483" s="43" t="s">
        <v>1281</v>
      </c>
      <c r="E483" s="109" t="s">
        <v>1094</v>
      </c>
      <c r="F483" s="110">
        <v>1059599329</v>
      </c>
      <c r="G483" s="43"/>
    </row>
    <row r="484" spans="1:7" ht="30" x14ac:dyDescent="0.25">
      <c r="A484" s="345" t="s">
        <v>1580</v>
      </c>
      <c r="B484" s="345" t="s">
        <v>914</v>
      </c>
      <c r="C484" s="345" t="s">
        <v>1581</v>
      </c>
      <c r="D484" s="345" t="s">
        <v>1464</v>
      </c>
      <c r="E484" s="346" t="s">
        <v>851</v>
      </c>
      <c r="F484" s="359">
        <v>1002846447</v>
      </c>
      <c r="G484" s="43"/>
    </row>
    <row r="485" spans="1:7" ht="30" x14ac:dyDescent="0.25">
      <c r="A485" s="43" t="s">
        <v>1583</v>
      </c>
      <c r="B485" s="43" t="s">
        <v>873</v>
      </c>
      <c r="C485" s="43" t="s">
        <v>1584</v>
      </c>
      <c r="D485" s="43"/>
      <c r="E485" s="109" t="s">
        <v>851</v>
      </c>
      <c r="F485" s="356" t="s">
        <v>1582</v>
      </c>
      <c r="G485" s="43"/>
    </row>
    <row r="486" spans="1:7" ht="30" x14ac:dyDescent="0.25">
      <c r="A486" s="345" t="s">
        <v>1322</v>
      </c>
      <c r="B486" s="345" t="s">
        <v>1378</v>
      </c>
      <c r="C486" s="345" t="s">
        <v>1587</v>
      </c>
      <c r="D486" s="345"/>
      <c r="E486" s="346" t="s">
        <v>851</v>
      </c>
      <c r="F486" s="359" t="s">
        <v>1586</v>
      </c>
      <c r="G486" s="43"/>
    </row>
    <row r="487" spans="1:7" ht="30" x14ac:dyDescent="0.25">
      <c r="A487" s="43" t="s">
        <v>1590</v>
      </c>
      <c r="B487" s="43" t="s">
        <v>874</v>
      </c>
      <c r="C487" s="43" t="s">
        <v>1591</v>
      </c>
      <c r="D487" s="43"/>
      <c r="E487" s="109" t="s">
        <v>851</v>
      </c>
      <c r="F487" s="356" t="s">
        <v>1589</v>
      </c>
      <c r="G487" s="43"/>
    </row>
    <row r="488" spans="1:7" ht="30" x14ac:dyDescent="0.25">
      <c r="A488" s="345" t="s">
        <v>1286</v>
      </c>
      <c r="B488" s="345" t="s">
        <v>1594</v>
      </c>
      <c r="C488" s="345" t="s">
        <v>1420</v>
      </c>
      <c r="D488" s="345"/>
      <c r="E488" s="346" t="s">
        <v>1094</v>
      </c>
      <c r="F488" s="359" t="s">
        <v>1593</v>
      </c>
      <c r="G488" s="43"/>
    </row>
    <row r="489" spans="1:7" ht="30" x14ac:dyDescent="0.25">
      <c r="A489" s="43" t="s">
        <v>896</v>
      </c>
      <c r="B489" s="43" t="s">
        <v>992</v>
      </c>
      <c r="C489" s="43" t="s">
        <v>1530</v>
      </c>
      <c r="D489" s="43" t="s">
        <v>1357</v>
      </c>
      <c r="E489" s="109" t="s">
        <v>851</v>
      </c>
      <c r="F489" s="110">
        <v>1002847645</v>
      </c>
      <c r="G489" s="43"/>
    </row>
    <row r="490" spans="1:7" ht="30" x14ac:dyDescent="0.25">
      <c r="A490" s="345" t="s">
        <v>980</v>
      </c>
      <c r="B490" s="345" t="s">
        <v>914</v>
      </c>
      <c r="C490" s="345" t="s">
        <v>1623</v>
      </c>
      <c r="D490" s="345"/>
      <c r="E490" s="346" t="s">
        <v>851</v>
      </c>
      <c r="F490" s="347">
        <v>1059596737</v>
      </c>
      <c r="G490" s="43"/>
    </row>
    <row r="491" spans="1:7" ht="30" x14ac:dyDescent="0.25">
      <c r="A491" s="43" t="s">
        <v>1629</v>
      </c>
      <c r="B491" s="43" t="s">
        <v>1249</v>
      </c>
      <c r="C491" s="43" t="s">
        <v>1630</v>
      </c>
      <c r="D491" s="43"/>
      <c r="E491" s="109" t="s">
        <v>851</v>
      </c>
      <c r="F491" s="43">
        <v>1059601748</v>
      </c>
      <c r="G491" s="43"/>
    </row>
    <row r="492" spans="1:7" ht="30" x14ac:dyDescent="0.25">
      <c r="A492" s="345" t="s">
        <v>1637</v>
      </c>
      <c r="B492" s="345" t="s">
        <v>1638</v>
      </c>
      <c r="C492" s="345" t="s">
        <v>1028</v>
      </c>
      <c r="D492" s="345"/>
      <c r="E492" s="346" t="s">
        <v>851</v>
      </c>
      <c r="F492" s="358">
        <v>1060986729</v>
      </c>
      <c r="G492" s="43"/>
    </row>
    <row r="493" spans="1:7" ht="30" x14ac:dyDescent="0.25">
      <c r="A493" s="43" t="s">
        <v>953</v>
      </c>
      <c r="B493" s="43" t="s">
        <v>1660</v>
      </c>
      <c r="C493" s="43" t="s">
        <v>1217</v>
      </c>
      <c r="D493" s="43" t="s">
        <v>1661</v>
      </c>
      <c r="E493" s="109" t="s">
        <v>851</v>
      </c>
      <c r="F493" s="110">
        <v>1002848134</v>
      </c>
      <c r="G493" s="43"/>
    </row>
    <row r="494" spans="1:7" ht="30" x14ac:dyDescent="0.25">
      <c r="A494" s="345" t="s">
        <v>848</v>
      </c>
      <c r="B494" s="345" t="s">
        <v>1034</v>
      </c>
      <c r="C494" s="345" t="s">
        <v>1612</v>
      </c>
      <c r="D494" s="345" t="s">
        <v>1662</v>
      </c>
      <c r="E494" s="346" t="s">
        <v>851</v>
      </c>
      <c r="F494" s="347">
        <v>1059601726</v>
      </c>
      <c r="G494" s="43"/>
    </row>
    <row r="495" spans="1:7" ht="30" x14ac:dyDescent="0.25">
      <c r="A495" s="43" t="s">
        <v>1663</v>
      </c>
      <c r="B495" s="43" t="s">
        <v>1664</v>
      </c>
      <c r="C495" s="43" t="s">
        <v>938</v>
      </c>
      <c r="D495" s="43" t="s">
        <v>1665</v>
      </c>
      <c r="E495" s="109" t="s">
        <v>851</v>
      </c>
      <c r="F495" s="110">
        <v>1059601634</v>
      </c>
      <c r="G495" s="43"/>
    </row>
    <row r="496" spans="1:7" ht="30" x14ac:dyDescent="0.25">
      <c r="A496" s="345" t="s">
        <v>1667</v>
      </c>
      <c r="B496" s="345" t="s">
        <v>1668</v>
      </c>
      <c r="C496" s="345" t="s">
        <v>1669</v>
      </c>
      <c r="D496" s="345"/>
      <c r="E496" s="346" t="s">
        <v>851</v>
      </c>
      <c r="F496" s="347">
        <v>1064426895</v>
      </c>
      <c r="G496" s="43"/>
    </row>
    <row r="497" spans="1:7" ht="30" x14ac:dyDescent="0.25">
      <c r="A497" s="43" t="s">
        <v>1210</v>
      </c>
      <c r="B497" s="43" t="s">
        <v>848</v>
      </c>
      <c r="C497" s="43" t="s">
        <v>1670</v>
      </c>
      <c r="D497" s="43" t="s">
        <v>1671</v>
      </c>
      <c r="E497" s="109" t="s">
        <v>851</v>
      </c>
      <c r="F497" s="110">
        <v>1059602883</v>
      </c>
      <c r="G497" s="43"/>
    </row>
    <row r="498" spans="1:7" ht="30" x14ac:dyDescent="0.25">
      <c r="A498" s="345" t="s">
        <v>943</v>
      </c>
      <c r="B498" s="345" t="s">
        <v>848</v>
      </c>
      <c r="C498" s="345" t="s">
        <v>1673</v>
      </c>
      <c r="D498" s="345" t="s">
        <v>1674</v>
      </c>
      <c r="E498" s="346" t="s">
        <v>851</v>
      </c>
      <c r="F498" s="366" t="s">
        <v>1672</v>
      </c>
      <c r="G498" s="43"/>
    </row>
    <row r="499" spans="1:7" ht="30" x14ac:dyDescent="0.25">
      <c r="A499" s="43" t="s">
        <v>1677</v>
      </c>
      <c r="B499" s="43" t="s">
        <v>962</v>
      </c>
      <c r="C499" s="43" t="s">
        <v>1678</v>
      </c>
      <c r="D499" s="43" t="s">
        <v>1679</v>
      </c>
      <c r="E499" s="109" t="s">
        <v>1094</v>
      </c>
      <c r="F499" s="363" t="s">
        <v>1676</v>
      </c>
      <c r="G499" s="43"/>
    </row>
    <row r="500" spans="1:7" ht="30" x14ac:dyDescent="0.25">
      <c r="A500" s="345" t="s">
        <v>1286</v>
      </c>
      <c r="B500" s="345" t="s">
        <v>943</v>
      </c>
      <c r="C500" s="345" t="s">
        <v>1681</v>
      </c>
      <c r="D500" s="345"/>
      <c r="E500" s="346" t="s">
        <v>851</v>
      </c>
      <c r="F500" s="362" t="s">
        <v>1680</v>
      </c>
      <c r="G500" s="43"/>
    </row>
    <row r="501" spans="1:7" ht="30" x14ac:dyDescent="0.25">
      <c r="A501" s="43" t="s">
        <v>848</v>
      </c>
      <c r="B501" s="43" t="s">
        <v>914</v>
      </c>
      <c r="C501" s="43" t="s">
        <v>1683</v>
      </c>
      <c r="D501" s="43"/>
      <c r="E501" s="109" t="s">
        <v>851</v>
      </c>
      <c r="F501" s="363" t="s">
        <v>1682</v>
      </c>
      <c r="G501" s="43"/>
    </row>
    <row r="502" spans="1:7" x14ac:dyDescent="0.25">
      <c r="A502" s="421" t="s">
        <v>1699</v>
      </c>
      <c r="B502" s="421"/>
      <c r="C502" s="421"/>
      <c r="D502" s="421"/>
      <c r="E502" s="421"/>
      <c r="F502" s="421"/>
      <c r="G502" s="43"/>
    </row>
    <row r="503" spans="1:7" ht="45" x14ac:dyDescent="0.25">
      <c r="A503" s="17" t="s">
        <v>94</v>
      </c>
      <c r="B503" s="17" t="s">
        <v>21</v>
      </c>
      <c r="C503" s="17" t="s">
        <v>0</v>
      </c>
      <c r="D503" s="17" t="s">
        <v>1</v>
      </c>
      <c r="E503" s="17" t="s">
        <v>2</v>
      </c>
      <c r="F503" s="17" t="s">
        <v>3</v>
      </c>
      <c r="G503" s="43"/>
    </row>
    <row r="504" spans="1:7" x14ac:dyDescent="0.25">
      <c r="A504" s="345"/>
      <c r="B504" s="345"/>
      <c r="C504" s="345"/>
      <c r="D504" s="345"/>
      <c r="E504" s="346"/>
      <c r="F504" s="347"/>
      <c r="G504" s="43"/>
    </row>
    <row r="505" spans="1:7" ht="30" x14ac:dyDescent="0.25">
      <c r="A505" s="43" t="s">
        <v>974</v>
      </c>
      <c r="B505" s="43" t="s">
        <v>1144</v>
      </c>
      <c r="C505" s="43" t="s">
        <v>1192</v>
      </c>
      <c r="D505" s="43" t="s">
        <v>1193</v>
      </c>
      <c r="E505" s="109" t="s">
        <v>1094</v>
      </c>
      <c r="F505" s="110">
        <v>1059595334</v>
      </c>
      <c r="G505" s="43"/>
    </row>
    <row r="506" spans="1:7" ht="30" x14ac:dyDescent="0.25">
      <c r="A506" s="345" t="s">
        <v>1298</v>
      </c>
      <c r="B506" s="345" t="s">
        <v>914</v>
      </c>
      <c r="C506" s="345" t="s">
        <v>1299</v>
      </c>
      <c r="D506" s="345" t="s">
        <v>1300</v>
      </c>
      <c r="E506" s="346" t="s">
        <v>851</v>
      </c>
      <c r="F506" s="347" t="s">
        <v>1301</v>
      </c>
      <c r="G506" s="43"/>
    </row>
    <row r="507" spans="1:7" ht="30" x14ac:dyDescent="0.25">
      <c r="A507" s="43" t="s">
        <v>1360</v>
      </c>
      <c r="B507" s="43" t="s">
        <v>1361</v>
      </c>
      <c r="C507" s="43" t="s">
        <v>938</v>
      </c>
      <c r="D507" s="43" t="s">
        <v>1362</v>
      </c>
      <c r="E507" s="109" t="s">
        <v>851</v>
      </c>
      <c r="F507" s="110" t="s">
        <v>1363</v>
      </c>
      <c r="G507" s="43"/>
    </row>
    <row r="508" spans="1:7" ht="30" x14ac:dyDescent="0.25">
      <c r="A508" s="345" t="s">
        <v>873</v>
      </c>
      <c r="B508" s="345" t="s">
        <v>1391</v>
      </c>
      <c r="C508" s="345" t="s">
        <v>985</v>
      </c>
      <c r="D508" s="345" t="s">
        <v>1392</v>
      </c>
      <c r="E508" s="346" t="s">
        <v>851</v>
      </c>
      <c r="F508" s="347">
        <v>25547491</v>
      </c>
      <c r="G508" s="43"/>
    </row>
    <row r="509" spans="1:7" ht="30" x14ac:dyDescent="0.25">
      <c r="A509" s="43" t="s">
        <v>873</v>
      </c>
      <c r="B509" s="43" t="s">
        <v>944</v>
      </c>
      <c r="C509" s="43" t="s">
        <v>1399</v>
      </c>
      <c r="D509" s="43" t="s">
        <v>1400</v>
      </c>
      <c r="E509" s="109" t="s">
        <v>851</v>
      </c>
      <c r="F509" s="110">
        <v>1002848796</v>
      </c>
      <c r="G509" s="43"/>
    </row>
    <row r="510" spans="1:7" ht="30" x14ac:dyDescent="0.25">
      <c r="A510" s="345" t="s">
        <v>1427</v>
      </c>
      <c r="B510" s="345" t="s">
        <v>1428</v>
      </c>
      <c r="C510" s="345" t="s">
        <v>1429</v>
      </c>
      <c r="D510" s="345" t="s">
        <v>1430</v>
      </c>
      <c r="E510" s="346" t="s">
        <v>851</v>
      </c>
      <c r="F510" s="347">
        <v>1061528490</v>
      </c>
      <c r="G510" s="43"/>
    </row>
    <row r="511" spans="1:7" ht="30" x14ac:dyDescent="0.25">
      <c r="A511" s="43" t="s">
        <v>1439</v>
      </c>
      <c r="B511" s="43" t="s">
        <v>884</v>
      </c>
      <c r="C511" s="43" t="s">
        <v>1440</v>
      </c>
      <c r="D511" s="43" t="s">
        <v>1294</v>
      </c>
      <c r="E511" s="109" t="s">
        <v>851</v>
      </c>
      <c r="F511" s="110">
        <v>1002847533</v>
      </c>
      <c r="G511" s="43"/>
    </row>
    <row r="512" spans="1:7" ht="30" x14ac:dyDescent="0.25">
      <c r="A512" s="345" t="s">
        <v>1443</v>
      </c>
      <c r="B512" s="345" t="s">
        <v>1444</v>
      </c>
      <c r="C512" s="345" t="s">
        <v>1445</v>
      </c>
      <c r="D512" s="345"/>
      <c r="E512" s="346" t="s">
        <v>851</v>
      </c>
      <c r="F512" s="347">
        <v>1061757665</v>
      </c>
      <c r="G512" s="43"/>
    </row>
    <row r="513" spans="1:7" ht="30" x14ac:dyDescent="0.25">
      <c r="A513" s="43" t="s">
        <v>1179</v>
      </c>
      <c r="B513" s="43" t="s">
        <v>1435</v>
      </c>
      <c r="C513" s="43" t="s">
        <v>1448</v>
      </c>
      <c r="D513" s="43" t="s">
        <v>1294</v>
      </c>
      <c r="E513" s="109" t="s">
        <v>851</v>
      </c>
      <c r="F513" s="110">
        <v>1059594096</v>
      </c>
      <c r="G513" s="43"/>
    </row>
    <row r="514" spans="1:7" ht="30" x14ac:dyDescent="0.25">
      <c r="A514" s="345" t="s">
        <v>944</v>
      </c>
      <c r="B514" s="345" t="s">
        <v>943</v>
      </c>
      <c r="C514" s="345" t="s">
        <v>1463</v>
      </c>
      <c r="D514" s="345" t="s">
        <v>1464</v>
      </c>
      <c r="E514" s="346" t="s">
        <v>1094</v>
      </c>
      <c r="F514" s="347">
        <v>1060186081</v>
      </c>
      <c r="G514" s="43"/>
    </row>
    <row r="515" spans="1:7" ht="30" x14ac:dyDescent="0.25">
      <c r="A515" s="43" t="s">
        <v>1156</v>
      </c>
      <c r="B515" s="43" t="s">
        <v>883</v>
      </c>
      <c r="C515" s="43" t="s">
        <v>1157</v>
      </c>
      <c r="D515" s="43" t="s">
        <v>1466</v>
      </c>
      <c r="E515" s="109" t="s">
        <v>851</v>
      </c>
      <c r="F515" s="110">
        <v>1059594587</v>
      </c>
      <c r="G515" s="43"/>
    </row>
    <row r="516" spans="1:7" ht="30" x14ac:dyDescent="0.25">
      <c r="A516" s="345" t="s">
        <v>943</v>
      </c>
      <c r="B516" s="345" t="s">
        <v>1144</v>
      </c>
      <c r="C516" s="345" t="s">
        <v>1468</v>
      </c>
      <c r="D516" s="345" t="s">
        <v>1281</v>
      </c>
      <c r="E516" s="346" t="s">
        <v>851</v>
      </c>
      <c r="F516" s="347">
        <v>1059607505</v>
      </c>
      <c r="G516" s="43"/>
    </row>
    <row r="517" spans="1:7" ht="30" x14ac:dyDescent="0.25">
      <c r="A517" s="43" t="s">
        <v>848</v>
      </c>
      <c r="B517" s="43" t="s">
        <v>953</v>
      </c>
      <c r="C517" s="43" t="s">
        <v>1501</v>
      </c>
      <c r="D517" s="43" t="s">
        <v>919</v>
      </c>
      <c r="E517" s="109" t="s">
        <v>851</v>
      </c>
      <c r="F517" s="110" t="s">
        <v>1502</v>
      </c>
      <c r="G517" s="43"/>
    </row>
    <row r="518" spans="1:7" ht="30" x14ac:dyDescent="0.25">
      <c r="A518" s="345" t="s">
        <v>1519</v>
      </c>
      <c r="B518" s="345" t="s">
        <v>848</v>
      </c>
      <c r="C518" s="345" t="s">
        <v>1520</v>
      </c>
      <c r="D518" s="345" t="s">
        <v>1521</v>
      </c>
      <c r="E518" s="346" t="s">
        <v>851</v>
      </c>
      <c r="F518" s="347">
        <v>1002950269</v>
      </c>
      <c r="G518" s="43"/>
    </row>
    <row r="519" spans="1:7" ht="30" x14ac:dyDescent="0.25">
      <c r="A519" s="43" t="s">
        <v>896</v>
      </c>
      <c r="B519" s="43" t="s">
        <v>953</v>
      </c>
      <c r="C519" s="43" t="s">
        <v>1530</v>
      </c>
      <c r="D519" s="43" t="s">
        <v>1182</v>
      </c>
      <c r="E519" s="109" t="s">
        <v>851</v>
      </c>
      <c r="F519" s="110">
        <v>1059594419</v>
      </c>
      <c r="G519" s="43"/>
    </row>
    <row r="520" spans="1:7" ht="30" x14ac:dyDescent="0.25">
      <c r="A520" s="345" t="s">
        <v>1286</v>
      </c>
      <c r="B520" s="345" t="s">
        <v>980</v>
      </c>
      <c r="C520" s="345" t="s">
        <v>1528</v>
      </c>
      <c r="D520" s="345" t="s">
        <v>1281</v>
      </c>
      <c r="E520" s="346" t="s">
        <v>851</v>
      </c>
      <c r="F520" s="347">
        <v>1059596092</v>
      </c>
      <c r="G520" s="43"/>
    </row>
    <row r="521" spans="1:7" ht="30" x14ac:dyDescent="0.25">
      <c r="A521" s="43" t="s">
        <v>896</v>
      </c>
      <c r="B521" s="43" t="s">
        <v>1091</v>
      </c>
      <c r="C521" s="43" t="s">
        <v>1538</v>
      </c>
      <c r="D521" s="43"/>
      <c r="E521" s="109" t="s">
        <v>851</v>
      </c>
      <c r="F521" s="110">
        <v>1002846350</v>
      </c>
      <c r="G521" s="43"/>
    </row>
    <row r="522" spans="1:7" ht="30" x14ac:dyDescent="0.25">
      <c r="A522" s="345" t="s">
        <v>896</v>
      </c>
      <c r="B522" s="345" t="s">
        <v>953</v>
      </c>
      <c r="C522" s="345" t="s">
        <v>1217</v>
      </c>
      <c r="D522" s="345" t="s">
        <v>1471</v>
      </c>
      <c r="E522" s="346" t="s">
        <v>851</v>
      </c>
      <c r="F522" s="353">
        <v>1059602285</v>
      </c>
      <c r="G522" s="43"/>
    </row>
    <row r="523" spans="1:7" ht="30" x14ac:dyDescent="0.25">
      <c r="A523" s="43" t="s">
        <v>1540</v>
      </c>
      <c r="B523" s="43" t="s">
        <v>943</v>
      </c>
      <c r="C523" s="43" t="s">
        <v>1541</v>
      </c>
      <c r="D523" s="43" t="s">
        <v>1542</v>
      </c>
      <c r="E523" s="109" t="s">
        <v>851</v>
      </c>
      <c r="F523" s="356" t="s">
        <v>1539</v>
      </c>
      <c r="G523" s="43"/>
    </row>
    <row r="524" spans="1:7" ht="30" x14ac:dyDescent="0.25">
      <c r="A524" s="345" t="s">
        <v>1144</v>
      </c>
      <c r="B524" s="345" t="s">
        <v>996</v>
      </c>
      <c r="C524" s="345" t="s">
        <v>1192</v>
      </c>
      <c r="D524" s="345"/>
      <c r="E524" s="346" t="s">
        <v>851</v>
      </c>
      <c r="F524" s="353">
        <v>1059604012</v>
      </c>
      <c r="G524" s="43"/>
    </row>
    <row r="525" spans="1:7" ht="30" x14ac:dyDescent="0.25">
      <c r="A525" s="43" t="s">
        <v>874</v>
      </c>
      <c r="B525" s="43" t="s">
        <v>873</v>
      </c>
      <c r="C525" s="43" t="s">
        <v>1635</v>
      </c>
      <c r="D525" s="43" t="s">
        <v>1294</v>
      </c>
      <c r="E525" s="109" t="s">
        <v>1094</v>
      </c>
      <c r="F525" s="110">
        <v>1059597986</v>
      </c>
      <c r="G525" s="43"/>
    </row>
    <row r="526" spans="1:7" ht="30" x14ac:dyDescent="0.25">
      <c r="A526" s="345" t="s">
        <v>896</v>
      </c>
      <c r="B526" s="345" t="s">
        <v>915</v>
      </c>
      <c r="C526" s="345" t="s">
        <v>1585</v>
      </c>
      <c r="D526" s="345"/>
      <c r="E526" s="346" t="s">
        <v>851</v>
      </c>
      <c r="F526" s="347">
        <v>1059595460</v>
      </c>
      <c r="G526" s="43"/>
    </row>
    <row r="527" spans="1:7" ht="30" x14ac:dyDescent="0.25">
      <c r="A527" s="43" t="s">
        <v>1583</v>
      </c>
      <c r="B527" s="43" t="s">
        <v>873</v>
      </c>
      <c r="C527" s="43" t="s">
        <v>1584</v>
      </c>
      <c r="D527" s="43"/>
      <c r="E527" s="109" t="s">
        <v>851</v>
      </c>
      <c r="F527" s="356" t="s">
        <v>1582</v>
      </c>
      <c r="G527" s="43"/>
    </row>
    <row r="528" spans="1:7" ht="30" x14ac:dyDescent="0.25">
      <c r="A528" s="345" t="s">
        <v>1590</v>
      </c>
      <c r="B528" s="345" t="s">
        <v>874</v>
      </c>
      <c r="C528" s="345" t="s">
        <v>1591</v>
      </c>
      <c r="D528" s="345"/>
      <c r="E528" s="346" t="s">
        <v>851</v>
      </c>
      <c r="F528" s="359" t="s">
        <v>1589</v>
      </c>
      <c r="G528" s="43"/>
    </row>
    <row r="529" spans="1:7" ht="30" x14ac:dyDescent="0.25">
      <c r="A529" s="43" t="s">
        <v>914</v>
      </c>
      <c r="B529" s="43" t="s">
        <v>1601</v>
      </c>
      <c r="C529" s="43" t="s">
        <v>1602</v>
      </c>
      <c r="D529" s="43"/>
      <c r="E529" s="109" t="s">
        <v>851</v>
      </c>
      <c r="F529" s="110">
        <v>1003370775</v>
      </c>
      <c r="G529" s="43"/>
    </row>
    <row r="530" spans="1:7" ht="30" x14ac:dyDescent="0.25">
      <c r="A530" s="345" t="s">
        <v>896</v>
      </c>
      <c r="B530" s="345" t="s">
        <v>992</v>
      </c>
      <c r="C530" s="345" t="s">
        <v>1530</v>
      </c>
      <c r="D530" s="345" t="s">
        <v>1357</v>
      </c>
      <c r="E530" s="346" t="s">
        <v>851</v>
      </c>
      <c r="F530" s="347">
        <v>1002847645</v>
      </c>
      <c r="G530" s="43"/>
    </row>
    <row r="531" spans="1:7" ht="30" x14ac:dyDescent="0.25">
      <c r="A531" s="43" t="s">
        <v>914</v>
      </c>
      <c r="B531" s="43" t="s">
        <v>943</v>
      </c>
      <c r="C531" s="43" t="s">
        <v>1198</v>
      </c>
      <c r="D531" s="43"/>
      <c r="E531" s="109" t="s">
        <v>851</v>
      </c>
      <c r="F531" s="110">
        <v>1059605317</v>
      </c>
      <c r="G531" s="43"/>
    </row>
    <row r="532" spans="1:7" ht="30" x14ac:dyDescent="0.25">
      <c r="A532" s="345" t="s">
        <v>873</v>
      </c>
      <c r="B532" s="345" t="s">
        <v>874</v>
      </c>
      <c r="C532" s="345" t="s">
        <v>1612</v>
      </c>
      <c r="D532" s="345" t="s">
        <v>1613</v>
      </c>
      <c r="E532" s="346" t="s">
        <v>851</v>
      </c>
      <c r="F532" s="347">
        <v>1002849103</v>
      </c>
      <c r="G532" s="43"/>
    </row>
    <row r="533" spans="1:7" ht="30" x14ac:dyDescent="0.25">
      <c r="A533" s="43" t="s">
        <v>943</v>
      </c>
      <c r="B533" s="43" t="s">
        <v>848</v>
      </c>
      <c r="C533" s="43" t="s">
        <v>1673</v>
      </c>
      <c r="D533" s="43" t="s">
        <v>1674</v>
      </c>
      <c r="E533" s="109" t="s">
        <v>851</v>
      </c>
      <c r="F533" s="361" t="s">
        <v>1672</v>
      </c>
      <c r="G533" s="43"/>
    </row>
    <row r="534" spans="1:7" ht="30" x14ac:dyDescent="0.25">
      <c r="A534" s="345" t="s">
        <v>1677</v>
      </c>
      <c r="B534" s="345" t="s">
        <v>962</v>
      </c>
      <c r="C534" s="345" t="s">
        <v>1678</v>
      </c>
      <c r="D534" s="345" t="s">
        <v>1679</v>
      </c>
      <c r="E534" s="346" t="s">
        <v>1094</v>
      </c>
      <c r="F534" s="362" t="s">
        <v>1676</v>
      </c>
      <c r="G534" s="43"/>
    </row>
    <row r="535" spans="1:7" x14ac:dyDescent="0.25">
      <c r="A535" s="422" t="s">
        <v>1700</v>
      </c>
      <c r="B535" s="422"/>
      <c r="C535" s="422"/>
      <c r="D535" s="422"/>
      <c r="E535" s="422"/>
      <c r="F535" s="422"/>
      <c r="G535" s="43"/>
    </row>
    <row r="536" spans="1:7" ht="45" x14ac:dyDescent="0.25">
      <c r="A536" s="17" t="s">
        <v>94</v>
      </c>
      <c r="B536" s="17" t="s">
        <v>21</v>
      </c>
      <c r="C536" s="17" t="s">
        <v>0</v>
      </c>
      <c r="D536" s="17" t="s">
        <v>1</v>
      </c>
      <c r="E536" s="17" t="s">
        <v>2</v>
      </c>
      <c r="F536" s="17" t="s">
        <v>3</v>
      </c>
      <c r="G536" s="43"/>
    </row>
    <row r="537" spans="1:7" ht="30" x14ac:dyDescent="0.25">
      <c r="A537" s="43" t="s">
        <v>914</v>
      </c>
      <c r="B537" s="43" t="s">
        <v>915</v>
      </c>
      <c r="C537" s="43" t="s">
        <v>916</v>
      </c>
      <c r="D537" s="43"/>
      <c r="E537" s="109" t="s">
        <v>1094</v>
      </c>
      <c r="F537" s="110">
        <v>1059598169</v>
      </c>
      <c r="G537" s="43"/>
    </row>
    <row r="538" spans="1:7" ht="30" x14ac:dyDescent="0.25">
      <c r="A538" s="345" t="s">
        <v>1405</v>
      </c>
      <c r="B538" s="345" t="s">
        <v>884</v>
      </c>
      <c r="C538" s="345" t="s">
        <v>1406</v>
      </c>
      <c r="D538" s="345" t="s">
        <v>1407</v>
      </c>
      <c r="E538" s="346" t="s">
        <v>851</v>
      </c>
      <c r="F538" s="347">
        <v>1059601552</v>
      </c>
      <c r="G538" s="43"/>
    </row>
    <row r="539" spans="1:7" ht="30" x14ac:dyDescent="0.25">
      <c r="A539" s="43" t="s">
        <v>1034</v>
      </c>
      <c r="B539" s="43" t="s">
        <v>1166</v>
      </c>
      <c r="C539" s="43" t="s">
        <v>1408</v>
      </c>
      <c r="D539" s="43" t="s">
        <v>1409</v>
      </c>
      <c r="E539" s="109" t="s">
        <v>851</v>
      </c>
      <c r="F539" s="110">
        <v>1005860830</v>
      </c>
      <c r="G539" s="43"/>
    </row>
    <row r="540" spans="1:7" ht="30" x14ac:dyDescent="0.25">
      <c r="A540" s="345" t="s">
        <v>1441</v>
      </c>
      <c r="B540" s="345" t="s">
        <v>884</v>
      </c>
      <c r="C540" s="345" t="s">
        <v>1457</v>
      </c>
      <c r="D540" s="345"/>
      <c r="E540" s="346" t="s">
        <v>851</v>
      </c>
      <c r="F540" s="347">
        <v>25545401</v>
      </c>
      <c r="G540" s="43"/>
    </row>
    <row r="541" spans="1:7" ht="30" x14ac:dyDescent="0.25">
      <c r="A541" s="43" t="s">
        <v>1458</v>
      </c>
      <c r="B541" s="43" t="s">
        <v>1459</v>
      </c>
      <c r="C541" s="43" t="s">
        <v>1460</v>
      </c>
      <c r="D541" s="43" t="s">
        <v>976</v>
      </c>
      <c r="E541" s="109" t="s">
        <v>1094</v>
      </c>
      <c r="F541" s="110">
        <v>1062295885</v>
      </c>
      <c r="G541" s="43"/>
    </row>
    <row r="542" spans="1:7" ht="30" x14ac:dyDescent="0.25">
      <c r="A542" s="345" t="s">
        <v>992</v>
      </c>
      <c r="B542" s="345" t="s">
        <v>848</v>
      </c>
      <c r="C542" s="345" t="s">
        <v>1504</v>
      </c>
      <c r="D542" s="345" t="s">
        <v>1157</v>
      </c>
      <c r="E542" s="346" t="s">
        <v>851</v>
      </c>
      <c r="F542" s="347">
        <v>1002848292</v>
      </c>
      <c r="G542" s="43"/>
    </row>
    <row r="543" spans="1:7" x14ac:dyDescent="0.25">
      <c r="A543" s="43" t="s">
        <v>896</v>
      </c>
      <c r="B543" s="43" t="s">
        <v>953</v>
      </c>
      <c r="C543" s="43" t="s">
        <v>1634</v>
      </c>
      <c r="D543" s="43"/>
      <c r="E543" s="109"/>
      <c r="F543" s="110">
        <v>1002848733</v>
      </c>
      <c r="G543" s="43"/>
    </row>
    <row r="544" spans="1:7" ht="30" x14ac:dyDescent="0.25">
      <c r="A544" s="345" t="s">
        <v>896</v>
      </c>
      <c r="B544" s="345" t="s">
        <v>915</v>
      </c>
      <c r="C544" s="345" t="s">
        <v>1585</v>
      </c>
      <c r="D544" s="345"/>
      <c r="E544" s="346" t="s">
        <v>851</v>
      </c>
      <c r="F544" s="347">
        <v>1059595460</v>
      </c>
      <c r="G544" s="43"/>
    </row>
    <row r="545" spans="1:7" ht="30" x14ac:dyDescent="0.25">
      <c r="A545" s="43" t="s">
        <v>1590</v>
      </c>
      <c r="B545" s="43" t="s">
        <v>874</v>
      </c>
      <c r="C545" s="43" t="s">
        <v>1591</v>
      </c>
      <c r="D545" s="43"/>
      <c r="E545" s="109" t="s">
        <v>851</v>
      </c>
      <c r="F545" s="356" t="s">
        <v>1589</v>
      </c>
      <c r="G545" s="43"/>
    </row>
    <row r="546" spans="1:7" ht="30" x14ac:dyDescent="0.25">
      <c r="A546" s="345" t="s">
        <v>914</v>
      </c>
      <c r="B546" s="345" t="s">
        <v>1601</v>
      </c>
      <c r="C546" s="345" t="s">
        <v>1602</v>
      </c>
      <c r="D546" s="345"/>
      <c r="E546" s="346" t="s">
        <v>851</v>
      </c>
      <c r="F546" s="347">
        <v>1003370775</v>
      </c>
      <c r="G546" s="43"/>
    </row>
    <row r="547" spans="1:7" ht="30" x14ac:dyDescent="0.25">
      <c r="A547" s="43" t="s">
        <v>914</v>
      </c>
      <c r="B547" s="43" t="s">
        <v>943</v>
      </c>
      <c r="C547" s="43" t="s">
        <v>1198</v>
      </c>
      <c r="D547" s="43"/>
      <c r="E547" s="109" t="s">
        <v>851</v>
      </c>
      <c r="F547" s="110">
        <v>1059605317</v>
      </c>
      <c r="G547" s="43"/>
    </row>
    <row r="548" spans="1:7" ht="30" x14ac:dyDescent="0.25">
      <c r="A548" s="345" t="s">
        <v>953</v>
      </c>
      <c r="B548" s="345" t="s">
        <v>1660</v>
      </c>
      <c r="C548" s="345" t="s">
        <v>1217</v>
      </c>
      <c r="D548" s="345" t="s">
        <v>1661</v>
      </c>
      <c r="E548" s="346" t="s">
        <v>851</v>
      </c>
      <c r="F548" s="347">
        <v>1002848134</v>
      </c>
      <c r="G548" s="43"/>
    </row>
    <row r="549" spans="1:7" ht="30" x14ac:dyDescent="0.25">
      <c r="A549" s="43" t="s">
        <v>848</v>
      </c>
      <c r="B549" s="43" t="s">
        <v>1034</v>
      </c>
      <c r="C549" s="43" t="s">
        <v>1612</v>
      </c>
      <c r="D549" s="43" t="s">
        <v>1662</v>
      </c>
      <c r="E549" s="109" t="s">
        <v>851</v>
      </c>
      <c r="F549" s="110">
        <v>1059601726</v>
      </c>
      <c r="G549" s="43"/>
    </row>
    <row r="550" spans="1:7" ht="30" x14ac:dyDescent="0.25">
      <c r="A550" s="345" t="s">
        <v>1677</v>
      </c>
      <c r="B550" s="345" t="s">
        <v>962</v>
      </c>
      <c r="C550" s="345" t="s">
        <v>1678</v>
      </c>
      <c r="D550" s="345" t="s">
        <v>1679</v>
      </c>
      <c r="E550" s="346" t="s">
        <v>1094</v>
      </c>
      <c r="F550" s="362" t="s">
        <v>1676</v>
      </c>
      <c r="G550" s="43"/>
    </row>
    <row r="551" spans="1:7" x14ac:dyDescent="0.25">
      <c r="A551" s="364" t="s">
        <v>1701</v>
      </c>
      <c r="B551" s="43"/>
      <c r="C551" s="43"/>
      <c r="D551" s="43"/>
      <c r="E551" s="43"/>
      <c r="F551" s="43"/>
      <c r="G551" s="43"/>
    </row>
    <row r="552" spans="1:7" ht="45" x14ac:dyDescent="0.25">
      <c r="A552" s="17" t="s">
        <v>94</v>
      </c>
      <c r="B552" s="17" t="s">
        <v>21</v>
      </c>
      <c r="C552" s="17" t="s">
        <v>0</v>
      </c>
      <c r="D552" s="17" t="s">
        <v>1</v>
      </c>
      <c r="E552" s="17" t="s">
        <v>2</v>
      </c>
      <c r="F552" s="17" t="s">
        <v>3</v>
      </c>
      <c r="G552" s="43"/>
    </row>
    <row r="553" spans="1:7" ht="30" x14ac:dyDescent="0.25">
      <c r="A553" s="345" t="s">
        <v>914</v>
      </c>
      <c r="B553" s="345" t="s">
        <v>884</v>
      </c>
      <c r="C553" s="345" t="s">
        <v>1296</v>
      </c>
      <c r="D553" s="345" t="s">
        <v>850</v>
      </c>
      <c r="E553" s="346" t="s">
        <v>851</v>
      </c>
      <c r="F553" s="347">
        <v>1060186045</v>
      </c>
      <c r="G553" s="43"/>
    </row>
    <row r="554" spans="1:7" ht="30" x14ac:dyDescent="0.25">
      <c r="A554" s="43" t="s">
        <v>944</v>
      </c>
      <c r="B554" s="43" t="s">
        <v>943</v>
      </c>
      <c r="C554" s="43" t="s">
        <v>1421</v>
      </c>
      <c r="D554" s="43"/>
      <c r="E554" s="109" t="s">
        <v>851</v>
      </c>
      <c r="F554" s="110">
        <v>1002846330</v>
      </c>
      <c r="G554" s="43"/>
    </row>
    <row r="555" spans="1:7" ht="30" x14ac:dyDescent="0.25">
      <c r="A555" s="345" t="s">
        <v>1144</v>
      </c>
      <c r="B555" s="345" t="s">
        <v>884</v>
      </c>
      <c r="C555" s="345" t="s">
        <v>1432</v>
      </c>
      <c r="D555" s="345" t="s">
        <v>1433</v>
      </c>
      <c r="E555" s="346" t="s">
        <v>1094</v>
      </c>
      <c r="F555" s="347">
        <v>1059596594</v>
      </c>
      <c r="G555" s="43"/>
    </row>
    <row r="556" spans="1:7" ht="30" x14ac:dyDescent="0.25">
      <c r="A556" s="43" t="s">
        <v>1507</v>
      </c>
      <c r="B556" s="43" t="s">
        <v>1365</v>
      </c>
      <c r="C556" s="43" t="s">
        <v>1508</v>
      </c>
      <c r="D556" s="43"/>
      <c r="E556" s="109" t="s">
        <v>851</v>
      </c>
      <c r="F556" s="110">
        <v>1059600322</v>
      </c>
      <c r="G556" s="43"/>
    </row>
    <row r="557" spans="1:7" ht="30" x14ac:dyDescent="0.25">
      <c r="A557" s="345" t="s">
        <v>896</v>
      </c>
      <c r="B557" s="345" t="s">
        <v>953</v>
      </c>
      <c r="C557" s="345" t="s">
        <v>1217</v>
      </c>
      <c r="D557" s="345" t="s">
        <v>1471</v>
      </c>
      <c r="E557" s="346" t="s">
        <v>851</v>
      </c>
      <c r="F557" s="353">
        <v>1059602285</v>
      </c>
      <c r="G557" s="43"/>
    </row>
    <row r="558" spans="1:7" ht="30" x14ac:dyDescent="0.25">
      <c r="A558" s="43" t="s">
        <v>874</v>
      </c>
      <c r="B558" s="43" t="s">
        <v>873</v>
      </c>
      <c r="C558" s="43" t="s">
        <v>1635</v>
      </c>
      <c r="D558" s="43" t="s">
        <v>1294</v>
      </c>
      <c r="E558" s="109" t="s">
        <v>1094</v>
      </c>
      <c r="F558" s="110">
        <v>1059597986</v>
      </c>
      <c r="G558" s="43"/>
    </row>
    <row r="559" spans="1:7" ht="30" x14ac:dyDescent="0.25">
      <c r="A559" s="345" t="s">
        <v>896</v>
      </c>
      <c r="B559" s="345" t="s">
        <v>915</v>
      </c>
      <c r="C559" s="345" t="s">
        <v>1585</v>
      </c>
      <c r="D559" s="345"/>
      <c r="E559" s="346" t="s">
        <v>851</v>
      </c>
      <c r="F559" s="347">
        <v>1059595460</v>
      </c>
      <c r="G559" s="43"/>
    </row>
    <row r="560" spans="1:7" ht="30" x14ac:dyDescent="0.25">
      <c r="A560" s="43" t="s">
        <v>1677</v>
      </c>
      <c r="B560" s="43" t="s">
        <v>962</v>
      </c>
      <c r="C560" s="43" t="s">
        <v>1678</v>
      </c>
      <c r="D560" s="43" t="s">
        <v>1679</v>
      </c>
      <c r="E560" s="109" t="s">
        <v>1094</v>
      </c>
      <c r="F560" s="363" t="s">
        <v>1676</v>
      </c>
      <c r="G560" s="43"/>
    </row>
    <row r="561" spans="1:7" x14ac:dyDescent="0.25">
      <c r="A561" s="421" t="s">
        <v>1702</v>
      </c>
      <c r="B561" s="421"/>
      <c r="C561" s="421"/>
      <c r="D561" s="421"/>
      <c r="E561" s="421"/>
      <c r="F561" s="421"/>
      <c r="G561" s="43"/>
    </row>
    <row r="562" spans="1:7" ht="45" x14ac:dyDescent="0.25">
      <c r="A562" s="17" t="s">
        <v>94</v>
      </c>
      <c r="B562" s="17" t="s">
        <v>21</v>
      </c>
      <c r="C562" s="17" t="s">
        <v>0</v>
      </c>
      <c r="D562" s="17" t="s">
        <v>1</v>
      </c>
      <c r="E562" s="17" t="s">
        <v>2</v>
      </c>
      <c r="F562" s="17" t="s">
        <v>3</v>
      </c>
      <c r="G562" s="43"/>
    </row>
    <row r="563" spans="1:7" ht="30" x14ac:dyDescent="0.25">
      <c r="A563" s="345" t="s">
        <v>1298</v>
      </c>
      <c r="B563" s="345" t="s">
        <v>914</v>
      </c>
      <c r="C563" s="345" t="s">
        <v>1299</v>
      </c>
      <c r="D563" s="345" t="s">
        <v>1300</v>
      </c>
      <c r="E563" s="346" t="s">
        <v>851</v>
      </c>
      <c r="F563" s="347" t="s">
        <v>1301</v>
      </c>
      <c r="G563" s="43"/>
    </row>
    <row r="564" spans="1:7" ht="30" x14ac:dyDescent="0.25">
      <c r="A564" s="43" t="s">
        <v>1305</v>
      </c>
      <c r="B564" s="43" t="s">
        <v>884</v>
      </c>
      <c r="C564" s="43" t="s">
        <v>1306</v>
      </c>
      <c r="D564" s="43" t="s">
        <v>1307</v>
      </c>
      <c r="E564" s="109" t="s">
        <v>851</v>
      </c>
      <c r="F564" s="110">
        <v>1059604869</v>
      </c>
      <c r="G564" s="43"/>
    </row>
    <row r="565" spans="1:7" ht="30" x14ac:dyDescent="0.25">
      <c r="A565" s="345" t="s">
        <v>1332</v>
      </c>
      <c r="B565" s="345" t="s">
        <v>1091</v>
      </c>
      <c r="C565" s="345" t="s">
        <v>1333</v>
      </c>
      <c r="D565" s="345"/>
      <c r="E565" s="346" t="s">
        <v>1094</v>
      </c>
      <c r="F565" s="347">
        <v>1059595374</v>
      </c>
      <c r="G565" s="43"/>
    </row>
    <row r="566" spans="1:7" ht="30" x14ac:dyDescent="0.25">
      <c r="A566" s="43" t="s">
        <v>1360</v>
      </c>
      <c r="B566" s="43" t="s">
        <v>1361</v>
      </c>
      <c r="C566" s="43" t="s">
        <v>938</v>
      </c>
      <c r="D566" s="43" t="s">
        <v>1362</v>
      </c>
      <c r="E566" s="109" t="s">
        <v>851</v>
      </c>
      <c r="F566" s="110" t="s">
        <v>1363</v>
      </c>
      <c r="G566" s="43"/>
    </row>
    <row r="567" spans="1:7" ht="30" x14ac:dyDescent="0.25">
      <c r="A567" s="345" t="s">
        <v>1368</v>
      </c>
      <c r="B567" s="345" t="s">
        <v>1369</v>
      </c>
      <c r="C567" s="345" t="s">
        <v>1370</v>
      </c>
      <c r="D567" s="345" t="s">
        <v>982</v>
      </c>
      <c r="E567" s="346" t="s">
        <v>851</v>
      </c>
      <c r="F567" s="347">
        <v>1059603417</v>
      </c>
      <c r="G567" s="43"/>
    </row>
    <row r="568" spans="1:7" ht="30" x14ac:dyDescent="0.25">
      <c r="A568" s="43" t="s">
        <v>1382</v>
      </c>
      <c r="B568" s="43" t="s">
        <v>1382</v>
      </c>
      <c r="C568" s="43" t="s">
        <v>1383</v>
      </c>
      <c r="D568" s="43"/>
      <c r="E568" s="109" t="s">
        <v>851</v>
      </c>
      <c r="F568" s="110">
        <v>1003371767</v>
      </c>
      <c r="G568" s="43"/>
    </row>
    <row r="569" spans="1:7" ht="30" x14ac:dyDescent="0.25">
      <c r="A569" s="345" t="s">
        <v>873</v>
      </c>
      <c r="B569" s="345" t="s">
        <v>1391</v>
      </c>
      <c r="C569" s="345" t="s">
        <v>985</v>
      </c>
      <c r="D569" s="345" t="s">
        <v>1392</v>
      </c>
      <c r="E569" s="346" t="s">
        <v>851</v>
      </c>
      <c r="F569" s="347">
        <v>25547491</v>
      </c>
      <c r="G569" s="43"/>
    </row>
    <row r="570" spans="1:7" ht="30" x14ac:dyDescent="0.25">
      <c r="A570" s="43" t="s">
        <v>1405</v>
      </c>
      <c r="B570" s="43" t="s">
        <v>884</v>
      </c>
      <c r="C570" s="43" t="s">
        <v>1406</v>
      </c>
      <c r="D570" s="43" t="s">
        <v>1407</v>
      </c>
      <c r="E570" s="109" t="s">
        <v>851</v>
      </c>
      <c r="F570" s="110">
        <v>1059601552</v>
      </c>
      <c r="G570" s="43"/>
    </row>
    <row r="571" spans="1:7" ht="30" x14ac:dyDescent="0.25">
      <c r="A571" s="345" t="s">
        <v>1441</v>
      </c>
      <c r="B571" s="345"/>
      <c r="C571" s="345" t="s">
        <v>1284</v>
      </c>
      <c r="D571" s="345" t="s">
        <v>1442</v>
      </c>
      <c r="E571" s="346" t="s">
        <v>851</v>
      </c>
      <c r="F571" s="347">
        <v>1002848635</v>
      </c>
      <c r="G571" s="43"/>
    </row>
    <row r="572" spans="1:7" ht="30" x14ac:dyDescent="0.25">
      <c r="A572" s="43" t="s">
        <v>896</v>
      </c>
      <c r="B572" s="43" t="s">
        <v>943</v>
      </c>
      <c r="C572" s="43" t="s">
        <v>1452</v>
      </c>
      <c r="D572" s="43" t="s">
        <v>1372</v>
      </c>
      <c r="E572" s="109" t="s">
        <v>851</v>
      </c>
      <c r="F572" s="110">
        <v>1059599315</v>
      </c>
      <c r="G572" s="43"/>
    </row>
    <row r="573" spans="1:7" ht="30" x14ac:dyDescent="0.25">
      <c r="A573" s="345" t="s">
        <v>1441</v>
      </c>
      <c r="B573" s="345" t="s">
        <v>884</v>
      </c>
      <c r="C573" s="345" t="s">
        <v>1457</v>
      </c>
      <c r="D573" s="345"/>
      <c r="E573" s="346" t="s">
        <v>851</v>
      </c>
      <c r="F573" s="347">
        <v>25545401</v>
      </c>
      <c r="G573" s="43"/>
    </row>
    <row r="574" spans="1:7" ht="30" x14ac:dyDescent="0.25">
      <c r="A574" s="43" t="s">
        <v>944</v>
      </c>
      <c r="B574" s="43" t="s">
        <v>943</v>
      </c>
      <c r="C574" s="43" t="s">
        <v>1463</v>
      </c>
      <c r="D574" s="43" t="s">
        <v>1464</v>
      </c>
      <c r="E574" s="109" t="s">
        <v>1094</v>
      </c>
      <c r="F574" s="110">
        <v>1060186081</v>
      </c>
      <c r="G574" s="43"/>
    </row>
    <row r="575" spans="1:7" ht="30" x14ac:dyDescent="0.25">
      <c r="A575" s="345" t="s">
        <v>883</v>
      </c>
      <c r="B575" s="345" t="s">
        <v>1290</v>
      </c>
      <c r="C575" s="345" t="s">
        <v>1476</v>
      </c>
      <c r="D575" s="345"/>
      <c r="E575" s="346" t="s">
        <v>851</v>
      </c>
      <c r="F575" s="347">
        <v>1059604081</v>
      </c>
      <c r="G575" s="43"/>
    </row>
    <row r="576" spans="1:7" ht="30" x14ac:dyDescent="0.25">
      <c r="A576" s="43" t="s">
        <v>884</v>
      </c>
      <c r="B576" s="43" t="s">
        <v>914</v>
      </c>
      <c r="C576" s="43" t="s">
        <v>1479</v>
      </c>
      <c r="D576" s="43" t="s">
        <v>1480</v>
      </c>
      <c r="E576" s="109" t="s">
        <v>851</v>
      </c>
      <c r="F576" s="110">
        <v>1002847894</v>
      </c>
      <c r="G576" s="43"/>
    </row>
    <row r="577" spans="1:7" ht="30" x14ac:dyDescent="0.25">
      <c r="A577" s="345" t="s">
        <v>974</v>
      </c>
      <c r="B577" s="345" t="s">
        <v>943</v>
      </c>
      <c r="C577" s="345" t="s">
        <v>1217</v>
      </c>
      <c r="D577" s="345" t="s">
        <v>1490</v>
      </c>
      <c r="E577" s="346" t="s">
        <v>851</v>
      </c>
      <c r="F577" s="347" t="s">
        <v>1491</v>
      </c>
      <c r="G577" s="43"/>
    </row>
    <row r="578" spans="1:7" ht="30" x14ac:dyDescent="0.25">
      <c r="A578" s="43" t="s">
        <v>967</v>
      </c>
      <c r="B578" s="43" t="s">
        <v>980</v>
      </c>
      <c r="C578" s="43" t="s">
        <v>1492</v>
      </c>
      <c r="D578" s="43"/>
      <c r="E578" s="109" t="s">
        <v>851</v>
      </c>
      <c r="F578" s="110" t="s">
        <v>1493</v>
      </c>
      <c r="G578" s="43"/>
    </row>
    <row r="579" spans="1:7" ht="30" x14ac:dyDescent="0.25">
      <c r="A579" s="345" t="s">
        <v>884</v>
      </c>
      <c r="B579" s="345" t="s">
        <v>1378</v>
      </c>
      <c r="C579" s="345" t="s">
        <v>1494</v>
      </c>
      <c r="D579" s="345" t="s">
        <v>1495</v>
      </c>
      <c r="E579" s="346" t="s">
        <v>851</v>
      </c>
      <c r="F579" s="347" t="s">
        <v>1496</v>
      </c>
      <c r="G579" s="43"/>
    </row>
    <row r="580" spans="1:7" ht="30" x14ac:dyDescent="0.25">
      <c r="A580" s="43" t="s">
        <v>992</v>
      </c>
      <c r="B580" s="43" t="s">
        <v>1498</v>
      </c>
      <c r="C580" s="43" t="s">
        <v>938</v>
      </c>
      <c r="D580" s="43" t="s">
        <v>1499</v>
      </c>
      <c r="E580" s="109" t="s">
        <v>851</v>
      </c>
      <c r="F580" s="110" t="s">
        <v>1500</v>
      </c>
      <c r="G580" s="43"/>
    </row>
    <row r="581" spans="1:7" ht="30" x14ac:dyDescent="0.25">
      <c r="A581" s="345" t="s">
        <v>992</v>
      </c>
      <c r="B581" s="345" t="s">
        <v>848</v>
      </c>
      <c r="C581" s="345" t="s">
        <v>1504</v>
      </c>
      <c r="D581" s="345" t="s">
        <v>1157</v>
      </c>
      <c r="E581" s="346" t="s">
        <v>851</v>
      </c>
      <c r="F581" s="347">
        <v>1002848292</v>
      </c>
      <c r="G581" s="43"/>
    </row>
    <row r="582" spans="1:7" ht="30" x14ac:dyDescent="0.25">
      <c r="A582" s="43" t="s">
        <v>1041</v>
      </c>
      <c r="B582" s="43" t="s">
        <v>1147</v>
      </c>
      <c r="C582" s="43" t="s">
        <v>1512</v>
      </c>
      <c r="D582" s="43"/>
      <c r="E582" s="109" t="s">
        <v>851</v>
      </c>
      <c r="F582" s="110">
        <v>1059604976</v>
      </c>
      <c r="G582" s="43"/>
    </row>
    <row r="583" spans="1:7" ht="30" x14ac:dyDescent="0.25">
      <c r="A583" s="345" t="s">
        <v>896</v>
      </c>
      <c r="B583" s="345" t="s">
        <v>1091</v>
      </c>
      <c r="C583" s="345" t="s">
        <v>1538</v>
      </c>
      <c r="D583" s="345"/>
      <c r="E583" s="346" t="s">
        <v>851</v>
      </c>
      <c r="F583" s="347">
        <v>1002846350</v>
      </c>
      <c r="G583" s="43"/>
    </row>
    <row r="584" spans="1:7" ht="30" x14ac:dyDescent="0.25">
      <c r="A584" s="43" t="s">
        <v>1156</v>
      </c>
      <c r="B584" s="43" t="s">
        <v>980</v>
      </c>
      <c r="C584" s="43" t="s">
        <v>1547</v>
      </c>
      <c r="D584" s="43"/>
      <c r="E584" s="109" t="s">
        <v>1094</v>
      </c>
      <c r="F584" s="110">
        <v>1059597328</v>
      </c>
      <c r="G584" s="43"/>
    </row>
    <row r="585" spans="1:7" ht="30" x14ac:dyDescent="0.25">
      <c r="A585" s="345" t="s">
        <v>943</v>
      </c>
      <c r="B585" s="345" t="s">
        <v>1144</v>
      </c>
      <c r="C585" s="345" t="s">
        <v>1504</v>
      </c>
      <c r="D585" s="345" t="s">
        <v>1281</v>
      </c>
      <c r="E585" s="346" t="s">
        <v>1094</v>
      </c>
      <c r="F585" s="347">
        <v>1059599329</v>
      </c>
      <c r="G585" s="43"/>
    </row>
    <row r="586" spans="1:7" x14ac:dyDescent="0.25">
      <c r="A586" s="43" t="s">
        <v>896</v>
      </c>
      <c r="B586" s="43" t="s">
        <v>953</v>
      </c>
      <c r="C586" s="43" t="s">
        <v>1634</v>
      </c>
      <c r="D586" s="43"/>
      <c r="E586" s="109"/>
      <c r="F586" s="110">
        <v>1002848733</v>
      </c>
      <c r="G586" s="43"/>
    </row>
    <row r="587" spans="1:7" ht="30" x14ac:dyDescent="0.25">
      <c r="A587" s="345" t="s">
        <v>873</v>
      </c>
      <c r="B587" s="345" t="s">
        <v>874</v>
      </c>
      <c r="C587" s="345" t="s">
        <v>1215</v>
      </c>
      <c r="D587" s="345"/>
      <c r="E587" s="346" t="s">
        <v>851</v>
      </c>
      <c r="F587" s="347">
        <v>1002849181</v>
      </c>
      <c r="G587" s="43"/>
    </row>
    <row r="588" spans="1:7" ht="30" x14ac:dyDescent="0.25">
      <c r="A588" s="43" t="s">
        <v>953</v>
      </c>
      <c r="B588" s="43" t="s">
        <v>1286</v>
      </c>
      <c r="C588" s="43" t="s">
        <v>1463</v>
      </c>
      <c r="D588" s="43" t="s">
        <v>1579</v>
      </c>
      <c r="E588" s="109" t="s">
        <v>851</v>
      </c>
      <c r="F588" s="356" t="s">
        <v>1578</v>
      </c>
      <c r="G588" s="43"/>
    </row>
    <row r="589" spans="1:7" ht="30" x14ac:dyDescent="0.25">
      <c r="A589" s="345" t="s">
        <v>1580</v>
      </c>
      <c r="B589" s="345" t="s">
        <v>914</v>
      </c>
      <c r="C589" s="345" t="s">
        <v>1581</v>
      </c>
      <c r="D589" s="345" t="s">
        <v>1464</v>
      </c>
      <c r="E589" s="346" t="s">
        <v>851</v>
      </c>
      <c r="F589" s="359">
        <v>1002846447</v>
      </c>
      <c r="G589" s="43"/>
    </row>
    <row r="590" spans="1:7" ht="30" x14ac:dyDescent="0.25">
      <c r="A590" s="43" t="s">
        <v>1590</v>
      </c>
      <c r="B590" s="43" t="s">
        <v>874</v>
      </c>
      <c r="C590" s="43" t="s">
        <v>1591</v>
      </c>
      <c r="D590" s="43"/>
      <c r="E590" s="109" t="s">
        <v>851</v>
      </c>
      <c r="F590" s="356" t="s">
        <v>1589</v>
      </c>
      <c r="G590" s="43"/>
    </row>
    <row r="591" spans="1:7" ht="30" x14ac:dyDescent="0.25">
      <c r="A591" s="345" t="s">
        <v>1286</v>
      </c>
      <c r="B591" s="345" t="s">
        <v>1594</v>
      </c>
      <c r="C591" s="345" t="s">
        <v>1420</v>
      </c>
      <c r="D591" s="345"/>
      <c r="E591" s="346" t="s">
        <v>1094</v>
      </c>
      <c r="F591" s="359" t="s">
        <v>1593</v>
      </c>
      <c r="G591" s="43"/>
    </row>
    <row r="592" spans="1:7" ht="30" x14ac:dyDescent="0.25">
      <c r="A592" s="43" t="s">
        <v>1598</v>
      </c>
      <c r="B592" s="43" t="s">
        <v>1599</v>
      </c>
      <c r="C592" s="43" t="s">
        <v>1597</v>
      </c>
      <c r="D592" s="43"/>
      <c r="E592" s="109" t="s">
        <v>851</v>
      </c>
      <c r="F592" s="110">
        <v>1002846452</v>
      </c>
      <c r="G592" s="43"/>
    </row>
    <row r="593" spans="1:7" ht="30" x14ac:dyDescent="0.25">
      <c r="A593" s="345" t="s">
        <v>896</v>
      </c>
      <c r="B593" s="345" t="s">
        <v>992</v>
      </c>
      <c r="C593" s="345" t="s">
        <v>1530</v>
      </c>
      <c r="D593" s="345" t="s">
        <v>1357</v>
      </c>
      <c r="E593" s="346" t="s">
        <v>851</v>
      </c>
      <c r="F593" s="347">
        <v>1002847645</v>
      </c>
      <c r="G593" s="43"/>
    </row>
    <row r="594" spans="1:7" ht="30" x14ac:dyDescent="0.25">
      <c r="A594" s="43" t="s">
        <v>896</v>
      </c>
      <c r="B594" s="43" t="s">
        <v>1599</v>
      </c>
      <c r="C594" s="43" t="s">
        <v>1607</v>
      </c>
      <c r="D594" s="43" t="s">
        <v>1608</v>
      </c>
      <c r="E594" s="109" t="s">
        <v>851</v>
      </c>
      <c r="F594" s="110">
        <v>1060800773</v>
      </c>
      <c r="G594" s="43"/>
    </row>
    <row r="595" spans="1:7" ht="30" x14ac:dyDescent="0.25">
      <c r="A595" s="345" t="s">
        <v>980</v>
      </c>
      <c r="B595" s="345" t="s">
        <v>914</v>
      </c>
      <c r="C595" s="345" t="s">
        <v>1623</v>
      </c>
      <c r="D595" s="345"/>
      <c r="E595" s="346" t="s">
        <v>851</v>
      </c>
      <c r="F595" s="347">
        <v>1059596737</v>
      </c>
      <c r="G595" s="43"/>
    </row>
    <row r="596" spans="1:7" ht="30" x14ac:dyDescent="0.25">
      <c r="A596" s="43" t="s">
        <v>884</v>
      </c>
      <c r="B596" s="43" t="s">
        <v>1286</v>
      </c>
      <c r="C596" s="43" t="s">
        <v>1452</v>
      </c>
      <c r="D596" s="43"/>
      <c r="E596" s="109" t="s">
        <v>851</v>
      </c>
      <c r="F596" s="110">
        <v>25546688</v>
      </c>
      <c r="G596" s="43"/>
    </row>
    <row r="597" spans="1:7" ht="30" x14ac:dyDescent="0.25">
      <c r="A597" s="345" t="s">
        <v>1629</v>
      </c>
      <c r="B597" s="345" t="s">
        <v>1249</v>
      </c>
      <c r="C597" s="345" t="s">
        <v>1630</v>
      </c>
      <c r="D597" s="345"/>
      <c r="E597" s="346" t="s">
        <v>851</v>
      </c>
      <c r="F597" s="345">
        <v>1059601748</v>
      </c>
      <c r="G597" s="43"/>
    </row>
    <row r="598" spans="1:7" ht="30" x14ac:dyDescent="0.25">
      <c r="A598" s="43" t="s">
        <v>848</v>
      </c>
      <c r="B598" s="43" t="s">
        <v>1034</v>
      </c>
      <c r="C598" s="43" t="s">
        <v>1612</v>
      </c>
      <c r="D598" s="43" t="s">
        <v>1662</v>
      </c>
      <c r="E598" s="109" t="s">
        <v>851</v>
      </c>
      <c r="F598" s="110">
        <v>1059601726</v>
      </c>
      <c r="G598" s="43"/>
    </row>
    <row r="599" spans="1:7" ht="30" x14ac:dyDescent="0.25">
      <c r="A599" s="345" t="s">
        <v>1667</v>
      </c>
      <c r="B599" s="345" t="s">
        <v>1668</v>
      </c>
      <c r="C599" s="345" t="s">
        <v>1669</v>
      </c>
      <c r="D599" s="345"/>
      <c r="E599" s="346" t="s">
        <v>851</v>
      </c>
      <c r="F599" s="347">
        <v>1064426895</v>
      </c>
      <c r="G599" s="43"/>
    </row>
    <row r="600" spans="1:7" ht="30" x14ac:dyDescent="0.25">
      <c r="A600" s="43" t="s">
        <v>1210</v>
      </c>
      <c r="B600" s="43" t="s">
        <v>848</v>
      </c>
      <c r="C600" s="43" t="s">
        <v>1670</v>
      </c>
      <c r="D600" s="43" t="s">
        <v>1671</v>
      </c>
      <c r="E600" s="109" t="s">
        <v>851</v>
      </c>
      <c r="F600" s="110">
        <v>1059602883</v>
      </c>
      <c r="G600" s="43"/>
    </row>
    <row r="601" spans="1:7" ht="30" x14ac:dyDescent="0.25">
      <c r="A601" s="345" t="s">
        <v>1286</v>
      </c>
      <c r="B601" s="345" t="s">
        <v>943</v>
      </c>
      <c r="C601" s="345" t="s">
        <v>1681</v>
      </c>
      <c r="D601" s="345"/>
      <c r="E601" s="346" t="s">
        <v>851</v>
      </c>
      <c r="F601" s="362" t="s">
        <v>1680</v>
      </c>
      <c r="G601" s="43"/>
    </row>
    <row r="602" spans="1:7" x14ac:dyDescent="0.25">
      <c r="A602" s="422" t="s">
        <v>1703</v>
      </c>
      <c r="B602" s="422"/>
      <c r="C602" s="422"/>
      <c r="D602" s="422"/>
      <c r="E602" s="422"/>
      <c r="F602" s="422"/>
      <c r="G602" s="43"/>
    </row>
    <row r="603" spans="1:7" ht="45" x14ac:dyDescent="0.25">
      <c r="A603" s="17" t="s">
        <v>94</v>
      </c>
      <c r="B603" s="17" t="s">
        <v>21</v>
      </c>
      <c r="C603" s="17" t="s">
        <v>0</v>
      </c>
      <c r="D603" s="17" t="s">
        <v>1</v>
      </c>
      <c r="E603" s="17" t="s">
        <v>2</v>
      </c>
      <c r="F603" s="17" t="s">
        <v>3</v>
      </c>
      <c r="G603" s="43"/>
    </row>
    <row r="604" spans="1:7" ht="30" x14ac:dyDescent="0.25">
      <c r="A604" s="345" t="s">
        <v>979</v>
      </c>
      <c r="B604" s="345" t="s">
        <v>943</v>
      </c>
      <c r="C604" s="345" t="s">
        <v>1217</v>
      </c>
      <c r="D604" s="345" t="s">
        <v>1398</v>
      </c>
      <c r="E604" s="346" t="s">
        <v>851</v>
      </c>
      <c r="F604" s="347">
        <v>1002846528</v>
      </c>
      <c r="G604" s="43"/>
    </row>
    <row r="605" spans="1:7" ht="30" x14ac:dyDescent="0.25">
      <c r="A605" s="43" t="s">
        <v>1443</v>
      </c>
      <c r="B605" s="43" t="s">
        <v>1444</v>
      </c>
      <c r="C605" s="43" t="s">
        <v>1445</v>
      </c>
      <c r="D605" s="43"/>
      <c r="E605" s="109" t="s">
        <v>851</v>
      </c>
      <c r="F605" s="110">
        <v>1061757665</v>
      </c>
      <c r="G605" s="43"/>
    </row>
    <row r="606" spans="1:7" ht="30" x14ac:dyDescent="0.25">
      <c r="A606" s="345" t="s">
        <v>1441</v>
      </c>
      <c r="B606" s="345" t="s">
        <v>914</v>
      </c>
      <c r="C606" s="345" t="s">
        <v>1451</v>
      </c>
      <c r="D606" s="345"/>
      <c r="E606" s="346" t="s">
        <v>851</v>
      </c>
      <c r="F606" s="347">
        <v>1059598007</v>
      </c>
      <c r="G606" s="43"/>
    </row>
    <row r="607" spans="1:7" ht="30" x14ac:dyDescent="0.25">
      <c r="A607" s="43" t="s">
        <v>848</v>
      </c>
      <c r="B607" s="43" t="s">
        <v>953</v>
      </c>
      <c r="C607" s="43" t="s">
        <v>1501</v>
      </c>
      <c r="D607" s="43" t="s">
        <v>919</v>
      </c>
      <c r="E607" s="109" t="s">
        <v>851</v>
      </c>
      <c r="F607" s="110" t="s">
        <v>1502</v>
      </c>
      <c r="G607" s="43"/>
    </row>
    <row r="608" spans="1:7" ht="30" x14ac:dyDescent="0.25">
      <c r="A608" s="345" t="s">
        <v>884</v>
      </c>
      <c r="B608" s="345" t="s">
        <v>1144</v>
      </c>
      <c r="C608" s="345" t="s">
        <v>1534</v>
      </c>
      <c r="D608" s="345"/>
      <c r="E608" s="346" t="s">
        <v>851</v>
      </c>
      <c r="F608" s="353">
        <v>1002846626</v>
      </c>
      <c r="G608" s="43"/>
    </row>
    <row r="609" spans="1:7" ht="30" x14ac:dyDescent="0.25">
      <c r="A609" s="43" t="s">
        <v>896</v>
      </c>
      <c r="B609" s="43" t="s">
        <v>953</v>
      </c>
      <c r="C609" s="43" t="s">
        <v>1545</v>
      </c>
      <c r="D609" s="43"/>
      <c r="E609" s="109" t="s">
        <v>851</v>
      </c>
      <c r="F609" s="110">
        <v>25545389</v>
      </c>
      <c r="G609" s="43"/>
    </row>
    <row r="610" spans="1:7" x14ac:dyDescent="0.25">
      <c r="A610" s="345" t="s">
        <v>943</v>
      </c>
      <c r="B610" s="345" t="s">
        <v>848</v>
      </c>
      <c r="C610" s="345" t="s">
        <v>1553</v>
      </c>
      <c r="D610" s="345"/>
      <c r="E610" s="346"/>
      <c r="F610" s="347">
        <v>1059594153</v>
      </c>
      <c r="G610" s="43"/>
    </row>
    <row r="611" spans="1:7" x14ac:dyDescent="0.25">
      <c r="A611" s="421" t="s">
        <v>1704</v>
      </c>
      <c r="B611" s="421"/>
      <c r="C611" s="421"/>
      <c r="D611" s="421"/>
      <c r="E611" s="421"/>
      <c r="F611" s="421"/>
      <c r="G611" s="43"/>
    </row>
    <row r="612" spans="1:7" ht="45" x14ac:dyDescent="0.25">
      <c r="A612" s="17" t="s">
        <v>94</v>
      </c>
      <c r="B612" s="17" t="s">
        <v>21</v>
      </c>
      <c r="C612" s="17" t="s">
        <v>0</v>
      </c>
      <c r="D612" s="17" t="s">
        <v>1</v>
      </c>
      <c r="E612" s="17" t="s">
        <v>2</v>
      </c>
      <c r="F612" s="17" t="s">
        <v>3</v>
      </c>
      <c r="G612" s="43"/>
    </row>
    <row r="613" spans="1:7" ht="30" x14ac:dyDescent="0.25">
      <c r="A613" s="345" t="s">
        <v>979</v>
      </c>
      <c r="B613" s="345" t="s">
        <v>943</v>
      </c>
      <c r="C613" s="345" t="s">
        <v>1217</v>
      </c>
      <c r="D613" s="345" t="s">
        <v>1398</v>
      </c>
      <c r="E613" s="346" t="s">
        <v>851</v>
      </c>
      <c r="F613" s="347">
        <v>1002846528</v>
      </c>
      <c r="G613" s="43"/>
    </row>
    <row r="614" spans="1:7" x14ac:dyDescent="0.25">
      <c r="A614" s="43" t="s">
        <v>1705</v>
      </c>
      <c r="B614" s="43"/>
      <c r="C614" s="43"/>
      <c r="D614" s="43"/>
      <c r="E614" s="43"/>
      <c r="F614" s="43"/>
      <c r="G614" s="43"/>
    </row>
    <row r="615" spans="1:7" ht="45" x14ac:dyDescent="0.25">
      <c r="A615" s="17" t="s">
        <v>94</v>
      </c>
      <c r="B615" s="17" t="s">
        <v>21</v>
      </c>
      <c r="C615" s="17" t="s">
        <v>0</v>
      </c>
      <c r="D615" s="17" t="s">
        <v>1</v>
      </c>
      <c r="E615" s="17" t="s">
        <v>2</v>
      </c>
      <c r="F615" s="17" t="s">
        <v>3</v>
      </c>
      <c r="G615" s="43"/>
    </row>
    <row r="616" spans="1:7" ht="30" x14ac:dyDescent="0.25">
      <c r="A616" s="345" t="s">
        <v>1332</v>
      </c>
      <c r="B616" s="345" t="s">
        <v>1091</v>
      </c>
      <c r="C616" s="345" t="s">
        <v>1333</v>
      </c>
      <c r="D616" s="345"/>
      <c r="E616" s="346" t="s">
        <v>1094</v>
      </c>
      <c r="F616" s="347">
        <v>1059595374</v>
      </c>
      <c r="G616" s="43"/>
    </row>
    <row r="617" spans="1:7" ht="30" x14ac:dyDescent="0.25">
      <c r="A617" s="43" t="s">
        <v>914</v>
      </c>
      <c r="B617" s="43" t="s">
        <v>915</v>
      </c>
      <c r="C617" s="43" t="s">
        <v>916</v>
      </c>
      <c r="D617" s="43"/>
      <c r="E617" s="109" t="s">
        <v>1094</v>
      </c>
      <c r="F617" s="110">
        <v>1059598169</v>
      </c>
      <c r="G617" s="43"/>
    </row>
    <row r="618" spans="1:7" ht="30" x14ac:dyDescent="0.25">
      <c r="A618" s="345" t="s">
        <v>857</v>
      </c>
      <c r="B618" s="345" t="s">
        <v>1365</v>
      </c>
      <c r="C618" s="345" t="s">
        <v>949</v>
      </c>
      <c r="D618" s="345" t="s">
        <v>1366</v>
      </c>
      <c r="E618" s="346" t="s">
        <v>851</v>
      </c>
      <c r="F618" s="347">
        <v>1002953350</v>
      </c>
      <c r="G618" s="43"/>
    </row>
    <row r="619" spans="1:7" x14ac:dyDescent="0.25">
      <c r="A619" s="421" t="s">
        <v>1707</v>
      </c>
      <c r="B619" s="421"/>
      <c r="C619" s="421"/>
      <c r="D619" s="421"/>
      <c r="E619" s="421"/>
      <c r="F619" s="421"/>
      <c r="G619" s="43"/>
    </row>
    <row r="620" spans="1:7" ht="45" x14ac:dyDescent="0.25">
      <c r="A620" s="17" t="s">
        <v>94</v>
      </c>
      <c r="B620" s="17" t="s">
        <v>21</v>
      </c>
      <c r="C620" s="17" t="s">
        <v>0</v>
      </c>
      <c r="D620" s="17" t="s">
        <v>1</v>
      </c>
      <c r="E620" s="17" t="s">
        <v>2</v>
      </c>
      <c r="F620" s="17" t="s">
        <v>3</v>
      </c>
      <c r="G620" s="43"/>
    </row>
    <row r="621" spans="1:7" x14ac:dyDescent="0.25">
      <c r="A621" s="345"/>
      <c r="B621" s="345"/>
      <c r="C621" s="345"/>
      <c r="D621" s="345"/>
      <c r="E621" s="346"/>
      <c r="F621" s="347"/>
      <c r="G621" s="43"/>
    </row>
    <row r="622" spans="1:7" ht="30" x14ac:dyDescent="0.25">
      <c r="A622" s="43" t="s">
        <v>914</v>
      </c>
      <c r="B622" s="43" t="s">
        <v>884</v>
      </c>
      <c r="C622" s="43" t="s">
        <v>1296</v>
      </c>
      <c r="D622" s="43" t="s">
        <v>850</v>
      </c>
      <c r="E622" s="109" t="s">
        <v>851</v>
      </c>
      <c r="F622" s="110">
        <v>1060186045</v>
      </c>
      <c r="G622" s="43"/>
    </row>
    <row r="623" spans="1:7" ht="30" x14ac:dyDescent="0.25">
      <c r="A623" s="345" t="s">
        <v>1298</v>
      </c>
      <c r="B623" s="345" t="s">
        <v>914</v>
      </c>
      <c r="C623" s="345" t="s">
        <v>1299</v>
      </c>
      <c r="D623" s="345" t="s">
        <v>1300</v>
      </c>
      <c r="E623" s="346" t="s">
        <v>851</v>
      </c>
      <c r="F623" s="347" t="s">
        <v>1301</v>
      </c>
      <c r="G623" s="43"/>
    </row>
    <row r="624" spans="1:7" ht="30" x14ac:dyDescent="0.25">
      <c r="A624" s="43" t="s">
        <v>1305</v>
      </c>
      <c r="B624" s="43" t="s">
        <v>884</v>
      </c>
      <c r="C624" s="43" t="s">
        <v>1306</v>
      </c>
      <c r="D624" s="43" t="s">
        <v>1307</v>
      </c>
      <c r="E624" s="109" t="s">
        <v>851</v>
      </c>
      <c r="F624" s="110">
        <v>1059604869</v>
      </c>
      <c r="G624" s="43"/>
    </row>
    <row r="625" spans="1:7" ht="30" x14ac:dyDescent="0.25">
      <c r="A625" s="345" t="s">
        <v>953</v>
      </c>
      <c r="B625" s="345" t="s">
        <v>1316</v>
      </c>
      <c r="C625" s="345" t="s">
        <v>1317</v>
      </c>
      <c r="D625" s="345" t="s">
        <v>1028</v>
      </c>
      <c r="E625" s="346" t="s">
        <v>851</v>
      </c>
      <c r="F625" s="347">
        <v>1059594373</v>
      </c>
      <c r="G625" s="43"/>
    </row>
    <row r="626" spans="1:7" ht="30" x14ac:dyDescent="0.25">
      <c r="A626" s="43" t="s">
        <v>914</v>
      </c>
      <c r="B626" s="43" t="s">
        <v>1318</v>
      </c>
      <c r="C626" s="43" t="s">
        <v>1319</v>
      </c>
      <c r="D626" s="43"/>
      <c r="E626" s="109" t="s">
        <v>851</v>
      </c>
      <c r="F626" s="110" t="s">
        <v>1320</v>
      </c>
      <c r="G626" s="43"/>
    </row>
    <row r="627" spans="1:7" ht="30" x14ac:dyDescent="0.25">
      <c r="A627" s="345" t="s">
        <v>1332</v>
      </c>
      <c r="B627" s="345" t="s">
        <v>1091</v>
      </c>
      <c r="C627" s="345" t="s">
        <v>1333</v>
      </c>
      <c r="D627" s="345"/>
      <c r="E627" s="346" t="s">
        <v>1094</v>
      </c>
      <c r="F627" s="347">
        <v>1059595374</v>
      </c>
      <c r="G627" s="43"/>
    </row>
    <row r="628" spans="1:7" ht="30" x14ac:dyDescent="0.25">
      <c r="A628" s="43" t="s">
        <v>874</v>
      </c>
      <c r="B628" s="43" t="s">
        <v>943</v>
      </c>
      <c r="C628" s="43" t="s">
        <v>1340</v>
      </c>
      <c r="D628" s="43"/>
      <c r="E628" s="109" t="s">
        <v>1094</v>
      </c>
      <c r="F628" s="110">
        <v>1059597393</v>
      </c>
      <c r="G628" s="43"/>
    </row>
    <row r="629" spans="1:7" ht="30" x14ac:dyDescent="0.25">
      <c r="A629" s="345" t="s">
        <v>914</v>
      </c>
      <c r="B629" s="345" t="s">
        <v>915</v>
      </c>
      <c r="C629" s="345" t="s">
        <v>916</v>
      </c>
      <c r="D629" s="345"/>
      <c r="E629" s="346" t="s">
        <v>1094</v>
      </c>
      <c r="F629" s="347">
        <v>1059598169</v>
      </c>
      <c r="G629" s="43"/>
    </row>
    <row r="630" spans="1:7" ht="30" x14ac:dyDescent="0.25">
      <c r="A630" s="43" t="s">
        <v>1360</v>
      </c>
      <c r="B630" s="43" t="s">
        <v>1361</v>
      </c>
      <c r="C630" s="43" t="s">
        <v>938</v>
      </c>
      <c r="D630" s="43" t="s">
        <v>1362</v>
      </c>
      <c r="E630" s="109" t="s">
        <v>851</v>
      </c>
      <c r="F630" s="110" t="s">
        <v>1363</v>
      </c>
      <c r="G630" s="43"/>
    </row>
    <row r="631" spans="1:7" ht="30" x14ac:dyDescent="0.25">
      <c r="A631" s="345" t="s">
        <v>1286</v>
      </c>
      <c r="B631" s="345" t="s">
        <v>914</v>
      </c>
      <c r="C631" s="345" t="s">
        <v>1198</v>
      </c>
      <c r="D631" s="345" t="s">
        <v>1364</v>
      </c>
      <c r="E631" s="346" t="s">
        <v>851</v>
      </c>
      <c r="F631" s="347">
        <v>1059600026</v>
      </c>
      <c r="G631" s="43"/>
    </row>
    <row r="632" spans="1:7" ht="30" x14ac:dyDescent="0.25">
      <c r="A632" s="43" t="s">
        <v>857</v>
      </c>
      <c r="B632" s="43" t="s">
        <v>1365</v>
      </c>
      <c r="C632" s="43" t="s">
        <v>949</v>
      </c>
      <c r="D632" s="43" t="s">
        <v>1366</v>
      </c>
      <c r="E632" s="109" t="s">
        <v>851</v>
      </c>
      <c r="F632" s="110">
        <v>1002953350</v>
      </c>
      <c r="G632" s="43"/>
    </row>
    <row r="633" spans="1:7" ht="30" x14ac:dyDescent="0.25">
      <c r="A633" s="345" t="s">
        <v>1368</v>
      </c>
      <c r="B633" s="345" t="s">
        <v>1369</v>
      </c>
      <c r="C633" s="345" t="s">
        <v>1370</v>
      </c>
      <c r="D633" s="345" t="s">
        <v>982</v>
      </c>
      <c r="E633" s="346" t="s">
        <v>851</v>
      </c>
      <c r="F633" s="347">
        <v>1059603417</v>
      </c>
      <c r="G633" s="43"/>
    </row>
    <row r="634" spans="1:7" ht="30" x14ac:dyDescent="0.25">
      <c r="A634" s="43" t="s">
        <v>1382</v>
      </c>
      <c r="B634" s="43" t="s">
        <v>1382</v>
      </c>
      <c r="C634" s="43" t="s">
        <v>1383</v>
      </c>
      <c r="D634" s="43"/>
      <c r="E634" s="109" t="s">
        <v>851</v>
      </c>
      <c r="F634" s="110">
        <v>1003371767</v>
      </c>
      <c r="G634" s="43"/>
    </row>
    <row r="635" spans="1:7" ht="30" x14ac:dyDescent="0.25">
      <c r="A635" s="345" t="s">
        <v>873</v>
      </c>
      <c r="B635" s="345" t="s">
        <v>1391</v>
      </c>
      <c r="C635" s="345" t="s">
        <v>985</v>
      </c>
      <c r="D635" s="345" t="s">
        <v>1392</v>
      </c>
      <c r="E635" s="346" t="s">
        <v>851</v>
      </c>
      <c r="F635" s="347">
        <v>25547491</v>
      </c>
      <c r="G635" s="43"/>
    </row>
    <row r="636" spans="1:7" ht="30" x14ac:dyDescent="0.25">
      <c r="A636" s="43" t="s">
        <v>979</v>
      </c>
      <c r="B636" s="43" t="s">
        <v>943</v>
      </c>
      <c r="C636" s="43" t="s">
        <v>1217</v>
      </c>
      <c r="D636" s="43" t="s">
        <v>1398</v>
      </c>
      <c r="E636" s="109" t="s">
        <v>851</v>
      </c>
      <c r="F636" s="110">
        <v>1002846528</v>
      </c>
      <c r="G636" s="43"/>
    </row>
    <row r="637" spans="1:7" ht="30" x14ac:dyDescent="0.25">
      <c r="A637" s="345" t="s">
        <v>1405</v>
      </c>
      <c r="B637" s="345" t="s">
        <v>884</v>
      </c>
      <c r="C637" s="345" t="s">
        <v>1406</v>
      </c>
      <c r="D637" s="345" t="s">
        <v>1407</v>
      </c>
      <c r="E637" s="346" t="s">
        <v>851</v>
      </c>
      <c r="F637" s="347">
        <v>1059601552</v>
      </c>
      <c r="G637" s="43"/>
    </row>
    <row r="638" spans="1:7" ht="30" x14ac:dyDescent="0.25">
      <c r="A638" s="43" t="s">
        <v>1034</v>
      </c>
      <c r="B638" s="43" t="s">
        <v>1166</v>
      </c>
      <c r="C638" s="43" t="s">
        <v>1408</v>
      </c>
      <c r="D638" s="43" t="s">
        <v>1409</v>
      </c>
      <c r="E638" s="109" t="s">
        <v>851</v>
      </c>
      <c r="F638" s="110">
        <v>1005860830</v>
      </c>
      <c r="G638" s="43"/>
    </row>
    <row r="639" spans="1:7" ht="30" x14ac:dyDescent="0.25">
      <c r="A639" s="345" t="s">
        <v>944</v>
      </c>
      <c r="B639" s="345" t="s">
        <v>943</v>
      </c>
      <c r="C639" s="345" t="s">
        <v>1421</v>
      </c>
      <c r="D639" s="345"/>
      <c r="E639" s="346" t="s">
        <v>851</v>
      </c>
      <c r="F639" s="347">
        <v>1002846330</v>
      </c>
      <c r="G639" s="43"/>
    </row>
    <row r="640" spans="1:7" ht="30" x14ac:dyDescent="0.25">
      <c r="A640" s="43" t="s">
        <v>848</v>
      </c>
      <c r="B640" s="43" t="s">
        <v>943</v>
      </c>
      <c r="C640" s="43" t="s">
        <v>1423</v>
      </c>
      <c r="D640" s="43"/>
      <c r="E640" s="109" t="s">
        <v>851</v>
      </c>
      <c r="F640" s="110">
        <v>1193097625</v>
      </c>
      <c r="G640" s="43"/>
    </row>
    <row r="641" spans="1:7" ht="30" x14ac:dyDescent="0.25">
      <c r="A641" s="345" t="s">
        <v>1427</v>
      </c>
      <c r="B641" s="345" t="s">
        <v>1428</v>
      </c>
      <c r="C641" s="345" t="s">
        <v>1429</v>
      </c>
      <c r="D641" s="345" t="s">
        <v>1430</v>
      </c>
      <c r="E641" s="346" t="s">
        <v>851</v>
      </c>
      <c r="F641" s="347">
        <v>1061528490</v>
      </c>
      <c r="G641" s="43"/>
    </row>
    <row r="642" spans="1:7" ht="30" x14ac:dyDescent="0.25">
      <c r="A642" s="43" t="s">
        <v>873</v>
      </c>
      <c r="B642" s="43" t="s">
        <v>1435</v>
      </c>
      <c r="C642" s="43" t="s">
        <v>1436</v>
      </c>
      <c r="D642" s="43" t="s">
        <v>1437</v>
      </c>
      <c r="E642" s="109" t="s">
        <v>851</v>
      </c>
      <c r="F642" s="110">
        <v>1059601742</v>
      </c>
      <c r="G642" s="43"/>
    </row>
    <row r="643" spans="1:7" ht="30" x14ac:dyDescent="0.25">
      <c r="A643" s="345" t="s">
        <v>1439</v>
      </c>
      <c r="B643" s="345" t="s">
        <v>884</v>
      </c>
      <c r="C643" s="345" t="s">
        <v>1440</v>
      </c>
      <c r="D643" s="345" t="s">
        <v>1294</v>
      </c>
      <c r="E643" s="346" t="s">
        <v>851</v>
      </c>
      <c r="F643" s="347">
        <v>1002847533</v>
      </c>
      <c r="G643" s="43"/>
    </row>
    <row r="644" spans="1:7" ht="30" x14ac:dyDescent="0.25">
      <c r="A644" s="43" t="s">
        <v>1441</v>
      </c>
      <c r="B644" s="43"/>
      <c r="C644" s="43" t="s">
        <v>1284</v>
      </c>
      <c r="D644" s="43" t="s">
        <v>1442</v>
      </c>
      <c r="E644" s="109" t="s">
        <v>851</v>
      </c>
      <c r="F644" s="110">
        <v>1002848635</v>
      </c>
      <c r="G644" s="43"/>
    </row>
    <row r="645" spans="1:7" ht="30" x14ac:dyDescent="0.25">
      <c r="A645" s="345" t="s">
        <v>1443</v>
      </c>
      <c r="B645" s="345" t="s">
        <v>1444</v>
      </c>
      <c r="C645" s="345" t="s">
        <v>1445</v>
      </c>
      <c r="D645" s="345"/>
      <c r="E645" s="346" t="s">
        <v>851</v>
      </c>
      <c r="F645" s="347">
        <v>1061757665</v>
      </c>
      <c r="G645" s="43"/>
    </row>
    <row r="646" spans="1:7" ht="30" x14ac:dyDescent="0.25">
      <c r="A646" s="43" t="s">
        <v>1179</v>
      </c>
      <c r="B646" s="43" t="s">
        <v>1435</v>
      </c>
      <c r="C646" s="43" t="s">
        <v>1448</v>
      </c>
      <c r="D646" s="43" t="s">
        <v>1294</v>
      </c>
      <c r="E646" s="109" t="s">
        <v>851</v>
      </c>
      <c r="F646" s="110">
        <v>1059594096</v>
      </c>
      <c r="G646" s="43"/>
    </row>
    <row r="647" spans="1:7" ht="30" x14ac:dyDescent="0.25">
      <c r="A647" s="345" t="s">
        <v>1441</v>
      </c>
      <c r="B647" s="345" t="s">
        <v>914</v>
      </c>
      <c r="C647" s="345" t="s">
        <v>1451</v>
      </c>
      <c r="D647" s="345"/>
      <c r="E647" s="346" t="s">
        <v>851</v>
      </c>
      <c r="F647" s="347">
        <v>1059598007</v>
      </c>
      <c r="G647" s="43"/>
    </row>
    <row r="648" spans="1:7" ht="30" x14ac:dyDescent="0.25">
      <c r="A648" s="43" t="s">
        <v>1455</v>
      </c>
      <c r="B648" s="43" t="s">
        <v>974</v>
      </c>
      <c r="C648" s="43" t="s">
        <v>1305</v>
      </c>
      <c r="D648" s="43" t="s">
        <v>1456</v>
      </c>
      <c r="E648" s="109" t="s">
        <v>1094</v>
      </c>
      <c r="F648" s="110">
        <v>1059595977</v>
      </c>
      <c r="G648" s="43"/>
    </row>
    <row r="649" spans="1:7" ht="30" x14ac:dyDescent="0.25">
      <c r="A649" s="345" t="s">
        <v>1441</v>
      </c>
      <c r="B649" s="345" t="s">
        <v>884</v>
      </c>
      <c r="C649" s="345" t="s">
        <v>1457</v>
      </c>
      <c r="D649" s="345"/>
      <c r="E649" s="346" t="s">
        <v>851</v>
      </c>
      <c r="F649" s="347">
        <v>25545401</v>
      </c>
      <c r="G649" s="43"/>
    </row>
    <row r="650" spans="1:7" ht="30" x14ac:dyDescent="0.25">
      <c r="A650" s="43" t="s">
        <v>1458</v>
      </c>
      <c r="B650" s="43" t="s">
        <v>1459</v>
      </c>
      <c r="C650" s="43" t="s">
        <v>1460</v>
      </c>
      <c r="D650" s="43" t="s">
        <v>976</v>
      </c>
      <c r="E650" s="109" t="s">
        <v>1094</v>
      </c>
      <c r="F650" s="110">
        <v>1062295885</v>
      </c>
      <c r="G650" s="43"/>
    </row>
    <row r="651" spans="1:7" ht="30" x14ac:dyDescent="0.25">
      <c r="A651" s="345" t="s">
        <v>944</v>
      </c>
      <c r="B651" s="345" t="s">
        <v>943</v>
      </c>
      <c r="C651" s="345" t="s">
        <v>1463</v>
      </c>
      <c r="D651" s="345" t="s">
        <v>1464</v>
      </c>
      <c r="E651" s="346" t="s">
        <v>1094</v>
      </c>
      <c r="F651" s="347">
        <v>1060186081</v>
      </c>
      <c r="G651" s="43"/>
    </row>
    <row r="652" spans="1:7" ht="30" x14ac:dyDescent="0.25">
      <c r="A652" s="43" t="s">
        <v>964</v>
      </c>
      <c r="B652" s="43" t="s">
        <v>1465</v>
      </c>
      <c r="C652" s="43" t="s">
        <v>1002</v>
      </c>
      <c r="D652" s="43" t="s">
        <v>1366</v>
      </c>
      <c r="E652" s="109" t="s">
        <v>1094</v>
      </c>
      <c r="F652" s="110">
        <v>1061530990</v>
      </c>
      <c r="G652" s="43"/>
    </row>
    <row r="653" spans="1:7" ht="30" x14ac:dyDescent="0.25">
      <c r="A653" s="345" t="s">
        <v>1156</v>
      </c>
      <c r="B653" s="345" t="s">
        <v>883</v>
      </c>
      <c r="C653" s="345" t="s">
        <v>1157</v>
      </c>
      <c r="D653" s="345" t="s">
        <v>1466</v>
      </c>
      <c r="E653" s="346" t="s">
        <v>851</v>
      </c>
      <c r="F653" s="347">
        <v>1059594587</v>
      </c>
      <c r="G653" s="43"/>
    </row>
    <row r="654" spans="1:7" ht="30" x14ac:dyDescent="0.25">
      <c r="A654" s="43" t="s">
        <v>914</v>
      </c>
      <c r="B654" s="43" t="s">
        <v>848</v>
      </c>
      <c r="C654" s="43" t="s">
        <v>1485</v>
      </c>
      <c r="D654" s="43" t="s">
        <v>1285</v>
      </c>
      <c r="E654" s="109" t="s">
        <v>851</v>
      </c>
      <c r="F654" s="110" t="s">
        <v>1486</v>
      </c>
      <c r="G654" s="43"/>
    </row>
    <row r="655" spans="1:7" ht="30" x14ac:dyDescent="0.25">
      <c r="A655" s="345" t="s">
        <v>974</v>
      </c>
      <c r="B655" s="345" t="s">
        <v>943</v>
      </c>
      <c r="C655" s="345" t="s">
        <v>1217</v>
      </c>
      <c r="D655" s="345" t="s">
        <v>1490</v>
      </c>
      <c r="E655" s="346" t="s">
        <v>851</v>
      </c>
      <c r="F655" s="347" t="s">
        <v>1491</v>
      </c>
      <c r="G655" s="43"/>
    </row>
    <row r="656" spans="1:7" ht="30" x14ac:dyDescent="0.25">
      <c r="A656" s="43" t="s">
        <v>992</v>
      </c>
      <c r="B656" s="43" t="s">
        <v>1498</v>
      </c>
      <c r="C656" s="43" t="s">
        <v>938</v>
      </c>
      <c r="D656" s="43" t="s">
        <v>1499</v>
      </c>
      <c r="E656" s="109" t="s">
        <v>851</v>
      </c>
      <c r="F656" s="110" t="s">
        <v>1500</v>
      </c>
      <c r="G656" s="43"/>
    </row>
    <row r="657" spans="1:7" ht="30" x14ac:dyDescent="0.25">
      <c r="A657" s="345" t="s">
        <v>848</v>
      </c>
      <c r="B657" s="345" t="s">
        <v>953</v>
      </c>
      <c r="C657" s="345" t="s">
        <v>1501</v>
      </c>
      <c r="D657" s="345" t="s">
        <v>919</v>
      </c>
      <c r="E657" s="346" t="s">
        <v>851</v>
      </c>
      <c r="F657" s="347" t="s">
        <v>1502</v>
      </c>
      <c r="G657" s="43"/>
    </row>
    <row r="658" spans="1:7" ht="30" x14ac:dyDescent="0.25">
      <c r="A658" s="43" t="s">
        <v>1041</v>
      </c>
      <c r="B658" s="43" t="s">
        <v>1147</v>
      </c>
      <c r="C658" s="43" t="s">
        <v>1512</v>
      </c>
      <c r="D658" s="43"/>
      <c r="E658" s="109" t="s">
        <v>851</v>
      </c>
      <c r="F658" s="110">
        <v>1059604976</v>
      </c>
      <c r="G658" s="43"/>
    </row>
    <row r="659" spans="1:7" ht="30" x14ac:dyDescent="0.25">
      <c r="A659" s="345" t="s">
        <v>1513</v>
      </c>
      <c r="B659" s="345" t="s">
        <v>1514</v>
      </c>
      <c r="C659" s="345" t="s">
        <v>1515</v>
      </c>
      <c r="D659" s="345"/>
      <c r="E659" s="346" t="s">
        <v>851</v>
      </c>
      <c r="F659" s="347">
        <v>1067461286</v>
      </c>
      <c r="G659" s="43"/>
    </row>
    <row r="660" spans="1:7" ht="30" x14ac:dyDescent="0.25">
      <c r="A660" s="43" t="s">
        <v>1519</v>
      </c>
      <c r="B660" s="43" t="s">
        <v>848</v>
      </c>
      <c r="C660" s="43" t="s">
        <v>1520</v>
      </c>
      <c r="D660" s="43" t="s">
        <v>1521</v>
      </c>
      <c r="E660" s="109" t="s">
        <v>851</v>
      </c>
      <c r="F660" s="110">
        <v>1002950269</v>
      </c>
      <c r="G660" s="43"/>
    </row>
    <row r="661" spans="1:7" ht="30" x14ac:dyDescent="0.25">
      <c r="A661" s="345" t="s">
        <v>884</v>
      </c>
      <c r="B661" s="345" t="s">
        <v>1524</v>
      </c>
      <c r="C661" s="345" t="s">
        <v>945</v>
      </c>
      <c r="D661" s="345" t="s">
        <v>919</v>
      </c>
      <c r="E661" s="346" t="s">
        <v>851</v>
      </c>
      <c r="F661" s="347">
        <v>1002970266</v>
      </c>
      <c r="G661" s="43"/>
    </row>
    <row r="662" spans="1:7" ht="30" x14ac:dyDescent="0.25">
      <c r="A662" s="43" t="s">
        <v>896</v>
      </c>
      <c r="B662" s="43" t="s">
        <v>953</v>
      </c>
      <c r="C662" s="43" t="s">
        <v>1530</v>
      </c>
      <c r="D662" s="43" t="s">
        <v>1182</v>
      </c>
      <c r="E662" s="109" t="s">
        <v>851</v>
      </c>
      <c r="F662" s="110">
        <v>1059594419</v>
      </c>
      <c r="G662" s="43"/>
    </row>
    <row r="663" spans="1:7" ht="30" x14ac:dyDescent="0.25">
      <c r="A663" s="345" t="s">
        <v>1361</v>
      </c>
      <c r="B663" s="345" t="s">
        <v>992</v>
      </c>
      <c r="C663" s="345" t="s">
        <v>1531</v>
      </c>
      <c r="D663" s="345"/>
      <c r="E663" s="346" t="s">
        <v>851</v>
      </c>
      <c r="F663" s="347">
        <v>1151452891</v>
      </c>
      <c r="G663" s="43"/>
    </row>
    <row r="664" spans="1:7" ht="30" x14ac:dyDescent="0.25">
      <c r="A664" s="43" t="s">
        <v>914</v>
      </c>
      <c r="B664" s="43" t="s">
        <v>1470</v>
      </c>
      <c r="C664" s="43" t="s">
        <v>1167</v>
      </c>
      <c r="D664" s="43" t="s">
        <v>1043</v>
      </c>
      <c r="E664" s="109" t="s">
        <v>851</v>
      </c>
      <c r="F664" s="110">
        <v>1193105051</v>
      </c>
      <c r="G664" s="43"/>
    </row>
    <row r="665" spans="1:7" ht="30" x14ac:dyDescent="0.25">
      <c r="A665" s="345" t="s">
        <v>884</v>
      </c>
      <c r="B665" s="345" t="s">
        <v>1144</v>
      </c>
      <c r="C665" s="345" t="s">
        <v>1534</v>
      </c>
      <c r="D665" s="345"/>
      <c r="E665" s="346" t="s">
        <v>851</v>
      </c>
      <c r="F665" s="353">
        <v>1002846626</v>
      </c>
      <c r="G665" s="43"/>
    </row>
    <row r="666" spans="1:7" ht="30" x14ac:dyDescent="0.25">
      <c r="A666" s="43" t="s">
        <v>1246</v>
      </c>
      <c r="B666" s="43" t="s">
        <v>943</v>
      </c>
      <c r="C666" s="43" t="s">
        <v>1535</v>
      </c>
      <c r="D666" s="43"/>
      <c r="E666" s="109" t="s">
        <v>851</v>
      </c>
      <c r="F666" s="354">
        <v>1002848307</v>
      </c>
      <c r="G666" s="43"/>
    </row>
    <row r="667" spans="1:7" ht="30" x14ac:dyDescent="0.25">
      <c r="A667" s="345" t="s">
        <v>873</v>
      </c>
      <c r="B667" s="345" t="s">
        <v>1091</v>
      </c>
      <c r="C667" s="345" t="s">
        <v>1277</v>
      </c>
      <c r="D667" s="345"/>
      <c r="E667" s="346" t="s">
        <v>851</v>
      </c>
      <c r="F667" s="355">
        <v>1059598472</v>
      </c>
      <c r="G667" s="43"/>
    </row>
    <row r="668" spans="1:7" ht="30" x14ac:dyDescent="0.25">
      <c r="A668" s="43" t="s">
        <v>896</v>
      </c>
      <c r="B668" s="43" t="s">
        <v>1091</v>
      </c>
      <c r="C668" s="43" t="s">
        <v>1538</v>
      </c>
      <c r="D668" s="43"/>
      <c r="E668" s="109" t="s">
        <v>851</v>
      </c>
      <c r="F668" s="110">
        <v>1002846350</v>
      </c>
      <c r="G668" s="43"/>
    </row>
    <row r="669" spans="1:7" ht="30" x14ac:dyDescent="0.25">
      <c r="A669" s="345" t="s">
        <v>1540</v>
      </c>
      <c r="B669" s="345" t="s">
        <v>943</v>
      </c>
      <c r="C669" s="345" t="s">
        <v>1541</v>
      </c>
      <c r="D669" s="345" t="s">
        <v>1542</v>
      </c>
      <c r="E669" s="346" t="s">
        <v>851</v>
      </c>
      <c r="F669" s="359" t="s">
        <v>1539</v>
      </c>
      <c r="G669" s="43"/>
    </row>
    <row r="670" spans="1:7" ht="30" x14ac:dyDescent="0.25">
      <c r="A670" s="43" t="s">
        <v>1144</v>
      </c>
      <c r="B670" s="43" t="s">
        <v>996</v>
      </c>
      <c r="C670" s="43" t="s">
        <v>1192</v>
      </c>
      <c r="D670" s="43"/>
      <c r="E670" s="109" t="s">
        <v>851</v>
      </c>
      <c r="F670" s="354">
        <v>1059604012</v>
      </c>
      <c r="G670" s="43"/>
    </row>
    <row r="671" spans="1:7" x14ac:dyDescent="0.25">
      <c r="A671" s="345" t="s">
        <v>943</v>
      </c>
      <c r="B671" s="345" t="s">
        <v>848</v>
      </c>
      <c r="C671" s="345" t="s">
        <v>1553</v>
      </c>
      <c r="D671" s="345"/>
      <c r="E671" s="346"/>
      <c r="F671" s="347">
        <v>1059594153</v>
      </c>
      <c r="G671" s="43"/>
    </row>
    <row r="672" spans="1:7" ht="30" x14ac:dyDescent="0.25">
      <c r="A672" s="43" t="s">
        <v>953</v>
      </c>
      <c r="B672" s="43" t="s">
        <v>1249</v>
      </c>
      <c r="C672" s="43" t="s">
        <v>1556</v>
      </c>
      <c r="D672" s="43"/>
      <c r="E672" s="109" t="s">
        <v>1094</v>
      </c>
      <c r="F672" s="110">
        <v>1059599873</v>
      </c>
      <c r="G672" s="43"/>
    </row>
    <row r="673" spans="1:7" ht="30" x14ac:dyDescent="0.25">
      <c r="A673" s="345" t="s">
        <v>896</v>
      </c>
      <c r="B673" s="345" t="s">
        <v>915</v>
      </c>
      <c r="C673" s="345" t="s">
        <v>1585</v>
      </c>
      <c r="D673" s="345"/>
      <c r="E673" s="346" t="s">
        <v>851</v>
      </c>
      <c r="F673" s="347">
        <v>1059595460</v>
      </c>
      <c r="G673" s="43"/>
    </row>
    <row r="674" spans="1:7" ht="30" x14ac:dyDescent="0.25">
      <c r="A674" s="43" t="s">
        <v>953</v>
      </c>
      <c r="B674" s="43" t="s">
        <v>1286</v>
      </c>
      <c r="C674" s="43" t="s">
        <v>1463</v>
      </c>
      <c r="D674" s="43" t="s">
        <v>1579</v>
      </c>
      <c r="E674" s="109" t="s">
        <v>851</v>
      </c>
      <c r="F674" s="356" t="s">
        <v>1578</v>
      </c>
      <c r="G674" s="43"/>
    </row>
    <row r="675" spans="1:7" ht="30" x14ac:dyDescent="0.25">
      <c r="A675" s="345" t="s">
        <v>1580</v>
      </c>
      <c r="B675" s="345" t="s">
        <v>914</v>
      </c>
      <c r="C675" s="345" t="s">
        <v>1581</v>
      </c>
      <c r="D675" s="345" t="s">
        <v>1464</v>
      </c>
      <c r="E675" s="346" t="s">
        <v>851</v>
      </c>
      <c r="F675" s="359">
        <v>1002846447</v>
      </c>
      <c r="G675" s="43"/>
    </row>
    <row r="676" spans="1:7" ht="30" x14ac:dyDescent="0.25">
      <c r="A676" s="43" t="s">
        <v>896</v>
      </c>
      <c r="B676" s="43" t="s">
        <v>1599</v>
      </c>
      <c r="C676" s="43" t="s">
        <v>1607</v>
      </c>
      <c r="D676" s="43" t="s">
        <v>1608</v>
      </c>
      <c r="E676" s="109" t="s">
        <v>851</v>
      </c>
      <c r="F676" s="110">
        <v>1060800773</v>
      </c>
      <c r="G676" s="43"/>
    </row>
    <row r="677" spans="1:7" ht="30" x14ac:dyDescent="0.25">
      <c r="A677" s="345" t="s">
        <v>914</v>
      </c>
      <c r="B677" s="345" t="s">
        <v>914</v>
      </c>
      <c r="C677" s="345" t="s">
        <v>1614</v>
      </c>
      <c r="D677" s="345" t="s">
        <v>1277</v>
      </c>
      <c r="E677" s="346" t="s">
        <v>851</v>
      </c>
      <c r="F677" s="347">
        <v>1002847076</v>
      </c>
      <c r="G677" s="43"/>
    </row>
    <row r="678" spans="1:7" ht="30" x14ac:dyDescent="0.25">
      <c r="A678" s="43" t="s">
        <v>1637</v>
      </c>
      <c r="B678" s="43" t="s">
        <v>1638</v>
      </c>
      <c r="C678" s="43" t="s">
        <v>1028</v>
      </c>
      <c r="D678" s="43"/>
      <c r="E678" s="109" t="s">
        <v>851</v>
      </c>
      <c r="F678" s="357">
        <v>1060986729</v>
      </c>
      <c r="G678" s="43"/>
    </row>
    <row r="679" spans="1:7" ht="30" x14ac:dyDescent="0.25">
      <c r="A679" s="345" t="s">
        <v>1210</v>
      </c>
      <c r="B679" s="345" t="s">
        <v>848</v>
      </c>
      <c r="C679" s="345" t="s">
        <v>1670</v>
      </c>
      <c r="D679" s="345" t="s">
        <v>1671</v>
      </c>
      <c r="E679" s="346" t="s">
        <v>851</v>
      </c>
      <c r="F679" s="347">
        <v>1059602883</v>
      </c>
      <c r="G679" s="43"/>
    </row>
    <row r="680" spans="1:7" ht="30" x14ac:dyDescent="0.25">
      <c r="A680" s="43" t="s">
        <v>1677</v>
      </c>
      <c r="B680" s="43" t="s">
        <v>962</v>
      </c>
      <c r="C680" s="43" t="s">
        <v>1678</v>
      </c>
      <c r="D680" s="43" t="s">
        <v>1679</v>
      </c>
      <c r="E680" s="109" t="s">
        <v>1094</v>
      </c>
      <c r="F680" s="363" t="s">
        <v>1676</v>
      </c>
      <c r="G680" s="43"/>
    </row>
    <row r="681" spans="1:7" x14ac:dyDescent="0.25">
      <c r="A681" s="421" t="s">
        <v>1706</v>
      </c>
      <c r="B681" s="421"/>
      <c r="C681" s="421"/>
      <c r="D681" s="421"/>
      <c r="E681" s="421"/>
      <c r="F681" s="421"/>
      <c r="G681" s="43"/>
    </row>
    <row r="682" spans="1:7" ht="45" x14ac:dyDescent="0.25">
      <c r="A682" s="17" t="s">
        <v>94</v>
      </c>
      <c r="B682" s="17" t="s">
        <v>21</v>
      </c>
      <c r="C682" s="17" t="s">
        <v>0</v>
      </c>
      <c r="D682" s="17" t="s">
        <v>1</v>
      </c>
      <c r="E682" s="17" t="s">
        <v>2</v>
      </c>
      <c r="F682" s="17" t="s">
        <v>3</v>
      </c>
      <c r="G682" s="43"/>
    </row>
    <row r="683" spans="1:7" ht="30" x14ac:dyDescent="0.25">
      <c r="A683" s="43" t="s">
        <v>974</v>
      </c>
      <c r="B683" s="43" t="s">
        <v>1144</v>
      </c>
      <c r="C683" s="43" t="s">
        <v>1192</v>
      </c>
      <c r="D683" s="43" t="s">
        <v>1193</v>
      </c>
      <c r="E683" s="109" t="s">
        <v>1094</v>
      </c>
      <c r="F683" s="110">
        <v>1059595334</v>
      </c>
      <c r="G683" s="43"/>
    </row>
    <row r="684" spans="1:7" ht="30" x14ac:dyDescent="0.25">
      <c r="A684" s="345" t="s">
        <v>914</v>
      </c>
      <c r="B684" s="345" t="s">
        <v>884</v>
      </c>
      <c r="C684" s="345" t="s">
        <v>1296</v>
      </c>
      <c r="D684" s="345" t="s">
        <v>850</v>
      </c>
      <c r="E684" s="346" t="s">
        <v>851</v>
      </c>
      <c r="F684" s="347">
        <v>1060186045</v>
      </c>
      <c r="G684" s="43"/>
    </row>
    <row r="685" spans="1:7" ht="30" x14ac:dyDescent="0.25">
      <c r="A685" s="43" t="s">
        <v>1298</v>
      </c>
      <c r="B685" s="43" t="s">
        <v>914</v>
      </c>
      <c r="C685" s="43" t="s">
        <v>1299</v>
      </c>
      <c r="D685" s="43" t="s">
        <v>1300</v>
      </c>
      <c r="E685" s="109" t="s">
        <v>851</v>
      </c>
      <c r="F685" s="110" t="s">
        <v>1301</v>
      </c>
      <c r="G685" s="43"/>
    </row>
    <row r="686" spans="1:7" ht="30" x14ac:dyDescent="0.25">
      <c r="A686" s="345" t="s">
        <v>1305</v>
      </c>
      <c r="B686" s="345" t="s">
        <v>884</v>
      </c>
      <c r="C686" s="345" t="s">
        <v>1306</v>
      </c>
      <c r="D686" s="345" t="s">
        <v>1307</v>
      </c>
      <c r="E686" s="346" t="s">
        <v>851</v>
      </c>
      <c r="F686" s="347">
        <v>1059604869</v>
      </c>
      <c r="G686" s="43"/>
    </row>
    <row r="687" spans="1:7" ht="30" x14ac:dyDescent="0.25">
      <c r="A687" s="43" t="s">
        <v>953</v>
      </c>
      <c r="B687" s="43" t="s">
        <v>1316</v>
      </c>
      <c r="C687" s="43" t="s">
        <v>1317</v>
      </c>
      <c r="D687" s="43" t="s">
        <v>1028</v>
      </c>
      <c r="E687" s="109" t="s">
        <v>851</v>
      </c>
      <c r="F687" s="110">
        <v>1059594373</v>
      </c>
      <c r="G687" s="43"/>
    </row>
    <row r="688" spans="1:7" ht="30" x14ac:dyDescent="0.25">
      <c r="A688" s="345" t="s">
        <v>914</v>
      </c>
      <c r="B688" s="345" t="s">
        <v>1318</v>
      </c>
      <c r="C688" s="345" t="s">
        <v>1319</v>
      </c>
      <c r="D688" s="345"/>
      <c r="E688" s="346" t="s">
        <v>851</v>
      </c>
      <c r="F688" s="347" t="s">
        <v>1320</v>
      </c>
      <c r="G688" s="43"/>
    </row>
    <row r="689" spans="1:7" ht="30" x14ac:dyDescent="0.25">
      <c r="A689" s="43" t="s">
        <v>1332</v>
      </c>
      <c r="B689" s="43" t="s">
        <v>1091</v>
      </c>
      <c r="C689" s="43" t="s">
        <v>1333</v>
      </c>
      <c r="D689" s="43"/>
      <c r="E689" s="109" t="s">
        <v>1094</v>
      </c>
      <c r="F689" s="110">
        <v>1059595374</v>
      </c>
      <c r="G689" s="43"/>
    </row>
    <row r="690" spans="1:7" ht="30" x14ac:dyDescent="0.25">
      <c r="A690" s="345" t="s">
        <v>874</v>
      </c>
      <c r="B690" s="345" t="s">
        <v>943</v>
      </c>
      <c r="C690" s="345" t="s">
        <v>1340</v>
      </c>
      <c r="D690" s="345"/>
      <c r="E690" s="346" t="s">
        <v>1094</v>
      </c>
      <c r="F690" s="347">
        <v>1059597393</v>
      </c>
      <c r="G690" s="43"/>
    </row>
    <row r="691" spans="1:7" ht="30" x14ac:dyDescent="0.25">
      <c r="A691" s="43" t="s">
        <v>914</v>
      </c>
      <c r="B691" s="43" t="s">
        <v>915</v>
      </c>
      <c r="C691" s="43" t="s">
        <v>916</v>
      </c>
      <c r="D691" s="43"/>
      <c r="E691" s="109" t="s">
        <v>1094</v>
      </c>
      <c r="F691" s="110">
        <v>1059598169</v>
      </c>
      <c r="G691" s="43"/>
    </row>
    <row r="692" spans="1:7" ht="30" x14ac:dyDescent="0.25">
      <c r="A692" s="345" t="s">
        <v>1360</v>
      </c>
      <c r="B692" s="345" t="s">
        <v>1361</v>
      </c>
      <c r="C692" s="345" t="s">
        <v>938</v>
      </c>
      <c r="D692" s="345" t="s">
        <v>1362</v>
      </c>
      <c r="E692" s="346" t="s">
        <v>851</v>
      </c>
      <c r="F692" s="347" t="s">
        <v>1363</v>
      </c>
      <c r="G692" s="43"/>
    </row>
    <row r="693" spans="1:7" ht="30" x14ac:dyDescent="0.25">
      <c r="A693" s="43" t="s">
        <v>1286</v>
      </c>
      <c r="B693" s="43" t="s">
        <v>914</v>
      </c>
      <c r="C693" s="43" t="s">
        <v>1198</v>
      </c>
      <c r="D693" s="43" t="s">
        <v>1364</v>
      </c>
      <c r="E693" s="109" t="s">
        <v>851</v>
      </c>
      <c r="F693" s="110">
        <v>1059600026</v>
      </c>
      <c r="G693" s="43"/>
    </row>
    <row r="694" spans="1:7" ht="30" x14ac:dyDescent="0.25">
      <c r="A694" s="345" t="s">
        <v>857</v>
      </c>
      <c r="B694" s="345" t="s">
        <v>1365</v>
      </c>
      <c r="C694" s="345" t="s">
        <v>949</v>
      </c>
      <c r="D694" s="345" t="s">
        <v>1366</v>
      </c>
      <c r="E694" s="346" t="s">
        <v>851</v>
      </c>
      <c r="F694" s="347">
        <v>1002953350</v>
      </c>
      <c r="G694" s="43"/>
    </row>
    <row r="695" spans="1:7" ht="30" x14ac:dyDescent="0.25">
      <c r="A695" s="43" t="s">
        <v>1368</v>
      </c>
      <c r="B695" s="43" t="s">
        <v>1369</v>
      </c>
      <c r="C695" s="43" t="s">
        <v>1370</v>
      </c>
      <c r="D695" s="43" t="s">
        <v>982</v>
      </c>
      <c r="E695" s="109" t="s">
        <v>851</v>
      </c>
      <c r="F695" s="110">
        <v>1059603417</v>
      </c>
      <c r="G695" s="43"/>
    </row>
    <row r="696" spans="1:7" ht="30" x14ac:dyDescent="0.25">
      <c r="A696" s="345" t="s">
        <v>1382</v>
      </c>
      <c r="B696" s="345" t="s">
        <v>1382</v>
      </c>
      <c r="C696" s="345" t="s">
        <v>1383</v>
      </c>
      <c r="D696" s="345"/>
      <c r="E696" s="346" t="s">
        <v>851</v>
      </c>
      <c r="F696" s="347">
        <v>1003371767</v>
      </c>
      <c r="G696" s="43"/>
    </row>
    <row r="697" spans="1:7" ht="30" x14ac:dyDescent="0.25">
      <c r="A697" s="43" t="s">
        <v>873</v>
      </c>
      <c r="B697" s="43" t="s">
        <v>1391</v>
      </c>
      <c r="C697" s="43" t="s">
        <v>985</v>
      </c>
      <c r="D697" s="43" t="s">
        <v>1392</v>
      </c>
      <c r="E697" s="109" t="s">
        <v>851</v>
      </c>
      <c r="F697" s="110">
        <v>25547491</v>
      </c>
      <c r="G697" s="43"/>
    </row>
    <row r="698" spans="1:7" ht="30" x14ac:dyDescent="0.25">
      <c r="A698" s="345" t="s">
        <v>979</v>
      </c>
      <c r="B698" s="345" t="s">
        <v>943</v>
      </c>
      <c r="C698" s="345" t="s">
        <v>1217</v>
      </c>
      <c r="D698" s="345" t="s">
        <v>1398</v>
      </c>
      <c r="E698" s="346" t="s">
        <v>851</v>
      </c>
      <c r="F698" s="347">
        <v>1002846528</v>
      </c>
      <c r="G698" s="43"/>
    </row>
    <row r="699" spans="1:7" ht="30" x14ac:dyDescent="0.25">
      <c r="A699" s="43" t="s">
        <v>1405</v>
      </c>
      <c r="B699" s="43" t="s">
        <v>884</v>
      </c>
      <c r="C699" s="43" t="s">
        <v>1406</v>
      </c>
      <c r="D699" s="43" t="s">
        <v>1407</v>
      </c>
      <c r="E699" s="109" t="s">
        <v>851</v>
      </c>
      <c r="F699" s="110">
        <v>1059601552</v>
      </c>
      <c r="G699" s="43"/>
    </row>
    <row r="700" spans="1:7" ht="30" x14ac:dyDescent="0.25">
      <c r="A700" s="345" t="s">
        <v>1034</v>
      </c>
      <c r="B700" s="345" t="s">
        <v>1166</v>
      </c>
      <c r="C700" s="345" t="s">
        <v>1408</v>
      </c>
      <c r="D700" s="345" t="s">
        <v>1409</v>
      </c>
      <c r="E700" s="346" t="s">
        <v>851</v>
      </c>
      <c r="F700" s="347">
        <v>1005860830</v>
      </c>
      <c r="G700" s="43"/>
    </row>
    <row r="701" spans="1:7" ht="30" x14ac:dyDescent="0.25">
      <c r="A701" s="43" t="s">
        <v>944</v>
      </c>
      <c r="B701" s="43" t="s">
        <v>943</v>
      </c>
      <c r="C701" s="43" t="s">
        <v>1421</v>
      </c>
      <c r="D701" s="43"/>
      <c r="E701" s="109" t="s">
        <v>851</v>
      </c>
      <c r="F701" s="110">
        <v>1002846330</v>
      </c>
      <c r="G701" s="43"/>
    </row>
    <row r="702" spans="1:7" ht="30" x14ac:dyDescent="0.25">
      <c r="A702" s="345" t="s">
        <v>848</v>
      </c>
      <c r="B702" s="345" t="s">
        <v>943</v>
      </c>
      <c r="C702" s="345" t="s">
        <v>1423</v>
      </c>
      <c r="D702" s="345"/>
      <c r="E702" s="346" t="s">
        <v>851</v>
      </c>
      <c r="F702" s="347">
        <v>1193097625</v>
      </c>
      <c r="G702" s="43"/>
    </row>
    <row r="703" spans="1:7" ht="30" x14ac:dyDescent="0.25">
      <c r="A703" s="43" t="s">
        <v>1427</v>
      </c>
      <c r="B703" s="43" t="s">
        <v>1428</v>
      </c>
      <c r="C703" s="43" t="s">
        <v>1429</v>
      </c>
      <c r="D703" s="43" t="s">
        <v>1430</v>
      </c>
      <c r="E703" s="109" t="s">
        <v>851</v>
      </c>
      <c r="F703" s="110">
        <v>1061528490</v>
      </c>
      <c r="G703" s="43"/>
    </row>
    <row r="704" spans="1:7" ht="30" x14ac:dyDescent="0.25">
      <c r="A704" s="345" t="s">
        <v>1144</v>
      </c>
      <c r="B704" s="345" t="s">
        <v>884</v>
      </c>
      <c r="C704" s="345" t="s">
        <v>1432</v>
      </c>
      <c r="D704" s="345" t="s">
        <v>1433</v>
      </c>
      <c r="E704" s="346" t="s">
        <v>1094</v>
      </c>
      <c r="F704" s="347">
        <v>1059596594</v>
      </c>
      <c r="G704" s="43"/>
    </row>
    <row r="705" spans="1:7" ht="30" x14ac:dyDescent="0.25">
      <c r="A705" s="43" t="s">
        <v>873</v>
      </c>
      <c r="B705" s="43" t="s">
        <v>1435</v>
      </c>
      <c r="C705" s="43" t="s">
        <v>1436</v>
      </c>
      <c r="D705" s="43" t="s">
        <v>1437</v>
      </c>
      <c r="E705" s="109" t="s">
        <v>851</v>
      </c>
      <c r="F705" s="110">
        <v>1059601742</v>
      </c>
      <c r="G705" s="43"/>
    </row>
    <row r="706" spans="1:7" ht="30" x14ac:dyDescent="0.25">
      <c r="A706" s="345" t="s">
        <v>1439</v>
      </c>
      <c r="B706" s="345" t="s">
        <v>884</v>
      </c>
      <c r="C706" s="345" t="s">
        <v>1440</v>
      </c>
      <c r="D706" s="345" t="s">
        <v>1294</v>
      </c>
      <c r="E706" s="346" t="s">
        <v>851</v>
      </c>
      <c r="F706" s="347">
        <v>1002847533</v>
      </c>
      <c r="G706" s="43"/>
    </row>
    <row r="707" spans="1:7" ht="30" x14ac:dyDescent="0.25">
      <c r="A707" s="43" t="s">
        <v>1441</v>
      </c>
      <c r="B707" s="43"/>
      <c r="C707" s="43" t="s">
        <v>1284</v>
      </c>
      <c r="D707" s="43" t="s">
        <v>1442</v>
      </c>
      <c r="E707" s="109" t="s">
        <v>851</v>
      </c>
      <c r="F707" s="110">
        <v>1002848635</v>
      </c>
      <c r="G707" s="43"/>
    </row>
    <row r="708" spans="1:7" ht="30" x14ac:dyDescent="0.25">
      <c r="A708" s="345" t="s">
        <v>1443</v>
      </c>
      <c r="B708" s="345" t="s">
        <v>1444</v>
      </c>
      <c r="C708" s="345" t="s">
        <v>1445</v>
      </c>
      <c r="D708" s="345"/>
      <c r="E708" s="346" t="s">
        <v>851</v>
      </c>
      <c r="F708" s="347">
        <v>1061757665</v>
      </c>
      <c r="G708" s="43"/>
    </row>
    <row r="709" spans="1:7" ht="30" x14ac:dyDescent="0.25">
      <c r="A709" s="43" t="s">
        <v>1179</v>
      </c>
      <c r="B709" s="43" t="s">
        <v>1435</v>
      </c>
      <c r="C709" s="43" t="s">
        <v>1448</v>
      </c>
      <c r="D709" s="43" t="s">
        <v>1294</v>
      </c>
      <c r="E709" s="109" t="s">
        <v>851</v>
      </c>
      <c r="F709" s="110">
        <v>1059594096</v>
      </c>
      <c r="G709" s="43"/>
    </row>
    <row r="710" spans="1:7" ht="30" x14ac:dyDescent="0.25">
      <c r="A710" s="345" t="s">
        <v>1441</v>
      </c>
      <c r="B710" s="345" t="s">
        <v>914</v>
      </c>
      <c r="C710" s="345" t="s">
        <v>1451</v>
      </c>
      <c r="D710" s="345"/>
      <c r="E710" s="346" t="s">
        <v>851</v>
      </c>
      <c r="F710" s="347">
        <v>1059598007</v>
      </c>
      <c r="G710" s="43"/>
    </row>
    <row r="711" spans="1:7" ht="30" x14ac:dyDescent="0.25">
      <c r="A711" s="43" t="s">
        <v>896</v>
      </c>
      <c r="B711" s="43" t="s">
        <v>943</v>
      </c>
      <c r="C711" s="43" t="s">
        <v>1452</v>
      </c>
      <c r="D711" s="43" t="s">
        <v>1372</v>
      </c>
      <c r="E711" s="109" t="s">
        <v>851</v>
      </c>
      <c r="F711" s="110">
        <v>1059599315</v>
      </c>
      <c r="G711" s="43"/>
    </row>
    <row r="712" spans="1:7" ht="30" x14ac:dyDescent="0.25">
      <c r="A712" s="345" t="s">
        <v>1455</v>
      </c>
      <c r="B712" s="345" t="s">
        <v>974</v>
      </c>
      <c r="C712" s="345" t="s">
        <v>1305</v>
      </c>
      <c r="D712" s="345" t="s">
        <v>1456</v>
      </c>
      <c r="E712" s="346" t="s">
        <v>1094</v>
      </c>
      <c r="F712" s="347">
        <v>1059595977</v>
      </c>
      <c r="G712" s="43"/>
    </row>
    <row r="713" spans="1:7" ht="30" x14ac:dyDescent="0.25">
      <c r="A713" s="43" t="s">
        <v>1441</v>
      </c>
      <c r="B713" s="43" t="s">
        <v>884</v>
      </c>
      <c r="C713" s="43" t="s">
        <v>1457</v>
      </c>
      <c r="D713" s="43"/>
      <c r="E713" s="109" t="s">
        <v>851</v>
      </c>
      <c r="F713" s="110">
        <v>25545401</v>
      </c>
      <c r="G713" s="43"/>
    </row>
    <row r="714" spans="1:7" ht="30" x14ac:dyDescent="0.25">
      <c r="A714" s="345" t="s">
        <v>1458</v>
      </c>
      <c r="B714" s="345" t="s">
        <v>1459</v>
      </c>
      <c r="C714" s="345" t="s">
        <v>1460</v>
      </c>
      <c r="D714" s="345" t="s">
        <v>976</v>
      </c>
      <c r="E714" s="346" t="s">
        <v>1094</v>
      </c>
      <c r="F714" s="347">
        <v>1062295885</v>
      </c>
      <c r="G714" s="43"/>
    </row>
    <row r="715" spans="1:7" ht="30" x14ac:dyDescent="0.25">
      <c r="A715" s="43" t="s">
        <v>944</v>
      </c>
      <c r="B715" s="43" t="s">
        <v>943</v>
      </c>
      <c r="C715" s="43" t="s">
        <v>1463</v>
      </c>
      <c r="D715" s="43" t="s">
        <v>1464</v>
      </c>
      <c r="E715" s="109" t="s">
        <v>1094</v>
      </c>
      <c r="F715" s="110">
        <v>1060186081</v>
      </c>
      <c r="G715" s="43"/>
    </row>
    <row r="716" spans="1:7" ht="30" x14ac:dyDescent="0.25">
      <c r="A716" s="345" t="s">
        <v>964</v>
      </c>
      <c r="B716" s="345" t="s">
        <v>1465</v>
      </c>
      <c r="C716" s="345" t="s">
        <v>1002</v>
      </c>
      <c r="D716" s="345" t="s">
        <v>1366</v>
      </c>
      <c r="E716" s="346" t="s">
        <v>1094</v>
      </c>
      <c r="F716" s="347">
        <v>1061530990</v>
      </c>
      <c r="G716" s="43"/>
    </row>
    <row r="717" spans="1:7" ht="30" x14ac:dyDescent="0.25">
      <c r="A717" s="43" t="s">
        <v>1156</v>
      </c>
      <c r="B717" s="43" t="s">
        <v>883</v>
      </c>
      <c r="C717" s="43" t="s">
        <v>1157</v>
      </c>
      <c r="D717" s="43" t="s">
        <v>1466</v>
      </c>
      <c r="E717" s="109" t="s">
        <v>851</v>
      </c>
      <c r="F717" s="110">
        <v>1059594587</v>
      </c>
      <c r="G717" s="43"/>
    </row>
    <row r="718" spans="1:7" ht="30" x14ac:dyDescent="0.25">
      <c r="A718" s="345" t="s">
        <v>943</v>
      </c>
      <c r="B718" s="345" t="s">
        <v>1144</v>
      </c>
      <c r="C718" s="345" t="s">
        <v>1468</v>
      </c>
      <c r="D718" s="345" t="s">
        <v>1281</v>
      </c>
      <c r="E718" s="346" t="s">
        <v>851</v>
      </c>
      <c r="F718" s="347">
        <v>1059607505</v>
      </c>
      <c r="G718" s="43"/>
    </row>
    <row r="719" spans="1:7" ht="30" x14ac:dyDescent="0.25">
      <c r="A719" s="43" t="s">
        <v>883</v>
      </c>
      <c r="B719" s="43" t="s">
        <v>1290</v>
      </c>
      <c r="C719" s="43" t="s">
        <v>1476</v>
      </c>
      <c r="D719" s="43"/>
      <c r="E719" s="109" t="s">
        <v>851</v>
      </c>
      <c r="F719" s="110">
        <v>1059604081</v>
      </c>
      <c r="G719" s="43"/>
    </row>
    <row r="720" spans="1:7" ht="30" x14ac:dyDescent="0.25">
      <c r="A720" s="345" t="s">
        <v>914</v>
      </c>
      <c r="B720" s="345" t="s">
        <v>1276</v>
      </c>
      <c r="C720" s="345" t="s">
        <v>938</v>
      </c>
      <c r="D720" s="345" t="s">
        <v>1484</v>
      </c>
      <c r="E720" s="346" t="s">
        <v>851</v>
      </c>
      <c r="F720" s="347">
        <v>1002846249</v>
      </c>
      <c r="G720" s="43"/>
    </row>
    <row r="721" spans="1:7" ht="30" x14ac:dyDescent="0.25">
      <c r="A721" s="43" t="s">
        <v>914</v>
      </c>
      <c r="B721" s="43" t="s">
        <v>848</v>
      </c>
      <c r="C721" s="43" t="s">
        <v>1485</v>
      </c>
      <c r="D721" s="43" t="s">
        <v>1285</v>
      </c>
      <c r="E721" s="109" t="s">
        <v>851</v>
      </c>
      <c r="F721" s="110" t="s">
        <v>1486</v>
      </c>
      <c r="G721" s="43"/>
    </row>
    <row r="722" spans="1:7" ht="30" x14ac:dyDescent="0.25">
      <c r="A722" s="345" t="s">
        <v>974</v>
      </c>
      <c r="B722" s="345" t="s">
        <v>943</v>
      </c>
      <c r="C722" s="345" t="s">
        <v>1217</v>
      </c>
      <c r="D722" s="345" t="s">
        <v>1490</v>
      </c>
      <c r="E722" s="346" t="s">
        <v>851</v>
      </c>
      <c r="F722" s="347" t="s">
        <v>1491</v>
      </c>
      <c r="G722" s="43"/>
    </row>
    <row r="723" spans="1:7" ht="30" x14ac:dyDescent="0.25">
      <c r="A723" s="43" t="s">
        <v>967</v>
      </c>
      <c r="B723" s="43" t="s">
        <v>980</v>
      </c>
      <c r="C723" s="43" t="s">
        <v>1492</v>
      </c>
      <c r="D723" s="43"/>
      <c r="E723" s="109" t="s">
        <v>851</v>
      </c>
      <c r="F723" s="110" t="s">
        <v>1493</v>
      </c>
      <c r="G723" s="43"/>
    </row>
    <row r="724" spans="1:7" ht="30" x14ac:dyDescent="0.25">
      <c r="A724" s="345" t="s">
        <v>884</v>
      </c>
      <c r="B724" s="345" t="s">
        <v>1378</v>
      </c>
      <c r="C724" s="345" t="s">
        <v>1494</v>
      </c>
      <c r="D724" s="345" t="s">
        <v>1495</v>
      </c>
      <c r="E724" s="346" t="s">
        <v>851</v>
      </c>
      <c r="F724" s="347" t="s">
        <v>1496</v>
      </c>
      <c r="G724" s="43"/>
    </row>
    <row r="725" spans="1:7" ht="30" x14ac:dyDescent="0.25">
      <c r="A725" s="43" t="s">
        <v>992</v>
      </c>
      <c r="B725" s="43" t="s">
        <v>1498</v>
      </c>
      <c r="C725" s="43" t="s">
        <v>938</v>
      </c>
      <c r="D725" s="43" t="s">
        <v>1499</v>
      </c>
      <c r="E725" s="109" t="s">
        <v>851</v>
      </c>
      <c r="F725" s="110" t="s">
        <v>1500</v>
      </c>
      <c r="G725" s="43"/>
    </row>
    <row r="726" spans="1:7" ht="30" x14ac:dyDescent="0.25">
      <c r="A726" s="345" t="s">
        <v>848</v>
      </c>
      <c r="B726" s="345" t="s">
        <v>953</v>
      </c>
      <c r="C726" s="345" t="s">
        <v>1501</v>
      </c>
      <c r="D726" s="345" t="s">
        <v>919</v>
      </c>
      <c r="E726" s="346" t="s">
        <v>851</v>
      </c>
      <c r="F726" s="347" t="s">
        <v>1502</v>
      </c>
      <c r="G726" s="43"/>
    </row>
    <row r="727" spans="1:7" ht="30" x14ac:dyDescent="0.25">
      <c r="A727" s="43" t="s">
        <v>992</v>
      </c>
      <c r="B727" s="43" t="s">
        <v>848</v>
      </c>
      <c r="C727" s="43" t="s">
        <v>1504</v>
      </c>
      <c r="D727" s="43" t="s">
        <v>1157</v>
      </c>
      <c r="E727" s="109" t="s">
        <v>851</v>
      </c>
      <c r="F727" s="110">
        <v>1002848292</v>
      </c>
      <c r="G727" s="43"/>
    </row>
    <row r="728" spans="1:7" ht="30" x14ac:dyDescent="0.25">
      <c r="A728" s="345" t="s">
        <v>1507</v>
      </c>
      <c r="B728" s="345" t="s">
        <v>1365</v>
      </c>
      <c r="C728" s="345" t="s">
        <v>1508</v>
      </c>
      <c r="D728" s="345"/>
      <c r="E728" s="346" t="s">
        <v>851</v>
      </c>
      <c r="F728" s="347">
        <v>1059600322</v>
      </c>
      <c r="G728" s="43"/>
    </row>
    <row r="729" spans="1:7" ht="30" x14ac:dyDescent="0.25">
      <c r="A729" s="43" t="s">
        <v>1041</v>
      </c>
      <c r="B729" s="43" t="s">
        <v>1147</v>
      </c>
      <c r="C729" s="43" t="s">
        <v>1512</v>
      </c>
      <c r="D729" s="43"/>
      <c r="E729" s="109" t="s">
        <v>851</v>
      </c>
      <c r="F729" s="110">
        <v>1059604976</v>
      </c>
      <c r="G729" s="43"/>
    </row>
    <row r="730" spans="1:7" ht="30" x14ac:dyDescent="0.25">
      <c r="A730" s="345" t="s">
        <v>1513</v>
      </c>
      <c r="B730" s="345" t="s">
        <v>1514</v>
      </c>
      <c r="C730" s="345" t="s">
        <v>1515</v>
      </c>
      <c r="D730" s="345"/>
      <c r="E730" s="346" t="s">
        <v>851</v>
      </c>
      <c r="F730" s="347">
        <v>1067461286</v>
      </c>
      <c r="G730" s="43"/>
    </row>
    <row r="731" spans="1:7" ht="30" x14ac:dyDescent="0.25">
      <c r="A731" s="43" t="s">
        <v>1519</v>
      </c>
      <c r="B731" s="43" t="s">
        <v>848</v>
      </c>
      <c r="C731" s="43" t="s">
        <v>1520</v>
      </c>
      <c r="D731" s="43" t="s">
        <v>1521</v>
      </c>
      <c r="E731" s="109" t="s">
        <v>851</v>
      </c>
      <c r="F731" s="110">
        <v>1002950269</v>
      </c>
      <c r="G731" s="43"/>
    </row>
    <row r="732" spans="1:7" ht="30" x14ac:dyDescent="0.25">
      <c r="A732" s="345" t="s">
        <v>884</v>
      </c>
      <c r="B732" s="345" t="s">
        <v>1524</v>
      </c>
      <c r="C732" s="345" t="s">
        <v>945</v>
      </c>
      <c r="D732" s="345" t="s">
        <v>919</v>
      </c>
      <c r="E732" s="346" t="s">
        <v>851</v>
      </c>
      <c r="F732" s="347">
        <v>1002970266</v>
      </c>
      <c r="G732" s="43"/>
    </row>
    <row r="733" spans="1:7" ht="30" x14ac:dyDescent="0.25">
      <c r="A733" s="43" t="s">
        <v>896</v>
      </c>
      <c r="B733" s="43" t="s">
        <v>953</v>
      </c>
      <c r="C733" s="43" t="s">
        <v>1530</v>
      </c>
      <c r="D733" s="43" t="s">
        <v>1182</v>
      </c>
      <c r="E733" s="109" t="s">
        <v>851</v>
      </c>
      <c r="F733" s="110">
        <v>1059594419</v>
      </c>
      <c r="G733" s="43"/>
    </row>
    <row r="734" spans="1:7" ht="30" x14ac:dyDescent="0.25">
      <c r="A734" s="345" t="s">
        <v>1361</v>
      </c>
      <c r="B734" s="345" t="s">
        <v>992</v>
      </c>
      <c r="C734" s="345" t="s">
        <v>1531</v>
      </c>
      <c r="D734" s="345"/>
      <c r="E734" s="346" t="s">
        <v>851</v>
      </c>
      <c r="F734" s="347">
        <v>1151452891</v>
      </c>
      <c r="G734" s="43"/>
    </row>
    <row r="735" spans="1:7" ht="30" x14ac:dyDescent="0.25">
      <c r="A735" s="43" t="s">
        <v>1286</v>
      </c>
      <c r="B735" s="43" t="s">
        <v>980</v>
      </c>
      <c r="C735" s="43" t="s">
        <v>1528</v>
      </c>
      <c r="D735" s="43" t="s">
        <v>1281</v>
      </c>
      <c r="E735" s="109" t="s">
        <v>851</v>
      </c>
      <c r="F735" s="110">
        <v>1059596092</v>
      </c>
      <c r="G735" s="43"/>
    </row>
    <row r="736" spans="1:7" ht="30" x14ac:dyDescent="0.25">
      <c r="A736" s="345" t="s">
        <v>884</v>
      </c>
      <c r="B736" s="345" t="s">
        <v>1144</v>
      </c>
      <c r="C736" s="345" t="s">
        <v>1534</v>
      </c>
      <c r="D736" s="345"/>
      <c r="E736" s="346" t="s">
        <v>851</v>
      </c>
      <c r="F736" s="353">
        <v>1002846626</v>
      </c>
      <c r="G736" s="43"/>
    </row>
    <row r="737" spans="1:7" ht="30" x14ac:dyDescent="0.25">
      <c r="A737" s="43" t="s">
        <v>1246</v>
      </c>
      <c r="B737" s="43" t="s">
        <v>943</v>
      </c>
      <c r="C737" s="43" t="s">
        <v>1535</v>
      </c>
      <c r="D737" s="43"/>
      <c r="E737" s="109" t="s">
        <v>851</v>
      </c>
      <c r="F737" s="354">
        <v>1002848307</v>
      </c>
      <c r="G737" s="43"/>
    </row>
    <row r="738" spans="1:7" ht="30" x14ac:dyDescent="0.25">
      <c r="A738" s="345" t="s">
        <v>873</v>
      </c>
      <c r="B738" s="345" t="s">
        <v>1091</v>
      </c>
      <c r="C738" s="345" t="s">
        <v>1277</v>
      </c>
      <c r="D738" s="345"/>
      <c r="E738" s="346" t="s">
        <v>851</v>
      </c>
      <c r="F738" s="355">
        <v>1059598472</v>
      </c>
      <c r="G738" s="43"/>
    </row>
    <row r="739" spans="1:7" ht="30" x14ac:dyDescent="0.25">
      <c r="A739" s="43" t="s">
        <v>896</v>
      </c>
      <c r="B739" s="43" t="s">
        <v>1091</v>
      </c>
      <c r="C739" s="43" t="s">
        <v>1538</v>
      </c>
      <c r="D739" s="43"/>
      <c r="E739" s="109" t="s">
        <v>851</v>
      </c>
      <c r="F739" s="110">
        <v>1002846350</v>
      </c>
      <c r="G739" s="43"/>
    </row>
    <row r="740" spans="1:7" ht="30" x14ac:dyDescent="0.25">
      <c r="A740" s="345" t="s">
        <v>896</v>
      </c>
      <c r="B740" s="345" t="s">
        <v>953</v>
      </c>
      <c r="C740" s="345" t="s">
        <v>1217</v>
      </c>
      <c r="D740" s="345" t="s">
        <v>1471</v>
      </c>
      <c r="E740" s="346" t="s">
        <v>851</v>
      </c>
      <c r="F740" s="353">
        <v>1059602285</v>
      </c>
      <c r="G740" s="43"/>
    </row>
    <row r="741" spans="1:7" ht="30" x14ac:dyDescent="0.25">
      <c r="A741" s="43" t="s">
        <v>1540</v>
      </c>
      <c r="B741" s="43" t="s">
        <v>943</v>
      </c>
      <c r="C741" s="43" t="s">
        <v>1541</v>
      </c>
      <c r="D741" s="43" t="s">
        <v>1542</v>
      </c>
      <c r="E741" s="109" t="s">
        <v>851</v>
      </c>
      <c r="F741" s="356" t="s">
        <v>1539</v>
      </c>
      <c r="G741" s="43"/>
    </row>
    <row r="742" spans="1:7" ht="30" x14ac:dyDescent="0.25">
      <c r="A742" s="345" t="s">
        <v>1144</v>
      </c>
      <c r="B742" s="345" t="s">
        <v>996</v>
      </c>
      <c r="C742" s="345" t="s">
        <v>1192</v>
      </c>
      <c r="D742" s="345"/>
      <c r="E742" s="346" t="s">
        <v>851</v>
      </c>
      <c r="F742" s="353">
        <v>1059604012</v>
      </c>
      <c r="G742" s="43"/>
    </row>
    <row r="743" spans="1:7" ht="30" x14ac:dyDescent="0.25">
      <c r="A743" s="43" t="s">
        <v>896</v>
      </c>
      <c r="B743" s="43" t="s">
        <v>953</v>
      </c>
      <c r="C743" s="43" t="s">
        <v>1545</v>
      </c>
      <c r="D743" s="43"/>
      <c r="E743" s="109" t="s">
        <v>851</v>
      </c>
      <c r="F743" s="110">
        <v>25545389</v>
      </c>
      <c r="G743" s="43"/>
    </row>
    <row r="744" spans="1:7" ht="30" x14ac:dyDescent="0.25">
      <c r="A744" s="345" t="s">
        <v>1156</v>
      </c>
      <c r="B744" s="345" t="s">
        <v>980</v>
      </c>
      <c r="C744" s="345" t="s">
        <v>1547</v>
      </c>
      <c r="D744" s="345"/>
      <c r="E744" s="346" t="s">
        <v>1094</v>
      </c>
      <c r="F744" s="347">
        <v>1059597328</v>
      </c>
      <c r="G744" s="43"/>
    </row>
    <row r="745" spans="1:7" ht="30" x14ac:dyDescent="0.25">
      <c r="A745" s="43" t="s">
        <v>1549</v>
      </c>
      <c r="B745" s="43" t="s">
        <v>1298</v>
      </c>
      <c r="C745" s="43" t="s">
        <v>1550</v>
      </c>
      <c r="D745" s="43" t="s">
        <v>1551</v>
      </c>
      <c r="E745" s="109" t="s">
        <v>851</v>
      </c>
      <c r="F745" s="357" t="s">
        <v>1548</v>
      </c>
      <c r="G745" s="43"/>
    </row>
    <row r="746" spans="1:7" x14ac:dyDescent="0.25">
      <c r="A746" s="345" t="s">
        <v>943</v>
      </c>
      <c r="B746" s="345" t="s">
        <v>848</v>
      </c>
      <c r="C746" s="345" t="s">
        <v>1553</v>
      </c>
      <c r="D746" s="345"/>
      <c r="E746" s="346"/>
      <c r="F746" s="347">
        <v>1059594153</v>
      </c>
      <c r="G746" s="43"/>
    </row>
    <row r="747" spans="1:7" ht="30" x14ac:dyDescent="0.25">
      <c r="A747" s="43" t="s">
        <v>943</v>
      </c>
      <c r="B747" s="43" t="s">
        <v>1144</v>
      </c>
      <c r="C747" s="43" t="s">
        <v>1504</v>
      </c>
      <c r="D747" s="43" t="s">
        <v>1281</v>
      </c>
      <c r="E747" s="109" t="s">
        <v>1094</v>
      </c>
      <c r="F747" s="110">
        <v>1059599329</v>
      </c>
      <c r="G747" s="43"/>
    </row>
    <row r="748" spans="1:7" ht="30" x14ac:dyDescent="0.25">
      <c r="A748" s="345" t="s">
        <v>953</v>
      </c>
      <c r="B748" s="345" t="s">
        <v>1249</v>
      </c>
      <c r="C748" s="345" t="s">
        <v>1556</v>
      </c>
      <c r="D748" s="345"/>
      <c r="E748" s="346" t="s">
        <v>1094</v>
      </c>
      <c r="F748" s="347">
        <v>1059599873</v>
      </c>
      <c r="G748" s="43"/>
    </row>
    <row r="749" spans="1:7" ht="30" x14ac:dyDescent="0.25">
      <c r="A749" s="43" t="s">
        <v>996</v>
      </c>
      <c r="B749" s="43" t="s">
        <v>1559</v>
      </c>
      <c r="C749" s="43" t="s">
        <v>1560</v>
      </c>
      <c r="D749" s="43"/>
      <c r="E749" s="109" t="s">
        <v>851</v>
      </c>
      <c r="F749" s="110">
        <v>25552089</v>
      </c>
      <c r="G749" s="43"/>
    </row>
    <row r="750" spans="1:7" ht="30" x14ac:dyDescent="0.25">
      <c r="A750" s="345" t="s">
        <v>1361</v>
      </c>
      <c r="B750" s="345" t="s">
        <v>1470</v>
      </c>
      <c r="C750" s="345" t="s">
        <v>1553</v>
      </c>
      <c r="D750" s="345"/>
      <c r="E750" s="346" t="s">
        <v>851</v>
      </c>
      <c r="F750" s="347">
        <v>1059595865</v>
      </c>
      <c r="G750" s="43"/>
    </row>
    <row r="751" spans="1:7" ht="30" x14ac:dyDescent="0.25">
      <c r="A751" s="43" t="s">
        <v>953</v>
      </c>
      <c r="B751" s="43" t="s">
        <v>1378</v>
      </c>
      <c r="C751" s="43" t="s">
        <v>1617</v>
      </c>
      <c r="D751" s="43"/>
      <c r="E751" s="109" t="s">
        <v>851</v>
      </c>
      <c r="F751" s="110">
        <v>1059606238</v>
      </c>
      <c r="G751" s="43"/>
    </row>
    <row r="752" spans="1:7" ht="30" x14ac:dyDescent="0.25">
      <c r="A752" s="345" t="s">
        <v>874</v>
      </c>
      <c r="B752" s="345" t="s">
        <v>873</v>
      </c>
      <c r="C752" s="345" t="s">
        <v>1635</v>
      </c>
      <c r="D752" s="345" t="s">
        <v>1294</v>
      </c>
      <c r="E752" s="346" t="s">
        <v>1094</v>
      </c>
      <c r="F752" s="347">
        <v>1059597986</v>
      </c>
      <c r="G752" s="43"/>
    </row>
    <row r="753" spans="1:7" ht="30" x14ac:dyDescent="0.25">
      <c r="A753" s="43" t="s">
        <v>873</v>
      </c>
      <c r="B753" s="43" t="s">
        <v>962</v>
      </c>
      <c r="C753" s="43" t="s">
        <v>1501</v>
      </c>
      <c r="D753" s="43" t="s">
        <v>1340</v>
      </c>
      <c r="E753" s="109" t="s">
        <v>851</v>
      </c>
      <c r="F753" s="110">
        <v>1059594976</v>
      </c>
      <c r="G753" s="43"/>
    </row>
    <row r="754" spans="1:7" x14ac:dyDescent="0.25">
      <c r="A754" s="345" t="s">
        <v>896</v>
      </c>
      <c r="B754" s="345" t="s">
        <v>953</v>
      </c>
      <c r="C754" s="345" t="s">
        <v>1634</v>
      </c>
      <c r="D754" s="345"/>
      <c r="E754" s="346"/>
      <c r="F754" s="347">
        <v>1002848733</v>
      </c>
      <c r="G754" s="43"/>
    </row>
    <row r="755" spans="1:7" ht="30" x14ac:dyDescent="0.25">
      <c r="A755" s="43" t="s">
        <v>896</v>
      </c>
      <c r="B755" s="43" t="s">
        <v>915</v>
      </c>
      <c r="C755" s="43" t="s">
        <v>1585</v>
      </c>
      <c r="D755" s="43"/>
      <c r="E755" s="109" t="s">
        <v>851</v>
      </c>
      <c r="F755" s="110">
        <v>1059595460</v>
      </c>
      <c r="G755" s="43"/>
    </row>
    <row r="756" spans="1:7" ht="30" x14ac:dyDescent="0.25">
      <c r="A756" s="345" t="s">
        <v>873</v>
      </c>
      <c r="B756" s="345" t="s">
        <v>874</v>
      </c>
      <c r="C756" s="345" t="s">
        <v>1215</v>
      </c>
      <c r="D756" s="345"/>
      <c r="E756" s="346" t="s">
        <v>851</v>
      </c>
      <c r="F756" s="347">
        <v>1002849181</v>
      </c>
      <c r="G756" s="43"/>
    </row>
    <row r="757" spans="1:7" ht="30" x14ac:dyDescent="0.25">
      <c r="A757" s="43" t="s">
        <v>953</v>
      </c>
      <c r="B757" s="43" t="s">
        <v>1286</v>
      </c>
      <c r="C757" s="43" t="s">
        <v>1463</v>
      </c>
      <c r="D757" s="43" t="s">
        <v>1579</v>
      </c>
      <c r="E757" s="109" t="s">
        <v>851</v>
      </c>
      <c r="F757" s="356" t="s">
        <v>1578</v>
      </c>
      <c r="G757" s="43"/>
    </row>
    <row r="758" spans="1:7" ht="30" x14ac:dyDescent="0.25">
      <c r="A758" s="345" t="s">
        <v>1580</v>
      </c>
      <c r="B758" s="345" t="s">
        <v>914</v>
      </c>
      <c r="C758" s="345" t="s">
        <v>1581</v>
      </c>
      <c r="D758" s="345" t="s">
        <v>1464</v>
      </c>
      <c r="E758" s="346" t="s">
        <v>851</v>
      </c>
      <c r="F758" s="359">
        <v>1002846447</v>
      </c>
      <c r="G758" s="43"/>
    </row>
    <row r="759" spans="1:7" ht="30" x14ac:dyDescent="0.25">
      <c r="A759" s="43" t="s">
        <v>1583</v>
      </c>
      <c r="B759" s="43" t="s">
        <v>873</v>
      </c>
      <c r="C759" s="43" t="s">
        <v>1584</v>
      </c>
      <c r="D759" s="43"/>
      <c r="E759" s="109" t="s">
        <v>851</v>
      </c>
      <c r="F759" s="356" t="s">
        <v>1582</v>
      </c>
      <c r="G759" s="43"/>
    </row>
    <row r="760" spans="1:7" ht="30" x14ac:dyDescent="0.25">
      <c r="A760" s="345" t="s">
        <v>1322</v>
      </c>
      <c r="B760" s="345" t="s">
        <v>1378</v>
      </c>
      <c r="C760" s="345" t="s">
        <v>1587</v>
      </c>
      <c r="D760" s="345"/>
      <c r="E760" s="346" t="s">
        <v>851</v>
      </c>
      <c r="F760" s="359" t="s">
        <v>1586</v>
      </c>
      <c r="G760" s="43"/>
    </row>
    <row r="761" spans="1:7" ht="30" x14ac:dyDescent="0.25">
      <c r="A761" s="43" t="s">
        <v>1590</v>
      </c>
      <c r="B761" s="43" t="s">
        <v>874</v>
      </c>
      <c r="C761" s="43" t="s">
        <v>1591</v>
      </c>
      <c r="D761" s="43"/>
      <c r="E761" s="109" t="s">
        <v>851</v>
      </c>
      <c r="F761" s="356" t="s">
        <v>1589</v>
      </c>
      <c r="G761" s="43"/>
    </row>
    <row r="762" spans="1:7" ht="30" x14ac:dyDescent="0.25">
      <c r="A762" s="345" t="s">
        <v>1286</v>
      </c>
      <c r="B762" s="345" t="s">
        <v>1594</v>
      </c>
      <c r="C762" s="345" t="s">
        <v>1420</v>
      </c>
      <c r="D762" s="345"/>
      <c r="E762" s="346" t="s">
        <v>1094</v>
      </c>
      <c r="F762" s="359" t="s">
        <v>1593</v>
      </c>
      <c r="G762" s="43"/>
    </row>
    <row r="763" spans="1:7" ht="30" x14ac:dyDescent="0.25">
      <c r="A763" s="43" t="s">
        <v>1598</v>
      </c>
      <c r="B763" s="43" t="s">
        <v>1599</v>
      </c>
      <c r="C763" s="43" t="s">
        <v>1597</v>
      </c>
      <c r="D763" s="43"/>
      <c r="E763" s="109" t="s">
        <v>851</v>
      </c>
      <c r="F763" s="110">
        <v>1002846452</v>
      </c>
      <c r="G763" s="43"/>
    </row>
    <row r="764" spans="1:7" ht="30" x14ac:dyDescent="0.25">
      <c r="A764" s="345" t="s">
        <v>914</v>
      </c>
      <c r="B764" s="345" t="s">
        <v>1601</v>
      </c>
      <c r="C764" s="345" t="s">
        <v>1602</v>
      </c>
      <c r="D764" s="345"/>
      <c r="E764" s="346" t="s">
        <v>851</v>
      </c>
      <c r="F764" s="347">
        <v>1003370775</v>
      </c>
      <c r="G764" s="43"/>
    </row>
    <row r="765" spans="1:7" ht="30" x14ac:dyDescent="0.25">
      <c r="A765" s="43" t="s">
        <v>896</v>
      </c>
      <c r="B765" s="43" t="s">
        <v>992</v>
      </c>
      <c r="C765" s="43" t="s">
        <v>1530</v>
      </c>
      <c r="D765" s="43" t="s">
        <v>1357</v>
      </c>
      <c r="E765" s="109" t="s">
        <v>851</v>
      </c>
      <c r="F765" s="110">
        <v>1002847645</v>
      </c>
      <c r="G765" s="43"/>
    </row>
    <row r="766" spans="1:7" ht="30" x14ac:dyDescent="0.25">
      <c r="A766" s="345" t="s">
        <v>896</v>
      </c>
      <c r="B766" s="345" t="s">
        <v>1599</v>
      </c>
      <c r="C766" s="345" t="s">
        <v>1607</v>
      </c>
      <c r="D766" s="345" t="s">
        <v>1608</v>
      </c>
      <c r="E766" s="346" t="s">
        <v>851</v>
      </c>
      <c r="F766" s="347">
        <v>1060800773</v>
      </c>
      <c r="G766" s="43"/>
    </row>
    <row r="767" spans="1:7" ht="30" x14ac:dyDescent="0.25">
      <c r="A767" s="43" t="s">
        <v>914</v>
      </c>
      <c r="B767" s="43" t="s">
        <v>943</v>
      </c>
      <c r="C767" s="43" t="s">
        <v>1198</v>
      </c>
      <c r="D767" s="43"/>
      <c r="E767" s="109" t="s">
        <v>851</v>
      </c>
      <c r="F767" s="110">
        <v>1059605317</v>
      </c>
      <c r="G767" s="43"/>
    </row>
    <row r="768" spans="1:7" ht="30" x14ac:dyDescent="0.25">
      <c r="A768" s="345" t="s">
        <v>1439</v>
      </c>
      <c r="B768" s="345" t="s">
        <v>848</v>
      </c>
      <c r="C768" s="345" t="s">
        <v>1437</v>
      </c>
      <c r="D768" s="345"/>
      <c r="E768" s="346" t="s">
        <v>851</v>
      </c>
      <c r="F768" s="347">
        <v>1059595628</v>
      </c>
      <c r="G768" s="43"/>
    </row>
    <row r="769" spans="1:7" ht="30" x14ac:dyDescent="0.25">
      <c r="A769" s="43" t="s">
        <v>873</v>
      </c>
      <c r="B769" s="43" t="s">
        <v>874</v>
      </c>
      <c r="C769" s="43" t="s">
        <v>1612</v>
      </c>
      <c r="D769" s="43" t="s">
        <v>1613</v>
      </c>
      <c r="E769" s="109" t="s">
        <v>851</v>
      </c>
      <c r="F769" s="110">
        <v>1002849103</v>
      </c>
      <c r="G769" s="43"/>
    </row>
    <row r="770" spans="1:7" ht="30" x14ac:dyDescent="0.25">
      <c r="A770" s="345" t="s">
        <v>914</v>
      </c>
      <c r="B770" s="345" t="s">
        <v>914</v>
      </c>
      <c r="C770" s="345" t="s">
        <v>1614</v>
      </c>
      <c r="D770" s="345" t="s">
        <v>1277</v>
      </c>
      <c r="E770" s="346" t="s">
        <v>851</v>
      </c>
      <c r="F770" s="347">
        <v>1002847076</v>
      </c>
      <c r="G770" s="43"/>
    </row>
    <row r="771" spans="1:7" ht="30" x14ac:dyDescent="0.25">
      <c r="A771" s="43" t="s">
        <v>1621</v>
      </c>
      <c r="B771" s="43" t="s">
        <v>1622</v>
      </c>
      <c r="C771" s="43" t="s">
        <v>1619</v>
      </c>
      <c r="D771" s="43" t="s">
        <v>1620</v>
      </c>
      <c r="E771" s="109" t="s">
        <v>851</v>
      </c>
      <c r="F771" s="110">
        <v>1104776221</v>
      </c>
      <c r="G771" s="43"/>
    </row>
    <row r="772" spans="1:7" ht="30" x14ac:dyDescent="0.25">
      <c r="A772" s="345" t="s">
        <v>980</v>
      </c>
      <c r="B772" s="345" t="s">
        <v>914</v>
      </c>
      <c r="C772" s="345" t="s">
        <v>1623</v>
      </c>
      <c r="D772" s="345"/>
      <c r="E772" s="346" t="s">
        <v>851</v>
      </c>
      <c r="F772" s="347">
        <v>1059596737</v>
      </c>
      <c r="G772" s="43"/>
    </row>
    <row r="773" spans="1:7" ht="30" x14ac:dyDescent="0.25">
      <c r="A773" s="43" t="s">
        <v>1629</v>
      </c>
      <c r="B773" s="43" t="s">
        <v>1249</v>
      </c>
      <c r="C773" s="43" t="s">
        <v>1630</v>
      </c>
      <c r="D773" s="43"/>
      <c r="E773" s="109" t="s">
        <v>851</v>
      </c>
      <c r="F773" s="43">
        <v>1059601748</v>
      </c>
      <c r="G773" s="43"/>
    </row>
    <row r="774" spans="1:7" ht="30" x14ac:dyDescent="0.25">
      <c r="A774" s="345" t="s">
        <v>896</v>
      </c>
      <c r="B774" s="345" t="s">
        <v>1632</v>
      </c>
      <c r="C774" s="345" t="s">
        <v>1633</v>
      </c>
      <c r="D774" s="345"/>
      <c r="E774" s="346" t="s">
        <v>851</v>
      </c>
      <c r="F774" s="360" t="s">
        <v>1631</v>
      </c>
      <c r="G774" s="43"/>
    </row>
    <row r="775" spans="1:7" ht="30" x14ac:dyDescent="0.25">
      <c r="A775" s="43" t="s">
        <v>1637</v>
      </c>
      <c r="B775" s="43" t="s">
        <v>1638</v>
      </c>
      <c r="C775" s="43" t="s">
        <v>1028</v>
      </c>
      <c r="D775" s="43"/>
      <c r="E775" s="109" t="s">
        <v>851</v>
      </c>
      <c r="F775" s="357">
        <v>1060986729</v>
      </c>
      <c r="G775" s="43"/>
    </row>
    <row r="776" spans="1:7" ht="30" x14ac:dyDescent="0.25">
      <c r="A776" s="345" t="s">
        <v>1249</v>
      </c>
      <c r="B776" s="345" t="s">
        <v>914</v>
      </c>
      <c r="C776" s="345" t="s">
        <v>1659</v>
      </c>
      <c r="D776" s="345"/>
      <c r="E776" s="346" t="s">
        <v>851</v>
      </c>
      <c r="F776" s="347">
        <v>1059597497</v>
      </c>
      <c r="G776" s="43"/>
    </row>
    <row r="777" spans="1:7" ht="30" x14ac:dyDescent="0.25">
      <c r="A777" s="43" t="s">
        <v>1439</v>
      </c>
      <c r="B777" s="43" t="s">
        <v>848</v>
      </c>
      <c r="C777" s="43" t="s">
        <v>1437</v>
      </c>
      <c r="D777" s="43"/>
      <c r="E777" s="109" t="s">
        <v>851</v>
      </c>
      <c r="F777" s="110">
        <v>1059595628</v>
      </c>
      <c r="G777" s="43"/>
    </row>
    <row r="778" spans="1:7" ht="30" x14ac:dyDescent="0.25">
      <c r="A778" s="345" t="s">
        <v>953</v>
      </c>
      <c r="B778" s="345" t="s">
        <v>1660</v>
      </c>
      <c r="C778" s="345" t="s">
        <v>1217</v>
      </c>
      <c r="D778" s="345" t="s">
        <v>1661</v>
      </c>
      <c r="E778" s="346" t="s">
        <v>851</v>
      </c>
      <c r="F778" s="347">
        <v>1002848134</v>
      </c>
      <c r="G778" s="43"/>
    </row>
    <row r="779" spans="1:7" ht="30" x14ac:dyDescent="0.25">
      <c r="A779" s="43" t="s">
        <v>848</v>
      </c>
      <c r="B779" s="43" t="s">
        <v>1034</v>
      </c>
      <c r="C779" s="43" t="s">
        <v>1612</v>
      </c>
      <c r="D779" s="43" t="s">
        <v>1662</v>
      </c>
      <c r="E779" s="109" t="s">
        <v>851</v>
      </c>
      <c r="F779" s="110">
        <v>1059601726</v>
      </c>
      <c r="G779" s="43"/>
    </row>
    <row r="780" spans="1:7" ht="30" x14ac:dyDescent="0.25">
      <c r="A780" s="345" t="s">
        <v>1663</v>
      </c>
      <c r="B780" s="345" t="s">
        <v>1664</v>
      </c>
      <c r="C780" s="345" t="s">
        <v>938</v>
      </c>
      <c r="D780" s="345" t="s">
        <v>1665</v>
      </c>
      <c r="E780" s="346" t="s">
        <v>851</v>
      </c>
      <c r="F780" s="347">
        <v>1059601634</v>
      </c>
      <c r="G780" s="43"/>
    </row>
    <row r="781" spans="1:7" ht="30" x14ac:dyDescent="0.25">
      <c r="A781" s="43" t="s">
        <v>980</v>
      </c>
      <c r="B781" s="43" t="s">
        <v>1666</v>
      </c>
      <c r="C781" s="43" t="s">
        <v>1287</v>
      </c>
      <c r="D781" s="43" t="s">
        <v>919</v>
      </c>
      <c r="E781" s="109" t="s">
        <v>851</v>
      </c>
      <c r="F781" s="110">
        <v>1002846819</v>
      </c>
      <c r="G781" s="43"/>
    </row>
    <row r="782" spans="1:7" ht="30" x14ac:dyDescent="0.25">
      <c r="A782" s="345" t="s">
        <v>1667</v>
      </c>
      <c r="B782" s="345" t="s">
        <v>1668</v>
      </c>
      <c r="C782" s="345" t="s">
        <v>1669</v>
      </c>
      <c r="D782" s="345"/>
      <c r="E782" s="346" t="s">
        <v>851</v>
      </c>
      <c r="F782" s="347">
        <v>1064426895</v>
      </c>
      <c r="G782" s="43"/>
    </row>
    <row r="783" spans="1:7" ht="30" x14ac:dyDescent="0.25">
      <c r="A783" s="43" t="s">
        <v>1210</v>
      </c>
      <c r="B783" s="43" t="s">
        <v>848</v>
      </c>
      <c r="C783" s="43" t="s">
        <v>1670</v>
      </c>
      <c r="D783" s="43" t="s">
        <v>1671</v>
      </c>
      <c r="E783" s="109" t="s">
        <v>851</v>
      </c>
      <c r="F783" s="110">
        <v>1059602883</v>
      </c>
      <c r="G783" s="43"/>
    </row>
    <row r="784" spans="1:7" ht="30" x14ac:dyDescent="0.25">
      <c r="A784" s="345" t="s">
        <v>943</v>
      </c>
      <c r="B784" s="345" t="s">
        <v>848</v>
      </c>
      <c r="C784" s="345" t="s">
        <v>1673</v>
      </c>
      <c r="D784" s="345" t="s">
        <v>1674</v>
      </c>
      <c r="E784" s="346" t="s">
        <v>851</v>
      </c>
      <c r="F784" s="366" t="s">
        <v>1672</v>
      </c>
      <c r="G784" s="43"/>
    </row>
    <row r="785" spans="1:7" ht="30" x14ac:dyDescent="0.25">
      <c r="A785" s="43" t="s">
        <v>1677</v>
      </c>
      <c r="B785" s="43" t="s">
        <v>962</v>
      </c>
      <c r="C785" s="43" t="s">
        <v>1678</v>
      </c>
      <c r="D785" s="43" t="s">
        <v>1679</v>
      </c>
      <c r="E785" s="109" t="s">
        <v>1094</v>
      </c>
      <c r="F785" s="363" t="s">
        <v>1676</v>
      </c>
      <c r="G785" s="43"/>
    </row>
    <row r="786" spans="1:7" ht="30" x14ac:dyDescent="0.25">
      <c r="A786" s="345" t="s">
        <v>1286</v>
      </c>
      <c r="B786" s="345" t="s">
        <v>943</v>
      </c>
      <c r="C786" s="345" t="s">
        <v>1681</v>
      </c>
      <c r="D786" s="345"/>
      <c r="E786" s="346" t="s">
        <v>851</v>
      </c>
      <c r="F786" s="362" t="s">
        <v>1680</v>
      </c>
      <c r="G786" s="43"/>
    </row>
    <row r="787" spans="1:7" ht="30" x14ac:dyDescent="0.25">
      <c r="A787" s="43" t="s">
        <v>848</v>
      </c>
      <c r="B787" s="43" t="s">
        <v>914</v>
      </c>
      <c r="C787" s="43" t="s">
        <v>1683</v>
      </c>
      <c r="D787" s="43"/>
      <c r="E787" s="109" t="s">
        <v>851</v>
      </c>
      <c r="F787" s="363" t="s">
        <v>1682</v>
      </c>
      <c r="G787" s="43"/>
    </row>
    <row r="788" spans="1:7" x14ac:dyDescent="0.25">
      <c r="A788" s="421" t="s">
        <v>1708</v>
      </c>
      <c r="B788" s="421"/>
      <c r="C788" s="421"/>
      <c r="D788" s="421"/>
      <c r="E788" s="421"/>
      <c r="F788" s="421"/>
      <c r="G788" s="43"/>
    </row>
    <row r="789" spans="1:7" ht="45" x14ac:dyDescent="0.25">
      <c r="A789" s="17" t="s">
        <v>94</v>
      </c>
      <c r="B789" s="17" t="s">
        <v>21</v>
      </c>
      <c r="C789" s="17" t="s">
        <v>0</v>
      </c>
      <c r="D789" s="17" t="s">
        <v>1</v>
      </c>
      <c r="E789" s="17" t="s">
        <v>2</v>
      </c>
      <c r="F789" s="17" t="s">
        <v>3</v>
      </c>
      <c r="G789" s="43"/>
    </row>
    <row r="790" spans="1:7" ht="30" x14ac:dyDescent="0.25">
      <c r="A790" s="43" t="s">
        <v>974</v>
      </c>
      <c r="B790" s="43" t="s">
        <v>1144</v>
      </c>
      <c r="C790" s="43" t="s">
        <v>1192</v>
      </c>
      <c r="D790" s="43" t="s">
        <v>1193</v>
      </c>
      <c r="E790" s="109" t="s">
        <v>1094</v>
      </c>
      <c r="F790" s="110">
        <v>1059595334</v>
      </c>
      <c r="G790" s="43"/>
    </row>
    <row r="791" spans="1:7" ht="30" x14ac:dyDescent="0.25">
      <c r="A791" s="345" t="s">
        <v>914</v>
      </c>
      <c r="B791" s="345" t="s">
        <v>884</v>
      </c>
      <c r="C791" s="345" t="s">
        <v>1296</v>
      </c>
      <c r="D791" s="345" t="s">
        <v>850</v>
      </c>
      <c r="E791" s="346" t="s">
        <v>851</v>
      </c>
      <c r="F791" s="347">
        <v>1060186045</v>
      </c>
      <c r="G791" s="43"/>
    </row>
    <row r="792" spans="1:7" ht="30" x14ac:dyDescent="0.25">
      <c r="A792" s="43" t="s">
        <v>1298</v>
      </c>
      <c r="B792" s="43" t="s">
        <v>914</v>
      </c>
      <c r="C792" s="43" t="s">
        <v>1299</v>
      </c>
      <c r="D792" s="43" t="s">
        <v>1300</v>
      </c>
      <c r="E792" s="109" t="s">
        <v>851</v>
      </c>
      <c r="F792" s="110" t="s">
        <v>1301</v>
      </c>
      <c r="G792" s="43"/>
    </row>
    <row r="793" spans="1:7" ht="30" x14ac:dyDescent="0.25">
      <c r="A793" s="345" t="s">
        <v>1305</v>
      </c>
      <c r="B793" s="345" t="s">
        <v>884</v>
      </c>
      <c r="C793" s="345" t="s">
        <v>1306</v>
      </c>
      <c r="D793" s="345" t="s">
        <v>1307</v>
      </c>
      <c r="E793" s="346" t="s">
        <v>851</v>
      </c>
      <c r="F793" s="347">
        <v>1059604869</v>
      </c>
      <c r="G793" s="43"/>
    </row>
    <row r="794" spans="1:7" ht="30" x14ac:dyDescent="0.25">
      <c r="A794" s="43" t="s">
        <v>953</v>
      </c>
      <c r="B794" s="43" t="s">
        <v>1316</v>
      </c>
      <c r="C794" s="43" t="s">
        <v>1317</v>
      </c>
      <c r="D794" s="43" t="s">
        <v>1028</v>
      </c>
      <c r="E794" s="109" t="s">
        <v>851</v>
      </c>
      <c r="F794" s="110">
        <v>1059594373</v>
      </c>
      <c r="G794" s="43"/>
    </row>
    <row r="795" spans="1:7" ht="30" x14ac:dyDescent="0.25">
      <c r="A795" s="345" t="s">
        <v>914</v>
      </c>
      <c r="B795" s="345" t="s">
        <v>1318</v>
      </c>
      <c r="C795" s="345" t="s">
        <v>1319</v>
      </c>
      <c r="D795" s="345"/>
      <c r="E795" s="346" t="s">
        <v>851</v>
      </c>
      <c r="F795" s="347" t="s">
        <v>1320</v>
      </c>
      <c r="G795" s="43"/>
    </row>
    <row r="796" spans="1:7" ht="30" x14ac:dyDescent="0.25">
      <c r="A796" s="43" t="s">
        <v>1332</v>
      </c>
      <c r="B796" s="43" t="s">
        <v>1091</v>
      </c>
      <c r="C796" s="43" t="s">
        <v>1333</v>
      </c>
      <c r="D796" s="43"/>
      <c r="E796" s="109" t="s">
        <v>1094</v>
      </c>
      <c r="F796" s="110">
        <v>1059595374</v>
      </c>
      <c r="G796" s="43"/>
    </row>
    <row r="797" spans="1:7" ht="30" x14ac:dyDescent="0.25">
      <c r="A797" s="345" t="s">
        <v>874</v>
      </c>
      <c r="B797" s="345" t="s">
        <v>943</v>
      </c>
      <c r="C797" s="345" t="s">
        <v>1340</v>
      </c>
      <c r="D797" s="345"/>
      <c r="E797" s="346" t="s">
        <v>1094</v>
      </c>
      <c r="F797" s="347">
        <v>1059597393</v>
      </c>
      <c r="G797" s="43"/>
    </row>
    <row r="798" spans="1:7" ht="30" x14ac:dyDescent="0.25">
      <c r="A798" s="43" t="s">
        <v>914</v>
      </c>
      <c r="B798" s="43" t="s">
        <v>915</v>
      </c>
      <c r="C798" s="43" t="s">
        <v>916</v>
      </c>
      <c r="D798" s="43"/>
      <c r="E798" s="109" t="s">
        <v>1094</v>
      </c>
      <c r="F798" s="110">
        <v>1059598169</v>
      </c>
      <c r="G798" s="43"/>
    </row>
    <row r="799" spans="1:7" ht="30" x14ac:dyDescent="0.25">
      <c r="A799" s="345" t="s">
        <v>1360</v>
      </c>
      <c r="B799" s="345" t="s">
        <v>1361</v>
      </c>
      <c r="C799" s="345" t="s">
        <v>938</v>
      </c>
      <c r="D799" s="345" t="s">
        <v>1362</v>
      </c>
      <c r="E799" s="346" t="s">
        <v>851</v>
      </c>
      <c r="F799" s="347" t="s">
        <v>1363</v>
      </c>
      <c r="G799" s="43"/>
    </row>
    <row r="800" spans="1:7" ht="30" x14ac:dyDescent="0.25">
      <c r="A800" s="43" t="s">
        <v>1286</v>
      </c>
      <c r="B800" s="43" t="s">
        <v>914</v>
      </c>
      <c r="C800" s="43" t="s">
        <v>1198</v>
      </c>
      <c r="D800" s="43" t="s">
        <v>1364</v>
      </c>
      <c r="E800" s="109" t="s">
        <v>851</v>
      </c>
      <c r="F800" s="110">
        <v>1059600026</v>
      </c>
      <c r="G800" s="43"/>
    </row>
    <row r="801" spans="1:7" ht="30" x14ac:dyDescent="0.25">
      <c r="A801" s="345" t="s">
        <v>857</v>
      </c>
      <c r="B801" s="345" t="s">
        <v>1365</v>
      </c>
      <c r="C801" s="345" t="s">
        <v>949</v>
      </c>
      <c r="D801" s="345" t="s">
        <v>1366</v>
      </c>
      <c r="E801" s="346" t="s">
        <v>851</v>
      </c>
      <c r="F801" s="347">
        <v>1002953350</v>
      </c>
      <c r="G801" s="43"/>
    </row>
    <row r="802" spans="1:7" ht="30" x14ac:dyDescent="0.25">
      <c r="A802" s="43" t="s">
        <v>1368</v>
      </c>
      <c r="B802" s="43" t="s">
        <v>1369</v>
      </c>
      <c r="C802" s="43" t="s">
        <v>1370</v>
      </c>
      <c r="D802" s="43" t="s">
        <v>982</v>
      </c>
      <c r="E802" s="109" t="s">
        <v>851</v>
      </c>
      <c r="F802" s="110">
        <v>1059603417</v>
      </c>
      <c r="G802" s="43"/>
    </row>
    <row r="803" spans="1:7" ht="30" x14ac:dyDescent="0.25">
      <c r="A803" s="345" t="s">
        <v>1382</v>
      </c>
      <c r="B803" s="345" t="s">
        <v>1382</v>
      </c>
      <c r="C803" s="345" t="s">
        <v>1383</v>
      </c>
      <c r="D803" s="345"/>
      <c r="E803" s="346" t="s">
        <v>851</v>
      </c>
      <c r="F803" s="347">
        <v>1003371767</v>
      </c>
      <c r="G803" s="43"/>
    </row>
    <row r="804" spans="1:7" ht="30" x14ac:dyDescent="0.25">
      <c r="A804" s="43" t="s">
        <v>873</v>
      </c>
      <c r="B804" s="43" t="s">
        <v>1391</v>
      </c>
      <c r="C804" s="43" t="s">
        <v>985</v>
      </c>
      <c r="D804" s="43" t="s">
        <v>1392</v>
      </c>
      <c r="E804" s="109" t="s">
        <v>851</v>
      </c>
      <c r="F804" s="110">
        <v>25547491</v>
      </c>
      <c r="G804" s="43"/>
    </row>
    <row r="805" spans="1:7" ht="30" x14ac:dyDescent="0.25">
      <c r="A805" s="345" t="s">
        <v>979</v>
      </c>
      <c r="B805" s="345" t="s">
        <v>943</v>
      </c>
      <c r="C805" s="345" t="s">
        <v>1217</v>
      </c>
      <c r="D805" s="345" t="s">
        <v>1398</v>
      </c>
      <c r="E805" s="346" t="s">
        <v>851</v>
      </c>
      <c r="F805" s="347">
        <v>1002846528</v>
      </c>
      <c r="G805" s="43"/>
    </row>
    <row r="806" spans="1:7" ht="30" x14ac:dyDescent="0.25">
      <c r="A806" s="43" t="s">
        <v>1405</v>
      </c>
      <c r="B806" s="43" t="s">
        <v>884</v>
      </c>
      <c r="C806" s="43" t="s">
        <v>1406</v>
      </c>
      <c r="D806" s="43" t="s">
        <v>1407</v>
      </c>
      <c r="E806" s="109" t="s">
        <v>851</v>
      </c>
      <c r="F806" s="110">
        <v>1059601552</v>
      </c>
      <c r="G806" s="43"/>
    </row>
    <row r="807" spans="1:7" ht="30" x14ac:dyDescent="0.25">
      <c r="A807" s="345" t="s">
        <v>1034</v>
      </c>
      <c r="B807" s="345" t="s">
        <v>1166</v>
      </c>
      <c r="C807" s="345" t="s">
        <v>1408</v>
      </c>
      <c r="D807" s="345" t="s">
        <v>1409</v>
      </c>
      <c r="E807" s="346" t="s">
        <v>851</v>
      </c>
      <c r="F807" s="347">
        <v>1005860830</v>
      </c>
      <c r="G807" s="43"/>
    </row>
    <row r="808" spans="1:7" ht="30" x14ac:dyDescent="0.25">
      <c r="A808" s="43" t="s">
        <v>944</v>
      </c>
      <c r="B808" s="43" t="s">
        <v>943</v>
      </c>
      <c r="C808" s="43" t="s">
        <v>1421</v>
      </c>
      <c r="D808" s="43"/>
      <c r="E808" s="109" t="s">
        <v>851</v>
      </c>
      <c r="F808" s="110">
        <v>1002846330</v>
      </c>
      <c r="G808" s="43"/>
    </row>
    <row r="809" spans="1:7" ht="30" x14ac:dyDescent="0.25">
      <c r="A809" s="345" t="s">
        <v>848</v>
      </c>
      <c r="B809" s="345" t="s">
        <v>943</v>
      </c>
      <c r="C809" s="345" t="s">
        <v>1423</v>
      </c>
      <c r="D809" s="345"/>
      <c r="E809" s="346" t="s">
        <v>851</v>
      </c>
      <c r="F809" s="347">
        <v>1193097625</v>
      </c>
      <c r="G809" s="43"/>
    </row>
    <row r="810" spans="1:7" ht="30" x14ac:dyDescent="0.25">
      <c r="A810" s="43" t="s">
        <v>1427</v>
      </c>
      <c r="B810" s="43" t="s">
        <v>1428</v>
      </c>
      <c r="C810" s="43" t="s">
        <v>1429</v>
      </c>
      <c r="D810" s="43" t="s">
        <v>1430</v>
      </c>
      <c r="E810" s="109" t="s">
        <v>851</v>
      </c>
      <c r="F810" s="110">
        <v>1061528490</v>
      </c>
      <c r="G810" s="43"/>
    </row>
    <row r="811" spans="1:7" ht="30" x14ac:dyDescent="0.25">
      <c r="A811" s="345" t="s">
        <v>873</v>
      </c>
      <c r="B811" s="345" t="s">
        <v>1435</v>
      </c>
      <c r="C811" s="345" t="s">
        <v>1436</v>
      </c>
      <c r="D811" s="345" t="s">
        <v>1437</v>
      </c>
      <c r="E811" s="346" t="s">
        <v>851</v>
      </c>
      <c r="F811" s="347">
        <v>1059601742</v>
      </c>
      <c r="G811" s="43"/>
    </row>
    <row r="812" spans="1:7" ht="30" x14ac:dyDescent="0.25">
      <c r="A812" s="43" t="s">
        <v>1439</v>
      </c>
      <c r="B812" s="43" t="s">
        <v>884</v>
      </c>
      <c r="C812" s="43" t="s">
        <v>1440</v>
      </c>
      <c r="D812" s="43" t="s">
        <v>1294</v>
      </c>
      <c r="E812" s="109" t="s">
        <v>851</v>
      </c>
      <c r="F812" s="110">
        <v>1002847533</v>
      </c>
      <c r="G812" s="43"/>
    </row>
    <row r="813" spans="1:7" ht="30" x14ac:dyDescent="0.25">
      <c r="A813" s="345" t="s">
        <v>1441</v>
      </c>
      <c r="B813" s="345"/>
      <c r="C813" s="345" t="s">
        <v>1284</v>
      </c>
      <c r="D813" s="345" t="s">
        <v>1442</v>
      </c>
      <c r="E813" s="346" t="s">
        <v>851</v>
      </c>
      <c r="F813" s="347">
        <v>1002848635</v>
      </c>
      <c r="G813" s="43"/>
    </row>
    <row r="814" spans="1:7" ht="30" x14ac:dyDescent="0.25">
      <c r="A814" s="43" t="s">
        <v>1443</v>
      </c>
      <c r="B814" s="43" t="s">
        <v>1444</v>
      </c>
      <c r="C814" s="43" t="s">
        <v>1445</v>
      </c>
      <c r="D814" s="43"/>
      <c r="E814" s="109" t="s">
        <v>851</v>
      </c>
      <c r="F814" s="110">
        <v>1061757665</v>
      </c>
      <c r="G814" s="43"/>
    </row>
    <row r="815" spans="1:7" ht="30" x14ac:dyDescent="0.25">
      <c r="A815" s="345" t="s">
        <v>1179</v>
      </c>
      <c r="B815" s="345" t="s">
        <v>1435</v>
      </c>
      <c r="C815" s="345" t="s">
        <v>1448</v>
      </c>
      <c r="D815" s="345" t="s">
        <v>1294</v>
      </c>
      <c r="E815" s="346" t="s">
        <v>851</v>
      </c>
      <c r="F815" s="347">
        <v>1059594096</v>
      </c>
      <c r="G815" s="43"/>
    </row>
    <row r="816" spans="1:7" ht="30" x14ac:dyDescent="0.25">
      <c r="A816" s="43" t="s">
        <v>1441</v>
      </c>
      <c r="B816" s="43" t="s">
        <v>914</v>
      </c>
      <c r="C816" s="43" t="s">
        <v>1451</v>
      </c>
      <c r="D816" s="43"/>
      <c r="E816" s="109" t="s">
        <v>851</v>
      </c>
      <c r="F816" s="110">
        <v>1059598007</v>
      </c>
      <c r="G816" s="43"/>
    </row>
    <row r="817" spans="1:7" ht="30" x14ac:dyDescent="0.25">
      <c r="A817" s="345" t="s">
        <v>896</v>
      </c>
      <c r="B817" s="345" t="s">
        <v>943</v>
      </c>
      <c r="C817" s="345" t="s">
        <v>1452</v>
      </c>
      <c r="D817" s="345" t="s">
        <v>1372</v>
      </c>
      <c r="E817" s="346" t="s">
        <v>851</v>
      </c>
      <c r="F817" s="347">
        <v>1059599315</v>
      </c>
      <c r="G817" s="43"/>
    </row>
    <row r="818" spans="1:7" ht="30" x14ac:dyDescent="0.25">
      <c r="A818" s="43" t="s">
        <v>1455</v>
      </c>
      <c r="B818" s="43" t="s">
        <v>974</v>
      </c>
      <c r="C818" s="43" t="s">
        <v>1305</v>
      </c>
      <c r="D818" s="43" t="s">
        <v>1456</v>
      </c>
      <c r="E818" s="109" t="s">
        <v>1094</v>
      </c>
      <c r="F818" s="110">
        <v>1059595977</v>
      </c>
      <c r="G818" s="43"/>
    </row>
    <row r="819" spans="1:7" ht="30" x14ac:dyDescent="0.25">
      <c r="A819" s="345" t="s">
        <v>1441</v>
      </c>
      <c r="B819" s="345" t="s">
        <v>884</v>
      </c>
      <c r="C819" s="345" t="s">
        <v>1457</v>
      </c>
      <c r="D819" s="345"/>
      <c r="E819" s="346" t="s">
        <v>851</v>
      </c>
      <c r="F819" s="347">
        <v>25545401</v>
      </c>
      <c r="G819" s="43"/>
    </row>
    <row r="820" spans="1:7" ht="30" x14ac:dyDescent="0.25">
      <c r="A820" s="43" t="s">
        <v>1458</v>
      </c>
      <c r="B820" s="43" t="s">
        <v>1459</v>
      </c>
      <c r="C820" s="43" t="s">
        <v>1460</v>
      </c>
      <c r="D820" s="43" t="s">
        <v>976</v>
      </c>
      <c r="E820" s="109" t="s">
        <v>1094</v>
      </c>
      <c r="F820" s="110">
        <v>1062295885</v>
      </c>
      <c r="G820" s="43"/>
    </row>
    <row r="821" spans="1:7" ht="30" x14ac:dyDescent="0.25">
      <c r="A821" s="345" t="s">
        <v>944</v>
      </c>
      <c r="B821" s="345" t="s">
        <v>943</v>
      </c>
      <c r="C821" s="345" t="s">
        <v>1463</v>
      </c>
      <c r="D821" s="345" t="s">
        <v>1464</v>
      </c>
      <c r="E821" s="346" t="s">
        <v>1094</v>
      </c>
      <c r="F821" s="347">
        <v>1060186081</v>
      </c>
      <c r="G821" s="43"/>
    </row>
    <row r="822" spans="1:7" ht="30" x14ac:dyDescent="0.25">
      <c r="A822" s="43" t="s">
        <v>964</v>
      </c>
      <c r="B822" s="43" t="s">
        <v>1465</v>
      </c>
      <c r="C822" s="43" t="s">
        <v>1002</v>
      </c>
      <c r="D822" s="43" t="s">
        <v>1366</v>
      </c>
      <c r="E822" s="109" t="s">
        <v>1094</v>
      </c>
      <c r="F822" s="110">
        <v>1061530990</v>
      </c>
      <c r="G822" s="43"/>
    </row>
    <row r="823" spans="1:7" ht="30" x14ac:dyDescent="0.25">
      <c r="A823" s="345" t="s">
        <v>1156</v>
      </c>
      <c r="B823" s="345" t="s">
        <v>883</v>
      </c>
      <c r="C823" s="345" t="s">
        <v>1157</v>
      </c>
      <c r="D823" s="345" t="s">
        <v>1466</v>
      </c>
      <c r="E823" s="346" t="s">
        <v>851</v>
      </c>
      <c r="F823" s="347">
        <v>1059594587</v>
      </c>
      <c r="G823" s="43"/>
    </row>
    <row r="824" spans="1:7" ht="30" x14ac:dyDescent="0.25">
      <c r="A824" s="43" t="s">
        <v>883</v>
      </c>
      <c r="B824" s="43" t="s">
        <v>1290</v>
      </c>
      <c r="C824" s="43" t="s">
        <v>1476</v>
      </c>
      <c r="D824" s="43"/>
      <c r="E824" s="109" t="s">
        <v>851</v>
      </c>
      <c r="F824" s="110">
        <v>1059604081</v>
      </c>
      <c r="G824" s="43"/>
    </row>
    <row r="825" spans="1:7" ht="30" x14ac:dyDescent="0.25">
      <c r="A825" s="345" t="s">
        <v>914</v>
      </c>
      <c r="B825" s="345" t="s">
        <v>848</v>
      </c>
      <c r="C825" s="345" t="s">
        <v>1485</v>
      </c>
      <c r="D825" s="345" t="s">
        <v>1285</v>
      </c>
      <c r="E825" s="346" t="s">
        <v>851</v>
      </c>
      <c r="F825" s="347" t="s">
        <v>1486</v>
      </c>
      <c r="G825" s="43"/>
    </row>
    <row r="826" spans="1:7" ht="30" x14ac:dyDescent="0.25">
      <c r="A826" s="43" t="s">
        <v>974</v>
      </c>
      <c r="B826" s="43" t="s">
        <v>943</v>
      </c>
      <c r="C826" s="43" t="s">
        <v>1217</v>
      </c>
      <c r="D826" s="43" t="s">
        <v>1490</v>
      </c>
      <c r="E826" s="109" t="s">
        <v>851</v>
      </c>
      <c r="F826" s="110" t="s">
        <v>1491</v>
      </c>
      <c r="G826" s="43"/>
    </row>
    <row r="827" spans="1:7" ht="30" x14ac:dyDescent="0.25">
      <c r="A827" s="345" t="s">
        <v>967</v>
      </c>
      <c r="B827" s="345" t="s">
        <v>980</v>
      </c>
      <c r="C827" s="345" t="s">
        <v>1492</v>
      </c>
      <c r="D827" s="345"/>
      <c r="E827" s="346" t="s">
        <v>851</v>
      </c>
      <c r="F827" s="347" t="s">
        <v>1493</v>
      </c>
      <c r="G827" s="43"/>
    </row>
    <row r="828" spans="1:7" ht="30" x14ac:dyDescent="0.25">
      <c r="A828" s="43" t="s">
        <v>884</v>
      </c>
      <c r="B828" s="43" t="s">
        <v>1378</v>
      </c>
      <c r="C828" s="43" t="s">
        <v>1494</v>
      </c>
      <c r="D828" s="43" t="s">
        <v>1495</v>
      </c>
      <c r="E828" s="109" t="s">
        <v>851</v>
      </c>
      <c r="F828" s="110" t="s">
        <v>1496</v>
      </c>
      <c r="G828" s="43"/>
    </row>
    <row r="829" spans="1:7" ht="30" x14ac:dyDescent="0.25">
      <c r="A829" s="345" t="s">
        <v>992</v>
      </c>
      <c r="B829" s="345" t="s">
        <v>1498</v>
      </c>
      <c r="C829" s="345" t="s">
        <v>938</v>
      </c>
      <c r="D829" s="345" t="s">
        <v>1499</v>
      </c>
      <c r="E829" s="346" t="s">
        <v>851</v>
      </c>
      <c r="F829" s="347" t="s">
        <v>1500</v>
      </c>
      <c r="G829" s="43"/>
    </row>
    <row r="830" spans="1:7" ht="30" x14ac:dyDescent="0.25">
      <c r="A830" s="43" t="s">
        <v>848</v>
      </c>
      <c r="B830" s="43" t="s">
        <v>953</v>
      </c>
      <c r="C830" s="43" t="s">
        <v>1501</v>
      </c>
      <c r="D830" s="43" t="s">
        <v>919</v>
      </c>
      <c r="E830" s="109" t="s">
        <v>851</v>
      </c>
      <c r="F830" s="110" t="s">
        <v>1502</v>
      </c>
      <c r="G830" s="43"/>
    </row>
    <row r="831" spans="1:7" ht="30" x14ac:dyDescent="0.25">
      <c r="A831" s="345" t="s">
        <v>992</v>
      </c>
      <c r="B831" s="345" t="s">
        <v>848</v>
      </c>
      <c r="C831" s="345" t="s">
        <v>1504</v>
      </c>
      <c r="D831" s="345" t="s">
        <v>1157</v>
      </c>
      <c r="E831" s="346" t="s">
        <v>851</v>
      </c>
      <c r="F831" s="347">
        <v>1002848292</v>
      </c>
      <c r="G831" s="43"/>
    </row>
    <row r="832" spans="1:7" ht="30" x14ac:dyDescent="0.25">
      <c r="A832" s="43" t="s">
        <v>1507</v>
      </c>
      <c r="B832" s="43" t="s">
        <v>1365</v>
      </c>
      <c r="C832" s="43" t="s">
        <v>1508</v>
      </c>
      <c r="D832" s="43"/>
      <c r="E832" s="109" t="s">
        <v>851</v>
      </c>
      <c r="F832" s="110">
        <v>1059600322</v>
      </c>
      <c r="G832" s="43"/>
    </row>
    <row r="833" spans="1:7" ht="30" x14ac:dyDescent="0.25">
      <c r="A833" s="345" t="s">
        <v>1041</v>
      </c>
      <c r="B833" s="345" t="s">
        <v>1147</v>
      </c>
      <c r="C833" s="345" t="s">
        <v>1512</v>
      </c>
      <c r="D833" s="345"/>
      <c r="E833" s="346" t="s">
        <v>851</v>
      </c>
      <c r="F833" s="347">
        <v>1059604976</v>
      </c>
      <c r="G833" s="43"/>
    </row>
    <row r="834" spans="1:7" ht="30" x14ac:dyDescent="0.25">
      <c r="A834" s="43" t="s">
        <v>1513</v>
      </c>
      <c r="B834" s="43" t="s">
        <v>1514</v>
      </c>
      <c r="C834" s="43" t="s">
        <v>1515</v>
      </c>
      <c r="D834" s="43"/>
      <c r="E834" s="109" t="s">
        <v>851</v>
      </c>
      <c r="F834" s="110">
        <v>1067461286</v>
      </c>
      <c r="G834" s="43"/>
    </row>
    <row r="835" spans="1:7" ht="30" x14ac:dyDescent="0.25">
      <c r="A835" s="345" t="s">
        <v>1519</v>
      </c>
      <c r="B835" s="345" t="s">
        <v>848</v>
      </c>
      <c r="C835" s="345" t="s">
        <v>1520</v>
      </c>
      <c r="D835" s="345" t="s">
        <v>1521</v>
      </c>
      <c r="E835" s="346" t="s">
        <v>851</v>
      </c>
      <c r="F835" s="347">
        <v>1002950269</v>
      </c>
      <c r="G835" s="43"/>
    </row>
    <row r="836" spans="1:7" ht="30" x14ac:dyDescent="0.25">
      <c r="A836" s="43" t="s">
        <v>884</v>
      </c>
      <c r="B836" s="43" t="s">
        <v>1524</v>
      </c>
      <c r="C836" s="43" t="s">
        <v>945</v>
      </c>
      <c r="D836" s="43" t="s">
        <v>919</v>
      </c>
      <c r="E836" s="109" t="s">
        <v>851</v>
      </c>
      <c r="F836" s="110">
        <v>1002970266</v>
      </c>
      <c r="G836" s="43"/>
    </row>
    <row r="837" spans="1:7" ht="30" x14ac:dyDescent="0.25">
      <c r="A837" s="345" t="s">
        <v>896</v>
      </c>
      <c r="B837" s="345" t="s">
        <v>953</v>
      </c>
      <c r="C837" s="345" t="s">
        <v>1530</v>
      </c>
      <c r="D837" s="345" t="s">
        <v>1182</v>
      </c>
      <c r="E837" s="346" t="s">
        <v>851</v>
      </c>
      <c r="F837" s="347">
        <v>1059594419</v>
      </c>
      <c r="G837" s="43"/>
    </row>
    <row r="838" spans="1:7" ht="30" x14ac:dyDescent="0.25">
      <c r="A838" s="43" t="s">
        <v>1361</v>
      </c>
      <c r="B838" s="43" t="s">
        <v>992</v>
      </c>
      <c r="C838" s="43" t="s">
        <v>1531</v>
      </c>
      <c r="D838" s="43"/>
      <c r="E838" s="109" t="s">
        <v>851</v>
      </c>
      <c r="F838" s="110">
        <v>1151452891</v>
      </c>
      <c r="G838" s="43"/>
    </row>
    <row r="839" spans="1:7" ht="30" x14ac:dyDescent="0.25">
      <c r="A839" s="345" t="s">
        <v>914</v>
      </c>
      <c r="B839" s="345" t="s">
        <v>1470</v>
      </c>
      <c r="C839" s="345" t="s">
        <v>1167</v>
      </c>
      <c r="D839" s="345" t="s">
        <v>1043</v>
      </c>
      <c r="E839" s="346" t="s">
        <v>851</v>
      </c>
      <c r="F839" s="347">
        <v>1193105051</v>
      </c>
      <c r="G839" s="43"/>
    </row>
    <row r="840" spans="1:7" ht="30" x14ac:dyDescent="0.25">
      <c r="A840" s="43" t="s">
        <v>884</v>
      </c>
      <c r="B840" s="43" t="s">
        <v>1144</v>
      </c>
      <c r="C840" s="43" t="s">
        <v>1534</v>
      </c>
      <c r="D840" s="43"/>
      <c r="E840" s="109" t="s">
        <v>851</v>
      </c>
      <c r="F840" s="354">
        <v>1002846626</v>
      </c>
      <c r="G840" s="43"/>
    </row>
    <row r="841" spans="1:7" ht="30" x14ac:dyDescent="0.25">
      <c r="A841" s="345" t="s">
        <v>1246</v>
      </c>
      <c r="B841" s="345" t="s">
        <v>943</v>
      </c>
      <c r="C841" s="345" t="s">
        <v>1535</v>
      </c>
      <c r="D841" s="345"/>
      <c r="E841" s="346" t="s">
        <v>851</v>
      </c>
      <c r="F841" s="353">
        <v>1002848307</v>
      </c>
      <c r="G841" s="43"/>
    </row>
    <row r="842" spans="1:7" ht="30" x14ac:dyDescent="0.25">
      <c r="A842" s="43" t="s">
        <v>873</v>
      </c>
      <c r="B842" s="43" t="s">
        <v>1091</v>
      </c>
      <c r="C842" s="43" t="s">
        <v>1277</v>
      </c>
      <c r="D842" s="43"/>
      <c r="E842" s="109" t="s">
        <v>851</v>
      </c>
      <c r="F842" s="365">
        <v>1059598472</v>
      </c>
      <c r="G842" s="43"/>
    </row>
    <row r="843" spans="1:7" ht="30" x14ac:dyDescent="0.25">
      <c r="A843" s="345" t="s">
        <v>896</v>
      </c>
      <c r="B843" s="345" t="s">
        <v>1091</v>
      </c>
      <c r="C843" s="345" t="s">
        <v>1538</v>
      </c>
      <c r="D843" s="345"/>
      <c r="E843" s="346" t="s">
        <v>851</v>
      </c>
      <c r="F843" s="347">
        <v>1002846350</v>
      </c>
      <c r="G843" s="43"/>
    </row>
    <row r="844" spans="1:7" ht="30" x14ac:dyDescent="0.25">
      <c r="A844" s="43" t="s">
        <v>896</v>
      </c>
      <c r="B844" s="43" t="s">
        <v>953</v>
      </c>
      <c r="C844" s="43" t="s">
        <v>1217</v>
      </c>
      <c r="D844" s="43" t="s">
        <v>1471</v>
      </c>
      <c r="E844" s="109" t="s">
        <v>851</v>
      </c>
      <c r="F844" s="354">
        <v>1059602285</v>
      </c>
      <c r="G844" s="43"/>
    </row>
    <row r="845" spans="1:7" ht="30" x14ac:dyDescent="0.25">
      <c r="A845" s="345" t="s">
        <v>1540</v>
      </c>
      <c r="B845" s="345" t="s">
        <v>943</v>
      </c>
      <c r="C845" s="345" t="s">
        <v>1541</v>
      </c>
      <c r="D845" s="345" t="s">
        <v>1542</v>
      </c>
      <c r="E845" s="346" t="s">
        <v>851</v>
      </c>
      <c r="F845" s="359" t="s">
        <v>1539</v>
      </c>
      <c r="G845" s="43"/>
    </row>
    <row r="846" spans="1:7" ht="30" x14ac:dyDescent="0.25">
      <c r="A846" s="43" t="s">
        <v>1144</v>
      </c>
      <c r="B846" s="43" t="s">
        <v>996</v>
      </c>
      <c r="C846" s="43" t="s">
        <v>1192</v>
      </c>
      <c r="D846" s="43"/>
      <c r="E846" s="109" t="s">
        <v>851</v>
      </c>
      <c r="F846" s="354">
        <v>1059604012</v>
      </c>
      <c r="G846" s="43"/>
    </row>
    <row r="847" spans="1:7" ht="30" x14ac:dyDescent="0.25">
      <c r="A847" s="345" t="s">
        <v>896</v>
      </c>
      <c r="B847" s="345" t="s">
        <v>953</v>
      </c>
      <c r="C847" s="345" t="s">
        <v>1545</v>
      </c>
      <c r="D847" s="345"/>
      <c r="E847" s="346" t="s">
        <v>851</v>
      </c>
      <c r="F847" s="347">
        <v>25545389</v>
      </c>
      <c r="G847" s="43"/>
    </row>
    <row r="848" spans="1:7" x14ac:dyDescent="0.25">
      <c r="A848" s="43" t="s">
        <v>943</v>
      </c>
      <c r="B848" s="43" t="s">
        <v>848</v>
      </c>
      <c r="C848" s="43" t="s">
        <v>1553</v>
      </c>
      <c r="D848" s="43"/>
      <c r="E848" s="109"/>
      <c r="F848" s="110">
        <v>1059594153</v>
      </c>
      <c r="G848" s="43"/>
    </row>
    <row r="849" spans="1:7" ht="30" x14ac:dyDescent="0.25">
      <c r="A849" s="345" t="s">
        <v>943</v>
      </c>
      <c r="B849" s="345" t="s">
        <v>1144</v>
      </c>
      <c r="C849" s="345" t="s">
        <v>1504</v>
      </c>
      <c r="D849" s="345" t="s">
        <v>1281</v>
      </c>
      <c r="E849" s="346" t="s">
        <v>1094</v>
      </c>
      <c r="F849" s="347">
        <v>1059599329</v>
      </c>
      <c r="G849" s="43"/>
    </row>
    <row r="850" spans="1:7" ht="30" x14ac:dyDescent="0.25">
      <c r="A850" s="43" t="s">
        <v>953</v>
      </c>
      <c r="B850" s="43" t="s">
        <v>1249</v>
      </c>
      <c r="C850" s="43" t="s">
        <v>1556</v>
      </c>
      <c r="D850" s="43"/>
      <c r="E850" s="109" t="s">
        <v>1094</v>
      </c>
      <c r="F850" s="110">
        <v>1059599873</v>
      </c>
      <c r="G850" s="43"/>
    </row>
    <row r="851" spans="1:7" ht="30" x14ac:dyDescent="0.25">
      <c r="A851" s="345" t="s">
        <v>996</v>
      </c>
      <c r="B851" s="345" t="s">
        <v>1559</v>
      </c>
      <c r="C851" s="345" t="s">
        <v>1560</v>
      </c>
      <c r="D851" s="345"/>
      <c r="E851" s="346" t="s">
        <v>851</v>
      </c>
      <c r="F851" s="347">
        <v>25552089</v>
      </c>
      <c r="G851" s="43"/>
    </row>
    <row r="852" spans="1:7" ht="30" x14ac:dyDescent="0.25">
      <c r="A852" s="43" t="s">
        <v>1361</v>
      </c>
      <c r="B852" s="43" t="s">
        <v>1470</v>
      </c>
      <c r="C852" s="43" t="s">
        <v>1553</v>
      </c>
      <c r="D852" s="43"/>
      <c r="E852" s="109" t="s">
        <v>851</v>
      </c>
      <c r="F852" s="110">
        <v>1059595865</v>
      </c>
      <c r="G852" s="43"/>
    </row>
    <row r="853" spans="1:7" ht="30" x14ac:dyDescent="0.25">
      <c r="A853" s="345" t="s">
        <v>953</v>
      </c>
      <c r="B853" s="345" t="s">
        <v>1378</v>
      </c>
      <c r="C853" s="345" t="s">
        <v>1617</v>
      </c>
      <c r="D853" s="345"/>
      <c r="E853" s="346" t="s">
        <v>851</v>
      </c>
      <c r="F853" s="347">
        <v>1059606238</v>
      </c>
      <c r="G853" s="43"/>
    </row>
    <row r="854" spans="1:7" ht="30" x14ac:dyDescent="0.25">
      <c r="A854" s="43" t="s">
        <v>874</v>
      </c>
      <c r="B854" s="43" t="s">
        <v>873</v>
      </c>
      <c r="C854" s="43" t="s">
        <v>1635</v>
      </c>
      <c r="D854" s="43" t="s">
        <v>1294</v>
      </c>
      <c r="E854" s="109" t="s">
        <v>1094</v>
      </c>
      <c r="F854" s="110">
        <v>1059597986</v>
      </c>
      <c r="G854" s="43"/>
    </row>
    <row r="855" spans="1:7" ht="30" x14ac:dyDescent="0.25">
      <c r="A855" s="345" t="s">
        <v>873</v>
      </c>
      <c r="B855" s="345" t="s">
        <v>962</v>
      </c>
      <c r="C855" s="345" t="s">
        <v>1501</v>
      </c>
      <c r="D855" s="345" t="s">
        <v>1340</v>
      </c>
      <c r="E855" s="346" t="s">
        <v>851</v>
      </c>
      <c r="F855" s="347">
        <v>1059594976</v>
      </c>
      <c r="G855" s="43"/>
    </row>
    <row r="856" spans="1:7" ht="30" x14ac:dyDescent="0.25">
      <c r="A856" s="43" t="s">
        <v>896</v>
      </c>
      <c r="B856" s="43" t="s">
        <v>915</v>
      </c>
      <c r="C856" s="43" t="s">
        <v>1585</v>
      </c>
      <c r="D856" s="43"/>
      <c r="E856" s="109" t="s">
        <v>851</v>
      </c>
      <c r="F856" s="110">
        <v>1059595460</v>
      </c>
      <c r="G856" s="43"/>
    </row>
    <row r="857" spans="1:7" ht="30" x14ac:dyDescent="0.25">
      <c r="A857" s="345" t="s">
        <v>953</v>
      </c>
      <c r="B857" s="345" t="s">
        <v>1286</v>
      </c>
      <c r="C857" s="345" t="s">
        <v>1463</v>
      </c>
      <c r="D857" s="345" t="s">
        <v>1579</v>
      </c>
      <c r="E857" s="346" t="s">
        <v>851</v>
      </c>
      <c r="F857" s="359" t="s">
        <v>1578</v>
      </c>
      <c r="G857" s="43"/>
    </row>
    <row r="858" spans="1:7" ht="30" x14ac:dyDescent="0.25">
      <c r="A858" s="43" t="s">
        <v>1580</v>
      </c>
      <c r="B858" s="43" t="s">
        <v>914</v>
      </c>
      <c r="C858" s="43" t="s">
        <v>1581</v>
      </c>
      <c r="D858" s="43" t="s">
        <v>1464</v>
      </c>
      <c r="E858" s="109" t="s">
        <v>851</v>
      </c>
      <c r="F858" s="356">
        <v>1002846447</v>
      </c>
      <c r="G858" s="43"/>
    </row>
    <row r="859" spans="1:7" ht="30" x14ac:dyDescent="0.25">
      <c r="A859" s="345" t="s">
        <v>1583</v>
      </c>
      <c r="B859" s="345" t="s">
        <v>873</v>
      </c>
      <c r="C859" s="345" t="s">
        <v>1584</v>
      </c>
      <c r="D859" s="345"/>
      <c r="E859" s="346" t="s">
        <v>851</v>
      </c>
      <c r="F859" s="359" t="s">
        <v>1582</v>
      </c>
      <c r="G859" s="43"/>
    </row>
    <row r="860" spans="1:7" ht="30" x14ac:dyDescent="0.25">
      <c r="A860" s="43" t="s">
        <v>1322</v>
      </c>
      <c r="B860" s="43" t="s">
        <v>1378</v>
      </c>
      <c r="C860" s="43" t="s">
        <v>1587</v>
      </c>
      <c r="D860" s="43"/>
      <c r="E860" s="109" t="s">
        <v>851</v>
      </c>
      <c r="F860" s="356" t="s">
        <v>1586</v>
      </c>
      <c r="G860" s="43"/>
    </row>
    <row r="861" spans="1:7" ht="30" x14ac:dyDescent="0.25">
      <c r="A861" s="345" t="s">
        <v>1590</v>
      </c>
      <c r="B861" s="345" t="s">
        <v>874</v>
      </c>
      <c r="C861" s="345" t="s">
        <v>1591</v>
      </c>
      <c r="D861" s="345"/>
      <c r="E861" s="346" t="s">
        <v>851</v>
      </c>
      <c r="F861" s="359" t="s">
        <v>1589</v>
      </c>
      <c r="G861" s="43"/>
    </row>
    <row r="862" spans="1:7" ht="30" x14ac:dyDescent="0.25">
      <c r="A862" s="43" t="s">
        <v>1286</v>
      </c>
      <c r="B862" s="43" t="s">
        <v>1594</v>
      </c>
      <c r="C862" s="43" t="s">
        <v>1420</v>
      </c>
      <c r="D862" s="43"/>
      <c r="E862" s="109" t="s">
        <v>1094</v>
      </c>
      <c r="F862" s="356" t="s">
        <v>1593</v>
      </c>
      <c r="G862" s="43"/>
    </row>
    <row r="863" spans="1:7" ht="30" x14ac:dyDescent="0.25">
      <c r="A863" s="345" t="s">
        <v>1598</v>
      </c>
      <c r="B863" s="345" t="s">
        <v>1599</v>
      </c>
      <c r="C863" s="345" t="s">
        <v>1597</v>
      </c>
      <c r="D863" s="345"/>
      <c r="E863" s="346" t="s">
        <v>851</v>
      </c>
      <c r="F863" s="347">
        <v>1002846452</v>
      </c>
      <c r="G863" s="43"/>
    </row>
    <row r="864" spans="1:7" ht="30" x14ac:dyDescent="0.25">
      <c r="A864" s="43" t="s">
        <v>914</v>
      </c>
      <c r="B864" s="43" t="s">
        <v>1601</v>
      </c>
      <c r="C864" s="43" t="s">
        <v>1602</v>
      </c>
      <c r="D864" s="43"/>
      <c r="E864" s="109" t="s">
        <v>851</v>
      </c>
      <c r="F864" s="110">
        <v>1003370775</v>
      </c>
      <c r="G864" s="43"/>
    </row>
    <row r="865" spans="1:7" ht="30" x14ac:dyDescent="0.25">
      <c r="A865" s="345" t="s">
        <v>896</v>
      </c>
      <c r="B865" s="345" t="s">
        <v>992</v>
      </c>
      <c r="C865" s="345" t="s">
        <v>1530</v>
      </c>
      <c r="D865" s="345" t="s">
        <v>1357</v>
      </c>
      <c r="E865" s="346" t="s">
        <v>851</v>
      </c>
      <c r="F865" s="347">
        <v>1002847645</v>
      </c>
      <c r="G865" s="43"/>
    </row>
    <row r="866" spans="1:7" ht="30" x14ac:dyDescent="0.25">
      <c r="A866" s="43" t="s">
        <v>896</v>
      </c>
      <c r="B866" s="43" t="s">
        <v>1599</v>
      </c>
      <c r="C866" s="43" t="s">
        <v>1607</v>
      </c>
      <c r="D866" s="43" t="s">
        <v>1608</v>
      </c>
      <c r="E866" s="109" t="s">
        <v>851</v>
      </c>
      <c r="F866" s="110">
        <v>1060800773</v>
      </c>
      <c r="G866" s="43"/>
    </row>
    <row r="867" spans="1:7" ht="30" x14ac:dyDescent="0.25">
      <c r="A867" s="345" t="s">
        <v>914</v>
      </c>
      <c r="B867" s="345" t="s">
        <v>943</v>
      </c>
      <c r="C867" s="345" t="s">
        <v>1198</v>
      </c>
      <c r="D867" s="345"/>
      <c r="E867" s="346" t="s">
        <v>851</v>
      </c>
      <c r="F867" s="347">
        <v>1059605317</v>
      </c>
      <c r="G867" s="43"/>
    </row>
    <row r="868" spans="1:7" ht="30" x14ac:dyDescent="0.25">
      <c r="A868" s="43" t="s">
        <v>1439</v>
      </c>
      <c r="B868" s="43" t="s">
        <v>848</v>
      </c>
      <c r="C868" s="43" t="s">
        <v>1437</v>
      </c>
      <c r="D868" s="43"/>
      <c r="E868" s="109" t="s">
        <v>851</v>
      </c>
      <c r="F868" s="110">
        <v>1059595628</v>
      </c>
      <c r="G868" s="43"/>
    </row>
    <row r="869" spans="1:7" ht="30" x14ac:dyDescent="0.25">
      <c r="A869" s="345" t="s">
        <v>873</v>
      </c>
      <c r="B869" s="345" t="s">
        <v>874</v>
      </c>
      <c r="C869" s="345" t="s">
        <v>1612</v>
      </c>
      <c r="D869" s="345" t="s">
        <v>1613</v>
      </c>
      <c r="E869" s="346" t="s">
        <v>851</v>
      </c>
      <c r="F869" s="347">
        <v>1002849103</v>
      </c>
      <c r="G869" s="43"/>
    </row>
    <row r="870" spans="1:7" ht="30" x14ac:dyDescent="0.25">
      <c r="A870" s="43" t="s">
        <v>914</v>
      </c>
      <c r="B870" s="43" t="s">
        <v>914</v>
      </c>
      <c r="C870" s="43" t="s">
        <v>1614</v>
      </c>
      <c r="D870" s="43" t="s">
        <v>1277</v>
      </c>
      <c r="E870" s="109" t="s">
        <v>851</v>
      </c>
      <c r="F870" s="110">
        <v>1002847076</v>
      </c>
      <c r="G870" s="43"/>
    </row>
    <row r="871" spans="1:7" ht="30" x14ac:dyDescent="0.25">
      <c r="A871" s="345" t="s">
        <v>1621</v>
      </c>
      <c r="B871" s="345" t="s">
        <v>1622</v>
      </c>
      <c r="C871" s="345" t="s">
        <v>1619</v>
      </c>
      <c r="D871" s="345" t="s">
        <v>1620</v>
      </c>
      <c r="E871" s="346" t="s">
        <v>851</v>
      </c>
      <c r="F871" s="347">
        <v>1104776221</v>
      </c>
      <c r="G871" s="43"/>
    </row>
    <row r="872" spans="1:7" ht="30" x14ac:dyDescent="0.25">
      <c r="A872" s="43" t="s">
        <v>980</v>
      </c>
      <c r="B872" s="43" t="s">
        <v>914</v>
      </c>
      <c r="C872" s="43" t="s">
        <v>1623</v>
      </c>
      <c r="D872" s="43"/>
      <c r="E872" s="109" t="s">
        <v>851</v>
      </c>
      <c r="F872" s="110">
        <v>1059596737</v>
      </c>
      <c r="G872" s="43"/>
    </row>
    <row r="873" spans="1:7" ht="30" x14ac:dyDescent="0.25">
      <c r="A873" s="345" t="s">
        <v>1629</v>
      </c>
      <c r="B873" s="345" t="s">
        <v>1249</v>
      </c>
      <c r="C873" s="345" t="s">
        <v>1630</v>
      </c>
      <c r="D873" s="345"/>
      <c r="E873" s="346" t="s">
        <v>851</v>
      </c>
      <c r="F873" s="345">
        <v>1059601748</v>
      </c>
      <c r="G873" s="43"/>
    </row>
    <row r="874" spans="1:7" ht="30" x14ac:dyDescent="0.25">
      <c r="A874" s="43" t="s">
        <v>896</v>
      </c>
      <c r="B874" s="43" t="s">
        <v>1632</v>
      </c>
      <c r="C874" s="43" t="s">
        <v>1633</v>
      </c>
      <c r="D874" s="43"/>
      <c r="E874" s="109" t="s">
        <v>851</v>
      </c>
      <c r="F874" s="360" t="s">
        <v>1631</v>
      </c>
      <c r="G874" s="43"/>
    </row>
    <row r="875" spans="1:7" ht="30" x14ac:dyDescent="0.25">
      <c r="A875" s="345" t="s">
        <v>1637</v>
      </c>
      <c r="B875" s="345" t="s">
        <v>1638</v>
      </c>
      <c r="C875" s="345" t="s">
        <v>1028</v>
      </c>
      <c r="D875" s="345"/>
      <c r="E875" s="346" t="s">
        <v>851</v>
      </c>
      <c r="F875" s="358">
        <v>1060986729</v>
      </c>
      <c r="G875" s="43"/>
    </row>
    <row r="876" spans="1:7" ht="30" x14ac:dyDescent="0.25">
      <c r="A876" s="43" t="s">
        <v>1439</v>
      </c>
      <c r="B876" s="43" t="s">
        <v>848</v>
      </c>
      <c r="C876" s="43" t="s">
        <v>1437</v>
      </c>
      <c r="D876" s="43"/>
      <c r="E876" s="109" t="s">
        <v>851</v>
      </c>
      <c r="F876" s="110">
        <v>1059595628</v>
      </c>
      <c r="G876" s="43"/>
    </row>
    <row r="877" spans="1:7" ht="30" x14ac:dyDescent="0.25">
      <c r="A877" s="345" t="s">
        <v>953</v>
      </c>
      <c r="B877" s="345" t="s">
        <v>1660</v>
      </c>
      <c r="C877" s="345" t="s">
        <v>1217</v>
      </c>
      <c r="D877" s="345" t="s">
        <v>1661</v>
      </c>
      <c r="E877" s="346" t="s">
        <v>851</v>
      </c>
      <c r="F877" s="347">
        <v>1002848134</v>
      </c>
      <c r="G877" s="43"/>
    </row>
    <row r="878" spans="1:7" ht="30" x14ac:dyDescent="0.25">
      <c r="A878" s="43" t="s">
        <v>980</v>
      </c>
      <c r="B878" s="43" t="s">
        <v>1666</v>
      </c>
      <c r="C878" s="43" t="s">
        <v>1287</v>
      </c>
      <c r="D878" s="43" t="s">
        <v>919</v>
      </c>
      <c r="E878" s="109" t="s">
        <v>851</v>
      </c>
      <c r="F878" s="110">
        <v>1002846819</v>
      </c>
      <c r="G878" s="43"/>
    </row>
    <row r="879" spans="1:7" ht="30" x14ac:dyDescent="0.25">
      <c r="A879" s="345" t="s">
        <v>1667</v>
      </c>
      <c r="B879" s="345" t="s">
        <v>1668</v>
      </c>
      <c r="C879" s="345" t="s">
        <v>1669</v>
      </c>
      <c r="D879" s="345"/>
      <c r="E879" s="346" t="s">
        <v>851</v>
      </c>
      <c r="F879" s="347">
        <v>1064426895</v>
      </c>
      <c r="G879" s="43"/>
    </row>
    <row r="880" spans="1:7" ht="30" x14ac:dyDescent="0.25">
      <c r="A880" s="43" t="s">
        <v>1210</v>
      </c>
      <c r="B880" s="43" t="s">
        <v>848</v>
      </c>
      <c r="C880" s="43" t="s">
        <v>1670</v>
      </c>
      <c r="D880" s="43" t="s">
        <v>1671</v>
      </c>
      <c r="E880" s="109" t="s">
        <v>851</v>
      </c>
      <c r="F880" s="110">
        <v>1059602883</v>
      </c>
      <c r="G880" s="43"/>
    </row>
    <row r="881" spans="1:7" ht="30" x14ac:dyDescent="0.25">
      <c r="A881" s="345" t="s">
        <v>943</v>
      </c>
      <c r="B881" s="345" t="s">
        <v>848</v>
      </c>
      <c r="C881" s="345" t="s">
        <v>1673</v>
      </c>
      <c r="D881" s="345" t="s">
        <v>1674</v>
      </c>
      <c r="E881" s="346" t="s">
        <v>851</v>
      </c>
      <c r="F881" s="366" t="s">
        <v>1672</v>
      </c>
      <c r="G881" s="43"/>
    </row>
    <row r="882" spans="1:7" ht="30" x14ac:dyDescent="0.25">
      <c r="A882" s="43" t="s">
        <v>1677</v>
      </c>
      <c r="B882" s="43" t="s">
        <v>962</v>
      </c>
      <c r="C882" s="43" t="s">
        <v>1678</v>
      </c>
      <c r="D882" s="43" t="s">
        <v>1679</v>
      </c>
      <c r="E882" s="109" t="s">
        <v>1094</v>
      </c>
      <c r="F882" s="363" t="s">
        <v>1676</v>
      </c>
      <c r="G882" s="43"/>
    </row>
    <row r="883" spans="1:7" x14ac:dyDescent="0.25">
      <c r="A883" s="364" t="s">
        <v>1709</v>
      </c>
      <c r="B883" s="43"/>
      <c r="C883" s="43"/>
      <c r="D883" s="43"/>
      <c r="E883" s="43"/>
      <c r="F883" s="43"/>
      <c r="G883" s="43"/>
    </row>
    <row r="884" spans="1:7" ht="45" x14ac:dyDescent="0.25">
      <c r="A884" s="17" t="s">
        <v>94</v>
      </c>
      <c r="B884" s="17" t="s">
        <v>21</v>
      </c>
      <c r="C884" s="17" t="s">
        <v>0</v>
      </c>
      <c r="D884" s="17" t="s">
        <v>1</v>
      </c>
      <c r="E884" s="17" t="s">
        <v>2</v>
      </c>
      <c r="F884" s="17" t="s">
        <v>3</v>
      </c>
      <c r="G884" s="43"/>
    </row>
    <row r="885" spans="1:7" ht="30" x14ac:dyDescent="0.25">
      <c r="A885" s="43" t="s">
        <v>1332</v>
      </c>
      <c r="B885" s="43" t="s">
        <v>1091</v>
      </c>
      <c r="C885" s="43" t="s">
        <v>1333</v>
      </c>
      <c r="D885" s="43"/>
      <c r="E885" s="109" t="s">
        <v>1094</v>
      </c>
      <c r="F885" s="110">
        <v>1059595374</v>
      </c>
      <c r="G885" s="43"/>
    </row>
    <row r="886" spans="1:7" ht="30" x14ac:dyDescent="0.25">
      <c r="A886" s="345" t="s">
        <v>914</v>
      </c>
      <c r="B886" s="345" t="s">
        <v>915</v>
      </c>
      <c r="C886" s="345" t="s">
        <v>916</v>
      </c>
      <c r="D886" s="345"/>
      <c r="E886" s="346" t="s">
        <v>1094</v>
      </c>
      <c r="F886" s="347">
        <v>1059598169</v>
      </c>
      <c r="G886" s="43"/>
    </row>
    <row r="887" spans="1:7" ht="30" x14ac:dyDescent="0.25">
      <c r="A887" s="43" t="s">
        <v>1360</v>
      </c>
      <c r="B887" s="43" t="s">
        <v>1361</v>
      </c>
      <c r="C887" s="43" t="s">
        <v>938</v>
      </c>
      <c r="D887" s="43" t="s">
        <v>1362</v>
      </c>
      <c r="E887" s="109" t="s">
        <v>851</v>
      </c>
      <c r="F887" s="110" t="s">
        <v>1363</v>
      </c>
      <c r="G887" s="43"/>
    </row>
    <row r="888" spans="1:7" ht="30" x14ac:dyDescent="0.25">
      <c r="A888" s="345" t="s">
        <v>1286</v>
      </c>
      <c r="B888" s="345" t="s">
        <v>914</v>
      </c>
      <c r="C888" s="345" t="s">
        <v>1198</v>
      </c>
      <c r="D888" s="345" t="s">
        <v>1364</v>
      </c>
      <c r="E888" s="346" t="s">
        <v>851</v>
      </c>
      <c r="F888" s="347">
        <v>1059600026</v>
      </c>
      <c r="G888" s="43"/>
    </row>
    <row r="889" spans="1:7" ht="30" x14ac:dyDescent="0.25">
      <c r="A889" s="43" t="s">
        <v>1427</v>
      </c>
      <c r="B889" s="43" t="s">
        <v>1428</v>
      </c>
      <c r="C889" s="43" t="s">
        <v>1429</v>
      </c>
      <c r="D889" s="43" t="s">
        <v>1430</v>
      </c>
      <c r="E889" s="109" t="s">
        <v>851</v>
      </c>
      <c r="F889" s="110">
        <v>1061528490</v>
      </c>
      <c r="G889" s="43"/>
    </row>
    <row r="890" spans="1:7" ht="30" x14ac:dyDescent="0.25">
      <c r="A890" s="345" t="s">
        <v>1441</v>
      </c>
      <c r="B890" s="345"/>
      <c r="C890" s="345" t="s">
        <v>1284</v>
      </c>
      <c r="D890" s="345" t="s">
        <v>1442</v>
      </c>
      <c r="E890" s="346" t="s">
        <v>851</v>
      </c>
      <c r="F890" s="347">
        <v>1002848635</v>
      </c>
      <c r="G890" s="43"/>
    </row>
    <row r="891" spans="1:7" ht="30" x14ac:dyDescent="0.25">
      <c r="A891" s="43" t="s">
        <v>1441</v>
      </c>
      <c r="B891" s="43" t="s">
        <v>884</v>
      </c>
      <c r="C891" s="43" t="s">
        <v>1457</v>
      </c>
      <c r="D891" s="43"/>
      <c r="E891" s="109" t="s">
        <v>851</v>
      </c>
      <c r="F891" s="110">
        <v>25545401</v>
      </c>
      <c r="G891" s="43"/>
    </row>
    <row r="892" spans="1:7" ht="30" x14ac:dyDescent="0.25">
      <c r="A892" s="345" t="s">
        <v>1458</v>
      </c>
      <c r="B892" s="345" t="s">
        <v>1459</v>
      </c>
      <c r="C892" s="345" t="s">
        <v>1460</v>
      </c>
      <c r="D892" s="345" t="s">
        <v>976</v>
      </c>
      <c r="E892" s="346" t="s">
        <v>1094</v>
      </c>
      <c r="F892" s="347">
        <v>1062295885</v>
      </c>
      <c r="G892" s="43"/>
    </row>
    <row r="893" spans="1:7" ht="30" x14ac:dyDescent="0.25">
      <c r="A893" s="43" t="s">
        <v>964</v>
      </c>
      <c r="B893" s="43" t="s">
        <v>1465</v>
      </c>
      <c r="C893" s="43" t="s">
        <v>1002</v>
      </c>
      <c r="D893" s="43" t="s">
        <v>1366</v>
      </c>
      <c r="E893" s="109" t="s">
        <v>1094</v>
      </c>
      <c r="F893" s="110">
        <v>1061530990</v>
      </c>
      <c r="G893" s="43"/>
    </row>
    <row r="894" spans="1:7" ht="30" x14ac:dyDescent="0.25">
      <c r="A894" s="345" t="s">
        <v>848</v>
      </c>
      <c r="B894" s="345" t="s">
        <v>953</v>
      </c>
      <c r="C894" s="345" t="s">
        <v>1501</v>
      </c>
      <c r="D894" s="345" t="s">
        <v>919</v>
      </c>
      <c r="E894" s="346" t="s">
        <v>851</v>
      </c>
      <c r="F894" s="347" t="s">
        <v>1502</v>
      </c>
      <c r="G894" s="43"/>
    </row>
    <row r="895" spans="1:7" ht="30" x14ac:dyDescent="0.25">
      <c r="A895" s="43" t="s">
        <v>1513</v>
      </c>
      <c r="B895" s="43" t="s">
        <v>1514</v>
      </c>
      <c r="C895" s="43" t="s">
        <v>1515</v>
      </c>
      <c r="D895" s="43"/>
      <c r="E895" s="109" t="s">
        <v>851</v>
      </c>
      <c r="F895" s="110">
        <v>1067461286</v>
      </c>
      <c r="G895" s="43"/>
    </row>
    <row r="896" spans="1:7" ht="30" x14ac:dyDescent="0.25">
      <c r="A896" s="345" t="s">
        <v>1519</v>
      </c>
      <c r="B896" s="345" t="s">
        <v>848</v>
      </c>
      <c r="C896" s="345" t="s">
        <v>1520</v>
      </c>
      <c r="D896" s="345" t="s">
        <v>1521</v>
      </c>
      <c r="E896" s="346" t="s">
        <v>851</v>
      </c>
      <c r="F896" s="347">
        <v>1002950269</v>
      </c>
      <c r="G896" s="43"/>
    </row>
    <row r="897" spans="1:7" ht="30" x14ac:dyDescent="0.25">
      <c r="A897" s="43" t="s">
        <v>896</v>
      </c>
      <c r="B897" s="43" t="s">
        <v>953</v>
      </c>
      <c r="C897" s="43" t="s">
        <v>1530</v>
      </c>
      <c r="D897" s="43" t="s">
        <v>1182</v>
      </c>
      <c r="E897" s="109" t="s">
        <v>851</v>
      </c>
      <c r="F897" s="110">
        <v>1059594419</v>
      </c>
      <c r="G897" s="43"/>
    </row>
    <row r="898" spans="1:7" ht="30" x14ac:dyDescent="0.25">
      <c r="A898" s="345" t="s">
        <v>884</v>
      </c>
      <c r="B898" s="345" t="s">
        <v>1144</v>
      </c>
      <c r="C898" s="345" t="s">
        <v>1534</v>
      </c>
      <c r="D898" s="345"/>
      <c r="E898" s="346" t="s">
        <v>851</v>
      </c>
      <c r="F898" s="353">
        <v>1002846626</v>
      </c>
      <c r="G898" s="43"/>
    </row>
    <row r="899" spans="1:7" ht="30" x14ac:dyDescent="0.25">
      <c r="A899" s="43" t="s">
        <v>1246</v>
      </c>
      <c r="B899" s="43" t="s">
        <v>943</v>
      </c>
      <c r="C899" s="43" t="s">
        <v>1535</v>
      </c>
      <c r="D899" s="43"/>
      <c r="E899" s="109" t="s">
        <v>851</v>
      </c>
      <c r="F899" s="354">
        <v>1002848307</v>
      </c>
      <c r="G899" s="43"/>
    </row>
    <row r="900" spans="1:7" ht="30" x14ac:dyDescent="0.25">
      <c r="A900" s="345" t="s">
        <v>896</v>
      </c>
      <c r="B900" s="345" t="s">
        <v>1091</v>
      </c>
      <c r="C900" s="345" t="s">
        <v>1538</v>
      </c>
      <c r="D900" s="345"/>
      <c r="E900" s="346" t="s">
        <v>851</v>
      </c>
      <c r="F900" s="347">
        <v>1002846350</v>
      </c>
      <c r="G900" s="43"/>
    </row>
    <row r="901" spans="1:7" ht="30" x14ac:dyDescent="0.25">
      <c r="A901" s="43" t="s">
        <v>896</v>
      </c>
      <c r="B901" s="43" t="s">
        <v>953</v>
      </c>
      <c r="C901" s="43" t="s">
        <v>1217</v>
      </c>
      <c r="D901" s="43" t="s">
        <v>1471</v>
      </c>
      <c r="E901" s="109" t="s">
        <v>851</v>
      </c>
      <c r="F901" s="354">
        <v>1059602285</v>
      </c>
      <c r="G901" s="43"/>
    </row>
    <row r="902" spans="1:7" ht="30" x14ac:dyDescent="0.25">
      <c r="A902" s="345" t="s">
        <v>1144</v>
      </c>
      <c r="B902" s="345" t="s">
        <v>996</v>
      </c>
      <c r="C902" s="345" t="s">
        <v>1192</v>
      </c>
      <c r="D902" s="345"/>
      <c r="E902" s="346" t="s">
        <v>851</v>
      </c>
      <c r="F902" s="353">
        <v>1059604012</v>
      </c>
      <c r="G902" s="43"/>
    </row>
    <row r="903" spans="1:7" ht="30" x14ac:dyDescent="0.25">
      <c r="A903" s="43" t="s">
        <v>896</v>
      </c>
      <c r="B903" s="43" t="s">
        <v>953</v>
      </c>
      <c r="C903" s="43" t="s">
        <v>1545</v>
      </c>
      <c r="D903" s="43"/>
      <c r="E903" s="109" t="s">
        <v>851</v>
      </c>
      <c r="F903" s="110">
        <v>25545389</v>
      </c>
      <c r="G903" s="43"/>
    </row>
    <row r="904" spans="1:7" x14ac:dyDescent="0.25">
      <c r="A904" s="345" t="s">
        <v>943</v>
      </c>
      <c r="B904" s="345" t="s">
        <v>848</v>
      </c>
      <c r="C904" s="345" t="s">
        <v>1553</v>
      </c>
      <c r="D904" s="345"/>
      <c r="E904" s="346"/>
      <c r="F904" s="347">
        <v>1059594153</v>
      </c>
      <c r="G904" s="43"/>
    </row>
    <row r="905" spans="1:7" ht="30" x14ac:dyDescent="0.25">
      <c r="A905" s="43" t="s">
        <v>943</v>
      </c>
      <c r="B905" s="43" t="s">
        <v>1144</v>
      </c>
      <c r="C905" s="43" t="s">
        <v>1504</v>
      </c>
      <c r="D905" s="43" t="s">
        <v>1281</v>
      </c>
      <c r="E905" s="109" t="s">
        <v>1094</v>
      </c>
      <c r="F905" s="110">
        <v>1059599329</v>
      </c>
      <c r="G905" s="43"/>
    </row>
    <row r="906" spans="1:7" ht="30" x14ac:dyDescent="0.25">
      <c r="A906" s="345" t="s">
        <v>953</v>
      </c>
      <c r="B906" s="345" t="s">
        <v>1286</v>
      </c>
      <c r="C906" s="345" t="s">
        <v>1463</v>
      </c>
      <c r="D906" s="345" t="s">
        <v>1579</v>
      </c>
      <c r="E906" s="346" t="s">
        <v>851</v>
      </c>
      <c r="F906" s="359" t="s">
        <v>1578</v>
      </c>
      <c r="G906" s="43"/>
    </row>
    <row r="907" spans="1:7" ht="30" x14ac:dyDescent="0.25">
      <c r="A907" s="43" t="s">
        <v>1580</v>
      </c>
      <c r="B907" s="43" t="s">
        <v>914</v>
      </c>
      <c r="C907" s="43" t="s">
        <v>1581</v>
      </c>
      <c r="D907" s="43" t="s">
        <v>1464</v>
      </c>
      <c r="E907" s="109" t="s">
        <v>851</v>
      </c>
      <c r="F907" s="356">
        <v>1002846447</v>
      </c>
      <c r="G907" s="43"/>
    </row>
    <row r="908" spans="1:7" ht="30" x14ac:dyDescent="0.25">
      <c r="A908" s="345" t="s">
        <v>1590</v>
      </c>
      <c r="B908" s="345" t="s">
        <v>874</v>
      </c>
      <c r="C908" s="345" t="s">
        <v>1591</v>
      </c>
      <c r="D908" s="345"/>
      <c r="E908" s="346" t="s">
        <v>851</v>
      </c>
      <c r="F908" s="359" t="s">
        <v>1589</v>
      </c>
      <c r="G908" s="43"/>
    </row>
    <row r="909" spans="1:7" ht="30" x14ac:dyDescent="0.25">
      <c r="A909" s="43" t="s">
        <v>1286</v>
      </c>
      <c r="B909" s="43" t="s">
        <v>1594</v>
      </c>
      <c r="C909" s="43" t="s">
        <v>1420</v>
      </c>
      <c r="D909" s="43"/>
      <c r="E909" s="109" t="s">
        <v>1094</v>
      </c>
      <c r="F909" s="356" t="s">
        <v>1593</v>
      </c>
      <c r="G909" s="43"/>
    </row>
    <row r="910" spans="1:7" ht="30" x14ac:dyDescent="0.25">
      <c r="A910" s="345" t="s">
        <v>896</v>
      </c>
      <c r="B910" s="345" t="s">
        <v>1632</v>
      </c>
      <c r="C910" s="345" t="s">
        <v>1633</v>
      </c>
      <c r="D910" s="345"/>
      <c r="E910" s="346" t="s">
        <v>851</v>
      </c>
      <c r="F910" s="360" t="s">
        <v>1631</v>
      </c>
      <c r="G910" s="43"/>
    </row>
    <row r="911" spans="1:7" ht="30" x14ac:dyDescent="0.25">
      <c r="A911" s="43" t="s">
        <v>1637</v>
      </c>
      <c r="B911" s="43" t="s">
        <v>1638</v>
      </c>
      <c r="C911" s="43" t="s">
        <v>1028</v>
      </c>
      <c r="D911" s="43"/>
      <c r="E911" s="109" t="s">
        <v>851</v>
      </c>
      <c r="F911" s="357">
        <v>1060986729</v>
      </c>
      <c r="G911" s="43"/>
    </row>
    <row r="912" spans="1:7" ht="30" x14ac:dyDescent="0.25">
      <c r="A912" s="345" t="s">
        <v>1249</v>
      </c>
      <c r="B912" s="345" t="s">
        <v>914</v>
      </c>
      <c r="C912" s="345" t="s">
        <v>1659</v>
      </c>
      <c r="D912" s="345"/>
      <c r="E912" s="346" t="s">
        <v>851</v>
      </c>
      <c r="F912" s="347">
        <v>1059597497</v>
      </c>
      <c r="G912" s="43"/>
    </row>
    <row r="913" spans="1:7" ht="30" x14ac:dyDescent="0.25">
      <c r="A913" s="43" t="s">
        <v>1439</v>
      </c>
      <c r="B913" s="43" t="s">
        <v>848</v>
      </c>
      <c r="C913" s="43" t="s">
        <v>1437</v>
      </c>
      <c r="D913" s="43"/>
      <c r="E913" s="109" t="s">
        <v>851</v>
      </c>
      <c r="F913" s="110">
        <v>1059595628</v>
      </c>
      <c r="G913" s="43"/>
    </row>
    <row r="914" spans="1:7" ht="30" x14ac:dyDescent="0.25">
      <c r="A914" s="345" t="s">
        <v>953</v>
      </c>
      <c r="B914" s="345" t="s">
        <v>1660</v>
      </c>
      <c r="C914" s="345" t="s">
        <v>1217</v>
      </c>
      <c r="D914" s="345" t="s">
        <v>1661</v>
      </c>
      <c r="E914" s="346" t="s">
        <v>851</v>
      </c>
      <c r="F914" s="347">
        <v>1002848134</v>
      </c>
      <c r="G914" s="43"/>
    </row>
    <row r="915" spans="1:7" ht="30" x14ac:dyDescent="0.25">
      <c r="A915" s="43" t="s">
        <v>848</v>
      </c>
      <c r="B915" s="43" t="s">
        <v>1034</v>
      </c>
      <c r="C915" s="43" t="s">
        <v>1612</v>
      </c>
      <c r="D915" s="43" t="s">
        <v>1662</v>
      </c>
      <c r="E915" s="109" t="s">
        <v>851</v>
      </c>
      <c r="F915" s="110">
        <v>1059601726</v>
      </c>
      <c r="G915" s="43"/>
    </row>
    <row r="916" spans="1:7" ht="30" x14ac:dyDescent="0.25">
      <c r="A916" s="345" t="s">
        <v>1663</v>
      </c>
      <c r="B916" s="345" t="s">
        <v>1664</v>
      </c>
      <c r="C916" s="345" t="s">
        <v>938</v>
      </c>
      <c r="D916" s="345" t="s">
        <v>1665</v>
      </c>
      <c r="E916" s="346" t="s">
        <v>851</v>
      </c>
      <c r="F916" s="347">
        <v>1059601634</v>
      </c>
      <c r="G916" s="43"/>
    </row>
    <row r="917" spans="1:7" ht="30" x14ac:dyDescent="0.25">
      <c r="A917" s="43" t="s">
        <v>1667</v>
      </c>
      <c r="B917" s="43" t="s">
        <v>1668</v>
      </c>
      <c r="C917" s="43" t="s">
        <v>1669</v>
      </c>
      <c r="D917" s="43"/>
      <c r="E917" s="109" t="s">
        <v>851</v>
      </c>
      <c r="F917" s="110">
        <v>1064426895</v>
      </c>
      <c r="G917" s="43"/>
    </row>
    <row r="918" spans="1:7" ht="30" x14ac:dyDescent="0.25">
      <c r="A918" s="345" t="s">
        <v>1210</v>
      </c>
      <c r="B918" s="345" t="s">
        <v>848</v>
      </c>
      <c r="C918" s="345" t="s">
        <v>1670</v>
      </c>
      <c r="D918" s="345" t="s">
        <v>1671</v>
      </c>
      <c r="E918" s="346" t="s">
        <v>851</v>
      </c>
      <c r="F918" s="347">
        <v>1059602883</v>
      </c>
      <c r="G918" s="43"/>
    </row>
    <row r="919" spans="1:7" ht="30" x14ac:dyDescent="0.25">
      <c r="A919" s="43" t="s">
        <v>943</v>
      </c>
      <c r="B919" s="43" t="s">
        <v>848</v>
      </c>
      <c r="C919" s="43" t="s">
        <v>1673</v>
      </c>
      <c r="D919" s="43" t="s">
        <v>1674</v>
      </c>
      <c r="E919" s="109" t="s">
        <v>851</v>
      </c>
      <c r="F919" s="361" t="s">
        <v>1672</v>
      </c>
      <c r="G919" s="43"/>
    </row>
    <row r="920" spans="1:7" ht="30" x14ac:dyDescent="0.25">
      <c r="A920" s="345" t="s">
        <v>1677</v>
      </c>
      <c r="B920" s="345" t="s">
        <v>962</v>
      </c>
      <c r="C920" s="345" t="s">
        <v>1678</v>
      </c>
      <c r="D920" s="345" t="s">
        <v>1679</v>
      </c>
      <c r="E920" s="346" t="s">
        <v>1094</v>
      </c>
      <c r="F920" s="362" t="s">
        <v>1676</v>
      </c>
      <c r="G920" s="43"/>
    </row>
    <row r="921" spans="1:7" ht="30" x14ac:dyDescent="0.25">
      <c r="A921" s="43" t="s">
        <v>1286</v>
      </c>
      <c r="B921" s="43" t="s">
        <v>943</v>
      </c>
      <c r="C921" s="43" t="s">
        <v>1681</v>
      </c>
      <c r="D921" s="43"/>
      <c r="E921" s="109" t="s">
        <v>851</v>
      </c>
      <c r="F921" s="363" t="s">
        <v>1680</v>
      </c>
      <c r="G921" s="43"/>
    </row>
    <row r="922" spans="1:7" ht="30" x14ac:dyDescent="0.25">
      <c r="A922" s="345" t="s">
        <v>848</v>
      </c>
      <c r="B922" s="345" t="s">
        <v>914</v>
      </c>
      <c r="C922" s="345" t="s">
        <v>1683</v>
      </c>
      <c r="D922" s="345"/>
      <c r="E922" s="346" t="s">
        <v>851</v>
      </c>
      <c r="F922" s="362" t="s">
        <v>1682</v>
      </c>
      <c r="G922" s="43"/>
    </row>
    <row r="923" spans="1:7" x14ac:dyDescent="0.25">
      <c r="A923" s="422" t="s">
        <v>1710</v>
      </c>
      <c r="B923" s="422"/>
      <c r="C923" s="422"/>
      <c r="D923" s="422"/>
      <c r="E923" s="422"/>
      <c r="F923" s="422"/>
      <c r="G923" s="43"/>
    </row>
    <row r="924" spans="1:7" ht="45" x14ac:dyDescent="0.25">
      <c r="A924" s="17" t="s">
        <v>94</v>
      </c>
      <c r="B924" s="17" t="s">
        <v>21</v>
      </c>
      <c r="C924" s="17" t="s">
        <v>0</v>
      </c>
      <c r="D924" s="17" t="s">
        <v>1</v>
      </c>
      <c r="E924" s="17" t="s">
        <v>2</v>
      </c>
      <c r="F924" s="17" t="s">
        <v>3</v>
      </c>
      <c r="G924" s="43"/>
    </row>
    <row r="925" spans="1:7" x14ac:dyDescent="0.25">
      <c r="A925" s="345"/>
      <c r="B925" s="345"/>
      <c r="C925" s="345"/>
      <c r="D925" s="345"/>
      <c r="E925" s="346"/>
      <c r="F925" s="347"/>
      <c r="G925" s="43"/>
    </row>
    <row r="926" spans="1:7" ht="30" x14ac:dyDescent="0.25">
      <c r="A926" s="43" t="s">
        <v>974</v>
      </c>
      <c r="B926" s="43" t="s">
        <v>1144</v>
      </c>
      <c r="C926" s="43" t="s">
        <v>1192</v>
      </c>
      <c r="D926" s="43" t="s">
        <v>1193</v>
      </c>
      <c r="E926" s="109" t="s">
        <v>1094</v>
      </c>
      <c r="F926" s="110">
        <v>1059595334</v>
      </c>
      <c r="G926" s="43"/>
    </row>
    <row r="927" spans="1:7" ht="30" x14ac:dyDescent="0.25">
      <c r="A927" s="345" t="s">
        <v>914</v>
      </c>
      <c r="B927" s="345" t="s">
        <v>884</v>
      </c>
      <c r="C927" s="345" t="s">
        <v>1296</v>
      </c>
      <c r="D927" s="345" t="s">
        <v>850</v>
      </c>
      <c r="E927" s="346" t="s">
        <v>851</v>
      </c>
      <c r="F927" s="347">
        <v>1060186045</v>
      </c>
      <c r="G927" s="43"/>
    </row>
    <row r="928" spans="1:7" ht="30" x14ac:dyDescent="0.25">
      <c r="A928" s="43" t="s">
        <v>1298</v>
      </c>
      <c r="B928" s="43" t="s">
        <v>914</v>
      </c>
      <c r="C928" s="43" t="s">
        <v>1299</v>
      </c>
      <c r="D928" s="43" t="s">
        <v>1300</v>
      </c>
      <c r="E928" s="109" t="s">
        <v>851</v>
      </c>
      <c r="F928" s="110" t="s">
        <v>1301</v>
      </c>
      <c r="G928" s="43"/>
    </row>
    <row r="929" spans="1:7" ht="30" x14ac:dyDescent="0.25">
      <c r="A929" s="345" t="s">
        <v>1332</v>
      </c>
      <c r="B929" s="345" t="s">
        <v>1091</v>
      </c>
      <c r="C929" s="345" t="s">
        <v>1333</v>
      </c>
      <c r="D929" s="345"/>
      <c r="E929" s="346" t="s">
        <v>1094</v>
      </c>
      <c r="F929" s="347">
        <v>1059595374</v>
      </c>
      <c r="G929" s="43"/>
    </row>
    <row r="930" spans="1:7" ht="30" x14ac:dyDescent="0.25">
      <c r="A930" s="43" t="s">
        <v>874</v>
      </c>
      <c r="B930" s="43" t="s">
        <v>943</v>
      </c>
      <c r="C930" s="43" t="s">
        <v>1340</v>
      </c>
      <c r="D930" s="43"/>
      <c r="E930" s="109" t="s">
        <v>1094</v>
      </c>
      <c r="F930" s="110">
        <v>1059597393</v>
      </c>
      <c r="G930" s="43"/>
    </row>
    <row r="931" spans="1:7" ht="30" x14ac:dyDescent="0.25">
      <c r="A931" s="345" t="s">
        <v>914</v>
      </c>
      <c r="B931" s="345" t="s">
        <v>915</v>
      </c>
      <c r="C931" s="345" t="s">
        <v>916</v>
      </c>
      <c r="D931" s="345"/>
      <c r="E931" s="346" t="s">
        <v>1094</v>
      </c>
      <c r="F931" s="347">
        <v>1059598169</v>
      </c>
      <c r="G931" s="43"/>
    </row>
    <row r="932" spans="1:7" ht="30" x14ac:dyDescent="0.25">
      <c r="A932" s="43" t="s">
        <v>1360</v>
      </c>
      <c r="B932" s="43" t="s">
        <v>1361</v>
      </c>
      <c r="C932" s="43" t="s">
        <v>938</v>
      </c>
      <c r="D932" s="43" t="s">
        <v>1362</v>
      </c>
      <c r="E932" s="109" t="s">
        <v>851</v>
      </c>
      <c r="F932" s="110" t="s">
        <v>1363</v>
      </c>
      <c r="G932" s="43"/>
    </row>
    <row r="933" spans="1:7" ht="30" x14ac:dyDescent="0.25">
      <c r="A933" s="345" t="s">
        <v>1286</v>
      </c>
      <c r="B933" s="345" t="s">
        <v>914</v>
      </c>
      <c r="C933" s="345" t="s">
        <v>1198</v>
      </c>
      <c r="D933" s="345" t="s">
        <v>1364</v>
      </c>
      <c r="E933" s="346" t="s">
        <v>851</v>
      </c>
      <c r="F933" s="347">
        <v>1059600026</v>
      </c>
      <c r="G933" s="43"/>
    </row>
    <row r="934" spans="1:7" ht="30" x14ac:dyDescent="0.25">
      <c r="A934" s="43" t="s">
        <v>857</v>
      </c>
      <c r="B934" s="43" t="s">
        <v>1365</v>
      </c>
      <c r="C934" s="43" t="s">
        <v>949</v>
      </c>
      <c r="D934" s="43" t="s">
        <v>1366</v>
      </c>
      <c r="E934" s="109" t="s">
        <v>851</v>
      </c>
      <c r="F934" s="110">
        <v>1002953350</v>
      </c>
      <c r="G934" s="43"/>
    </row>
    <row r="935" spans="1:7" ht="30" x14ac:dyDescent="0.25">
      <c r="A935" s="345" t="s">
        <v>979</v>
      </c>
      <c r="B935" s="345" t="s">
        <v>943</v>
      </c>
      <c r="C935" s="345" t="s">
        <v>1217</v>
      </c>
      <c r="D935" s="345" t="s">
        <v>1398</v>
      </c>
      <c r="E935" s="346" t="s">
        <v>851</v>
      </c>
      <c r="F935" s="347">
        <v>1002846528</v>
      </c>
      <c r="G935" s="43"/>
    </row>
    <row r="936" spans="1:7" ht="30" x14ac:dyDescent="0.25">
      <c r="A936" s="43" t="s">
        <v>873</v>
      </c>
      <c r="B936" s="43" t="s">
        <v>944</v>
      </c>
      <c r="C936" s="43" t="s">
        <v>1399</v>
      </c>
      <c r="D936" s="43" t="s">
        <v>1400</v>
      </c>
      <c r="E936" s="109" t="s">
        <v>851</v>
      </c>
      <c r="F936" s="110">
        <v>1002848796</v>
      </c>
      <c r="G936" s="43"/>
    </row>
    <row r="937" spans="1:7" ht="30" x14ac:dyDescent="0.25">
      <c r="A937" s="345" t="s">
        <v>1034</v>
      </c>
      <c r="B937" s="345" t="s">
        <v>1166</v>
      </c>
      <c r="C937" s="345" t="s">
        <v>1408</v>
      </c>
      <c r="D937" s="345" t="s">
        <v>1409</v>
      </c>
      <c r="E937" s="346" t="s">
        <v>851</v>
      </c>
      <c r="F937" s="347">
        <v>1005860830</v>
      </c>
      <c r="G937" s="43"/>
    </row>
    <row r="938" spans="1:7" ht="30" x14ac:dyDescent="0.25">
      <c r="A938" s="43" t="s">
        <v>848</v>
      </c>
      <c r="B938" s="43" t="s">
        <v>943</v>
      </c>
      <c r="C938" s="43" t="s">
        <v>1423</v>
      </c>
      <c r="D938" s="43"/>
      <c r="E938" s="109" t="s">
        <v>851</v>
      </c>
      <c r="F938" s="110">
        <v>1193097625</v>
      </c>
      <c r="G938" s="43"/>
    </row>
    <row r="939" spans="1:7" ht="30" x14ac:dyDescent="0.25">
      <c r="A939" s="345" t="s">
        <v>1427</v>
      </c>
      <c r="B939" s="345" t="s">
        <v>1428</v>
      </c>
      <c r="C939" s="345" t="s">
        <v>1429</v>
      </c>
      <c r="D939" s="345" t="s">
        <v>1430</v>
      </c>
      <c r="E939" s="346" t="s">
        <v>851</v>
      </c>
      <c r="F939" s="347">
        <v>1061528490</v>
      </c>
      <c r="G939" s="43"/>
    </row>
    <row r="940" spans="1:7" ht="30" x14ac:dyDescent="0.25">
      <c r="A940" s="43" t="s">
        <v>1144</v>
      </c>
      <c r="B940" s="43" t="s">
        <v>884</v>
      </c>
      <c r="C940" s="43" t="s">
        <v>1432</v>
      </c>
      <c r="D940" s="43" t="s">
        <v>1433</v>
      </c>
      <c r="E940" s="109" t="s">
        <v>1094</v>
      </c>
      <c r="F940" s="110">
        <v>1059596594</v>
      </c>
      <c r="G940" s="43"/>
    </row>
    <row r="941" spans="1:7" ht="30" x14ac:dyDescent="0.25">
      <c r="A941" s="345" t="s">
        <v>1439</v>
      </c>
      <c r="B941" s="345" t="s">
        <v>884</v>
      </c>
      <c r="C941" s="345" t="s">
        <v>1440</v>
      </c>
      <c r="D941" s="345" t="s">
        <v>1294</v>
      </c>
      <c r="E941" s="346" t="s">
        <v>851</v>
      </c>
      <c r="F941" s="347">
        <v>1002847533</v>
      </c>
      <c r="G941" s="43"/>
    </row>
    <row r="942" spans="1:7" ht="30" x14ac:dyDescent="0.25">
      <c r="A942" s="43" t="s">
        <v>1179</v>
      </c>
      <c r="B942" s="43" t="s">
        <v>1435</v>
      </c>
      <c r="C942" s="43" t="s">
        <v>1448</v>
      </c>
      <c r="D942" s="43" t="s">
        <v>1294</v>
      </c>
      <c r="E942" s="109" t="s">
        <v>851</v>
      </c>
      <c r="F942" s="110">
        <v>1059594096</v>
      </c>
      <c r="G942" s="43"/>
    </row>
    <row r="943" spans="1:7" ht="30" x14ac:dyDescent="0.25">
      <c r="A943" s="345" t="s">
        <v>1441</v>
      </c>
      <c r="B943" s="345" t="s">
        <v>914</v>
      </c>
      <c r="C943" s="345" t="s">
        <v>1451</v>
      </c>
      <c r="D943" s="345"/>
      <c r="E943" s="346" t="s">
        <v>851</v>
      </c>
      <c r="F943" s="347">
        <v>1059598007</v>
      </c>
      <c r="G943" s="43"/>
    </row>
    <row r="944" spans="1:7" ht="30" x14ac:dyDescent="0.25">
      <c r="A944" s="43" t="s">
        <v>896</v>
      </c>
      <c r="B944" s="43" t="s">
        <v>943</v>
      </c>
      <c r="C944" s="43" t="s">
        <v>1452</v>
      </c>
      <c r="D944" s="43" t="s">
        <v>1372</v>
      </c>
      <c r="E944" s="109" t="s">
        <v>851</v>
      </c>
      <c r="F944" s="110">
        <v>1059599315</v>
      </c>
      <c r="G944" s="43"/>
    </row>
    <row r="945" spans="1:7" ht="30" x14ac:dyDescent="0.25">
      <c r="A945" s="345" t="s">
        <v>1455</v>
      </c>
      <c r="B945" s="345" t="s">
        <v>974</v>
      </c>
      <c r="C945" s="345" t="s">
        <v>1305</v>
      </c>
      <c r="D945" s="345" t="s">
        <v>1456</v>
      </c>
      <c r="E945" s="346" t="s">
        <v>1094</v>
      </c>
      <c r="F945" s="347">
        <v>1059595977</v>
      </c>
      <c r="G945" s="43"/>
    </row>
    <row r="946" spans="1:7" ht="30" x14ac:dyDescent="0.25">
      <c r="A946" s="43" t="s">
        <v>1458</v>
      </c>
      <c r="B946" s="43" t="s">
        <v>1459</v>
      </c>
      <c r="C946" s="43" t="s">
        <v>1460</v>
      </c>
      <c r="D946" s="43" t="s">
        <v>976</v>
      </c>
      <c r="E946" s="109" t="s">
        <v>1094</v>
      </c>
      <c r="F946" s="110">
        <v>1062295885</v>
      </c>
      <c r="G946" s="43"/>
    </row>
    <row r="947" spans="1:7" ht="30" x14ac:dyDescent="0.25">
      <c r="A947" s="345" t="s">
        <v>964</v>
      </c>
      <c r="B947" s="345" t="s">
        <v>1465</v>
      </c>
      <c r="C947" s="345" t="s">
        <v>1002</v>
      </c>
      <c r="D947" s="345" t="s">
        <v>1366</v>
      </c>
      <c r="E947" s="346" t="s">
        <v>1094</v>
      </c>
      <c r="F947" s="347">
        <v>1061530990</v>
      </c>
      <c r="G947" s="43"/>
    </row>
    <row r="948" spans="1:7" ht="30" x14ac:dyDescent="0.25">
      <c r="A948" s="43" t="s">
        <v>943</v>
      </c>
      <c r="B948" s="43" t="s">
        <v>1144</v>
      </c>
      <c r="C948" s="43" t="s">
        <v>1468</v>
      </c>
      <c r="D948" s="43" t="s">
        <v>1281</v>
      </c>
      <c r="E948" s="109" t="s">
        <v>851</v>
      </c>
      <c r="F948" s="110">
        <v>1059607505</v>
      </c>
      <c r="G948" s="43"/>
    </row>
    <row r="949" spans="1:7" ht="30" x14ac:dyDescent="0.25">
      <c r="A949" s="345" t="s">
        <v>884</v>
      </c>
      <c r="B949" s="345" t="s">
        <v>914</v>
      </c>
      <c r="C949" s="345" t="s">
        <v>1479</v>
      </c>
      <c r="D949" s="345" t="s">
        <v>1480</v>
      </c>
      <c r="E949" s="346" t="s">
        <v>851</v>
      </c>
      <c r="F949" s="347">
        <v>1002847894</v>
      </c>
      <c r="G949" s="43"/>
    </row>
    <row r="950" spans="1:7" ht="30" x14ac:dyDescent="0.25">
      <c r="A950" s="43" t="s">
        <v>914</v>
      </c>
      <c r="B950" s="43" t="s">
        <v>1276</v>
      </c>
      <c r="C950" s="43" t="s">
        <v>938</v>
      </c>
      <c r="D950" s="43" t="s">
        <v>1484</v>
      </c>
      <c r="E950" s="109" t="s">
        <v>851</v>
      </c>
      <c r="F950" s="110">
        <v>1002846249</v>
      </c>
      <c r="G950" s="43"/>
    </row>
    <row r="951" spans="1:7" ht="30" x14ac:dyDescent="0.25">
      <c r="A951" s="345" t="s">
        <v>914</v>
      </c>
      <c r="B951" s="345" t="s">
        <v>848</v>
      </c>
      <c r="C951" s="345" t="s">
        <v>1485</v>
      </c>
      <c r="D951" s="345" t="s">
        <v>1285</v>
      </c>
      <c r="E951" s="346" t="s">
        <v>851</v>
      </c>
      <c r="F951" s="347" t="s">
        <v>1486</v>
      </c>
      <c r="G951" s="43"/>
    </row>
    <row r="952" spans="1:7" ht="30" x14ac:dyDescent="0.25">
      <c r="A952" s="43" t="s">
        <v>974</v>
      </c>
      <c r="B952" s="43" t="s">
        <v>943</v>
      </c>
      <c r="C952" s="43" t="s">
        <v>1217</v>
      </c>
      <c r="D952" s="43" t="s">
        <v>1490</v>
      </c>
      <c r="E952" s="109" t="s">
        <v>851</v>
      </c>
      <c r="F952" s="110" t="s">
        <v>1491</v>
      </c>
      <c r="G952" s="43"/>
    </row>
    <row r="953" spans="1:7" ht="30" x14ac:dyDescent="0.25">
      <c r="A953" s="345" t="s">
        <v>967</v>
      </c>
      <c r="B953" s="345" t="s">
        <v>980</v>
      </c>
      <c r="C953" s="345" t="s">
        <v>1492</v>
      </c>
      <c r="D953" s="345"/>
      <c r="E953" s="346" t="s">
        <v>851</v>
      </c>
      <c r="F953" s="347" t="s">
        <v>1493</v>
      </c>
      <c r="G953" s="43"/>
    </row>
    <row r="954" spans="1:7" ht="30" x14ac:dyDescent="0.25">
      <c r="A954" s="43" t="s">
        <v>992</v>
      </c>
      <c r="B954" s="43" t="s">
        <v>1498</v>
      </c>
      <c r="C954" s="43" t="s">
        <v>938</v>
      </c>
      <c r="D954" s="43" t="s">
        <v>1499</v>
      </c>
      <c r="E954" s="109" t="s">
        <v>851</v>
      </c>
      <c r="F954" s="110" t="s">
        <v>1500</v>
      </c>
      <c r="G954" s="43"/>
    </row>
    <row r="955" spans="1:7" ht="30" x14ac:dyDescent="0.25">
      <c r="A955" s="345" t="s">
        <v>848</v>
      </c>
      <c r="B955" s="345" t="s">
        <v>953</v>
      </c>
      <c r="C955" s="345" t="s">
        <v>1501</v>
      </c>
      <c r="D955" s="345" t="s">
        <v>919</v>
      </c>
      <c r="E955" s="346" t="s">
        <v>851</v>
      </c>
      <c r="F955" s="347" t="s">
        <v>1502</v>
      </c>
      <c r="G955" s="43"/>
    </row>
    <row r="956" spans="1:7" ht="30" x14ac:dyDescent="0.25">
      <c r="A956" s="43" t="s">
        <v>1507</v>
      </c>
      <c r="B956" s="43" t="s">
        <v>1365</v>
      </c>
      <c r="C956" s="43" t="s">
        <v>1508</v>
      </c>
      <c r="D956" s="43"/>
      <c r="E956" s="109" t="s">
        <v>851</v>
      </c>
      <c r="F956" s="110">
        <v>1059600322</v>
      </c>
      <c r="G956" s="43"/>
    </row>
    <row r="957" spans="1:7" ht="30" x14ac:dyDescent="0.25">
      <c r="A957" s="345" t="s">
        <v>1041</v>
      </c>
      <c r="B957" s="345" t="s">
        <v>1147</v>
      </c>
      <c r="C957" s="345" t="s">
        <v>1512</v>
      </c>
      <c r="D957" s="345"/>
      <c r="E957" s="346" t="s">
        <v>851</v>
      </c>
      <c r="F957" s="347">
        <v>1059604976</v>
      </c>
      <c r="G957" s="43"/>
    </row>
    <row r="958" spans="1:7" ht="30" x14ac:dyDescent="0.25">
      <c r="A958" s="43" t="s">
        <v>1513</v>
      </c>
      <c r="B958" s="43" t="s">
        <v>1514</v>
      </c>
      <c r="C958" s="43" t="s">
        <v>1515</v>
      </c>
      <c r="D958" s="43"/>
      <c r="E958" s="109" t="s">
        <v>851</v>
      </c>
      <c r="F958" s="110">
        <v>1067461286</v>
      </c>
      <c r="G958" s="43"/>
    </row>
    <row r="959" spans="1:7" ht="30" x14ac:dyDescent="0.25">
      <c r="A959" s="345" t="s">
        <v>1519</v>
      </c>
      <c r="B959" s="345" t="s">
        <v>848</v>
      </c>
      <c r="C959" s="345" t="s">
        <v>1520</v>
      </c>
      <c r="D959" s="345" t="s">
        <v>1521</v>
      </c>
      <c r="E959" s="346" t="s">
        <v>851</v>
      </c>
      <c r="F959" s="347">
        <v>1002950269</v>
      </c>
      <c r="G959" s="43"/>
    </row>
    <row r="960" spans="1:7" ht="30" x14ac:dyDescent="0.25">
      <c r="A960" s="43" t="s">
        <v>896</v>
      </c>
      <c r="B960" s="43" t="s">
        <v>953</v>
      </c>
      <c r="C960" s="43" t="s">
        <v>1530</v>
      </c>
      <c r="D960" s="43" t="s">
        <v>1182</v>
      </c>
      <c r="E960" s="109" t="s">
        <v>851</v>
      </c>
      <c r="F960" s="110">
        <v>1059594419</v>
      </c>
      <c r="G960" s="43"/>
    </row>
    <row r="961" spans="1:7" ht="30" x14ac:dyDescent="0.25">
      <c r="A961" s="345" t="s">
        <v>1361</v>
      </c>
      <c r="B961" s="345" t="s">
        <v>992</v>
      </c>
      <c r="C961" s="345" t="s">
        <v>1531</v>
      </c>
      <c r="D961" s="345"/>
      <c r="E961" s="346" t="s">
        <v>851</v>
      </c>
      <c r="F961" s="347">
        <v>1151452891</v>
      </c>
      <c r="G961" s="43"/>
    </row>
    <row r="962" spans="1:7" ht="30" x14ac:dyDescent="0.25">
      <c r="A962" s="43" t="s">
        <v>1286</v>
      </c>
      <c r="B962" s="43" t="s">
        <v>980</v>
      </c>
      <c r="C962" s="43" t="s">
        <v>1528</v>
      </c>
      <c r="D962" s="43" t="s">
        <v>1281</v>
      </c>
      <c r="E962" s="109" t="s">
        <v>851</v>
      </c>
      <c r="F962" s="110">
        <v>1059596092</v>
      </c>
      <c r="G962" s="43"/>
    </row>
    <row r="963" spans="1:7" ht="30" x14ac:dyDescent="0.25">
      <c r="A963" s="345" t="s">
        <v>884</v>
      </c>
      <c r="B963" s="345" t="s">
        <v>1144</v>
      </c>
      <c r="C963" s="345" t="s">
        <v>1534</v>
      </c>
      <c r="D963" s="345"/>
      <c r="E963" s="346" t="s">
        <v>851</v>
      </c>
      <c r="F963" s="353">
        <v>1002846626</v>
      </c>
      <c r="G963" s="43"/>
    </row>
    <row r="964" spans="1:7" ht="30" x14ac:dyDescent="0.25">
      <c r="A964" s="43" t="s">
        <v>1246</v>
      </c>
      <c r="B964" s="43" t="s">
        <v>943</v>
      </c>
      <c r="C964" s="43" t="s">
        <v>1535</v>
      </c>
      <c r="D964" s="43"/>
      <c r="E964" s="109" t="s">
        <v>851</v>
      </c>
      <c r="F964" s="354">
        <v>1002848307</v>
      </c>
      <c r="G964" s="43"/>
    </row>
    <row r="965" spans="1:7" ht="30" x14ac:dyDescent="0.25">
      <c r="A965" s="345" t="s">
        <v>873</v>
      </c>
      <c r="B965" s="345" t="s">
        <v>1091</v>
      </c>
      <c r="C965" s="345" t="s">
        <v>1277</v>
      </c>
      <c r="D965" s="345"/>
      <c r="E965" s="346" t="s">
        <v>851</v>
      </c>
      <c r="F965" s="355">
        <v>1059598472</v>
      </c>
      <c r="G965" s="43"/>
    </row>
    <row r="966" spans="1:7" ht="30" x14ac:dyDescent="0.25">
      <c r="A966" s="43" t="s">
        <v>896</v>
      </c>
      <c r="B966" s="43" t="s">
        <v>1091</v>
      </c>
      <c r="C966" s="43" t="s">
        <v>1538</v>
      </c>
      <c r="D966" s="43"/>
      <c r="E966" s="109" t="s">
        <v>851</v>
      </c>
      <c r="F966" s="110">
        <v>1002846350</v>
      </c>
      <c r="G966" s="43"/>
    </row>
    <row r="967" spans="1:7" ht="30" x14ac:dyDescent="0.25">
      <c r="A967" s="345" t="s">
        <v>896</v>
      </c>
      <c r="B967" s="345" t="s">
        <v>953</v>
      </c>
      <c r="C967" s="345" t="s">
        <v>1217</v>
      </c>
      <c r="D967" s="345" t="s">
        <v>1471</v>
      </c>
      <c r="E967" s="346" t="s">
        <v>851</v>
      </c>
      <c r="F967" s="353">
        <v>1059602285</v>
      </c>
      <c r="G967" s="43"/>
    </row>
    <row r="968" spans="1:7" ht="30" x14ac:dyDescent="0.25">
      <c r="A968" s="43" t="s">
        <v>1540</v>
      </c>
      <c r="B968" s="43" t="s">
        <v>943</v>
      </c>
      <c r="C968" s="43" t="s">
        <v>1541</v>
      </c>
      <c r="D968" s="43" t="s">
        <v>1542</v>
      </c>
      <c r="E968" s="109" t="s">
        <v>851</v>
      </c>
      <c r="F968" s="356" t="s">
        <v>1539</v>
      </c>
      <c r="G968" s="43"/>
    </row>
    <row r="969" spans="1:7" ht="30" x14ac:dyDescent="0.25">
      <c r="A969" s="345" t="s">
        <v>1144</v>
      </c>
      <c r="B969" s="345" t="s">
        <v>996</v>
      </c>
      <c r="C969" s="345" t="s">
        <v>1192</v>
      </c>
      <c r="D969" s="345"/>
      <c r="E969" s="346" t="s">
        <v>851</v>
      </c>
      <c r="F969" s="353">
        <v>1059604012</v>
      </c>
      <c r="G969" s="43"/>
    </row>
    <row r="970" spans="1:7" ht="30" x14ac:dyDescent="0.25">
      <c r="A970" s="43" t="s">
        <v>896</v>
      </c>
      <c r="B970" s="43" t="s">
        <v>953</v>
      </c>
      <c r="C970" s="43" t="s">
        <v>1545</v>
      </c>
      <c r="D970" s="43"/>
      <c r="E970" s="109" t="s">
        <v>851</v>
      </c>
      <c r="F970" s="110">
        <v>25545389</v>
      </c>
      <c r="G970" s="43"/>
    </row>
    <row r="971" spans="1:7" ht="30" x14ac:dyDescent="0.25">
      <c r="A971" s="345" t="s">
        <v>1549</v>
      </c>
      <c r="B971" s="345" t="s">
        <v>1298</v>
      </c>
      <c r="C971" s="345" t="s">
        <v>1550</v>
      </c>
      <c r="D971" s="345" t="s">
        <v>1551</v>
      </c>
      <c r="E971" s="346" t="s">
        <v>851</v>
      </c>
      <c r="F971" s="358" t="s">
        <v>1548</v>
      </c>
      <c r="G971" s="43"/>
    </row>
    <row r="972" spans="1:7" x14ac:dyDescent="0.25">
      <c r="A972" s="43" t="s">
        <v>943</v>
      </c>
      <c r="B972" s="43" t="s">
        <v>848</v>
      </c>
      <c r="C972" s="43" t="s">
        <v>1553</v>
      </c>
      <c r="D972" s="43"/>
      <c r="E972" s="109"/>
      <c r="F972" s="110">
        <v>1059594153</v>
      </c>
      <c r="G972" s="43"/>
    </row>
    <row r="973" spans="1:7" ht="30" x14ac:dyDescent="0.25">
      <c r="A973" s="345" t="s">
        <v>943</v>
      </c>
      <c r="B973" s="345" t="s">
        <v>1144</v>
      </c>
      <c r="C973" s="345" t="s">
        <v>1504</v>
      </c>
      <c r="D973" s="345" t="s">
        <v>1281</v>
      </c>
      <c r="E973" s="346" t="s">
        <v>1094</v>
      </c>
      <c r="F973" s="347">
        <v>1059599329</v>
      </c>
      <c r="G973" s="43"/>
    </row>
    <row r="974" spans="1:7" ht="30" x14ac:dyDescent="0.25">
      <c r="A974" s="43" t="s">
        <v>996</v>
      </c>
      <c r="B974" s="43" t="s">
        <v>1559</v>
      </c>
      <c r="C974" s="43" t="s">
        <v>1560</v>
      </c>
      <c r="D974" s="43"/>
      <c r="E974" s="109" t="s">
        <v>851</v>
      </c>
      <c r="F974" s="110">
        <v>25552089</v>
      </c>
      <c r="G974" s="43"/>
    </row>
    <row r="975" spans="1:7" ht="30" x14ac:dyDescent="0.25">
      <c r="A975" s="345" t="s">
        <v>1361</v>
      </c>
      <c r="B975" s="345" t="s">
        <v>1470</v>
      </c>
      <c r="C975" s="345" t="s">
        <v>1553</v>
      </c>
      <c r="D975" s="345"/>
      <c r="E975" s="346" t="s">
        <v>851</v>
      </c>
      <c r="F975" s="347">
        <v>1059595865</v>
      </c>
      <c r="G975" s="43"/>
    </row>
    <row r="976" spans="1:7" ht="30" x14ac:dyDescent="0.25">
      <c r="A976" s="43" t="s">
        <v>953</v>
      </c>
      <c r="B976" s="43" t="s">
        <v>1378</v>
      </c>
      <c r="C976" s="43" t="s">
        <v>1617</v>
      </c>
      <c r="D976" s="43"/>
      <c r="E976" s="109" t="s">
        <v>851</v>
      </c>
      <c r="F976" s="110">
        <v>1059606238</v>
      </c>
      <c r="G976" s="43"/>
    </row>
    <row r="977" spans="1:7" ht="30" x14ac:dyDescent="0.25">
      <c r="A977" s="345" t="s">
        <v>874</v>
      </c>
      <c r="B977" s="345" t="s">
        <v>873</v>
      </c>
      <c r="C977" s="345" t="s">
        <v>1635</v>
      </c>
      <c r="D977" s="345" t="s">
        <v>1294</v>
      </c>
      <c r="E977" s="346" t="s">
        <v>1094</v>
      </c>
      <c r="F977" s="347">
        <v>1059597986</v>
      </c>
      <c r="G977" s="43"/>
    </row>
    <row r="978" spans="1:7" ht="30" x14ac:dyDescent="0.25">
      <c r="A978" s="43" t="s">
        <v>873</v>
      </c>
      <c r="B978" s="43" t="s">
        <v>962</v>
      </c>
      <c r="C978" s="43" t="s">
        <v>1501</v>
      </c>
      <c r="D978" s="43" t="s">
        <v>1340</v>
      </c>
      <c r="E978" s="109" t="s">
        <v>851</v>
      </c>
      <c r="F978" s="110">
        <v>1059594976</v>
      </c>
      <c r="G978" s="43"/>
    </row>
    <row r="979" spans="1:7" x14ac:dyDescent="0.25">
      <c r="A979" s="345" t="s">
        <v>896</v>
      </c>
      <c r="B979" s="345" t="s">
        <v>953</v>
      </c>
      <c r="C979" s="345" t="s">
        <v>1634</v>
      </c>
      <c r="D979" s="345"/>
      <c r="E979" s="346"/>
      <c r="F979" s="347">
        <v>1002848733</v>
      </c>
      <c r="G979" s="43"/>
    </row>
    <row r="980" spans="1:7" ht="30" x14ac:dyDescent="0.25">
      <c r="A980" s="43" t="s">
        <v>896</v>
      </c>
      <c r="B980" s="43" t="s">
        <v>915</v>
      </c>
      <c r="C980" s="43" t="s">
        <v>1585</v>
      </c>
      <c r="D980" s="43"/>
      <c r="E980" s="109" t="s">
        <v>851</v>
      </c>
      <c r="F980" s="110">
        <v>1059595460</v>
      </c>
      <c r="G980" s="43"/>
    </row>
    <row r="981" spans="1:7" ht="30" x14ac:dyDescent="0.25">
      <c r="A981" s="345" t="s">
        <v>873</v>
      </c>
      <c r="B981" s="345" t="s">
        <v>874</v>
      </c>
      <c r="C981" s="345" t="s">
        <v>1215</v>
      </c>
      <c r="D981" s="345"/>
      <c r="E981" s="346" t="s">
        <v>851</v>
      </c>
      <c r="F981" s="347">
        <v>1002849181</v>
      </c>
      <c r="G981" s="43"/>
    </row>
    <row r="982" spans="1:7" ht="30" x14ac:dyDescent="0.25">
      <c r="A982" s="43" t="s">
        <v>1156</v>
      </c>
      <c r="B982" s="43" t="s">
        <v>884</v>
      </c>
      <c r="C982" s="43" t="s">
        <v>1481</v>
      </c>
      <c r="D982" s="43" t="s">
        <v>1482</v>
      </c>
      <c r="E982" s="109" t="s">
        <v>851</v>
      </c>
      <c r="F982" s="357" t="s">
        <v>1483</v>
      </c>
      <c r="G982" s="43"/>
    </row>
    <row r="983" spans="1:7" ht="30" x14ac:dyDescent="0.25">
      <c r="A983" s="345" t="s">
        <v>953</v>
      </c>
      <c r="B983" s="345" t="s">
        <v>1286</v>
      </c>
      <c r="C983" s="345" t="s">
        <v>1463</v>
      </c>
      <c r="D983" s="345" t="s">
        <v>1579</v>
      </c>
      <c r="E983" s="346" t="s">
        <v>851</v>
      </c>
      <c r="F983" s="359" t="s">
        <v>1578</v>
      </c>
      <c r="G983" s="43"/>
    </row>
    <row r="984" spans="1:7" ht="30" x14ac:dyDescent="0.25">
      <c r="A984" s="43" t="s">
        <v>1580</v>
      </c>
      <c r="B984" s="43" t="s">
        <v>914</v>
      </c>
      <c r="C984" s="43" t="s">
        <v>1581</v>
      </c>
      <c r="D984" s="43" t="s">
        <v>1464</v>
      </c>
      <c r="E984" s="109" t="s">
        <v>851</v>
      </c>
      <c r="F984" s="356">
        <v>1002846447</v>
      </c>
      <c r="G984" s="43"/>
    </row>
    <row r="985" spans="1:7" ht="30" x14ac:dyDescent="0.25">
      <c r="A985" s="345" t="s">
        <v>1583</v>
      </c>
      <c r="B985" s="345" t="s">
        <v>873</v>
      </c>
      <c r="C985" s="345" t="s">
        <v>1584</v>
      </c>
      <c r="D985" s="345"/>
      <c r="E985" s="346" t="s">
        <v>851</v>
      </c>
      <c r="F985" s="359" t="s">
        <v>1582</v>
      </c>
      <c r="G985" s="43"/>
    </row>
    <row r="986" spans="1:7" ht="30" x14ac:dyDescent="0.25">
      <c r="A986" s="43" t="s">
        <v>1322</v>
      </c>
      <c r="B986" s="43" t="s">
        <v>1378</v>
      </c>
      <c r="C986" s="43" t="s">
        <v>1587</v>
      </c>
      <c r="D986" s="43"/>
      <c r="E986" s="109" t="s">
        <v>851</v>
      </c>
      <c r="F986" s="356" t="s">
        <v>1586</v>
      </c>
      <c r="G986" s="43"/>
    </row>
    <row r="987" spans="1:7" ht="30" x14ac:dyDescent="0.25">
      <c r="A987" s="345" t="s">
        <v>1590</v>
      </c>
      <c r="B987" s="345" t="s">
        <v>874</v>
      </c>
      <c r="C987" s="345" t="s">
        <v>1591</v>
      </c>
      <c r="D987" s="345"/>
      <c r="E987" s="346" t="s">
        <v>851</v>
      </c>
      <c r="F987" s="359" t="s">
        <v>1589</v>
      </c>
      <c r="G987" s="43"/>
    </row>
    <row r="988" spans="1:7" ht="30" x14ac:dyDescent="0.25">
      <c r="A988" s="43" t="s">
        <v>1286</v>
      </c>
      <c r="B988" s="43" t="s">
        <v>1594</v>
      </c>
      <c r="C988" s="43" t="s">
        <v>1420</v>
      </c>
      <c r="D988" s="43"/>
      <c r="E988" s="109" t="s">
        <v>1094</v>
      </c>
      <c r="F988" s="356" t="s">
        <v>1593</v>
      </c>
      <c r="G988" s="43"/>
    </row>
    <row r="989" spans="1:7" ht="30" x14ac:dyDescent="0.25">
      <c r="A989" s="345" t="s">
        <v>1598</v>
      </c>
      <c r="B989" s="345" t="s">
        <v>1599</v>
      </c>
      <c r="C989" s="345" t="s">
        <v>1597</v>
      </c>
      <c r="D989" s="345"/>
      <c r="E989" s="346" t="s">
        <v>851</v>
      </c>
      <c r="F989" s="347">
        <v>1002846452</v>
      </c>
      <c r="G989" s="43"/>
    </row>
    <row r="990" spans="1:7" ht="30" x14ac:dyDescent="0.25">
      <c r="A990" s="43" t="s">
        <v>914</v>
      </c>
      <c r="B990" s="43" t="s">
        <v>1601</v>
      </c>
      <c r="C990" s="43" t="s">
        <v>1602</v>
      </c>
      <c r="D990" s="43"/>
      <c r="E990" s="109" t="s">
        <v>851</v>
      </c>
      <c r="F990" s="110">
        <v>1003370775</v>
      </c>
      <c r="G990" s="43"/>
    </row>
    <row r="991" spans="1:7" ht="30" x14ac:dyDescent="0.25">
      <c r="A991" s="345" t="s">
        <v>896</v>
      </c>
      <c r="B991" s="345" t="s">
        <v>992</v>
      </c>
      <c r="C991" s="345" t="s">
        <v>1530</v>
      </c>
      <c r="D991" s="345" t="s">
        <v>1357</v>
      </c>
      <c r="E991" s="346" t="s">
        <v>851</v>
      </c>
      <c r="F991" s="347">
        <v>1002847645</v>
      </c>
      <c r="G991" s="43"/>
    </row>
    <row r="992" spans="1:7" ht="30" x14ac:dyDescent="0.25">
      <c r="A992" s="43" t="s">
        <v>896</v>
      </c>
      <c r="B992" s="43" t="s">
        <v>1599</v>
      </c>
      <c r="C992" s="43" t="s">
        <v>1607</v>
      </c>
      <c r="D992" s="43" t="s">
        <v>1608</v>
      </c>
      <c r="E992" s="109" t="s">
        <v>851</v>
      </c>
      <c r="F992" s="110">
        <v>1060800773</v>
      </c>
      <c r="G992" s="43"/>
    </row>
    <row r="993" spans="1:7" ht="30" x14ac:dyDescent="0.25">
      <c r="A993" s="345" t="s">
        <v>914</v>
      </c>
      <c r="B993" s="345" t="s">
        <v>943</v>
      </c>
      <c r="C993" s="345" t="s">
        <v>1198</v>
      </c>
      <c r="D993" s="345"/>
      <c r="E993" s="346" t="s">
        <v>851</v>
      </c>
      <c r="F993" s="347">
        <v>1059605317</v>
      </c>
      <c r="G993" s="43"/>
    </row>
    <row r="994" spans="1:7" ht="30" x14ac:dyDescent="0.25">
      <c r="A994" s="43" t="s">
        <v>1439</v>
      </c>
      <c r="B994" s="43" t="s">
        <v>848</v>
      </c>
      <c r="C994" s="43" t="s">
        <v>1437</v>
      </c>
      <c r="D994" s="43"/>
      <c r="E994" s="109" t="s">
        <v>851</v>
      </c>
      <c r="F994" s="110">
        <v>1059595628</v>
      </c>
      <c r="G994" s="43"/>
    </row>
    <row r="995" spans="1:7" ht="30" x14ac:dyDescent="0.25">
      <c r="A995" s="345" t="s">
        <v>873</v>
      </c>
      <c r="B995" s="345" t="s">
        <v>874</v>
      </c>
      <c r="C995" s="345" t="s">
        <v>1612</v>
      </c>
      <c r="D995" s="345" t="s">
        <v>1613</v>
      </c>
      <c r="E995" s="346" t="s">
        <v>851</v>
      </c>
      <c r="F995" s="347">
        <v>1002849103</v>
      </c>
      <c r="G995" s="43"/>
    </row>
    <row r="996" spans="1:7" ht="30" x14ac:dyDescent="0.25">
      <c r="A996" s="43" t="s">
        <v>914</v>
      </c>
      <c r="B996" s="43" t="s">
        <v>914</v>
      </c>
      <c r="C996" s="43" t="s">
        <v>1614</v>
      </c>
      <c r="D996" s="43" t="s">
        <v>1277</v>
      </c>
      <c r="E996" s="109" t="s">
        <v>851</v>
      </c>
      <c r="F996" s="110">
        <v>1002847076</v>
      </c>
      <c r="G996" s="43"/>
    </row>
    <row r="997" spans="1:7" ht="30" x14ac:dyDescent="0.25">
      <c r="A997" s="345" t="s">
        <v>980</v>
      </c>
      <c r="B997" s="345" t="s">
        <v>914</v>
      </c>
      <c r="C997" s="345" t="s">
        <v>1623</v>
      </c>
      <c r="D997" s="345"/>
      <c r="E997" s="346" t="s">
        <v>851</v>
      </c>
      <c r="F997" s="347">
        <v>1059596737</v>
      </c>
      <c r="G997" s="43"/>
    </row>
    <row r="998" spans="1:7" ht="30" x14ac:dyDescent="0.25">
      <c r="A998" s="43" t="s">
        <v>884</v>
      </c>
      <c r="B998" s="43" t="s">
        <v>1286</v>
      </c>
      <c r="C998" s="43" t="s">
        <v>1452</v>
      </c>
      <c r="D998" s="43"/>
      <c r="E998" s="109" t="s">
        <v>851</v>
      </c>
      <c r="F998" s="110">
        <v>25546688</v>
      </c>
      <c r="G998" s="43"/>
    </row>
    <row r="999" spans="1:7" ht="30" x14ac:dyDescent="0.25">
      <c r="A999" s="345" t="s">
        <v>1629</v>
      </c>
      <c r="B999" s="345" t="s">
        <v>1249</v>
      </c>
      <c r="C999" s="345" t="s">
        <v>1630</v>
      </c>
      <c r="D999" s="345"/>
      <c r="E999" s="346" t="s">
        <v>851</v>
      </c>
      <c r="F999" s="345">
        <v>1059601748</v>
      </c>
      <c r="G999" s="43"/>
    </row>
    <row r="1000" spans="1:7" ht="30" x14ac:dyDescent="0.25">
      <c r="A1000" s="43" t="s">
        <v>896</v>
      </c>
      <c r="B1000" s="43" t="s">
        <v>1632</v>
      </c>
      <c r="C1000" s="43" t="s">
        <v>1633</v>
      </c>
      <c r="D1000" s="43"/>
      <c r="E1000" s="109" t="s">
        <v>851</v>
      </c>
      <c r="F1000" s="360" t="s">
        <v>1631</v>
      </c>
      <c r="G1000" s="43"/>
    </row>
    <row r="1001" spans="1:7" ht="30" x14ac:dyDescent="0.25">
      <c r="A1001" s="345" t="s">
        <v>1637</v>
      </c>
      <c r="B1001" s="345" t="s">
        <v>1638</v>
      </c>
      <c r="C1001" s="345" t="s">
        <v>1028</v>
      </c>
      <c r="D1001" s="345"/>
      <c r="E1001" s="346" t="s">
        <v>851</v>
      </c>
      <c r="F1001" s="358">
        <v>1060986729</v>
      </c>
      <c r="G1001" s="43"/>
    </row>
    <row r="1002" spans="1:7" ht="30" x14ac:dyDescent="0.25">
      <c r="A1002" s="43" t="s">
        <v>1249</v>
      </c>
      <c r="B1002" s="43" t="s">
        <v>914</v>
      </c>
      <c r="C1002" s="43" t="s">
        <v>1659</v>
      </c>
      <c r="D1002" s="43"/>
      <c r="E1002" s="109" t="s">
        <v>851</v>
      </c>
      <c r="F1002" s="110">
        <v>1059597497</v>
      </c>
      <c r="G1002" s="43"/>
    </row>
    <row r="1003" spans="1:7" ht="30" x14ac:dyDescent="0.25">
      <c r="A1003" s="345" t="s">
        <v>1439</v>
      </c>
      <c r="B1003" s="345" t="s">
        <v>848</v>
      </c>
      <c r="C1003" s="345" t="s">
        <v>1437</v>
      </c>
      <c r="D1003" s="345"/>
      <c r="E1003" s="346" t="s">
        <v>851</v>
      </c>
      <c r="F1003" s="347">
        <v>1059595628</v>
      </c>
      <c r="G1003" s="43"/>
    </row>
    <row r="1004" spans="1:7" ht="30" x14ac:dyDescent="0.25">
      <c r="A1004" s="43" t="s">
        <v>953</v>
      </c>
      <c r="B1004" s="43" t="s">
        <v>1660</v>
      </c>
      <c r="C1004" s="43" t="s">
        <v>1217</v>
      </c>
      <c r="D1004" s="43" t="s">
        <v>1661</v>
      </c>
      <c r="E1004" s="109" t="s">
        <v>851</v>
      </c>
      <c r="F1004" s="110">
        <v>1002848134</v>
      </c>
      <c r="G1004" s="43"/>
    </row>
    <row r="1005" spans="1:7" ht="30" x14ac:dyDescent="0.25">
      <c r="A1005" s="345" t="s">
        <v>848</v>
      </c>
      <c r="B1005" s="345" t="s">
        <v>1034</v>
      </c>
      <c r="C1005" s="345" t="s">
        <v>1612</v>
      </c>
      <c r="D1005" s="345" t="s">
        <v>1662</v>
      </c>
      <c r="E1005" s="346" t="s">
        <v>851</v>
      </c>
      <c r="F1005" s="347">
        <v>1059601726</v>
      </c>
      <c r="G1005" s="43"/>
    </row>
    <row r="1006" spans="1:7" ht="30" x14ac:dyDescent="0.25">
      <c r="A1006" s="43" t="s">
        <v>1663</v>
      </c>
      <c r="B1006" s="43" t="s">
        <v>1664</v>
      </c>
      <c r="C1006" s="43" t="s">
        <v>938</v>
      </c>
      <c r="D1006" s="43" t="s">
        <v>1665</v>
      </c>
      <c r="E1006" s="109" t="s">
        <v>851</v>
      </c>
      <c r="F1006" s="110">
        <v>1059601634</v>
      </c>
      <c r="G1006" s="43"/>
    </row>
    <row r="1007" spans="1:7" ht="30" x14ac:dyDescent="0.25">
      <c r="A1007" s="345" t="s">
        <v>980</v>
      </c>
      <c r="B1007" s="345" t="s">
        <v>1666</v>
      </c>
      <c r="C1007" s="345" t="s">
        <v>1287</v>
      </c>
      <c r="D1007" s="345" t="s">
        <v>919</v>
      </c>
      <c r="E1007" s="346" t="s">
        <v>851</v>
      </c>
      <c r="F1007" s="347">
        <v>1002846819</v>
      </c>
      <c r="G1007" s="43"/>
    </row>
    <row r="1008" spans="1:7" ht="30" x14ac:dyDescent="0.25">
      <c r="A1008" s="43" t="s">
        <v>1667</v>
      </c>
      <c r="B1008" s="43" t="s">
        <v>1668</v>
      </c>
      <c r="C1008" s="43" t="s">
        <v>1669</v>
      </c>
      <c r="D1008" s="43"/>
      <c r="E1008" s="109" t="s">
        <v>851</v>
      </c>
      <c r="F1008" s="110">
        <v>1064426895</v>
      </c>
      <c r="G1008" s="43"/>
    </row>
    <row r="1009" spans="1:7" ht="30" x14ac:dyDescent="0.25">
      <c r="A1009" s="345" t="s">
        <v>1210</v>
      </c>
      <c r="B1009" s="345" t="s">
        <v>848</v>
      </c>
      <c r="C1009" s="345" t="s">
        <v>1670</v>
      </c>
      <c r="D1009" s="345" t="s">
        <v>1671</v>
      </c>
      <c r="E1009" s="346" t="s">
        <v>851</v>
      </c>
      <c r="F1009" s="347">
        <v>1059602883</v>
      </c>
      <c r="G1009" s="43"/>
    </row>
    <row r="1010" spans="1:7" ht="30" x14ac:dyDescent="0.25">
      <c r="A1010" s="43" t="s">
        <v>943</v>
      </c>
      <c r="B1010" s="43" t="s">
        <v>848</v>
      </c>
      <c r="C1010" s="43" t="s">
        <v>1673</v>
      </c>
      <c r="D1010" s="43" t="s">
        <v>1674</v>
      </c>
      <c r="E1010" s="109" t="s">
        <v>851</v>
      </c>
      <c r="F1010" s="361" t="s">
        <v>1672</v>
      </c>
      <c r="G1010" s="43"/>
    </row>
    <row r="1011" spans="1:7" ht="30" x14ac:dyDescent="0.25">
      <c r="A1011" s="345" t="s">
        <v>1677</v>
      </c>
      <c r="B1011" s="345" t="s">
        <v>962</v>
      </c>
      <c r="C1011" s="345" t="s">
        <v>1678</v>
      </c>
      <c r="D1011" s="345" t="s">
        <v>1679</v>
      </c>
      <c r="E1011" s="346" t="s">
        <v>1094</v>
      </c>
      <c r="F1011" s="362" t="s">
        <v>1676</v>
      </c>
      <c r="G1011" s="43"/>
    </row>
    <row r="1012" spans="1:7" ht="30" x14ac:dyDescent="0.25">
      <c r="A1012" s="43" t="s">
        <v>1286</v>
      </c>
      <c r="B1012" s="43" t="s">
        <v>943</v>
      </c>
      <c r="C1012" s="43" t="s">
        <v>1681</v>
      </c>
      <c r="D1012" s="43"/>
      <c r="E1012" s="109" t="s">
        <v>851</v>
      </c>
      <c r="F1012" s="363" t="s">
        <v>1680</v>
      </c>
      <c r="G1012" s="43"/>
    </row>
    <row r="1013" spans="1:7" ht="30" x14ac:dyDescent="0.25">
      <c r="A1013" s="345" t="s">
        <v>848</v>
      </c>
      <c r="B1013" s="345" t="s">
        <v>914</v>
      </c>
      <c r="C1013" s="345" t="s">
        <v>1683</v>
      </c>
      <c r="D1013" s="345"/>
      <c r="E1013" s="346" t="s">
        <v>851</v>
      </c>
      <c r="F1013" s="362" t="s">
        <v>1682</v>
      </c>
      <c r="G1013" s="43"/>
    </row>
    <row r="1014" spans="1:7" x14ac:dyDescent="0.25">
      <c r="A1014" s="421" t="s">
        <v>1711</v>
      </c>
      <c r="B1014" s="421"/>
      <c r="C1014" s="421"/>
      <c r="D1014" s="421"/>
      <c r="E1014" s="421"/>
      <c r="F1014" s="421"/>
      <c r="G1014" s="43"/>
    </row>
    <row r="1015" spans="1:7" ht="45" x14ac:dyDescent="0.25">
      <c r="A1015" s="17" t="s">
        <v>94</v>
      </c>
      <c r="B1015" s="17" t="s">
        <v>21</v>
      </c>
      <c r="C1015" s="17" t="s">
        <v>0</v>
      </c>
      <c r="D1015" s="17" t="s">
        <v>1</v>
      </c>
      <c r="E1015" s="17" t="s">
        <v>2</v>
      </c>
      <c r="F1015" s="17" t="s">
        <v>3</v>
      </c>
      <c r="G1015" s="43"/>
    </row>
    <row r="1016" spans="1:7" ht="30" x14ac:dyDescent="0.25">
      <c r="A1016" s="43" t="s">
        <v>1305</v>
      </c>
      <c r="B1016" s="43" t="s">
        <v>884</v>
      </c>
      <c r="C1016" s="43" t="s">
        <v>1306</v>
      </c>
      <c r="D1016" s="43" t="s">
        <v>1307</v>
      </c>
      <c r="E1016" s="109" t="s">
        <v>851</v>
      </c>
      <c r="F1016" s="110">
        <v>1059604869</v>
      </c>
      <c r="G1016" s="43"/>
    </row>
    <row r="1017" spans="1:7" ht="30" x14ac:dyDescent="0.25">
      <c r="A1017" s="345" t="s">
        <v>953</v>
      </c>
      <c r="B1017" s="345" t="s">
        <v>1316</v>
      </c>
      <c r="C1017" s="345" t="s">
        <v>1317</v>
      </c>
      <c r="D1017" s="345" t="s">
        <v>1028</v>
      </c>
      <c r="E1017" s="346" t="s">
        <v>851</v>
      </c>
      <c r="F1017" s="347">
        <v>1059594373</v>
      </c>
      <c r="G1017" s="43"/>
    </row>
    <row r="1018" spans="1:7" ht="30" x14ac:dyDescent="0.25">
      <c r="A1018" s="43" t="s">
        <v>857</v>
      </c>
      <c r="B1018" s="43" t="s">
        <v>1365</v>
      </c>
      <c r="C1018" s="43" t="s">
        <v>949</v>
      </c>
      <c r="D1018" s="43" t="s">
        <v>1366</v>
      </c>
      <c r="E1018" s="109" t="s">
        <v>851</v>
      </c>
      <c r="F1018" s="110">
        <v>1002953350</v>
      </c>
      <c r="G1018" s="43"/>
    </row>
    <row r="1019" spans="1:7" ht="30" x14ac:dyDescent="0.25">
      <c r="A1019" s="345" t="s">
        <v>1382</v>
      </c>
      <c r="B1019" s="345" t="s">
        <v>1382</v>
      </c>
      <c r="C1019" s="345" t="s">
        <v>1383</v>
      </c>
      <c r="D1019" s="345"/>
      <c r="E1019" s="346" t="s">
        <v>851</v>
      </c>
      <c r="F1019" s="347">
        <v>1003371767</v>
      </c>
      <c r="G1019" s="43"/>
    </row>
    <row r="1020" spans="1:7" ht="30" x14ac:dyDescent="0.25">
      <c r="A1020" s="43" t="s">
        <v>873</v>
      </c>
      <c r="B1020" s="43" t="s">
        <v>944</v>
      </c>
      <c r="C1020" s="43" t="s">
        <v>1399</v>
      </c>
      <c r="D1020" s="43" t="s">
        <v>1400</v>
      </c>
      <c r="E1020" s="109" t="s">
        <v>851</v>
      </c>
      <c r="F1020" s="110">
        <v>1002848796</v>
      </c>
      <c r="G1020" s="43"/>
    </row>
    <row r="1021" spans="1:7" ht="30" x14ac:dyDescent="0.25">
      <c r="A1021" s="345" t="s">
        <v>1439</v>
      </c>
      <c r="B1021" s="345" t="s">
        <v>884</v>
      </c>
      <c r="C1021" s="345" t="s">
        <v>1440</v>
      </c>
      <c r="D1021" s="345" t="s">
        <v>1294</v>
      </c>
      <c r="E1021" s="346" t="s">
        <v>851</v>
      </c>
      <c r="F1021" s="347">
        <v>1002847533</v>
      </c>
      <c r="G1021" s="43"/>
    </row>
    <row r="1022" spans="1:7" ht="30" x14ac:dyDescent="0.25">
      <c r="A1022" s="43" t="s">
        <v>1441</v>
      </c>
      <c r="B1022" s="43"/>
      <c r="C1022" s="43" t="s">
        <v>1284</v>
      </c>
      <c r="D1022" s="43" t="s">
        <v>1442</v>
      </c>
      <c r="E1022" s="109" t="s">
        <v>851</v>
      </c>
      <c r="F1022" s="110">
        <v>1002848635</v>
      </c>
      <c r="G1022" s="43"/>
    </row>
    <row r="1023" spans="1:7" ht="30" x14ac:dyDescent="0.25">
      <c r="A1023" s="345" t="s">
        <v>1441</v>
      </c>
      <c r="B1023" s="345" t="s">
        <v>914</v>
      </c>
      <c r="C1023" s="345" t="s">
        <v>1451</v>
      </c>
      <c r="D1023" s="345"/>
      <c r="E1023" s="346" t="s">
        <v>851</v>
      </c>
      <c r="F1023" s="347">
        <v>1059598007</v>
      </c>
      <c r="G1023" s="43"/>
    </row>
    <row r="1024" spans="1:7" ht="30" x14ac:dyDescent="0.25">
      <c r="A1024" s="43" t="s">
        <v>896</v>
      </c>
      <c r="B1024" s="43" t="s">
        <v>943</v>
      </c>
      <c r="C1024" s="43" t="s">
        <v>1452</v>
      </c>
      <c r="D1024" s="43" t="s">
        <v>1372</v>
      </c>
      <c r="E1024" s="109" t="s">
        <v>851</v>
      </c>
      <c r="F1024" s="110">
        <v>1059599315</v>
      </c>
      <c r="G1024" s="43"/>
    </row>
    <row r="1025" spans="1:7" ht="30" x14ac:dyDescent="0.25">
      <c r="A1025" s="345" t="s">
        <v>943</v>
      </c>
      <c r="B1025" s="345" t="s">
        <v>1144</v>
      </c>
      <c r="C1025" s="345" t="s">
        <v>1468</v>
      </c>
      <c r="D1025" s="345" t="s">
        <v>1281</v>
      </c>
      <c r="E1025" s="346" t="s">
        <v>851</v>
      </c>
      <c r="F1025" s="347">
        <v>1059607505</v>
      </c>
      <c r="G1025" s="43"/>
    </row>
    <row r="1026" spans="1:7" ht="30" x14ac:dyDescent="0.25">
      <c r="A1026" s="43" t="s">
        <v>884</v>
      </c>
      <c r="B1026" s="43" t="s">
        <v>914</v>
      </c>
      <c r="C1026" s="43" t="s">
        <v>1479</v>
      </c>
      <c r="D1026" s="43" t="s">
        <v>1480</v>
      </c>
      <c r="E1026" s="109" t="s">
        <v>851</v>
      </c>
      <c r="F1026" s="110">
        <v>1002847894</v>
      </c>
      <c r="G1026" s="43"/>
    </row>
    <row r="1027" spans="1:7" ht="30" x14ac:dyDescent="0.25">
      <c r="A1027" s="345" t="s">
        <v>884</v>
      </c>
      <c r="B1027" s="345" t="s">
        <v>1378</v>
      </c>
      <c r="C1027" s="345" t="s">
        <v>1494</v>
      </c>
      <c r="D1027" s="345" t="s">
        <v>1495</v>
      </c>
      <c r="E1027" s="346" t="s">
        <v>851</v>
      </c>
      <c r="F1027" s="347" t="s">
        <v>1496</v>
      </c>
      <c r="G1027" s="43"/>
    </row>
    <row r="1028" spans="1:7" ht="30" x14ac:dyDescent="0.25">
      <c r="A1028" s="43" t="s">
        <v>848</v>
      </c>
      <c r="B1028" s="43" t="s">
        <v>953</v>
      </c>
      <c r="C1028" s="43" t="s">
        <v>1501</v>
      </c>
      <c r="D1028" s="43" t="s">
        <v>919</v>
      </c>
      <c r="E1028" s="109" t="s">
        <v>851</v>
      </c>
      <c r="F1028" s="110" t="s">
        <v>1502</v>
      </c>
      <c r="G1028" s="43"/>
    </row>
    <row r="1029" spans="1:7" ht="30" x14ac:dyDescent="0.25">
      <c r="A1029" s="345" t="s">
        <v>992</v>
      </c>
      <c r="B1029" s="345" t="s">
        <v>848</v>
      </c>
      <c r="C1029" s="345" t="s">
        <v>1504</v>
      </c>
      <c r="D1029" s="345" t="s">
        <v>1157</v>
      </c>
      <c r="E1029" s="346" t="s">
        <v>851</v>
      </c>
      <c r="F1029" s="347">
        <v>1002848292</v>
      </c>
      <c r="G1029" s="43"/>
    </row>
    <row r="1030" spans="1:7" ht="30" x14ac:dyDescent="0.25">
      <c r="A1030" s="43" t="s">
        <v>1507</v>
      </c>
      <c r="B1030" s="43" t="s">
        <v>1365</v>
      </c>
      <c r="C1030" s="43" t="s">
        <v>1508</v>
      </c>
      <c r="D1030" s="43"/>
      <c r="E1030" s="109" t="s">
        <v>851</v>
      </c>
      <c r="F1030" s="110">
        <v>1059600322</v>
      </c>
      <c r="G1030" s="43"/>
    </row>
    <row r="1031" spans="1:7" ht="30" x14ac:dyDescent="0.25">
      <c r="A1031" s="345" t="s">
        <v>1041</v>
      </c>
      <c r="B1031" s="345" t="s">
        <v>1147</v>
      </c>
      <c r="C1031" s="345" t="s">
        <v>1512</v>
      </c>
      <c r="D1031" s="345"/>
      <c r="E1031" s="346" t="s">
        <v>851</v>
      </c>
      <c r="F1031" s="347">
        <v>1059604976</v>
      </c>
      <c r="G1031" s="43"/>
    </row>
    <row r="1032" spans="1:7" ht="30" x14ac:dyDescent="0.25">
      <c r="A1032" s="43" t="s">
        <v>1513</v>
      </c>
      <c r="B1032" s="43" t="s">
        <v>1514</v>
      </c>
      <c r="C1032" s="43" t="s">
        <v>1515</v>
      </c>
      <c r="D1032" s="43"/>
      <c r="E1032" s="109" t="s">
        <v>851</v>
      </c>
      <c r="F1032" s="110">
        <v>1067461286</v>
      </c>
      <c r="G1032" s="43"/>
    </row>
    <row r="1033" spans="1:7" ht="30" x14ac:dyDescent="0.25">
      <c r="A1033" s="345" t="s">
        <v>1519</v>
      </c>
      <c r="B1033" s="345" t="s">
        <v>848</v>
      </c>
      <c r="C1033" s="345" t="s">
        <v>1520</v>
      </c>
      <c r="D1033" s="345" t="s">
        <v>1521</v>
      </c>
      <c r="E1033" s="346" t="s">
        <v>851</v>
      </c>
      <c r="F1033" s="347">
        <v>1002950269</v>
      </c>
      <c r="G1033" s="43"/>
    </row>
    <row r="1034" spans="1:7" ht="30" x14ac:dyDescent="0.25">
      <c r="A1034" s="43" t="s">
        <v>1286</v>
      </c>
      <c r="B1034" s="43" t="s">
        <v>980</v>
      </c>
      <c r="C1034" s="43" t="s">
        <v>1528</v>
      </c>
      <c r="D1034" s="43" t="s">
        <v>1281</v>
      </c>
      <c r="E1034" s="109" t="s">
        <v>851</v>
      </c>
      <c r="F1034" s="110">
        <v>1059596092</v>
      </c>
      <c r="G1034" s="43"/>
    </row>
    <row r="1035" spans="1:7" ht="30" x14ac:dyDescent="0.25">
      <c r="A1035" s="345" t="s">
        <v>884</v>
      </c>
      <c r="B1035" s="345" t="s">
        <v>1144</v>
      </c>
      <c r="C1035" s="345" t="s">
        <v>1534</v>
      </c>
      <c r="D1035" s="345"/>
      <c r="E1035" s="346" t="s">
        <v>851</v>
      </c>
      <c r="F1035" s="353">
        <v>1002846626</v>
      </c>
      <c r="G1035" s="43"/>
    </row>
    <row r="1036" spans="1:7" ht="30" x14ac:dyDescent="0.25">
      <c r="A1036" s="43" t="s">
        <v>1246</v>
      </c>
      <c r="B1036" s="43" t="s">
        <v>943</v>
      </c>
      <c r="C1036" s="43" t="s">
        <v>1535</v>
      </c>
      <c r="D1036" s="43"/>
      <c r="E1036" s="109" t="s">
        <v>851</v>
      </c>
      <c r="F1036" s="354">
        <v>1002848307</v>
      </c>
      <c r="G1036" s="43"/>
    </row>
    <row r="1037" spans="1:7" ht="30" x14ac:dyDescent="0.25">
      <c r="A1037" s="345" t="s">
        <v>873</v>
      </c>
      <c r="B1037" s="345" t="s">
        <v>1091</v>
      </c>
      <c r="C1037" s="345" t="s">
        <v>1277</v>
      </c>
      <c r="D1037" s="345"/>
      <c r="E1037" s="346" t="s">
        <v>851</v>
      </c>
      <c r="F1037" s="355">
        <v>1059598472</v>
      </c>
      <c r="G1037" s="43"/>
    </row>
    <row r="1038" spans="1:7" ht="30" x14ac:dyDescent="0.25">
      <c r="A1038" s="43" t="s">
        <v>896</v>
      </c>
      <c r="B1038" s="43" t="s">
        <v>953</v>
      </c>
      <c r="C1038" s="43" t="s">
        <v>1217</v>
      </c>
      <c r="D1038" s="43" t="s">
        <v>1471</v>
      </c>
      <c r="E1038" s="109" t="s">
        <v>851</v>
      </c>
      <c r="F1038" s="354">
        <v>1059602285</v>
      </c>
      <c r="G1038" s="43"/>
    </row>
    <row r="1039" spans="1:7" ht="30" x14ac:dyDescent="0.25">
      <c r="A1039" s="345" t="s">
        <v>1540</v>
      </c>
      <c r="B1039" s="345" t="s">
        <v>943</v>
      </c>
      <c r="C1039" s="345" t="s">
        <v>1541</v>
      </c>
      <c r="D1039" s="345" t="s">
        <v>1542</v>
      </c>
      <c r="E1039" s="346" t="s">
        <v>851</v>
      </c>
      <c r="F1039" s="359" t="s">
        <v>1539</v>
      </c>
      <c r="G1039" s="43"/>
    </row>
    <row r="1040" spans="1:7" ht="30" x14ac:dyDescent="0.25">
      <c r="A1040" s="43" t="s">
        <v>1144</v>
      </c>
      <c r="B1040" s="43" t="s">
        <v>996</v>
      </c>
      <c r="C1040" s="43" t="s">
        <v>1192</v>
      </c>
      <c r="D1040" s="43"/>
      <c r="E1040" s="109" t="s">
        <v>851</v>
      </c>
      <c r="F1040" s="354">
        <v>1059604012</v>
      </c>
      <c r="G1040" s="43"/>
    </row>
    <row r="1041" spans="1:7" ht="30" x14ac:dyDescent="0.25">
      <c r="A1041" s="345" t="s">
        <v>943</v>
      </c>
      <c r="B1041" s="345" t="s">
        <v>1144</v>
      </c>
      <c r="C1041" s="345" t="s">
        <v>1504</v>
      </c>
      <c r="D1041" s="345" t="s">
        <v>1281</v>
      </c>
      <c r="E1041" s="346" t="s">
        <v>1094</v>
      </c>
      <c r="F1041" s="347">
        <v>1059599329</v>
      </c>
      <c r="G1041" s="43"/>
    </row>
    <row r="1042" spans="1:7" ht="30" x14ac:dyDescent="0.25">
      <c r="A1042" s="43" t="s">
        <v>953</v>
      </c>
      <c r="B1042" s="43" t="s">
        <v>1249</v>
      </c>
      <c r="C1042" s="43" t="s">
        <v>1556</v>
      </c>
      <c r="D1042" s="43"/>
      <c r="E1042" s="109" t="s">
        <v>1094</v>
      </c>
      <c r="F1042" s="110">
        <v>1059599873</v>
      </c>
      <c r="G1042" s="43"/>
    </row>
    <row r="1043" spans="1:7" ht="30" x14ac:dyDescent="0.25">
      <c r="A1043" s="345" t="s">
        <v>896</v>
      </c>
      <c r="B1043" s="345" t="s">
        <v>915</v>
      </c>
      <c r="C1043" s="345" t="s">
        <v>1585</v>
      </c>
      <c r="D1043" s="345"/>
      <c r="E1043" s="346" t="s">
        <v>851</v>
      </c>
      <c r="F1043" s="347">
        <v>1059595460</v>
      </c>
      <c r="G1043" s="43"/>
    </row>
    <row r="1044" spans="1:7" ht="30" x14ac:dyDescent="0.25">
      <c r="A1044" s="43" t="s">
        <v>873</v>
      </c>
      <c r="B1044" s="43" t="s">
        <v>874</v>
      </c>
      <c r="C1044" s="43" t="s">
        <v>1215</v>
      </c>
      <c r="D1044" s="43"/>
      <c r="E1044" s="109" t="s">
        <v>851</v>
      </c>
      <c r="F1044" s="110">
        <v>1002849181</v>
      </c>
      <c r="G1044" s="43"/>
    </row>
    <row r="1045" spans="1:7" ht="30" x14ac:dyDescent="0.25">
      <c r="A1045" s="345" t="s">
        <v>1580</v>
      </c>
      <c r="B1045" s="345" t="s">
        <v>914</v>
      </c>
      <c r="C1045" s="345" t="s">
        <v>1581</v>
      </c>
      <c r="D1045" s="345" t="s">
        <v>1464</v>
      </c>
      <c r="E1045" s="346" t="s">
        <v>851</v>
      </c>
      <c r="F1045" s="359">
        <v>1002846447</v>
      </c>
      <c r="G1045" s="43"/>
    </row>
    <row r="1046" spans="1:7" ht="30" x14ac:dyDescent="0.25">
      <c r="A1046" s="43" t="s">
        <v>1583</v>
      </c>
      <c r="B1046" s="43" t="s">
        <v>873</v>
      </c>
      <c r="C1046" s="43" t="s">
        <v>1584</v>
      </c>
      <c r="D1046" s="43"/>
      <c r="E1046" s="109" t="s">
        <v>851</v>
      </c>
      <c r="F1046" s="356" t="s">
        <v>1582</v>
      </c>
      <c r="G1046" s="43"/>
    </row>
    <row r="1047" spans="1:7" ht="30" x14ac:dyDescent="0.25">
      <c r="A1047" s="345" t="s">
        <v>1590</v>
      </c>
      <c r="B1047" s="345" t="s">
        <v>874</v>
      </c>
      <c r="C1047" s="345" t="s">
        <v>1591</v>
      </c>
      <c r="D1047" s="345"/>
      <c r="E1047" s="346" t="s">
        <v>851</v>
      </c>
      <c r="F1047" s="359" t="s">
        <v>1589</v>
      </c>
      <c r="G1047" s="43"/>
    </row>
    <row r="1048" spans="1:7" ht="30" x14ac:dyDescent="0.25">
      <c r="A1048" s="43" t="s">
        <v>1598</v>
      </c>
      <c r="B1048" s="43" t="s">
        <v>1599</v>
      </c>
      <c r="C1048" s="43" t="s">
        <v>1597</v>
      </c>
      <c r="D1048" s="43"/>
      <c r="E1048" s="109" t="s">
        <v>851</v>
      </c>
      <c r="F1048" s="110">
        <v>1002846452</v>
      </c>
      <c r="G1048" s="43"/>
    </row>
    <row r="1049" spans="1:7" ht="30" x14ac:dyDescent="0.25">
      <c r="A1049" s="345" t="s">
        <v>914</v>
      </c>
      <c r="B1049" s="345" t="s">
        <v>1601</v>
      </c>
      <c r="C1049" s="345" t="s">
        <v>1602</v>
      </c>
      <c r="D1049" s="345"/>
      <c r="E1049" s="346" t="s">
        <v>851</v>
      </c>
      <c r="F1049" s="347">
        <v>1003370775</v>
      </c>
      <c r="G1049" s="43"/>
    </row>
    <row r="1050" spans="1:7" ht="30" x14ac:dyDescent="0.25">
      <c r="A1050" s="43" t="s">
        <v>896</v>
      </c>
      <c r="B1050" s="43" t="s">
        <v>1599</v>
      </c>
      <c r="C1050" s="43" t="s">
        <v>1607</v>
      </c>
      <c r="D1050" s="43" t="s">
        <v>1608</v>
      </c>
      <c r="E1050" s="109" t="s">
        <v>851</v>
      </c>
      <c r="F1050" s="110">
        <v>1060800773</v>
      </c>
      <c r="G1050" s="43"/>
    </row>
    <row r="1051" spans="1:7" ht="30" x14ac:dyDescent="0.25">
      <c r="A1051" s="345" t="s">
        <v>1439</v>
      </c>
      <c r="B1051" s="345" t="s">
        <v>848</v>
      </c>
      <c r="C1051" s="345" t="s">
        <v>1437</v>
      </c>
      <c r="D1051" s="345"/>
      <c r="E1051" s="346" t="s">
        <v>851</v>
      </c>
      <c r="F1051" s="347">
        <v>1059595628</v>
      </c>
      <c r="G1051" s="43"/>
    </row>
    <row r="1052" spans="1:7" ht="30" x14ac:dyDescent="0.25">
      <c r="A1052" s="43" t="s">
        <v>873</v>
      </c>
      <c r="B1052" s="43" t="s">
        <v>874</v>
      </c>
      <c r="C1052" s="43" t="s">
        <v>1612</v>
      </c>
      <c r="D1052" s="43" t="s">
        <v>1613</v>
      </c>
      <c r="E1052" s="109" t="s">
        <v>851</v>
      </c>
      <c r="F1052" s="110">
        <v>1002849103</v>
      </c>
      <c r="G1052" s="43"/>
    </row>
    <row r="1053" spans="1:7" ht="30" x14ac:dyDescent="0.25">
      <c r="A1053" s="345" t="s">
        <v>1637</v>
      </c>
      <c r="B1053" s="345" t="s">
        <v>1638</v>
      </c>
      <c r="C1053" s="345" t="s">
        <v>1028</v>
      </c>
      <c r="D1053" s="345"/>
      <c r="E1053" s="346" t="s">
        <v>851</v>
      </c>
      <c r="F1053" s="358">
        <v>1060986729</v>
      </c>
      <c r="G1053" s="43"/>
    </row>
    <row r="1054" spans="1:7" ht="30" x14ac:dyDescent="0.25">
      <c r="A1054" s="43" t="s">
        <v>1249</v>
      </c>
      <c r="B1054" s="43" t="s">
        <v>914</v>
      </c>
      <c r="C1054" s="43" t="s">
        <v>1659</v>
      </c>
      <c r="D1054" s="43"/>
      <c r="E1054" s="109" t="s">
        <v>851</v>
      </c>
      <c r="F1054" s="110">
        <v>1059597497</v>
      </c>
      <c r="G1054" s="43"/>
    </row>
    <row r="1055" spans="1:7" ht="30" x14ac:dyDescent="0.25">
      <c r="A1055" s="345" t="s">
        <v>1439</v>
      </c>
      <c r="B1055" s="345" t="s">
        <v>848</v>
      </c>
      <c r="C1055" s="345" t="s">
        <v>1437</v>
      </c>
      <c r="D1055" s="345"/>
      <c r="E1055" s="346" t="s">
        <v>851</v>
      </c>
      <c r="F1055" s="347">
        <v>1059595628</v>
      </c>
      <c r="G1055" s="43"/>
    </row>
    <row r="1056" spans="1:7" ht="30" x14ac:dyDescent="0.25">
      <c r="A1056" s="43" t="s">
        <v>953</v>
      </c>
      <c r="B1056" s="43" t="s">
        <v>1660</v>
      </c>
      <c r="C1056" s="43" t="s">
        <v>1217</v>
      </c>
      <c r="D1056" s="43" t="s">
        <v>1661</v>
      </c>
      <c r="E1056" s="109" t="s">
        <v>851</v>
      </c>
      <c r="F1056" s="110">
        <v>1002848134</v>
      </c>
      <c r="G1056" s="43"/>
    </row>
    <row r="1057" spans="1:7" ht="30" x14ac:dyDescent="0.25">
      <c r="A1057" s="345" t="s">
        <v>980</v>
      </c>
      <c r="B1057" s="345" t="s">
        <v>1666</v>
      </c>
      <c r="C1057" s="345" t="s">
        <v>1287</v>
      </c>
      <c r="D1057" s="345" t="s">
        <v>919</v>
      </c>
      <c r="E1057" s="346" t="s">
        <v>851</v>
      </c>
      <c r="F1057" s="347">
        <v>1002846819</v>
      </c>
      <c r="G1057" s="43"/>
    </row>
    <row r="1058" spans="1:7" ht="30" x14ac:dyDescent="0.25">
      <c r="A1058" s="43" t="s">
        <v>1667</v>
      </c>
      <c r="B1058" s="43" t="s">
        <v>1668</v>
      </c>
      <c r="C1058" s="43" t="s">
        <v>1669</v>
      </c>
      <c r="D1058" s="43"/>
      <c r="E1058" s="109" t="s">
        <v>851</v>
      </c>
      <c r="F1058" s="110">
        <v>1064426895</v>
      </c>
      <c r="G1058" s="43"/>
    </row>
    <row r="1059" spans="1:7" ht="30" x14ac:dyDescent="0.25">
      <c r="A1059" s="345" t="s">
        <v>1210</v>
      </c>
      <c r="B1059" s="345" t="s">
        <v>848</v>
      </c>
      <c r="C1059" s="345" t="s">
        <v>1670</v>
      </c>
      <c r="D1059" s="345" t="s">
        <v>1671</v>
      </c>
      <c r="E1059" s="346" t="s">
        <v>851</v>
      </c>
      <c r="F1059" s="347">
        <v>1059602883</v>
      </c>
      <c r="G1059" s="43"/>
    </row>
    <row r="1060" spans="1:7" ht="30" x14ac:dyDescent="0.25">
      <c r="A1060" s="43" t="s">
        <v>943</v>
      </c>
      <c r="B1060" s="43" t="s">
        <v>848</v>
      </c>
      <c r="C1060" s="43" t="s">
        <v>1673</v>
      </c>
      <c r="D1060" s="43" t="s">
        <v>1674</v>
      </c>
      <c r="E1060" s="109" t="s">
        <v>851</v>
      </c>
      <c r="F1060" s="361" t="s">
        <v>1672</v>
      </c>
      <c r="G1060" s="43"/>
    </row>
    <row r="1061" spans="1:7" ht="30" x14ac:dyDescent="0.25">
      <c r="A1061" s="345" t="s">
        <v>1677</v>
      </c>
      <c r="B1061" s="345" t="s">
        <v>962</v>
      </c>
      <c r="C1061" s="345" t="s">
        <v>1678</v>
      </c>
      <c r="D1061" s="345" t="s">
        <v>1679</v>
      </c>
      <c r="E1061" s="346" t="s">
        <v>1094</v>
      </c>
      <c r="F1061" s="362" t="s">
        <v>1676</v>
      </c>
      <c r="G1061" s="43"/>
    </row>
    <row r="1062" spans="1:7" ht="30" x14ac:dyDescent="0.25">
      <c r="A1062" s="43" t="s">
        <v>1286</v>
      </c>
      <c r="B1062" s="43" t="s">
        <v>943</v>
      </c>
      <c r="C1062" s="43" t="s">
        <v>1681</v>
      </c>
      <c r="D1062" s="43"/>
      <c r="E1062" s="109" t="s">
        <v>851</v>
      </c>
      <c r="F1062" s="363" t="s">
        <v>1680</v>
      </c>
      <c r="G1062" s="43"/>
    </row>
    <row r="1063" spans="1:7" x14ac:dyDescent="0.25">
      <c r="A1063" s="421" t="s">
        <v>1712</v>
      </c>
      <c r="B1063" s="421"/>
      <c r="C1063" s="421"/>
      <c r="D1063" s="421"/>
      <c r="E1063" s="421"/>
      <c r="F1063" s="421"/>
      <c r="G1063" s="43"/>
    </row>
    <row r="1064" spans="1:7" ht="45" x14ac:dyDescent="0.25">
      <c r="A1064" s="17" t="s">
        <v>94</v>
      </c>
      <c r="B1064" s="17" t="s">
        <v>21</v>
      </c>
      <c r="C1064" s="17" t="s">
        <v>0</v>
      </c>
      <c r="D1064" s="17" t="s">
        <v>1</v>
      </c>
      <c r="E1064" s="17" t="s">
        <v>2</v>
      </c>
      <c r="F1064" s="17" t="s">
        <v>3</v>
      </c>
      <c r="G1064" s="43"/>
    </row>
    <row r="1065" spans="1:7" ht="30" x14ac:dyDescent="0.25">
      <c r="A1065" s="43" t="s">
        <v>974</v>
      </c>
      <c r="B1065" s="43" t="s">
        <v>1144</v>
      </c>
      <c r="C1065" s="43" t="s">
        <v>1192</v>
      </c>
      <c r="D1065" s="43" t="s">
        <v>1193</v>
      </c>
      <c r="E1065" s="109" t="s">
        <v>1094</v>
      </c>
      <c r="F1065" s="110">
        <v>1059595334</v>
      </c>
      <c r="G1065" s="43"/>
    </row>
    <row r="1066" spans="1:7" ht="30" x14ac:dyDescent="0.25">
      <c r="A1066" s="345" t="s">
        <v>1332</v>
      </c>
      <c r="B1066" s="345" t="s">
        <v>1091</v>
      </c>
      <c r="C1066" s="345" t="s">
        <v>1333</v>
      </c>
      <c r="D1066" s="345"/>
      <c r="E1066" s="346" t="s">
        <v>1094</v>
      </c>
      <c r="F1066" s="347">
        <v>1059595374</v>
      </c>
      <c r="G1066" s="43"/>
    </row>
    <row r="1067" spans="1:7" ht="30" x14ac:dyDescent="0.25">
      <c r="A1067" s="43" t="s">
        <v>1441</v>
      </c>
      <c r="B1067" s="43" t="s">
        <v>884</v>
      </c>
      <c r="C1067" s="43" t="s">
        <v>1457</v>
      </c>
      <c r="D1067" s="43"/>
      <c r="E1067" s="109" t="s">
        <v>851</v>
      </c>
      <c r="F1067" s="110">
        <v>25545401</v>
      </c>
      <c r="G1067" s="43"/>
    </row>
    <row r="1068" spans="1:7" ht="30" x14ac:dyDescent="0.25">
      <c r="A1068" s="345" t="s">
        <v>943</v>
      </c>
      <c r="B1068" s="345" t="s">
        <v>1144</v>
      </c>
      <c r="C1068" s="345" t="s">
        <v>1468</v>
      </c>
      <c r="D1068" s="345" t="s">
        <v>1281</v>
      </c>
      <c r="E1068" s="346" t="s">
        <v>851</v>
      </c>
      <c r="F1068" s="347">
        <v>1059607505</v>
      </c>
      <c r="G1068" s="43"/>
    </row>
    <row r="1069" spans="1:7" ht="30" x14ac:dyDescent="0.25">
      <c r="A1069" s="43" t="s">
        <v>974</v>
      </c>
      <c r="B1069" s="43" t="s">
        <v>943</v>
      </c>
      <c r="C1069" s="43" t="s">
        <v>1217</v>
      </c>
      <c r="D1069" s="43" t="s">
        <v>1490</v>
      </c>
      <c r="E1069" s="109" t="s">
        <v>851</v>
      </c>
      <c r="F1069" s="110" t="s">
        <v>1491</v>
      </c>
      <c r="G1069" s="43"/>
    </row>
    <row r="1070" spans="1:7" ht="30" x14ac:dyDescent="0.25">
      <c r="A1070" s="345" t="s">
        <v>848</v>
      </c>
      <c r="B1070" s="345" t="s">
        <v>953</v>
      </c>
      <c r="C1070" s="345" t="s">
        <v>1501</v>
      </c>
      <c r="D1070" s="345" t="s">
        <v>919</v>
      </c>
      <c r="E1070" s="346" t="s">
        <v>851</v>
      </c>
      <c r="F1070" s="347" t="s">
        <v>1502</v>
      </c>
      <c r="G1070" s="43"/>
    </row>
    <row r="1071" spans="1:7" ht="30" x14ac:dyDescent="0.25">
      <c r="A1071" s="43" t="s">
        <v>1513</v>
      </c>
      <c r="B1071" s="43" t="s">
        <v>1514</v>
      </c>
      <c r="C1071" s="43" t="s">
        <v>1515</v>
      </c>
      <c r="D1071" s="43"/>
      <c r="E1071" s="109" t="s">
        <v>851</v>
      </c>
      <c r="F1071" s="110">
        <v>1067461286</v>
      </c>
      <c r="G1071" s="43"/>
    </row>
    <row r="1072" spans="1:7" ht="30" x14ac:dyDescent="0.25">
      <c r="A1072" s="345" t="s">
        <v>1519</v>
      </c>
      <c r="B1072" s="345" t="s">
        <v>848</v>
      </c>
      <c r="C1072" s="345" t="s">
        <v>1520</v>
      </c>
      <c r="D1072" s="345" t="s">
        <v>1521</v>
      </c>
      <c r="E1072" s="346" t="s">
        <v>851</v>
      </c>
      <c r="F1072" s="347">
        <v>1002950269</v>
      </c>
      <c r="G1072" s="43"/>
    </row>
    <row r="1073" spans="1:7" ht="30" x14ac:dyDescent="0.25">
      <c r="A1073" s="43" t="s">
        <v>896</v>
      </c>
      <c r="B1073" s="43" t="s">
        <v>953</v>
      </c>
      <c r="C1073" s="43" t="s">
        <v>1530</v>
      </c>
      <c r="D1073" s="43" t="s">
        <v>1182</v>
      </c>
      <c r="E1073" s="109" t="s">
        <v>851</v>
      </c>
      <c r="F1073" s="110">
        <v>1059594419</v>
      </c>
      <c r="G1073" s="43"/>
    </row>
    <row r="1074" spans="1:7" ht="30" x14ac:dyDescent="0.25">
      <c r="A1074" s="345" t="s">
        <v>896</v>
      </c>
      <c r="B1074" s="345" t="s">
        <v>1091</v>
      </c>
      <c r="C1074" s="345" t="s">
        <v>1538</v>
      </c>
      <c r="D1074" s="345"/>
      <c r="E1074" s="346" t="s">
        <v>851</v>
      </c>
      <c r="F1074" s="347">
        <v>1002846350</v>
      </c>
      <c r="G1074" s="43"/>
    </row>
    <row r="1075" spans="1:7" ht="30" x14ac:dyDescent="0.25">
      <c r="A1075" s="43" t="s">
        <v>1540</v>
      </c>
      <c r="B1075" s="43" t="s">
        <v>943</v>
      </c>
      <c r="C1075" s="43" t="s">
        <v>1541</v>
      </c>
      <c r="D1075" s="43" t="s">
        <v>1542</v>
      </c>
      <c r="E1075" s="109" t="s">
        <v>851</v>
      </c>
      <c r="F1075" s="356" t="s">
        <v>1539</v>
      </c>
      <c r="G1075" s="43"/>
    </row>
    <row r="1076" spans="1:7" ht="30" x14ac:dyDescent="0.25">
      <c r="A1076" s="345" t="s">
        <v>943</v>
      </c>
      <c r="B1076" s="345" t="s">
        <v>1144</v>
      </c>
      <c r="C1076" s="345" t="s">
        <v>1504</v>
      </c>
      <c r="D1076" s="345" t="s">
        <v>1281</v>
      </c>
      <c r="E1076" s="346" t="s">
        <v>1094</v>
      </c>
      <c r="F1076" s="347">
        <v>1059599329</v>
      </c>
      <c r="G1076" s="43"/>
    </row>
    <row r="1077" spans="1:7" ht="30" x14ac:dyDescent="0.25">
      <c r="A1077" s="43" t="s">
        <v>953</v>
      </c>
      <c r="B1077" s="43" t="s">
        <v>1286</v>
      </c>
      <c r="C1077" s="43" t="s">
        <v>1463</v>
      </c>
      <c r="D1077" s="43" t="s">
        <v>1579</v>
      </c>
      <c r="E1077" s="109" t="s">
        <v>851</v>
      </c>
      <c r="F1077" s="356" t="s">
        <v>1578</v>
      </c>
      <c r="G1077" s="43"/>
    </row>
    <row r="1078" spans="1:7" ht="30" x14ac:dyDescent="0.25">
      <c r="A1078" s="345" t="s">
        <v>1590</v>
      </c>
      <c r="B1078" s="345" t="s">
        <v>874</v>
      </c>
      <c r="C1078" s="345" t="s">
        <v>1591</v>
      </c>
      <c r="D1078" s="345"/>
      <c r="E1078" s="346" t="s">
        <v>851</v>
      </c>
      <c r="F1078" s="359" t="s">
        <v>1589</v>
      </c>
      <c r="G1078" s="43"/>
    </row>
    <row r="1079" spans="1:7" ht="30" x14ac:dyDescent="0.25">
      <c r="A1079" s="43" t="s">
        <v>1286</v>
      </c>
      <c r="B1079" s="43" t="s">
        <v>1594</v>
      </c>
      <c r="C1079" s="43" t="s">
        <v>1420</v>
      </c>
      <c r="D1079" s="43"/>
      <c r="E1079" s="109" t="s">
        <v>1094</v>
      </c>
      <c r="F1079" s="356" t="s">
        <v>1593</v>
      </c>
      <c r="G1079" s="43"/>
    </row>
    <row r="1080" spans="1:7" ht="30" x14ac:dyDescent="0.25">
      <c r="A1080" s="345" t="s">
        <v>914</v>
      </c>
      <c r="B1080" s="345" t="s">
        <v>943</v>
      </c>
      <c r="C1080" s="345" t="s">
        <v>1198</v>
      </c>
      <c r="D1080" s="345"/>
      <c r="E1080" s="346" t="s">
        <v>851</v>
      </c>
      <c r="F1080" s="347">
        <v>1059605317</v>
      </c>
      <c r="G1080" s="43"/>
    </row>
    <row r="1081" spans="1:7" ht="30" x14ac:dyDescent="0.25">
      <c r="A1081" s="43" t="s">
        <v>1439</v>
      </c>
      <c r="B1081" s="43" t="s">
        <v>848</v>
      </c>
      <c r="C1081" s="43" t="s">
        <v>1437</v>
      </c>
      <c r="D1081" s="43"/>
      <c r="E1081" s="109" t="s">
        <v>851</v>
      </c>
      <c r="F1081" s="110">
        <v>1059595628</v>
      </c>
      <c r="G1081" s="43"/>
    </row>
    <row r="1082" spans="1:7" ht="30" x14ac:dyDescent="0.25">
      <c r="A1082" s="345" t="s">
        <v>873</v>
      </c>
      <c r="B1082" s="345" t="s">
        <v>874</v>
      </c>
      <c r="C1082" s="345" t="s">
        <v>1612</v>
      </c>
      <c r="D1082" s="345" t="s">
        <v>1613</v>
      </c>
      <c r="E1082" s="346" t="s">
        <v>851</v>
      </c>
      <c r="F1082" s="347">
        <v>1002849103</v>
      </c>
      <c r="G1082" s="43"/>
    </row>
    <row r="1083" spans="1:7" ht="30" x14ac:dyDescent="0.25">
      <c r="A1083" s="43" t="s">
        <v>1629</v>
      </c>
      <c r="B1083" s="43" t="s">
        <v>1249</v>
      </c>
      <c r="C1083" s="43" t="s">
        <v>1630</v>
      </c>
      <c r="D1083" s="43"/>
      <c r="E1083" s="109" t="s">
        <v>851</v>
      </c>
      <c r="F1083" s="43">
        <v>1059601748</v>
      </c>
      <c r="G1083" s="43"/>
    </row>
    <row r="1084" spans="1:7" ht="30" x14ac:dyDescent="0.25">
      <c r="A1084" s="345" t="s">
        <v>896</v>
      </c>
      <c r="B1084" s="345" t="s">
        <v>1632</v>
      </c>
      <c r="C1084" s="345" t="s">
        <v>1633</v>
      </c>
      <c r="D1084" s="345"/>
      <c r="E1084" s="346" t="s">
        <v>851</v>
      </c>
      <c r="F1084" s="360" t="s">
        <v>1631</v>
      </c>
      <c r="G1084" s="43"/>
    </row>
    <row r="1085" spans="1:7" ht="30" x14ac:dyDescent="0.25">
      <c r="A1085" s="43" t="s">
        <v>1439</v>
      </c>
      <c r="B1085" s="43" t="s">
        <v>848</v>
      </c>
      <c r="C1085" s="43" t="s">
        <v>1437</v>
      </c>
      <c r="D1085" s="43"/>
      <c r="E1085" s="109" t="s">
        <v>851</v>
      </c>
      <c r="F1085" s="110">
        <v>1059595628</v>
      </c>
      <c r="G1085" s="43"/>
    </row>
    <row r="1086" spans="1:7" ht="30" x14ac:dyDescent="0.25">
      <c r="A1086" s="345" t="s">
        <v>953</v>
      </c>
      <c r="B1086" s="345" t="s">
        <v>1660</v>
      </c>
      <c r="C1086" s="345" t="s">
        <v>1217</v>
      </c>
      <c r="D1086" s="345" t="s">
        <v>1661</v>
      </c>
      <c r="E1086" s="346" t="s">
        <v>851</v>
      </c>
      <c r="F1086" s="347">
        <v>1002848134</v>
      </c>
      <c r="G1086" s="43"/>
    </row>
    <row r="1087" spans="1:7" ht="30" x14ac:dyDescent="0.25">
      <c r="A1087" s="43" t="s">
        <v>980</v>
      </c>
      <c r="B1087" s="43" t="s">
        <v>1666</v>
      </c>
      <c r="C1087" s="43" t="s">
        <v>1287</v>
      </c>
      <c r="D1087" s="43" t="s">
        <v>919</v>
      </c>
      <c r="E1087" s="109" t="s">
        <v>851</v>
      </c>
      <c r="F1087" s="110">
        <v>1002846819</v>
      </c>
      <c r="G1087" s="43"/>
    </row>
    <row r="1088" spans="1:7" ht="30" x14ac:dyDescent="0.25">
      <c r="A1088" s="345" t="s">
        <v>1667</v>
      </c>
      <c r="B1088" s="345" t="s">
        <v>1668</v>
      </c>
      <c r="C1088" s="345" t="s">
        <v>1669</v>
      </c>
      <c r="D1088" s="345"/>
      <c r="E1088" s="346" t="s">
        <v>851</v>
      </c>
      <c r="F1088" s="347">
        <v>1064426895</v>
      </c>
      <c r="G1088" s="43"/>
    </row>
    <row r="1089" spans="1:7" ht="30" x14ac:dyDescent="0.25">
      <c r="A1089" s="43" t="s">
        <v>1210</v>
      </c>
      <c r="B1089" s="43" t="s">
        <v>848</v>
      </c>
      <c r="C1089" s="43" t="s">
        <v>1670</v>
      </c>
      <c r="D1089" s="43" t="s">
        <v>1671</v>
      </c>
      <c r="E1089" s="109" t="s">
        <v>851</v>
      </c>
      <c r="F1089" s="110">
        <v>1059602883</v>
      </c>
      <c r="G1089" s="43"/>
    </row>
    <row r="1090" spans="1:7" ht="30" x14ac:dyDescent="0.25">
      <c r="A1090" s="345" t="s">
        <v>943</v>
      </c>
      <c r="B1090" s="345" t="s">
        <v>848</v>
      </c>
      <c r="C1090" s="345" t="s">
        <v>1673</v>
      </c>
      <c r="D1090" s="345" t="s">
        <v>1674</v>
      </c>
      <c r="E1090" s="346" t="s">
        <v>851</v>
      </c>
      <c r="F1090" s="366" t="s">
        <v>1672</v>
      </c>
      <c r="G1090" s="43"/>
    </row>
    <row r="1091" spans="1:7" ht="30" x14ac:dyDescent="0.25">
      <c r="A1091" s="43" t="s">
        <v>1286</v>
      </c>
      <c r="B1091" s="43" t="s">
        <v>943</v>
      </c>
      <c r="C1091" s="43" t="s">
        <v>1681</v>
      </c>
      <c r="D1091" s="43"/>
      <c r="E1091" s="109" t="s">
        <v>851</v>
      </c>
      <c r="F1091" s="363" t="s">
        <v>1680</v>
      </c>
      <c r="G1091" s="43"/>
    </row>
    <row r="1092" spans="1:7" x14ac:dyDescent="0.25">
      <c r="A1092" s="421" t="s">
        <v>1713</v>
      </c>
      <c r="B1092" s="421"/>
      <c r="C1092" s="421"/>
      <c r="D1092" s="421"/>
      <c r="E1092" s="421"/>
      <c r="F1092" s="421"/>
      <c r="G1092" s="43"/>
    </row>
    <row r="1093" spans="1:7" ht="45" x14ac:dyDescent="0.25">
      <c r="A1093" s="17" t="s">
        <v>94</v>
      </c>
      <c r="B1093" s="17" t="s">
        <v>21</v>
      </c>
      <c r="C1093" s="17" t="s">
        <v>0</v>
      </c>
      <c r="D1093" s="17" t="s">
        <v>1</v>
      </c>
      <c r="E1093" s="17" t="s">
        <v>2</v>
      </c>
      <c r="F1093" s="17" t="s">
        <v>3</v>
      </c>
      <c r="G1093" s="43"/>
    </row>
    <row r="1094" spans="1:7" ht="30" x14ac:dyDescent="0.25">
      <c r="A1094" s="43" t="s">
        <v>974</v>
      </c>
      <c r="B1094" s="43" t="s">
        <v>1144</v>
      </c>
      <c r="C1094" s="43" t="s">
        <v>1192</v>
      </c>
      <c r="D1094" s="43" t="s">
        <v>1193</v>
      </c>
      <c r="E1094" s="109" t="s">
        <v>1094</v>
      </c>
      <c r="F1094" s="110">
        <v>1059595334</v>
      </c>
      <c r="G1094" s="43"/>
    </row>
    <row r="1095" spans="1:7" ht="30" x14ac:dyDescent="0.25">
      <c r="A1095" s="345" t="s">
        <v>914</v>
      </c>
      <c r="B1095" s="345" t="s">
        <v>884</v>
      </c>
      <c r="C1095" s="345" t="s">
        <v>1296</v>
      </c>
      <c r="D1095" s="345" t="s">
        <v>850</v>
      </c>
      <c r="E1095" s="346" t="s">
        <v>851</v>
      </c>
      <c r="F1095" s="347">
        <v>1060186045</v>
      </c>
      <c r="G1095" s="43"/>
    </row>
    <row r="1096" spans="1:7" ht="30" x14ac:dyDescent="0.25">
      <c r="A1096" s="43" t="s">
        <v>1298</v>
      </c>
      <c r="B1096" s="43" t="s">
        <v>914</v>
      </c>
      <c r="C1096" s="43" t="s">
        <v>1299</v>
      </c>
      <c r="D1096" s="43" t="s">
        <v>1300</v>
      </c>
      <c r="E1096" s="109" t="s">
        <v>851</v>
      </c>
      <c r="F1096" s="110" t="s">
        <v>1301</v>
      </c>
      <c r="G1096" s="43"/>
    </row>
    <row r="1097" spans="1:7" ht="30" x14ac:dyDescent="0.25">
      <c r="A1097" s="345" t="s">
        <v>1305</v>
      </c>
      <c r="B1097" s="345" t="s">
        <v>884</v>
      </c>
      <c r="C1097" s="345" t="s">
        <v>1306</v>
      </c>
      <c r="D1097" s="345" t="s">
        <v>1307</v>
      </c>
      <c r="E1097" s="346" t="s">
        <v>851</v>
      </c>
      <c r="F1097" s="347">
        <v>1059604869</v>
      </c>
      <c r="G1097" s="43"/>
    </row>
    <row r="1098" spans="1:7" ht="30" x14ac:dyDescent="0.25">
      <c r="A1098" s="43" t="s">
        <v>1332</v>
      </c>
      <c r="B1098" s="43" t="s">
        <v>1091</v>
      </c>
      <c r="C1098" s="43" t="s">
        <v>1333</v>
      </c>
      <c r="D1098" s="43"/>
      <c r="E1098" s="109" t="s">
        <v>1094</v>
      </c>
      <c r="F1098" s="110">
        <v>1059595374</v>
      </c>
      <c r="G1098" s="43"/>
    </row>
    <row r="1099" spans="1:7" ht="30" x14ac:dyDescent="0.25">
      <c r="A1099" s="345" t="s">
        <v>874</v>
      </c>
      <c r="B1099" s="345" t="s">
        <v>943</v>
      </c>
      <c r="C1099" s="345" t="s">
        <v>1340</v>
      </c>
      <c r="D1099" s="345"/>
      <c r="E1099" s="346" t="s">
        <v>1094</v>
      </c>
      <c r="F1099" s="347">
        <v>1059597393</v>
      </c>
      <c r="G1099" s="43"/>
    </row>
    <row r="1100" spans="1:7" ht="30" x14ac:dyDescent="0.25">
      <c r="A1100" s="43" t="s">
        <v>914</v>
      </c>
      <c r="B1100" s="43" t="s">
        <v>915</v>
      </c>
      <c r="C1100" s="43" t="s">
        <v>916</v>
      </c>
      <c r="D1100" s="43"/>
      <c r="E1100" s="109" t="s">
        <v>1094</v>
      </c>
      <c r="F1100" s="110">
        <v>1059598169</v>
      </c>
      <c r="G1100" s="43"/>
    </row>
    <row r="1101" spans="1:7" ht="30" x14ac:dyDescent="0.25">
      <c r="A1101" s="345" t="s">
        <v>1360</v>
      </c>
      <c r="B1101" s="345" t="s">
        <v>1361</v>
      </c>
      <c r="C1101" s="345" t="s">
        <v>938</v>
      </c>
      <c r="D1101" s="345" t="s">
        <v>1362</v>
      </c>
      <c r="E1101" s="346" t="s">
        <v>851</v>
      </c>
      <c r="F1101" s="347" t="s">
        <v>1363</v>
      </c>
      <c r="G1101" s="43"/>
    </row>
    <row r="1102" spans="1:7" ht="30" x14ac:dyDescent="0.25">
      <c r="A1102" s="43" t="s">
        <v>1286</v>
      </c>
      <c r="B1102" s="43" t="s">
        <v>914</v>
      </c>
      <c r="C1102" s="43" t="s">
        <v>1198</v>
      </c>
      <c r="D1102" s="43" t="s">
        <v>1364</v>
      </c>
      <c r="E1102" s="109" t="s">
        <v>851</v>
      </c>
      <c r="F1102" s="110">
        <v>1059600026</v>
      </c>
      <c r="G1102" s="43"/>
    </row>
    <row r="1103" spans="1:7" ht="30" x14ac:dyDescent="0.25">
      <c r="A1103" s="345" t="s">
        <v>857</v>
      </c>
      <c r="B1103" s="345" t="s">
        <v>1365</v>
      </c>
      <c r="C1103" s="345" t="s">
        <v>949</v>
      </c>
      <c r="D1103" s="345" t="s">
        <v>1366</v>
      </c>
      <c r="E1103" s="346" t="s">
        <v>851</v>
      </c>
      <c r="F1103" s="347">
        <v>1002953350</v>
      </c>
      <c r="G1103" s="43"/>
    </row>
    <row r="1104" spans="1:7" ht="30" x14ac:dyDescent="0.25">
      <c r="A1104" s="43" t="s">
        <v>979</v>
      </c>
      <c r="B1104" s="43" t="s">
        <v>943</v>
      </c>
      <c r="C1104" s="43" t="s">
        <v>1217</v>
      </c>
      <c r="D1104" s="43" t="s">
        <v>1398</v>
      </c>
      <c r="E1104" s="109" t="s">
        <v>851</v>
      </c>
      <c r="F1104" s="110">
        <v>1002846528</v>
      </c>
      <c r="G1104" s="43"/>
    </row>
    <row r="1105" spans="1:7" ht="30" x14ac:dyDescent="0.25">
      <c r="A1105" s="345" t="s">
        <v>873</v>
      </c>
      <c r="B1105" s="345" t="s">
        <v>944</v>
      </c>
      <c r="C1105" s="345" t="s">
        <v>1399</v>
      </c>
      <c r="D1105" s="345" t="s">
        <v>1400</v>
      </c>
      <c r="E1105" s="346" t="s">
        <v>851</v>
      </c>
      <c r="F1105" s="347">
        <v>1002848796</v>
      </c>
      <c r="G1105" s="43"/>
    </row>
    <row r="1106" spans="1:7" ht="30" x14ac:dyDescent="0.25">
      <c r="A1106" s="43" t="s">
        <v>1034</v>
      </c>
      <c r="B1106" s="43" t="s">
        <v>1166</v>
      </c>
      <c r="C1106" s="43" t="s">
        <v>1408</v>
      </c>
      <c r="D1106" s="43" t="s">
        <v>1409</v>
      </c>
      <c r="E1106" s="109" t="s">
        <v>851</v>
      </c>
      <c r="F1106" s="110">
        <v>1005860830</v>
      </c>
      <c r="G1106" s="43"/>
    </row>
    <row r="1107" spans="1:7" ht="30" x14ac:dyDescent="0.25">
      <c r="A1107" s="345" t="s">
        <v>944</v>
      </c>
      <c r="B1107" s="345" t="s">
        <v>943</v>
      </c>
      <c r="C1107" s="345" t="s">
        <v>1421</v>
      </c>
      <c r="D1107" s="345"/>
      <c r="E1107" s="346" t="s">
        <v>851</v>
      </c>
      <c r="F1107" s="347">
        <v>1002846330</v>
      </c>
      <c r="G1107" s="43"/>
    </row>
    <row r="1108" spans="1:7" ht="30" x14ac:dyDescent="0.25">
      <c r="A1108" s="43" t="s">
        <v>848</v>
      </c>
      <c r="B1108" s="43" t="s">
        <v>943</v>
      </c>
      <c r="C1108" s="43" t="s">
        <v>1423</v>
      </c>
      <c r="D1108" s="43"/>
      <c r="E1108" s="109" t="s">
        <v>851</v>
      </c>
      <c r="F1108" s="110">
        <v>1193097625</v>
      </c>
      <c r="G1108" s="43"/>
    </row>
    <row r="1109" spans="1:7" ht="30" x14ac:dyDescent="0.25">
      <c r="A1109" s="345" t="s">
        <v>1427</v>
      </c>
      <c r="B1109" s="345" t="s">
        <v>1428</v>
      </c>
      <c r="C1109" s="345" t="s">
        <v>1429</v>
      </c>
      <c r="D1109" s="345" t="s">
        <v>1430</v>
      </c>
      <c r="E1109" s="346" t="s">
        <v>851</v>
      </c>
      <c r="F1109" s="347">
        <v>1061528490</v>
      </c>
      <c r="G1109" s="43"/>
    </row>
    <row r="1110" spans="1:7" ht="30" x14ac:dyDescent="0.25">
      <c r="A1110" s="43" t="s">
        <v>1144</v>
      </c>
      <c r="B1110" s="43" t="s">
        <v>884</v>
      </c>
      <c r="C1110" s="43" t="s">
        <v>1432</v>
      </c>
      <c r="D1110" s="43" t="s">
        <v>1433</v>
      </c>
      <c r="E1110" s="109" t="s">
        <v>1094</v>
      </c>
      <c r="F1110" s="110">
        <v>1059596594</v>
      </c>
      <c r="G1110" s="43"/>
    </row>
    <row r="1111" spans="1:7" ht="30" x14ac:dyDescent="0.25">
      <c r="A1111" s="345" t="s">
        <v>1439</v>
      </c>
      <c r="B1111" s="345" t="s">
        <v>884</v>
      </c>
      <c r="C1111" s="345" t="s">
        <v>1440</v>
      </c>
      <c r="D1111" s="345" t="s">
        <v>1294</v>
      </c>
      <c r="E1111" s="346" t="s">
        <v>851</v>
      </c>
      <c r="F1111" s="347">
        <v>1002847533</v>
      </c>
      <c r="G1111" s="43"/>
    </row>
    <row r="1112" spans="1:7" ht="30" x14ac:dyDescent="0.25">
      <c r="A1112" s="43" t="s">
        <v>1441</v>
      </c>
      <c r="B1112" s="43"/>
      <c r="C1112" s="43" t="s">
        <v>1284</v>
      </c>
      <c r="D1112" s="43" t="s">
        <v>1442</v>
      </c>
      <c r="E1112" s="109" t="s">
        <v>851</v>
      </c>
      <c r="F1112" s="110">
        <v>1002848635</v>
      </c>
      <c r="G1112" s="43"/>
    </row>
    <row r="1113" spans="1:7" ht="30" x14ac:dyDescent="0.25">
      <c r="A1113" s="345" t="s">
        <v>1179</v>
      </c>
      <c r="B1113" s="345" t="s">
        <v>1435</v>
      </c>
      <c r="C1113" s="345" t="s">
        <v>1448</v>
      </c>
      <c r="D1113" s="345" t="s">
        <v>1294</v>
      </c>
      <c r="E1113" s="346" t="s">
        <v>851</v>
      </c>
      <c r="F1113" s="347">
        <v>1059594096</v>
      </c>
      <c r="G1113" s="43"/>
    </row>
    <row r="1114" spans="1:7" ht="30" x14ac:dyDescent="0.25">
      <c r="A1114" s="43" t="s">
        <v>1441</v>
      </c>
      <c r="B1114" s="43" t="s">
        <v>914</v>
      </c>
      <c r="C1114" s="43" t="s">
        <v>1451</v>
      </c>
      <c r="D1114" s="43"/>
      <c r="E1114" s="109" t="s">
        <v>851</v>
      </c>
      <c r="F1114" s="110">
        <v>1059598007</v>
      </c>
      <c r="G1114" s="43"/>
    </row>
    <row r="1115" spans="1:7" ht="30" x14ac:dyDescent="0.25">
      <c r="A1115" s="345" t="s">
        <v>896</v>
      </c>
      <c r="B1115" s="345" t="s">
        <v>943</v>
      </c>
      <c r="C1115" s="345" t="s">
        <v>1452</v>
      </c>
      <c r="D1115" s="345" t="s">
        <v>1372</v>
      </c>
      <c r="E1115" s="346" t="s">
        <v>851</v>
      </c>
      <c r="F1115" s="347">
        <v>1059599315</v>
      </c>
      <c r="G1115" s="43"/>
    </row>
    <row r="1116" spans="1:7" ht="30" x14ac:dyDescent="0.25">
      <c r="A1116" s="43" t="s">
        <v>1455</v>
      </c>
      <c r="B1116" s="43" t="s">
        <v>974</v>
      </c>
      <c r="C1116" s="43" t="s">
        <v>1305</v>
      </c>
      <c r="D1116" s="43" t="s">
        <v>1456</v>
      </c>
      <c r="E1116" s="109" t="s">
        <v>1094</v>
      </c>
      <c r="F1116" s="110">
        <v>1059595977</v>
      </c>
      <c r="G1116" s="43"/>
    </row>
    <row r="1117" spans="1:7" ht="30" x14ac:dyDescent="0.25">
      <c r="A1117" s="345" t="s">
        <v>1458</v>
      </c>
      <c r="B1117" s="345" t="s">
        <v>1459</v>
      </c>
      <c r="C1117" s="345" t="s">
        <v>1460</v>
      </c>
      <c r="D1117" s="345" t="s">
        <v>976</v>
      </c>
      <c r="E1117" s="346" t="s">
        <v>1094</v>
      </c>
      <c r="F1117" s="347">
        <v>1062295885</v>
      </c>
      <c r="G1117" s="43"/>
    </row>
    <row r="1118" spans="1:7" ht="30" x14ac:dyDescent="0.25">
      <c r="A1118" s="43" t="s">
        <v>964</v>
      </c>
      <c r="B1118" s="43" t="s">
        <v>1465</v>
      </c>
      <c r="C1118" s="43" t="s">
        <v>1002</v>
      </c>
      <c r="D1118" s="43" t="s">
        <v>1366</v>
      </c>
      <c r="E1118" s="109" t="s">
        <v>1094</v>
      </c>
      <c r="F1118" s="110">
        <v>1061530990</v>
      </c>
      <c r="G1118" s="43"/>
    </row>
    <row r="1119" spans="1:7" ht="30" x14ac:dyDescent="0.25">
      <c r="A1119" s="345" t="s">
        <v>943</v>
      </c>
      <c r="B1119" s="345" t="s">
        <v>1144</v>
      </c>
      <c r="C1119" s="345" t="s">
        <v>1468</v>
      </c>
      <c r="D1119" s="345" t="s">
        <v>1281</v>
      </c>
      <c r="E1119" s="346" t="s">
        <v>851</v>
      </c>
      <c r="F1119" s="347">
        <v>1059607505</v>
      </c>
      <c r="G1119" s="43"/>
    </row>
    <row r="1120" spans="1:7" ht="30" x14ac:dyDescent="0.25">
      <c r="A1120" s="43" t="s">
        <v>884</v>
      </c>
      <c r="B1120" s="43" t="s">
        <v>914</v>
      </c>
      <c r="C1120" s="43" t="s">
        <v>1479</v>
      </c>
      <c r="D1120" s="43" t="s">
        <v>1480</v>
      </c>
      <c r="E1120" s="109" t="s">
        <v>851</v>
      </c>
      <c r="F1120" s="110">
        <v>1002847894</v>
      </c>
      <c r="G1120" s="43"/>
    </row>
    <row r="1121" spans="1:7" ht="30" x14ac:dyDescent="0.25">
      <c r="A1121" s="345" t="s">
        <v>914</v>
      </c>
      <c r="B1121" s="345" t="s">
        <v>1276</v>
      </c>
      <c r="C1121" s="345" t="s">
        <v>938</v>
      </c>
      <c r="D1121" s="345" t="s">
        <v>1484</v>
      </c>
      <c r="E1121" s="346" t="s">
        <v>851</v>
      </c>
      <c r="F1121" s="347">
        <v>1002846249</v>
      </c>
      <c r="G1121" s="43"/>
    </row>
    <row r="1122" spans="1:7" ht="30" x14ac:dyDescent="0.25">
      <c r="A1122" s="43" t="s">
        <v>914</v>
      </c>
      <c r="B1122" s="43" t="s">
        <v>848</v>
      </c>
      <c r="C1122" s="43" t="s">
        <v>1485</v>
      </c>
      <c r="D1122" s="43" t="s">
        <v>1285</v>
      </c>
      <c r="E1122" s="109" t="s">
        <v>851</v>
      </c>
      <c r="F1122" s="110" t="s">
        <v>1486</v>
      </c>
      <c r="G1122" s="43"/>
    </row>
    <row r="1123" spans="1:7" ht="30" x14ac:dyDescent="0.25">
      <c r="A1123" s="345" t="s">
        <v>974</v>
      </c>
      <c r="B1123" s="345" t="s">
        <v>943</v>
      </c>
      <c r="C1123" s="345" t="s">
        <v>1217</v>
      </c>
      <c r="D1123" s="345" t="s">
        <v>1490</v>
      </c>
      <c r="E1123" s="346" t="s">
        <v>851</v>
      </c>
      <c r="F1123" s="347" t="s">
        <v>1491</v>
      </c>
      <c r="G1123" s="43"/>
    </row>
    <row r="1124" spans="1:7" ht="30" x14ac:dyDescent="0.25">
      <c r="A1124" s="43" t="s">
        <v>967</v>
      </c>
      <c r="B1124" s="43" t="s">
        <v>980</v>
      </c>
      <c r="C1124" s="43" t="s">
        <v>1492</v>
      </c>
      <c r="D1124" s="43"/>
      <c r="E1124" s="109" t="s">
        <v>851</v>
      </c>
      <c r="F1124" s="110" t="s">
        <v>1493</v>
      </c>
      <c r="G1124" s="43"/>
    </row>
    <row r="1125" spans="1:7" ht="30" x14ac:dyDescent="0.25">
      <c r="A1125" s="345" t="s">
        <v>884</v>
      </c>
      <c r="B1125" s="345" t="s">
        <v>1378</v>
      </c>
      <c r="C1125" s="345" t="s">
        <v>1494</v>
      </c>
      <c r="D1125" s="345" t="s">
        <v>1495</v>
      </c>
      <c r="E1125" s="346" t="s">
        <v>851</v>
      </c>
      <c r="F1125" s="347" t="s">
        <v>1496</v>
      </c>
      <c r="G1125" s="43"/>
    </row>
    <row r="1126" spans="1:7" ht="30" x14ac:dyDescent="0.25">
      <c r="A1126" s="43" t="s">
        <v>848</v>
      </c>
      <c r="B1126" s="43" t="s">
        <v>953</v>
      </c>
      <c r="C1126" s="43" t="s">
        <v>1501</v>
      </c>
      <c r="D1126" s="43" t="s">
        <v>919</v>
      </c>
      <c r="E1126" s="109" t="s">
        <v>851</v>
      </c>
      <c r="F1126" s="110" t="s">
        <v>1502</v>
      </c>
      <c r="G1126" s="43"/>
    </row>
    <row r="1127" spans="1:7" ht="30" x14ac:dyDescent="0.25">
      <c r="A1127" s="345" t="s">
        <v>1507</v>
      </c>
      <c r="B1127" s="345" t="s">
        <v>1365</v>
      </c>
      <c r="C1127" s="345" t="s">
        <v>1508</v>
      </c>
      <c r="D1127" s="345"/>
      <c r="E1127" s="346" t="s">
        <v>851</v>
      </c>
      <c r="F1127" s="347">
        <v>1059600322</v>
      </c>
      <c r="G1127" s="43"/>
    </row>
    <row r="1128" spans="1:7" ht="30" x14ac:dyDescent="0.25">
      <c r="A1128" s="43" t="s">
        <v>1041</v>
      </c>
      <c r="B1128" s="43" t="s">
        <v>1147</v>
      </c>
      <c r="C1128" s="43" t="s">
        <v>1512</v>
      </c>
      <c r="D1128" s="43"/>
      <c r="E1128" s="109" t="s">
        <v>851</v>
      </c>
      <c r="F1128" s="110">
        <v>1059604976</v>
      </c>
      <c r="G1128" s="43"/>
    </row>
    <row r="1129" spans="1:7" ht="30" x14ac:dyDescent="0.25">
      <c r="A1129" s="345" t="s">
        <v>1513</v>
      </c>
      <c r="B1129" s="345" t="s">
        <v>1514</v>
      </c>
      <c r="C1129" s="345" t="s">
        <v>1515</v>
      </c>
      <c r="D1129" s="345"/>
      <c r="E1129" s="346" t="s">
        <v>851</v>
      </c>
      <c r="F1129" s="347">
        <v>1067461286</v>
      </c>
      <c r="G1129" s="43"/>
    </row>
    <row r="1130" spans="1:7" ht="30" x14ac:dyDescent="0.25">
      <c r="A1130" s="43" t="s">
        <v>1519</v>
      </c>
      <c r="B1130" s="43" t="s">
        <v>848</v>
      </c>
      <c r="C1130" s="43" t="s">
        <v>1520</v>
      </c>
      <c r="D1130" s="43" t="s">
        <v>1521</v>
      </c>
      <c r="E1130" s="109" t="s">
        <v>851</v>
      </c>
      <c r="F1130" s="110">
        <v>1002950269</v>
      </c>
      <c r="G1130" s="43"/>
    </row>
    <row r="1131" spans="1:7" ht="30" x14ac:dyDescent="0.25">
      <c r="A1131" s="345" t="s">
        <v>896</v>
      </c>
      <c r="B1131" s="345" t="s">
        <v>953</v>
      </c>
      <c r="C1131" s="345" t="s">
        <v>1530</v>
      </c>
      <c r="D1131" s="345" t="s">
        <v>1182</v>
      </c>
      <c r="E1131" s="346" t="s">
        <v>851</v>
      </c>
      <c r="F1131" s="347">
        <v>1059594419</v>
      </c>
      <c r="G1131" s="43"/>
    </row>
    <row r="1132" spans="1:7" ht="30" x14ac:dyDescent="0.25">
      <c r="A1132" s="43" t="s">
        <v>1361</v>
      </c>
      <c r="B1132" s="43" t="s">
        <v>992</v>
      </c>
      <c r="C1132" s="43" t="s">
        <v>1531</v>
      </c>
      <c r="D1132" s="43"/>
      <c r="E1132" s="109" t="s">
        <v>851</v>
      </c>
      <c r="F1132" s="110">
        <v>1151452891</v>
      </c>
      <c r="G1132" s="43"/>
    </row>
    <row r="1133" spans="1:7" ht="30" x14ac:dyDescent="0.25">
      <c r="A1133" s="345" t="s">
        <v>914</v>
      </c>
      <c r="B1133" s="345" t="s">
        <v>1470</v>
      </c>
      <c r="C1133" s="345" t="s">
        <v>1167</v>
      </c>
      <c r="D1133" s="345" t="s">
        <v>1043</v>
      </c>
      <c r="E1133" s="346" t="s">
        <v>851</v>
      </c>
      <c r="F1133" s="347">
        <v>1193105051</v>
      </c>
      <c r="G1133" s="43"/>
    </row>
    <row r="1134" spans="1:7" ht="30" x14ac:dyDescent="0.25">
      <c r="A1134" s="43" t="s">
        <v>1286</v>
      </c>
      <c r="B1134" s="43" t="s">
        <v>980</v>
      </c>
      <c r="C1134" s="43" t="s">
        <v>1528</v>
      </c>
      <c r="D1134" s="43" t="s">
        <v>1281</v>
      </c>
      <c r="E1134" s="109" t="s">
        <v>851</v>
      </c>
      <c r="F1134" s="110">
        <v>1059596092</v>
      </c>
      <c r="G1134" s="43"/>
    </row>
    <row r="1135" spans="1:7" ht="30" x14ac:dyDescent="0.25">
      <c r="A1135" s="345" t="s">
        <v>884</v>
      </c>
      <c r="B1135" s="345" t="s">
        <v>1144</v>
      </c>
      <c r="C1135" s="345" t="s">
        <v>1534</v>
      </c>
      <c r="D1135" s="345"/>
      <c r="E1135" s="346" t="s">
        <v>851</v>
      </c>
      <c r="F1135" s="353">
        <v>1002846626</v>
      </c>
      <c r="G1135" s="43"/>
    </row>
    <row r="1136" spans="1:7" ht="30" x14ac:dyDescent="0.25">
      <c r="A1136" s="43" t="s">
        <v>1246</v>
      </c>
      <c r="B1136" s="43" t="s">
        <v>943</v>
      </c>
      <c r="C1136" s="43" t="s">
        <v>1535</v>
      </c>
      <c r="D1136" s="43"/>
      <c r="E1136" s="109" t="s">
        <v>851</v>
      </c>
      <c r="F1136" s="354">
        <v>1002848307</v>
      </c>
      <c r="G1136" s="43"/>
    </row>
    <row r="1137" spans="1:7" ht="30" x14ac:dyDescent="0.25">
      <c r="A1137" s="345" t="s">
        <v>873</v>
      </c>
      <c r="B1137" s="345" t="s">
        <v>1091</v>
      </c>
      <c r="C1137" s="345" t="s">
        <v>1277</v>
      </c>
      <c r="D1137" s="345"/>
      <c r="E1137" s="346" t="s">
        <v>851</v>
      </c>
      <c r="F1137" s="355">
        <v>1059598472</v>
      </c>
      <c r="G1137" s="43"/>
    </row>
    <row r="1138" spans="1:7" ht="30" x14ac:dyDescent="0.25">
      <c r="A1138" s="43" t="s">
        <v>896</v>
      </c>
      <c r="B1138" s="43" t="s">
        <v>1091</v>
      </c>
      <c r="C1138" s="43" t="s">
        <v>1538</v>
      </c>
      <c r="D1138" s="43"/>
      <c r="E1138" s="109" t="s">
        <v>851</v>
      </c>
      <c r="F1138" s="110">
        <v>1002846350</v>
      </c>
      <c r="G1138" s="43"/>
    </row>
    <row r="1139" spans="1:7" ht="30" x14ac:dyDescent="0.25">
      <c r="A1139" s="345" t="s">
        <v>896</v>
      </c>
      <c r="B1139" s="345" t="s">
        <v>953</v>
      </c>
      <c r="C1139" s="345" t="s">
        <v>1217</v>
      </c>
      <c r="D1139" s="345" t="s">
        <v>1471</v>
      </c>
      <c r="E1139" s="346" t="s">
        <v>851</v>
      </c>
      <c r="F1139" s="353">
        <v>1059602285</v>
      </c>
      <c r="G1139" s="43"/>
    </row>
    <row r="1140" spans="1:7" ht="30" x14ac:dyDescent="0.25">
      <c r="A1140" s="43" t="s">
        <v>1540</v>
      </c>
      <c r="B1140" s="43" t="s">
        <v>943</v>
      </c>
      <c r="C1140" s="43" t="s">
        <v>1541</v>
      </c>
      <c r="D1140" s="43" t="s">
        <v>1542</v>
      </c>
      <c r="E1140" s="109" t="s">
        <v>851</v>
      </c>
      <c r="F1140" s="356" t="s">
        <v>1539</v>
      </c>
      <c r="G1140" s="43"/>
    </row>
    <row r="1141" spans="1:7" ht="30" x14ac:dyDescent="0.25">
      <c r="A1141" s="345" t="s">
        <v>1144</v>
      </c>
      <c r="B1141" s="345" t="s">
        <v>996</v>
      </c>
      <c r="C1141" s="345" t="s">
        <v>1192</v>
      </c>
      <c r="D1141" s="345"/>
      <c r="E1141" s="346" t="s">
        <v>851</v>
      </c>
      <c r="F1141" s="353">
        <v>1059604012</v>
      </c>
      <c r="G1141" s="43"/>
    </row>
    <row r="1142" spans="1:7" ht="30" x14ac:dyDescent="0.25">
      <c r="A1142" s="43" t="s">
        <v>896</v>
      </c>
      <c r="B1142" s="43" t="s">
        <v>953</v>
      </c>
      <c r="C1142" s="43" t="s">
        <v>1545</v>
      </c>
      <c r="D1142" s="43"/>
      <c r="E1142" s="109" t="s">
        <v>851</v>
      </c>
      <c r="F1142" s="110">
        <v>25545389</v>
      </c>
      <c r="G1142" s="43"/>
    </row>
    <row r="1143" spans="1:7" ht="30" x14ac:dyDescent="0.25">
      <c r="A1143" s="345" t="s">
        <v>1156</v>
      </c>
      <c r="B1143" s="345" t="s">
        <v>980</v>
      </c>
      <c r="C1143" s="345" t="s">
        <v>1547</v>
      </c>
      <c r="D1143" s="345"/>
      <c r="E1143" s="346" t="s">
        <v>1094</v>
      </c>
      <c r="F1143" s="347">
        <v>1059597328</v>
      </c>
      <c r="G1143" s="43"/>
    </row>
    <row r="1144" spans="1:7" ht="30" x14ac:dyDescent="0.25">
      <c r="A1144" s="43" t="s">
        <v>1549</v>
      </c>
      <c r="B1144" s="43" t="s">
        <v>1298</v>
      </c>
      <c r="C1144" s="43" t="s">
        <v>1550</v>
      </c>
      <c r="D1144" s="43" t="s">
        <v>1551</v>
      </c>
      <c r="E1144" s="109" t="s">
        <v>851</v>
      </c>
      <c r="F1144" s="357" t="s">
        <v>1548</v>
      </c>
      <c r="G1144" s="43"/>
    </row>
    <row r="1145" spans="1:7" x14ac:dyDescent="0.25">
      <c r="A1145" s="345" t="s">
        <v>943</v>
      </c>
      <c r="B1145" s="345" t="s">
        <v>848</v>
      </c>
      <c r="C1145" s="345" t="s">
        <v>1553</v>
      </c>
      <c r="D1145" s="345"/>
      <c r="E1145" s="346"/>
      <c r="F1145" s="347">
        <v>1059594153</v>
      </c>
      <c r="G1145" s="43"/>
    </row>
    <row r="1146" spans="1:7" ht="30" x14ac:dyDescent="0.25">
      <c r="A1146" s="43" t="s">
        <v>943</v>
      </c>
      <c r="B1146" s="43" t="s">
        <v>1144</v>
      </c>
      <c r="C1146" s="43" t="s">
        <v>1504</v>
      </c>
      <c r="D1146" s="43" t="s">
        <v>1281</v>
      </c>
      <c r="E1146" s="109" t="s">
        <v>1094</v>
      </c>
      <c r="F1146" s="110">
        <v>1059599329</v>
      </c>
      <c r="G1146" s="43"/>
    </row>
    <row r="1147" spans="1:7" ht="30" x14ac:dyDescent="0.25">
      <c r="A1147" s="345" t="s">
        <v>996</v>
      </c>
      <c r="B1147" s="345" t="s">
        <v>1559</v>
      </c>
      <c r="C1147" s="345" t="s">
        <v>1560</v>
      </c>
      <c r="D1147" s="345"/>
      <c r="E1147" s="346" t="s">
        <v>851</v>
      </c>
      <c r="F1147" s="347">
        <v>25552089</v>
      </c>
      <c r="G1147" s="43"/>
    </row>
    <row r="1148" spans="1:7" ht="30" x14ac:dyDescent="0.25">
      <c r="A1148" s="43" t="s">
        <v>1361</v>
      </c>
      <c r="B1148" s="43" t="s">
        <v>1470</v>
      </c>
      <c r="C1148" s="43" t="s">
        <v>1553</v>
      </c>
      <c r="D1148" s="43"/>
      <c r="E1148" s="109" t="s">
        <v>851</v>
      </c>
      <c r="F1148" s="110">
        <v>1059595865</v>
      </c>
      <c r="G1148" s="43"/>
    </row>
    <row r="1149" spans="1:7" ht="30" x14ac:dyDescent="0.25">
      <c r="A1149" s="345" t="s">
        <v>953</v>
      </c>
      <c r="B1149" s="345" t="s">
        <v>1378</v>
      </c>
      <c r="C1149" s="345" t="s">
        <v>1617</v>
      </c>
      <c r="D1149" s="345"/>
      <c r="E1149" s="346" t="s">
        <v>851</v>
      </c>
      <c r="F1149" s="347">
        <v>1059606238</v>
      </c>
      <c r="G1149" s="43"/>
    </row>
    <row r="1150" spans="1:7" ht="30" x14ac:dyDescent="0.25">
      <c r="A1150" s="43" t="s">
        <v>874</v>
      </c>
      <c r="B1150" s="43" t="s">
        <v>873</v>
      </c>
      <c r="C1150" s="43" t="s">
        <v>1635</v>
      </c>
      <c r="D1150" s="43" t="s">
        <v>1294</v>
      </c>
      <c r="E1150" s="109" t="s">
        <v>1094</v>
      </c>
      <c r="F1150" s="110">
        <v>1059597986</v>
      </c>
      <c r="G1150" s="43"/>
    </row>
    <row r="1151" spans="1:7" ht="30" x14ac:dyDescent="0.25">
      <c r="A1151" s="345" t="s">
        <v>873</v>
      </c>
      <c r="B1151" s="345" t="s">
        <v>962</v>
      </c>
      <c r="C1151" s="345" t="s">
        <v>1501</v>
      </c>
      <c r="D1151" s="345" t="s">
        <v>1340</v>
      </c>
      <c r="E1151" s="346" t="s">
        <v>851</v>
      </c>
      <c r="F1151" s="347">
        <v>1059594976</v>
      </c>
      <c r="G1151" s="43"/>
    </row>
    <row r="1152" spans="1:7" x14ac:dyDescent="0.25">
      <c r="A1152" s="43" t="s">
        <v>896</v>
      </c>
      <c r="B1152" s="43" t="s">
        <v>953</v>
      </c>
      <c r="C1152" s="43" t="s">
        <v>1634</v>
      </c>
      <c r="D1152" s="43"/>
      <c r="E1152" s="109"/>
      <c r="F1152" s="110">
        <v>1002848733</v>
      </c>
      <c r="G1152" s="43"/>
    </row>
    <row r="1153" spans="1:7" ht="30" x14ac:dyDescent="0.25">
      <c r="A1153" s="345" t="s">
        <v>896</v>
      </c>
      <c r="B1153" s="345" t="s">
        <v>915</v>
      </c>
      <c r="C1153" s="345" t="s">
        <v>1585</v>
      </c>
      <c r="D1153" s="345"/>
      <c r="E1153" s="346" t="s">
        <v>851</v>
      </c>
      <c r="F1153" s="347">
        <v>1059595460</v>
      </c>
      <c r="G1153" s="43"/>
    </row>
    <row r="1154" spans="1:7" ht="30" x14ac:dyDescent="0.25">
      <c r="A1154" s="43" t="s">
        <v>873</v>
      </c>
      <c r="B1154" s="43" t="s">
        <v>874</v>
      </c>
      <c r="C1154" s="43" t="s">
        <v>1215</v>
      </c>
      <c r="D1154" s="43"/>
      <c r="E1154" s="109" t="s">
        <v>851</v>
      </c>
      <c r="F1154" s="110">
        <v>1002849181</v>
      </c>
      <c r="G1154" s="43"/>
    </row>
    <row r="1155" spans="1:7" ht="30" x14ac:dyDescent="0.25">
      <c r="A1155" s="345" t="s">
        <v>1156</v>
      </c>
      <c r="B1155" s="345" t="s">
        <v>884</v>
      </c>
      <c r="C1155" s="345" t="s">
        <v>1481</v>
      </c>
      <c r="D1155" s="345" t="s">
        <v>1482</v>
      </c>
      <c r="E1155" s="346" t="s">
        <v>851</v>
      </c>
      <c r="F1155" s="358" t="s">
        <v>1483</v>
      </c>
      <c r="G1155" s="43"/>
    </row>
    <row r="1156" spans="1:7" ht="30" x14ac:dyDescent="0.25">
      <c r="A1156" s="43" t="s">
        <v>953</v>
      </c>
      <c r="B1156" s="43" t="s">
        <v>1286</v>
      </c>
      <c r="C1156" s="43" t="s">
        <v>1463</v>
      </c>
      <c r="D1156" s="43" t="s">
        <v>1579</v>
      </c>
      <c r="E1156" s="109" t="s">
        <v>851</v>
      </c>
      <c r="F1156" s="356" t="s">
        <v>1578</v>
      </c>
      <c r="G1156" s="43"/>
    </row>
    <row r="1157" spans="1:7" ht="30" x14ac:dyDescent="0.25">
      <c r="A1157" s="345" t="s">
        <v>1580</v>
      </c>
      <c r="B1157" s="345" t="s">
        <v>914</v>
      </c>
      <c r="C1157" s="345" t="s">
        <v>1581</v>
      </c>
      <c r="D1157" s="345" t="s">
        <v>1464</v>
      </c>
      <c r="E1157" s="346" t="s">
        <v>851</v>
      </c>
      <c r="F1157" s="359">
        <v>1002846447</v>
      </c>
      <c r="G1157" s="43"/>
    </row>
    <row r="1158" spans="1:7" ht="30" x14ac:dyDescent="0.25">
      <c r="A1158" s="43" t="s">
        <v>1583</v>
      </c>
      <c r="B1158" s="43" t="s">
        <v>873</v>
      </c>
      <c r="C1158" s="43" t="s">
        <v>1584</v>
      </c>
      <c r="D1158" s="43"/>
      <c r="E1158" s="109" t="s">
        <v>851</v>
      </c>
      <c r="F1158" s="356" t="s">
        <v>1582</v>
      </c>
      <c r="G1158" s="43"/>
    </row>
    <row r="1159" spans="1:7" ht="30" x14ac:dyDescent="0.25">
      <c r="A1159" s="345" t="s">
        <v>1322</v>
      </c>
      <c r="B1159" s="345" t="s">
        <v>1378</v>
      </c>
      <c r="C1159" s="345" t="s">
        <v>1587</v>
      </c>
      <c r="D1159" s="345"/>
      <c r="E1159" s="346" t="s">
        <v>851</v>
      </c>
      <c r="F1159" s="359" t="s">
        <v>1586</v>
      </c>
      <c r="G1159" s="43"/>
    </row>
    <row r="1160" spans="1:7" ht="30" x14ac:dyDescent="0.25">
      <c r="A1160" s="43" t="s">
        <v>1590</v>
      </c>
      <c r="B1160" s="43" t="s">
        <v>874</v>
      </c>
      <c r="C1160" s="43" t="s">
        <v>1591</v>
      </c>
      <c r="D1160" s="43"/>
      <c r="E1160" s="109" t="s">
        <v>851</v>
      </c>
      <c r="F1160" s="356" t="s">
        <v>1589</v>
      </c>
      <c r="G1160" s="43"/>
    </row>
    <row r="1161" spans="1:7" ht="30" x14ac:dyDescent="0.25">
      <c r="A1161" s="345" t="s">
        <v>1286</v>
      </c>
      <c r="B1161" s="345" t="s">
        <v>1594</v>
      </c>
      <c r="C1161" s="345" t="s">
        <v>1420</v>
      </c>
      <c r="D1161" s="345"/>
      <c r="E1161" s="346" t="s">
        <v>1094</v>
      </c>
      <c r="F1161" s="359" t="s">
        <v>1593</v>
      </c>
      <c r="G1161" s="43"/>
    </row>
    <row r="1162" spans="1:7" ht="30" x14ac:dyDescent="0.25">
      <c r="A1162" s="43" t="s">
        <v>1598</v>
      </c>
      <c r="B1162" s="43" t="s">
        <v>1599</v>
      </c>
      <c r="C1162" s="43" t="s">
        <v>1597</v>
      </c>
      <c r="D1162" s="43"/>
      <c r="E1162" s="109" t="s">
        <v>851</v>
      </c>
      <c r="F1162" s="110">
        <v>1002846452</v>
      </c>
      <c r="G1162" s="43"/>
    </row>
    <row r="1163" spans="1:7" ht="30" x14ac:dyDescent="0.25">
      <c r="A1163" s="345" t="s">
        <v>914</v>
      </c>
      <c r="B1163" s="345" t="s">
        <v>1601</v>
      </c>
      <c r="C1163" s="345" t="s">
        <v>1602</v>
      </c>
      <c r="D1163" s="345"/>
      <c r="E1163" s="346" t="s">
        <v>851</v>
      </c>
      <c r="F1163" s="347">
        <v>1003370775</v>
      </c>
      <c r="G1163" s="43"/>
    </row>
    <row r="1164" spans="1:7" ht="30" x14ac:dyDescent="0.25">
      <c r="A1164" s="43" t="s">
        <v>896</v>
      </c>
      <c r="B1164" s="43" t="s">
        <v>992</v>
      </c>
      <c r="C1164" s="43" t="s">
        <v>1530</v>
      </c>
      <c r="D1164" s="43" t="s">
        <v>1357</v>
      </c>
      <c r="E1164" s="109" t="s">
        <v>851</v>
      </c>
      <c r="F1164" s="110">
        <v>1002847645</v>
      </c>
      <c r="G1164" s="43"/>
    </row>
    <row r="1165" spans="1:7" ht="30" x14ac:dyDescent="0.25">
      <c r="A1165" s="345" t="s">
        <v>896</v>
      </c>
      <c r="B1165" s="345" t="s">
        <v>1599</v>
      </c>
      <c r="C1165" s="345" t="s">
        <v>1607</v>
      </c>
      <c r="D1165" s="345" t="s">
        <v>1608</v>
      </c>
      <c r="E1165" s="346" t="s">
        <v>851</v>
      </c>
      <c r="F1165" s="347">
        <v>1060800773</v>
      </c>
      <c r="G1165" s="43"/>
    </row>
    <row r="1166" spans="1:7" ht="30" x14ac:dyDescent="0.25">
      <c r="A1166" s="43" t="s">
        <v>914</v>
      </c>
      <c r="B1166" s="43" t="s">
        <v>943</v>
      </c>
      <c r="C1166" s="43" t="s">
        <v>1198</v>
      </c>
      <c r="D1166" s="43"/>
      <c r="E1166" s="109" t="s">
        <v>851</v>
      </c>
      <c r="F1166" s="110">
        <v>1059605317</v>
      </c>
      <c r="G1166" s="43"/>
    </row>
    <row r="1167" spans="1:7" ht="30" x14ac:dyDescent="0.25">
      <c r="A1167" s="345" t="s">
        <v>1439</v>
      </c>
      <c r="B1167" s="345" t="s">
        <v>848</v>
      </c>
      <c r="C1167" s="345" t="s">
        <v>1437</v>
      </c>
      <c r="D1167" s="345"/>
      <c r="E1167" s="346" t="s">
        <v>851</v>
      </c>
      <c r="F1167" s="347">
        <v>1059595628</v>
      </c>
      <c r="G1167" s="43"/>
    </row>
    <row r="1168" spans="1:7" ht="30" x14ac:dyDescent="0.25">
      <c r="A1168" s="43" t="s">
        <v>873</v>
      </c>
      <c r="B1168" s="43" t="s">
        <v>874</v>
      </c>
      <c r="C1168" s="43" t="s">
        <v>1612</v>
      </c>
      <c r="D1168" s="43" t="s">
        <v>1613</v>
      </c>
      <c r="E1168" s="109" t="s">
        <v>851</v>
      </c>
      <c r="F1168" s="110">
        <v>1002849103</v>
      </c>
      <c r="G1168" s="43"/>
    </row>
    <row r="1169" spans="1:7" ht="30" x14ac:dyDescent="0.25">
      <c r="A1169" s="345" t="s">
        <v>914</v>
      </c>
      <c r="B1169" s="345" t="s">
        <v>914</v>
      </c>
      <c r="C1169" s="345" t="s">
        <v>1614</v>
      </c>
      <c r="D1169" s="345" t="s">
        <v>1277</v>
      </c>
      <c r="E1169" s="346" t="s">
        <v>851</v>
      </c>
      <c r="F1169" s="347">
        <v>1002847076</v>
      </c>
      <c r="G1169" s="43"/>
    </row>
    <row r="1170" spans="1:7" ht="30" x14ac:dyDescent="0.25">
      <c r="A1170" s="43" t="s">
        <v>980</v>
      </c>
      <c r="B1170" s="43" t="s">
        <v>914</v>
      </c>
      <c r="C1170" s="43" t="s">
        <v>1623</v>
      </c>
      <c r="D1170" s="43"/>
      <c r="E1170" s="109" t="s">
        <v>851</v>
      </c>
      <c r="F1170" s="110">
        <v>1059596737</v>
      </c>
      <c r="G1170" s="43"/>
    </row>
    <row r="1171" spans="1:7" ht="30" x14ac:dyDescent="0.25">
      <c r="A1171" s="345" t="s">
        <v>884</v>
      </c>
      <c r="B1171" s="345" t="s">
        <v>1286</v>
      </c>
      <c r="C1171" s="345" t="s">
        <v>1452</v>
      </c>
      <c r="D1171" s="345"/>
      <c r="E1171" s="346" t="s">
        <v>851</v>
      </c>
      <c r="F1171" s="347">
        <v>25546688</v>
      </c>
      <c r="G1171" s="43"/>
    </row>
    <row r="1172" spans="1:7" ht="30" x14ac:dyDescent="0.25">
      <c r="A1172" s="43" t="s">
        <v>1629</v>
      </c>
      <c r="B1172" s="43" t="s">
        <v>1249</v>
      </c>
      <c r="C1172" s="43" t="s">
        <v>1630</v>
      </c>
      <c r="D1172" s="43"/>
      <c r="E1172" s="109" t="s">
        <v>851</v>
      </c>
      <c r="F1172" s="43">
        <v>1059601748</v>
      </c>
      <c r="G1172" s="43"/>
    </row>
    <row r="1173" spans="1:7" ht="30" x14ac:dyDescent="0.25">
      <c r="A1173" s="345" t="s">
        <v>896</v>
      </c>
      <c r="B1173" s="345" t="s">
        <v>1632</v>
      </c>
      <c r="C1173" s="345" t="s">
        <v>1633</v>
      </c>
      <c r="D1173" s="345"/>
      <c r="E1173" s="346" t="s">
        <v>851</v>
      </c>
      <c r="F1173" s="360" t="s">
        <v>1631</v>
      </c>
      <c r="G1173" s="43"/>
    </row>
    <row r="1174" spans="1:7" ht="30" x14ac:dyDescent="0.25">
      <c r="A1174" s="43" t="s">
        <v>1637</v>
      </c>
      <c r="B1174" s="43" t="s">
        <v>1638</v>
      </c>
      <c r="C1174" s="43" t="s">
        <v>1028</v>
      </c>
      <c r="D1174" s="43"/>
      <c r="E1174" s="109" t="s">
        <v>851</v>
      </c>
      <c r="F1174" s="357">
        <v>1060986729</v>
      </c>
      <c r="G1174" s="43"/>
    </row>
    <row r="1175" spans="1:7" ht="30" x14ac:dyDescent="0.25">
      <c r="A1175" s="345" t="s">
        <v>1249</v>
      </c>
      <c r="B1175" s="345" t="s">
        <v>914</v>
      </c>
      <c r="C1175" s="345" t="s">
        <v>1659</v>
      </c>
      <c r="D1175" s="345"/>
      <c r="E1175" s="346" t="s">
        <v>851</v>
      </c>
      <c r="F1175" s="347">
        <v>1059597497</v>
      </c>
      <c r="G1175" s="43"/>
    </row>
    <row r="1176" spans="1:7" ht="30" x14ac:dyDescent="0.25">
      <c r="A1176" s="43" t="s">
        <v>1439</v>
      </c>
      <c r="B1176" s="43" t="s">
        <v>848</v>
      </c>
      <c r="C1176" s="43" t="s">
        <v>1437</v>
      </c>
      <c r="D1176" s="43"/>
      <c r="E1176" s="109" t="s">
        <v>851</v>
      </c>
      <c r="F1176" s="110">
        <v>1059595628</v>
      </c>
      <c r="G1176" s="43"/>
    </row>
    <row r="1177" spans="1:7" ht="30" x14ac:dyDescent="0.25">
      <c r="A1177" s="345" t="s">
        <v>953</v>
      </c>
      <c r="B1177" s="345" t="s">
        <v>1660</v>
      </c>
      <c r="C1177" s="345" t="s">
        <v>1217</v>
      </c>
      <c r="D1177" s="345" t="s">
        <v>1661</v>
      </c>
      <c r="E1177" s="346" t="s">
        <v>851</v>
      </c>
      <c r="F1177" s="347">
        <v>1002848134</v>
      </c>
      <c r="G1177" s="43"/>
    </row>
    <row r="1178" spans="1:7" ht="30" x14ac:dyDescent="0.25">
      <c r="A1178" s="43" t="s">
        <v>848</v>
      </c>
      <c r="B1178" s="43" t="s">
        <v>1034</v>
      </c>
      <c r="C1178" s="43" t="s">
        <v>1612</v>
      </c>
      <c r="D1178" s="43" t="s">
        <v>1662</v>
      </c>
      <c r="E1178" s="109" t="s">
        <v>851</v>
      </c>
      <c r="F1178" s="110">
        <v>1059601726</v>
      </c>
      <c r="G1178" s="43"/>
    </row>
    <row r="1179" spans="1:7" ht="30" x14ac:dyDescent="0.25">
      <c r="A1179" s="345" t="s">
        <v>1663</v>
      </c>
      <c r="B1179" s="345" t="s">
        <v>1664</v>
      </c>
      <c r="C1179" s="345" t="s">
        <v>938</v>
      </c>
      <c r="D1179" s="345" t="s">
        <v>1665</v>
      </c>
      <c r="E1179" s="346" t="s">
        <v>851</v>
      </c>
      <c r="F1179" s="347">
        <v>1059601634</v>
      </c>
      <c r="G1179" s="43"/>
    </row>
    <row r="1180" spans="1:7" ht="30" x14ac:dyDescent="0.25">
      <c r="A1180" s="43" t="s">
        <v>980</v>
      </c>
      <c r="B1180" s="43" t="s">
        <v>1666</v>
      </c>
      <c r="C1180" s="43" t="s">
        <v>1287</v>
      </c>
      <c r="D1180" s="43" t="s">
        <v>919</v>
      </c>
      <c r="E1180" s="109" t="s">
        <v>851</v>
      </c>
      <c r="F1180" s="110">
        <v>1002846819</v>
      </c>
      <c r="G1180" s="43"/>
    </row>
    <row r="1181" spans="1:7" ht="30" x14ac:dyDescent="0.25">
      <c r="A1181" s="345" t="s">
        <v>1667</v>
      </c>
      <c r="B1181" s="345" t="s">
        <v>1668</v>
      </c>
      <c r="C1181" s="345" t="s">
        <v>1669</v>
      </c>
      <c r="D1181" s="345"/>
      <c r="E1181" s="346" t="s">
        <v>851</v>
      </c>
      <c r="F1181" s="347">
        <v>1064426895</v>
      </c>
      <c r="G1181" s="43"/>
    </row>
    <row r="1182" spans="1:7" ht="30" x14ac:dyDescent="0.25">
      <c r="A1182" s="43" t="s">
        <v>1210</v>
      </c>
      <c r="B1182" s="43" t="s">
        <v>848</v>
      </c>
      <c r="C1182" s="43" t="s">
        <v>1670</v>
      </c>
      <c r="D1182" s="43" t="s">
        <v>1671</v>
      </c>
      <c r="E1182" s="109" t="s">
        <v>851</v>
      </c>
      <c r="F1182" s="110">
        <v>1059602883</v>
      </c>
      <c r="G1182" s="43"/>
    </row>
    <row r="1183" spans="1:7" ht="30" x14ac:dyDescent="0.25">
      <c r="A1183" s="345" t="s">
        <v>943</v>
      </c>
      <c r="B1183" s="345" t="s">
        <v>848</v>
      </c>
      <c r="C1183" s="345" t="s">
        <v>1673</v>
      </c>
      <c r="D1183" s="345" t="s">
        <v>1674</v>
      </c>
      <c r="E1183" s="346" t="s">
        <v>851</v>
      </c>
      <c r="F1183" s="366" t="s">
        <v>1672</v>
      </c>
      <c r="G1183" s="43"/>
    </row>
    <row r="1184" spans="1:7" ht="30" x14ac:dyDescent="0.25">
      <c r="A1184" s="43" t="s">
        <v>1677</v>
      </c>
      <c r="B1184" s="43" t="s">
        <v>962</v>
      </c>
      <c r="C1184" s="43" t="s">
        <v>1678</v>
      </c>
      <c r="D1184" s="43" t="s">
        <v>1679</v>
      </c>
      <c r="E1184" s="109" t="s">
        <v>1094</v>
      </c>
      <c r="F1184" s="363" t="s">
        <v>1676</v>
      </c>
      <c r="G1184" s="43"/>
    </row>
    <row r="1185" spans="1:7" ht="30" x14ac:dyDescent="0.25">
      <c r="A1185" s="345" t="s">
        <v>1286</v>
      </c>
      <c r="B1185" s="345" t="s">
        <v>943</v>
      </c>
      <c r="C1185" s="345" t="s">
        <v>1681</v>
      </c>
      <c r="D1185" s="345"/>
      <c r="E1185" s="346" t="s">
        <v>851</v>
      </c>
      <c r="F1185" s="362" t="s">
        <v>1680</v>
      </c>
      <c r="G1185" s="43"/>
    </row>
    <row r="1186" spans="1:7" ht="30" x14ac:dyDescent="0.25">
      <c r="A1186" s="43" t="s">
        <v>848</v>
      </c>
      <c r="B1186" s="43" t="s">
        <v>914</v>
      </c>
      <c r="C1186" s="43" t="s">
        <v>1683</v>
      </c>
      <c r="D1186" s="43"/>
      <c r="E1186" s="109" t="s">
        <v>851</v>
      </c>
      <c r="F1186" s="363" t="s">
        <v>1682</v>
      </c>
      <c r="G1186" s="43"/>
    </row>
    <row r="1187" spans="1:7" x14ac:dyDescent="0.25">
      <c r="A1187" s="421" t="s">
        <v>1714</v>
      </c>
      <c r="B1187" s="421"/>
      <c r="C1187" s="421"/>
      <c r="D1187" s="421"/>
      <c r="E1187" s="421"/>
      <c r="F1187" s="421"/>
      <c r="G1187" s="43"/>
    </row>
    <row r="1188" spans="1:7" ht="45" x14ac:dyDescent="0.25">
      <c r="A1188" s="17" t="s">
        <v>94</v>
      </c>
      <c r="B1188" s="17" t="s">
        <v>21</v>
      </c>
      <c r="C1188" s="17" t="s">
        <v>0</v>
      </c>
      <c r="D1188" s="17" t="s">
        <v>1</v>
      </c>
      <c r="E1188" s="17" t="s">
        <v>2</v>
      </c>
      <c r="F1188" s="17" t="s">
        <v>3</v>
      </c>
      <c r="G1188" s="43"/>
    </row>
    <row r="1189" spans="1:7" ht="30" x14ac:dyDescent="0.25">
      <c r="A1189" s="43" t="s">
        <v>914</v>
      </c>
      <c r="B1189" s="43" t="s">
        <v>884</v>
      </c>
      <c r="C1189" s="43" t="s">
        <v>1296</v>
      </c>
      <c r="D1189" s="43" t="s">
        <v>850</v>
      </c>
      <c r="E1189" s="109" t="s">
        <v>851</v>
      </c>
      <c r="F1189" s="110">
        <v>1060186045</v>
      </c>
      <c r="G1189" s="43"/>
    </row>
    <row r="1190" spans="1:7" ht="30" x14ac:dyDescent="0.25">
      <c r="A1190" s="345" t="s">
        <v>1298</v>
      </c>
      <c r="B1190" s="345" t="s">
        <v>914</v>
      </c>
      <c r="C1190" s="345" t="s">
        <v>1299</v>
      </c>
      <c r="D1190" s="345" t="s">
        <v>1300</v>
      </c>
      <c r="E1190" s="346" t="s">
        <v>851</v>
      </c>
      <c r="F1190" s="347" t="s">
        <v>1301</v>
      </c>
      <c r="G1190" s="43"/>
    </row>
    <row r="1191" spans="1:7" ht="30" x14ac:dyDescent="0.25">
      <c r="A1191" s="43" t="s">
        <v>953</v>
      </c>
      <c r="B1191" s="43" t="s">
        <v>1316</v>
      </c>
      <c r="C1191" s="43" t="s">
        <v>1317</v>
      </c>
      <c r="D1191" s="43" t="s">
        <v>1028</v>
      </c>
      <c r="E1191" s="109" t="s">
        <v>851</v>
      </c>
      <c r="F1191" s="110">
        <v>1059594373</v>
      </c>
      <c r="G1191" s="43"/>
    </row>
    <row r="1192" spans="1:7" ht="30" x14ac:dyDescent="0.25">
      <c r="A1192" s="345" t="s">
        <v>914</v>
      </c>
      <c r="B1192" s="345" t="s">
        <v>915</v>
      </c>
      <c r="C1192" s="345" t="s">
        <v>916</v>
      </c>
      <c r="D1192" s="345"/>
      <c r="E1192" s="346" t="s">
        <v>1094</v>
      </c>
      <c r="F1192" s="347">
        <v>1059598169</v>
      </c>
      <c r="G1192" s="43"/>
    </row>
    <row r="1193" spans="1:7" ht="30" x14ac:dyDescent="0.25">
      <c r="A1193" s="43" t="s">
        <v>1360</v>
      </c>
      <c r="B1193" s="43" t="s">
        <v>1361</v>
      </c>
      <c r="C1193" s="43" t="s">
        <v>938</v>
      </c>
      <c r="D1193" s="43" t="s">
        <v>1362</v>
      </c>
      <c r="E1193" s="109" t="s">
        <v>851</v>
      </c>
      <c r="F1193" s="110" t="s">
        <v>1363</v>
      </c>
      <c r="G1193" s="43"/>
    </row>
    <row r="1194" spans="1:7" ht="30" x14ac:dyDescent="0.25">
      <c r="A1194" s="345" t="s">
        <v>857</v>
      </c>
      <c r="B1194" s="345" t="s">
        <v>1365</v>
      </c>
      <c r="C1194" s="345" t="s">
        <v>949</v>
      </c>
      <c r="D1194" s="345" t="s">
        <v>1366</v>
      </c>
      <c r="E1194" s="346" t="s">
        <v>851</v>
      </c>
      <c r="F1194" s="347">
        <v>1002953350</v>
      </c>
      <c r="G1194" s="43"/>
    </row>
    <row r="1195" spans="1:7" ht="30" x14ac:dyDescent="0.25">
      <c r="A1195" s="43" t="s">
        <v>848</v>
      </c>
      <c r="B1195" s="43" t="s">
        <v>943</v>
      </c>
      <c r="C1195" s="43" t="s">
        <v>1423</v>
      </c>
      <c r="D1195" s="43"/>
      <c r="E1195" s="109" t="s">
        <v>851</v>
      </c>
      <c r="F1195" s="110">
        <v>1193097625</v>
      </c>
      <c r="G1195" s="43"/>
    </row>
    <row r="1196" spans="1:7" ht="30" x14ac:dyDescent="0.25">
      <c r="A1196" s="345" t="s">
        <v>1427</v>
      </c>
      <c r="B1196" s="345" t="s">
        <v>1428</v>
      </c>
      <c r="C1196" s="345" t="s">
        <v>1429</v>
      </c>
      <c r="D1196" s="345" t="s">
        <v>1430</v>
      </c>
      <c r="E1196" s="346" t="s">
        <v>851</v>
      </c>
      <c r="F1196" s="347">
        <v>1061528490</v>
      </c>
      <c r="G1196" s="43"/>
    </row>
    <row r="1197" spans="1:7" ht="30" x14ac:dyDescent="0.25">
      <c r="A1197" s="43" t="s">
        <v>1144</v>
      </c>
      <c r="B1197" s="43" t="s">
        <v>884</v>
      </c>
      <c r="C1197" s="43" t="s">
        <v>1432</v>
      </c>
      <c r="D1197" s="43" t="s">
        <v>1433</v>
      </c>
      <c r="E1197" s="109" t="s">
        <v>1094</v>
      </c>
      <c r="F1197" s="110">
        <v>1059596594</v>
      </c>
      <c r="G1197" s="43"/>
    </row>
    <row r="1198" spans="1:7" ht="30" x14ac:dyDescent="0.25">
      <c r="A1198" s="345" t="s">
        <v>873</v>
      </c>
      <c r="B1198" s="345" t="s">
        <v>1435</v>
      </c>
      <c r="C1198" s="345" t="s">
        <v>1436</v>
      </c>
      <c r="D1198" s="345" t="s">
        <v>1437</v>
      </c>
      <c r="E1198" s="346" t="s">
        <v>851</v>
      </c>
      <c r="F1198" s="347">
        <v>1059601742</v>
      </c>
      <c r="G1198" s="43"/>
    </row>
    <row r="1199" spans="1:7" ht="30" x14ac:dyDescent="0.25">
      <c r="A1199" s="43" t="s">
        <v>1439</v>
      </c>
      <c r="B1199" s="43" t="s">
        <v>884</v>
      </c>
      <c r="C1199" s="43" t="s">
        <v>1440</v>
      </c>
      <c r="D1199" s="43" t="s">
        <v>1294</v>
      </c>
      <c r="E1199" s="109" t="s">
        <v>851</v>
      </c>
      <c r="F1199" s="110">
        <v>1002847533</v>
      </c>
      <c r="G1199" s="43"/>
    </row>
    <row r="1200" spans="1:7" ht="30" x14ac:dyDescent="0.25">
      <c r="A1200" s="345" t="s">
        <v>1441</v>
      </c>
      <c r="B1200" s="345"/>
      <c r="C1200" s="345" t="s">
        <v>1284</v>
      </c>
      <c r="D1200" s="345" t="s">
        <v>1442</v>
      </c>
      <c r="E1200" s="346" t="s">
        <v>851</v>
      </c>
      <c r="F1200" s="347">
        <v>1002848635</v>
      </c>
      <c r="G1200" s="43"/>
    </row>
    <row r="1201" spans="1:7" ht="30" x14ac:dyDescent="0.25">
      <c r="A1201" s="43" t="s">
        <v>1443</v>
      </c>
      <c r="B1201" s="43" t="s">
        <v>1444</v>
      </c>
      <c r="C1201" s="43" t="s">
        <v>1445</v>
      </c>
      <c r="D1201" s="43"/>
      <c r="E1201" s="109" t="s">
        <v>851</v>
      </c>
      <c r="F1201" s="110">
        <v>1061757665</v>
      </c>
      <c r="G1201" s="43"/>
    </row>
    <row r="1202" spans="1:7" ht="30" x14ac:dyDescent="0.25">
      <c r="A1202" s="345" t="s">
        <v>1179</v>
      </c>
      <c r="B1202" s="345" t="s">
        <v>1435</v>
      </c>
      <c r="C1202" s="345" t="s">
        <v>1448</v>
      </c>
      <c r="D1202" s="345" t="s">
        <v>1294</v>
      </c>
      <c r="E1202" s="346" t="s">
        <v>851</v>
      </c>
      <c r="F1202" s="347">
        <v>1059594096</v>
      </c>
      <c r="G1202" s="43"/>
    </row>
    <row r="1203" spans="1:7" ht="30" x14ac:dyDescent="0.25">
      <c r="A1203" s="43" t="s">
        <v>883</v>
      </c>
      <c r="B1203" s="43" t="s">
        <v>1290</v>
      </c>
      <c r="C1203" s="43" t="s">
        <v>1476</v>
      </c>
      <c r="D1203" s="43"/>
      <c r="E1203" s="109" t="s">
        <v>851</v>
      </c>
      <c r="F1203" s="110">
        <v>1059604081</v>
      </c>
      <c r="G1203" s="43"/>
    </row>
    <row r="1204" spans="1:7" ht="30" x14ac:dyDescent="0.25">
      <c r="A1204" s="345" t="s">
        <v>884</v>
      </c>
      <c r="B1204" s="345" t="s">
        <v>914</v>
      </c>
      <c r="C1204" s="345" t="s">
        <v>1479</v>
      </c>
      <c r="D1204" s="345" t="s">
        <v>1480</v>
      </c>
      <c r="E1204" s="346" t="s">
        <v>851</v>
      </c>
      <c r="F1204" s="347">
        <v>1002847894</v>
      </c>
      <c r="G1204" s="43"/>
    </row>
    <row r="1205" spans="1:7" ht="30" x14ac:dyDescent="0.25">
      <c r="A1205" s="43" t="s">
        <v>914</v>
      </c>
      <c r="B1205" s="43" t="s">
        <v>1276</v>
      </c>
      <c r="C1205" s="43" t="s">
        <v>938</v>
      </c>
      <c r="D1205" s="43" t="s">
        <v>1484</v>
      </c>
      <c r="E1205" s="109" t="s">
        <v>851</v>
      </c>
      <c r="F1205" s="110">
        <v>1002846249</v>
      </c>
      <c r="G1205" s="43"/>
    </row>
    <row r="1206" spans="1:7" ht="30" x14ac:dyDescent="0.25">
      <c r="A1206" s="345" t="s">
        <v>914</v>
      </c>
      <c r="B1206" s="345" t="s">
        <v>848</v>
      </c>
      <c r="C1206" s="345" t="s">
        <v>1485</v>
      </c>
      <c r="D1206" s="345" t="s">
        <v>1285</v>
      </c>
      <c r="E1206" s="346" t="s">
        <v>851</v>
      </c>
      <c r="F1206" s="347" t="s">
        <v>1486</v>
      </c>
      <c r="G1206" s="43"/>
    </row>
    <row r="1207" spans="1:7" ht="30" x14ac:dyDescent="0.25">
      <c r="A1207" s="43" t="s">
        <v>974</v>
      </c>
      <c r="B1207" s="43" t="s">
        <v>943</v>
      </c>
      <c r="C1207" s="43" t="s">
        <v>1217</v>
      </c>
      <c r="D1207" s="43" t="s">
        <v>1490</v>
      </c>
      <c r="E1207" s="109" t="s">
        <v>851</v>
      </c>
      <c r="F1207" s="110" t="s">
        <v>1491</v>
      </c>
      <c r="G1207" s="43"/>
    </row>
    <row r="1208" spans="1:7" ht="30" x14ac:dyDescent="0.25">
      <c r="A1208" s="345" t="s">
        <v>967</v>
      </c>
      <c r="B1208" s="345" t="s">
        <v>980</v>
      </c>
      <c r="C1208" s="345" t="s">
        <v>1492</v>
      </c>
      <c r="D1208" s="345"/>
      <c r="E1208" s="346" t="s">
        <v>851</v>
      </c>
      <c r="F1208" s="347" t="s">
        <v>1493</v>
      </c>
      <c r="G1208" s="43"/>
    </row>
    <row r="1209" spans="1:7" ht="30" x14ac:dyDescent="0.25">
      <c r="A1209" s="43" t="s">
        <v>884</v>
      </c>
      <c r="B1209" s="43" t="s">
        <v>1378</v>
      </c>
      <c r="C1209" s="43" t="s">
        <v>1494</v>
      </c>
      <c r="D1209" s="43" t="s">
        <v>1495</v>
      </c>
      <c r="E1209" s="109" t="s">
        <v>851</v>
      </c>
      <c r="F1209" s="110" t="s">
        <v>1496</v>
      </c>
      <c r="G1209" s="43"/>
    </row>
    <row r="1210" spans="1:7" ht="30" x14ac:dyDescent="0.25">
      <c r="A1210" s="345" t="s">
        <v>992</v>
      </c>
      <c r="B1210" s="345" t="s">
        <v>1498</v>
      </c>
      <c r="C1210" s="345" t="s">
        <v>938</v>
      </c>
      <c r="D1210" s="345" t="s">
        <v>1499</v>
      </c>
      <c r="E1210" s="346" t="s">
        <v>851</v>
      </c>
      <c r="F1210" s="347" t="s">
        <v>1500</v>
      </c>
      <c r="G1210" s="43"/>
    </row>
    <row r="1211" spans="1:7" ht="30" x14ac:dyDescent="0.25">
      <c r="A1211" s="43" t="s">
        <v>848</v>
      </c>
      <c r="B1211" s="43" t="s">
        <v>953</v>
      </c>
      <c r="C1211" s="43" t="s">
        <v>1501</v>
      </c>
      <c r="D1211" s="43" t="s">
        <v>919</v>
      </c>
      <c r="E1211" s="109" t="s">
        <v>851</v>
      </c>
      <c r="F1211" s="110" t="s">
        <v>1502</v>
      </c>
      <c r="G1211" s="43"/>
    </row>
    <row r="1212" spans="1:7" ht="30" x14ac:dyDescent="0.25">
      <c r="A1212" s="345" t="s">
        <v>992</v>
      </c>
      <c r="B1212" s="345" t="s">
        <v>848</v>
      </c>
      <c r="C1212" s="345" t="s">
        <v>1504</v>
      </c>
      <c r="D1212" s="345" t="s">
        <v>1157</v>
      </c>
      <c r="E1212" s="346" t="s">
        <v>851</v>
      </c>
      <c r="F1212" s="347">
        <v>1002848292</v>
      </c>
      <c r="G1212" s="43"/>
    </row>
    <row r="1213" spans="1:7" ht="30" x14ac:dyDescent="0.25">
      <c r="A1213" s="43" t="s">
        <v>1507</v>
      </c>
      <c r="B1213" s="43" t="s">
        <v>1365</v>
      </c>
      <c r="C1213" s="43" t="s">
        <v>1508</v>
      </c>
      <c r="D1213" s="43"/>
      <c r="E1213" s="109" t="s">
        <v>851</v>
      </c>
      <c r="F1213" s="110">
        <v>1059600322</v>
      </c>
      <c r="G1213" s="43"/>
    </row>
    <row r="1214" spans="1:7" ht="30" x14ac:dyDescent="0.25">
      <c r="A1214" s="345" t="s">
        <v>1513</v>
      </c>
      <c r="B1214" s="345" t="s">
        <v>1514</v>
      </c>
      <c r="C1214" s="345" t="s">
        <v>1515</v>
      </c>
      <c r="D1214" s="345"/>
      <c r="E1214" s="346" t="s">
        <v>851</v>
      </c>
      <c r="F1214" s="347">
        <v>1067461286</v>
      </c>
      <c r="G1214" s="43"/>
    </row>
    <row r="1215" spans="1:7" ht="30" x14ac:dyDescent="0.25">
      <c r="A1215" s="43" t="s">
        <v>1519</v>
      </c>
      <c r="B1215" s="43" t="s">
        <v>848</v>
      </c>
      <c r="C1215" s="43" t="s">
        <v>1520</v>
      </c>
      <c r="D1215" s="43" t="s">
        <v>1521</v>
      </c>
      <c r="E1215" s="109" t="s">
        <v>851</v>
      </c>
      <c r="F1215" s="110">
        <v>1002950269</v>
      </c>
      <c r="G1215" s="43"/>
    </row>
    <row r="1216" spans="1:7" ht="30" x14ac:dyDescent="0.25">
      <c r="A1216" s="345" t="s">
        <v>884</v>
      </c>
      <c r="B1216" s="345" t="s">
        <v>1524</v>
      </c>
      <c r="C1216" s="345" t="s">
        <v>945</v>
      </c>
      <c r="D1216" s="345" t="s">
        <v>919</v>
      </c>
      <c r="E1216" s="346" t="s">
        <v>851</v>
      </c>
      <c r="F1216" s="347">
        <v>1002970266</v>
      </c>
      <c r="G1216" s="43"/>
    </row>
    <row r="1217" spans="1:7" ht="30" x14ac:dyDescent="0.25">
      <c r="A1217" s="43" t="s">
        <v>896</v>
      </c>
      <c r="B1217" s="43" t="s">
        <v>953</v>
      </c>
      <c r="C1217" s="43" t="s">
        <v>1530</v>
      </c>
      <c r="D1217" s="43" t="s">
        <v>1182</v>
      </c>
      <c r="E1217" s="109" t="s">
        <v>851</v>
      </c>
      <c r="F1217" s="110">
        <v>1059594419</v>
      </c>
      <c r="G1217" s="43"/>
    </row>
    <row r="1218" spans="1:7" ht="30" x14ac:dyDescent="0.25">
      <c r="A1218" s="345" t="s">
        <v>1361</v>
      </c>
      <c r="B1218" s="345" t="s">
        <v>992</v>
      </c>
      <c r="C1218" s="345" t="s">
        <v>1531</v>
      </c>
      <c r="D1218" s="345"/>
      <c r="E1218" s="346" t="s">
        <v>851</v>
      </c>
      <c r="F1218" s="347">
        <v>1151452891</v>
      </c>
      <c r="G1218" s="43"/>
    </row>
    <row r="1219" spans="1:7" ht="30" x14ac:dyDescent="0.25">
      <c r="A1219" s="43" t="s">
        <v>914</v>
      </c>
      <c r="B1219" s="43" t="s">
        <v>1470</v>
      </c>
      <c r="C1219" s="43" t="s">
        <v>1167</v>
      </c>
      <c r="D1219" s="43" t="s">
        <v>1043</v>
      </c>
      <c r="E1219" s="109" t="s">
        <v>851</v>
      </c>
      <c r="F1219" s="110">
        <v>1193105051</v>
      </c>
      <c r="G1219" s="43"/>
    </row>
    <row r="1220" spans="1:7" ht="30" x14ac:dyDescent="0.25">
      <c r="A1220" s="345" t="s">
        <v>1286</v>
      </c>
      <c r="B1220" s="345" t="s">
        <v>980</v>
      </c>
      <c r="C1220" s="345" t="s">
        <v>1528</v>
      </c>
      <c r="D1220" s="345" t="s">
        <v>1281</v>
      </c>
      <c r="E1220" s="346" t="s">
        <v>851</v>
      </c>
      <c r="F1220" s="347">
        <v>1059596092</v>
      </c>
      <c r="G1220" s="43"/>
    </row>
    <row r="1221" spans="1:7" ht="30" x14ac:dyDescent="0.25">
      <c r="A1221" s="43" t="s">
        <v>884</v>
      </c>
      <c r="B1221" s="43" t="s">
        <v>1144</v>
      </c>
      <c r="C1221" s="43" t="s">
        <v>1534</v>
      </c>
      <c r="D1221" s="43"/>
      <c r="E1221" s="109" t="s">
        <v>851</v>
      </c>
      <c r="F1221" s="354">
        <v>1002846626</v>
      </c>
      <c r="G1221" s="43"/>
    </row>
    <row r="1222" spans="1:7" ht="30" x14ac:dyDescent="0.25">
      <c r="A1222" s="345" t="s">
        <v>1246</v>
      </c>
      <c r="B1222" s="345" t="s">
        <v>943</v>
      </c>
      <c r="C1222" s="345" t="s">
        <v>1535</v>
      </c>
      <c r="D1222" s="345"/>
      <c r="E1222" s="346" t="s">
        <v>851</v>
      </c>
      <c r="F1222" s="353">
        <v>1002848307</v>
      </c>
      <c r="G1222" s="43"/>
    </row>
    <row r="1223" spans="1:7" ht="30" x14ac:dyDescent="0.25">
      <c r="A1223" s="43" t="s">
        <v>873</v>
      </c>
      <c r="B1223" s="43" t="s">
        <v>1091</v>
      </c>
      <c r="C1223" s="43" t="s">
        <v>1277</v>
      </c>
      <c r="D1223" s="43"/>
      <c r="E1223" s="109" t="s">
        <v>851</v>
      </c>
      <c r="F1223" s="365">
        <v>1059598472</v>
      </c>
      <c r="G1223" s="43"/>
    </row>
    <row r="1224" spans="1:7" ht="30" x14ac:dyDescent="0.25">
      <c r="A1224" s="345" t="s">
        <v>896</v>
      </c>
      <c r="B1224" s="345" t="s">
        <v>1091</v>
      </c>
      <c r="C1224" s="345" t="s">
        <v>1538</v>
      </c>
      <c r="D1224" s="345"/>
      <c r="E1224" s="346" t="s">
        <v>851</v>
      </c>
      <c r="F1224" s="347">
        <v>1002846350</v>
      </c>
      <c r="G1224" s="43"/>
    </row>
    <row r="1225" spans="1:7" ht="30" x14ac:dyDescent="0.25">
      <c r="A1225" s="43" t="s">
        <v>896</v>
      </c>
      <c r="B1225" s="43" t="s">
        <v>953</v>
      </c>
      <c r="C1225" s="43" t="s">
        <v>1217</v>
      </c>
      <c r="D1225" s="43" t="s">
        <v>1471</v>
      </c>
      <c r="E1225" s="109" t="s">
        <v>851</v>
      </c>
      <c r="F1225" s="354">
        <v>1059602285</v>
      </c>
      <c r="G1225" s="43"/>
    </row>
    <row r="1226" spans="1:7" ht="30" x14ac:dyDescent="0.25">
      <c r="A1226" s="345" t="s">
        <v>1540</v>
      </c>
      <c r="B1226" s="345" t="s">
        <v>943</v>
      </c>
      <c r="C1226" s="345" t="s">
        <v>1541</v>
      </c>
      <c r="D1226" s="345" t="s">
        <v>1542</v>
      </c>
      <c r="E1226" s="346" t="s">
        <v>851</v>
      </c>
      <c r="F1226" s="359" t="s">
        <v>1539</v>
      </c>
      <c r="G1226" s="43"/>
    </row>
    <row r="1227" spans="1:7" ht="30" x14ac:dyDescent="0.25">
      <c r="A1227" s="43" t="s">
        <v>1144</v>
      </c>
      <c r="B1227" s="43" t="s">
        <v>996</v>
      </c>
      <c r="C1227" s="43" t="s">
        <v>1192</v>
      </c>
      <c r="D1227" s="43"/>
      <c r="E1227" s="109" t="s">
        <v>851</v>
      </c>
      <c r="F1227" s="354">
        <v>1059604012</v>
      </c>
      <c r="G1227" s="43"/>
    </row>
    <row r="1228" spans="1:7" ht="30" x14ac:dyDescent="0.25">
      <c r="A1228" s="345" t="s">
        <v>896</v>
      </c>
      <c r="B1228" s="345" t="s">
        <v>953</v>
      </c>
      <c r="C1228" s="345" t="s">
        <v>1545</v>
      </c>
      <c r="D1228" s="345"/>
      <c r="E1228" s="346" t="s">
        <v>851</v>
      </c>
      <c r="F1228" s="347">
        <v>25545389</v>
      </c>
      <c r="G1228" s="43"/>
    </row>
    <row r="1229" spans="1:7" ht="30" x14ac:dyDescent="0.25">
      <c r="A1229" s="43" t="s">
        <v>1156</v>
      </c>
      <c r="B1229" s="43" t="s">
        <v>980</v>
      </c>
      <c r="C1229" s="43" t="s">
        <v>1547</v>
      </c>
      <c r="D1229" s="43"/>
      <c r="E1229" s="109" t="s">
        <v>1094</v>
      </c>
      <c r="F1229" s="110">
        <v>1059597328</v>
      </c>
      <c r="G1229" s="43"/>
    </row>
    <row r="1230" spans="1:7" ht="30" x14ac:dyDescent="0.25">
      <c r="A1230" s="345" t="s">
        <v>1549</v>
      </c>
      <c r="B1230" s="345" t="s">
        <v>1298</v>
      </c>
      <c r="C1230" s="345" t="s">
        <v>1550</v>
      </c>
      <c r="D1230" s="345" t="s">
        <v>1551</v>
      </c>
      <c r="E1230" s="346" t="s">
        <v>851</v>
      </c>
      <c r="F1230" s="358" t="s">
        <v>1548</v>
      </c>
      <c r="G1230" s="43"/>
    </row>
    <row r="1231" spans="1:7" x14ac:dyDescent="0.25">
      <c r="A1231" s="43" t="s">
        <v>943</v>
      </c>
      <c r="B1231" s="43" t="s">
        <v>848</v>
      </c>
      <c r="C1231" s="43" t="s">
        <v>1553</v>
      </c>
      <c r="D1231" s="43"/>
      <c r="E1231" s="109"/>
      <c r="F1231" s="110">
        <v>1059594153</v>
      </c>
      <c r="G1231" s="43"/>
    </row>
    <row r="1232" spans="1:7" ht="30" x14ac:dyDescent="0.25">
      <c r="A1232" s="345" t="s">
        <v>943</v>
      </c>
      <c r="B1232" s="345" t="s">
        <v>1144</v>
      </c>
      <c r="C1232" s="345" t="s">
        <v>1504</v>
      </c>
      <c r="D1232" s="345" t="s">
        <v>1281</v>
      </c>
      <c r="E1232" s="346" t="s">
        <v>1094</v>
      </c>
      <c r="F1232" s="347">
        <v>1059599329</v>
      </c>
      <c r="G1232" s="43"/>
    </row>
    <row r="1233" spans="1:7" ht="30" x14ac:dyDescent="0.25">
      <c r="A1233" s="43" t="s">
        <v>953</v>
      </c>
      <c r="B1233" s="43" t="s">
        <v>1249</v>
      </c>
      <c r="C1233" s="43" t="s">
        <v>1556</v>
      </c>
      <c r="D1233" s="43"/>
      <c r="E1233" s="109" t="s">
        <v>1094</v>
      </c>
      <c r="F1233" s="110">
        <v>1059599873</v>
      </c>
      <c r="G1233" s="43"/>
    </row>
    <row r="1234" spans="1:7" ht="30" x14ac:dyDescent="0.25">
      <c r="A1234" s="345" t="s">
        <v>996</v>
      </c>
      <c r="B1234" s="345" t="s">
        <v>1559</v>
      </c>
      <c r="C1234" s="345" t="s">
        <v>1560</v>
      </c>
      <c r="D1234" s="345"/>
      <c r="E1234" s="346" t="s">
        <v>851</v>
      </c>
      <c r="F1234" s="347">
        <v>25552089</v>
      </c>
      <c r="G1234" s="43"/>
    </row>
    <row r="1235" spans="1:7" ht="30" x14ac:dyDescent="0.25">
      <c r="A1235" s="43" t="s">
        <v>1361</v>
      </c>
      <c r="B1235" s="43" t="s">
        <v>1470</v>
      </c>
      <c r="C1235" s="43" t="s">
        <v>1553</v>
      </c>
      <c r="D1235" s="43"/>
      <c r="E1235" s="109" t="s">
        <v>851</v>
      </c>
      <c r="F1235" s="110">
        <v>1059595865</v>
      </c>
      <c r="G1235" s="43"/>
    </row>
    <row r="1236" spans="1:7" ht="30" x14ac:dyDescent="0.25">
      <c r="A1236" s="345" t="s">
        <v>953</v>
      </c>
      <c r="B1236" s="345" t="s">
        <v>1378</v>
      </c>
      <c r="C1236" s="345" t="s">
        <v>1617</v>
      </c>
      <c r="D1236" s="345"/>
      <c r="E1236" s="346" t="s">
        <v>851</v>
      </c>
      <c r="F1236" s="347">
        <v>1059606238</v>
      </c>
      <c r="G1236" s="43"/>
    </row>
    <row r="1237" spans="1:7" ht="30" x14ac:dyDescent="0.25">
      <c r="A1237" s="43" t="s">
        <v>874</v>
      </c>
      <c r="B1237" s="43" t="s">
        <v>873</v>
      </c>
      <c r="C1237" s="43" t="s">
        <v>1635</v>
      </c>
      <c r="D1237" s="43" t="s">
        <v>1294</v>
      </c>
      <c r="E1237" s="109" t="s">
        <v>1094</v>
      </c>
      <c r="F1237" s="110">
        <v>1059597986</v>
      </c>
      <c r="G1237" s="43"/>
    </row>
    <row r="1238" spans="1:7" ht="30" x14ac:dyDescent="0.25">
      <c r="A1238" s="345" t="s">
        <v>873</v>
      </c>
      <c r="B1238" s="345" t="s">
        <v>962</v>
      </c>
      <c r="C1238" s="345" t="s">
        <v>1501</v>
      </c>
      <c r="D1238" s="345" t="s">
        <v>1340</v>
      </c>
      <c r="E1238" s="346" t="s">
        <v>851</v>
      </c>
      <c r="F1238" s="347">
        <v>1059594976</v>
      </c>
      <c r="G1238" s="43"/>
    </row>
    <row r="1239" spans="1:7" x14ac:dyDescent="0.25">
      <c r="A1239" s="43" t="s">
        <v>896</v>
      </c>
      <c r="B1239" s="43" t="s">
        <v>953</v>
      </c>
      <c r="C1239" s="43" t="s">
        <v>1634</v>
      </c>
      <c r="D1239" s="43"/>
      <c r="E1239" s="109"/>
      <c r="F1239" s="110">
        <v>1002848733</v>
      </c>
      <c r="G1239" s="43"/>
    </row>
    <row r="1240" spans="1:7" ht="30" x14ac:dyDescent="0.25">
      <c r="A1240" s="345" t="s">
        <v>896</v>
      </c>
      <c r="B1240" s="345" t="s">
        <v>915</v>
      </c>
      <c r="C1240" s="345" t="s">
        <v>1585</v>
      </c>
      <c r="D1240" s="345"/>
      <c r="E1240" s="346" t="s">
        <v>851</v>
      </c>
      <c r="F1240" s="347">
        <v>1059595460</v>
      </c>
      <c r="G1240" s="43"/>
    </row>
    <row r="1241" spans="1:7" ht="30" x14ac:dyDescent="0.25">
      <c r="A1241" s="43" t="s">
        <v>873</v>
      </c>
      <c r="B1241" s="43" t="s">
        <v>874</v>
      </c>
      <c r="C1241" s="43" t="s">
        <v>1215</v>
      </c>
      <c r="D1241" s="43"/>
      <c r="E1241" s="109" t="s">
        <v>851</v>
      </c>
      <c r="F1241" s="110">
        <v>1002849181</v>
      </c>
      <c r="G1241" s="43"/>
    </row>
    <row r="1242" spans="1:7" ht="30" x14ac:dyDescent="0.25">
      <c r="A1242" s="345" t="s">
        <v>953</v>
      </c>
      <c r="B1242" s="345" t="s">
        <v>1286</v>
      </c>
      <c r="C1242" s="345" t="s">
        <v>1463</v>
      </c>
      <c r="D1242" s="345" t="s">
        <v>1579</v>
      </c>
      <c r="E1242" s="346" t="s">
        <v>851</v>
      </c>
      <c r="F1242" s="359" t="s">
        <v>1578</v>
      </c>
      <c r="G1242" s="43"/>
    </row>
    <row r="1243" spans="1:7" ht="30" x14ac:dyDescent="0.25">
      <c r="A1243" s="43" t="s">
        <v>1580</v>
      </c>
      <c r="B1243" s="43" t="s">
        <v>914</v>
      </c>
      <c r="C1243" s="43" t="s">
        <v>1581</v>
      </c>
      <c r="D1243" s="43" t="s">
        <v>1464</v>
      </c>
      <c r="E1243" s="109" t="s">
        <v>851</v>
      </c>
      <c r="F1243" s="356">
        <v>1002846447</v>
      </c>
      <c r="G1243" s="43"/>
    </row>
    <row r="1244" spans="1:7" ht="30" x14ac:dyDescent="0.25">
      <c r="A1244" s="345" t="s">
        <v>1583</v>
      </c>
      <c r="B1244" s="345" t="s">
        <v>873</v>
      </c>
      <c r="C1244" s="345" t="s">
        <v>1584</v>
      </c>
      <c r="D1244" s="345"/>
      <c r="E1244" s="346" t="s">
        <v>851</v>
      </c>
      <c r="F1244" s="359" t="s">
        <v>1582</v>
      </c>
      <c r="G1244" s="43"/>
    </row>
    <row r="1245" spans="1:7" ht="30" x14ac:dyDescent="0.25">
      <c r="A1245" s="43" t="s">
        <v>1322</v>
      </c>
      <c r="B1245" s="43" t="s">
        <v>1378</v>
      </c>
      <c r="C1245" s="43" t="s">
        <v>1587</v>
      </c>
      <c r="D1245" s="43"/>
      <c r="E1245" s="109" t="s">
        <v>851</v>
      </c>
      <c r="F1245" s="356" t="s">
        <v>1586</v>
      </c>
      <c r="G1245" s="43"/>
    </row>
    <row r="1246" spans="1:7" ht="30" x14ac:dyDescent="0.25">
      <c r="A1246" s="345" t="s">
        <v>1590</v>
      </c>
      <c r="B1246" s="345" t="s">
        <v>874</v>
      </c>
      <c r="C1246" s="345" t="s">
        <v>1591</v>
      </c>
      <c r="D1246" s="345"/>
      <c r="E1246" s="346" t="s">
        <v>851</v>
      </c>
      <c r="F1246" s="359" t="s">
        <v>1589</v>
      </c>
      <c r="G1246" s="43"/>
    </row>
    <row r="1247" spans="1:7" ht="30" x14ac:dyDescent="0.25">
      <c r="A1247" s="43" t="s">
        <v>1286</v>
      </c>
      <c r="B1247" s="43" t="s">
        <v>1594</v>
      </c>
      <c r="C1247" s="43" t="s">
        <v>1420</v>
      </c>
      <c r="D1247" s="43"/>
      <c r="E1247" s="109" t="s">
        <v>1094</v>
      </c>
      <c r="F1247" s="356" t="s">
        <v>1593</v>
      </c>
      <c r="G1247" s="43"/>
    </row>
    <row r="1248" spans="1:7" ht="30" x14ac:dyDescent="0.25">
      <c r="A1248" s="345" t="s">
        <v>914</v>
      </c>
      <c r="B1248" s="345" t="s">
        <v>1601</v>
      </c>
      <c r="C1248" s="345" t="s">
        <v>1602</v>
      </c>
      <c r="D1248" s="345"/>
      <c r="E1248" s="346" t="s">
        <v>851</v>
      </c>
      <c r="F1248" s="347">
        <v>1003370775</v>
      </c>
      <c r="G1248" s="43"/>
    </row>
    <row r="1249" spans="1:7" ht="30" x14ac:dyDescent="0.25">
      <c r="A1249" s="43" t="s">
        <v>896</v>
      </c>
      <c r="B1249" s="43" t="s">
        <v>992</v>
      </c>
      <c r="C1249" s="43" t="s">
        <v>1530</v>
      </c>
      <c r="D1249" s="43" t="s">
        <v>1357</v>
      </c>
      <c r="E1249" s="109" t="s">
        <v>851</v>
      </c>
      <c r="F1249" s="110">
        <v>1002847645</v>
      </c>
      <c r="G1249" s="43"/>
    </row>
    <row r="1250" spans="1:7" ht="30" x14ac:dyDescent="0.25">
      <c r="A1250" s="345" t="s">
        <v>914</v>
      </c>
      <c r="B1250" s="345" t="s">
        <v>943</v>
      </c>
      <c r="C1250" s="345" t="s">
        <v>1198</v>
      </c>
      <c r="D1250" s="345"/>
      <c r="E1250" s="346" t="s">
        <v>851</v>
      </c>
      <c r="F1250" s="347">
        <v>1059605317</v>
      </c>
      <c r="G1250" s="43"/>
    </row>
    <row r="1251" spans="1:7" ht="30" x14ac:dyDescent="0.25">
      <c r="A1251" s="43" t="s">
        <v>1439</v>
      </c>
      <c r="B1251" s="43" t="s">
        <v>848</v>
      </c>
      <c r="C1251" s="43" t="s">
        <v>1437</v>
      </c>
      <c r="D1251" s="43"/>
      <c r="E1251" s="109" t="s">
        <v>851</v>
      </c>
      <c r="F1251" s="110">
        <v>1059595628</v>
      </c>
      <c r="G1251" s="43"/>
    </row>
    <row r="1252" spans="1:7" ht="30" x14ac:dyDescent="0.25">
      <c r="A1252" s="345" t="s">
        <v>873</v>
      </c>
      <c r="B1252" s="345" t="s">
        <v>874</v>
      </c>
      <c r="C1252" s="345" t="s">
        <v>1612</v>
      </c>
      <c r="D1252" s="345" t="s">
        <v>1613</v>
      </c>
      <c r="E1252" s="346" t="s">
        <v>851</v>
      </c>
      <c r="F1252" s="347">
        <v>1002849103</v>
      </c>
      <c r="G1252" s="43"/>
    </row>
    <row r="1253" spans="1:7" ht="30" x14ac:dyDescent="0.25">
      <c r="A1253" s="43" t="s">
        <v>914</v>
      </c>
      <c r="B1253" s="43" t="s">
        <v>914</v>
      </c>
      <c r="C1253" s="43" t="s">
        <v>1614</v>
      </c>
      <c r="D1253" s="43" t="s">
        <v>1277</v>
      </c>
      <c r="E1253" s="109" t="s">
        <v>851</v>
      </c>
      <c r="F1253" s="110">
        <v>1002847076</v>
      </c>
      <c r="G1253" s="43"/>
    </row>
    <row r="1254" spans="1:7" ht="30" x14ac:dyDescent="0.25">
      <c r="A1254" s="345" t="s">
        <v>1621</v>
      </c>
      <c r="B1254" s="345" t="s">
        <v>1622</v>
      </c>
      <c r="C1254" s="345" t="s">
        <v>1619</v>
      </c>
      <c r="D1254" s="345" t="s">
        <v>1620</v>
      </c>
      <c r="E1254" s="346" t="s">
        <v>851</v>
      </c>
      <c r="F1254" s="347">
        <v>1104776221</v>
      </c>
      <c r="G1254" s="43"/>
    </row>
    <row r="1255" spans="1:7" ht="30" x14ac:dyDescent="0.25">
      <c r="A1255" s="43" t="s">
        <v>980</v>
      </c>
      <c r="B1255" s="43" t="s">
        <v>914</v>
      </c>
      <c r="C1255" s="43" t="s">
        <v>1623</v>
      </c>
      <c r="D1255" s="43"/>
      <c r="E1255" s="109" t="s">
        <v>851</v>
      </c>
      <c r="F1255" s="110">
        <v>1059596737</v>
      </c>
      <c r="G1255" s="43"/>
    </row>
    <row r="1256" spans="1:7" ht="30" x14ac:dyDescent="0.25">
      <c r="A1256" s="345" t="s">
        <v>884</v>
      </c>
      <c r="B1256" s="345" t="s">
        <v>1286</v>
      </c>
      <c r="C1256" s="345" t="s">
        <v>1452</v>
      </c>
      <c r="D1256" s="345"/>
      <c r="E1256" s="346" t="s">
        <v>851</v>
      </c>
      <c r="F1256" s="347">
        <v>25546688</v>
      </c>
      <c r="G1256" s="43"/>
    </row>
    <row r="1257" spans="1:7" ht="30" x14ac:dyDescent="0.25">
      <c r="A1257" s="43" t="s">
        <v>1629</v>
      </c>
      <c r="B1257" s="43" t="s">
        <v>1249</v>
      </c>
      <c r="C1257" s="43" t="s">
        <v>1630</v>
      </c>
      <c r="D1257" s="43"/>
      <c r="E1257" s="109" t="s">
        <v>851</v>
      </c>
      <c r="F1257" s="43">
        <v>1059601748</v>
      </c>
      <c r="G1257" s="43"/>
    </row>
    <row r="1258" spans="1:7" ht="30" x14ac:dyDescent="0.25">
      <c r="A1258" s="345" t="s">
        <v>896</v>
      </c>
      <c r="B1258" s="345" t="s">
        <v>1632</v>
      </c>
      <c r="C1258" s="345" t="s">
        <v>1633</v>
      </c>
      <c r="D1258" s="345"/>
      <c r="E1258" s="346" t="s">
        <v>851</v>
      </c>
      <c r="F1258" s="360" t="s">
        <v>1631</v>
      </c>
      <c r="G1258" s="43"/>
    </row>
    <row r="1259" spans="1:7" ht="30" x14ac:dyDescent="0.25">
      <c r="A1259" s="43" t="s">
        <v>1637</v>
      </c>
      <c r="B1259" s="43" t="s">
        <v>1638</v>
      </c>
      <c r="C1259" s="43" t="s">
        <v>1028</v>
      </c>
      <c r="D1259" s="43"/>
      <c r="E1259" s="109" t="s">
        <v>851</v>
      </c>
      <c r="F1259" s="357">
        <v>1060986729</v>
      </c>
      <c r="G1259" s="43"/>
    </row>
    <row r="1260" spans="1:7" ht="30" x14ac:dyDescent="0.25">
      <c r="A1260" s="345" t="s">
        <v>1249</v>
      </c>
      <c r="B1260" s="345" t="s">
        <v>914</v>
      </c>
      <c r="C1260" s="345" t="s">
        <v>1659</v>
      </c>
      <c r="D1260" s="345"/>
      <c r="E1260" s="346" t="s">
        <v>851</v>
      </c>
      <c r="F1260" s="347">
        <v>1059597497</v>
      </c>
      <c r="G1260" s="43"/>
    </row>
    <row r="1261" spans="1:7" ht="30" x14ac:dyDescent="0.25">
      <c r="A1261" s="43" t="s">
        <v>1439</v>
      </c>
      <c r="B1261" s="43" t="s">
        <v>848</v>
      </c>
      <c r="C1261" s="43" t="s">
        <v>1437</v>
      </c>
      <c r="D1261" s="43"/>
      <c r="E1261" s="109" t="s">
        <v>851</v>
      </c>
      <c r="F1261" s="110">
        <v>1059595628</v>
      </c>
      <c r="G1261" s="43"/>
    </row>
    <row r="1262" spans="1:7" ht="30" x14ac:dyDescent="0.25">
      <c r="A1262" s="345" t="s">
        <v>953</v>
      </c>
      <c r="B1262" s="345" t="s">
        <v>1660</v>
      </c>
      <c r="C1262" s="345" t="s">
        <v>1217</v>
      </c>
      <c r="D1262" s="345" t="s">
        <v>1661</v>
      </c>
      <c r="E1262" s="346" t="s">
        <v>851</v>
      </c>
      <c r="F1262" s="347">
        <v>1002848134</v>
      </c>
      <c r="G1262" s="43"/>
    </row>
    <row r="1263" spans="1:7" ht="30" x14ac:dyDescent="0.25">
      <c r="A1263" s="43" t="s">
        <v>848</v>
      </c>
      <c r="B1263" s="43" t="s">
        <v>1034</v>
      </c>
      <c r="C1263" s="43" t="s">
        <v>1612</v>
      </c>
      <c r="D1263" s="43" t="s">
        <v>1662</v>
      </c>
      <c r="E1263" s="109" t="s">
        <v>851</v>
      </c>
      <c r="F1263" s="110">
        <v>1059601726</v>
      </c>
      <c r="G1263" s="43"/>
    </row>
    <row r="1264" spans="1:7" ht="30" x14ac:dyDescent="0.25">
      <c r="A1264" s="345" t="s">
        <v>1663</v>
      </c>
      <c r="B1264" s="345" t="s">
        <v>1664</v>
      </c>
      <c r="C1264" s="345" t="s">
        <v>938</v>
      </c>
      <c r="D1264" s="345" t="s">
        <v>1665</v>
      </c>
      <c r="E1264" s="346" t="s">
        <v>851</v>
      </c>
      <c r="F1264" s="347">
        <v>1059601634</v>
      </c>
      <c r="G1264" s="43"/>
    </row>
    <row r="1265" spans="1:7" ht="30" x14ac:dyDescent="0.25">
      <c r="A1265" s="43" t="s">
        <v>980</v>
      </c>
      <c r="B1265" s="43" t="s">
        <v>1666</v>
      </c>
      <c r="C1265" s="43" t="s">
        <v>1287</v>
      </c>
      <c r="D1265" s="43" t="s">
        <v>919</v>
      </c>
      <c r="E1265" s="109" t="s">
        <v>851</v>
      </c>
      <c r="F1265" s="110">
        <v>1002846819</v>
      </c>
      <c r="G1265" s="43"/>
    </row>
    <row r="1266" spans="1:7" ht="30" x14ac:dyDescent="0.25">
      <c r="A1266" s="345" t="s">
        <v>1667</v>
      </c>
      <c r="B1266" s="345" t="s">
        <v>1668</v>
      </c>
      <c r="C1266" s="345" t="s">
        <v>1669</v>
      </c>
      <c r="D1266" s="345"/>
      <c r="E1266" s="346" t="s">
        <v>851</v>
      </c>
      <c r="F1266" s="347">
        <v>1064426895</v>
      </c>
      <c r="G1266" s="43"/>
    </row>
    <row r="1267" spans="1:7" ht="30" x14ac:dyDescent="0.25">
      <c r="A1267" s="43" t="s">
        <v>1210</v>
      </c>
      <c r="B1267" s="43" t="s">
        <v>848</v>
      </c>
      <c r="C1267" s="43" t="s">
        <v>1670</v>
      </c>
      <c r="D1267" s="43" t="s">
        <v>1671</v>
      </c>
      <c r="E1267" s="109" t="s">
        <v>851</v>
      </c>
      <c r="F1267" s="110">
        <v>1059602883</v>
      </c>
      <c r="G1267" s="43"/>
    </row>
    <row r="1268" spans="1:7" ht="30" x14ac:dyDescent="0.25">
      <c r="A1268" s="345" t="s">
        <v>943</v>
      </c>
      <c r="B1268" s="345" t="s">
        <v>848</v>
      </c>
      <c r="C1268" s="345" t="s">
        <v>1673</v>
      </c>
      <c r="D1268" s="345" t="s">
        <v>1674</v>
      </c>
      <c r="E1268" s="346" t="s">
        <v>851</v>
      </c>
      <c r="F1268" s="366" t="s">
        <v>1672</v>
      </c>
      <c r="G1268" s="43"/>
    </row>
    <row r="1269" spans="1:7" ht="30" x14ac:dyDescent="0.25">
      <c r="A1269" s="43" t="s">
        <v>1677</v>
      </c>
      <c r="B1269" s="43" t="s">
        <v>962</v>
      </c>
      <c r="C1269" s="43" t="s">
        <v>1678</v>
      </c>
      <c r="D1269" s="43" t="s">
        <v>1679</v>
      </c>
      <c r="E1269" s="109" t="s">
        <v>1094</v>
      </c>
      <c r="F1269" s="363" t="s">
        <v>1676</v>
      </c>
      <c r="G1269" s="43"/>
    </row>
    <row r="1270" spans="1:7" ht="30" x14ac:dyDescent="0.25">
      <c r="A1270" s="345" t="s">
        <v>1286</v>
      </c>
      <c r="B1270" s="345" t="s">
        <v>943</v>
      </c>
      <c r="C1270" s="345" t="s">
        <v>1681</v>
      </c>
      <c r="D1270" s="345"/>
      <c r="E1270" s="346" t="s">
        <v>851</v>
      </c>
      <c r="F1270" s="362" t="s">
        <v>1680</v>
      </c>
      <c r="G1270" s="43"/>
    </row>
    <row r="1271" spans="1:7" ht="30" x14ac:dyDescent="0.25">
      <c r="A1271" s="43" t="s">
        <v>848</v>
      </c>
      <c r="B1271" s="43" t="s">
        <v>914</v>
      </c>
      <c r="C1271" s="43" t="s">
        <v>1683</v>
      </c>
      <c r="D1271" s="43"/>
      <c r="E1271" s="109" t="s">
        <v>851</v>
      </c>
      <c r="F1271" s="363" t="s">
        <v>1682</v>
      </c>
      <c r="G1271" s="43"/>
    </row>
    <row r="1272" spans="1:7" x14ac:dyDescent="0.25">
      <c r="A1272" s="421" t="s">
        <v>1715</v>
      </c>
      <c r="B1272" s="421"/>
      <c r="C1272" s="421"/>
      <c r="D1272" s="421"/>
      <c r="E1272" s="421"/>
      <c r="F1272" s="421"/>
      <c r="G1272" s="43"/>
    </row>
    <row r="1273" spans="1:7" ht="45" x14ac:dyDescent="0.25">
      <c r="A1273" s="17" t="s">
        <v>94</v>
      </c>
      <c r="B1273" s="17" t="s">
        <v>21</v>
      </c>
      <c r="C1273" s="17" t="s">
        <v>0</v>
      </c>
      <c r="D1273" s="17" t="s">
        <v>1</v>
      </c>
      <c r="E1273" s="17" t="s">
        <v>2</v>
      </c>
      <c r="F1273" s="17" t="s">
        <v>3</v>
      </c>
      <c r="G1273" s="43"/>
    </row>
    <row r="1274" spans="1:7" ht="30" x14ac:dyDescent="0.25">
      <c r="A1274" s="345" t="s">
        <v>937</v>
      </c>
      <c r="B1274" s="345" t="s">
        <v>909</v>
      </c>
      <c r="C1274" s="345" t="s">
        <v>938</v>
      </c>
      <c r="D1274" s="345" t="s">
        <v>939</v>
      </c>
      <c r="E1274" s="346" t="s">
        <v>851</v>
      </c>
      <c r="F1274" s="347">
        <v>1002846328</v>
      </c>
      <c r="G1274" s="43"/>
    </row>
    <row r="1275" spans="1:7" ht="30" x14ac:dyDescent="0.25">
      <c r="A1275" s="43" t="s">
        <v>947</v>
      </c>
      <c r="B1275" s="43" t="s">
        <v>948</v>
      </c>
      <c r="C1275" s="43" t="s">
        <v>949</v>
      </c>
      <c r="D1275" s="43" t="s">
        <v>950</v>
      </c>
      <c r="E1275" s="109" t="s">
        <v>851</v>
      </c>
      <c r="F1275" s="110">
        <v>1002971041</v>
      </c>
      <c r="G1275" s="43"/>
    </row>
    <row r="1276" spans="1:7" ht="30" x14ac:dyDescent="0.25">
      <c r="A1276" s="345" t="s">
        <v>896</v>
      </c>
      <c r="B1276" s="345" t="s">
        <v>953</v>
      </c>
      <c r="C1276" s="345" t="s">
        <v>954</v>
      </c>
      <c r="D1276" s="345"/>
      <c r="E1276" s="346" t="s">
        <v>851</v>
      </c>
      <c r="F1276" s="347">
        <v>1059604759</v>
      </c>
      <c r="G1276" s="43"/>
    </row>
    <row r="1277" spans="1:7" ht="30" x14ac:dyDescent="0.25">
      <c r="A1277" s="43" t="s">
        <v>943</v>
      </c>
      <c r="B1277" s="43" t="s">
        <v>944</v>
      </c>
      <c r="C1277" s="43" t="s">
        <v>957</v>
      </c>
      <c r="D1277" s="43" t="s">
        <v>958</v>
      </c>
      <c r="E1277" s="109" t="s">
        <v>851</v>
      </c>
      <c r="F1277" s="110">
        <v>1002848208</v>
      </c>
      <c r="G1277" s="43"/>
    </row>
    <row r="1278" spans="1:7" ht="30" x14ac:dyDescent="0.25">
      <c r="A1278" s="345" t="s">
        <v>1014</v>
      </c>
      <c r="B1278" s="345" t="s">
        <v>1015</v>
      </c>
      <c r="C1278" s="345" t="s">
        <v>1016</v>
      </c>
      <c r="D1278" s="345"/>
      <c r="E1278" s="346" t="s">
        <v>851</v>
      </c>
      <c r="F1278" s="347">
        <v>34322648</v>
      </c>
      <c r="G1278" s="43"/>
    </row>
    <row r="1279" spans="1:7" ht="30" x14ac:dyDescent="0.25">
      <c r="A1279" s="43" t="s">
        <v>1077</v>
      </c>
      <c r="B1279" s="43" t="s">
        <v>1078</v>
      </c>
      <c r="C1279" s="43" t="s">
        <v>1079</v>
      </c>
      <c r="D1279" s="43" t="s">
        <v>1080</v>
      </c>
      <c r="E1279" s="109" t="s">
        <v>851</v>
      </c>
      <c r="F1279" s="110">
        <v>1007459317</v>
      </c>
      <c r="G1279" s="43"/>
    </row>
    <row r="1280" spans="1:7" ht="30" x14ac:dyDescent="0.25">
      <c r="A1280" s="345" t="s">
        <v>1109</v>
      </c>
      <c r="B1280" s="345" t="s">
        <v>1110</v>
      </c>
      <c r="C1280" s="345" t="s">
        <v>1111</v>
      </c>
      <c r="D1280" s="345" t="s">
        <v>1112</v>
      </c>
      <c r="E1280" s="346" t="s">
        <v>851</v>
      </c>
      <c r="F1280" s="347">
        <v>1002847924</v>
      </c>
      <c r="G1280" s="43"/>
    </row>
    <row r="1281" spans="1:7" ht="30" x14ac:dyDescent="0.25">
      <c r="A1281" s="43" t="s">
        <v>1115</v>
      </c>
      <c r="B1281" s="43" t="s">
        <v>1116</v>
      </c>
      <c r="C1281" s="43" t="s">
        <v>1117</v>
      </c>
      <c r="D1281" s="43" t="s">
        <v>1118</v>
      </c>
      <c r="E1281" s="109" t="s">
        <v>851</v>
      </c>
      <c r="F1281" s="110">
        <v>1059597252</v>
      </c>
      <c r="G1281" s="43"/>
    </row>
    <row r="1282" spans="1:7" ht="30" x14ac:dyDescent="0.25">
      <c r="A1282" s="301" t="s">
        <v>1160</v>
      </c>
      <c r="B1282" s="301" t="s">
        <v>1161</v>
      </c>
      <c r="C1282" s="301" t="s">
        <v>1162</v>
      </c>
      <c r="D1282" s="301"/>
      <c r="E1282" s="300" t="s">
        <v>851</v>
      </c>
      <c r="F1282" s="303">
        <v>1067468278</v>
      </c>
      <c r="G1282" s="43"/>
    </row>
    <row r="1283" spans="1:7" ht="30" x14ac:dyDescent="0.25">
      <c r="A1283" s="301" t="s">
        <v>1126</v>
      </c>
      <c r="B1283" s="301" t="s">
        <v>874</v>
      </c>
      <c r="C1283" s="301" t="s">
        <v>1178</v>
      </c>
      <c r="D1283" s="301"/>
      <c r="E1283" s="300" t="s">
        <v>851</v>
      </c>
      <c r="F1283" s="303">
        <v>1002848392</v>
      </c>
      <c r="G1283" s="43"/>
    </row>
    <row r="1284" spans="1:7" ht="30" x14ac:dyDescent="0.25">
      <c r="A1284" s="345" t="s">
        <v>992</v>
      </c>
      <c r="B1284" s="345" t="s">
        <v>1213</v>
      </c>
      <c r="C1284" s="345" t="s">
        <v>1214</v>
      </c>
      <c r="D1284" s="345"/>
      <c r="E1284" s="346" t="s">
        <v>1094</v>
      </c>
      <c r="F1284" s="347">
        <v>1059596128</v>
      </c>
      <c r="G1284" s="43"/>
    </row>
    <row r="1285" spans="1:7" ht="30" x14ac:dyDescent="0.25">
      <c r="A1285" s="43" t="s">
        <v>909</v>
      </c>
      <c r="B1285" s="43" t="s">
        <v>1235</v>
      </c>
      <c r="C1285" s="43" t="s">
        <v>981</v>
      </c>
      <c r="D1285" s="43" t="s">
        <v>1129</v>
      </c>
      <c r="E1285" s="109" t="s">
        <v>851</v>
      </c>
      <c r="F1285" s="110">
        <v>1002847053</v>
      </c>
      <c r="G1285" s="43"/>
    </row>
    <row r="1286" spans="1:7" ht="30" x14ac:dyDescent="0.25">
      <c r="A1286" s="345" t="s">
        <v>1255</v>
      </c>
      <c r="B1286" s="345" t="s">
        <v>1256</v>
      </c>
      <c r="C1286" s="345" t="s">
        <v>1257</v>
      </c>
      <c r="D1286" s="345" t="s">
        <v>1258</v>
      </c>
      <c r="E1286" s="346" t="s">
        <v>851</v>
      </c>
      <c r="F1286" s="347">
        <v>1061690037</v>
      </c>
      <c r="G1286" s="43"/>
    </row>
    <row r="1287" spans="1:7" ht="30" x14ac:dyDescent="0.25">
      <c r="A1287" s="43" t="s">
        <v>1268</v>
      </c>
      <c r="B1287" s="43" t="s">
        <v>1135</v>
      </c>
      <c r="C1287" s="43" t="s">
        <v>1269</v>
      </c>
      <c r="D1287" s="43"/>
      <c r="E1287" s="109" t="s">
        <v>851</v>
      </c>
      <c r="F1287" s="110">
        <v>1059597793</v>
      </c>
      <c r="G1287" s="43"/>
    </row>
    <row r="1288" spans="1:7" ht="30" x14ac:dyDescent="0.25">
      <c r="A1288" s="345" t="s">
        <v>873</v>
      </c>
      <c r="B1288" s="345" t="s">
        <v>874</v>
      </c>
      <c r="C1288" s="345" t="s">
        <v>1280</v>
      </c>
      <c r="D1288" s="345" t="s">
        <v>1281</v>
      </c>
      <c r="E1288" s="346" t="s">
        <v>1094</v>
      </c>
      <c r="F1288" s="347">
        <v>1059599177</v>
      </c>
      <c r="G1288" s="43"/>
    </row>
    <row r="1289" spans="1:7" ht="30" x14ac:dyDescent="0.25">
      <c r="A1289" s="301" t="s">
        <v>1147</v>
      </c>
      <c r="B1289" s="301" t="s">
        <v>1286</v>
      </c>
      <c r="C1289" s="301" t="s">
        <v>1287</v>
      </c>
      <c r="D1289" s="301" t="s">
        <v>1043</v>
      </c>
      <c r="E1289" s="300" t="s">
        <v>851</v>
      </c>
      <c r="F1289" s="303">
        <v>1059597815</v>
      </c>
      <c r="G1289" s="43"/>
    </row>
    <row r="1290" spans="1:7" ht="30" x14ac:dyDescent="0.25">
      <c r="A1290" s="345" t="s">
        <v>914</v>
      </c>
      <c r="B1290" s="345" t="s">
        <v>943</v>
      </c>
      <c r="C1290" s="345" t="s">
        <v>1289</v>
      </c>
      <c r="D1290" s="345"/>
      <c r="E1290" s="346" t="s">
        <v>851</v>
      </c>
      <c r="F1290" s="347">
        <v>1059596690</v>
      </c>
      <c r="G1290" s="43"/>
    </row>
    <row r="1291" spans="1:7" ht="30" x14ac:dyDescent="0.25">
      <c r="A1291" s="43" t="s">
        <v>1290</v>
      </c>
      <c r="B1291" s="43" t="s">
        <v>996</v>
      </c>
      <c r="C1291" s="43" t="s">
        <v>1291</v>
      </c>
      <c r="D1291" s="43"/>
      <c r="E1291" s="109" t="s">
        <v>1094</v>
      </c>
      <c r="F1291" s="110">
        <v>1059597222</v>
      </c>
      <c r="G1291" s="43"/>
    </row>
    <row r="1292" spans="1:7" ht="30" x14ac:dyDescent="0.25">
      <c r="A1292" s="345" t="s">
        <v>1144</v>
      </c>
      <c r="B1292" s="345" t="s">
        <v>914</v>
      </c>
      <c r="C1292" s="345" t="s">
        <v>1303</v>
      </c>
      <c r="D1292" s="345"/>
      <c r="E1292" s="346" t="s">
        <v>851</v>
      </c>
      <c r="F1292" s="347">
        <v>1059594726</v>
      </c>
      <c r="G1292" s="43"/>
    </row>
    <row r="1293" spans="1:7" ht="30" x14ac:dyDescent="0.25">
      <c r="A1293" s="43" t="s">
        <v>884</v>
      </c>
      <c r="B1293" s="43" t="s">
        <v>1322</v>
      </c>
      <c r="C1293" s="43" t="s">
        <v>1323</v>
      </c>
      <c r="D1293" s="43" t="s">
        <v>1324</v>
      </c>
      <c r="E1293" s="109" t="s">
        <v>851</v>
      </c>
      <c r="F1293" s="110" t="s">
        <v>1325</v>
      </c>
      <c r="G1293" s="43"/>
    </row>
    <row r="1294" spans="1:7" ht="30" x14ac:dyDescent="0.25">
      <c r="A1294" s="345" t="s">
        <v>909</v>
      </c>
      <c r="B1294" s="345" t="s">
        <v>928</v>
      </c>
      <c r="C1294" s="345" t="s">
        <v>1047</v>
      </c>
      <c r="D1294" s="345"/>
      <c r="E1294" s="346" t="s">
        <v>851</v>
      </c>
      <c r="F1294" s="347" t="s">
        <v>1335</v>
      </c>
      <c r="G1294" s="43"/>
    </row>
    <row r="1295" spans="1:7" ht="30" x14ac:dyDescent="0.25">
      <c r="A1295" s="43" t="s">
        <v>1342</v>
      </c>
      <c r="B1295" s="43" t="s">
        <v>1343</v>
      </c>
      <c r="C1295" s="43" t="s">
        <v>938</v>
      </c>
      <c r="D1295" s="43" t="s">
        <v>1344</v>
      </c>
      <c r="E1295" s="109" t="s">
        <v>851</v>
      </c>
      <c r="F1295" s="110">
        <v>1113541820</v>
      </c>
      <c r="G1295" s="43"/>
    </row>
    <row r="1296" spans="1:7" ht="30" x14ac:dyDescent="0.25">
      <c r="A1296" s="345" t="s">
        <v>953</v>
      </c>
      <c r="B1296" s="345" t="s">
        <v>1345</v>
      </c>
      <c r="C1296" s="345" t="s">
        <v>1346</v>
      </c>
      <c r="D1296" s="345"/>
      <c r="E1296" s="346" t="s">
        <v>851</v>
      </c>
      <c r="F1296" s="347" t="s">
        <v>1347</v>
      </c>
      <c r="G1296" s="43"/>
    </row>
    <row r="1297" spans="1:7" ht="30" x14ac:dyDescent="0.25">
      <c r="A1297" s="301" t="s">
        <v>909</v>
      </c>
      <c r="B1297" s="301" t="s">
        <v>914</v>
      </c>
      <c r="C1297" s="301" t="s">
        <v>1348</v>
      </c>
      <c r="D1297" s="301"/>
      <c r="E1297" s="300" t="s">
        <v>851</v>
      </c>
      <c r="F1297" s="303">
        <v>1002847764</v>
      </c>
      <c r="G1297" s="43"/>
    </row>
    <row r="1298" spans="1:7" ht="30" x14ac:dyDescent="0.25">
      <c r="A1298" s="345" t="s">
        <v>1356</v>
      </c>
      <c r="B1298" s="345" t="s">
        <v>943</v>
      </c>
      <c r="C1298" s="345" t="s">
        <v>1357</v>
      </c>
      <c r="D1298" s="345"/>
      <c r="E1298" s="346" t="s">
        <v>1094</v>
      </c>
      <c r="F1298" s="347" t="s">
        <v>1358</v>
      </c>
      <c r="G1298" s="43"/>
    </row>
    <row r="1299" spans="1:7" ht="30" x14ac:dyDescent="0.25">
      <c r="A1299" s="43" t="s">
        <v>943</v>
      </c>
      <c r="B1299" s="43" t="s">
        <v>1361</v>
      </c>
      <c r="C1299" s="43" t="s">
        <v>1372</v>
      </c>
      <c r="D1299" s="43" t="s">
        <v>1373</v>
      </c>
      <c r="E1299" s="109" t="s">
        <v>851</v>
      </c>
      <c r="F1299" s="110">
        <v>1068216345</v>
      </c>
      <c r="G1299" s="43"/>
    </row>
    <row r="1300" spans="1:7" ht="30" x14ac:dyDescent="0.25">
      <c r="A1300" s="301" t="s">
        <v>914</v>
      </c>
      <c r="B1300" s="301" t="s">
        <v>917</v>
      </c>
      <c r="C1300" s="301" t="s">
        <v>1376</v>
      </c>
      <c r="D1300" s="301"/>
      <c r="E1300" s="300" t="s">
        <v>851</v>
      </c>
      <c r="F1300" s="303">
        <v>1002847472</v>
      </c>
      <c r="G1300" s="43"/>
    </row>
    <row r="1301" spans="1:7" ht="30" x14ac:dyDescent="0.25">
      <c r="A1301" s="43" t="s">
        <v>1365</v>
      </c>
      <c r="B1301" s="43" t="s">
        <v>1378</v>
      </c>
      <c r="C1301" s="43" t="s">
        <v>1379</v>
      </c>
      <c r="D1301" s="43"/>
      <c r="E1301" s="109" t="s">
        <v>851</v>
      </c>
      <c r="F1301" s="110">
        <v>1059594610</v>
      </c>
      <c r="G1301" s="43"/>
    </row>
    <row r="1302" spans="1:7" ht="30" x14ac:dyDescent="0.25">
      <c r="A1302" s="345" t="s">
        <v>1394</v>
      </c>
      <c r="B1302" s="345" t="s">
        <v>1395</v>
      </c>
      <c r="C1302" s="345" t="s">
        <v>1284</v>
      </c>
      <c r="D1302" s="345" t="s">
        <v>1182</v>
      </c>
      <c r="E1302" s="346" t="s">
        <v>851</v>
      </c>
      <c r="F1302" s="347">
        <v>1059594142</v>
      </c>
      <c r="G1302" s="43"/>
    </row>
    <row r="1303" spans="1:7" ht="30" x14ac:dyDescent="0.25">
      <c r="A1303" s="301" t="s">
        <v>953</v>
      </c>
      <c r="B1303" s="301" t="s">
        <v>1402</v>
      </c>
      <c r="C1303" s="301" t="s">
        <v>1403</v>
      </c>
      <c r="D1303" s="301" t="s">
        <v>982</v>
      </c>
      <c r="E1303" s="300" t="s">
        <v>851</v>
      </c>
      <c r="F1303" s="303">
        <v>1002922124</v>
      </c>
      <c r="G1303" s="43"/>
    </row>
    <row r="1304" spans="1:7" ht="30" x14ac:dyDescent="0.25">
      <c r="A1304" s="345" t="s">
        <v>1410</v>
      </c>
      <c r="B1304" s="345" t="s">
        <v>1411</v>
      </c>
      <c r="C1304" s="345" t="s">
        <v>1412</v>
      </c>
      <c r="D1304" s="345" t="s">
        <v>1028</v>
      </c>
      <c r="E1304" s="346" t="s">
        <v>851</v>
      </c>
      <c r="F1304" s="347">
        <v>1059595537</v>
      </c>
      <c r="G1304" s="43"/>
    </row>
    <row r="1305" spans="1:7" ht="30" x14ac:dyDescent="0.25">
      <c r="A1305" s="301" t="s">
        <v>974</v>
      </c>
      <c r="B1305" s="301" t="s">
        <v>1144</v>
      </c>
      <c r="C1305" s="301" t="s">
        <v>1419</v>
      </c>
      <c r="D1305" s="301"/>
      <c r="E1305" s="300" t="s">
        <v>851</v>
      </c>
      <c r="F1305" s="303">
        <v>1059598995</v>
      </c>
      <c r="G1305" s="43"/>
    </row>
    <row r="1306" spans="1:7" ht="30" x14ac:dyDescent="0.25">
      <c r="A1306" s="345" t="s">
        <v>953</v>
      </c>
      <c r="B1306" s="345" t="s">
        <v>848</v>
      </c>
      <c r="C1306" s="345" t="s">
        <v>1420</v>
      </c>
      <c r="D1306" s="345"/>
      <c r="E1306" s="346" t="s">
        <v>851</v>
      </c>
      <c r="F1306" s="347">
        <v>1002846728</v>
      </c>
      <c r="G1306" s="43"/>
    </row>
    <row r="1307" spans="1:7" ht="30" x14ac:dyDescent="0.25">
      <c r="A1307" s="43" t="s">
        <v>1446</v>
      </c>
      <c r="B1307" s="43" t="s">
        <v>1447</v>
      </c>
      <c r="C1307" s="43" t="s">
        <v>1047</v>
      </c>
      <c r="D1307" s="43"/>
      <c r="E1307" s="109" t="s">
        <v>851</v>
      </c>
      <c r="F1307" s="110">
        <v>1073246645</v>
      </c>
      <c r="G1307" s="43"/>
    </row>
    <row r="1308" spans="1:7" ht="30" x14ac:dyDescent="0.25">
      <c r="A1308" s="345" t="s">
        <v>1014</v>
      </c>
      <c r="B1308" s="345" t="s">
        <v>1474</v>
      </c>
      <c r="C1308" s="345" t="s">
        <v>1475</v>
      </c>
      <c r="D1308" s="345"/>
      <c r="E1308" s="346" t="s">
        <v>851</v>
      </c>
      <c r="F1308" s="347">
        <v>1002846252</v>
      </c>
      <c r="G1308" s="43"/>
    </row>
    <row r="1309" spans="1:7" ht="30" x14ac:dyDescent="0.25">
      <c r="A1309" s="43" t="s">
        <v>1365</v>
      </c>
      <c r="B1309" s="43" t="s">
        <v>857</v>
      </c>
      <c r="C1309" s="43" t="s">
        <v>1217</v>
      </c>
      <c r="D1309" s="43" t="s">
        <v>1487</v>
      </c>
      <c r="E1309" s="109" t="s">
        <v>851</v>
      </c>
      <c r="F1309" s="110" t="s">
        <v>1488</v>
      </c>
      <c r="G1309" s="43"/>
    </row>
    <row r="1310" spans="1:7" ht="30" x14ac:dyDescent="0.25">
      <c r="A1310" s="345" t="s">
        <v>914</v>
      </c>
      <c r="B1310" s="345" t="s">
        <v>953</v>
      </c>
      <c r="C1310" s="345" t="s">
        <v>1217</v>
      </c>
      <c r="D1310" s="345" t="s">
        <v>1398</v>
      </c>
      <c r="E1310" s="346" t="s">
        <v>851</v>
      </c>
      <c r="F1310" s="347">
        <v>1059602321</v>
      </c>
      <c r="G1310" s="43"/>
    </row>
    <row r="1311" spans="1:7" ht="30" x14ac:dyDescent="0.25">
      <c r="A1311" s="43" t="s">
        <v>848</v>
      </c>
      <c r="B1311" s="43" t="s">
        <v>943</v>
      </c>
      <c r="C1311" s="43" t="s">
        <v>1565</v>
      </c>
      <c r="D1311" s="43"/>
      <c r="E1311" s="109" t="s">
        <v>851</v>
      </c>
      <c r="F1311" s="110">
        <v>1059606933</v>
      </c>
      <c r="G1311" s="43"/>
    </row>
    <row r="1312" spans="1:7" ht="30" x14ac:dyDescent="0.25">
      <c r="A1312" s="345" t="s">
        <v>914</v>
      </c>
      <c r="B1312" s="345" t="s">
        <v>943</v>
      </c>
      <c r="C1312" s="345" t="s">
        <v>1575</v>
      </c>
      <c r="D1312" s="345"/>
      <c r="E1312" s="346" t="s">
        <v>851</v>
      </c>
      <c r="F1312" s="359" t="s">
        <v>1574</v>
      </c>
      <c r="G1312" s="43"/>
    </row>
    <row r="1313" spans="1:7" ht="30" x14ac:dyDescent="0.25">
      <c r="A1313" s="43" t="s">
        <v>1068</v>
      </c>
      <c r="B1313" s="43" t="s">
        <v>1577</v>
      </c>
      <c r="C1313" s="43" t="s">
        <v>1468</v>
      </c>
      <c r="D1313" s="43" t="s">
        <v>1281</v>
      </c>
      <c r="E1313" s="109" t="s">
        <v>851</v>
      </c>
      <c r="F1313" s="356" t="s">
        <v>1576</v>
      </c>
      <c r="G1313" s="43"/>
    </row>
    <row r="1314" spans="1:7" ht="30" x14ac:dyDescent="0.25">
      <c r="A1314" s="345" t="s">
        <v>944</v>
      </c>
      <c r="B1314" s="345" t="s">
        <v>944</v>
      </c>
      <c r="C1314" s="345" t="s">
        <v>1616</v>
      </c>
      <c r="D1314" s="345" t="s">
        <v>1617</v>
      </c>
      <c r="E1314" s="346" t="s">
        <v>851</v>
      </c>
      <c r="F1314" s="347">
        <v>1059595276</v>
      </c>
      <c r="G1314" s="43"/>
    </row>
    <row r="1315" spans="1:7" x14ac:dyDescent="0.25">
      <c r="A1315" s="421" t="s">
        <v>1716</v>
      </c>
      <c r="B1315" s="421"/>
      <c r="C1315" s="421"/>
      <c r="D1315" s="421"/>
      <c r="E1315" s="421"/>
      <c r="F1315" s="421"/>
      <c r="G1315" s="43"/>
    </row>
    <row r="1316" spans="1:7" ht="45" x14ac:dyDescent="0.25">
      <c r="A1316" s="17" t="s">
        <v>94</v>
      </c>
      <c r="B1316" s="17" t="s">
        <v>21</v>
      </c>
      <c r="C1316" s="17" t="s">
        <v>0</v>
      </c>
      <c r="D1316" s="17" t="s">
        <v>1</v>
      </c>
      <c r="E1316" s="17" t="s">
        <v>2</v>
      </c>
      <c r="F1316" s="17" t="s">
        <v>3</v>
      </c>
      <c r="G1316" s="43"/>
    </row>
    <row r="1317" spans="1:7" ht="30" x14ac:dyDescent="0.25">
      <c r="A1317" s="345" t="s">
        <v>847</v>
      </c>
      <c r="B1317" s="345" t="s">
        <v>848</v>
      </c>
      <c r="C1317" s="345" t="s">
        <v>849</v>
      </c>
      <c r="D1317" s="345" t="s">
        <v>850</v>
      </c>
      <c r="E1317" s="346" t="s">
        <v>851</v>
      </c>
      <c r="F1317" s="347">
        <v>1002848782</v>
      </c>
      <c r="G1317" s="43"/>
    </row>
    <row r="1318" spans="1:7" ht="30" x14ac:dyDescent="0.25">
      <c r="A1318" s="43" t="s">
        <v>873</v>
      </c>
      <c r="B1318" s="43" t="s">
        <v>874</v>
      </c>
      <c r="C1318" s="43" t="s">
        <v>875</v>
      </c>
      <c r="D1318" s="43" t="s">
        <v>850</v>
      </c>
      <c r="E1318" s="109" t="s">
        <v>851</v>
      </c>
      <c r="F1318" s="110">
        <v>1193574048</v>
      </c>
      <c r="G1318" s="43"/>
    </row>
    <row r="1319" spans="1:7" ht="30" x14ac:dyDescent="0.25">
      <c r="A1319" s="345" t="s">
        <v>883</v>
      </c>
      <c r="B1319" s="345" t="s">
        <v>884</v>
      </c>
      <c r="C1319" s="345" t="s">
        <v>885</v>
      </c>
      <c r="D1319" s="345" t="s">
        <v>850</v>
      </c>
      <c r="E1319" s="346" t="s">
        <v>851</v>
      </c>
      <c r="F1319" s="347">
        <v>1059594099</v>
      </c>
      <c r="G1319" s="43"/>
    </row>
    <row r="1320" spans="1:7" ht="30" x14ac:dyDescent="0.25">
      <c r="A1320" s="43" t="s">
        <v>874</v>
      </c>
      <c r="B1320" s="43" t="s">
        <v>891</v>
      </c>
      <c r="C1320" s="43" t="s">
        <v>892</v>
      </c>
      <c r="D1320" s="43"/>
      <c r="E1320" s="109" t="s">
        <v>851</v>
      </c>
      <c r="F1320" s="110">
        <v>1059597797</v>
      </c>
      <c r="G1320" s="43"/>
    </row>
    <row r="1321" spans="1:7" ht="30" x14ac:dyDescent="0.25">
      <c r="A1321" s="345" t="s">
        <v>896</v>
      </c>
      <c r="B1321" s="345" t="s">
        <v>873</v>
      </c>
      <c r="C1321" s="345"/>
      <c r="D1321" s="345"/>
      <c r="E1321" s="346" t="s">
        <v>851</v>
      </c>
      <c r="F1321" s="347">
        <v>1002847560</v>
      </c>
      <c r="G1321" s="43"/>
    </row>
    <row r="1322" spans="1:7" ht="30" x14ac:dyDescent="0.25">
      <c r="A1322" s="43" t="s">
        <v>901</v>
      </c>
      <c r="B1322" s="43" t="s">
        <v>902</v>
      </c>
      <c r="C1322" s="43" t="s">
        <v>903</v>
      </c>
      <c r="D1322" s="43" t="s">
        <v>850</v>
      </c>
      <c r="E1322" s="109" t="s">
        <v>851</v>
      </c>
      <c r="F1322" s="110">
        <v>1002950264</v>
      </c>
      <c r="G1322" s="43"/>
    </row>
    <row r="1323" spans="1:7" ht="30" x14ac:dyDescent="0.25">
      <c r="A1323" s="345" t="s">
        <v>908</v>
      </c>
      <c r="B1323" s="345" t="s">
        <v>909</v>
      </c>
      <c r="C1323" s="345" t="s">
        <v>910</v>
      </c>
      <c r="D1323" s="345" t="s">
        <v>850</v>
      </c>
      <c r="E1323" s="346" t="s">
        <v>851</v>
      </c>
      <c r="F1323" s="347">
        <v>1002846321</v>
      </c>
      <c r="G1323" s="43"/>
    </row>
    <row r="1324" spans="1:7" ht="30" x14ac:dyDescent="0.25">
      <c r="A1324" s="43" t="s">
        <v>916</v>
      </c>
      <c r="B1324" s="43" t="s">
        <v>917</v>
      </c>
      <c r="C1324" s="43" t="s">
        <v>918</v>
      </c>
      <c r="D1324" s="43" t="s">
        <v>919</v>
      </c>
      <c r="E1324" s="109" t="s">
        <v>851</v>
      </c>
      <c r="F1324" s="110">
        <v>1059595527</v>
      </c>
      <c r="G1324" s="43"/>
    </row>
    <row r="1325" spans="1:7" ht="30" x14ac:dyDescent="0.25">
      <c r="A1325" s="345" t="s">
        <v>922</v>
      </c>
      <c r="B1325" s="345" t="s">
        <v>923</v>
      </c>
      <c r="C1325" s="345" t="s">
        <v>924</v>
      </c>
      <c r="D1325" s="345"/>
      <c r="E1325" s="346" t="s">
        <v>851</v>
      </c>
      <c r="F1325" s="347">
        <v>25546638</v>
      </c>
      <c r="G1325" s="43"/>
    </row>
    <row r="1326" spans="1:7" ht="30" x14ac:dyDescent="0.25">
      <c r="A1326" s="43" t="s">
        <v>928</v>
      </c>
      <c r="B1326" s="43" t="s">
        <v>929</v>
      </c>
      <c r="C1326" s="43" t="s">
        <v>930</v>
      </c>
      <c r="D1326" s="43" t="s">
        <v>931</v>
      </c>
      <c r="E1326" s="109" t="s">
        <v>851</v>
      </c>
      <c r="F1326" s="110">
        <v>1002847209</v>
      </c>
      <c r="G1326" s="43"/>
    </row>
    <row r="1327" spans="1:7" ht="30" x14ac:dyDescent="0.25">
      <c r="A1327" s="345" t="s">
        <v>937</v>
      </c>
      <c r="B1327" s="345" t="s">
        <v>909</v>
      </c>
      <c r="C1327" s="345" t="s">
        <v>938</v>
      </c>
      <c r="D1327" s="345" t="s">
        <v>939</v>
      </c>
      <c r="E1327" s="346" t="s">
        <v>851</v>
      </c>
      <c r="F1327" s="347">
        <v>1002846328</v>
      </c>
      <c r="G1327" s="43"/>
    </row>
    <row r="1328" spans="1:7" ht="30" x14ac:dyDescent="0.25">
      <c r="A1328" s="43" t="s">
        <v>943</v>
      </c>
      <c r="B1328" s="43" t="s">
        <v>944</v>
      </c>
      <c r="C1328" s="43" t="s">
        <v>945</v>
      </c>
      <c r="D1328" s="43" t="s">
        <v>919</v>
      </c>
      <c r="E1328" s="109" t="s">
        <v>851</v>
      </c>
      <c r="F1328" s="110">
        <v>1002847740</v>
      </c>
      <c r="G1328" s="43"/>
    </row>
    <row r="1329" spans="1:7" ht="30" x14ac:dyDescent="0.25">
      <c r="A1329" s="345" t="s">
        <v>947</v>
      </c>
      <c r="B1329" s="345" t="s">
        <v>948</v>
      </c>
      <c r="C1329" s="345" t="s">
        <v>949</v>
      </c>
      <c r="D1329" s="345" t="s">
        <v>950</v>
      </c>
      <c r="E1329" s="346" t="s">
        <v>851</v>
      </c>
      <c r="F1329" s="347">
        <v>1002971041</v>
      </c>
      <c r="G1329" s="43"/>
    </row>
    <row r="1330" spans="1:7" ht="30" x14ac:dyDescent="0.25">
      <c r="A1330" s="43" t="s">
        <v>896</v>
      </c>
      <c r="B1330" s="43" t="s">
        <v>953</v>
      </c>
      <c r="C1330" s="43" t="s">
        <v>954</v>
      </c>
      <c r="D1330" s="43"/>
      <c r="E1330" s="109" t="s">
        <v>851</v>
      </c>
      <c r="F1330" s="110">
        <v>1059604759</v>
      </c>
      <c r="G1330" s="43"/>
    </row>
    <row r="1331" spans="1:7" ht="30" x14ac:dyDescent="0.25">
      <c r="A1331" s="345" t="s">
        <v>943</v>
      </c>
      <c r="B1331" s="345" t="s">
        <v>944</v>
      </c>
      <c r="C1331" s="345" t="s">
        <v>957</v>
      </c>
      <c r="D1331" s="345" t="s">
        <v>958</v>
      </c>
      <c r="E1331" s="346" t="s">
        <v>851</v>
      </c>
      <c r="F1331" s="347">
        <v>1002848208</v>
      </c>
      <c r="G1331" s="43"/>
    </row>
    <row r="1332" spans="1:7" ht="30" x14ac:dyDescent="0.25">
      <c r="A1332" s="43" t="s">
        <v>961</v>
      </c>
      <c r="B1332" s="43" t="s">
        <v>962</v>
      </c>
      <c r="C1332" s="43" t="s">
        <v>945</v>
      </c>
      <c r="D1332" s="43" t="s">
        <v>963</v>
      </c>
      <c r="E1332" s="109" t="s">
        <v>851</v>
      </c>
      <c r="F1332" s="110">
        <v>1059606704</v>
      </c>
      <c r="G1332" s="43"/>
    </row>
    <row r="1333" spans="1:7" ht="30" x14ac:dyDescent="0.25">
      <c r="A1333" s="345" t="s">
        <v>967</v>
      </c>
      <c r="B1333" s="345" t="s">
        <v>968</v>
      </c>
      <c r="C1333" s="345" t="s">
        <v>969</v>
      </c>
      <c r="D1333" s="345"/>
      <c r="E1333" s="346" t="s">
        <v>851</v>
      </c>
      <c r="F1333" s="347">
        <v>1002848677</v>
      </c>
      <c r="G1333" s="43"/>
    </row>
    <row r="1334" spans="1:7" ht="30" x14ac:dyDescent="0.25">
      <c r="A1334" s="43" t="s">
        <v>937</v>
      </c>
      <c r="B1334" s="43" t="s">
        <v>974</v>
      </c>
      <c r="C1334" s="43" t="s">
        <v>975</v>
      </c>
      <c r="D1334" s="43" t="s">
        <v>976</v>
      </c>
      <c r="E1334" s="109" t="s">
        <v>851</v>
      </c>
      <c r="F1334" s="110">
        <v>1067464106</v>
      </c>
      <c r="G1334" s="43"/>
    </row>
    <row r="1335" spans="1:7" ht="30" x14ac:dyDescent="0.25">
      <c r="A1335" s="345" t="s">
        <v>979</v>
      </c>
      <c r="B1335" s="345" t="s">
        <v>980</v>
      </c>
      <c r="C1335" s="345" t="s">
        <v>981</v>
      </c>
      <c r="D1335" s="345" t="s">
        <v>982</v>
      </c>
      <c r="E1335" s="346" t="s">
        <v>851</v>
      </c>
      <c r="F1335" s="347">
        <v>1002847211</v>
      </c>
      <c r="G1335" s="43"/>
    </row>
    <row r="1336" spans="1:7" ht="30" x14ac:dyDescent="0.25">
      <c r="A1336" s="43" t="s">
        <v>937</v>
      </c>
      <c r="B1336" s="43" t="s">
        <v>984</v>
      </c>
      <c r="C1336" s="43" t="s">
        <v>985</v>
      </c>
      <c r="D1336" s="43" t="s">
        <v>986</v>
      </c>
      <c r="E1336" s="109" t="s">
        <v>851</v>
      </c>
      <c r="F1336" s="110">
        <v>1059595259</v>
      </c>
      <c r="G1336" s="43"/>
    </row>
    <row r="1337" spans="1:7" ht="30" x14ac:dyDescent="0.25">
      <c r="A1337" s="345" t="s">
        <v>991</v>
      </c>
      <c r="B1337" s="345" t="s">
        <v>992</v>
      </c>
      <c r="C1337" s="345"/>
      <c r="D1337" s="345" t="s">
        <v>993</v>
      </c>
      <c r="E1337" s="346" t="s">
        <v>851</v>
      </c>
      <c r="F1337" s="347">
        <v>1059596516</v>
      </c>
      <c r="G1337" s="43"/>
    </row>
    <row r="1338" spans="1:7" ht="30" x14ac:dyDescent="0.25">
      <c r="A1338" s="43" t="s">
        <v>996</v>
      </c>
      <c r="B1338" s="43" t="s">
        <v>848</v>
      </c>
      <c r="C1338" s="43" t="s">
        <v>997</v>
      </c>
      <c r="D1338" s="43" t="s">
        <v>998</v>
      </c>
      <c r="E1338" s="109" t="s">
        <v>851</v>
      </c>
      <c r="F1338" s="110">
        <v>1002846560</v>
      </c>
      <c r="G1338" s="43"/>
    </row>
    <row r="1339" spans="1:7" ht="30" x14ac:dyDescent="0.25">
      <c r="A1339" s="345" t="s">
        <v>857</v>
      </c>
      <c r="B1339" s="345" t="s">
        <v>1001</v>
      </c>
      <c r="C1339" s="345" t="s">
        <v>1002</v>
      </c>
      <c r="D1339" s="345"/>
      <c r="E1339" s="346" t="s">
        <v>851</v>
      </c>
      <c r="F1339" s="347">
        <v>1061784538</v>
      </c>
      <c r="G1339" s="43"/>
    </row>
    <row r="1340" spans="1:7" ht="30" x14ac:dyDescent="0.25">
      <c r="A1340" s="43" t="s">
        <v>1007</v>
      </c>
      <c r="B1340" s="43" t="s">
        <v>980</v>
      </c>
      <c r="C1340" s="43" t="s">
        <v>1008</v>
      </c>
      <c r="D1340" s="43"/>
      <c r="E1340" s="109" t="s">
        <v>851</v>
      </c>
      <c r="F1340" s="110">
        <v>1002848971</v>
      </c>
      <c r="G1340" s="43"/>
    </row>
    <row r="1341" spans="1:7" ht="30" x14ac:dyDescent="0.25">
      <c r="A1341" s="345" t="s">
        <v>1014</v>
      </c>
      <c r="B1341" s="345" t="s">
        <v>1015</v>
      </c>
      <c r="C1341" s="345" t="s">
        <v>1016</v>
      </c>
      <c r="D1341" s="345"/>
      <c r="E1341" s="346" t="s">
        <v>851</v>
      </c>
      <c r="F1341" s="347">
        <v>34322648</v>
      </c>
      <c r="G1341" s="43"/>
    </row>
    <row r="1342" spans="1:7" ht="30" x14ac:dyDescent="0.25">
      <c r="A1342" s="43" t="s">
        <v>1020</v>
      </c>
      <c r="B1342" s="43" t="s">
        <v>979</v>
      </c>
      <c r="C1342" s="43" t="s">
        <v>985</v>
      </c>
      <c r="D1342" s="43" t="s">
        <v>1021</v>
      </c>
      <c r="E1342" s="109" t="s">
        <v>851</v>
      </c>
      <c r="F1342" s="110">
        <v>1059604272</v>
      </c>
      <c r="G1342" s="43"/>
    </row>
    <row r="1343" spans="1:7" ht="30" x14ac:dyDescent="0.25">
      <c r="A1343" s="345" t="s">
        <v>1025</v>
      </c>
      <c r="B1343" s="345" t="s">
        <v>1026</v>
      </c>
      <c r="C1343" s="345" t="s">
        <v>1027</v>
      </c>
      <c r="D1343" s="345" t="s">
        <v>1028</v>
      </c>
      <c r="E1343" s="346" t="s">
        <v>851</v>
      </c>
      <c r="F1343" s="347">
        <v>1002848230</v>
      </c>
      <c r="G1343" s="43"/>
    </row>
    <row r="1344" spans="1:7" ht="30" x14ac:dyDescent="0.25">
      <c r="A1344" s="43" t="s">
        <v>1033</v>
      </c>
      <c r="B1344" s="43" t="s">
        <v>1034</v>
      </c>
      <c r="C1344" s="43" t="s">
        <v>1035</v>
      </c>
      <c r="D1344" s="43"/>
      <c r="E1344" s="109" t="s">
        <v>851</v>
      </c>
      <c r="F1344" s="110">
        <v>1059606995</v>
      </c>
      <c r="G1344" s="43"/>
    </row>
    <row r="1345" spans="1:7" ht="30" x14ac:dyDescent="0.25">
      <c r="A1345" s="345" t="s">
        <v>1037</v>
      </c>
      <c r="B1345" s="345" t="s">
        <v>980</v>
      </c>
      <c r="C1345" s="345" t="s">
        <v>1038</v>
      </c>
      <c r="D1345" s="345"/>
      <c r="E1345" s="346" t="s">
        <v>851</v>
      </c>
      <c r="F1345" s="347">
        <v>1002848059</v>
      </c>
      <c r="G1345" s="43"/>
    </row>
    <row r="1346" spans="1:7" ht="30" x14ac:dyDescent="0.25">
      <c r="A1346" s="43" t="s">
        <v>1041</v>
      </c>
      <c r="B1346" s="43" t="s">
        <v>915</v>
      </c>
      <c r="C1346" s="43" t="s">
        <v>1042</v>
      </c>
      <c r="D1346" s="43" t="s">
        <v>1043</v>
      </c>
      <c r="E1346" s="109" t="s">
        <v>851</v>
      </c>
      <c r="F1346" s="110">
        <v>1059599632</v>
      </c>
      <c r="G1346" s="43"/>
    </row>
    <row r="1347" spans="1:7" ht="30" x14ac:dyDescent="0.25">
      <c r="A1347" s="345" t="s">
        <v>848</v>
      </c>
      <c r="B1347" s="345" t="s">
        <v>874</v>
      </c>
      <c r="C1347" s="345" t="s">
        <v>1046</v>
      </c>
      <c r="D1347" s="345" t="s">
        <v>1047</v>
      </c>
      <c r="E1347" s="346" t="s">
        <v>851</v>
      </c>
      <c r="F1347" s="347">
        <v>1059594475</v>
      </c>
      <c r="G1347" s="43"/>
    </row>
    <row r="1348" spans="1:7" ht="30" x14ac:dyDescent="0.25">
      <c r="A1348" s="43" t="s">
        <v>1052</v>
      </c>
      <c r="B1348" s="43" t="s">
        <v>953</v>
      </c>
      <c r="C1348" s="43" t="s">
        <v>1053</v>
      </c>
      <c r="D1348" s="43"/>
      <c r="E1348" s="109" t="s">
        <v>851</v>
      </c>
      <c r="F1348" s="110">
        <v>1059594776</v>
      </c>
      <c r="G1348" s="43"/>
    </row>
    <row r="1349" spans="1:7" ht="30" x14ac:dyDescent="0.25">
      <c r="A1349" s="345" t="s">
        <v>992</v>
      </c>
      <c r="B1349" s="345" t="s">
        <v>908</v>
      </c>
      <c r="C1349" s="345" t="s">
        <v>1055</v>
      </c>
      <c r="D1349" s="345"/>
      <c r="E1349" s="346" t="s">
        <v>851</v>
      </c>
      <c r="F1349" s="347">
        <v>1059602228</v>
      </c>
      <c r="G1349" s="43"/>
    </row>
    <row r="1350" spans="1:7" ht="30" x14ac:dyDescent="0.25">
      <c r="A1350" s="43" t="s">
        <v>1058</v>
      </c>
      <c r="B1350" s="43" t="s">
        <v>883</v>
      </c>
      <c r="C1350" s="43" t="s">
        <v>1059</v>
      </c>
      <c r="D1350" s="43" t="s">
        <v>1060</v>
      </c>
      <c r="E1350" s="109" t="s">
        <v>851</v>
      </c>
      <c r="F1350" s="110">
        <v>1067462101</v>
      </c>
      <c r="G1350" s="43"/>
    </row>
    <row r="1351" spans="1:7" ht="30" x14ac:dyDescent="0.25">
      <c r="A1351" s="345" t="s">
        <v>848</v>
      </c>
      <c r="B1351" s="345"/>
      <c r="C1351" s="345" t="s">
        <v>1063</v>
      </c>
      <c r="D1351" s="345"/>
      <c r="E1351" s="346" t="s">
        <v>851</v>
      </c>
      <c r="F1351" s="347">
        <v>1059598027</v>
      </c>
      <c r="G1351" s="43"/>
    </row>
    <row r="1352" spans="1:7" ht="30" x14ac:dyDescent="0.25">
      <c r="A1352" s="43" t="s">
        <v>1068</v>
      </c>
      <c r="B1352" s="43" t="s">
        <v>1069</v>
      </c>
      <c r="C1352" s="43" t="s">
        <v>1070</v>
      </c>
      <c r="D1352" s="43" t="s">
        <v>1071</v>
      </c>
      <c r="E1352" s="109" t="s">
        <v>851</v>
      </c>
      <c r="F1352" s="110">
        <v>1061708805</v>
      </c>
      <c r="G1352" s="43"/>
    </row>
    <row r="1353" spans="1:7" ht="30" x14ac:dyDescent="0.25">
      <c r="A1353" s="345" t="s">
        <v>1041</v>
      </c>
      <c r="B1353" s="345" t="s">
        <v>953</v>
      </c>
      <c r="C1353" s="345" t="s">
        <v>1074</v>
      </c>
      <c r="D1353" s="345"/>
      <c r="E1353" s="346" t="s">
        <v>851</v>
      </c>
      <c r="F1353" s="347">
        <v>1059601540</v>
      </c>
      <c r="G1353" s="43"/>
    </row>
    <row r="1354" spans="1:7" ht="30" x14ac:dyDescent="0.25">
      <c r="A1354" s="43" t="s">
        <v>1077</v>
      </c>
      <c r="B1354" s="43" t="s">
        <v>1078</v>
      </c>
      <c r="C1354" s="43" t="s">
        <v>1079</v>
      </c>
      <c r="D1354" s="43" t="s">
        <v>1080</v>
      </c>
      <c r="E1354" s="109" t="s">
        <v>851</v>
      </c>
      <c r="F1354" s="110">
        <v>1007459317</v>
      </c>
      <c r="G1354" s="43"/>
    </row>
    <row r="1355" spans="1:7" ht="30" x14ac:dyDescent="0.25">
      <c r="A1355" s="345" t="s">
        <v>953</v>
      </c>
      <c r="B1355" s="345" t="s">
        <v>1084</v>
      </c>
      <c r="C1355" s="345" t="s">
        <v>1085</v>
      </c>
      <c r="D1355" s="345"/>
      <c r="E1355" s="346" t="s">
        <v>851</v>
      </c>
      <c r="F1355" s="347">
        <v>1059603753</v>
      </c>
      <c r="G1355" s="43"/>
    </row>
    <row r="1356" spans="1:7" ht="30" x14ac:dyDescent="0.25">
      <c r="A1356" s="43" t="s">
        <v>1090</v>
      </c>
      <c r="B1356" s="43" t="s">
        <v>1091</v>
      </c>
      <c r="C1356" s="43" t="s">
        <v>1092</v>
      </c>
      <c r="D1356" s="43" t="s">
        <v>1093</v>
      </c>
      <c r="E1356" s="109" t="s">
        <v>1094</v>
      </c>
      <c r="F1356" s="110">
        <v>1060868929</v>
      </c>
      <c r="G1356" s="43"/>
    </row>
    <row r="1357" spans="1:7" ht="30" x14ac:dyDescent="0.25">
      <c r="A1357" s="345" t="s">
        <v>1098</v>
      </c>
      <c r="B1357" s="345" t="s">
        <v>914</v>
      </c>
      <c r="C1357" s="345" t="s">
        <v>1099</v>
      </c>
      <c r="D1357" s="345" t="s">
        <v>1100</v>
      </c>
      <c r="E1357" s="346" t="s">
        <v>1094</v>
      </c>
      <c r="F1357" s="347">
        <v>1002919465</v>
      </c>
      <c r="G1357" s="43"/>
    </row>
    <row r="1358" spans="1:7" ht="30" x14ac:dyDescent="0.25">
      <c r="A1358" s="43" t="s">
        <v>1103</v>
      </c>
      <c r="B1358" s="43" t="s">
        <v>1104</v>
      </c>
      <c r="C1358" s="43" t="s">
        <v>1105</v>
      </c>
      <c r="D1358" s="43"/>
      <c r="E1358" s="109" t="s">
        <v>851</v>
      </c>
      <c r="F1358" s="110">
        <v>1144068238</v>
      </c>
      <c r="G1358" s="43"/>
    </row>
    <row r="1359" spans="1:7" ht="30" x14ac:dyDescent="0.25">
      <c r="A1359" s="345" t="s">
        <v>1109</v>
      </c>
      <c r="B1359" s="345" t="s">
        <v>1110</v>
      </c>
      <c r="C1359" s="345" t="s">
        <v>1111</v>
      </c>
      <c r="D1359" s="345" t="s">
        <v>1112</v>
      </c>
      <c r="E1359" s="346" t="s">
        <v>851</v>
      </c>
      <c r="F1359" s="347">
        <v>1002847924</v>
      </c>
      <c r="G1359" s="43"/>
    </row>
    <row r="1360" spans="1:7" ht="30" x14ac:dyDescent="0.25">
      <c r="A1360" s="43" t="s">
        <v>1115</v>
      </c>
      <c r="B1360" s="43" t="s">
        <v>1116</v>
      </c>
      <c r="C1360" s="43" t="s">
        <v>1117</v>
      </c>
      <c r="D1360" s="43" t="s">
        <v>1118</v>
      </c>
      <c r="E1360" s="109" t="s">
        <v>851</v>
      </c>
      <c r="F1360" s="110">
        <v>1059597252</v>
      </c>
      <c r="G1360" s="43"/>
    </row>
    <row r="1361" spans="1:7" ht="30" x14ac:dyDescent="0.25">
      <c r="A1361" s="345" t="s">
        <v>1122</v>
      </c>
      <c r="B1361" s="345" t="s">
        <v>1123</v>
      </c>
      <c r="C1361" s="345" t="s">
        <v>1124</v>
      </c>
      <c r="D1361" s="345"/>
      <c r="E1361" s="346" t="s">
        <v>851</v>
      </c>
      <c r="F1361" s="347">
        <v>1059607246</v>
      </c>
      <c r="G1361" s="43"/>
    </row>
    <row r="1362" spans="1:7" ht="30" x14ac:dyDescent="0.25">
      <c r="A1362" s="43" t="s">
        <v>1126</v>
      </c>
      <c r="B1362" s="43" t="s">
        <v>1127</v>
      </c>
      <c r="C1362" s="43" t="s">
        <v>1128</v>
      </c>
      <c r="D1362" s="43" t="s">
        <v>1129</v>
      </c>
      <c r="E1362" s="109" t="s">
        <v>851</v>
      </c>
      <c r="F1362" s="110">
        <v>1059594848</v>
      </c>
      <c r="G1362" s="43"/>
    </row>
    <row r="1363" spans="1:7" ht="30" x14ac:dyDescent="0.25">
      <c r="A1363" s="345" t="s">
        <v>1134</v>
      </c>
      <c r="B1363" s="345" t="s">
        <v>1135</v>
      </c>
      <c r="C1363" s="345" t="s">
        <v>1136</v>
      </c>
      <c r="D1363" s="345" t="s">
        <v>1129</v>
      </c>
      <c r="E1363" s="346" t="s">
        <v>1094</v>
      </c>
      <c r="F1363" s="347">
        <v>1059595020</v>
      </c>
      <c r="G1363" s="43"/>
    </row>
    <row r="1364" spans="1:7" ht="30" x14ac:dyDescent="0.25">
      <c r="A1364" s="43" t="s">
        <v>884</v>
      </c>
      <c r="B1364" s="43" t="s">
        <v>1034</v>
      </c>
      <c r="C1364" s="43" t="s">
        <v>1138</v>
      </c>
      <c r="D1364" s="43"/>
      <c r="E1364" s="109" t="s">
        <v>851</v>
      </c>
      <c r="F1364" s="110">
        <v>1002848775</v>
      </c>
      <c r="G1364" s="43"/>
    </row>
    <row r="1365" spans="1:7" ht="30" x14ac:dyDescent="0.25">
      <c r="A1365" s="345" t="s">
        <v>1140</v>
      </c>
      <c r="B1365" s="345" t="s">
        <v>1141</v>
      </c>
      <c r="C1365" s="345" t="s">
        <v>1142</v>
      </c>
      <c r="D1365" s="345"/>
      <c r="E1365" s="346" t="s">
        <v>851</v>
      </c>
      <c r="F1365" s="347">
        <v>1002846304</v>
      </c>
      <c r="G1365" s="43"/>
    </row>
    <row r="1366" spans="1:7" ht="30" x14ac:dyDescent="0.25">
      <c r="A1366" s="43" t="s">
        <v>1144</v>
      </c>
      <c r="B1366" s="43" t="s">
        <v>943</v>
      </c>
      <c r="C1366" s="43" t="s">
        <v>1059</v>
      </c>
      <c r="D1366" s="43" t="s">
        <v>1145</v>
      </c>
      <c r="E1366" s="109" t="s">
        <v>1094</v>
      </c>
      <c r="F1366" s="110">
        <v>1059597691</v>
      </c>
      <c r="G1366" s="43"/>
    </row>
    <row r="1367" spans="1:7" ht="30" x14ac:dyDescent="0.25">
      <c r="A1367" s="345" t="s">
        <v>884</v>
      </c>
      <c r="B1367" s="345" t="s">
        <v>1147</v>
      </c>
      <c r="C1367" s="345" t="s">
        <v>938</v>
      </c>
      <c r="D1367" s="345" t="s">
        <v>1148</v>
      </c>
      <c r="E1367" s="346" t="s">
        <v>851</v>
      </c>
      <c r="F1367" s="347">
        <v>1059605233</v>
      </c>
      <c r="G1367" s="43"/>
    </row>
    <row r="1368" spans="1:7" ht="30" x14ac:dyDescent="0.25">
      <c r="A1368" s="43" t="s">
        <v>1122</v>
      </c>
      <c r="B1368" s="43" t="s">
        <v>1151</v>
      </c>
      <c r="C1368" s="43" t="s">
        <v>1152</v>
      </c>
      <c r="D1368" s="43"/>
      <c r="E1368" s="109" t="s">
        <v>851</v>
      </c>
      <c r="F1368" s="110">
        <v>1059605958</v>
      </c>
      <c r="G1368" s="43"/>
    </row>
    <row r="1369" spans="1:7" ht="30" x14ac:dyDescent="0.25">
      <c r="A1369" s="345" t="s">
        <v>1155</v>
      </c>
      <c r="B1369" s="345" t="s">
        <v>1156</v>
      </c>
      <c r="C1369" s="345" t="s">
        <v>954</v>
      </c>
      <c r="D1369" s="345" t="s">
        <v>1157</v>
      </c>
      <c r="E1369" s="346" t="s">
        <v>851</v>
      </c>
      <c r="F1369" s="347">
        <v>1002847205</v>
      </c>
      <c r="G1369" s="43"/>
    </row>
    <row r="1370" spans="1:7" ht="30" x14ac:dyDescent="0.25">
      <c r="A1370" s="301" t="s">
        <v>1160</v>
      </c>
      <c r="B1370" s="301" t="s">
        <v>1161</v>
      </c>
      <c r="C1370" s="301" t="s">
        <v>1162</v>
      </c>
      <c r="D1370" s="301"/>
      <c r="E1370" s="300" t="s">
        <v>851</v>
      </c>
      <c r="F1370" s="303">
        <v>1067468278</v>
      </c>
      <c r="G1370" s="43"/>
    </row>
    <row r="1371" spans="1:7" ht="30" x14ac:dyDescent="0.25">
      <c r="A1371" s="345" t="s">
        <v>1165</v>
      </c>
      <c r="B1371" s="345" t="s">
        <v>1166</v>
      </c>
      <c r="C1371" s="345" t="s">
        <v>1167</v>
      </c>
      <c r="D1371" s="345"/>
      <c r="E1371" s="346" t="s">
        <v>851</v>
      </c>
      <c r="F1371" s="347">
        <v>1059600837</v>
      </c>
      <c r="G1371" s="43"/>
    </row>
    <row r="1372" spans="1:7" ht="30" x14ac:dyDescent="0.25">
      <c r="A1372" s="43" t="s">
        <v>943</v>
      </c>
      <c r="B1372" s="43" t="s">
        <v>1170</v>
      </c>
      <c r="C1372" s="43" t="s">
        <v>1171</v>
      </c>
      <c r="D1372" s="43" t="s">
        <v>1172</v>
      </c>
      <c r="E1372" s="109" t="s">
        <v>851</v>
      </c>
      <c r="F1372" s="110">
        <v>1002848334</v>
      </c>
      <c r="G1372" s="43"/>
    </row>
    <row r="1373" spans="1:7" ht="30" x14ac:dyDescent="0.25">
      <c r="A1373" s="345" t="s">
        <v>1175</v>
      </c>
      <c r="B1373" s="345" t="s">
        <v>1176</v>
      </c>
      <c r="C1373" s="345" t="s">
        <v>1177</v>
      </c>
      <c r="D1373" s="345" t="s">
        <v>1100</v>
      </c>
      <c r="E1373" s="346" t="s">
        <v>851</v>
      </c>
      <c r="F1373" s="347">
        <v>1002846348</v>
      </c>
      <c r="G1373" s="43"/>
    </row>
    <row r="1374" spans="1:7" ht="30" x14ac:dyDescent="0.25">
      <c r="A1374" s="301" t="s">
        <v>1126</v>
      </c>
      <c r="B1374" s="301" t="s">
        <v>874</v>
      </c>
      <c r="C1374" s="301" t="s">
        <v>1178</v>
      </c>
      <c r="D1374" s="301"/>
      <c r="E1374" s="300" t="s">
        <v>851</v>
      </c>
      <c r="F1374" s="303">
        <v>1002848392</v>
      </c>
      <c r="G1374" s="43"/>
    </row>
    <row r="1375" spans="1:7" ht="30" x14ac:dyDescent="0.25">
      <c r="A1375" s="345" t="s">
        <v>1179</v>
      </c>
      <c r="B1375" s="345" t="s">
        <v>1180</v>
      </c>
      <c r="C1375" s="345" t="s">
        <v>1181</v>
      </c>
      <c r="D1375" s="345" t="s">
        <v>1182</v>
      </c>
      <c r="E1375" s="346" t="s">
        <v>1094</v>
      </c>
      <c r="F1375" s="347">
        <v>1059597173</v>
      </c>
      <c r="G1375" s="43"/>
    </row>
    <row r="1376" spans="1:7" ht="30" x14ac:dyDescent="0.25">
      <c r="A1376" s="43" t="s">
        <v>1187</v>
      </c>
      <c r="B1376" s="43" t="s">
        <v>1188</v>
      </c>
      <c r="C1376" s="43" t="s">
        <v>1189</v>
      </c>
      <c r="D1376" s="43" t="s">
        <v>1190</v>
      </c>
      <c r="E1376" s="109" t="s">
        <v>1094</v>
      </c>
      <c r="F1376" s="110">
        <v>1062077317</v>
      </c>
      <c r="G1376" s="43"/>
    </row>
    <row r="1377" spans="1:7" ht="30" x14ac:dyDescent="0.25">
      <c r="A1377" s="345" t="s">
        <v>1196</v>
      </c>
      <c r="B1377" s="345" t="s">
        <v>1197</v>
      </c>
      <c r="C1377" s="345" t="s">
        <v>1198</v>
      </c>
      <c r="D1377" s="345" t="s">
        <v>1199</v>
      </c>
      <c r="E1377" s="346" t="s">
        <v>851</v>
      </c>
      <c r="F1377" s="347">
        <v>1059601546</v>
      </c>
      <c r="G1377" s="43"/>
    </row>
    <row r="1378" spans="1:7" ht="30" x14ac:dyDescent="0.25">
      <c r="A1378" s="43" t="s">
        <v>848</v>
      </c>
      <c r="B1378" s="43" t="s">
        <v>1201</v>
      </c>
      <c r="C1378" s="43" t="s">
        <v>1059</v>
      </c>
      <c r="D1378" s="43" t="s">
        <v>1202</v>
      </c>
      <c r="E1378" s="109" t="s">
        <v>851</v>
      </c>
      <c r="F1378" s="110">
        <v>25545957</v>
      </c>
      <c r="G1378" s="43"/>
    </row>
    <row r="1379" spans="1:7" ht="30" x14ac:dyDescent="0.25">
      <c r="A1379" s="345" t="s">
        <v>909</v>
      </c>
      <c r="B1379" s="345"/>
      <c r="C1379" s="345" t="s">
        <v>1203</v>
      </c>
      <c r="D1379" s="345"/>
      <c r="E1379" s="346" t="s">
        <v>851</v>
      </c>
      <c r="F1379" s="347">
        <v>25546720</v>
      </c>
      <c r="G1379" s="43"/>
    </row>
    <row r="1380" spans="1:7" ht="30" x14ac:dyDescent="0.25">
      <c r="A1380" s="43" t="s">
        <v>1205</v>
      </c>
      <c r="B1380" s="43" t="s">
        <v>1206</v>
      </c>
      <c r="C1380" s="43" t="s">
        <v>1090</v>
      </c>
      <c r="D1380" s="43" t="s">
        <v>1207</v>
      </c>
      <c r="E1380" s="109" t="s">
        <v>851</v>
      </c>
      <c r="F1380" s="110">
        <v>1002848281</v>
      </c>
      <c r="G1380" s="43"/>
    </row>
    <row r="1381" spans="1:7" ht="30" x14ac:dyDescent="0.25">
      <c r="A1381" s="345" t="s">
        <v>1209</v>
      </c>
      <c r="B1381" s="345" t="s">
        <v>1210</v>
      </c>
      <c r="C1381" s="345" t="s">
        <v>1043</v>
      </c>
      <c r="D1381" s="345"/>
      <c r="E1381" s="346" t="s">
        <v>851</v>
      </c>
      <c r="F1381" s="347">
        <v>1059844668</v>
      </c>
      <c r="G1381" s="43"/>
    </row>
    <row r="1382" spans="1:7" ht="30" x14ac:dyDescent="0.25">
      <c r="A1382" s="43" t="s">
        <v>1211</v>
      </c>
      <c r="B1382" s="43" t="s">
        <v>1170</v>
      </c>
      <c r="C1382" s="43" t="s">
        <v>1212</v>
      </c>
      <c r="D1382" s="43"/>
      <c r="E1382" s="109" t="s">
        <v>851</v>
      </c>
      <c r="F1382" s="110">
        <v>1059607085</v>
      </c>
      <c r="G1382" s="43"/>
    </row>
    <row r="1383" spans="1:7" ht="30" x14ac:dyDescent="0.25">
      <c r="A1383" s="345" t="s">
        <v>992</v>
      </c>
      <c r="B1383" s="345" t="s">
        <v>1213</v>
      </c>
      <c r="C1383" s="345" t="s">
        <v>1214</v>
      </c>
      <c r="D1383" s="345"/>
      <c r="E1383" s="346" t="s">
        <v>1094</v>
      </c>
      <c r="F1383" s="347">
        <v>1059596128</v>
      </c>
      <c r="G1383" s="43"/>
    </row>
    <row r="1384" spans="1:7" ht="30" x14ac:dyDescent="0.25">
      <c r="A1384" s="43" t="s">
        <v>979</v>
      </c>
      <c r="B1384" s="43" t="s">
        <v>914</v>
      </c>
      <c r="C1384" s="43" t="s">
        <v>1215</v>
      </c>
      <c r="D1384" s="43"/>
      <c r="E1384" s="109" t="s">
        <v>851</v>
      </c>
      <c r="F1384" s="110">
        <v>1067461625</v>
      </c>
      <c r="G1384" s="43"/>
    </row>
    <row r="1385" spans="1:7" ht="30" x14ac:dyDescent="0.25">
      <c r="A1385" s="345" t="s">
        <v>1127</v>
      </c>
      <c r="B1385" s="345" t="s">
        <v>1127</v>
      </c>
      <c r="C1385" s="345" t="s">
        <v>1217</v>
      </c>
      <c r="D1385" s="345" t="s">
        <v>1218</v>
      </c>
      <c r="E1385" s="346" t="s">
        <v>1094</v>
      </c>
      <c r="F1385" s="347">
        <v>1059598378</v>
      </c>
      <c r="G1385" s="43"/>
    </row>
    <row r="1386" spans="1:7" ht="30" x14ac:dyDescent="0.25">
      <c r="A1386" s="43" t="s">
        <v>1219</v>
      </c>
      <c r="B1386" s="43" t="s">
        <v>1091</v>
      </c>
      <c r="C1386" s="43" t="s">
        <v>1192</v>
      </c>
      <c r="D1386" s="43" t="s">
        <v>1220</v>
      </c>
      <c r="E1386" s="109" t="s">
        <v>1094</v>
      </c>
      <c r="F1386" s="110">
        <v>1059598103</v>
      </c>
      <c r="G1386" s="43"/>
    </row>
    <row r="1387" spans="1:7" ht="30" x14ac:dyDescent="0.25">
      <c r="A1387" s="345" t="s">
        <v>1223</v>
      </c>
      <c r="B1387" s="345" t="s">
        <v>1224</v>
      </c>
      <c r="C1387" s="345" t="s">
        <v>1225</v>
      </c>
      <c r="D1387" s="345" t="s">
        <v>1226</v>
      </c>
      <c r="E1387" s="346" t="s">
        <v>851</v>
      </c>
      <c r="F1387" s="347">
        <v>1061537002</v>
      </c>
      <c r="G1387" s="43"/>
    </row>
    <row r="1388" spans="1:7" ht="30" x14ac:dyDescent="0.25">
      <c r="A1388" s="43" t="s">
        <v>1219</v>
      </c>
      <c r="B1388" s="43" t="s">
        <v>1228</v>
      </c>
      <c r="C1388" s="43" t="s">
        <v>1229</v>
      </c>
      <c r="D1388" s="43" t="s">
        <v>1230</v>
      </c>
      <c r="E1388" s="109" t="s">
        <v>851</v>
      </c>
      <c r="F1388" s="110">
        <v>1062780402</v>
      </c>
      <c r="G1388" s="43"/>
    </row>
    <row r="1389" spans="1:7" ht="30" x14ac:dyDescent="0.25">
      <c r="A1389" s="345" t="s">
        <v>1144</v>
      </c>
      <c r="B1389" s="345" t="s">
        <v>953</v>
      </c>
      <c r="C1389" s="345" t="s">
        <v>1232</v>
      </c>
      <c r="D1389" s="345"/>
      <c r="E1389" s="346" t="s">
        <v>851</v>
      </c>
      <c r="F1389" s="347">
        <v>1059594268</v>
      </c>
      <c r="G1389" s="43"/>
    </row>
    <row r="1390" spans="1:7" ht="30" x14ac:dyDescent="0.25">
      <c r="A1390" s="43" t="s">
        <v>909</v>
      </c>
      <c r="B1390" s="43" t="s">
        <v>1235</v>
      </c>
      <c r="C1390" s="43" t="s">
        <v>981</v>
      </c>
      <c r="D1390" s="43" t="s">
        <v>1129</v>
      </c>
      <c r="E1390" s="109" t="s">
        <v>851</v>
      </c>
      <c r="F1390" s="110">
        <v>1002847053</v>
      </c>
      <c r="G1390" s="43"/>
    </row>
    <row r="1391" spans="1:7" ht="30" x14ac:dyDescent="0.25">
      <c r="A1391" s="345" t="s">
        <v>1237</v>
      </c>
      <c r="B1391" s="345" t="s">
        <v>1238</v>
      </c>
      <c r="C1391" s="345" t="s">
        <v>1239</v>
      </c>
      <c r="D1391" s="345" t="s">
        <v>1240</v>
      </c>
      <c r="E1391" s="346" t="s">
        <v>851</v>
      </c>
      <c r="F1391" s="347">
        <v>1002846466</v>
      </c>
      <c r="G1391" s="43"/>
    </row>
    <row r="1392" spans="1:7" ht="30" x14ac:dyDescent="0.25">
      <c r="A1392" s="43" t="s">
        <v>1242</v>
      </c>
      <c r="B1392" s="43" t="s">
        <v>1135</v>
      </c>
      <c r="C1392" s="43" t="s">
        <v>985</v>
      </c>
      <c r="D1392" s="43" t="s">
        <v>1243</v>
      </c>
      <c r="E1392" s="109" t="s">
        <v>851</v>
      </c>
      <c r="F1392" s="110">
        <v>1002848594</v>
      </c>
      <c r="G1392" s="43"/>
    </row>
    <row r="1393" spans="1:7" ht="30" x14ac:dyDescent="0.25">
      <c r="A1393" s="345" t="s">
        <v>1202</v>
      </c>
      <c r="B1393" s="345" t="s">
        <v>1244</v>
      </c>
      <c r="C1393" s="345" t="s">
        <v>1245</v>
      </c>
      <c r="D1393" s="345" t="s">
        <v>848</v>
      </c>
      <c r="E1393" s="346" t="s">
        <v>851</v>
      </c>
      <c r="F1393" s="347">
        <v>1059596197</v>
      </c>
      <c r="G1393" s="43"/>
    </row>
    <row r="1394" spans="1:7" ht="30" x14ac:dyDescent="0.25">
      <c r="A1394" s="43" t="s">
        <v>1246</v>
      </c>
      <c r="B1394" s="43" t="s">
        <v>1127</v>
      </c>
      <c r="C1394" s="43" t="s">
        <v>1247</v>
      </c>
      <c r="D1394" s="43" t="s">
        <v>1248</v>
      </c>
      <c r="E1394" s="109" t="s">
        <v>851</v>
      </c>
      <c r="F1394" s="110">
        <v>1061809950</v>
      </c>
      <c r="G1394" s="43"/>
    </row>
    <row r="1395" spans="1:7" ht="30" x14ac:dyDescent="0.25">
      <c r="A1395" s="345" t="s">
        <v>1249</v>
      </c>
      <c r="B1395" s="345" t="s">
        <v>883</v>
      </c>
      <c r="C1395" s="345" t="s">
        <v>949</v>
      </c>
      <c r="D1395" s="345" t="s">
        <v>1250</v>
      </c>
      <c r="E1395" s="346" t="s">
        <v>851</v>
      </c>
      <c r="F1395" s="347">
        <v>1006956188</v>
      </c>
      <c r="G1395" s="43"/>
    </row>
    <row r="1396" spans="1:7" ht="30" x14ac:dyDescent="0.25">
      <c r="A1396" s="43" t="s">
        <v>857</v>
      </c>
      <c r="B1396" s="43" t="s">
        <v>914</v>
      </c>
      <c r="C1396" s="43" t="s">
        <v>1252</v>
      </c>
      <c r="D1396" s="43" t="s">
        <v>1253</v>
      </c>
      <c r="E1396" s="109" t="s">
        <v>851</v>
      </c>
      <c r="F1396" s="110">
        <v>1002847463</v>
      </c>
      <c r="G1396" s="43"/>
    </row>
    <row r="1397" spans="1:7" ht="30" x14ac:dyDescent="0.25">
      <c r="A1397" s="345" t="s">
        <v>1255</v>
      </c>
      <c r="B1397" s="345" t="s">
        <v>1256</v>
      </c>
      <c r="C1397" s="345" t="s">
        <v>1257</v>
      </c>
      <c r="D1397" s="345" t="s">
        <v>1258</v>
      </c>
      <c r="E1397" s="346" t="s">
        <v>851</v>
      </c>
      <c r="F1397" s="347">
        <v>1061690037</v>
      </c>
      <c r="G1397" s="43"/>
    </row>
    <row r="1398" spans="1:7" ht="30" x14ac:dyDescent="0.25">
      <c r="A1398" s="43" t="s">
        <v>1261</v>
      </c>
      <c r="B1398" s="43" t="s">
        <v>1262</v>
      </c>
      <c r="C1398" s="43" t="s">
        <v>1263</v>
      </c>
      <c r="D1398" s="43"/>
      <c r="E1398" s="109" t="s">
        <v>851</v>
      </c>
      <c r="F1398" s="110">
        <v>1059605939</v>
      </c>
      <c r="G1398" s="43"/>
    </row>
    <row r="1399" spans="1:7" ht="30" x14ac:dyDescent="0.25">
      <c r="A1399" s="345" t="s">
        <v>1265</v>
      </c>
      <c r="B1399" s="345" t="s">
        <v>953</v>
      </c>
      <c r="C1399" s="345" t="s">
        <v>1266</v>
      </c>
      <c r="D1399" s="345"/>
      <c r="E1399" s="346" t="s">
        <v>851</v>
      </c>
      <c r="F1399" s="347">
        <v>1059604648</v>
      </c>
      <c r="G1399" s="43"/>
    </row>
    <row r="1400" spans="1:7" ht="30" x14ac:dyDescent="0.25">
      <c r="A1400" s="43" t="s">
        <v>1268</v>
      </c>
      <c r="B1400" s="43" t="s">
        <v>1135</v>
      </c>
      <c r="C1400" s="43" t="s">
        <v>1269</v>
      </c>
      <c r="D1400" s="43"/>
      <c r="E1400" s="109" t="s">
        <v>851</v>
      </c>
      <c r="F1400" s="110">
        <v>1059597793</v>
      </c>
      <c r="G1400" s="43"/>
    </row>
    <row r="1401" spans="1:7" ht="30" x14ac:dyDescent="0.25">
      <c r="A1401" s="345" t="s">
        <v>980</v>
      </c>
      <c r="B1401" s="345" t="s">
        <v>980</v>
      </c>
      <c r="C1401" s="345" t="s">
        <v>1272</v>
      </c>
      <c r="D1401" s="345" t="s">
        <v>1273</v>
      </c>
      <c r="E1401" s="346" t="s">
        <v>851</v>
      </c>
      <c r="F1401" s="347">
        <v>1061782600</v>
      </c>
      <c r="G1401" s="43"/>
    </row>
    <row r="1402" spans="1:7" ht="30" x14ac:dyDescent="0.25">
      <c r="A1402" s="43" t="s">
        <v>1276</v>
      </c>
      <c r="B1402" s="43" t="s">
        <v>857</v>
      </c>
      <c r="C1402" s="43"/>
      <c r="D1402" s="43" t="s">
        <v>1277</v>
      </c>
      <c r="E1402" s="109" t="s">
        <v>851</v>
      </c>
      <c r="F1402" s="110">
        <v>1003150920</v>
      </c>
      <c r="G1402" s="43"/>
    </row>
    <row r="1403" spans="1:7" ht="30" x14ac:dyDescent="0.25">
      <c r="A1403" s="345" t="s">
        <v>873</v>
      </c>
      <c r="B1403" s="345" t="s">
        <v>874</v>
      </c>
      <c r="C1403" s="345" t="s">
        <v>1280</v>
      </c>
      <c r="D1403" s="345" t="s">
        <v>1281</v>
      </c>
      <c r="E1403" s="346" t="s">
        <v>1094</v>
      </c>
      <c r="F1403" s="347">
        <v>1059599177</v>
      </c>
      <c r="G1403" s="43"/>
    </row>
    <row r="1404" spans="1:7" ht="30" x14ac:dyDescent="0.25">
      <c r="A1404" s="43" t="s">
        <v>1282</v>
      </c>
      <c r="B1404" s="43" t="s">
        <v>943</v>
      </c>
      <c r="C1404" s="43" t="s">
        <v>1283</v>
      </c>
      <c r="D1404" s="43"/>
      <c r="E1404" s="109" t="s">
        <v>851</v>
      </c>
      <c r="F1404" s="110">
        <v>25547178</v>
      </c>
      <c r="G1404" s="43"/>
    </row>
    <row r="1405" spans="1:7" ht="30" x14ac:dyDescent="0.25">
      <c r="A1405" s="345" t="s">
        <v>896</v>
      </c>
      <c r="B1405" s="345" t="s">
        <v>943</v>
      </c>
      <c r="C1405" s="345" t="s">
        <v>1284</v>
      </c>
      <c r="D1405" s="345" t="s">
        <v>1285</v>
      </c>
      <c r="E1405" s="346" t="s">
        <v>851</v>
      </c>
      <c r="F1405" s="347">
        <v>1002848394</v>
      </c>
      <c r="G1405" s="43"/>
    </row>
    <row r="1406" spans="1:7" ht="30" x14ac:dyDescent="0.25">
      <c r="A1406" s="301" t="s">
        <v>1147</v>
      </c>
      <c r="B1406" s="301" t="s">
        <v>1286</v>
      </c>
      <c r="C1406" s="301" t="s">
        <v>1287</v>
      </c>
      <c r="D1406" s="301" t="s">
        <v>1043</v>
      </c>
      <c r="E1406" s="300" t="s">
        <v>851</v>
      </c>
      <c r="F1406" s="303">
        <v>1059597815</v>
      </c>
      <c r="G1406" s="43"/>
    </row>
    <row r="1407" spans="1:7" ht="30" x14ac:dyDescent="0.25">
      <c r="A1407" s="345" t="s">
        <v>914</v>
      </c>
      <c r="B1407" s="345" t="s">
        <v>943</v>
      </c>
      <c r="C1407" s="345" t="s">
        <v>1289</v>
      </c>
      <c r="D1407" s="345"/>
      <c r="E1407" s="346" t="s">
        <v>851</v>
      </c>
      <c r="F1407" s="347">
        <v>1059596690</v>
      </c>
      <c r="G1407" s="43"/>
    </row>
    <row r="1408" spans="1:7" ht="30" x14ac:dyDescent="0.25">
      <c r="A1408" s="43" t="s">
        <v>1290</v>
      </c>
      <c r="B1408" s="43" t="s">
        <v>996</v>
      </c>
      <c r="C1408" s="43" t="s">
        <v>1291</v>
      </c>
      <c r="D1408" s="43"/>
      <c r="E1408" s="109" t="s">
        <v>1094</v>
      </c>
      <c r="F1408" s="110">
        <v>1059597222</v>
      </c>
      <c r="G1408" s="43"/>
    </row>
    <row r="1409" spans="1:7" ht="30" x14ac:dyDescent="0.25">
      <c r="A1409" s="345" t="s">
        <v>884</v>
      </c>
      <c r="B1409" s="345"/>
      <c r="C1409" s="345" t="s">
        <v>1293</v>
      </c>
      <c r="D1409" s="345" t="s">
        <v>1294</v>
      </c>
      <c r="E1409" s="346" t="s">
        <v>1094</v>
      </c>
      <c r="F1409" s="347">
        <v>1059597528</v>
      </c>
      <c r="G1409" s="43"/>
    </row>
    <row r="1410" spans="1:7" ht="30" x14ac:dyDescent="0.25">
      <c r="A1410" s="43" t="s">
        <v>953</v>
      </c>
      <c r="B1410" s="43" t="s">
        <v>1091</v>
      </c>
      <c r="C1410" s="43" t="s">
        <v>1217</v>
      </c>
      <c r="D1410" s="43" t="s">
        <v>1295</v>
      </c>
      <c r="E1410" s="109" t="s">
        <v>851</v>
      </c>
      <c r="F1410" s="110">
        <v>1002847470</v>
      </c>
      <c r="G1410" s="43"/>
    </row>
    <row r="1411" spans="1:7" ht="30" x14ac:dyDescent="0.25">
      <c r="A1411" s="345" t="s">
        <v>1144</v>
      </c>
      <c r="B1411" s="345" t="s">
        <v>914</v>
      </c>
      <c r="C1411" s="345" t="s">
        <v>1303</v>
      </c>
      <c r="D1411" s="345"/>
      <c r="E1411" s="346" t="s">
        <v>851</v>
      </c>
      <c r="F1411" s="347">
        <v>1059594726</v>
      </c>
      <c r="G1411" s="43"/>
    </row>
    <row r="1412" spans="1:7" ht="30" x14ac:dyDescent="0.25">
      <c r="A1412" s="43" t="s">
        <v>944</v>
      </c>
      <c r="B1412" s="43" t="s">
        <v>1147</v>
      </c>
      <c r="C1412" s="43" t="s">
        <v>1304</v>
      </c>
      <c r="D1412" s="43"/>
      <c r="E1412" s="109" t="s">
        <v>851</v>
      </c>
      <c r="F1412" s="110">
        <v>1002848765</v>
      </c>
      <c r="G1412" s="43"/>
    </row>
    <row r="1413" spans="1:7" ht="30" x14ac:dyDescent="0.25">
      <c r="A1413" s="345" t="s">
        <v>1309</v>
      </c>
      <c r="B1413" s="345" t="s">
        <v>1310</v>
      </c>
      <c r="C1413" s="345" t="s">
        <v>1281</v>
      </c>
      <c r="D1413" s="345" t="s">
        <v>1277</v>
      </c>
      <c r="E1413" s="346" t="s">
        <v>851</v>
      </c>
      <c r="F1413" s="347">
        <v>1062088572</v>
      </c>
      <c r="G1413" s="43"/>
    </row>
    <row r="1414" spans="1:7" ht="30" x14ac:dyDescent="0.25">
      <c r="A1414" s="43" t="s">
        <v>1312</v>
      </c>
      <c r="B1414" s="43" t="s">
        <v>1313</v>
      </c>
      <c r="C1414" s="43" t="s">
        <v>1314</v>
      </c>
      <c r="D1414" s="43"/>
      <c r="E1414" s="109" t="s">
        <v>851</v>
      </c>
      <c r="F1414" s="110">
        <v>1002848080</v>
      </c>
      <c r="G1414" s="43"/>
    </row>
    <row r="1415" spans="1:7" ht="30" x14ac:dyDescent="0.25">
      <c r="A1415" s="345" t="s">
        <v>884</v>
      </c>
      <c r="B1415" s="345" t="s">
        <v>1322</v>
      </c>
      <c r="C1415" s="345" t="s">
        <v>1323</v>
      </c>
      <c r="D1415" s="345" t="s">
        <v>1324</v>
      </c>
      <c r="E1415" s="346" t="s">
        <v>851</v>
      </c>
      <c r="F1415" s="347" t="s">
        <v>1325</v>
      </c>
      <c r="G1415" s="43"/>
    </row>
    <row r="1416" spans="1:7" ht="30" x14ac:dyDescent="0.25">
      <c r="A1416" s="43" t="s">
        <v>1326</v>
      </c>
      <c r="B1416" s="43" t="s">
        <v>1327</v>
      </c>
      <c r="C1416" s="43" t="s">
        <v>1328</v>
      </c>
      <c r="D1416" s="43" t="s">
        <v>1329</v>
      </c>
      <c r="E1416" s="109" t="s">
        <v>851</v>
      </c>
      <c r="F1416" s="110">
        <v>1061499220</v>
      </c>
      <c r="G1416" s="43"/>
    </row>
    <row r="1417" spans="1:7" ht="30" x14ac:dyDescent="0.25">
      <c r="A1417" s="345" t="s">
        <v>884</v>
      </c>
      <c r="B1417" s="345" t="s">
        <v>943</v>
      </c>
      <c r="C1417" s="345" t="s">
        <v>1330</v>
      </c>
      <c r="D1417" s="345"/>
      <c r="E1417" s="346" t="s">
        <v>851</v>
      </c>
      <c r="F1417" s="347">
        <v>1059598469</v>
      </c>
      <c r="G1417" s="43"/>
    </row>
    <row r="1418" spans="1:7" ht="30" x14ac:dyDescent="0.25">
      <c r="A1418" s="43" t="s">
        <v>909</v>
      </c>
      <c r="B1418" s="43" t="s">
        <v>928</v>
      </c>
      <c r="C1418" s="43" t="s">
        <v>1047</v>
      </c>
      <c r="D1418" s="43"/>
      <c r="E1418" s="109" t="s">
        <v>851</v>
      </c>
      <c r="F1418" s="110" t="s">
        <v>1335</v>
      </c>
      <c r="G1418" s="43"/>
    </row>
    <row r="1419" spans="1:7" ht="30" x14ac:dyDescent="0.25">
      <c r="A1419" s="345" t="s">
        <v>1336</v>
      </c>
      <c r="B1419" s="345" t="s">
        <v>1336</v>
      </c>
      <c r="C1419" s="345" t="s">
        <v>938</v>
      </c>
      <c r="D1419" s="345" t="s">
        <v>1337</v>
      </c>
      <c r="E1419" s="346" t="s">
        <v>851</v>
      </c>
      <c r="F1419" s="347">
        <v>1062326726</v>
      </c>
      <c r="G1419" s="43"/>
    </row>
    <row r="1420" spans="1:7" ht="30" x14ac:dyDescent="0.25">
      <c r="A1420" s="43" t="s">
        <v>1342</v>
      </c>
      <c r="B1420" s="43" t="s">
        <v>1343</v>
      </c>
      <c r="C1420" s="43" t="s">
        <v>938</v>
      </c>
      <c r="D1420" s="43" t="s">
        <v>1344</v>
      </c>
      <c r="E1420" s="109" t="s">
        <v>851</v>
      </c>
      <c r="F1420" s="110">
        <v>1113541820</v>
      </c>
      <c r="G1420" s="43"/>
    </row>
    <row r="1421" spans="1:7" ht="30" x14ac:dyDescent="0.25">
      <c r="A1421" s="345" t="s">
        <v>953</v>
      </c>
      <c r="B1421" s="345" t="s">
        <v>1345</v>
      </c>
      <c r="C1421" s="345" t="s">
        <v>1346</v>
      </c>
      <c r="D1421" s="345"/>
      <c r="E1421" s="346" t="s">
        <v>851</v>
      </c>
      <c r="F1421" s="347" t="s">
        <v>1347</v>
      </c>
      <c r="G1421" s="43"/>
    </row>
    <row r="1422" spans="1:7" ht="30" x14ac:dyDescent="0.25">
      <c r="A1422" s="301" t="s">
        <v>909</v>
      </c>
      <c r="B1422" s="301" t="s">
        <v>914</v>
      </c>
      <c r="C1422" s="301" t="s">
        <v>1348</v>
      </c>
      <c r="D1422" s="301"/>
      <c r="E1422" s="300" t="s">
        <v>851</v>
      </c>
      <c r="F1422" s="303">
        <v>1002847764</v>
      </c>
      <c r="G1422" s="43"/>
    </row>
    <row r="1423" spans="1:7" ht="30" x14ac:dyDescent="0.25">
      <c r="A1423" s="345" t="s">
        <v>1349</v>
      </c>
      <c r="B1423" s="345" t="s">
        <v>1350</v>
      </c>
      <c r="C1423" s="345" t="s">
        <v>1351</v>
      </c>
      <c r="D1423" s="345" t="s">
        <v>1352</v>
      </c>
      <c r="E1423" s="346" t="s">
        <v>851</v>
      </c>
      <c r="F1423" s="347" t="s">
        <v>1353</v>
      </c>
      <c r="G1423" s="43"/>
    </row>
    <row r="1424" spans="1:7" ht="30" x14ac:dyDescent="0.25">
      <c r="A1424" s="43" t="s">
        <v>914</v>
      </c>
      <c r="B1424" s="43" t="s">
        <v>884</v>
      </c>
      <c r="C1424" s="43" t="s">
        <v>1217</v>
      </c>
      <c r="D1424" s="43" t="s">
        <v>1354</v>
      </c>
      <c r="E1424" s="109" t="s">
        <v>851</v>
      </c>
      <c r="F1424" s="110">
        <v>1059604950</v>
      </c>
      <c r="G1424" s="43"/>
    </row>
    <row r="1425" spans="1:7" ht="30" x14ac:dyDescent="0.25">
      <c r="A1425" s="345" t="s">
        <v>1356</v>
      </c>
      <c r="B1425" s="345" t="s">
        <v>943</v>
      </c>
      <c r="C1425" s="345" t="s">
        <v>1357</v>
      </c>
      <c r="D1425" s="345"/>
      <c r="E1425" s="346" t="s">
        <v>1094</v>
      </c>
      <c r="F1425" s="347" t="s">
        <v>1358</v>
      </c>
      <c r="G1425" s="43"/>
    </row>
    <row r="1426" spans="1:7" ht="30" x14ac:dyDescent="0.25">
      <c r="A1426" s="43" t="s">
        <v>943</v>
      </c>
      <c r="B1426" s="43" t="s">
        <v>1361</v>
      </c>
      <c r="C1426" s="43" t="s">
        <v>1372</v>
      </c>
      <c r="D1426" s="43" t="s">
        <v>1373</v>
      </c>
      <c r="E1426" s="109" t="s">
        <v>851</v>
      </c>
      <c r="F1426" s="110">
        <v>1068216345</v>
      </c>
      <c r="G1426" s="43"/>
    </row>
    <row r="1427" spans="1:7" ht="30" x14ac:dyDescent="0.25">
      <c r="A1427" s="345" t="s">
        <v>943</v>
      </c>
      <c r="B1427" s="345" t="s">
        <v>1025</v>
      </c>
      <c r="C1427" s="345" t="s">
        <v>1657</v>
      </c>
      <c r="D1427" s="345"/>
      <c r="E1427" s="346" t="s">
        <v>851</v>
      </c>
      <c r="F1427" s="347">
        <v>1059594597</v>
      </c>
      <c r="G1427" s="43"/>
    </row>
    <row r="1428" spans="1:7" ht="30" x14ac:dyDescent="0.25">
      <c r="A1428" s="301" t="s">
        <v>914</v>
      </c>
      <c r="B1428" s="301" t="s">
        <v>917</v>
      </c>
      <c r="C1428" s="301" t="s">
        <v>1376</v>
      </c>
      <c r="D1428" s="301"/>
      <c r="E1428" s="300" t="s">
        <v>851</v>
      </c>
      <c r="F1428" s="303">
        <v>1002847472</v>
      </c>
      <c r="G1428" s="43"/>
    </row>
    <row r="1429" spans="1:7" ht="30" x14ac:dyDescent="0.25">
      <c r="A1429" s="345" t="s">
        <v>1365</v>
      </c>
      <c r="B1429" s="345" t="s">
        <v>1378</v>
      </c>
      <c r="C1429" s="345" t="s">
        <v>1379</v>
      </c>
      <c r="D1429" s="345"/>
      <c r="E1429" s="346" t="s">
        <v>851</v>
      </c>
      <c r="F1429" s="347">
        <v>1059594610</v>
      </c>
      <c r="G1429" s="43"/>
    </row>
    <row r="1430" spans="1:7" ht="30" x14ac:dyDescent="0.25">
      <c r="A1430" s="43" t="s">
        <v>1386</v>
      </c>
      <c r="B1430" s="43" t="s">
        <v>1387</v>
      </c>
      <c r="C1430" s="43" t="s">
        <v>1388</v>
      </c>
      <c r="D1430" s="43"/>
      <c r="E1430" s="109" t="s">
        <v>851</v>
      </c>
      <c r="F1430" s="110">
        <v>34655779</v>
      </c>
      <c r="G1430" s="43"/>
    </row>
    <row r="1431" spans="1:7" ht="30" x14ac:dyDescent="0.25">
      <c r="A1431" s="345" t="s">
        <v>1394</v>
      </c>
      <c r="B1431" s="345" t="s">
        <v>1395</v>
      </c>
      <c r="C1431" s="345" t="s">
        <v>1284</v>
      </c>
      <c r="D1431" s="345" t="s">
        <v>1182</v>
      </c>
      <c r="E1431" s="346" t="s">
        <v>851</v>
      </c>
      <c r="F1431" s="347">
        <v>1059594142</v>
      </c>
      <c r="G1431" s="43"/>
    </row>
    <row r="1432" spans="1:7" ht="30" x14ac:dyDescent="0.25">
      <c r="A1432" s="301" t="s">
        <v>953</v>
      </c>
      <c r="B1432" s="301" t="s">
        <v>1402</v>
      </c>
      <c r="C1432" s="301" t="s">
        <v>1403</v>
      </c>
      <c r="D1432" s="301" t="s">
        <v>982</v>
      </c>
      <c r="E1432" s="300" t="s">
        <v>851</v>
      </c>
      <c r="F1432" s="303">
        <v>1002922124</v>
      </c>
      <c r="G1432" s="43"/>
    </row>
    <row r="1433" spans="1:7" ht="30" x14ac:dyDescent="0.25">
      <c r="A1433" s="345" t="s">
        <v>1410</v>
      </c>
      <c r="B1433" s="345" t="s">
        <v>1411</v>
      </c>
      <c r="C1433" s="345" t="s">
        <v>1412</v>
      </c>
      <c r="D1433" s="345" t="s">
        <v>1028</v>
      </c>
      <c r="E1433" s="346" t="s">
        <v>851</v>
      </c>
      <c r="F1433" s="347">
        <v>1059595537</v>
      </c>
      <c r="G1433" s="43"/>
    </row>
    <row r="1434" spans="1:7" ht="30" x14ac:dyDescent="0.25">
      <c r="A1434" s="43" t="s">
        <v>1147</v>
      </c>
      <c r="B1434" s="43" t="s">
        <v>1091</v>
      </c>
      <c r="C1434" s="43" t="s">
        <v>1413</v>
      </c>
      <c r="D1434" s="43" t="s">
        <v>1414</v>
      </c>
      <c r="E1434" s="109" t="s">
        <v>851</v>
      </c>
      <c r="F1434" s="110">
        <v>1059594835</v>
      </c>
      <c r="G1434" s="43"/>
    </row>
    <row r="1435" spans="1:7" ht="30" x14ac:dyDescent="0.25">
      <c r="A1435" s="301" t="s">
        <v>974</v>
      </c>
      <c r="B1435" s="301" t="s">
        <v>1144</v>
      </c>
      <c r="C1435" s="301" t="s">
        <v>1419</v>
      </c>
      <c r="D1435" s="301"/>
      <c r="E1435" s="300" t="s">
        <v>851</v>
      </c>
      <c r="F1435" s="303">
        <v>1059598995</v>
      </c>
      <c r="G1435" s="43"/>
    </row>
    <row r="1436" spans="1:7" ht="30" x14ac:dyDescent="0.25">
      <c r="A1436" s="43" t="s">
        <v>953</v>
      </c>
      <c r="B1436" s="43" t="s">
        <v>848</v>
      </c>
      <c r="C1436" s="43" t="s">
        <v>1420</v>
      </c>
      <c r="D1436" s="43"/>
      <c r="E1436" s="109" t="s">
        <v>851</v>
      </c>
      <c r="F1436" s="110">
        <v>1002846728</v>
      </c>
      <c r="G1436" s="43"/>
    </row>
    <row r="1437" spans="1:7" ht="30" x14ac:dyDescent="0.25">
      <c r="A1437" s="345" t="s">
        <v>1424</v>
      </c>
      <c r="B1437" s="345" t="s">
        <v>1425</v>
      </c>
      <c r="C1437" s="345" t="s">
        <v>1192</v>
      </c>
      <c r="D1437" s="345" t="s">
        <v>1243</v>
      </c>
      <c r="E1437" s="346" t="s">
        <v>851</v>
      </c>
      <c r="F1437" s="347">
        <v>1059602162</v>
      </c>
      <c r="G1437" s="43"/>
    </row>
    <row r="1438" spans="1:7" ht="30" x14ac:dyDescent="0.25">
      <c r="A1438" s="43" t="s">
        <v>1446</v>
      </c>
      <c r="B1438" s="43" t="s">
        <v>1447</v>
      </c>
      <c r="C1438" s="43" t="s">
        <v>1047</v>
      </c>
      <c r="D1438" s="43"/>
      <c r="E1438" s="109" t="s">
        <v>851</v>
      </c>
      <c r="F1438" s="110">
        <v>1073246645</v>
      </c>
      <c r="G1438" s="43"/>
    </row>
    <row r="1439" spans="1:7" ht="30" x14ac:dyDescent="0.25">
      <c r="A1439" s="345" t="s">
        <v>1342</v>
      </c>
      <c r="B1439" s="345" t="s">
        <v>1450</v>
      </c>
      <c r="C1439" s="345" t="s">
        <v>1167</v>
      </c>
      <c r="D1439" s="345"/>
      <c r="E1439" s="346" t="s">
        <v>851</v>
      </c>
      <c r="F1439" s="347">
        <v>25547109</v>
      </c>
      <c r="G1439" s="43"/>
    </row>
    <row r="1440" spans="1:7" ht="30" x14ac:dyDescent="0.25">
      <c r="A1440" s="43" t="s">
        <v>884</v>
      </c>
      <c r="B1440" s="43" t="s">
        <v>1144</v>
      </c>
      <c r="C1440" s="43" t="s">
        <v>1454</v>
      </c>
      <c r="D1440" s="43"/>
      <c r="E1440" s="109" t="s">
        <v>851</v>
      </c>
      <c r="F1440" s="110">
        <v>1002847188</v>
      </c>
      <c r="G1440" s="43"/>
    </row>
    <row r="1441" spans="1:7" ht="30" x14ac:dyDescent="0.25">
      <c r="A1441" s="345" t="s">
        <v>1470</v>
      </c>
      <c r="B1441" s="345" t="s">
        <v>874</v>
      </c>
      <c r="C1441" s="345" t="s">
        <v>1217</v>
      </c>
      <c r="D1441" s="345" t="s">
        <v>1471</v>
      </c>
      <c r="E1441" s="346" t="s">
        <v>851</v>
      </c>
      <c r="F1441" s="347">
        <v>1059600344</v>
      </c>
      <c r="G1441" s="43"/>
    </row>
    <row r="1442" spans="1:7" ht="30" x14ac:dyDescent="0.25">
      <c r="A1442" s="43" t="s">
        <v>1425</v>
      </c>
      <c r="B1442" s="43" t="s">
        <v>1365</v>
      </c>
      <c r="C1442" s="43" t="s">
        <v>1472</v>
      </c>
      <c r="D1442" s="43"/>
      <c r="E1442" s="109" t="s">
        <v>851</v>
      </c>
      <c r="F1442" s="110">
        <v>1002848150</v>
      </c>
      <c r="G1442" s="43"/>
    </row>
    <row r="1443" spans="1:7" ht="30" x14ac:dyDescent="0.25">
      <c r="A1443" s="345" t="s">
        <v>1014</v>
      </c>
      <c r="B1443" s="345" t="s">
        <v>1474</v>
      </c>
      <c r="C1443" s="345" t="s">
        <v>1475</v>
      </c>
      <c r="D1443" s="345"/>
      <c r="E1443" s="346" t="s">
        <v>851</v>
      </c>
      <c r="F1443" s="347">
        <v>1002846252</v>
      </c>
      <c r="G1443" s="43"/>
    </row>
    <row r="1444" spans="1:7" ht="30" x14ac:dyDescent="0.25">
      <c r="A1444" s="43" t="s">
        <v>1365</v>
      </c>
      <c r="B1444" s="43" t="s">
        <v>857</v>
      </c>
      <c r="C1444" s="43" t="s">
        <v>1217</v>
      </c>
      <c r="D1444" s="43" t="s">
        <v>1487</v>
      </c>
      <c r="E1444" s="109" t="s">
        <v>851</v>
      </c>
      <c r="F1444" s="110" t="s">
        <v>1488</v>
      </c>
      <c r="G1444" s="43"/>
    </row>
    <row r="1445" spans="1:7" ht="30" x14ac:dyDescent="0.25">
      <c r="A1445" s="345" t="s">
        <v>914</v>
      </c>
      <c r="B1445" s="345" t="s">
        <v>953</v>
      </c>
      <c r="C1445" s="345" t="s">
        <v>1217</v>
      </c>
      <c r="D1445" s="345" t="s">
        <v>1398</v>
      </c>
      <c r="E1445" s="346" t="s">
        <v>851</v>
      </c>
      <c r="F1445" s="347">
        <v>1059602321</v>
      </c>
      <c r="G1445" s="43"/>
    </row>
    <row r="1446" spans="1:7" ht="30" x14ac:dyDescent="0.25">
      <c r="A1446" s="43" t="s">
        <v>1526</v>
      </c>
      <c r="B1446" s="43" t="s">
        <v>1527</v>
      </c>
      <c r="C1446" s="43" t="s">
        <v>1528</v>
      </c>
      <c r="D1446" s="43" t="s">
        <v>1281</v>
      </c>
      <c r="E1446" s="109" t="s">
        <v>1094</v>
      </c>
      <c r="F1446" s="110">
        <v>1059596250</v>
      </c>
      <c r="G1446" s="43"/>
    </row>
    <row r="1447" spans="1:7" ht="30" x14ac:dyDescent="0.25">
      <c r="A1447" s="345" t="s">
        <v>848</v>
      </c>
      <c r="B1447" s="345" t="s">
        <v>943</v>
      </c>
      <c r="C1447" s="345" t="s">
        <v>1565</v>
      </c>
      <c r="D1447" s="345"/>
      <c r="E1447" s="346" t="s">
        <v>851</v>
      </c>
      <c r="F1447" s="347">
        <v>1059606933</v>
      </c>
      <c r="G1447" s="43"/>
    </row>
    <row r="1448" spans="1:7" ht="30" x14ac:dyDescent="0.25">
      <c r="A1448" s="43" t="s">
        <v>914</v>
      </c>
      <c r="B1448" s="43" t="s">
        <v>943</v>
      </c>
      <c r="C1448" s="43" t="s">
        <v>1575</v>
      </c>
      <c r="D1448" s="43"/>
      <c r="E1448" s="109" t="s">
        <v>851</v>
      </c>
      <c r="F1448" s="356" t="s">
        <v>1574</v>
      </c>
      <c r="G1448" s="43"/>
    </row>
    <row r="1449" spans="1:7" ht="30" x14ac:dyDescent="0.25">
      <c r="A1449" s="345" t="s">
        <v>1068</v>
      </c>
      <c r="B1449" s="345" t="s">
        <v>1577</v>
      </c>
      <c r="C1449" s="345" t="s">
        <v>1468</v>
      </c>
      <c r="D1449" s="345" t="s">
        <v>1281</v>
      </c>
      <c r="E1449" s="346" t="s">
        <v>851</v>
      </c>
      <c r="F1449" s="359" t="s">
        <v>1576</v>
      </c>
      <c r="G1449" s="43"/>
    </row>
    <row r="1450" spans="1:7" ht="30" x14ac:dyDescent="0.25">
      <c r="A1450" s="43" t="s">
        <v>944</v>
      </c>
      <c r="B1450" s="43" t="s">
        <v>944</v>
      </c>
      <c r="C1450" s="43" t="s">
        <v>1616</v>
      </c>
      <c r="D1450" s="43" t="s">
        <v>1617</v>
      </c>
      <c r="E1450" s="109" t="s">
        <v>851</v>
      </c>
      <c r="F1450" s="110">
        <v>1059595276</v>
      </c>
      <c r="G1450" s="43"/>
    </row>
  </sheetData>
  <protectedRanges>
    <protectedRange algorithmName="SHA-512" hashValue="9+DNppQbWrLYYUMoJ+lyQctV2bX3Vq9kZnegLbpjTLP49It2ovUbcartuoQTeXgP+TGpY//7mDH/UQlFCKDGiA==" saltValue="KUnni6YEm00anzSSvyLqQA==" spinCount="100000" sqref="A2:F2" name="Rango2"/>
    <protectedRange algorithmName="SHA-512" hashValue="6a5oYwZw9WJcgjqXpleUXH8uaqNEuymPPpeOb7lKBc1WoM6IG/DNyDLWmj2lYwxnZO2yhl+B61kwrxD9m9AdhQ==" saltValue="tdNQPzLQd+n9Ww064QJIaQ==" spinCount="100000" sqref="E3 E232:E235 E238:E239 F269 E242:E278 E280:E336 E339:E340 F371 E343:E379 E382:E436 E438:E453 E454:F454 E455:E463 E466:E490 E491:F491 E492:E501 E504:E534 E537:E550 E553:E560 F597 E563:E601 E604:E610 E613 E616:E618 E621:E680 F773 E683:E787 F873 E790:E882 E885:E922 F999 E925:E1013 E1016:E1062 F1083 E1065:E1091 F1172 E1094:E1186 F1257 E1189:E1271 E1274:E1314 E1317:E1450" name="Rango2_61"/>
    <protectedRange algorithmName="SHA-512" hashValue="EMMPgE8t/az1rHHzaZAQIhz+GQV0k2O/tQGA96sJqEEMzz1efIRa4CcLzC7iY9CCscto3g7dwz41haOE28iXYg==" saltValue="CVzFsG4X4LXUMo7796PiDQ==" spinCount="100000" sqref="F3 A3:D3 F232 F235 A232:D235 A238:D239 F278 F242:F257 F263:F268 F271:F275 A242:D278 F280:F324 F326:F330 F333 A280:D336 F335 A339:D340 F343:F359 F365:F370 F373:F377 A343:D379 F382:F426 F428:F431 F433 F435 A382:D436 F438:F446 F448 F452:F453 F455:F459 A438:D463 F466:F481 F483 F489:F490 F493:F497 A466:D501 F504:F522 F524:F526 F529:F532 A504:D534 F537:F544 A537:D550 F546:F549 F553:F559 A553:D560 F563:F587 F592:F596 F598:F600 A563:D601 F604:F610 A604:D610 F613 A613:D613 F616:F618 A616:D618 F621:F668 F670:F673 F676:F677 F679 A621:D680 F776:F783 F742:F744 F683:F740 F746:F756 F763:F772 A683:D787 F790:F844 F846:F856 F863:F872 F876:F880 A790:D882 F885:F905 F912:F918 A885:D922 F969:F970 F925:F967 F972:F981 F989:F998 F1002:F1009 A925:D1013 F1016:F1038 F1040:F1044 F1048:F1052 F1054:F1059 A1016:D1062 F1065:F1074 F1076 F1080:F1082 A1065:D1091 F1085:F1089 F1175:F1182 F1141:F1143 F1094:F1139 F1145:F1154 A1094:D1186 F1162:F1171 F1260:F1267 F1227:F1229 F1189:F1225 F1231:F1241 A1189:D1271 F1248:F1256 F1274:F1311 F1314 A1274:D1314 F1317:F1447 F1450 A1317:D1450" name="Rango2_10"/>
    <protectedRange algorithmName="SHA-512" hashValue="6a5oYwZw9WJcgjqXpleUXH8uaqNEuymPPpeOb7lKBc1WoM6IG/DNyDLWmj2lYwxnZO2yhl+B61kwrxD9m9AdhQ==" saltValue="tdNQPzLQd+n9Ww064QJIaQ==" spinCount="100000" sqref="E4:E5" name="Rango2_61_1"/>
    <protectedRange algorithmName="SHA-512" hashValue="EMMPgE8t/az1rHHzaZAQIhz+GQV0k2O/tQGA96sJqEEMzz1efIRa4CcLzC7iY9CCscto3g7dwz41haOE28iXYg==" saltValue="CVzFsG4X4LXUMo7796PiDQ==" spinCount="100000" sqref="F4:F5 A4:D5" name="Rango2_10_1"/>
    <protectedRange algorithmName="SHA-512" hashValue="6a5oYwZw9WJcgjqXpleUXH8uaqNEuymPPpeOb7lKBc1WoM6IG/DNyDLWmj2lYwxnZO2yhl+B61kwrxD9m9AdhQ==" saltValue="tdNQPzLQd+n9Ww064QJIaQ==" spinCount="100000" sqref="E6" name="Rango2_61_2"/>
    <protectedRange algorithmName="SHA-512" hashValue="EMMPgE8t/az1rHHzaZAQIhz+GQV0k2O/tQGA96sJqEEMzz1efIRa4CcLzC7iY9CCscto3g7dwz41haOE28iXYg==" saltValue="CVzFsG4X4LXUMo7796PiDQ==" spinCount="100000" sqref="F6 A6:D6" name="Rango2_10_2"/>
    <protectedRange algorithmName="SHA-512" hashValue="6a5oYwZw9WJcgjqXpleUXH8uaqNEuymPPpeOb7lKBc1WoM6IG/DNyDLWmj2lYwxnZO2yhl+B61kwrxD9m9AdhQ==" saltValue="tdNQPzLQd+n9Ww064QJIaQ==" spinCount="100000" sqref="E7:E8" name="Rango2_61_3"/>
    <protectedRange algorithmName="SHA-512" hashValue="EMMPgE8t/az1rHHzaZAQIhz+GQV0k2O/tQGA96sJqEEMzz1efIRa4CcLzC7iY9CCscto3g7dwz41haOE28iXYg==" saltValue="CVzFsG4X4LXUMo7796PiDQ==" spinCount="100000" sqref="F7:F8 A7:D8" name="Rango2_10_3"/>
    <protectedRange algorithmName="SHA-512" hashValue="6a5oYwZw9WJcgjqXpleUXH8uaqNEuymPPpeOb7lKBc1WoM6IG/DNyDLWmj2lYwxnZO2yhl+B61kwrxD9m9AdhQ==" saltValue="tdNQPzLQd+n9Ww064QJIaQ==" spinCount="100000" sqref="E9" name="Rango2_61_4"/>
    <protectedRange algorithmName="SHA-512" hashValue="EMMPgE8t/az1rHHzaZAQIhz+GQV0k2O/tQGA96sJqEEMzz1efIRa4CcLzC7iY9CCscto3g7dwz41haOE28iXYg==" saltValue="CVzFsG4X4LXUMo7796PiDQ==" spinCount="100000" sqref="F9 A9:D9" name="Rango2_10_4"/>
    <protectedRange algorithmName="SHA-512" hashValue="6a5oYwZw9WJcgjqXpleUXH8uaqNEuymPPpeOb7lKBc1WoM6IG/DNyDLWmj2lYwxnZO2yhl+B61kwrxD9m9AdhQ==" saltValue="tdNQPzLQd+n9Ww064QJIaQ==" spinCount="100000" sqref="E10" name="Rango2_61_5"/>
    <protectedRange algorithmName="SHA-512" hashValue="EMMPgE8t/az1rHHzaZAQIhz+GQV0k2O/tQGA96sJqEEMzz1efIRa4CcLzC7iY9CCscto3g7dwz41haOE28iXYg==" saltValue="CVzFsG4X4LXUMo7796PiDQ==" spinCount="100000" sqref="F10 A10:D10" name="Rango2_10_5"/>
    <protectedRange algorithmName="SHA-512" hashValue="6a5oYwZw9WJcgjqXpleUXH8uaqNEuymPPpeOb7lKBc1WoM6IG/DNyDLWmj2lYwxnZO2yhl+B61kwrxD9m9AdhQ==" saltValue="tdNQPzLQd+n9Ww064QJIaQ==" spinCount="100000" sqref="E11" name="Rango2_61_6"/>
    <protectedRange algorithmName="SHA-512" hashValue="EMMPgE8t/az1rHHzaZAQIhz+GQV0k2O/tQGA96sJqEEMzz1efIRa4CcLzC7iY9CCscto3g7dwz41haOE28iXYg==" saltValue="CVzFsG4X4LXUMo7796PiDQ==" spinCount="100000" sqref="F11 A11:D11" name="Rango2_10_6"/>
    <protectedRange algorithmName="SHA-512" hashValue="6a5oYwZw9WJcgjqXpleUXH8uaqNEuymPPpeOb7lKBc1WoM6IG/DNyDLWmj2lYwxnZO2yhl+B61kwrxD9m9AdhQ==" saltValue="tdNQPzLQd+n9Ww064QJIaQ==" spinCount="100000" sqref="E12:E15" name="Rango2_61_7"/>
    <protectedRange algorithmName="SHA-512" hashValue="EMMPgE8t/az1rHHzaZAQIhz+GQV0k2O/tQGA96sJqEEMzz1efIRa4CcLzC7iY9CCscto3g7dwz41haOE28iXYg==" saltValue="CVzFsG4X4LXUMo7796PiDQ==" spinCount="100000" sqref="F12:F15 A12:D15" name="Rango2_10_7"/>
    <protectedRange algorithmName="SHA-512" hashValue="6a5oYwZw9WJcgjqXpleUXH8uaqNEuymPPpeOb7lKBc1WoM6IG/DNyDLWmj2lYwxnZO2yhl+B61kwrxD9m9AdhQ==" saltValue="tdNQPzLQd+n9Ww064QJIaQ==" spinCount="100000" sqref="E16" name="Rango2_61_8"/>
    <protectedRange algorithmName="SHA-512" hashValue="EMMPgE8t/az1rHHzaZAQIhz+GQV0k2O/tQGA96sJqEEMzz1efIRa4CcLzC7iY9CCscto3g7dwz41haOE28iXYg==" saltValue="CVzFsG4X4LXUMo7796PiDQ==" spinCount="100000" sqref="F16 A16:D16" name="Rango2_10_8"/>
    <protectedRange algorithmName="SHA-512" hashValue="6a5oYwZw9WJcgjqXpleUXH8uaqNEuymPPpeOb7lKBc1WoM6IG/DNyDLWmj2lYwxnZO2yhl+B61kwrxD9m9AdhQ==" saltValue="tdNQPzLQd+n9Ww064QJIaQ==" spinCount="100000" sqref="E17" name="Rango2_61_9"/>
    <protectedRange algorithmName="SHA-512" hashValue="EMMPgE8t/az1rHHzaZAQIhz+GQV0k2O/tQGA96sJqEEMzz1efIRa4CcLzC7iY9CCscto3g7dwz41haOE28iXYg==" saltValue="CVzFsG4X4LXUMo7796PiDQ==" spinCount="100000" sqref="F17 A17:D17" name="Rango2_10_9"/>
    <protectedRange algorithmName="SHA-512" hashValue="6a5oYwZw9WJcgjqXpleUXH8uaqNEuymPPpeOb7lKBc1WoM6IG/DNyDLWmj2lYwxnZO2yhl+B61kwrxD9m9AdhQ==" saltValue="tdNQPzLQd+n9Ww064QJIaQ==" spinCount="100000" sqref="E18:E19" name="Rango2_61_10"/>
    <protectedRange algorithmName="SHA-512" hashValue="EMMPgE8t/az1rHHzaZAQIhz+GQV0k2O/tQGA96sJqEEMzz1efIRa4CcLzC7iY9CCscto3g7dwz41haOE28iXYg==" saltValue="CVzFsG4X4LXUMo7796PiDQ==" spinCount="100000" sqref="F18:F19 A18:D19" name="Rango2_10_10"/>
    <protectedRange algorithmName="SHA-512" hashValue="6a5oYwZw9WJcgjqXpleUXH8uaqNEuymPPpeOb7lKBc1WoM6IG/DNyDLWmj2lYwxnZO2yhl+B61kwrxD9m9AdhQ==" saltValue="tdNQPzLQd+n9Ww064QJIaQ==" spinCount="100000" sqref="E20:E21" name="Rango2_61_11"/>
    <protectedRange algorithmName="SHA-512" hashValue="EMMPgE8t/az1rHHzaZAQIhz+GQV0k2O/tQGA96sJqEEMzz1efIRa4CcLzC7iY9CCscto3g7dwz41haOE28iXYg==" saltValue="CVzFsG4X4LXUMo7796PiDQ==" spinCount="100000" sqref="F20:F21 A20:D21" name="Rango2_10_11"/>
    <protectedRange algorithmName="SHA-512" hashValue="6a5oYwZw9WJcgjqXpleUXH8uaqNEuymPPpeOb7lKBc1WoM6IG/DNyDLWmj2lYwxnZO2yhl+B61kwrxD9m9AdhQ==" saltValue="tdNQPzLQd+n9Ww064QJIaQ==" spinCount="100000" sqref="E22:E23" name="Rango2_61_12"/>
    <protectedRange algorithmName="SHA-512" hashValue="EMMPgE8t/az1rHHzaZAQIhz+GQV0k2O/tQGA96sJqEEMzz1efIRa4CcLzC7iY9CCscto3g7dwz41haOE28iXYg==" saltValue="CVzFsG4X4LXUMo7796PiDQ==" spinCount="100000" sqref="F22:F23 A22:D23" name="Rango2_10_12"/>
    <protectedRange algorithmName="SHA-512" hashValue="6a5oYwZw9WJcgjqXpleUXH8uaqNEuymPPpeOb7lKBc1WoM6IG/DNyDLWmj2lYwxnZO2yhl+B61kwrxD9m9AdhQ==" saltValue="tdNQPzLQd+n9Ww064QJIaQ==" spinCount="100000" sqref="E24:E29" name="Rango2_61_13"/>
    <protectedRange algorithmName="SHA-512" hashValue="EMMPgE8t/az1rHHzaZAQIhz+GQV0k2O/tQGA96sJqEEMzz1efIRa4CcLzC7iY9CCscto3g7dwz41haOE28iXYg==" saltValue="CVzFsG4X4LXUMo7796PiDQ==" spinCount="100000" sqref="F24:F29 A24:D29" name="Rango2_10_13"/>
    <protectedRange algorithmName="SHA-512" hashValue="6a5oYwZw9WJcgjqXpleUXH8uaqNEuymPPpeOb7lKBc1WoM6IG/DNyDLWmj2lYwxnZO2yhl+B61kwrxD9m9AdhQ==" saltValue="tdNQPzLQd+n9Ww064QJIaQ==" spinCount="100000" sqref="E30" name="Rango2_61_14"/>
    <protectedRange algorithmName="SHA-512" hashValue="EMMPgE8t/az1rHHzaZAQIhz+GQV0k2O/tQGA96sJqEEMzz1efIRa4CcLzC7iY9CCscto3g7dwz41haOE28iXYg==" saltValue="CVzFsG4X4LXUMo7796PiDQ==" spinCount="100000" sqref="F30 A30:D30" name="Rango2_10_14"/>
    <protectedRange algorithmName="SHA-512" hashValue="6a5oYwZw9WJcgjqXpleUXH8uaqNEuymPPpeOb7lKBc1WoM6IG/DNyDLWmj2lYwxnZO2yhl+B61kwrxD9m9AdhQ==" saltValue="tdNQPzLQd+n9Ww064QJIaQ==" spinCount="100000" sqref="E31:E32" name="Rango2_61_15"/>
    <protectedRange algorithmName="SHA-512" hashValue="EMMPgE8t/az1rHHzaZAQIhz+GQV0k2O/tQGA96sJqEEMzz1efIRa4CcLzC7iY9CCscto3g7dwz41haOE28iXYg==" saltValue="CVzFsG4X4LXUMo7796PiDQ==" spinCount="100000" sqref="F31:F32 A31:D32" name="Rango2_10_15"/>
    <protectedRange algorithmName="SHA-512" hashValue="6a5oYwZw9WJcgjqXpleUXH8uaqNEuymPPpeOb7lKBc1WoM6IG/DNyDLWmj2lYwxnZO2yhl+B61kwrxD9m9AdhQ==" saltValue="tdNQPzLQd+n9Ww064QJIaQ==" spinCount="100000" sqref="E33:E39" name="Rango2_61_16"/>
    <protectedRange algorithmName="SHA-512" hashValue="6a5oYwZw9WJcgjqXpleUXH8uaqNEuymPPpeOb7lKBc1WoM6IG/DNyDLWmj2lYwxnZO2yhl+B61kwrxD9m9AdhQ==" saltValue="tdNQPzLQd+n9Ww064QJIaQ==" spinCount="100000" sqref="E40:E43" name="Rango2_61_17"/>
    <protectedRange algorithmName="SHA-512" hashValue="EMMPgE8t/az1rHHzaZAQIhz+GQV0k2O/tQGA96sJqEEMzz1efIRa4CcLzC7iY9CCscto3g7dwz41haOE28iXYg==" saltValue="CVzFsG4X4LXUMo7796PiDQ==" spinCount="100000" sqref="F40:F43 A40:D43" name="Rango2_10_17"/>
    <protectedRange algorithmName="SHA-512" hashValue="6a5oYwZw9WJcgjqXpleUXH8uaqNEuymPPpeOb7lKBc1WoM6IG/DNyDLWmj2lYwxnZO2yhl+B61kwrxD9m9AdhQ==" saltValue="tdNQPzLQd+n9Ww064QJIaQ==" spinCount="100000" sqref="E44:E53" name="Rango2_61_18"/>
    <protectedRange algorithmName="SHA-512" hashValue="EMMPgE8t/az1rHHzaZAQIhz+GQV0k2O/tQGA96sJqEEMzz1efIRa4CcLzC7iY9CCscto3g7dwz41haOE28iXYg==" saltValue="CVzFsG4X4LXUMo7796PiDQ==" spinCount="100000" sqref="F44:F53 A44:D53" name="Rango2_10_18"/>
    <protectedRange algorithmName="SHA-512" hashValue="6a5oYwZw9WJcgjqXpleUXH8uaqNEuymPPpeOb7lKBc1WoM6IG/DNyDLWmj2lYwxnZO2yhl+B61kwrxD9m9AdhQ==" saltValue="tdNQPzLQd+n9Ww064QJIaQ==" spinCount="100000" sqref="E54" name="Rango2_61_19"/>
    <protectedRange algorithmName="SHA-512" hashValue="EMMPgE8t/az1rHHzaZAQIhz+GQV0k2O/tQGA96sJqEEMzz1efIRa4CcLzC7iY9CCscto3g7dwz41haOE28iXYg==" saltValue="CVzFsG4X4LXUMo7796PiDQ==" spinCount="100000" sqref="F54 A54:D54" name="Rango2_10_19"/>
    <protectedRange algorithmName="SHA-512" hashValue="6a5oYwZw9WJcgjqXpleUXH8uaqNEuymPPpeOb7lKBc1WoM6IG/DNyDLWmj2lYwxnZO2yhl+B61kwrxD9m9AdhQ==" saltValue="tdNQPzLQd+n9Ww064QJIaQ==" spinCount="100000" sqref="E55:E72" name="Rango2_61_20"/>
    <protectedRange algorithmName="SHA-512" hashValue="EMMPgE8t/az1rHHzaZAQIhz+GQV0k2O/tQGA96sJqEEMzz1efIRa4CcLzC7iY9CCscto3g7dwz41haOE28iXYg==" saltValue="CVzFsG4X4LXUMo7796PiDQ==" spinCount="100000" sqref="F65:F67 F55:F63 F69:F72 A55:D72" name="Rango2_10_20"/>
    <protectedRange algorithmName="SHA-512" hashValue="6a5oYwZw9WJcgjqXpleUXH8uaqNEuymPPpeOb7lKBc1WoM6IG/DNyDLWmj2lYwxnZO2yhl+B61kwrxD9m9AdhQ==" saltValue="tdNQPzLQd+n9Ww064QJIaQ==" spinCount="100000" sqref="E73" name="Rango2_61_21"/>
    <protectedRange algorithmName="SHA-512" hashValue="EMMPgE8t/az1rHHzaZAQIhz+GQV0k2O/tQGA96sJqEEMzz1efIRa4CcLzC7iY9CCscto3g7dwz41haOE28iXYg==" saltValue="CVzFsG4X4LXUMo7796PiDQ==" spinCount="100000" sqref="F73 A73:D73" name="Rango2_10_21"/>
    <protectedRange algorithmName="SHA-512" hashValue="6a5oYwZw9WJcgjqXpleUXH8uaqNEuymPPpeOb7lKBc1WoM6IG/DNyDLWmj2lYwxnZO2yhl+B61kwrxD9m9AdhQ==" saltValue="tdNQPzLQd+n9Ww064QJIaQ==" spinCount="100000" sqref="E74:E79" name="Rango2_61_22"/>
    <protectedRange algorithmName="SHA-512" hashValue="EMMPgE8t/az1rHHzaZAQIhz+GQV0k2O/tQGA96sJqEEMzz1efIRa4CcLzC7iY9CCscto3g7dwz41haOE28iXYg==" saltValue="CVzFsG4X4LXUMo7796PiDQ==" spinCount="100000" sqref="F74:F78 A74:D79" name="Rango2_10_22"/>
    <protectedRange algorithmName="SHA-512" hashValue="6a5oYwZw9WJcgjqXpleUXH8uaqNEuymPPpeOb7lKBc1WoM6IG/DNyDLWmj2lYwxnZO2yhl+B61kwrxD9m9AdhQ==" saltValue="tdNQPzLQd+n9Ww064QJIaQ==" spinCount="100000" sqref="E80:E93" name="Rango2_61_23"/>
    <protectedRange algorithmName="SHA-512" hashValue="EMMPgE8t/az1rHHzaZAQIhz+GQV0k2O/tQGA96sJqEEMzz1efIRa4CcLzC7iY9CCscto3g7dwz41haOE28iXYg==" saltValue="CVzFsG4X4LXUMo7796PiDQ==" spinCount="100000" sqref="F86:F93 A80:D93" name="Rango2_10_23"/>
    <protectedRange algorithmName="SHA-512" hashValue="6a5oYwZw9WJcgjqXpleUXH8uaqNEuymPPpeOb7lKBc1WoM6IG/DNyDLWmj2lYwxnZO2yhl+B61kwrxD9m9AdhQ==" saltValue="tdNQPzLQd+n9Ww064QJIaQ==" spinCount="100000" sqref="F97 E94:E111" name="Rango2_61_24"/>
    <protectedRange algorithmName="SHA-512" hashValue="EMMPgE8t/az1rHHzaZAQIhz+GQV0k2O/tQGA96sJqEEMzz1efIRa4CcLzC7iY9CCscto3g7dwz41haOE28iXYg==" saltValue="CVzFsG4X4LXUMo7796PiDQ==" spinCount="100000" sqref="F94:F96 F100:F107 A94:D111" name="Rango2_10_24"/>
    <protectedRange algorithmName="SHA-512" hashValue="9+DNppQbWrLYYUMoJ+lyQctV2bX3Vq9kZnegLbpjTLP49It2ovUbcartuoQTeXgP+TGpY//7mDH/UQlFCKDGiA==" saltValue="KUnni6YEm00anzSSvyLqQA==" spinCount="100000" sqref="G2" name="Rango2_1"/>
    <protectedRange algorithmName="SHA-512" hashValue="9+DNppQbWrLYYUMoJ+lyQctV2bX3Vq9kZnegLbpjTLP49It2ovUbcartuoQTeXgP+TGpY//7mDH/UQlFCKDGiA==" saltValue="KUnni6YEm00anzSSvyLqQA==" spinCount="100000" sqref="G4:G5" name="Rango2_3"/>
    <protectedRange algorithmName="SHA-512" hashValue="9+DNppQbWrLYYUMoJ+lyQctV2bX3Vq9kZnegLbpjTLP49It2ovUbcartuoQTeXgP+TGpY//7mDH/UQlFCKDGiA==" saltValue="KUnni6YEm00anzSSvyLqQA==" spinCount="100000" sqref="G6" name="Rango2_4"/>
    <protectedRange algorithmName="SHA-512" hashValue="9+DNppQbWrLYYUMoJ+lyQctV2bX3Vq9kZnegLbpjTLP49It2ovUbcartuoQTeXgP+TGpY//7mDH/UQlFCKDGiA==" saltValue="KUnni6YEm00anzSSvyLqQA==" spinCount="100000" sqref="G7:G8" name="Rango2_5"/>
    <protectedRange algorithmName="SHA-512" hashValue="9+DNppQbWrLYYUMoJ+lyQctV2bX3Vq9kZnegLbpjTLP49It2ovUbcartuoQTeXgP+TGpY//7mDH/UQlFCKDGiA==" saltValue="KUnni6YEm00anzSSvyLqQA==" spinCount="100000" sqref="G9" name="Rango2_6"/>
    <protectedRange algorithmName="SHA-512" hashValue="9+DNppQbWrLYYUMoJ+lyQctV2bX3Vq9kZnegLbpjTLP49It2ovUbcartuoQTeXgP+TGpY//7mDH/UQlFCKDGiA==" saltValue="KUnni6YEm00anzSSvyLqQA==" spinCount="100000" sqref="G11" name="Rango2_8"/>
    <protectedRange algorithmName="SHA-512" hashValue="9+DNppQbWrLYYUMoJ+lyQctV2bX3Vq9kZnegLbpjTLP49It2ovUbcartuoQTeXgP+TGpY//7mDH/UQlFCKDGiA==" saltValue="KUnni6YEm00anzSSvyLqQA==" spinCount="100000" sqref="G12:G15" name="Rango2_9"/>
    <protectedRange algorithmName="SHA-512" hashValue="9+DNppQbWrLYYUMoJ+lyQctV2bX3Vq9kZnegLbpjTLP49It2ovUbcartuoQTeXgP+TGpY//7mDH/UQlFCKDGiA==" saltValue="KUnni6YEm00anzSSvyLqQA==" spinCount="100000" sqref="G16" name="Rango2_11"/>
    <protectedRange algorithmName="SHA-512" hashValue="9+DNppQbWrLYYUMoJ+lyQctV2bX3Vq9kZnegLbpjTLP49It2ovUbcartuoQTeXgP+TGpY//7mDH/UQlFCKDGiA==" saltValue="KUnni6YEm00anzSSvyLqQA==" spinCount="100000" sqref="G17" name="Rango2_12"/>
    <protectedRange algorithmName="SHA-512" hashValue="9+DNppQbWrLYYUMoJ+lyQctV2bX3Vq9kZnegLbpjTLP49It2ovUbcartuoQTeXgP+TGpY//7mDH/UQlFCKDGiA==" saltValue="KUnni6YEm00anzSSvyLqQA==" spinCount="100000" sqref="G18:G19" name="Rango2_13"/>
    <protectedRange algorithmName="SHA-512" hashValue="9+DNppQbWrLYYUMoJ+lyQctV2bX3Vq9kZnegLbpjTLP49It2ovUbcartuoQTeXgP+TGpY//7mDH/UQlFCKDGiA==" saltValue="KUnni6YEm00anzSSvyLqQA==" spinCount="100000" sqref="G20:G21" name="Rango2_14"/>
    <protectedRange algorithmName="SHA-512" hashValue="9+DNppQbWrLYYUMoJ+lyQctV2bX3Vq9kZnegLbpjTLP49It2ovUbcartuoQTeXgP+TGpY//7mDH/UQlFCKDGiA==" saltValue="KUnni6YEm00anzSSvyLqQA==" spinCount="100000" sqref="G22:G23" name="Rango2_15"/>
    <protectedRange algorithmName="SHA-512" hashValue="9+DNppQbWrLYYUMoJ+lyQctV2bX3Vq9kZnegLbpjTLP49It2ovUbcartuoQTeXgP+TGpY//7mDH/UQlFCKDGiA==" saltValue="KUnni6YEm00anzSSvyLqQA==" spinCount="100000" sqref="G24:G29" name="Rango2_16"/>
    <protectedRange algorithmName="SHA-512" hashValue="9+DNppQbWrLYYUMoJ+lyQctV2bX3Vq9kZnegLbpjTLP49It2ovUbcartuoQTeXgP+TGpY//7mDH/UQlFCKDGiA==" saltValue="KUnni6YEm00anzSSvyLqQA==" spinCount="100000" sqref="G30" name="Rango2_17"/>
    <protectedRange algorithmName="SHA-512" hashValue="9+DNppQbWrLYYUMoJ+lyQctV2bX3Vq9kZnegLbpjTLP49It2ovUbcartuoQTeXgP+TGpY//7mDH/UQlFCKDGiA==" saltValue="KUnni6YEm00anzSSvyLqQA==" spinCount="100000" sqref="G31:G32" name="Rango2_18"/>
    <protectedRange algorithmName="SHA-512" hashValue="9+DNppQbWrLYYUMoJ+lyQctV2bX3Vq9kZnegLbpjTLP49It2ovUbcartuoQTeXgP+TGpY//7mDH/UQlFCKDGiA==" saltValue="KUnni6YEm00anzSSvyLqQA==" spinCount="100000" sqref="G33:G39" name="Rango2_19"/>
    <protectedRange algorithmName="SHA-512" hashValue="9+DNppQbWrLYYUMoJ+lyQctV2bX3Vq9kZnegLbpjTLP49It2ovUbcartuoQTeXgP+TGpY//7mDH/UQlFCKDGiA==" saltValue="KUnni6YEm00anzSSvyLqQA==" spinCount="100000" sqref="G40:G43" name="Rango2_20"/>
    <protectedRange algorithmName="SHA-512" hashValue="9+DNppQbWrLYYUMoJ+lyQctV2bX3Vq9kZnegLbpjTLP49It2ovUbcartuoQTeXgP+TGpY//7mDH/UQlFCKDGiA==" saltValue="KUnni6YEm00anzSSvyLqQA==" spinCount="100000" sqref="G44:G53" name="Rango2_21"/>
    <protectedRange algorithmName="SHA-512" hashValue="9+DNppQbWrLYYUMoJ+lyQctV2bX3Vq9kZnegLbpjTLP49It2ovUbcartuoQTeXgP+TGpY//7mDH/UQlFCKDGiA==" saltValue="KUnni6YEm00anzSSvyLqQA==" spinCount="100000" sqref="G54" name="Rango2_22"/>
    <protectedRange algorithmName="SHA-512" hashValue="9+DNppQbWrLYYUMoJ+lyQctV2bX3Vq9kZnegLbpjTLP49It2ovUbcartuoQTeXgP+TGpY//7mDH/UQlFCKDGiA==" saltValue="KUnni6YEm00anzSSvyLqQA==" spinCount="100000" sqref="G55:G72" name="Rango2_23"/>
    <protectedRange algorithmName="SHA-512" hashValue="9+DNppQbWrLYYUMoJ+lyQctV2bX3Vq9kZnegLbpjTLP49It2ovUbcartuoQTeXgP+TGpY//7mDH/UQlFCKDGiA==" saltValue="KUnni6YEm00anzSSvyLqQA==" spinCount="100000" sqref="G73" name="Rango2_24"/>
    <protectedRange algorithmName="SHA-512" hashValue="9+DNppQbWrLYYUMoJ+lyQctV2bX3Vq9kZnegLbpjTLP49It2ovUbcartuoQTeXgP+TGpY//7mDH/UQlFCKDGiA==" saltValue="KUnni6YEm00anzSSvyLqQA==" spinCount="100000" sqref="G74:G79" name="Rango2_25"/>
    <protectedRange algorithmName="SHA-512" hashValue="9+DNppQbWrLYYUMoJ+lyQctV2bX3Vq9kZnegLbpjTLP49It2ovUbcartuoQTeXgP+TGpY//7mDH/UQlFCKDGiA==" saltValue="KUnni6YEm00anzSSvyLqQA==" spinCount="100000" sqref="G80:G93" name="Rango2_26"/>
    <protectedRange algorithmName="SHA-512" hashValue="9+DNppQbWrLYYUMoJ+lyQctV2bX3Vq9kZnegLbpjTLP49It2ovUbcartuoQTeXgP+TGpY//7mDH/UQlFCKDGiA==" saltValue="KUnni6YEm00anzSSvyLqQA==" spinCount="100000" sqref="G94:G111" name="Rango2_27"/>
    <protectedRange algorithmName="SHA-512" hashValue="9+DNppQbWrLYYUMoJ+lyQctV2bX3Vq9kZnegLbpjTLP49It2ovUbcartuoQTeXgP+TGpY//7mDH/UQlFCKDGiA==" saltValue="KUnni6YEm00anzSSvyLqQA==" spinCount="100000" sqref="A113:F113" name="Rango2_29"/>
    <protectedRange algorithmName="SHA-512" hashValue="6a5oYwZw9WJcgjqXpleUXH8uaqNEuymPPpeOb7lKBc1WoM6IG/DNyDLWmj2lYwxnZO2yhl+B61kwrxD9m9AdhQ==" saltValue="tdNQPzLQd+n9Ww064QJIaQ==" spinCount="100000" sqref="E114" name="Rango2_61_26"/>
    <protectedRange algorithmName="SHA-512" hashValue="EMMPgE8t/az1rHHzaZAQIhz+GQV0k2O/tQGA96sJqEEMzz1efIRa4CcLzC7iY9CCscto3g7dwz41haOE28iXYg==" saltValue="CVzFsG4X4LXUMo7796PiDQ==" spinCount="100000" sqref="F114 A114:D114" name="Rango2_10_26"/>
    <protectedRange algorithmName="SHA-512" hashValue="9+DNppQbWrLYYUMoJ+lyQctV2bX3Vq9kZnegLbpjTLP49It2ovUbcartuoQTeXgP+TGpY//7mDH/UQlFCKDGiA==" saltValue="KUnni6YEm00anzSSvyLqQA==" spinCount="100000" sqref="G114" name="Rango2_30"/>
    <protectedRange algorithmName="SHA-512" hashValue="9+DNppQbWrLYYUMoJ+lyQctV2bX3Vq9kZnegLbpjTLP49It2ovUbcartuoQTeXgP+TGpY//7mDH/UQlFCKDGiA==" saltValue="KUnni6YEm00anzSSvyLqQA==" spinCount="100000" sqref="A116:F116" name="Rango2_31"/>
    <protectedRange algorithmName="SHA-512" hashValue="6a5oYwZw9WJcgjqXpleUXH8uaqNEuymPPpeOb7lKBc1WoM6IG/DNyDLWmj2lYwxnZO2yhl+B61kwrxD9m9AdhQ==" saltValue="tdNQPzLQd+n9Ww064QJIaQ==" spinCount="100000" sqref="E117" name="Rango2_61_27"/>
    <protectedRange algorithmName="SHA-512" hashValue="EMMPgE8t/az1rHHzaZAQIhz+GQV0k2O/tQGA96sJqEEMzz1efIRa4CcLzC7iY9CCscto3g7dwz41haOE28iXYg==" saltValue="CVzFsG4X4LXUMo7796PiDQ==" spinCount="100000" sqref="F117 A117:D117" name="Rango2_10_27"/>
    <protectedRange algorithmName="SHA-512" hashValue="6a5oYwZw9WJcgjqXpleUXH8uaqNEuymPPpeOb7lKBc1WoM6IG/DNyDLWmj2lYwxnZO2yhl+B61kwrxD9m9AdhQ==" saltValue="tdNQPzLQd+n9Ww064QJIaQ==" spinCount="100000" sqref="E118" name="Rango2_61_28"/>
    <protectedRange algorithmName="SHA-512" hashValue="EMMPgE8t/az1rHHzaZAQIhz+GQV0k2O/tQGA96sJqEEMzz1efIRa4CcLzC7iY9CCscto3g7dwz41haOE28iXYg==" saltValue="CVzFsG4X4LXUMo7796PiDQ==" spinCount="100000" sqref="F118 A118:D118" name="Rango2_10_28"/>
    <protectedRange algorithmName="SHA-512" hashValue="6a5oYwZw9WJcgjqXpleUXH8uaqNEuymPPpeOb7lKBc1WoM6IG/DNyDLWmj2lYwxnZO2yhl+B61kwrxD9m9AdhQ==" saltValue="tdNQPzLQd+n9Ww064QJIaQ==" spinCount="100000" sqref="E119" name="Rango2_61_29"/>
    <protectedRange algorithmName="SHA-512" hashValue="EMMPgE8t/az1rHHzaZAQIhz+GQV0k2O/tQGA96sJqEEMzz1efIRa4CcLzC7iY9CCscto3g7dwz41haOE28iXYg==" saltValue="CVzFsG4X4LXUMo7796PiDQ==" spinCount="100000" sqref="F119 A119:D119" name="Rango2_10_29"/>
    <protectedRange algorithmName="SHA-512" hashValue="6a5oYwZw9WJcgjqXpleUXH8uaqNEuymPPpeOb7lKBc1WoM6IG/DNyDLWmj2lYwxnZO2yhl+B61kwrxD9m9AdhQ==" saltValue="tdNQPzLQd+n9Ww064QJIaQ==" spinCount="100000" sqref="E120" name="Rango2_61_30"/>
    <protectedRange algorithmName="SHA-512" hashValue="EMMPgE8t/az1rHHzaZAQIhz+GQV0k2O/tQGA96sJqEEMzz1efIRa4CcLzC7iY9CCscto3g7dwz41haOE28iXYg==" saltValue="CVzFsG4X4LXUMo7796PiDQ==" spinCount="100000" sqref="F120 A120:D120" name="Rango2_10_30"/>
    <protectedRange algorithmName="SHA-512" hashValue="6a5oYwZw9WJcgjqXpleUXH8uaqNEuymPPpeOb7lKBc1WoM6IG/DNyDLWmj2lYwxnZO2yhl+B61kwrxD9m9AdhQ==" saltValue="tdNQPzLQd+n9Ww064QJIaQ==" spinCount="100000" sqref="E121" name="Rango2_61_31"/>
    <protectedRange algorithmName="SHA-512" hashValue="EMMPgE8t/az1rHHzaZAQIhz+GQV0k2O/tQGA96sJqEEMzz1efIRa4CcLzC7iY9CCscto3g7dwz41haOE28iXYg==" saltValue="CVzFsG4X4LXUMo7796PiDQ==" spinCount="100000" sqref="F121 A121:D121" name="Rango2_10_31"/>
    <protectedRange algorithmName="SHA-512" hashValue="6a5oYwZw9WJcgjqXpleUXH8uaqNEuymPPpeOb7lKBc1WoM6IG/DNyDLWmj2lYwxnZO2yhl+B61kwrxD9m9AdhQ==" saltValue="tdNQPzLQd+n9Ww064QJIaQ==" spinCount="100000" sqref="E122:E124" name="Rango2_61_32"/>
    <protectedRange algorithmName="SHA-512" hashValue="EMMPgE8t/az1rHHzaZAQIhz+GQV0k2O/tQGA96sJqEEMzz1efIRa4CcLzC7iY9CCscto3g7dwz41haOE28iXYg==" saltValue="CVzFsG4X4LXUMo7796PiDQ==" spinCount="100000" sqref="F122:F124 A122:D124" name="Rango2_10_32"/>
    <protectedRange algorithmName="SHA-512" hashValue="6a5oYwZw9WJcgjqXpleUXH8uaqNEuymPPpeOb7lKBc1WoM6IG/DNyDLWmj2lYwxnZO2yhl+B61kwrxD9m9AdhQ==" saltValue="tdNQPzLQd+n9Ww064QJIaQ==" spinCount="100000" sqref="E125:E126" name="Rango2_61_33"/>
    <protectedRange algorithmName="SHA-512" hashValue="EMMPgE8t/az1rHHzaZAQIhz+GQV0k2O/tQGA96sJqEEMzz1efIRa4CcLzC7iY9CCscto3g7dwz41haOE28iXYg==" saltValue="CVzFsG4X4LXUMo7796PiDQ==" spinCount="100000" sqref="F125:F126 A125:D126" name="Rango2_10_33"/>
    <protectedRange algorithmName="SHA-512" hashValue="6a5oYwZw9WJcgjqXpleUXH8uaqNEuymPPpeOb7lKBc1WoM6IG/DNyDLWmj2lYwxnZO2yhl+B61kwrxD9m9AdhQ==" saltValue="tdNQPzLQd+n9Ww064QJIaQ==" spinCount="100000" sqref="E127:E128" name="Rango2_61_34"/>
    <protectedRange algorithmName="SHA-512" hashValue="EMMPgE8t/az1rHHzaZAQIhz+GQV0k2O/tQGA96sJqEEMzz1efIRa4CcLzC7iY9CCscto3g7dwz41haOE28iXYg==" saltValue="CVzFsG4X4LXUMo7796PiDQ==" spinCount="100000" sqref="F127:F128 A127:D128" name="Rango2_10_34"/>
    <protectedRange algorithmName="SHA-512" hashValue="6a5oYwZw9WJcgjqXpleUXH8uaqNEuymPPpeOb7lKBc1WoM6IG/DNyDLWmj2lYwxnZO2yhl+B61kwrxD9m9AdhQ==" saltValue="tdNQPzLQd+n9Ww064QJIaQ==" spinCount="100000" sqref="E129" name="Rango2_61_35"/>
    <protectedRange algorithmName="SHA-512" hashValue="EMMPgE8t/az1rHHzaZAQIhz+GQV0k2O/tQGA96sJqEEMzz1efIRa4CcLzC7iY9CCscto3g7dwz41haOE28iXYg==" saltValue="CVzFsG4X4LXUMo7796PiDQ==" spinCount="100000" sqref="F129 A129:D129" name="Rango2_10_35"/>
    <protectedRange algorithmName="SHA-512" hashValue="6a5oYwZw9WJcgjqXpleUXH8uaqNEuymPPpeOb7lKBc1WoM6IG/DNyDLWmj2lYwxnZO2yhl+B61kwrxD9m9AdhQ==" saltValue="tdNQPzLQd+n9Ww064QJIaQ==" spinCount="100000" sqref="E130" name="Rango2_61_36"/>
    <protectedRange algorithmName="SHA-512" hashValue="EMMPgE8t/az1rHHzaZAQIhz+GQV0k2O/tQGA96sJqEEMzz1efIRa4CcLzC7iY9CCscto3g7dwz41haOE28iXYg==" saltValue="CVzFsG4X4LXUMo7796PiDQ==" spinCount="100000" sqref="F130 A130:D130" name="Rango2_10_36"/>
    <protectedRange algorithmName="SHA-512" hashValue="6a5oYwZw9WJcgjqXpleUXH8uaqNEuymPPpeOb7lKBc1WoM6IG/DNyDLWmj2lYwxnZO2yhl+B61kwrxD9m9AdhQ==" saltValue="tdNQPzLQd+n9Ww064QJIaQ==" spinCount="100000" sqref="E131" name="Rango2_61_37"/>
    <protectedRange algorithmName="SHA-512" hashValue="EMMPgE8t/az1rHHzaZAQIhz+GQV0k2O/tQGA96sJqEEMzz1efIRa4CcLzC7iY9CCscto3g7dwz41haOE28iXYg==" saltValue="CVzFsG4X4LXUMo7796PiDQ==" spinCount="100000" sqref="F131 A131:D131" name="Rango2_10_37"/>
    <protectedRange algorithmName="SHA-512" hashValue="6a5oYwZw9WJcgjqXpleUXH8uaqNEuymPPpeOb7lKBc1WoM6IG/DNyDLWmj2lYwxnZO2yhl+B61kwrxD9m9AdhQ==" saltValue="tdNQPzLQd+n9Ww064QJIaQ==" spinCount="100000" sqref="E132" name="Rango2_61_38"/>
    <protectedRange algorithmName="SHA-512" hashValue="EMMPgE8t/az1rHHzaZAQIhz+GQV0k2O/tQGA96sJqEEMzz1efIRa4CcLzC7iY9CCscto3g7dwz41haOE28iXYg==" saltValue="CVzFsG4X4LXUMo7796PiDQ==" spinCount="100000" sqref="F132 A132:D132" name="Rango2_10_38"/>
    <protectedRange algorithmName="SHA-512" hashValue="6a5oYwZw9WJcgjqXpleUXH8uaqNEuymPPpeOb7lKBc1WoM6IG/DNyDLWmj2lYwxnZO2yhl+B61kwrxD9m9AdhQ==" saltValue="tdNQPzLQd+n9Ww064QJIaQ==" spinCount="100000" sqref="E133:E135" name="Rango2_61_39"/>
    <protectedRange algorithmName="SHA-512" hashValue="EMMPgE8t/az1rHHzaZAQIhz+GQV0k2O/tQGA96sJqEEMzz1efIRa4CcLzC7iY9CCscto3g7dwz41haOE28iXYg==" saltValue="CVzFsG4X4LXUMo7796PiDQ==" spinCount="100000" sqref="F133:F135 A133:D135" name="Rango2_10_39"/>
    <protectedRange algorithmName="SHA-512" hashValue="6a5oYwZw9WJcgjqXpleUXH8uaqNEuymPPpeOb7lKBc1WoM6IG/DNyDLWmj2lYwxnZO2yhl+B61kwrxD9m9AdhQ==" saltValue="tdNQPzLQd+n9Ww064QJIaQ==" spinCount="100000" sqref="E136:E137" name="Rango2_61_40"/>
    <protectedRange algorithmName="SHA-512" hashValue="EMMPgE8t/az1rHHzaZAQIhz+GQV0k2O/tQGA96sJqEEMzz1efIRa4CcLzC7iY9CCscto3g7dwz41haOE28iXYg==" saltValue="CVzFsG4X4LXUMo7796PiDQ==" spinCount="100000" sqref="F136:F137 A136:D137" name="Rango2_10_40"/>
    <protectedRange algorithmName="SHA-512" hashValue="6a5oYwZw9WJcgjqXpleUXH8uaqNEuymPPpeOb7lKBc1WoM6IG/DNyDLWmj2lYwxnZO2yhl+B61kwrxD9m9AdhQ==" saltValue="tdNQPzLQd+n9Ww064QJIaQ==" spinCount="100000" sqref="E138:E140" name="Rango2_61_41"/>
    <protectedRange algorithmName="SHA-512" hashValue="EMMPgE8t/az1rHHzaZAQIhz+GQV0k2O/tQGA96sJqEEMzz1efIRa4CcLzC7iY9CCscto3g7dwz41haOE28iXYg==" saltValue="CVzFsG4X4LXUMo7796PiDQ==" spinCount="100000" sqref="F138:F140 A138:D140" name="Rango2_10_41"/>
    <protectedRange algorithmName="SHA-512" hashValue="6a5oYwZw9WJcgjqXpleUXH8uaqNEuymPPpeOb7lKBc1WoM6IG/DNyDLWmj2lYwxnZO2yhl+B61kwrxD9m9AdhQ==" saltValue="tdNQPzLQd+n9Ww064QJIaQ==" spinCount="100000" sqref="E141" name="Rango2_61_42"/>
    <protectedRange algorithmName="SHA-512" hashValue="EMMPgE8t/az1rHHzaZAQIhz+GQV0k2O/tQGA96sJqEEMzz1efIRa4CcLzC7iY9CCscto3g7dwz41haOE28iXYg==" saltValue="CVzFsG4X4LXUMo7796PiDQ==" spinCount="100000" sqref="F141 A141:D141" name="Rango2_10_42"/>
    <protectedRange algorithmName="SHA-512" hashValue="6a5oYwZw9WJcgjqXpleUXH8uaqNEuymPPpeOb7lKBc1WoM6IG/DNyDLWmj2lYwxnZO2yhl+B61kwrxD9m9AdhQ==" saltValue="tdNQPzLQd+n9Ww064QJIaQ==" spinCount="100000" sqref="E142:E143" name="Rango2_61_43"/>
    <protectedRange algorithmName="SHA-512" hashValue="EMMPgE8t/az1rHHzaZAQIhz+GQV0k2O/tQGA96sJqEEMzz1efIRa4CcLzC7iY9CCscto3g7dwz41haOE28iXYg==" saltValue="CVzFsG4X4LXUMo7796PiDQ==" spinCount="100000" sqref="F142:F143 A142:D143" name="Rango2_10_43"/>
    <protectedRange algorithmName="SHA-512" hashValue="6a5oYwZw9WJcgjqXpleUXH8uaqNEuymPPpeOb7lKBc1WoM6IG/DNyDLWmj2lYwxnZO2yhl+B61kwrxD9m9AdhQ==" saltValue="tdNQPzLQd+n9Ww064QJIaQ==" spinCount="100000" sqref="E144:E146" name="Rango2_61_44"/>
    <protectedRange algorithmName="SHA-512" hashValue="EMMPgE8t/az1rHHzaZAQIhz+GQV0k2O/tQGA96sJqEEMzz1efIRa4CcLzC7iY9CCscto3g7dwz41haOE28iXYg==" saltValue="CVzFsG4X4LXUMo7796PiDQ==" spinCount="100000" sqref="F145:F146 A144:D146" name="Rango2_10_44"/>
    <protectedRange algorithmName="SHA-512" hashValue="6a5oYwZw9WJcgjqXpleUXH8uaqNEuymPPpeOb7lKBc1WoM6IG/DNyDLWmj2lYwxnZO2yhl+B61kwrxD9m9AdhQ==" saltValue="tdNQPzLQd+n9Ww064QJIaQ==" spinCount="100000" sqref="E147" name="Rango2_61_45"/>
    <protectedRange algorithmName="SHA-512" hashValue="EMMPgE8t/az1rHHzaZAQIhz+GQV0k2O/tQGA96sJqEEMzz1efIRa4CcLzC7iY9CCscto3g7dwz41haOE28iXYg==" saltValue="CVzFsG4X4LXUMo7796PiDQ==" spinCount="100000" sqref="F147 A147:D147" name="Rango2_10_45"/>
    <protectedRange algorithmName="SHA-512" hashValue="6a5oYwZw9WJcgjqXpleUXH8uaqNEuymPPpeOb7lKBc1WoM6IG/DNyDLWmj2lYwxnZO2yhl+B61kwrxD9m9AdhQ==" saltValue="tdNQPzLQd+n9Ww064QJIaQ==" spinCount="100000" sqref="E148" name="Rango2_61_46"/>
    <protectedRange algorithmName="SHA-512" hashValue="EMMPgE8t/az1rHHzaZAQIhz+GQV0k2O/tQGA96sJqEEMzz1efIRa4CcLzC7iY9CCscto3g7dwz41haOE28iXYg==" saltValue="CVzFsG4X4LXUMo7796PiDQ==" spinCount="100000" sqref="F148 A148:D148" name="Rango2_10_46"/>
    <protectedRange algorithmName="SHA-512" hashValue="6a5oYwZw9WJcgjqXpleUXH8uaqNEuymPPpeOb7lKBc1WoM6IG/DNyDLWmj2lYwxnZO2yhl+B61kwrxD9m9AdhQ==" saltValue="tdNQPzLQd+n9Ww064QJIaQ==" spinCount="100000" sqref="E149" name="Rango2_61_47"/>
    <protectedRange algorithmName="SHA-512" hashValue="EMMPgE8t/az1rHHzaZAQIhz+GQV0k2O/tQGA96sJqEEMzz1efIRa4CcLzC7iY9CCscto3g7dwz41haOE28iXYg==" saltValue="CVzFsG4X4LXUMo7796PiDQ==" spinCount="100000" sqref="F149 A149:D149" name="Rango2_10_47"/>
    <protectedRange algorithmName="SHA-512" hashValue="6a5oYwZw9WJcgjqXpleUXH8uaqNEuymPPpeOb7lKBc1WoM6IG/DNyDLWmj2lYwxnZO2yhl+B61kwrxD9m9AdhQ==" saltValue="tdNQPzLQd+n9Ww064QJIaQ==" spinCount="100000" sqref="E150:E151" name="Rango2_61_48"/>
    <protectedRange algorithmName="SHA-512" hashValue="EMMPgE8t/az1rHHzaZAQIhz+GQV0k2O/tQGA96sJqEEMzz1efIRa4CcLzC7iY9CCscto3g7dwz41haOE28iXYg==" saltValue="CVzFsG4X4LXUMo7796PiDQ==" spinCount="100000" sqref="F150:F151 A150:D151" name="Rango2_10_48"/>
    <protectedRange algorithmName="SHA-512" hashValue="6a5oYwZw9WJcgjqXpleUXH8uaqNEuymPPpeOb7lKBc1WoM6IG/DNyDLWmj2lYwxnZO2yhl+B61kwrxD9m9AdhQ==" saltValue="tdNQPzLQd+n9Ww064QJIaQ==" spinCount="100000" sqref="E152" name="Rango2_61_49"/>
    <protectedRange algorithmName="SHA-512" hashValue="EMMPgE8t/az1rHHzaZAQIhz+GQV0k2O/tQGA96sJqEEMzz1efIRa4CcLzC7iY9CCscto3g7dwz41haOE28iXYg==" saltValue="CVzFsG4X4LXUMo7796PiDQ==" spinCount="100000" sqref="F152 A152:D152" name="Rango2_10_49"/>
    <protectedRange algorithmName="SHA-512" hashValue="6a5oYwZw9WJcgjqXpleUXH8uaqNEuymPPpeOb7lKBc1WoM6IG/DNyDLWmj2lYwxnZO2yhl+B61kwrxD9m9AdhQ==" saltValue="tdNQPzLQd+n9Ww064QJIaQ==" spinCount="100000" sqref="E153:E155" name="Rango2_61_50"/>
    <protectedRange algorithmName="SHA-512" hashValue="EMMPgE8t/az1rHHzaZAQIhz+GQV0k2O/tQGA96sJqEEMzz1efIRa4CcLzC7iY9CCscto3g7dwz41haOE28iXYg==" saltValue="CVzFsG4X4LXUMo7796PiDQ==" spinCount="100000" sqref="A153:D155" name="Rango2_10_50"/>
    <protectedRange algorithmName="SHA-512" hashValue="6a5oYwZw9WJcgjqXpleUXH8uaqNEuymPPpeOb7lKBc1WoM6IG/DNyDLWmj2lYwxnZO2yhl+B61kwrxD9m9AdhQ==" saltValue="tdNQPzLQd+n9Ww064QJIaQ==" spinCount="100000" sqref="E156" name="Rango2_61_51"/>
    <protectedRange algorithmName="SHA-512" hashValue="EMMPgE8t/az1rHHzaZAQIhz+GQV0k2O/tQGA96sJqEEMzz1efIRa4CcLzC7iY9CCscto3g7dwz41haOE28iXYg==" saltValue="CVzFsG4X4LXUMo7796PiDQ==" spinCount="100000" sqref="A156:D156" name="Rango2_10_51"/>
    <protectedRange algorithmName="SHA-512" hashValue="6a5oYwZw9WJcgjqXpleUXH8uaqNEuymPPpeOb7lKBc1WoM6IG/DNyDLWmj2lYwxnZO2yhl+B61kwrxD9m9AdhQ==" saltValue="tdNQPzLQd+n9Ww064QJIaQ==" spinCount="100000" sqref="E157" name="Rango2_61_52"/>
    <protectedRange algorithmName="SHA-512" hashValue="EMMPgE8t/az1rHHzaZAQIhz+GQV0k2O/tQGA96sJqEEMzz1efIRa4CcLzC7iY9CCscto3g7dwz41haOE28iXYg==" saltValue="CVzFsG4X4LXUMo7796PiDQ==" spinCount="100000" sqref="F157 A157:D157" name="Rango2_10_52"/>
    <protectedRange algorithmName="SHA-512" hashValue="6a5oYwZw9WJcgjqXpleUXH8uaqNEuymPPpeOb7lKBc1WoM6IG/DNyDLWmj2lYwxnZO2yhl+B61kwrxD9m9AdhQ==" saltValue="tdNQPzLQd+n9Ww064QJIaQ==" spinCount="100000" sqref="E158" name="Rango2_61_53"/>
    <protectedRange algorithmName="SHA-512" hashValue="EMMPgE8t/az1rHHzaZAQIhz+GQV0k2O/tQGA96sJqEEMzz1efIRa4CcLzC7iY9CCscto3g7dwz41haOE28iXYg==" saltValue="CVzFsG4X4LXUMo7796PiDQ==" spinCount="100000" sqref="F158 A158:D158" name="Rango2_10_53"/>
    <protectedRange algorithmName="SHA-512" hashValue="6a5oYwZw9WJcgjqXpleUXH8uaqNEuymPPpeOb7lKBc1WoM6IG/DNyDLWmj2lYwxnZO2yhl+B61kwrxD9m9AdhQ==" saltValue="tdNQPzLQd+n9Ww064QJIaQ==" spinCount="100000" sqref="E159" name="Rango2_61_54"/>
    <protectedRange algorithmName="SHA-512" hashValue="EMMPgE8t/az1rHHzaZAQIhz+GQV0k2O/tQGA96sJqEEMzz1efIRa4CcLzC7iY9CCscto3g7dwz41haOE28iXYg==" saltValue="CVzFsG4X4LXUMo7796PiDQ==" spinCount="100000" sqref="A159:D159" name="Rango2_10_54"/>
    <protectedRange algorithmName="SHA-512" hashValue="+u8ETP7RnmTFzwP1xRwajJa0k8e4nLv8tEoGW4GVn+3uAiDu7IjPSpc8eJAORlZW6vPJAWwmGRugW8VCG8sO4g==" saltValue="npbfSwlEiEyOodcwZD1w4Q==" spinCount="100000" sqref="G116" name="Rango2_78"/>
    <protectedRange algorithmName="SHA-512" hashValue="XZw03RosI/l0z9FxmTtF29EdZ7P+4+ybhqoaAAUmURojSR5XbGfjC4f2i8gMqfY+RI9JvfdCA6PSh9TduXfUxA==" saltValue="5TPtLq2WoiRSae/yaDPnTw==" spinCount="100000" sqref="G117" name="Rango2_99"/>
    <protectedRange algorithmName="SHA-512" hashValue="XZw03RosI/l0z9FxmTtF29EdZ7P+4+ybhqoaAAUmURojSR5XbGfjC4f2i8gMqfY+RI9JvfdCA6PSh9TduXfUxA==" saltValue="5TPtLq2WoiRSae/yaDPnTw==" spinCount="100000" sqref="G118" name="Rango2_99_1"/>
    <protectedRange algorithmName="SHA-512" hashValue="XZw03RosI/l0z9FxmTtF29EdZ7P+4+ybhqoaAAUmURojSR5XbGfjC4f2i8gMqfY+RI9JvfdCA6PSh9TduXfUxA==" saltValue="5TPtLq2WoiRSae/yaDPnTw==" spinCount="100000" sqref="G119" name="Rango2_99_2"/>
    <protectedRange algorithmName="SHA-512" hashValue="XZw03RosI/l0z9FxmTtF29EdZ7P+4+ybhqoaAAUmURojSR5XbGfjC4f2i8gMqfY+RI9JvfdCA6PSh9TduXfUxA==" saltValue="5TPtLq2WoiRSae/yaDPnTw==" spinCount="100000" sqref="G120" name="Rango2_99_3"/>
    <protectedRange algorithmName="SHA-512" hashValue="XZw03RosI/l0z9FxmTtF29EdZ7P+4+ybhqoaAAUmURojSR5XbGfjC4f2i8gMqfY+RI9JvfdCA6PSh9TduXfUxA==" saltValue="5TPtLq2WoiRSae/yaDPnTw==" spinCount="100000" sqref="G121" name="Rango2_99_4"/>
    <protectedRange algorithmName="SHA-512" hashValue="XZw03RosI/l0z9FxmTtF29EdZ7P+4+ybhqoaAAUmURojSR5XbGfjC4f2i8gMqfY+RI9JvfdCA6PSh9TduXfUxA==" saltValue="5TPtLq2WoiRSae/yaDPnTw==" spinCount="100000" sqref="G122:G124" name="Rango2_99_5"/>
    <protectedRange algorithmName="SHA-512" hashValue="XZw03RosI/l0z9FxmTtF29EdZ7P+4+ybhqoaAAUmURojSR5XbGfjC4f2i8gMqfY+RI9JvfdCA6PSh9TduXfUxA==" saltValue="5TPtLq2WoiRSae/yaDPnTw==" spinCount="100000" sqref="G125:G126" name="Rango2_99_6"/>
    <protectedRange algorithmName="SHA-512" hashValue="XZw03RosI/l0z9FxmTtF29EdZ7P+4+ybhqoaAAUmURojSR5XbGfjC4f2i8gMqfY+RI9JvfdCA6PSh9TduXfUxA==" saltValue="5TPtLq2WoiRSae/yaDPnTw==" spinCount="100000" sqref="G127:G128" name="Rango2_99_7"/>
    <protectedRange algorithmName="SHA-512" hashValue="XZw03RosI/l0z9FxmTtF29EdZ7P+4+ybhqoaAAUmURojSR5XbGfjC4f2i8gMqfY+RI9JvfdCA6PSh9TduXfUxA==" saltValue="5TPtLq2WoiRSae/yaDPnTw==" spinCount="100000" sqref="G129" name="Rango2_99_8"/>
    <protectedRange algorithmName="SHA-512" hashValue="XZw03RosI/l0z9FxmTtF29EdZ7P+4+ybhqoaAAUmURojSR5XbGfjC4f2i8gMqfY+RI9JvfdCA6PSh9TduXfUxA==" saltValue="5TPtLq2WoiRSae/yaDPnTw==" spinCount="100000" sqref="G130" name="Rango2_99_9"/>
    <protectedRange algorithmName="SHA-512" hashValue="XZw03RosI/l0z9FxmTtF29EdZ7P+4+ybhqoaAAUmURojSR5XbGfjC4f2i8gMqfY+RI9JvfdCA6PSh9TduXfUxA==" saltValue="5TPtLq2WoiRSae/yaDPnTw==" spinCount="100000" sqref="G131" name="Rango2_99_10"/>
    <protectedRange algorithmName="SHA-512" hashValue="XZw03RosI/l0z9FxmTtF29EdZ7P+4+ybhqoaAAUmURojSR5XbGfjC4f2i8gMqfY+RI9JvfdCA6PSh9TduXfUxA==" saltValue="5TPtLq2WoiRSae/yaDPnTw==" spinCount="100000" sqref="G132" name="Rango2_99_11"/>
    <protectedRange algorithmName="SHA-512" hashValue="XZw03RosI/l0z9FxmTtF29EdZ7P+4+ybhqoaAAUmURojSR5XbGfjC4f2i8gMqfY+RI9JvfdCA6PSh9TduXfUxA==" saltValue="5TPtLq2WoiRSae/yaDPnTw==" spinCount="100000" sqref="G133:G135" name="Rango2_99_12"/>
    <protectedRange algorithmName="SHA-512" hashValue="XZw03RosI/l0z9FxmTtF29EdZ7P+4+ybhqoaAAUmURojSR5XbGfjC4f2i8gMqfY+RI9JvfdCA6PSh9TduXfUxA==" saltValue="5TPtLq2WoiRSae/yaDPnTw==" spinCount="100000" sqref="G136:G137" name="Rango2_99_13"/>
    <protectedRange algorithmName="SHA-512" hashValue="XZw03RosI/l0z9FxmTtF29EdZ7P+4+ybhqoaAAUmURojSR5XbGfjC4f2i8gMqfY+RI9JvfdCA6PSh9TduXfUxA==" saltValue="5TPtLq2WoiRSae/yaDPnTw==" spinCount="100000" sqref="G138:G140" name="Rango2_99_14"/>
    <protectedRange algorithmName="SHA-512" hashValue="XZw03RosI/l0z9FxmTtF29EdZ7P+4+ybhqoaAAUmURojSR5XbGfjC4f2i8gMqfY+RI9JvfdCA6PSh9TduXfUxA==" saltValue="5TPtLq2WoiRSae/yaDPnTw==" spinCount="100000" sqref="G141" name="Rango2_99_15"/>
    <protectedRange algorithmName="SHA-512" hashValue="XZw03RosI/l0z9FxmTtF29EdZ7P+4+ybhqoaAAUmURojSR5XbGfjC4f2i8gMqfY+RI9JvfdCA6PSh9TduXfUxA==" saltValue="5TPtLq2WoiRSae/yaDPnTw==" spinCount="100000" sqref="G142:G143" name="Rango2_99_16"/>
    <protectedRange algorithmName="SHA-512" hashValue="XZw03RosI/l0z9FxmTtF29EdZ7P+4+ybhqoaAAUmURojSR5XbGfjC4f2i8gMqfY+RI9JvfdCA6PSh9TduXfUxA==" saltValue="5TPtLq2WoiRSae/yaDPnTw==" spinCount="100000" sqref="G144:G146" name="Rango2_99_17"/>
    <protectedRange algorithmName="SHA-512" hashValue="XZw03RosI/l0z9FxmTtF29EdZ7P+4+ybhqoaAAUmURojSR5XbGfjC4f2i8gMqfY+RI9JvfdCA6PSh9TduXfUxA==" saltValue="5TPtLq2WoiRSae/yaDPnTw==" spinCount="100000" sqref="G147" name="Rango2_99_18"/>
    <protectedRange algorithmName="SHA-512" hashValue="XZw03RosI/l0z9FxmTtF29EdZ7P+4+ybhqoaAAUmURojSR5XbGfjC4f2i8gMqfY+RI9JvfdCA6PSh9TduXfUxA==" saltValue="5TPtLq2WoiRSae/yaDPnTw==" spinCount="100000" sqref="G148" name="Rango2_99_19"/>
    <protectedRange algorithmName="SHA-512" hashValue="XZw03RosI/l0z9FxmTtF29EdZ7P+4+ybhqoaAAUmURojSR5XbGfjC4f2i8gMqfY+RI9JvfdCA6PSh9TduXfUxA==" saltValue="5TPtLq2WoiRSae/yaDPnTw==" spinCount="100000" sqref="G149" name="Rango2_99_20"/>
    <protectedRange algorithmName="SHA-512" hashValue="XZw03RosI/l0z9FxmTtF29EdZ7P+4+ybhqoaAAUmURojSR5XbGfjC4f2i8gMqfY+RI9JvfdCA6PSh9TduXfUxA==" saltValue="5TPtLq2WoiRSae/yaDPnTw==" spinCount="100000" sqref="G150:G151" name="Rango2_99_21"/>
    <protectedRange algorithmName="SHA-512" hashValue="XZw03RosI/l0z9FxmTtF29EdZ7P+4+ybhqoaAAUmURojSR5XbGfjC4f2i8gMqfY+RI9JvfdCA6PSh9TduXfUxA==" saltValue="5TPtLq2WoiRSae/yaDPnTw==" spinCount="100000" sqref="G152" name="Rango2_99_22"/>
    <protectedRange algorithmName="SHA-512" hashValue="XZw03RosI/l0z9FxmTtF29EdZ7P+4+ybhqoaAAUmURojSR5XbGfjC4f2i8gMqfY+RI9JvfdCA6PSh9TduXfUxA==" saltValue="5TPtLq2WoiRSae/yaDPnTw==" spinCount="100000" sqref="G153:G155" name="Rango2_99_23"/>
    <protectedRange algorithmName="SHA-512" hashValue="XZw03RosI/l0z9FxmTtF29EdZ7P+4+ybhqoaAAUmURojSR5XbGfjC4f2i8gMqfY+RI9JvfdCA6PSh9TduXfUxA==" saltValue="5TPtLq2WoiRSae/yaDPnTw==" spinCount="100000" sqref="G156" name="Rango2_99_24"/>
    <protectedRange algorithmName="SHA-512" hashValue="XZw03RosI/l0z9FxmTtF29EdZ7P+4+ybhqoaAAUmURojSR5XbGfjC4f2i8gMqfY+RI9JvfdCA6PSh9TduXfUxA==" saltValue="5TPtLq2WoiRSae/yaDPnTw==" spinCount="100000" sqref="G157" name="Rango2_99_25"/>
    <protectedRange algorithmName="SHA-512" hashValue="XZw03RosI/l0z9FxmTtF29EdZ7P+4+ybhqoaAAUmURojSR5XbGfjC4f2i8gMqfY+RI9JvfdCA6PSh9TduXfUxA==" saltValue="5TPtLq2WoiRSae/yaDPnTw==" spinCount="100000" sqref="G158" name="Rango2_99_26"/>
    <protectedRange algorithmName="SHA-512" hashValue="XZw03RosI/l0z9FxmTtF29EdZ7P+4+ybhqoaAAUmURojSR5XbGfjC4f2i8gMqfY+RI9JvfdCA6PSh9TduXfUxA==" saltValue="5TPtLq2WoiRSae/yaDPnTw==" spinCount="100000" sqref="G159" name="Rango2_99_27"/>
    <protectedRange algorithmName="SHA-512" hashValue="9+DNppQbWrLYYUMoJ+lyQctV2bX3Vq9kZnegLbpjTLP49It2ovUbcartuoQTeXgP+TGpY//7mDH/UQlFCKDGiA==" saltValue="KUnni6YEm00anzSSvyLqQA==" spinCount="100000" sqref="A161:F161" name="Rango2_32"/>
    <protectedRange algorithmName="SHA-512" hashValue="6a5oYwZw9WJcgjqXpleUXH8uaqNEuymPPpeOb7lKBc1WoM6IG/DNyDLWmj2lYwxnZO2yhl+B61kwrxD9m9AdhQ==" saltValue="tdNQPzLQd+n9Ww064QJIaQ==" spinCount="100000" sqref="E162" name="Rango2_61_55"/>
    <protectedRange algorithmName="SHA-512" hashValue="EMMPgE8t/az1rHHzaZAQIhz+GQV0k2O/tQGA96sJqEEMzz1efIRa4CcLzC7iY9CCscto3g7dwz41haOE28iXYg==" saltValue="CVzFsG4X4LXUMo7796PiDQ==" spinCount="100000" sqref="A162:D162 F162" name="Rango2_10_55"/>
    <protectedRange algorithmName="SHA-512" hashValue="cjB0/89+phf70Vhq9PW8mqFIBSi0NBIwb6Nu68c2KHw5qNJONhOzx/CkyH9AcA1QkhnV2r8TzORgeQ70DsWEuQ==" saltValue="HzeP5EzY+7kwoprfNZQSZw==" spinCount="100000" sqref="G161" name="Rango2_96"/>
    <protectedRange algorithmName="SHA-512" hashValue="XZw03RosI/l0z9FxmTtF29EdZ7P+4+ybhqoaAAUmURojSR5XbGfjC4f2i8gMqfY+RI9JvfdCA6PSh9TduXfUxA==" saltValue="5TPtLq2WoiRSae/yaDPnTw==" spinCount="100000" sqref="G162" name="Rango2_99_28"/>
    <protectedRange algorithmName="SHA-512" hashValue="9+DNppQbWrLYYUMoJ+lyQctV2bX3Vq9kZnegLbpjTLP49It2ovUbcartuoQTeXgP+TGpY//7mDH/UQlFCKDGiA==" saltValue="KUnni6YEm00anzSSvyLqQA==" spinCount="100000" sqref="A164:F164" name="Rango2_33"/>
    <protectedRange algorithmName="SHA-512" hashValue="6a5oYwZw9WJcgjqXpleUXH8uaqNEuymPPpeOb7lKBc1WoM6IG/DNyDLWmj2lYwxnZO2yhl+B61kwrxD9m9AdhQ==" saltValue="tdNQPzLQd+n9Ww064QJIaQ==" spinCount="100000" sqref="E165" name="Rango2_61_57"/>
    <protectedRange algorithmName="SHA-512" hashValue="EMMPgE8t/az1rHHzaZAQIhz+GQV0k2O/tQGA96sJqEEMzz1efIRa4CcLzC7iY9CCscto3g7dwz41haOE28iXYg==" saltValue="CVzFsG4X4LXUMo7796PiDQ==" spinCount="100000" sqref="F165 A165:D165" name="Rango2_10_57"/>
    <protectedRange algorithmName="SHA-512" hashValue="6a5oYwZw9WJcgjqXpleUXH8uaqNEuymPPpeOb7lKBc1WoM6IG/DNyDLWmj2lYwxnZO2yhl+B61kwrxD9m9AdhQ==" saltValue="tdNQPzLQd+n9Ww064QJIaQ==" spinCount="100000" sqref="E166:E167" name="Rango2_61_58"/>
    <protectedRange algorithmName="SHA-512" hashValue="EMMPgE8t/az1rHHzaZAQIhz+GQV0k2O/tQGA96sJqEEMzz1efIRa4CcLzC7iY9CCscto3g7dwz41haOE28iXYg==" saltValue="CVzFsG4X4LXUMo7796PiDQ==" spinCount="100000" sqref="F166:F167 A166:D167" name="Rango2_10_58"/>
    <protectedRange algorithmName="SHA-512" hashValue="6a5oYwZw9WJcgjqXpleUXH8uaqNEuymPPpeOb7lKBc1WoM6IG/DNyDLWmj2lYwxnZO2yhl+B61kwrxD9m9AdhQ==" saltValue="tdNQPzLQd+n9Ww064QJIaQ==" spinCount="100000" sqref="E168:E169" name="Rango2_61_59"/>
    <protectedRange algorithmName="SHA-512" hashValue="EMMPgE8t/az1rHHzaZAQIhz+GQV0k2O/tQGA96sJqEEMzz1efIRa4CcLzC7iY9CCscto3g7dwz41haOE28iXYg==" saltValue="CVzFsG4X4LXUMo7796PiDQ==" spinCount="100000" sqref="F168:F169 A168:D169" name="Rango2_10_59"/>
    <protectedRange algorithmName="SHA-512" hashValue="6a5oYwZw9WJcgjqXpleUXH8uaqNEuymPPpeOb7lKBc1WoM6IG/DNyDLWmj2lYwxnZO2yhl+B61kwrxD9m9AdhQ==" saltValue="tdNQPzLQd+n9Ww064QJIaQ==" spinCount="100000" sqref="E170" name="Rango2_61_60"/>
    <protectedRange algorithmName="SHA-512" hashValue="EMMPgE8t/az1rHHzaZAQIhz+GQV0k2O/tQGA96sJqEEMzz1efIRa4CcLzC7iY9CCscto3g7dwz41haOE28iXYg==" saltValue="CVzFsG4X4LXUMo7796PiDQ==" spinCount="100000" sqref="F170 A170:D170" name="Rango2_10_60"/>
    <protectedRange algorithmName="SHA-512" hashValue="6a5oYwZw9WJcgjqXpleUXH8uaqNEuymPPpeOb7lKBc1WoM6IG/DNyDLWmj2lYwxnZO2yhl+B61kwrxD9m9AdhQ==" saltValue="tdNQPzLQd+n9Ww064QJIaQ==" spinCount="100000" sqref="E171" name="Rango2_61_61"/>
    <protectedRange algorithmName="SHA-512" hashValue="EMMPgE8t/az1rHHzaZAQIhz+GQV0k2O/tQGA96sJqEEMzz1efIRa4CcLzC7iY9CCscto3g7dwz41haOE28iXYg==" saltValue="CVzFsG4X4LXUMo7796PiDQ==" spinCount="100000" sqref="F171 A171:D171" name="Rango2_10_61"/>
    <protectedRange algorithmName="SHA-512" hashValue="6a5oYwZw9WJcgjqXpleUXH8uaqNEuymPPpeOb7lKBc1WoM6IG/DNyDLWmj2lYwxnZO2yhl+B61kwrxD9m9AdhQ==" saltValue="tdNQPzLQd+n9Ww064QJIaQ==" spinCount="100000" sqref="E172" name="Rango2_61_62"/>
    <protectedRange algorithmName="SHA-512" hashValue="EMMPgE8t/az1rHHzaZAQIhz+GQV0k2O/tQGA96sJqEEMzz1efIRa4CcLzC7iY9CCscto3g7dwz41haOE28iXYg==" saltValue="CVzFsG4X4LXUMo7796PiDQ==" spinCount="100000" sqref="F172 A172:D172" name="Rango2_10_62"/>
    <protectedRange algorithmName="SHA-512" hashValue="6a5oYwZw9WJcgjqXpleUXH8uaqNEuymPPpeOb7lKBc1WoM6IG/DNyDLWmj2lYwxnZO2yhl+B61kwrxD9m9AdhQ==" saltValue="tdNQPzLQd+n9Ww064QJIaQ==" spinCount="100000" sqref="E173" name="Rango2_61_63"/>
    <protectedRange algorithmName="SHA-512" hashValue="EMMPgE8t/az1rHHzaZAQIhz+GQV0k2O/tQGA96sJqEEMzz1efIRa4CcLzC7iY9CCscto3g7dwz41haOE28iXYg==" saltValue="CVzFsG4X4LXUMo7796PiDQ==" spinCount="100000" sqref="F173 A173:D173" name="Rango2_10_63"/>
    <protectedRange algorithmName="SHA-512" hashValue="6a5oYwZw9WJcgjqXpleUXH8uaqNEuymPPpeOb7lKBc1WoM6IG/DNyDLWmj2lYwxnZO2yhl+B61kwrxD9m9AdhQ==" saltValue="tdNQPzLQd+n9Ww064QJIaQ==" spinCount="100000" sqref="E174" name="Rango2_61_64"/>
    <protectedRange algorithmName="SHA-512" hashValue="EMMPgE8t/az1rHHzaZAQIhz+GQV0k2O/tQGA96sJqEEMzz1efIRa4CcLzC7iY9CCscto3g7dwz41haOE28iXYg==" saltValue="CVzFsG4X4LXUMo7796PiDQ==" spinCount="100000" sqref="F174 A174:D174" name="Rango2_10_64"/>
    <protectedRange algorithmName="SHA-512" hashValue="6a5oYwZw9WJcgjqXpleUXH8uaqNEuymPPpeOb7lKBc1WoM6IG/DNyDLWmj2lYwxnZO2yhl+B61kwrxD9m9AdhQ==" saltValue="tdNQPzLQd+n9Ww064QJIaQ==" spinCount="100000" sqref="E175" name="Rango2_61_65"/>
    <protectedRange algorithmName="SHA-512" hashValue="EMMPgE8t/az1rHHzaZAQIhz+GQV0k2O/tQGA96sJqEEMzz1efIRa4CcLzC7iY9CCscto3g7dwz41haOE28iXYg==" saltValue="CVzFsG4X4LXUMo7796PiDQ==" spinCount="100000" sqref="F175 A175:D175" name="Rango2_10_65"/>
    <protectedRange algorithmName="SHA-512" hashValue="6a5oYwZw9WJcgjqXpleUXH8uaqNEuymPPpeOb7lKBc1WoM6IG/DNyDLWmj2lYwxnZO2yhl+B61kwrxD9m9AdhQ==" saltValue="tdNQPzLQd+n9Ww064QJIaQ==" spinCount="100000" sqref="E176" name="Rango2_61_66"/>
    <protectedRange algorithmName="SHA-512" hashValue="EMMPgE8t/az1rHHzaZAQIhz+GQV0k2O/tQGA96sJqEEMzz1efIRa4CcLzC7iY9CCscto3g7dwz41haOE28iXYg==" saltValue="CVzFsG4X4LXUMo7796PiDQ==" spinCount="100000" sqref="A176:D176" name="Rango2_10_66"/>
    <protectedRange algorithmName="SHA-512" hashValue="6a5oYwZw9WJcgjqXpleUXH8uaqNEuymPPpeOb7lKBc1WoM6IG/DNyDLWmj2lYwxnZO2yhl+B61kwrxD9m9AdhQ==" saltValue="tdNQPzLQd+n9Ww064QJIaQ==" spinCount="100000" sqref="E177" name="Rango2_61_67"/>
    <protectedRange algorithmName="SHA-512" hashValue="EMMPgE8t/az1rHHzaZAQIhz+GQV0k2O/tQGA96sJqEEMzz1efIRa4CcLzC7iY9CCscto3g7dwz41haOE28iXYg==" saltValue="CVzFsG4X4LXUMo7796PiDQ==" spinCount="100000" sqref="A177:D177" name="Rango2_10_67"/>
    <protectedRange algorithmName="SHA-512" hashValue="6a5oYwZw9WJcgjqXpleUXH8uaqNEuymPPpeOb7lKBc1WoM6IG/DNyDLWmj2lYwxnZO2yhl+B61kwrxD9m9AdhQ==" saltValue="tdNQPzLQd+n9Ww064QJIaQ==" spinCount="100000" sqref="E178:E179" name="Rango2_61_68"/>
    <protectedRange algorithmName="SHA-512" hashValue="EMMPgE8t/az1rHHzaZAQIhz+GQV0k2O/tQGA96sJqEEMzz1efIRa4CcLzC7iY9CCscto3g7dwz41haOE28iXYg==" saltValue="CVzFsG4X4LXUMo7796PiDQ==" spinCount="100000" sqref="F178:F179 A178:D179" name="Rango2_10_68"/>
    <protectedRange algorithmName="SHA-512" hashValue="6a5oYwZw9WJcgjqXpleUXH8uaqNEuymPPpeOb7lKBc1WoM6IG/DNyDLWmj2lYwxnZO2yhl+B61kwrxD9m9AdhQ==" saltValue="tdNQPzLQd+n9Ww064QJIaQ==" spinCount="100000" sqref="E180" name="Rango2_61_69"/>
    <protectedRange algorithmName="SHA-512" hashValue="EMMPgE8t/az1rHHzaZAQIhz+GQV0k2O/tQGA96sJqEEMzz1efIRa4CcLzC7iY9CCscto3g7dwz41haOE28iXYg==" saltValue="CVzFsG4X4LXUMo7796PiDQ==" spinCount="100000" sqref="F180 A180:D180" name="Rango2_10_69"/>
    <protectedRange algorithmName="SHA-512" hashValue="6a5oYwZw9WJcgjqXpleUXH8uaqNEuymPPpeOb7lKBc1WoM6IG/DNyDLWmj2lYwxnZO2yhl+B61kwrxD9m9AdhQ==" saltValue="tdNQPzLQd+n9Ww064QJIaQ==" spinCount="100000" sqref="E181:F181" name="Rango2_61_70"/>
    <protectedRange algorithmName="SHA-512" hashValue="EMMPgE8t/az1rHHzaZAQIhz+GQV0k2O/tQGA96sJqEEMzz1efIRa4CcLzC7iY9CCscto3g7dwz41haOE28iXYg==" saltValue="CVzFsG4X4LXUMo7796PiDQ==" spinCount="100000" sqref="A181:D181" name="Rango2_10_70"/>
    <protectedRange algorithmName="SHA-512" hashValue="6a5oYwZw9WJcgjqXpleUXH8uaqNEuymPPpeOb7lKBc1WoM6IG/DNyDLWmj2lYwxnZO2yhl+B61kwrxD9m9AdhQ==" saltValue="tdNQPzLQd+n9Ww064QJIaQ==" spinCount="100000" sqref="E182:E184" name="Rango2_61_71"/>
    <protectedRange algorithmName="SHA-512" hashValue="EMMPgE8t/az1rHHzaZAQIhz+GQV0k2O/tQGA96sJqEEMzz1efIRa4CcLzC7iY9CCscto3g7dwz41haOE28iXYg==" saltValue="CVzFsG4X4LXUMo7796PiDQ==" spinCount="100000" sqref="F182:F184 A182:D184" name="Rango2_10_71"/>
    <protectedRange algorithmName="SHA-512" hashValue="6a5oYwZw9WJcgjqXpleUXH8uaqNEuymPPpeOb7lKBc1WoM6IG/DNyDLWmj2lYwxnZO2yhl+B61kwrxD9m9AdhQ==" saltValue="tdNQPzLQd+n9Ww064QJIaQ==" spinCount="100000" sqref="E185:E190" name="Rango2_61_72"/>
    <protectedRange algorithmName="SHA-512" hashValue="EMMPgE8t/az1rHHzaZAQIhz+GQV0k2O/tQGA96sJqEEMzz1efIRa4CcLzC7iY9CCscto3g7dwz41haOE28iXYg==" saltValue="CVzFsG4X4LXUMo7796PiDQ==" spinCount="100000" sqref="F185:F186 A185:D190" name="Rango2_10_72"/>
    <protectedRange algorithmName="SHA-512" hashValue="9+DNppQbWrLYYUMoJ+lyQctV2bX3Vq9kZnegLbpjTLP49It2ovUbcartuoQTeXgP+TGpY//7mDH/UQlFCKDGiA==" saltValue="KUnni6YEm00anzSSvyLqQA==" spinCount="100000" sqref="A192:F192" name="Rango2_34"/>
    <protectedRange algorithmName="SHA-512" hashValue="6a5oYwZw9WJcgjqXpleUXH8uaqNEuymPPpeOb7lKBc1WoM6IG/DNyDLWmj2lYwxnZO2yhl+B61kwrxD9m9AdhQ==" saltValue="tdNQPzLQd+n9Ww064QJIaQ==" spinCount="100000" sqref="E193" name="Rango2_61_74"/>
    <protectedRange algorithmName="SHA-512" hashValue="EMMPgE8t/az1rHHzaZAQIhz+GQV0k2O/tQGA96sJqEEMzz1efIRa4CcLzC7iY9CCscto3g7dwz41haOE28iXYg==" saltValue="CVzFsG4X4LXUMo7796PiDQ==" spinCount="100000" sqref="F193 A193:D193" name="Rango2_10_74"/>
    <protectedRange algorithmName="SHA-512" hashValue="6a5oYwZw9WJcgjqXpleUXH8uaqNEuymPPpeOb7lKBc1WoM6IG/DNyDLWmj2lYwxnZO2yhl+B61kwrxD9m9AdhQ==" saltValue="tdNQPzLQd+n9Ww064QJIaQ==" spinCount="100000" sqref="E194" name="Rango2_61_75"/>
    <protectedRange algorithmName="SHA-512" hashValue="EMMPgE8t/az1rHHzaZAQIhz+GQV0k2O/tQGA96sJqEEMzz1efIRa4CcLzC7iY9CCscto3g7dwz41haOE28iXYg==" saltValue="CVzFsG4X4LXUMo7796PiDQ==" spinCount="100000" sqref="F194 A194:D194" name="Rango2_10_75"/>
    <protectedRange algorithmName="SHA-512" hashValue="6a5oYwZw9WJcgjqXpleUXH8uaqNEuymPPpeOb7lKBc1WoM6IG/DNyDLWmj2lYwxnZO2yhl+B61kwrxD9m9AdhQ==" saltValue="tdNQPzLQd+n9Ww064QJIaQ==" spinCount="100000" sqref="E195" name="Rango2_61_76"/>
    <protectedRange algorithmName="SHA-512" hashValue="EMMPgE8t/az1rHHzaZAQIhz+GQV0k2O/tQGA96sJqEEMzz1efIRa4CcLzC7iY9CCscto3g7dwz41haOE28iXYg==" saltValue="CVzFsG4X4LXUMo7796PiDQ==" spinCount="100000" sqref="F195 A195:D195" name="Rango2_10_76"/>
    <protectedRange algorithmName="SHA-512" hashValue="6a5oYwZw9WJcgjqXpleUXH8uaqNEuymPPpeOb7lKBc1WoM6IG/DNyDLWmj2lYwxnZO2yhl+B61kwrxD9m9AdhQ==" saltValue="tdNQPzLQd+n9Ww064QJIaQ==" spinCount="100000" sqref="E196" name="Rango2_61_77"/>
    <protectedRange algorithmName="SHA-512" hashValue="EMMPgE8t/az1rHHzaZAQIhz+GQV0k2O/tQGA96sJqEEMzz1efIRa4CcLzC7iY9CCscto3g7dwz41haOE28iXYg==" saltValue="CVzFsG4X4LXUMo7796PiDQ==" spinCount="100000" sqref="F196 A196:D196" name="Rango2_10_77"/>
    <protectedRange algorithmName="SHA-512" hashValue="6a5oYwZw9WJcgjqXpleUXH8uaqNEuymPPpeOb7lKBc1WoM6IG/DNyDLWmj2lYwxnZO2yhl+B61kwrxD9m9AdhQ==" saltValue="tdNQPzLQd+n9Ww064QJIaQ==" spinCount="100000" sqref="E197" name="Rango2_61_78"/>
    <protectedRange algorithmName="SHA-512" hashValue="EMMPgE8t/az1rHHzaZAQIhz+GQV0k2O/tQGA96sJqEEMzz1efIRa4CcLzC7iY9CCscto3g7dwz41haOE28iXYg==" saltValue="CVzFsG4X4LXUMo7796PiDQ==" spinCount="100000" sqref="F197 A197:D197" name="Rango2_10_78"/>
    <protectedRange algorithmName="SHA-512" hashValue="6a5oYwZw9WJcgjqXpleUXH8uaqNEuymPPpeOb7lKBc1WoM6IG/DNyDLWmj2lYwxnZO2yhl+B61kwrxD9m9AdhQ==" saltValue="tdNQPzLQd+n9Ww064QJIaQ==" spinCount="100000" sqref="E198" name="Rango2_61_79"/>
    <protectedRange algorithmName="SHA-512" hashValue="EMMPgE8t/az1rHHzaZAQIhz+GQV0k2O/tQGA96sJqEEMzz1efIRa4CcLzC7iY9CCscto3g7dwz41haOE28iXYg==" saltValue="CVzFsG4X4LXUMo7796PiDQ==" spinCount="100000" sqref="F198 A198:D198" name="Rango2_10_79"/>
    <protectedRange algorithmName="SHA-512" hashValue="6a5oYwZw9WJcgjqXpleUXH8uaqNEuymPPpeOb7lKBc1WoM6IG/DNyDLWmj2lYwxnZO2yhl+B61kwrxD9m9AdhQ==" saltValue="tdNQPzLQd+n9Ww064QJIaQ==" spinCount="100000" sqref="E199" name="Rango2_61_80"/>
    <protectedRange algorithmName="SHA-512" hashValue="EMMPgE8t/az1rHHzaZAQIhz+GQV0k2O/tQGA96sJqEEMzz1efIRa4CcLzC7iY9CCscto3g7dwz41haOE28iXYg==" saltValue="CVzFsG4X4LXUMo7796PiDQ==" spinCount="100000" sqref="F199 A199:D199" name="Rango2_10_80"/>
    <protectedRange algorithmName="SHA-512" hashValue="6a5oYwZw9WJcgjqXpleUXH8uaqNEuymPPpeOb7lKBc1WoM6IG/DNyDLWmj2lYwxnZO2yhl+B61kwrxD9m9AdhQ==" saltValue="tdNQPzLQd+n9Ww064QJIaQ==" spinCount="100000" sqref="E200" name="Rango2_61_81"/>
    <protectedRange algorithmName="SHA-512" hashValue="EMMPgE8t/az1rHHzaZAQIhz+GQV0k2O/tQGA96sJqEEMzz1efIRa4CcLzC7iY9CCscto3g7dwz41haOE28iXYg==" saltValue="CVzFsG4X4LXUMo7796PiDQ==" spinCount="100000" sqref="F200 A200:D200" name="Rango2_10_81"/>
    <protectedRange algorithmName="SHA-512" hashValue="6a5oYwZw9WJcgjqXpleUXH8uaqNEuymPPpeOb7lKBc1WoM6IG/DNyDLWmj2lYwxnZO2yhl+B61kwrxD9m9AdhQ==" saltValue="tdNQPzLQd+n9Ww064QJIaQ==" spinCount="100000" sqref="E201" name="Rango2_61_82"/>
    <protectedRange algorithmName="SHA-512" hashValue="EMMPgE8t/az1rHHzaZAQIhz+GQV0k2O/tQGA96sJqEEMzz1efIRa4CcLzC7iY9CCscto3g7dwz41haOE28iXYg==" saltValue="CVzFsG4X4LXUMo7796PiDQ==" spinCount="100000" sqref="A201:D201" name="Rango2_10_82"/>
    <protectedRange algorithmName="SHA-512" hashValue="6a5oYwZw9WJcgjqXpleUXH8uaqNEuymPPpeOb7lKBc1WoM6IG/DNyDLWmj2lYwxnZO2yhl+B61kwrxD9m9AdhQ==" saltValue="tdNQPzLQd+n9Ww064QJIaQ==" spinCount="100000" sqref="E202" name="Rango2_61_83"/>
    <protectedRange algorithmName="SHA-512" hashValue="EMMPgE8t/az1rHHzaZAQIhz+GQV0k2O/tQGA96sJqEEMzz1efIRa4CcLzC7iY9CCscto3g7dwz41haOE28iXYg==" saltValue="CVzFsG4X4LXUMo7796PiDQ==" spinCount="100000" sqref="A202:D202" name="Rango2_10_83"/>
    <protectedRange algorithmName="SHA-512" hashValue="6a5oYwZw9WJcgjqXpleUXH8uaqNEuymPPpeOb7lKBc1WoM6IG/DNyDLWmj2lYwxnZO2yhl+B61kwrxD9m9AdhQ==" saltValue="tdNQPzLQd+n9Ww064QJIaQ==" spinCount="100000" sqref="E203" name="Rango2_61_84"/>
    <protectedRange algorithmName="SHA-512" hashValue="EMMPgE8t/az1rHHzaZAQIhz+GQV0k2O/tQGA96sJqEEMzz1efIRa4CcLzC7iY9CCscto3g7dwz41haOE28iXYg==" saltValue="CVzFsG4X4LXUMo7796PiDQ==" spinCount="100000" sqref="A203:D203" name="Rango2_10_84"/>
    <protectedRange algorithmName="SHA-512" hashValue="6a5oYwZw9WJcgjqXpleUXH8uaqNEuymPPpeOb7lKBc1WoM6IG/DNyDLWmj2lYwxnZO2yhl+B61kwrxD9m9AdhQ==" saltValue="tdNQPzLQd+n9Ww064QJIaQ==" spinCount="100000" sqref="E204:E205" name="Rango2_61_85"/>
    <protectedRange algorithmName="SHA-512" hashValue="EMMPgE8t/az1rHHzaZAQIhz+GQV0k2O/tQGA96sJqEEMzz1efIRa4CcLzC7iY9CCscto3g7dwz41haOE28iXYg==" saltValue="CVzFsG4X4LXUMo7796PiDQ==" spinCount="100000" sqref="F204:F205 A204:D205" name="Rango2_10_85"/>
    <protectedRange algorithmName="SHA-512" hashValue="6a5oYwZw9WJcgjqXpleUXH8uaqNEuymPPpeOb7lKBc1WoM6IG/DNyDLWmj2lYwxnZO2yhl+B61kwrxD9m9AdhQ==" saltValue="tdNQPzLQd+n9Ww064QJIaQ==" spinCount="100000" sqref="E206" name="Rango2_61_86"/>
    <protectedRange algorithmName="SHA-512" hashValue="EMMPgE8t/az1rHHzaZAQIhz+GQV0k2O/tQGA96sJqEEMzz1efIRa4CcLzC7iY9CCscto3g7dwz41haOE28iXYg==" saltValue="CVzFsG4X4LXUMo7796PiDQ==" spinCount="100000" sqref="F206 A206:D206" name="Rango2_10_86"/>
    <protectedRange algorithmName="SHA-512" hashValue="6a5oYwZw9WJcgjqXpleUXH8uaqNEuymPPpeOb7lKBc1WoM6IG/DNyDLWmj2lYwxnZO2yhl+B61kwrxD9m9AdhQ==" saltValue="tdNQPzLQd+n9Ww064QJIaQ==" spinCount="100000" sqref="E207:F207" name="Rango2_61_87"/>
    <protectedRange algorithmName="SHA-512" hashValue="EMMPgE8t/az1rHHzaZAQIhz+GQV0k2O/tQGA96sJqEEMzz1efIRa4CcLzC7iY9CCscto3g7dwz41haOE28iXYg==" saltValue="CVzFsG4X4LXUMo7796PiDQ==" spinCount="100000" sqref="A207:D207" name="Rango2_10_87"/>
    <protectedRange algorithmName="SHA-512" hashValue="6a5oYwZw9WJcgjqXpleUXH8uaqNEuymPPpeOb7lKBc1WoM6IG/DNyDLWmj2lYwxnZO2yhl+B61kwrxD9m9AdhQ==" saltValue="tdNQPzLQd+n9Ww064QJIaQ==" spinCount="100000" sqref="E208:E210" name="Rango2_61_88"/>
    <protectedRange algorithmName="SHA-512" hashValue="EMMPgE8t/az1rHHzaZAQIhz+GQV0k2O/tQGA96sJqEEMzz1efIRa4CcLzC7iY9CCscto3g7dwz41haOE28iXYg==" saltValue="CVzFsG4X4LXUMo7796PiDQ==" spinCount="100000" sqref="F208:F210 A208:D210" name="Rango2_10_88"/>
    <protectedRange algorithmName="SHA-512" hashValue="6a5oYwZw9WJcgjqXpleUXH8uaqNEuymPPpeOb7lKBc1WoM6IG/DNyDLWmj2lYwxnZO2yhl+B61kwrxD9m9AdhQ==" saltValue="tdNQPzLQd+n9Ww064QJIaQ==" spinCount="100000" sqref="E211:E216" name="Rango2_61_89"/>
    <protectedRange algorithmName="SHA-512" hashValue="EMMPgE8t/az1rHHzaZAQIhz+GQV0k2O/tQGA96sJqEEMzz1efIRa4CcLzC7iY9CCscto3g7dwz41haOE28iXYg==" saltValue="CVzFsG4X4LXUMo7796PiDQ==" spinCount="100000" sqref="F211:F212 A211:D216" name="Rango2_10_89"/>
    <protectedRange algorithmName="SHA-512" hashValue="9+DNppQbWrLYYUMoJ+lyQctV2bX3Vq9kZnegLbpjTLP49It2ovUbcartuoQTeXgP+TGpY//7mDH/UQlFCKDGiA==" saltValue="KUnni6YEm00anzSSvyLqQA==" spinCount="100000" sqref="A218:F218" name="Rango2_35"/>
    <protectedRange algorithmName="SHA-512" hashValue="6a5oYwZw9WJcgjqXpleUXH8uaqNEuymPPpeOb7lKBc1WoM6IG/DNyDLWmj2lYwxnZO2yhl+B61kwrxD9m9AdhQ==" saltValue="tdNQPzLQd+n9Ww064QJIaQ==" spinCount="100000" sqref="E219:E220" name="Rango2_61_90"/>
    <protectedRange algorithmName="SHA-512" hashValue="EMMPgE8t/az1rHHzaZAQIhz+GQV0k2O/tQGA96sJqEEMzz1efIRa4CcLzC7iY9CCscto3g7dwz41haOE28iXYg==" saltValue="CVzFsG4X4LXUMo7796PiDQ==" spinCount="100000" sqref="F219:F220 A219:D220" name="Rango2_10_90"/>
    <protectedRange algorithmName="SHA-512" hashValue="6a5oYwZw9WJcgjqXpleUXH8uaqNEuymPPpeOb7lKBc1WoM6IG/DNyDLWmj2lYwxnZO2yhl+B61kwrxD9m9AdhQ==" saltValue="tdNQPzLQd+n9Ww064QJIaQ==" spinCount="100000" sqref="E221" name="Rango2_61_91"/>
    <protectedRange algorithmName="SHA-512" hashValue="EMMPgE8t/az1rHHzaZAQIhz+GQV0k2O/tQGA96sJqEEMzz1efIRa4CcLzC7iY9CCscto3g7dwz41haOE28iXYg==" saltValue="CVzFsG4X4LXUMo7796PiDQ==" spinCount="100000" sqref="F221 A221:D221" name="Rango2_10_91"/>
    <protectedRange algorithmName="SHA-512" hashValue="6a5oYwZw9WJcgjqXpleUXH8uaqNEuymPPpeOb7lKBc1WoM6IG/DNyDLWmj2lYwxnZO2yhl+B61kwrxD9m9AdhQ==" saltValue="tdNQPzLQd+n9Ww064QJIaQ==" spinCount="100000" sqref="E222" name="Rango2_61_92"/>
    <protectedRange algorithmName="SHA-512" hashValue="EMMPgE8t/az1rHHzaZAQIhz+GQV0k2O/tQGA96sJqEEMzz1efIRa4CcLzC7iY9CCscto3g7dwz41haOE28iXYg==" saltValue="CVzFsG4X4LXUMo7796PiDQ==" spinCount="100000" sqref="F222 A222:D222" name="Rango2_10_92"/>
    <protectedRange algorithmName="SHA-512" hashValue="6a5oYwZw9WJcgjqXpleUXH8uaqNEuymPPpeOb7lKBc1WoM6IG/DNyDLWmj2lYwxnZO2yhl+B61kwrxD9m9AdhQ==" saltValue="tdNQPzLQd+n9Ww064QJIaQ==" spinCount="100000" sqref="E223" name="Rango2_61_93"/>
    <protectedRange algorithmName="SHA-512" hashValue="EMMPgE8t/az1rHHzaZAQIhz+GQV0k2O/tQGA96sJqEEMzz1efIRa4CcLzC7iY9CCscto3g7dwz41haOE28iXYg==" saltValue="CVzFsG4X4LXUMo7796PiDQ==" spinCount="100000" sqref="F223 A223:D223" name="Rango2_10_93"/>
    <protectedRange algorithmName="SHA-512" hashValue="6a5oYwZw9WJcgjqXpleUXH8uaqNEuymPPpeOb7lKBc1WoM6IG/DNyDLWmj2lYwxnZO2yhl+B61kwrxD9m9AdhQ==" saltValue="tdNQPzLQd+n9Ww064QJIaQ==" spinCount="100000" sqref="E224:E226" name="Rango2_61_94"/>
    <protectedRange algorithmName="SHA-512" hashValue="EMMPgE8t/az1rHHzaZAQIhz+GQV0k2O/tQGA96sJqEEMzz1efIRa4CcLzC7iY9CCscto3g7dwz41haOE28iXYg==" saltValue="CVzFsG4X4LXUMo7796PiDQ==" spinCount="100000" sqref="F224:F226 A224:D226" name="Rango2_10_94"/>
    <protectedRange algorithmName="SHA-512" hashValue="6a5oYwZw9WJcgjqXpleUXH8uaqNEuymPPpeOb7lKBc1WoM6IG/DNyDLWmj2lYwxnZO2yhl+B61kwrxD9m9AdhQ==" saltValue="tdNQPzLQd+n9Ww064QJIaQ==" spinCount="100000" sqref="E227" name="Rango2_61_95"/>
    <protectedRange algorithmName="SHA-512" hashValue="EMMPgE8t/az1rHHzaZAQIhz+GQV0k2O/tQGA96sJqEEMzz1efIRa4CcLzC7iY9CCscto3g7dwz41haOE28iXYg==" saltValue="CVzFsG4X4LXUMo7796PiDQ==" spinCount="100000" sqref="F227 A227:D227" name="Rango2_10_95"/>
    <protectedRange algorithmName="SHA-512" hashValue="6a5oYwZw9WJcgjqXpleUXH8uaqNEuymPPpeOb7lKBc1WoM6IG/DNyDLWmj2lYwxnZO2yhl+B61kwrxD9m9AdhQ==" saltValue="tdNQPzLQd+n9Ww064QJIaQ==" spinCount="100000" sqref="E228" name="Rango2_61_96"/>
    <protectedRange algorithmName="SHA-512" hashValue="EMMPgE8t/az1rHHzaZAQIhz+GQV0k2O/tQGA96sJqEEMzz1efIRa4CcLzC7iY9CCscto3g7dwz41haOE28iXYg==" saltValue="CVzFsG4X4LXUMo7796PiDQ==" spinCount="100000" sqref="F228 A228:D228" name="Rango2_10_96"/>
    <protectedRange algorithmName="SHA-512" hashValue="6a5oYwZw9WJcgjqXpleUXH8uaqNEuymPPpeOb7lKBc1WoM6IG/DNyDLWmj2lYwxnZO2yhl+B61kwrxD9m9AdhQ==" saltValue="tdNQPzLQd+n9Ww064QJIaQ==" spinCount="100000" sqref="E229" name="Rango2_61_97"/>
    <protectedRange algorithmName="SHA-512" hashValue="EMMPgE8t/az1rHHzaZAQIhz+GQV0k2O/tQGA96sJqEEMzz1efIRa4CcLzC7iY9CCscto3g7dwz41haOE28iXYg==" saltValue="CVzFsG4X4LXUMo7796PiDQ==" spinCount="100000" sqref="F229 A229:D229" name="Rango2_10_97"/>
    <protectedRange algorithmName="SHA-512" hashValue="6a5oYwZw9WJcgjqXpleUXH8uaqNEuymPPpeOb7lKBc1WoM6IG/DNyDLWmj2lYwxnZO2yhl+B61kwrxD9m9AdhQ==" saltValue="tdNQPzLQd+n9Ww064QJIaQ==" spinCount="100000" sqref="E230" name="Rango2_61_98"/>
    <protectedRange algorithmName="SHA-512" hashValue="EMMPgE8t/az1rHHzaZAQIhz+GQV0k2O/tQGA96sJqEEMzz1efIRa4CcLzC7iY9CCscto3g7dwz41haOE28iXYg==" saltValue="CVzFsG4X4LXUMo7796PiDQ==" spinCount="100000" sqref="F230 A230:D230" name="Rango2_10_98"/>
    <protectedRange algorithmName="SHA-512" hashValue="6a5oYwZw9WJcgjqXpleUXH8uaqNEuymPPpeOb7lKBc1WoM6IG/DNyDLWmj2lYwxnZO2yhl+B61kwrxD9m9AdhQ==" saltValue="tdNQPzLQd+n9Ww064QJIaQ==" spinCount="100000" sqref="E231" name="Rango2_61_99"/>
    <protectedRange algorithmName="SHA-512" hashValue="EMMPgE8t/az1rHHzaZAQIhz+GQV0k2O/tQGA96sJqEEMzz1efIRa4CcLzC7iY9CCscto3g7dwz41haOE28iXYg==" saltValue="CVzFsG4X4LXUMo7796PiDQ==" spinCount="100000" sqref="F231 A231:D231" name="Rango2_10_99"/>
    <protectedRange algorithmName="SHA-512" hashValue="9+DNppQbWrLYYUMoJ+lyQctV2bX3Vq9kZnegLbpjTLP49It2ovUbcartuoQTeXgP+TGpY//7mDH/UQlFCKDGiA==" saltValue="KUnni6YEm00anzSSvyLqQA==" spinCount="100000" sqref="A237:F237" name="Rango2_36"/>
    <protectedRange algorithmName="SHA-512" hashValue="9+DNppQbWrLYYUMoJ+lyQctV2bX3Vq9kZnegLbpjTLP49It2ovUbcartuoQTeXgP+TGpY//7mDH/UQlFCKDGiA==" saltValue="KUnni6YEm00anzSSvyLqQA==" spinCount="100000" sqref="A241:F241" name="Rango2_37"/>
    <protectedRange algorithmName="SHA-512" hashValue="9+DNppQbWrLYYUMoJ+lyQctV2bX3Vq9kZnegLbpjTLP49It2ovUbcartuoQTeXgP+TGpY//7mDH/UQlFCKDGiA==" saltValue="KUnni6YEm00anzSSvyLqQA==" spinCount="100000" sqref="A279:F279" name="Rango2_38"/>
    <protectedRange algorithmName="SHA-512" hashValue="9+DNppQbWrLYYUMoJ+lyQctV2bX3Vq9kZnegLbpjTLP49It2ovUbcartuoQTeXgP+TGpY//7mDH/UQlFCKDGiA==" saltValue="KUnni6YEm00anzSSvyLqQA==" spinCount="100000" sqref="A338:F338" name="Rango2_39"/>
    <protectedRange algorithmName="SHA-512" hashValue="9+DNppQbWrLYYUMoJ+lyQctV2bX3Vq9kZnegLbpjTLP49It2ovUbcartuoQTeXgP+TGpY//7mDH/UQlFCKDGiA==" saltValue="KUnni6YEm00anzSSvyLqQA==" spinCount="100000" sqref="A342:F342" name="Rango2_40"/>
    <protectedRange algorithmName="SHA-512" hashValue="9+DNppQbWrLYYUMoJ+lyQctV2bX3Vq9kZnegLbpjTLP49It2ovUbcartuoQTeXgP+TGpY//7mDH/UQlFCKDGiA==" saltValue="KUnni6YEm00anzSSvyLqQA==" spinCount="100000" sqref="A381:F381" name="Rango2_41"/>
    <protectedRange algorithmName="SHA-512" hashValue="9+DNppQbWrLYYUMoJ+lyQctV2bX3Vq9kZnegLbpjTLP49It2ovUbcartuoQTeXgP+TGpY//7mDH/UQlFCKDGiA==" saltValue="KUnni6YEm00anzSSvyLqQA==" spinCount="100000" sqref="A465:F465" name="Rango2_42"/>
    <protectedRange algorithmName="SHA-512" hashValue="9+DNppQbWrLYYUMoJ+lyQctV2bX3Vq9kZnegLbpjTLP49It2ovUbcartuoQTeXgP+TGpY//7mDH/UQlFCKDGiA==" saltValue="KUnni6YEm00anzSSvyLqQA==" spinCount="100000" sqref="A503:F503" name="Rango2_43"/>
    <protectedRange algorithmName="SHA-512" hashValue="9+DNppQbWrLYYUMoJ+lyQctV2bX3Vq9kZnegLbpjTLP49It2ovUbcartuoQTeXgP+TGpY//7mDH/UQlFCKDGiA==" saltValue="KUnni6YEm00anzSSvyLqQA==" spinCount="100000" sqref="A536:F536" name="Rango2_44"/>
    <protectedRange algorithmName="SHA-512" hashValue="9+DNppQbWrLYYUMoJ+lyQctV2bX3Vq9kZnegLbpjTLP49It2ovUbcartuoQTeXgP+TGpY//7mDH/UQlFCKDGiA==" saltValue="KUnni6YEm00anzSSvyLqQA==" spinCount="100000" sqref="A552:F552" name="Rango2_45"/>
    <protectedRange algorithmName="SHA-512" hashValue="9+DNppQbWrLYYUMoJ+lyQctV2bX3Vq9kZnegLbpjTLP49It2ovUbcartuoQTeXgP+TGpY//7mDH/UQlFCKDGiA==" saltValue="KUnni6YEm00anzSSvyLqQA==" spinCount="100000" sqref="A562:F562" name="Rango2_46"/>
    <protectedRange algorithmName="SHA-512" hashValue="9+DNppQbWrLYYUMoJ+lyQctV2bX3Vq9kZnegLbpjTLP49It2ovUbcartuoQTeXgP+TGpY//7mDH/UQlFCKDGiA==" saltValue="KUnni6YEm00anzSSvyLqQA==" spinCount="100000" sqref="A603:F603" name="Rango2_47"/>
    <protectedRange algorithmName="SHA-512" hashValue="9+DNppQbWrLYYUMoJ+lyQctV2bX3Vq9kZnegLbpjTLP49It2ovUbcartuoQTeXgP+TGpY//7mDH/UQlFCKDGiA==" saltValue="KUnni6YEm00anzSSvyLqQA==" spinCount="100000" sqref="A612:F612" name="Rango2_48"/>
    <protectedRange algorithmName="SHA-512" hashValue="9+DNppQbWrLYYUMoJ+lyQctV2bX3Vq9kZnegLbpjTLP49It2ovUbcartuoQTeXgP+TGpY//7mDH/UQlFCKDGiA==" saltValue="KUnni6YEm00anzSSvyLqQA==" spinCount="100000" sqref="A615:F615" name="Rango2_50"/>
    <protectedRange algorithmName="SHA-512" hashValue="9+DNppQbWrLYYUMoJ+lyQctV2bX3Vq9kZnegLbpjTLP49It2ovUbcartuoQTeXgP+TGpY//7mDH/UQlFCKDGiA==" saltValue="KUnni6YEm00anzSSvyLqQA==" spinCount="100000" sqref="A620:F620" name="Rango2_51"/>
    <protectedRange algorithmName="SHA-512" hashValue="9+DNppQbWrLYYUMoJ+lyQctV2bX3Vq9kZnegLbpjTLP49It2ovUbcartuoQTeXgP+TGpY//7mDH/UQlFCKDGiA==" saltValue="KUnni6YEm00anzSSvyLqQA==" spinCount="100000" sqref="A682:F682" name="Rango2_52"/>
    <protectedRange algorithmName="SHA-512" hashValue="9+DNppQbWrLYYUMoJ+lyQctV2bX3Vq9kZnegLbpjTLP49It2ovUbcartuoQTeXgP+TGpY//7mDH/UQlFCKDGiA==" saltValue="KUnni6YEm00anzSSvyLqQA==" spinCount="100000" sqref="A789:F789" name="Rango2_53"/>
    <protectedRange algorithmName="SHA-512" hashValue="9+DNppQbWrLYYUMoJ+lyQctV2bX3Vq9kZnegLbpjTLP49It2ovUbcartuoQTeXgP+TGpY//7mDH/UQlFCKDGiA==" saltValue="KUnni6YEm00anzSSvyLqQA==" spinCount="100000" sqref="A884:F884" name="Rango2_54"/>
    <protectedRange algorithmName="SHA-512" hashValue="9+DNppQbWrLYYUMoJ+lyQctV2bX3Vq9kZnegLbpjTLP49It2ovUbcartuoQTeXgP+TGpY//7mDH/UQlFCKDGiA==" saltValue="KUnni6YEm00anzSSvyLqQA==" spinCount="100000" sqref="A924:F924" name="Rango2_55"/>
    <protectedRange algorithmName="SHA-512" hashValue="9+DNppQbWrLYYUMoJ+lyQctV2bX3Vq9kZnegLbpjTLP49It2ovUbcartuoQTeXgP+TGpY//7mDH/UQlFCKDGiA==" saltValue="KUnni6YEm00anzSSvyLqQA==" spinCount="100000" sqref="A1015:F1015" name="Rango2_56"/>
    <protectedRange algorithmName="SHA-512" hashValue="9+DNppQbWrLYYUMoJ+lyQctV2bX3Vq9kZnegLbpjTLP49It2ovUbcartuoQTeXgP+TGpY//7mDH/UQlFCKDGiA==" saltValue="KUnni6YEm00anzSSvyLqQA==" spinCount="100000" sqref="A1064:F1064" name="Rango2_57"/>
    <protectedRange algorithmName="SHA-512" hashValue="9+DNppQbWrLYYUMoJ+lyQctV2bX3Vq9kZnegLbpjTLP49It2ovUbcartuoQTeXgP+TGpY//7mDH/UQlFCKDGiA==" saltValue="KUnni6YEm00anzSSvyLqQA==" spinCount="100000" sqref="A1093:F1093" name="Rango2_58"/>
    <protectedRange algorithmName="SHA-512" hashValue="9+DNppQbWrLYYUMoJ+lyQctV2bX3Vq9kZnegLbpjTLP49It2ovUbcartuoQTeXgP+TGpY//7mDH/UQlFCKDGiA==" saltValue="KUnni6YEm00anzSSvyLqQA==" spinCount="100000" sqref="A1188:F1188" name="Rango2_59"/>
    <protectedRange algorithmName="SHA-512" hashValue="9+DNppQbWrLYYUMoJ+lyQctV2bX3Vq9kZnegLbpjTLP49It2ovUbcartuoQTeXgP+TGpY//7mDH/UQlFCKDGiA==" saltValue="KUnni6YEm00anzSSvyLqQA==" spinCount="100000" sqref="A1273:F1273" name="Rango2_60"/>
    <protectedRange algorithmName="SHA-512" hashValue="9+DNppQbWrLYYUMoJ+lyQctV2bX3Vq9kZnegLbpjTLP49It2ovUbcartuoQTeXgP+TGpY//7mDH/UQlFCKDGiA==" saltValue="KUnni6YEm00anzSSvyLqQA==" spinCount="100000" sqref="A1316:F1316" name="Rango2_62"/>
  </protectedRanges>
  <mergeCells count="28">
    <mergeCell ref="A380:F380"/>
    <mergeCell ref="A1:G1"/>
    <mergeCell ref="A112:G112"/>
    <mergeCell ref="A115:G115"/>
    <mergeCell ref="A160:G160"/>
    <mergeCell ref="A217:F217"/>
    <mergeCell ref="A236:F236"/>
    <mergeCell ref="A240:F240"/>
    <mergeCell ref="A278:F278"/>
    <mergeCell ref="A337:F337"/>
    <mergeCell ref="A341:F341"/>
    <mergeCell ref="A437:F437"/>
    <mergeCell ref="A464:F464"/>
    <mergeCell ref="A502:F502"/>
    <mergeCell ref="A535:F535"/>
    <mergeCell ref="A561:F561"/>
    <mergeCell ref="A681:F681"/>
    <mergeCell ref="A619:F619"/>
    <mergeCell ref="A788:F788"/>
    <mergeCell ref="A923:F923"/>
    <mergeCell ref="A602:F602"/>
    <mergeCell ref="A611:F611"/>
    <mergeCell ref="A1315:F1315"/>
    <mergeCell ref="A1014:F1014"/>
    <mergeCell ref="A1063:F1063"/>
    <mergeCell ref="A1092:F1092"/>
    <mergeCell ref="A1187:F1187"/>
    <mergeCell ref="A1272:F1272"/>
  </mergeCells>
  <conditionalFormatting sqref="G3:G111">
    <cfRule type="cellIs" dxfId="9" priority="12" operator="equal">
      <formula>"CON RIESGO"</formula>
    </cfRule>
    <cfRule type="containsText" dxfId="8" priority="13" operator="containsText" text="BAJO">
      <formula>NOT(ISERROR(SEARCH("BAJO",G3)))</formula>
    </cfRule>
    <cfRule type="containsText" dxfId="7" priority="14" operator="containsText" text="ALTO">
      <formula>NOT(ISERROR(SEARCH("ALTO",G3)))</formula>
    </cfRule>
  </conditionalFormatting>
  <conditionalFormatting sqref="G114">
    <cfRule type="containsText" dxfId="6" priority="9" operator="containsText" text="NORMAL">
      <formula>NOT(ISERROR(SEARCH("NORMAL",G114)))</formula>
    </cfRule>
    <cfRule type="containsText" dxfId="5" priority="10" operator="containsText" text="VIGILAR">
      <formula>NOT(ISERROR(SEARCH("VIGILAR",G114)))</formula>
    </cfRule>
    <cfRule type="containsText" dxfId="4" priority="11" operator="containsText" text="HTA">
      <formula>NOT(ISERROR(SEARCH("HTA",G114)))</formula>
    </cfRule>
  </conditionalFormatting>
  <conditionalFormatting sqref="G162">
    <cfRule type="containsText" dxfId="3" priority="5" operator="containsText" text="RH NEGATIVO SIN COOMB">
      <formula>NOT(ISERROR(SEARCH("RH NEGATIVO SIN COOMB",G162)))</formula>
    </cfRule>
    <cfRule type="containsText" dxfId="2" priority="6" operator="containsText" text="RH NEGATIVO CON COOMBS POSITIVO">
      <formula>NOT(ISERROR(SEARCH("RH NEGATIVO CON COOMBS POSITIVO",G162)))</formula>
    </cfRule>
    <cfRule type="containsText" dxfId="1" priority="7" operator="containsText" text="RH NEGATIVO CON COOMBS NEGATIVO">
      <formula>NOT(ISERROR(SEARCH("RH NEGATIVO CON COOMBS NEGATIVO",G162)))</formula>
    </cfRule>
    <cfRule type="containsText" dxfId="0" priority="8" operator="containsText" text="RH POSITIVO">
      <formula>NOT(ISERROR(SEARCH("RH POSITIVO",G162)))</formula>
    </cfRule>
  </conditionalFormatting>
  <dataValidations count="2">
    <dataValidation type="list" allowBlank="1" showInputMessage="1" showErrorMessage="1" sqref="E3:E111 E114 E117:E159 E162 E193:E216 E165:E190 E219:E235 E238:E239 E242:E277 E280:E336 E339:E340 E343:E379 E382:E436 E438:E463 E466:E501 E504:E534 E537:E550 E553:E560 E563:E601 E604:E610 E613 E616:E618 E621:E680 E683:E787 E790:E882 E885:E922 E925:E1013 E1065:E1091 E1094:E1186 E1016:E1062 E1189:E1271 E1274:E1314 E1317:E1450" xr:uid="{57C4F7B0-8872-4FCD-AAE1-DD8B90AB54C6}">
      <formula1>"CEDULA DE CIUDADANIA,TARJETA DE IDENTIDAD,REGISTRO CIVIL,CEDULA DE EXTRANJERIA,MENOR SIN IDENTIFICACION,ADULTO SIN IDENTIFICACION,OTRO,SIN DATO"</formula1>
    </dataValidation>
    <dataValidation type="list" allowBlank="1" showInputMessage="1" showErrorMessage="1" sqref="G162" xr:uid="{5B3E0918-FDDA-4BD6-B8A1-034CD0742FDC}">
      <formula1>"RH POSITIVO, RH NEGATIVO SIN COOMBS,RH NEGATIVO CON COOMBS NEGATIVO,RH NEGATIVO CON COOMBS POSITIVO"</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INSTRUCTIVO </vt:lpstr>
      <vt:lpstr>INDICADORES</vt:lpstr>
      <vt:lpstr>CPN 2023</vt:lpstr>
      <vt:lpstr>Pendientes Agosto.</vt:lpstr>
    </vt:vector>
  </TitlesOfParts>
  <Company>Windows XP Colossus Edition 2 Reloaded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Colossus User</dc:creator>
  <cp:lastModifiedBy>ARNOL NARVAEZ HIGON</cp:lastModifiedBy>
  <cp:lastPrinted>2013-06-06T22:13:03Z</cp:lastPrinted>
  <dcterms:created xsi:type="dcterms:W3CDTF">2011-06-21T18:46:29Z</dcterms:created>
  <dcterms:modified xsi:type="dcterms:W3CDTF">2023-11-02T20:38:13Z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Fecha de registro" linkTarget="INDIGENA">
    <vt:lpwstr>#¡REF!</vt:lpwstr>
  </property>
</Properties>
</file>